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s>
  <calcPr calcId="124519" fullCalcOnLoad="1"/>
</workbook>
</file>

<file path=xl/sharedStrings.xml><?xml version="1.0" encoding="utf-8"?>
<sst xmlns="http://schemas.openxmlformats.org/spreadsheetml/2006/main" count="96" uniqueCount="47">
  <si>
    <t>sample_id</t>
  </si>
  <si>
    <t>sample_name</t>
  </si>
  <si>
    <t>No more than 1000 samples can be entered in this worksheet.  If you need to submit metadata for &gt;1000 samples, please contact CMI directly.</t>
  </si>
  <si>
    <t>collection_timestamp</t>
  </si>
  <si>
    <t>description</t>
  </si>
  <si>
    <t>dna_extracted</t>
  </si>
  <si>
    <t>env_biome</t>
  </si>
  <si>
    <t>env_feature</t>
  </si>
  <si>
    <t>env_material</t>
  </si>
  <si>
    <t>env_package</t>
  </si>
  <si>
    <t>geo_loc_name</t>
  </si>
  <si>
    <t>latitude</t>
  </si>
  <si>
    <t>longitude</t>
  </si>
  <si>
    <t>physical_specimen_location</t>
  </si>
  <si>
    <t>physical_specimen_remaining</t>
  </si>
  <si>
    <t>scientific_name</t>
  </si>
  <si>
    <t>taxon_id</t>
  </si>
  <si>
    <t>title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</si>
  <si>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</si>
  <si>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</si>
  <si>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</si>
  <si>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</si>
  <si>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</si>
  <si>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</si>
  <si>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</si>
  <si>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</si>
  <si>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</si>
  <si>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</si>
  <si>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</si>
  <si>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</si>
  <si>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day and time of sampling as a single point in time expressed in 24-hour time format, e.g. 2016-11-22. The value must be a string and must equal "missing: not collected" or must equal "missing: not provided" or must equal "missing: restricted access" or the value must be a datetime and the value must be a valid timestamp in one of these formats: YYYY or YYYY-MM or YYYY-MM-DD or YYYY-MM-DD hh or YYYY-MM-DD hh:mm or YYYY-MM-DD hh:mm:ss.</t>
  </si>
  <si>
    <t>A description of the sample that can include site, subject, and sample material. The value must be a string.</t>
  </si>
  <si>
    <t>Whether the DNA been extracted from the sample. The value must be a string and must equal "missing: not collected" or must equal "missing: not provided" or the value must be a string and must equal "TRUE" or must equal "FALSE".</t>
  </si>
  <si>
    <t>Classification of the location where the sample was obtained, from the Environmental Ontology (ENVO). The value must be a string.</t>
  </si>
  <si>
    <t>Classification of a specific feature in the biome, from the Environmental Ontology (ENVO). The value must be a string.</t>
  </si>
  <si>
    <t>Classification of the material being sampled, from the Environmental Ontology (ENVO). The value must be a string.</t>
  </si>
  <si>
    <t>Environment where the sample was obtained. The value must be a string and must equal "missing: not collected" or must equal "missing: not provided" or must equal "missing: restricted access" or the value must be a string and must equal "air" or must equal "built environment" or must equal "host-associated" or must equal "human-associated" or must equal "human-skin" or must equal "human-oral" or must equal "human-gut" or must equal "human-vaginal" or must equal "microbial mat/biofilm" or must equal "misc environment" or must equal "plant-associated" or must equal "sediment" or must equal "soil" or must equal "wastewater/sludge" or must equal "water".</t>
  </si>
  <si>
    <t>The geographical origin of the sample as defined by the country or location as chosen from the GAZ ontology, e.g. USA:CA:San Diego . The value must be a string.</t>
  </si>
  <si>
    <t>Location of the sample site by latitude in decimal degrees, e.g. 32.72 for San Diego, USA. The value must be a string and must equal "missing: not collected" or must equal "missing: not provided" or must equal "missing: restricted access" or the value must be a number and &gt;=-90.00 and &lt;=90.00.</t>
  </si>
  <si>
    <t>Location of the sample site by longitude in decimal degrees, e.g. -117.16 for San Diego, USA. The value must be a string and must equal "missing: not collected" or must equal "missing: not provided" or must equal "missing: restricted access" or the value must be a number and &gt;=-180.00 and &lt;=180.00.</t>
  </si>
  <si>
    <t>Where the sample is stored (if there is any left). The value must be a string.</t>
  </si>
  <si>
    <t>Whether there is any raw specimen left to sample. The value must be a string and must equal "missing: not collected" or must equal "missing: not provided" or must equal "missing: restricted access" or the value must be a string and must equal "TRUE" or must equal "FALSE".</t>
  </si>
  <si>
    <t>The scientific name of the metagenome associated with this sample, as defined in the NCBI Taxonomy. Be aware that this is NOT the scientific name of the host! Note that this value must correspond to the taxon id entered in the taxon_id field; for example, for a sample from the human gut, the scientific_name should be human gut microbiome, corresponding to taxon id 408170. The value must be a string.</t>
  </si>
  <si>
    <t>The NCBI Taxonomy id of the metagenome associated with this sample. Be aware that this is NOT the taxon id of the host! Note that this value must correspond to the scientific name entered in the scientific_name field; for example, for a sample from the human gut, the taxon_id should be 408170, corresponding to the scientific name human gut metagenome. The value must be a string and must equal "missing: not collected" or must equal "missing: not provided" or the value must be a integer and &gt;0.</t>
  </si>
  <si>
    <t>Title of study. The value must be a string.</t>
  </si>
  <si>
    <t xml:space="preserve">collection_timestamp:
  anyof:
  - allowed:
    - 'missing: not collected'
    - 'missing: not provided'
    - 'missing: restricted access'
    type: string
  - regex: '^([0-9]{1,4})(?:-([0-9]{1,2})(?:-([0-9]{1,2})(?: ([0-9]{1,2})(?::([0-9]{1,2})(?::([0-9]{1,2}))?)?)?)?)?$'
    type: datetime
  empty: false
  field_desc: The day and time of sampling as a single point in time expressed in
    24-hour time format, e.g. 2016-11-22.
  is_phi: false
  required: true
  units: Not applicable
description:
  empty: false
  field_desc: A description of the sample that can include site, subject, and sample
    material.
  is_phi: false
  required: true
  type: string
dna_extracted:
  anyof:
  - allowed:
    - 'missing: not collected'
    - 'missing: not provided'
    type: string
  - allowed:
    - 'TRUE'
    - 'FALSE'
    type: string
  empty: false
  field_desc: Whether the DNA been extracted from the sample.
  is_phi: false
  required: true
env_biome:
  empty: false
  field_desc: Classification of the location where the sample was obtained, from the
    Environmental Ontology (ENVO).
  is_phi: false
  required: true
  type: string
env_feature:
  empty: false
  field_desc: Classification of a specific feature in the biome, from the Environmental
    Ontology (ENVO).
  is_phi: false
  required: true
  type: string
env_material:
  empty: false
  field_desc: Classification of the material being sampled, from the Environmental
    Ontology (ENVO).
  is_phi: false
  required: true
  type: string
env_package:
  anyof:
  - allowed:
    - 'missing: not collected'
    - 'missing: not provided'
    - 'missing: restricted access'
    type: string
  - allowed:
    - air
    - built environment
    - host-associated
    - human-associated
    - human-skin
    - human-oral
    - human-gut
    - human-vaginal
    - microbial mat/biofilm
    - misc environment
    - plant-associated
    - sediment
    - soil
    - wastewater/sludge
    - water
    type: string
  empty: false
  field_desc: Environment where the sample was obtained.
  is_phi: false
  required: true
geo_loc_name:
  empty: false
  field_desc: The geographical origin of the sample as defined by the country or location
    as chosen from the GAZ ontology, e.g. USA:CA:San Diego .
  is_phi: false
  required: true
  type: string
latitude:
  anyof:
  - allowed:
    - 'missing: not collected'
    - 'missing: not provided'
    - 'missing: restricted access'
    type: string
  - max: '90.00'
    min: '-90.00'
    type: number
  empty: false
  field_desc: Location of the sample site by latitude in decimal degrees, e.g. 32.72
    for San Diego, USA.
  is_phi: false
  required: true
  units: Decimal degrees
longitude:
  anyof:
  - allowed:
    - 'missing: not collected'
    - 'missing: not provided'
    - 'missing: restricted access'
    type: string
  - max: '180.00'
    min: '-180.00'
    type: number
  empty: false
  field_desc: Location of the sample site by longitude in decimal degrees, e.g. -117.16
    for San Diego, USA.
  is_phi: false
  required: true
  units: Decimal degrees
physical_specimen_location:
  empty: false
  field_desc: Where the sample is stored (if there is any left).
  is_phi: false
  required: true
  type: string
physical_specimen_remaining:
  anyof:
  - allowed:
    - 'missing: not collected'
    - 'missing: not provided'
    - 'missing: restricted access'
    type: string
  - allowed:
    - 'TRUE'
    - 'FALSE'
    type: string
  empty: false
  field_desc: Whether there is any raw specimen left to sample.
  is_phi: false
  required: true
sample_name:
  empty: false
  is_phi: false
  regex: ^[a-zA-Z0-9\.]+$
  required: true
  type: string
  unique: true
scientific_name:
  empty: false
  field_desc: The scientific name of the metagenome associated with this sample, as
    defined in the NCBI Taxonomy. Be aware that this is NOT the scientific name of
    the host! Note that this value must correspond to the taxon id entered in the
    taxon_id field; for example, for a sample from the human gut, the scientific_name
    should be human gut microbiome, corresponding to taxon id 408170.
  is_phi: false
  required: true
  type: string
taxon_id:
  anyof:
  - allowed:
    - 'missing: not collected'
    - 'missing: not provided'
    type: string
  - min_exclusive: '0'
    type: integer
  empty: false
  field_desc: The NCBI Taxonomy id of the metagenome associated with this sample.
    Be aware that this is NOT the taxon id of the host! Note that this value must
    correspond to the scientific name entered in the scientific_name field; for example,
    for a sample from the human gut, the taxon_id should be 408170, corresponding
    to the scientific name human gut metagenome.
  is_phi: false
  required: true
  units: Not applicable
title:
  empty: false
  field_desc: Title of study.
  is_phi: false
  required: true
  type: string
</t>
  </si>
  <si>
    <t xml:space="preserve">0:
  default_value: no_default
  field_desc: Title of study.
  field_name: title
  field_type: string
1:
  default_value: no_default
  field_desc: The scientific name of the metagenome associated with this sample, as
    defined in the NCBI Taxonomy. Be aware that this is NOT the scientific name of
    the host! Note that this value must correspond to the taxon id entered in the
    taxon_id field; for example, for a sample from the human gut, the scientific_name
    should be human gut microbiome, corresponding to taxon id 408170.
  field_name: scientific_name
  field_type: string
2:
  allowed_missing_vals[]:
  - ebi_not_collected
  - ebi_not_provided
  data_type: integer
  default_value: no_default
  field_desc: The NCBI Taxonomy id of the metagenome associated with this sample.
    Be aware that this is NOT the taxon id of the host! Note that this value must
    correspond to the scientific name entered in the scientific_name field; for example,
    for a sample from the human gut, the taxon_id should be 408170, corresponding
    to the scientific name human gut metagenome.
  field_name: taxon_id
  field_type: continuous
  minimum_comparison: min_exclusive
  minimum_value: '0'
  units: Not applicable
3:
  default_value: no_default
  field_desc: A description of the sample that can include site, subject, and sample
    material.
  field_name: description
  field_type: string
4:
  default_value: no_default
  field_desc: The geographical origin of the sample as defined by the country or location
    as chosen from the GAZ ontology, e.g. USA:CA:San Diego .
  field_name: geo_loc_name
  field_type: string
5:
  default_value: no_default
  field_desc: Classification of the location where the sample was obtained, from the
    Environmental Ontology (ENVO).
  field_name: env_biome
  field_type: string
6:
  default_value: no_default
  field_desc: Classification of a specific feature in the biome, from the Environmental
    Ontology (ENVO).
  field_name: env_feature
  field_type: string
7:
  default_value: no_default
  field_desc: Classification of the material being sampled, from the Environmental
    Ontology (ENVO).
  field_name: env_material
  field_type: string
8:
  allowed_missing_vals[]:
  - ebi_not_collected
  - ebi_not_provided
  - ebi_restricted
  categorical_values: "air\r\nbuilt environment\r\nhost-associated\r\nhuman-associated\r\
    \nhuman-skin\r\nhuman-oral\r\nhuman-gut\r\nhuman-vaginal\r\nmicrobial mat/biofilm\r\
    \nmisc environment\r\nplant-associated\r\nsediment\r\nsoil\r\nwastewater/sludge\r\
    \nwater"
  default_value: no_default
  field_desc: Environment where the sample was obtained.
  field_name: env_package
  field_type: categorical
9:
  allowed_missing_vals[]:
  - ebi_not_collected
  - ebi_not_provided
  - ebi_restricted
  data_type: number
  default_value: no_default
  field_desc: Location of the sample site by latitude in decimal degrees, e.g. 32.72
    for San Diego, USA.
  field_name: latitude
  field_type: continuous
  maximum_comparison: max
  maximum_value: '90.00'
  minimum_comparison: min
  minimum_value: '-90.00'
  units: Decimal degrees
10:
  allowed_missing_vals[]:
  - ebi_not_collected
  - ebi_not_provided
  - ebi_restricted
  data_type: number
  default_value: no_default
  field_desc: Location of the sample site by longitude in decimal degrees, e.g. -117.16
    for San Diego, USA.
  field_name: longitude
  field_type: continuous
  maximum_comparison: max
  maximum_value: '180.00'
  minimum_comparison: min
  minimum_value: '-180.00'
  units: Decimal degrees
11:
  allowed_missing_vals[]:
  - ebi_not_collected
  - ebi_not_provided
  - ebi_restricted
  data_type: datetime
  default_value: no_default
  field_desc: The day and time of sampling as a single point in time expressed in
    24-hour time format, e.g. 2016-11-22.
  field_name: collection_timestamp
  field_type: continuous
  units: Not applicable
12:
  allowed_missing_vals[]:
  - ebi_not_collected
  - ebi_not_provided
  default_value: no_default
  false_value: 'FALSE'
  field_desc: Whether the DNA been extracted from the sample.
  field_name: dna_extracted
  field_type: boolean
  true_value: 'TRUE'
13:
  default_value: no_default
  field_desc: Where the sample is stored (if there is any left).
  field_name: physical_specimen_location
  field_type: string
14:
  allowed_missing_vals[]:
  - ebi_not_collected
  - ebi_not_provided
  - ebi_restricted
  default_value: no_default
  false_value: 'FALSE'
  field_desc: Whether there is any raw specimen left to sample.
  field_name: physical_specimen_remaining
  field_type: boolean
  true_value: 'TRUE'
</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</si>
</sst>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 min="11" max="11" width="9.140625" style="2"/>
    <col min="12" max="12" width="9.140625" style="2"/>
    <col min="13" max="13" width="9.140625" style="1"/>
    <col min="14" max="14" width="9.140625" style="1"/>
    <col min="15" max="15" width="9.140625" style="1"/>
    <col min="16" max="16" width="9.140625" style="2"/>
    <col min="17" max="17" width="9.140625" style="1"/>
  </cols>
  <sheetData>
    <row r="1" spans="1:17">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row>
    <row r="2" spans="1:17">
      <c r="A2">
        <f>IF(COUNTBLANK(B2:Q2)&lt;&gt;COLUMNS(B2:Q2),1,"")</f>
        <v>0</v>
      </c>
    </row>
    <row r="3" spans="1:17">
      <c r="A3">
        <f>IF(COUNTBLANK(B3:Q3)&lt;&gt;COLUMNS(B3:Q3),2,"")</f>
        <v>0</v>
      </c>
    </row>
    <row r="4" spans="1:17">
      <c r="A4">
        <f>IF(COUNTBLANK(B4:Q4)&lt;&gt;COLUMNS(B4:Q4),3,"")</f>
        <v>0</v>
      </c>
    </row>
    <row r="5" spans="1:17">
      <c r="A5">
        <f>IF(COUNTBLANK(B5:Q5)&lt;&gt;COLUMNS(B5:Q5),4,"")</f>
        <v>0</v>
      </c>
    </row>
    <row r="6" spans="1:17">
      <c r="A6">
        <f>IF(COUNTBLANK(B6:Q6)&lt;&gt;COLUMNS(B6:Q6),5,"")</f>
        <v>0</v>
      </c>
    </row>
    <row r="7" spans="1:17">
      <c r="A7">
        <f>IF(COUNTBLANK(B7:Q7)&lt;&gt;COLUMNS(B7:Q7),6,"")</f>
        <v>0</v>
      </c>
    </row>
    <row r="8" spans="1:17">
      <c r="A8">
        <f>IF(COUNTBLANK(B8:Q8)&lt;&gt;COLUMNS(B8:Q8),7,"")</f>
        <v>0</v>
      </c>
    </row>
    <row r="9" spans="1:17">
      <c r="A9">
        <f>IF(COUNTBLANK(B9:Q9)&lt;&gt;COLUMNS(B9:Q9),8,"")</f>
        <v>0</v>
      </c>
    </row>
    <row r="10" spans="1:17">
      <c r="A10">
        <f>IF(COUNTBLANK(B10:Q10)&lt;&gt;COLUMNS(B10:Q10),9,"")</f>
        <v>0</v>
      </c>
    </row>
    <row r="11" spans="1:17">
      <c r="A11">
        <f>IF(COUNTBLANK(B11:Q11)&lt;&gt;COLUMNS(B11:Q11),10,"")</f>
        <v>0</v>
      </c>
    </row>
    <row r="12" spans="1:17">
      <c r="A12">
        <f>IF(COUNTBLANK(B12:Q12)&lt;&gt;COLUMNS(B12:Q12),11,"")</f>
        <v>0</v>
      </c>
    </row>
    <row r="13" spans="1:17">
      <c r="A13">
        <f>IF(COUNTBLANK(B13:Q13)&lt;&gt;COLUMNS(B13:Q13),12,"")</f>
        <v>0</v>
      </c>
    </row>
    <row r="14" spans="1:17">
      <c r="A14">
        <f>IF(COUNTBLANK(B14:Q14)&lt;&gt;COLUMNS(B14:Q14),13,"")</f>
        <v>0</v>
      </c>
    </row>
    <row r="15" spans="1:17">
      <c r="A15">
        <f>IF(COUNTBLANK(B15:Q15)&lt;&gt;COLUMNS(B15:Q15),14,"")</f>
        <v>0</v>
      </c>
    </row>
    <row r="16" spans="1:17">
      <c r="A16">
        <f>IF(COUNTBLANK(B16:Q16)&lt;&gt;COLUMNS(B16:Q16),15,"")</f>
        <v>0</v>
      </c>
    </row>
    <row r="17" spans="1:1">
      <c r="A17">
        <f>IF(COUNTBLANK(B17:Q17)&lt;&gt;COLUMNS(B17:Q17),16,"")</f>
        <v>0</v>
      </c>
    </row>
    <row r="18" spans="1:1">
      <c r="A18">
        <f>IF(COUNTBLANK(B18:Q18)&lt;&gt;COLUMNS(B18:Q18),17,"")</f>
        <v>0</v>
      </c>
    </row>
    <row r="19" spans="1:1">
      <c r="A19">
        <f>IF(COUNTBLANK(B19:Q19)&lt;&gt;COLUMNS(B19:Q19),18,"")</f>
        <v>0</v>
      </c>
    </row>
    <row r="20" spans="1:1">
      <c r="A20">
        <f>IF(COUNTBLANK(B20:Q20)&lt;&gt;COLUMNS(B20:Q20),19,"")</f>
        <v>0</v>
      </c>
    </row>
    <row r="21" spans="1:1">
      <c r="A21">
        <f>IF(COUNTBLANK(B21:Q21)&lt;&gt;COLUMNS(B21:Q21),20,"")</f>
        <v>0</v>
      </c>
    </row>
    <row r="22" spans="1:1">
      <c r="A22">
        <f>IF(COUNTBLANK(B22:Q22)&lt;&gt;COLUMNS(B22:Q22),21,"")</f>
        <v>0</v>
      </c>
    </row>
    <row r="23" spans="1:1">
      <c r="A23">
        <f>IF(COUNTBLANK(B23:Q23)&lt;&gt;COLUMNS(B23:Q23),22,"")</f>
        <v>0</v>
      </c>
    </row>
    <row r="24" spans="1:1">
      <c r="A24">
        <f>IF(COUNTBLANK(B24:Q24)&lt;&gt;COLUMNS(B24:Q24),23,"")</f>
        <v>0</v>
      </c>
    </row>
    <row r="25" spans="1:1">
      <c r="A25">
        <f>IF(COUNTBLANK(B25:Q25)&lt;&gt;COLUMNS(B25:Q25),24,"")</f>
        <v>0</v>
      </c>
    </row>
    <row r="26" spans="1:1">
      <c r="A26">
        <f>IF(COUNTBLANK(B26:Q26)&lt;&gt;COLUMNS(B26:Q26),25,"")</f>
        <v>0</v>
      </c>
    </row>
    <row r="27" spans="1:1">
      <c r="A27">
        <f>IF(COUNTBLANK(B27:Q27)&lt;&gt;COLUMNS(B27:Q27),26,"")</f>
        <v>0</v>
      </c>
    </row>
    <row r="28" spans="1:1">
      <c r="A28">
        <f>IF(COUNTBLANK(B28:Q28)&lt;&gt;COLUMNS(B28:Q28),27,"")</f>
        <v>0</v>
      </c>
    </row>
    <row r="29" spans="1:1">
      <c r="A29">
        <f>IF(COUNTBLANK(B29:Q29)&lt;&gt;COLUMNS(B29:Q29),28,"")</f>
        <v>0</v>
      </c>
    </row>
    <row r="30" spans="1:1">
      <c r="A30">
        <f>IF(COUNTBLANK(B30:Q30)&lt;&gt;COLUMNS(B30:Q30),29,"")</f>
        <v>0</v>
      </c>
    </row>
    <row r="31" spans="1:1">
      <c r="A31">
        <f>IF(COUNTBLANK(B31:Q31)&lt;&gt;COLUMNS(B31:Q31),30,"")</f>
        <v>0</v>
      </c>
    </row>
    <row r="32" spans="1:1">
      <c r="A32">
        <f>IF(COUNTBLANK(B32:Q32)&lt;&gt;COLUMNS(B32:Q32),31,"")</f>
        <v>0</v>
      </c>
    </row>
    <row r="33" spans="1:1">
      <c r="A33">
        <f>IF(COUNTBLANK(B33:Q33)&lt;&gt;COLUMNS(B33:Q33),32,"")</f>
        <v>0</v>
      </c>
    </row>
    <row r="34" spans="1:1">
      <c r="A34">
        <f>IF(COUNTBLANK(B34:Q34)&lt;&gt;COLUMNS(B34:Q34),33,"")</f>
        <v>0</v>
      </c>
    </row>
    <row r="35" spans="1:1">
      <c r="A35">
        <f>IF(COUNTBLANK(B35:Q35)&lt;&gt;COLUMNS(B35:Q35),34,"")</f>
        <v>0</v>
      </c>
    </row>
    <row r="36" spans="1:1">
      <c r="A36">
        <f>IF(COUNTBLANK(B36:Q36)&lt;&gt;COLUMNS(B36:Q36),35,"")</f>
        <v>0</v>
      </c>
    </row>
    <row r="37" spans="1:1">
      <c r="A37">
        <f>IF(COUNTBLANK(B37:Q37)&lt;&gt;COLUMNS(B37:Q37),36,"")</f>
        <v>0</v>
      </c>
    </row>
    <row r="38" spans="1:1">
      <c r="A38">
        <f>IF(COUNTBLANK(B38:Q38)&lt;&gt;COLUMNS(B38:Q38),37,"")</f>
        <v>0</v>
      </c>
    </row>
    <row r="39" spans="1:1">
      <c r="A39">
        <f>IF(COUNTBLANK(B39:Q39)&lt;&gt;COLUMNS(B39:Q39),38,"")</f>
        <v>0</v>
      </c>
    </row>
    <row r="40" spans="1:1">
      <c r="A40">
        <f>IF(COUNTBLANK(B40:Q40)&lt;&gt;COLUMNS(B40:Q40),39,"")</f>
        <v>0</v>
      </c>
    </row>
    <row r="41" spans="1:1">
      <c r="A41">
        <f>IF(COUNTBLANK(B41:Q41)&lt;&gt;COLUMNS(B41:Q41),40,"")</f>
        <v>0</v>
      </c>
    </row>
    <row r="42" spans="1:1">
      <c r="A42">
        <f>IF(COUNTBLANK(B42:Q42)&lt;&gt;COLUMNS(B42:Q42),41,"")</f>
        <v>0</v>
      </c>
    </row>
    <row r="43" spans="1:1">
      <c r="A43">
        <f>IF(COUNTBLANK(B43:Q43)&lt;&gt;COLUMNS(B43:Q43),42,"")</f>
        <v>0</v>
      </c>
    </row>
    <row r="44" spans="1:1">
      <c r="A44">
        <f>IF(COUNTBLANK(B44:Q44)&lt;&gt;COLUMNS(B44:Q44),43,"")</f>
        <v>0</v>
      </c>
    </row>
    <row r="45" spans="1:1">
      <c r="A45">
        <f>IF(COUNTBLANK(B45:Q45)&lt;&gt;COLUMNS(B45:Q45),44,"")</f>
        <v>0</v>
      </c>
    </row>
    <row r="46" spans="1:1">
      <c r="A46">
        <f>IF(COUNTBLANK(B46:Q46)&lt;&gt;COLUMNS(B46:Q46),45,"")</f>
        <v>0</v>
      </c>
    </row>
    <row r="47" spans="1:1">
      <c r="A47">
        <f>IF(COUNTBLANK(B47:Q47)&lt;&gt;COLUMNS(B47:Q47),46,"")</f>
        <v>0</v>
      </c>
    </row>
    <row r="48" spans="1:1">
      <c r="A48">
        <f>IF(COUNTBLANK(B48:Q48)&lt;&gt;COLUMNS(B48:Q48),47,"")</f>
        <v>0</v>
      </c>
    </row>
    <row r="49" spans="1:1">
      <c r="A49">
        <f>IF(COUNTBLANK(B49:Q49)&lt;&gt;COLUMNS(B49:Q49),48,"")</f>
        <v>0</v>
      </c>
    </row>
    <row r="50" spans="1:1">
      <c r="A50">
        <f>IF(COUNTBLANK(B50:Q50)&lt;&gt;COLUMNS(B50:Q50),49,"")</f>
        <v>0</v>
      </c>
    </row>
    <row r="51" spans="1:1">
      <c r="A51">
        <f>IF(COUNTBLANK(B51:Q51)&lt;&gt;COLUMNS(B51:Q51),50,"")</f>
        <v>0</v>
      </c>
    </row>
    <row r="52" spans="1:1">
      <c r="A52">
        <f>IF(COUNTBLANK(B52:Q52)&lt;&gt;COLUMNS(B52:Q52),51,"")</f>
        <v>0</v>
      </c>
    </row>
    <row r="53" spans="1:1">
      <c r="A53">
        <f>IF(COUNTBLANK(B53:Q53)&lt;&gt;COLUMNS(B53:Q53),52,"")</f>
        <v>0</v>
      </c>
    </row>
    <row r="54" spans="1:1">
      <c r="A54">
        <f>IF(COUNTBLANK(B54:Q54)&lt;&gt;COLUMNS(B54:Q54),53,"")</f>
        <v>0</v>
      </c>
    </row>
    <row r="55" spans="1:1">
      <c r="A55">
        <f>IF(COUNTBLANK(B55:Q55)&lt;&gt;COLUMNS(B55:Q55),54,"")</f>
        <v>0</v>
      </c>
    </row>
    <row r="56" spans="1:1">
      <c r="A56">
        <f>IF(COUNTBLANK(B56:Q56)&lt;&gt;COLUMNS(B56:Q56),55,"")</f>
        <v>0</v>
      </c>
    </row>
    <row r="57" spans="1:1">
      <c r="A57">
        <f>IF(COUNTBLANK(B57:Q57)&lt;&gt;COLUMNS(B57:Q57),56,"")</f>
        <v>0</v>
      </c>
    </row>
    <row r="58" spans="1:1">
      <c r="A58">
        <f>IF(COUNTBLANK(B58:Q58)&lt;&gt;COLUMNS(B58:Q58),57,"")</f>
        <v>0</v>
      </c>
    </row>
    <row r="59" spans="1:1">
      <c r="A59">
        <f>IF(COUNTBLANK(B59:Q59)&lt;&gt;COLUMNS(B59:Q59),58,"")</f>
        <v>0</v>
      </c>
    </row>
    <row r="60" spans="1:1">
      <c r="A60">
        <f>IF(COUNTBLANK(B60:Q60)&lt;&gt;COLUMNS(B60:Q60),59,"")</f>
        <v>0</v>
      </c>
    </row>
    <row r="61" spans="1:1">
      <c r="A61">
        <f>IF(COUNTBLANK(B61:Q61)&lt;&gt;COLUMNS(B61:Q61),60,"")</f>
        <v>0</v>
      </c>
    </row>
    <row r="62" spans="1:1">
      <c r="A62">
        <f>IF(COUNTBLANK(B62:Q62)&lt;&gt;COLUMNS(B62:Q62),61,"")</f>
        <v>0</v>
      </c>
    </row>
    <row r="63" spans="1:1">
      <c r="A63">
        <f>IF(COUNTBLANK(B63:Q63)&lt;&gt;COLUMNS(B63:Q63),62,"")</f>
        <v>0</v>
      </c>
    </row>
    <row r="64" spans="1:1">
      <c r="A64">
        <f>IF(COUNTBLANK(B64:Q64)&lt;&gt;COLUMNS(B64:Q64),63,"")</f>
        <v>0</v>
      </c>
    </row>
    <row r="65" spans="1:1">
      <c r="A65">
        <f>IF(COUNTBLANK(B65:Q65)&lt;&gt;COLUMNS(B65:Q65),64,"")</f>
        <v>0</v>
      </c>
    </row>
    <row r="66" spans="1:1">
      <c r="A66">
        <f>IF(COUNTBLANK(B66:Q66)&lt;&gt;COLUMNS(B66:Q66),65,"")</f>
        <v>0</v>
      </c>
    </row>
    <row r="67" spans="1:1">
      <c r="A67">
        <f>IF(COUNTBLANK(B67:Q67)&lt;&gt;COLUMNS(B67:Q67),66,"")</f>
        <v>0</v>
      </c>
    </row>
    <row r="68" spans="1:1">
      <c r="A68">
        <f>IF(COUNTBLANK(B68:Q68)&lt;&gt;COLUMNS(B68:Q68),67,"")</f>
        <v>0</v>
      </c>
    </row>
    <row r="69" spans="1:1">
      <c r="A69">
        <f>IF(COUNTBLANK(B69:Q69)&lt;&gt;COLUMNS(B69:Q69),68,"")</f>
        <v>0</v>
      </c>
    </row>
    <row r="70" spans="1:1">
      <c r="A70">
        <f>IF(COUNTBLANK(B70:Q70)&lt;&gt;COLUMNS(B70:Q70),69,"")</f>
        <v>0</v>
      </c>
    </row>
    <row r="71" spans="1:1">
      <c r="A71">
        <f>IF(COUNTBLANK(B71:Q71)&lt;&gt;COLUMNS(B71:Q71),70,"")</f>
        <v>0</v>
      </c>
    </row>
    <row r="72" spans="1:1">
      <c r="A72">
        <f>IF(COUNTBLANK(B72:Q72)&lt;&gt;COLUMNS(B72:Q72),71,"")</f>
        <v>0</v>
      </c>
    </row>
    <row r="73" spans="1:1">
      <c r="A73">
        <f>IF(COUNTBLANK(B73:Q73)&lt;&gt;COLUMNS(B73:Q73),72,"")</f>
        <v>0</v>
      </c>
    </row>
    <row r="74" spans="1:1">
      <c r="A74">
        <f>IF(COUNTBLANK(B74:Q74)&lt;&gt;COLUMNS(B74:Q74),73,"")</f>
        <v>0</v>
      </c>
    </row>
    <row r="75" spans="1:1">
      <c r="A75">
        <f>IF(COUNTBLANK(B75:Q75)&lt;&gt;COLUMNS(B75:Q75),74,"")</f>
        <v>0</v>
      </c>
    </row>
    <row r="76" spans="1:1">
      <c r="A76">
        <f>IF(COUNTBLANK(B76:Q76)&lt;&gt;COLUMNS(B76:Q76),75,"")</f>
        <v>0</v>
      </c>
    </row>
    <row r="77" spans="1:1">
      <c r="A77">
        <f>IF(COUNTBLANK(B77:Q77)&lt;&gt;COLUMNS(B77:Q77),76,"")</f>
        <v>0</v>
      </c>
    </row>
    <row r="78" spans="1:1">
      <c r="A78">
        <f>IF(COUNTBLANK(B78:Q78)&lt;&gt;COLUMNS(B78:Q78),77,"")</f>
        <v>0</v>
      </c>
    </row>
    <row r="79" spans="1:1">
      <c r="A79">
        <f>IF(COUNTBLANK(B79:Q79)&lt;&gt;COLUMNS(B79:Q79),78,"")</f>
        <v>0</v>
      </c>
    </row>
    <row r="80" spans="1:1">
      <c r="A80">
        <f>IF(COUNTBLANK(B80:Q80)&lt;&gt;COLUMNS(B80:Q80),79,"")</f>
        <v>0</v>
      </c>
    </row>
    <row r="81" spans="1:1">
      <c r="A81">
        <f>IF(COUNTBLANK(B81:Q81)&lt;&gt;COLUMNS(B81:Q81),80,"")</f>
        <v>0</v>
      </c>
    </row>
    <row r="82" spans="1:1">
      <c r="A82">
        <f>IF(COUNTBLANK(B82:Q82)&lt;&gt;COLUMNS(B82:Q82),81,"")</f>
        <v>0</v>
      </c>
    </row>
    <row r="83" spans="1:1">
      <c r="A83">
        <f>IF(COUNTBLANK(B83:Q83)&lt;&gt;COLUMNS(B83:Q83),82,"")</f>
        <v>0</v>
      </c>
    </row>
    <row r="84" spans="1:1">
      <c r="A84">
        <f>IF(COUNTBLANK(B84:Q84)&lt;&gt;COLUMNS(B84:Q84),83,"")</f>
        <v>0</v>
      </c>
    </row>
    <row r="85" spans="1:1">
      <c r="A85">
        <f>IF(COUNTBLANK(B85:Q85)&lt;&gt;COLUMNS(B85:Q85),84,"")</f>
        <v>0</v>
      </c>
    </row>
    <row r="86" spans="1:1">
      <c r="A86">
        <f>IF(COUNTBLANK(B86:Q86)&lt;&gt;COLUMNS(B86:Q86),85,"")</f>
        <v>0</v>
      </c>
    </row>
    <row r="87" spans="1:1">
      <c r="A87">
        <f>IF(COUNTBLANK(B87:Q87)&lt;&gt;COLUMNS(B87:Q87),86,"")</f>
        <v>0</v>
      </c>
    </row>
    <row r="88" spans="1:1">
      <c r="A88">
        <f>IF(COUNTBLANK(B88:Q88)&lt;&gt;COLUMNS(B88:Q88),87,"")</f>
        <v>0</v>
      </c>
    </row>
    <row r="89" spans="1:1">
      <c r="A89">
        <f>IF(COUNTBLANK(B89:Q89)&lt;&gt;COLUMNS(B89:Q89),88,"")</f>
        <v>0</v>
      </c>
    </row>
    <row r="90" spans="1:1">
      <c r="A90">
        <f>IF(COUNTBLANK(B90:Q90)&lt;&gt;COLUMNS(B90:Q90),89,"")</f>
        <v>0</v>
      </c>
    </row>
    <row r="91" spans="1:1">
      <c r="A91">
        <f>IF(COUNTBLANK(B91:Q91)&lt;&gt;COLUMNS(B91:Q91),90,"")</f>
        <v>0</v>
      </c>
    </row>
    <row r="92" spans="1:1">
      <c r="A92">
        <f>IF(COUNTBLANK(B92:Q92)&lt;&gt;COLUMNS(B92:Q92),91,"")</f>
        <v>0</v>
      </c>
    </row>
    <row r="93" spans="1:1">
      <c r="A93">
        <f>IF(COUNTBLANK(B93:Q93)&lt;&gt;COLUMNS(B93:Q93),92,"")</f>
        <v>0</v>
      </c>
    </row>
    <row r="94" spans="1:1">
      <c r="A94">
        <f>IF(COUNTBLANK(B94:Q94)&lt;&gt;COLUMNS(B94:Q94),93,"")</f>
        <v>0</v>
      </c>
    </row>
    <row r="95" spans="1:1">
      <c r="A95">
        <f>IF(COUNTBLANK(B95:Q95)&lt;&gt;COLUMNS(B95:Q95),94,"")</f>
        <v>0</v>
      </c>
    </row>
    <row r="96" spans="1:1">
      <c r="A96">
        <f>IF(COUNTBLANK(B96:Q96)&lt;&gt;COLUMNS(B96:Q96),95,"")</f>
        <v>0</v>
      </c>
    </row>
    <row r="97" spans="1:1">
      <c r="A97">
        <f>IF(COUNTBLANK(B97:Q97)&lt;&gt;COLUMNS(B97:Q97),96,"")</f>
        <v>0</v>
      </c>
    </row>
    <row r="98" spans="1:1">
      <c r="A98">
        <f>IF(COUNTBLANK(B98:Q98)&lt;&gt;COLUMNS(B98:Q98),97,"")</f>
        <v>0</v>
      </c>
    </row>
    <row r="99" spans="1:1">
      <c r="A99">
        <f>IF(COUNTBLANK(B99:Q99)&lt;&gt;COLUMNS(B99:Q99),98,"")</f>
        <v>0</v>
      </c>
    </row>
    <row r="100" spans="1:1">
      <c r="A100">
        <f>IF(COUNTBLANK(B100:Q100)&lt;&gt;COLUMNS(B100:Q100),99,"")</f>
        <v>0</v>
      </c>
    </row>
    <row r="101" spans="1:1">
      <c r="A101">
        <f>IF(COUNTBLANK(B101:Q101)&lt;&gt;COLUMNS(B101:Q101),100,"")</f>
        <v>0</v>
      </c>
    </row>
    <row r="102" spans="1:1">
      <c r="A102">
        <f>IF(COUNTBLANK(B102:Q102)&lt;&gt;COLUMNS(B102:Q102),101,"")</f>
        <v>0</v>
      </c>
    </row>
    <row r="103" spans="1:1">
      <c r="A103">
        <f>IF(COUNTBLANK(B103:Q103)&lt;&gt;COLUMNS(B103:Q103),102,"")</f>
        <v>0</v>
      </c>
    </row>
    <row r="104" spans="1:1">
      <c r="A104">
        <f>IF(COUNTBLANK(B104:Q104)&lt;&gt;COLUMNS(B104:Q104),103,"")</f>
        <v>0</v>
      </c>
    </row>
    <row r="105" spans="1:1">
      <c r="A105">
        <f>IF(COUNTBLANK(B105:Q105)&lt;&gt;COLUMNS(B105:Q105),104,"")</f>
        <v>0</v>
      </c>
    </row>
    <row r="106" spans="1:1">
      <c r="A106">
        <f>IF(COUNTBLANK(B106:Q106)&lt;&gt;COLUMNS(B106:Q106),105,"")</f>
        <v>0</v>
      </c>
    </row>
    <row r="107" spans="1:1">
      <c r="A107">
        <f>IF(COUNTBLANK(B107:Q107)&lt;&gt;COLUMNS(B107:Q107),106,"")</f>
        <v>0</v>
      </c>
    </row>
    <row r="108" spans="1:1">
      <c r="A108">
        <f>IF(COUNTBLANK(B108:Q108)&lt;&gt;COLUMNS(B108:Q108),107,"")</f>
        <v>0</v>
      </c>
    </row>
    <row r="109" spans="1:1">
      <c r="A109">
        <f>IF(COUNTBLANK(B109:Q109)&lt;&gt;COLUMNS(B109:Q109),108,"")</f>
        <v>0</v>
      </c>
    </row>
    <row r="110" spans="1:1">
      <c r="A110">
        <f>IF(COUNTBLANK(B110:Q110)&lt;&gt;COLUMNS(B110:Q110),109,"")</f>
        <v>0</v>
      </c>
    </row>
    <row r="111" spans="1:1">
      <c r="A111">
        <f>IF(COUNTBLANK(B111:Q111)&lt;&gt;COLUMNS(B111:Q111),110,"")</f>
        <v>0</v>
      </c>
    </row>
    <row r="112" spans="1:1">
      <c r="A112">
        <f>IF(COUNTBLANK(B112:Q112)&lt;&gt;COLUMNS(B112:Q112),111,"")</f>
        <v>0</v>
      </c>
    </row>
    <row r="113" spans="1:1">
      <c r="A113">
        <f>IF(COUNTBLANK(B113:Q113)&lt;&gt;COLUMNS(B113:Q113),112,"")</f>
        <v>0</v>
      </c>
    </row>
    <row r="114" spans="1:1">
      <c r="A114">
        <f>IF(COUNTBLANK(B114:Q114)&lt;&gt;COLUMNS(B114:Q114),113,"")</f>
        <v>0</v>
      </c>
    </row>
    <row r="115" spans="1:1">
      <c r="A115">
        <f>IF(COUNTBLANK(B115:Q115)&lt;&gt;COLUMNS(B115:Q115),114,"")</f>
        <v>0</v>
      </c>
    </row>
    <row r="116" spans="1:1">
      <c r="A116">
        <f>IF(COUNTBLANK(B116:Q116)&lt;&gt;COLUMNS(B116:Q116),115,"")</f>
        <v>0</v>
      </c>
    </row>
    <row r="117" spans="1:1">
      <c r="A117">
        <f>IF(COUNTBLANK(B117:Q117)&lt;&gt;COLUMNS(B117:Q117),116,"")</f>
        <v>0</v>
      </c>
    </row>
    <row r="118" spans="1:1">
      <c r="A118">
        <f>IF(COUNTBLANK(B118:Q118)&lt;&gt;COLUMNS(B118:Q118),117,"")</f>
        <v>0</v>
      </c>
    </row>
    <row r="119" spans="1:1">
      <c r="A119">
        <f>IF(COUNTBLANK(B119:Q119)&lt;&gt;COLUMNS(B119:Q119),118,"")</f>
        <v>0</v>
      </c>
    </row>
    <row r="120" spans="1:1">
      <c r="A120">
        <f>IF(COUNTBLANK(B120:Q120)&lt;&gt;COLUMNS(B120:Q120),119,"")</f>
        <v>0</v>
      </c>
    </row>
    <row r="121" spans="1:1">
      <c r="A121">
        <f>IF(COUNTBLANK(B121:Q121)&lt;&gt;COLUMNS(B121:Q121),120,"")</f>
        <v>0</v>
      </c>
    </row>
    <row r="122" spans="1:1">
      <c r="A122">
        <f>IF(COUNTBLANK(B122:Q122)&lt;&gt;COLUMNS(B122:Q122),121,"")</f>
        <v>0</v>
      </c>
    </row>
    <row r="123" spans="1:1">
      <c r="A123">
        <f>IF(COUNTBLANK(B123:Q123)&lt;&gt;COLUMNS(B123:Q123),122,"")</f>
        <v>0</v>
      </c>
    </row>
    <row r="124" spans="1:1">
      <c r="A124">
        <f>IF(COUNTBLANK(B124:Q124)&lt;&gt;COLUMNS(B124:Q124),123,"")</f>
        <v>0</v>
      </c>
    </row>
    <row r="125" spans="1:1">
      <c r="A125">
        <f>IF(COUNTBLANK(B125:Q125)&lt;&gt;COLUMNS(B125:Q125),124,"")</f>
        <v>0</v>
      </c>
    </row>
    <row r="126" spans="1:1">
      <c r="A126">
        <f>IF(COUNTBLANK(B126:Q126)&lt;&gt;COLUMNS(B126:Q126),125,"")</f>
        <v>0</v>
      </c>
    </row>
    <row r="127" spans="1:1">
      <c r="A127">
        <f>IF(COUNTBLANK(B127:Q127)&lt;&gt;COLUMNS(B127:Q127),126,"")</f>
        <v>0</v>
      </c>
    </row>
    <row r="128" spans="1:1">
      <c r="A128">
        <f>IF(COUNTBLANK(B128:Q128)&lt;&gt;COLUMNS(B128:Q128),127,"")</f>
        <v>0</v>
      </c>
    </row>
    <row r="129" spans="1:1">
      <c r="A129">
        <f>IF(COUNTBLANK(B129:Q129)&lt;&gt;COLUMNS(B129:Q129),128,"")</f>
        <v>0</v>
      </c>
    </row>
    <row r="130" spans="1:1">
      <c r="A130">
        <f>IF(COUNTBLANK(B130:Q130)&lt;&gt;COLUMNS(B130:Q130),129,"")</f>
        <v>0</v>
      </c>
    </row>
    <row r="131" spans="1:1">
      <c r="A131">
        <f>IF(COUNTBLANK(B131:Q131)&lt;&gt;COLUMNS(B131:Q131),130,"")</f>
        <v>0</v>
      </c>
    </row>
    <row r="132" spans="1:1">
      <c r="A132">
        <f>IF(COUNTBLANK(B132:Q132)&lt;&gt;COLUMNS(B132:Q132),131,"")</f>
        <v>0</v>
      </c>
    </row>
    <row r="133" spans="1:1">
      <c r="A133">
        <f>IF(COUNTBLANK(B133:Q133)&lt;&gt;COLUMNS(B133:Q133),132,"")</f>
        <v>0</v>
      </c>
    </row>
    <row r="134" spans="1:1">
      <c r="A134">
        <f>IF(COUNTBLANK(B134:Q134)&lt;&gt;COLUMNS(B134:Q134),133,"")</f>
        <v>0</v>
      </c>
    </row>
    <row r="135" spans="1:1">
      <c r="A135">
        <f>IF(COUNTBLANK(B135:Q135)&lt;&gt;COLUMNS(B135:Q135),134,"")</f>
        <v>0</v>
      </c>
    </row>
    <row r="136" spans="1:1">
      <c r="A136">
        <f>IF(COUNTBLANK(B136:Q136)&lt;&gt;COLUMNS(B136:Q136),135,"")</f>
        <v>0</v>
      </c>
    </row>
    <row r="137" spans="1:1">
      <c r="A137">
        <f>IF(COUNTBLANK(B137:Q137)&lt;&gt;COLUMNS(B137:Q137),136,"")</f>
        <v>0</v>
      </c>
    </row>
    <row r="138" spans="1:1">
      <c r="A138">
        <f>IF(COUNTBLANK(B138:Q138)&lt;&gt;COLUMNS(B138:Q138),137,"")</f>
        <v>0</v>
      </c>
    </row>
    <row r="139" spans="1:1">
      <c r="A139">
        <f>IF(COUNTBLANK(B139:Q139)&lt;&gt;COLUMNS(B139:Q139),138,"")</f>
        <v>0</v>
      </c>
    </row>
    <row r="140" spans="1:1">
      <c r="A140">
        <f>IF(COUNTBLANK(B140:Q140)&lt;&gt;COLUMNS(B140:Q140),139,"")</f>
        <v>0</v>
      </c>
    </row>
    <row r="141" spans="1:1">
      <c r="A141">
        <f>IF(COUNTBLANK(B141:Q141)&lt;&gt;COLUMNS(B141:Q141),140,"")</f>
        <v>0</v>
      </c>
    </row>
    <row r="142" spans="1:1">
      <c r="A142">
        <f>IF(COUNTBLANK(B142:Q142)&lt;&gt;COLUMNS(B142:Q142),141,"")</f>
        <v>0</v>
      </c>
    </row>
    <row r="143" spans="1:1">
      <c r="A143">
        <f>IF(COUNTBLANK(B143:Q143)&lt;&gt;COLUMNS(B143:Q143),142,"")</f>
        <v>0</v>
      </c>
    </row>
    <row r="144" spans="1:1">
      <c r="A144">
        <f>IF(COUNTBLANK(B144:Q144)&lt;&gt;COLUMNS(B144:Q144),143,"")</f>
        <v>0</v>
      </c>
    </row>
    <row r="145" spans="1:1">
      <c r="A145">
        <f>IF(COUNTBLANK(B145:Q145)&lt;&gt;COLUMNS(B145:Q145),144,"")</f>
        <v>0</v>
      </c>
    </row>
    <row r="146" spans="1:1">
      <c r="A146">
        <f>IF(COUNTBLANK(B146:Q146)&lt;&gt;COLUMNS(B146:Q146),145,"")</f>
        <v>0</v>
      </c>
    </row>
    <row r="147" spans="1:1">
      <c r="A147">
        <f>IF(COUNTBLANK(B147:Q147)&lt;&gt;COLUMNS(B147:Q147),146,"")</f>
        <v>0</v>
      </c>
    </row>
    <row r="148" spans="1:1">
      <c r="A148">
        <f>IF(COUNTBLANK(B148:Q148)&lt;&gt;COLUMNS(B148:Q148),147,"")</f>
        <v>0</v>
      </c>
    </row>
    <row r="149" spans="1:1">
      <c r="A149">
        <f>IF(COUNTBLANK(B149:Q149)&lt;&gt;COLUMNS(B149:Q149),148,"")</f>
        <v>0</v>
      </c>
    </row>
    <row r="150" spans="1:1">
      <c r="A150">
        <f>IF(COUNTBLANK(B150:Q150)&lt;&gt;COLUMNS(B150:Q150),149,"")</f>
        <v>0</v>
      </c>
    </row>
    <row r="151" spans="1:1">
      <c r="A151">
        <f>IF(COUNTBLANK(B151:Q151)&lt;&gt;COLUMNS(B151:Q151),150,"")</f>
        <v>0</v>
      </c>
    </row>
    <row r="152" spans="1:1">
      <c r="A152">
        <f>IF(COUNTBLANK(B152:Q152)&lt;&gt;COLUMNS(B152:Q152),151,"")</f>
        <v>0</v>
      </c>
    </row>
    <row r="153" spans="1:1">
      <c r="A153">
        <f>IF(COUNTBLANK(B153:Q153)&lt;&gt;COLUMNS(B153:Q153),152,"")</f>
        <v>0</v>
      </c>
    </row>
    <row r="154" spans="1:1">
      <c r="A154">
        <f>IF(COUNTBLANK(B154:Q154)&lt;&gt;COLUMNS(B154:Q154),153,"")</f>
        <v>0</v>
      </c>
    </row>
    <row r="155" spans="1:1">
      <c r="A155">
        <f>IF(COUNTBLANK(B155:Q155)&lt;&gt;COLUMNS(B155:Q155),154,"")</f>
        <v>0</v>
      </c>
    </row>
    <row r="156" spans="1:1">
      <c r="A156">
        <f>IF(COUNTBLANK(B156:Q156)&lt;&gt;COLUMNS(B156:Q156),155,"")</f>
        <v>0</v>
      </c>
    </row>
    <row r="157" spans="1:1">
      <c r="A157">
        <f>IF(COUNTBLANK(B157:Q157)&lt;&gt;COLUMNS(B157:Q157),156,"")</f>
        <v>0</v>
      </c>
    </row>
    <row r="158" spans="1:1">
      <c r="A158">
        <f>IF(COUNTBLANK(B158:Q158)&lt;&gt;COLUMNS(B158:Q158),157,"")</f>
        <v>0</v>
      </c>
    </row>
    <row r="159" spans="1:1">
      <c r="A159">
        <f>IF(COUNTBLANK(B159:Q159)&lt;&gt;COLUMNS(B159:Q159),158,"")</f>
        <v>0</v>
      </c>
    </row>
    <row r="160" spans="1:1">
      <c r="A160">
        <f>IF(COUNTBLANK(B160:Q160)&lt;&gt;COLUMNS(B160:Q160),159,"")</f>
        <v>0</v>
      </c>
    </row>
    <row r="161" spans="1:1">
      <c r="A161">
        <f>IF(COUNTBLANK(B161:Q161)&lt;&gt;COLUMNS(B161:Q161),160,"")</f>
        <v>0</v>
      </c>
    </row>
    <row r="162" spans="1:1">
      <c r="A162">
        <f>IF(COUNTBLANK(B162:Q162)&lt;&gt;COLUMNS(B162:Q162),161,"")</f>
        <v>0</v>
      </c>
    </row>
    <row r="163" spans="1:1">
      <c r="A163">
        <f>IF(COUNTBLANK(B163:Q163)&lt;&gt;COLUMNS(B163:Q163),162,"")</f>
        <v>0</v>
      </c>
    </row>
    <row r="164" spans="1:1">
      <c r="A164">
        <f>IF(COUNTBLANK(B164:Q164)&lt;&gt;COLUMNS(B164:Q164),163,"")</f>
        <v>0</v>
      </c>
    </row>
    <row r="165" spans="1:1">
      <c r="A165">
        <f>IF(COUNTBLANK(B165:Q165)&lt;&gt;COLUMNS(B165:Q165),164,"")</f>
        <v>0</v>
      </c>
    </row>
    <row r="166" spans="1:1">
      <c r="A166">
        <f>IF(COUNTBLANK(B166:Q166)&lt;&gt;COLUMNS(B166:Q166),165,"")</f>
        <v>0</v>
      </c>
    </row>
    <row r="167" spans="1:1">
      <c r="A167">
        <f>IF(COUNTBLANK(B167:Q167)&lt;&gt;COLUMNS(B167:Q167),166,"")</f>
        <v>0</v>
      </c>
    </row>
    <row r="168" spans="1:1">
      <c r="A168">
        <f>IF(COUNTBLANK(B168:Q168)&lt;&gt;COLUMNS(B168:Q168),167,"")</f>
        <v>0</v>
      </c>
    </row>
    <row r="169" spans="1:1">
      <c r="A169">
        <f>IF(COUNTBLANK(B169:Q169)&lt;&gt;COLUMNS(B169:Q169),168,"")</f>
        <v>0</v>
      </c>
    </row>
    <row r="170" spans="1:1">
      <c r="A170">
        <f>IF(COUNTBLANK(B170:Q170)&lt;&gt;COLUMNS(B170:Q170),169,"")</f>
        <v>0</v>
      </c>
    </row>
    <row r="171" spans="1:1">
      <c r="A171">
        <f>IF(COUNTBLANK(B171:Q171)&lt;&gt;COLUMNS(B171:Q171),170,"")</f>
        <v>0</v>
      </c>
    </row>
    <row r="172" spans="1:1">
      <c r="A172">
        <f>IF(COUNTBLANK(B172:Q172)&lt;&gt;COLUMNS(B172:Q172),171,"")</f>
        <v>0</v>
      </c>
    </row>
    <row r="173" spans="1:1">
      <c r="A173">
        <f>IF(COUNTBLANK(B173:Q173)&lt;&gt;COLUMNS(B173:Q173),172,"")</f>
        <v>0</v>
      </c>
    </row>
    <row r="174" spans="1:1">
      <c r="A174">
        <f>IF(COUNTBLANK(B174:Q174)&lt;&gt;COLUMNS(B174:Q174),173,"")</f>
        <v>0</v>
      </c>
    </row>
    <row r="175" spans="1:1">
      <c r="A175">
        <f>IF(COUNTBLANK(B175:Q175)&lt;&gt;COLUMNS(B175:Q175),174,"")</f>
        <v>0</v>
      </c>
    </row>
    <row r="176" spans="1:1">
      <c r="A176">
        <f>IF(COUNTBLANK(B176:Q176)&lt;&gt;COLUMNS(B176:Q176),175,"")</f>
        <v>0</v>
      </c>
    </row>
    <row r="177" spans="1:1">
      <c r="A177">
        <f>IF(COUNTBLANK(B177:Q177)&lt;&gt;COLUMNS(B177:Q177),176,"")</f>
        <v>0</v>
      </c>
    </row>
    <row r="178" spans="1:1">
      <c r="A178">
        <f>IF(COUNTBLANK(B178:Q178)&lt;&gt;COLUMNS(B178:Q178),177,"")</f>
        <v>0</v>
      </c>
    </row>
    <row r="179" spans="1:1">
      <c r="A179">
        <f>IF(COUNTBLANK(B179:Q179)&lt;&gt;COLUMNS(B179:Q179),178,"")</f>
        <v>0</v>
      </c>
    </row>
    <row r="180" spans="1:1">
      <c r="A180">
        <f>IF(COUNTBLANK(B180:Q180)&lt;&gt;COLUMNS(B180:Q180),179,"")</f>
        <v>0</v>
      </c>
    </row>
    <row r="181" spans="1:1">
      <c r="A181">
        <f>IF(COUNTBLANK(B181:Q181)&lt;&gt;COLUMNS(B181:Q181),180,"")</f>
        <v>0</v>
      </c>
    </row>
    <row r="182" spans="1:1">
      <c r="A182">
        <f>IF(COUNTBLANK(B182:Q182)&lt;&gt;COLUMNS(B182:Q182),181,"")</f>
        <v>0</v>
      </c>
    </row>
    <row r="183" spans="1:1">
      <c r="A183">
        <f>IF(COUNTBLANK(B183:Q183)&lt;&gt;COLUMNS(B183:Q183),182,"")</f>
        <v>0</v>
      </c>
    </row>
    <row r="184" spans="1:1">
      <c r="A184">
        <f>IF(COUNTBLANK(B184:Q184)&lt;&gt;COLUMNS(B184:Q184),183,"")</f>
        <v>0</v>
      </c>
    </row>
    <row r="185" spans="1:1">
      <c r="A185">
        <f>IF(COUNTBLANK(B185:Q185)&lt;&gt;COLUMNS(B185:Q185),184,"")</f>
        <v>0</v>
      </c>
    </row>
    <row r="186" spans="1:1">
      <c r="A186">
        <f>IF(COUNTBLANK(B186:Q186)&lt;&gt;COLUMNS(B186:Q186),185,"")</f>
        <v>0</v>
      </c>
    </row>
    <row r="187" spans="1:1">
      <c r="A187">
        <f>IF(COUNTBLANK(B187:Q187)&lt;&gt;COLUMNS(B187:Q187),186,"")</f>
        <v>0</v>
      </c>
    </row>
    <row r="188" spans="1:1">
      <c r="A188">
        <f>IF(COUNTBLANK(B188:Q188)&lt;&gt;COLUMNS(B188:Q188),187,"")</f>
        <v>0</v>
      </c>
    </row>
    <row r="189" spans="1:1">
      <c r="A189">
        <f>IF(COUNTBLANK(B189:Q189)&lt;&gt;COLUMNS(B189:Q189),188,"")</f>
        <v>0</v>
      </c>
    </row>
    <row r="190" spans="1:1">
      <c r="A190">
        <f>IF(COUNTBLANK(B190:Q190)&lt;&gt;COLUMNS(B190:Q190),189,"")</f>
        <v>0</v>
      </c>
    </row>
    <row r="191" spans="1:1">
      <c r="A191">
        <f>IF(COUNTBLANK(B191:Q191)&lt;&gt;COLUMNS(B191:Q191),190,"")</f>
        <v>0</v>
      </c>
    </row>
    <row r="192" spans="1:1">
      <c r="A192">
        <f>IF(COUNTBLANK(B192:Q192)&lt;&gt;COLUMNS(B192:Q192),191,"")</f>
        <v>0</v>
      </c>
    </row>
    <row r="193" spans="1:1">
      <c r="A193">
        <f>IF(COUNTBLANK(B193:Q193)&lt;&gt;COLUMNS(B193:Q193),192,"")</f>
        <v>0</v>
      </c>
    </row>
    <row r="194" spans="1:1">
      <c r="A194">
        <f>IF(COUNTBLANK(B194:Q194)&lt;&gt;COLUMNS(B194:Q194),193,"")</f>
        <v>0</v>
      </c>
    </row>
    <row r="195" spans="1:1">
      <c r="A195">
        <f>IF(COUNTBLANK(B195:Q195)&lt;&gt;COLUMNS(B195:Q195),194,"")</f>
        <v>0</v>
      </c>
    </row>
    <row r="196" spans="1:1">
      <c r="A196">
        <f>IF(COUNTBLANK(B196:Q196)&lt;&gt;COLUMNS(B196:Q196),195,"")</f>
        <v>0</v>
      </c>
    </row>
    <row r="197" spans="1:1">
      <c r="A197">
        <f>IF(COUNTBLANK(B197:Q197)&lt;&gt;COLUMNS(B197:Q197),196,"")</f>
        <v>0</v>
      </c>
    </row>
    <row r="198" spans="1:1">
      <c r="A198">
        <f>IF(COUNTBLANK(B198:Q198)&lt;&gt;COLUMNS(B198:Q198),197,"")</f>
        <v>0</v>
      </c>
    </row>
    <row r="199" spans="1:1">
      <c r="A199">
        <f>IF(COUNTBLANK(B199:Q199)&lt;&gt;COLUMNS(B199:Q199),198,"")</f>
        <v>0</v>
      </c>
    </row>
    <row r="200" spans="1:1">
      <c r="A200">
        <f>IF(COUNTBLANK(B200:Q200)&lt;&gt;COLUMNS(B200:Q200),199,"")</f>
        <v>0</v>
      </c>
    </row>
    <row r="201" spans="1:1">
      <c r="A201">
        <f>IF(COUNTBLANK(B201:Q201)&lt;&gt;COLUMNS(B201:Q201),200,"")</f>
        <v>0</v>
      </c>
    </row>
    <row r="202" spans="1:1">
      <c r="A202">
        <f>IF(COUNTBLANK(B202:Q202)&lt;&gt;COLUMNS(B202:Q202),201,"")</f>
        <v>0</v>
      </c>
    </row>
    <row r="203" spans="1:1">
      <c r="A203">
        <f>IF(COUNTBLANK(B203:Q203)&lt;&gt;COLUMNS(B203:Q203),202,"")</f>
        <v>0</v>
      </c>
    </row>
    <row r="204" spans="1:1">
      <c r="A204">
        <f>IF(COUNTBLANK(B204:Q204)&lt;&gt;COLUMNS(B204:Q204),203,"")</f>
        <v>0</v>
      </c>
    </row>
    <row r="205" spans="1:1">
      <c r="A205">
        <f>IF(COUNTBLANK(B205:Q205)&lt;&gt;COLUMNS(B205:Q205),204,"")</f>
        <v>0</v>
      </c>
    </row>
    <row r="206" spans="1:1">
      <c r="A206">
        <f>IF(COUNTBLANK(B206:Q206)&lt;&gt;COLUMNS(B206:Q206),205,"")</f>
        <v>0</v>
      </c>
    </row>
    <row r="207" spans="1:1">
      <c r="A207">
        <f>IF(COUNTBLANK(B207:Q207)&lt;&gt;COLUMNS(B207:Q207),206,"")</f>
        <v>0</v>
      </c>
    </row>
    <row r="208" spans="1:1">
      <c r="A208">
        <f>IF(COUNTBLANK(B208:Q208)&lt;&gt;COLUMNS(B208:Q208),207,"")</f>
        <v>0</v>
      </c>
    </row>
    <row r="209" spans="1:1">
      <c r="A209">
        <f>IF(COUNTBLANK(B209:Q209)&lt;&gt;COLUMNS(B209:Q209),208,"")</f>
        <v>0</v>
      </c>
    </row>
    <row r="210" spans="1:1">
      <c r="A210">
        <f>IF(COUNTBLANK(B210:Q210)&lt;&gt;COLUMNS(B210:Q210),209,"")</f>
        <v>0</v>
      </c>
    </row>
    <row r="211" spans="1:1">
      <c r="A211">
        <f>IF(COUNTBLANK(B211:Q211)&lt;&gt;COLUMNS(B211:Q211),210,"")</f>
        <v>0</v>
      </c>
    </row>
    <row r="212" spans="1:1">
      <c r="A212">
        <f>IF(COUNTBLANK(B212:Q212)&lt;&gt;COLUMNS(B212:Q212),211,"")</f>
        <v>0</v>
      </c>
    </row>
    <row r="213" spans="1:1">
      <c r="A213">
        <f>IF(COUNTBLANK(B213:Q213)&lt;&gt;COLUMNS(B213:Q213),212,"")</f>
        <v>0</v>
      </c>
    </row>
    <row r="214" spans="1:1">
      <c r="A214">
        <f>IF(COUNTBLANK(B214:Q214)&lt;&gt;COLUMNS(B214:Q214),213,"")</f>
        <v>0</v>
      </c>
    </row>
    <row r="215" spans="1:1">
      <c r="A215">
        <f>IF(COUNTBLANK(B215:Q215)&lt;&gt;COLUMNS(B215:Q215),214,"")</f>
        <v>0</v>
      </c>
    </row>
    <row r="216" spans="1:1">
      <c r="A216">
        <f>IF(COUNTBLANK(B216:Q216)&lt;&gt;COLUMNS(B216:Q216),215,"")</f>
        <v>0</v>
      </c>
    </row>
    <row r="217" spans="1:1">
      <c r="A217">
        <f>IF(COUNTBLANK(B217:Q217)&lt;&gt;COLUMNS(B217:Q217),216,"")</f>
        <v>0</v>
      </c>
    </row>
    <row r="218" spans="1:1">
      <c r="A218">
        <f>IF(COUNTBLANK(B218:Q218)&lt;&gt;COLUMNS(B218:Q218),217,"")</f>
        <v>0</v>
      </c>
    </row>
    <row r="219" spans="1:1">
      <c r="A219">
        <f>IF(COUNTBLANK(B219:Q219)&lt;&gt;COLUMNS(B219:Q219),218,"")</f>
        <v>0</v>
      </c>
    </row>
    <row r="220" spans="1:1">
      <c r="A220">
        <f>IF(COUNTBLANK(B220:Q220)&lt;&gt;COLUMNS(B220:Q220),219,"")</f>
        <v>0</v>
      </c>
    </row>
    <row r="221" spans="1:1">
      <c r="A221">
        <f>IF(COUNTBLANK(B221:Q221)&lt;&gt;COLUMNS(B221:Q221),220,"")</f>
        <v>0</v>
      </c>
    </row>
    <row r="222" spans="1:1">
      <c r="A222">
        <f>IF(COUNTBLANK(B222:Q222)&lt;&gt;COLUMNS(B222:Q222),221,"")</f>
        <v>0</v>
      </c>
    </row>
    <row r="223" spans="1:1">
      <c r="A223">
        <f>IF(COUNTBLANK(B223:Q223)&lt;&gt;COLUMNS(B223:Q223),222,"")</f>
        <v>0</v>
      </c>
    </row>
    <row r="224" spans="1:1">
      <c r="A224">
        <f>IF(COUNTBLANK(B224:Q224)&lt;&gt;COLUMNS(B224:Q224),223,"")</f>
        <v>0</v>
      </c>
    </row>
    <row r="225" spans="1:1">
      <c r="A225">
        <f>IF(COUNTBLANK(B225:Q225)&lt;&gt;COLUMNS(B225:Q225),224,"")</f>
        <v>0</v>
      </c>
    </row>
    <row r="226" spans="1:1">
      <c r="A226">
        <f>IF(COUNTBLANK(B226:Q226)&lt;&gt;COLUMNS(B226:Q226),225,"")</f>
        <v>0</v>
      </c>
    </row>
    <row r="227" spans="1:1">
      <c r="A227">
        <f>IF(COUNTBLANK(B227:Q227)&lt;&gt;COLUMNS(B227:Q227),226,"")</f>
        <v>0</v>
      </c>
    </row>
    <row r="228" spans="1:1">
      <c r="A228">
        <f>IF(COUNTBLANK(B228:Q228)&lt;&gt;COLUMNS(B228:Q228),227,"")</f>
        <v>0</v>
      </c>
    </row>
    <row r="229" spans="1:1">
      <c r="A229">
        <f>IF(COUNTBLANK(B229:Q229)&lt;&gt;COLUMNS(B229:Q229),228,"")</f>
        <v>0</v>
      </c>
    </row>
    <row r="230" spans="1:1">
      <c r="A230">
        <f>IF(COUNTBLANK(B230:Q230)&lt;&gt;COLUMNS(B230:Q230),229,"")</f>
        <v>0</v>
      </c>
    </row>
    <row r="231" spans="1:1">
      <c r="A231">
        <f>IF(COUNTBLANK(B231:Q231)&lt;&gt;COLUMNS(B231:Q231),230,"")</f>
        <v>0</v>
      </c>
    </row>
    <row r="232" spans="1:1">
      <c r="A232">
        <f>IF(COUNTBLANK(B232:Q232)&lt;&gt;COLUMNS(B232:Q232),231,"")</f>
        <v>0</v>
      </c>
    </row>
    <row r="233" spans="1:1">
      <c r="A233">
        <f>IF(COUNTBLANK(B233:Q233)&lt;&gt;COLUMNS(B233:Q233),232,"")</f>
        <v>0</v>
      </c>
    </row>
    <row r="234" spans="1:1">
      <c r="A234">
        <f>IF(COUNTBLANK(B234:Q234)&lt;&gt;COLUMNS(B234:Q234),233,"")</f>
        <v>0</v>
      </c>
    </row>
    <row r="235" spans="1:1">
      <c r="A235">
        <f>IF(COUNTBLANK(B235:Q235)&lt;&gt;COLUMNS(B235:Q235),234,"")</f>
        <v>0</v>
      </c>
    </row>
    <row r="236" spans="1:1">
      <c r="A236">
        <f>IF(COUNTBLANK(B236:Q236)&lt;&gt;COLUMNS(B236:Q236),235,"")</f>
        <v>0</v>
      </c>
    </row>
    <row r="237" spans="1:1">
      <c r="A237">
        <f>IF(COUNTBLANK(B237:Q237)&lt;&gt;COLUMNS(B237:Q237),236,"")</f>
        <v>0</v>
      </c>
    </row>
    <row r="238" spans="1:1">
      <c r="A238">
        <f>IF(COUNTBLANK(B238:Q238)&lt;&gt;COLUMNS(B238:Q238),237,"")</f>
        <v>0</v>
      </c>
    </row>
    <row r="239" spans="1:1">
      <c r="A239">
        <f>IF(COUNTBLANK(B239:Q239)&lt;&gt;COLUMNS(B239:Q239),238,"")</f>
        <v>0</v>
      </c>
    </row>
    <row r="240" spans="1:1">
      <c r="A240">
        <f>IF(COUNTBLANK(B240:Q240)&lt;&gt;COLUMNS(B240:Q240),239,"")</f>
        <v>0</v>
      </c>
    </row>
    <row r="241" spans="1:1">
      <c r="A241">
        <f>IF(COUNTBLANK(B241:Q241)&lt;&gt;COLUMNS(B241:Q241),240,"")</f>
        <v>0</v>
      </c>
    </row>
    <row r="242" spans="1:1">
      <c r="A242">
        <f>IF(COUNTBLANK(B242:Q242)&lt;&gt;COLUMNS(B242:Q242),241,"")</f>
        <v>0</v>
      </c>
    </row>
    <row r="243" spans="1:1">
      <c r="A243">
        <f>IF(COUNTBLANK(B243:Q243)&lt;&gt;COLUMNS(B243:Q243),242,"")</f>
        <v>0</v>
      </c>
    </row>
    <row r="244" spans="1:1">
      <c r="A244">
        <f>IF(COUNTBLANK(B244:Q244)&lt;&gt;COLUMNS(B244:Q244),243,"")</f>
        <v>0</v>
      </c>
    </row>
    <row r="245" spans="1:1">
      <c r="A245">
        <f>IF(COUNTBLANK(B245:Q245)&lt;&gt;COLUMNS(B245:Q245),244,"")</f>
        <v>0</v>
      </c>
    </row>
    <row r="246" spans="1:1">
      <c r="A246">
        <f>IF(COUNTBLANK(B246:Q246)&lt;&gt;COLUMNS(B246:Q246),245,"")</f>
        <v>0</v>
      </c>
    </row>
    <row r="247" spans="1:1">
      <c r="A247">
        <f>IF(COUNTBLANK(B247:Q247)&lt;&gt;COLUMNS(B247:Q247),246,"")</f>
        <v>0</v>
      </c>
    </row>
    <row r="248" spans="1:1">
      <c r="A248">
        <f>IF(COUNTBLANK(B248:Q248)&lt;&gt;COLUMNS(B248:Q248),247,"")</f>
        <v>0</v>
      </c>
    </row>
    <row r="249" spans="1:1">
      <c r="A249">
        <f>IF(COUNTBLANK(B249:Q249)&lt;&gt;COLUMNS(B249:Q249),248,"")</f>
        <v>0</v>
      </c>
    </row>
    <row r="250" spans="1:1">
      <c r="A250">
        <f>IF(COUNTBLANK(B250:Q250)&lt;&gt;COLUMNS(B250:Q250),249,"")</f>
        <v>0</v>
      </c>
    </row>
    <row r="251" spans="1:1">
      <c r="A251">
        <f>IF(COUNTBLANK(B251:Q251)&lt;&gt;COLUMNS(B251:Q251),250,"")</f>
        <v>0</v>
      </c>
    </row>
    <row r="252" spans="1:1">
      <c r="A252">
        <f>IF(COUNTBLANK(B252:Q252)&lt;&gt;COLUMNS(B252:Q252),251,"")</f>
        <v>0</v>
      </c>
    </row>
    <row r="253" spans="1:1">
      <c r="A253">
        <f>IF(COUNTBLANK(B253:Q253)&lt;&gt;COLUMNS(B253:Q253),252,"")</f>
        <v>0</v>
      </c>
    </row>
    <row r="254" spans="1:1">
      <c r="A254">
        <f>IF(COUNTBLANK(B254:Q254)&lt;&gt;COLUMNS(B254:Q254),253,"")</f>
        <v>0</v>
      </c>
    </row>
    <row r="255" spans="1:1">
      <c r="A255">
        <f>IF(COUNTBLANK(B255:Q255)&lt;&gt;COLUMNS(B255:Q255),254,"")</f>
        <v>0</v>
      </c>
    </row>
    <row r="256" spans="1:1">
      <c r="A256">
        <f>IF(COUNTBLANK(B256:Q256)&lt;&gt;COLUMNS(B256:Q256),255,"")</f>
        <v>0</v>
      </c>
    </row>
    <row r="257" spans="1:1">
      <c r="A257">
        <f>IF(COUNTBLANK(B257:Q257)&lt;&gt;COLUMNS(B257:Q257),256,"")</f>
        <v>0</v>
      </c>
    </row>
    <row r="258" spans="1:1">
      <c r="A258">
        <f>IF(COUNTBLANK(B258:Q258)&lt;&gt;COLUMNS(B258:Q258),257,"")</f>
        <v>0</v>
      </c>
    </row>
    <row r="259" spans="1:1">
      <c r="A259">
        <f>IF(COUNTBLANK(B259:Q259)&lt;&gt;COLUMNS(B259:Q259),258,"")</f>
        <v>0</v>
      </c>
    </row>
    <row r="260" spans="1:1">
      <c r="A260">
        <f>IF(COUNTBLANK(B260:Q260)&lt;&gt;COLUMNS(B260:Q260),259,"")</f>
        <v>0</v>
      </c>
    </row>
    <row r="261" spans="1:1">
      <c r="A261">
        <f>IF(COUNTBLANK(B261:Q261)&lt;&gt;COLUMNS(B261:Q261),260,"")</f>
        <v>0</v>
      </c>
    </row>
    <row r="262" spans="1:1">
      <c r="A262">
        <f>IF(COUNTBLANK(B262:Q262)&lt;&gt;COLUMNS(B262:Q262),261,"")</f>
        <v>0</v>
      </c>
    </row>
    <row r="263" spans="1:1">
      <c r="A263">
        <f>IF(COUNTBLANK(B263:Q263)&lt;&gt;COLUMNS(B263:Q263),262,"")</f>
        <v>0</v>
      </c>
    </row>
    <row r="264" spans="1:1">
      <c r="A264">
        <f>IF(COUNTBLANK(B264:Q264)&lt;&gt;COLUMNS(B264:Q264),263,"")</f>
        <v>0</v>
      </c>
    </row>
    <row r="265" spans="1:1">
      <c r="A265">
        <f>IF(COUNTBLANK(B265:Q265)&lt;&gt;COLUMNS(B265:Q265),264,"")</f>
        <v>0</v>
      </c>
    </row>
    <row r="266" spans="1:1">
      <c r="A266">
        <f>IF(COUNTBLANK(B266:Q266)&lt;&gt;COLUMNS(B266:Q266),265,"")</f>
        <v>0</v>
      </c>
    </row>
    <row r="267" spans="1:1">
      <c r="A267">
        <f>IF(COUNTBLANK(B267:Q267)&lt;&gt;COLUMNS(B267:Q267),266,"")</f>
        <v>0</v>
      </c>
    </row>
    <row r="268" spans="1:1">
      <c r="A268">
        <f>IF(COUNTBLANK(B268:Q268)&lt;&gt;COLUMNS(B268:Q268),267,"")</f>
        <v>0</v>
      </c>
    </row>
    <row r="269" spans="1:1">
      <c r="A269">
        <f>IF(COUNTBLANK(B269:Q269)&lt;&gt;COLUMNS(B269:Q269),268,"")</f>
        <v>0</v>
      </c>
    </row>
    <row r="270" spans="1:1">
      <c r="A270">
        <f>IF(COUNTBLANK(B270:Q270)&lt;&gt;COLUMNS(B270:Q270),269,"")</f>
        <v>0</v>
      </c>
    </row>
    <row r="271" spans="1:1">
      <c r="A271">
        <f>IF(COUNTBLANK(B271:Q271)&lt;&gt;COLUMNS(B271:Q271),270,"")</f>
        <v>0</v>
      </c>
    </row>
    <row r="272" spans="1:1">
      <c r="A272">
        <f>IF(COUNTBLANK(B272:Q272)&lt;&gt;COLUMNS(B272:Q272),271,"")</f>
        <v>0</v>
      </c>
    </row>
    <row r="273" spans="1:1">
      <c r="A273">
        <f>IF(COUNTBLANK(B273:Q273)&lt;&gt;COLUMNS(B273:Q273),272,"")</f>
        <v>0</v>
      </c>
    </row>
    <row r="274" spans="1:1">
      <c r="A274">
        <f>IF(COUNTBLANK(B274:Q274)&lt;&gt;COLUMNS(B274:Q274),273,"")</f>
        <v>0</v>
      </c>
    </row>
    <row r="275" spans="1:1">
      <c r="A275">
        <f>IF(COUNTBLANK(B275:Q275)&lt;&gt;COLUMNS(B275:Q275),274,"")</f>
        <v>0</v>
      </c>
    </row>
    <row r="276" spans="1:1">
      <c r="A276">
        <f>IF(COUNTBLANK(B276:Q276)&lt;&gt;COLUMNS(B276:Q276),275,"")</f>
        <v>0</v>
      </c>
    </row>
    <row r="277" spans="1:1">
      <c r="A277">
        <f>IF(COUNTBLANK(B277:Q277)&lt;&gt;COLUMNS(B277:Q277),276,"")</f>
        <v>0</v>
      </c>
    </row>
    <row r="278" spans="1:1">
      <c r="A278">
        <f>IF(COUNTBLANK(B278:Q278)&lt;&gt;COLUMNS(B278:Q278),277,"")</f>
        <v>0</v>
      </c>
    </row>
    <row r="279" spans="1:1">
      <c r="A279">
        <f>IF(COUNTBLANK(B279:Q279)&lt;&gt;COLUMNS(B279:Q279),278,"")</f>
        <v>0</v>
      </c>
    </row>
    <row r="280" spans="1:1">
      <c r="A280">
        <f>IF(COUNTBLANK(B280:Q280)&lt;&gt;COLUMNS(B280:Q280),279,"")</f>
        <v>0</v>
      </c>
    </row>
    <row r="281" spans="1:1">
      <c r="A281">
        <f>IF(COUNTBLANK(B281:Q281)&lt;&gt;COLUMNS(B281:Q281),280,"")</f>
        <v>0</v>
      </c>
    </row>
    <row r="282" spans="1:1">
      <c r="A282">
        <f>IF(COUNTBLANK(B282:Q282)&lt;&gt;COLUMNS(B282:Q282),281,"")</f>
        <v>0</v>
      </c>
    </row>
    <row r="283" spans="1:1">
      <c r="A283">
        <f>IF(COUNTBLANK(B283:Q283)&lt;&gt;COLUMNS(B283:Q283),282,"")</f>
        <v>0</v>
      </c>
    </row>
    <row r="284" spans="1:1">
      <c r="A284">
        <f>IF(COUNTBLANK(B284:Q284)&lt;&gt;COLUMNS(B284:Q284),283,"")</f>
        <v>0</v>
      </c>
    </row>
    <row r="285" spans="1:1">
      <c r="A285">
        <f>IF(COUNTBLANK(B285:Q285)&lt;&gt;COLUMNS(B285:Q285),284,"")</f>
        <v>0</v>
      </c>
    </row>
    <row r="286" spans="1:1">
      <c r="A286">
        <f>IF(COUNTBLANK(B286:Q286)&lt;&gt;COLUMNS(B286:Q286),285,"")</f>
        <v>0</v>
      </c>
    </row>
    <row r="287" spans="1:1">
      <c r="A287">
        <f>IF(COUNTBLANK(B287:Q287)&lt;&gt;COLUMNS(B287:Q287),286,"")</f>
        <v>0</v>
      </c>
    </row>
    <row r="288" spans="1:1">
      <c r="A288">
        <f>IF(COUNTBLANK(B288:Q288)&lt;&gt;COLUMNS(B288:Q288),287,"")</f>
        <v>0</v>
      </c>
    </row>
    <row r="289" spans="1:1">
      <c r="A289">
        <f>IF(COUNTBLANK(B289:Q289)&lt;&gt;COLUMNS(B289:Q289),288,"")</f>
        <v>0</v>
      </c>
    </row>
    <row r="290" spans="1:1">
      <c r="A290">
        <f>IF(COUNTBLANK(B290:Q290)&lt;&gt;COLUMNS(B290:Q290),289,"")</f>
        <v>0</v>
      </c>
    </row>
    <row r="291" spans="1:1">
      <c r="A291">
        <f>IF(COUNTBLANK(B291:Q291)&lt;&gt;COLUMNS(B291:Q291),290,"")</f>
        <v>0</v>
      </c>
    </row>
    <row r="292" spans="1:1">
      <c r="A292">
        <f>IF(COUNTBLANK(B292:Q292)&lt;&gt;COLUMNS(B292:Q292),291,"")</f>
        <v>0</v>
      </c>
    </row>
    <row r="293" spans="1:1">
      <c r="A293">
        <f>IF(COUNTBLANK(B293:Q293)&lt;&gt;COLUMNS(B293:Q293),292,"")</f>
        <v>0</v>
      </c>
    </row>
    <row r="294" spans="1:1">
      <c r="A294">
        <f>IF(COUNTBLANK(B294:Q294)&lt;&gt;COLUMNS(B294:Q294),293,"")</f>
        <v>0</v>
      </c>
    </row>
    <row r="295" spans="1:1">
      <c r="A295">
        <f>IF(COUNTBLANK(B295:Q295)&lt;&gt;COLUMNS(B295:Q295),294,"")</f>
        <v>0</v>
      </c>
    </row>
    <row r="296" spans="1:1">
      <c r="A296">
        <f>IF(COUNTBLANK(B296:Q296)&lt;&gt;COLUMNS(B296:Q296),295,"")</f>
        <v>0</v>
      </c>
    </row>
    <row r="297" spans="1:1">
      <c r="A297">
        <f>IF(COUNTBLANK(B297:Q297)&lt;&gt;COLUMNS(B297:Q297),296,"")</f>
        <v>0</v>
      </c>
    </row>
    <row r="298" spans="1:1">
      <c r="A298">
        <f>IF(COUNTBLANK(B298:Q298)&lt;&gt;COLUMNS(B298:Q298),297,"")</f>
        <v>0</v>
      </c>
    </row>
    <row r="299" spans="1:1">
      <c r="A299">
        <f>IF(COUNTBLANK(B299:Q299)&lt;&gt;COLUMNS(B299:Q299),298,"")</f>
        <v>0</v>
      </c>
    </row>
    <row r="300" spans="1:1">
      <c r="A300">
        <f>IF(COUNTBLANK(B300:Q300)&lt;&gt;COLUMNS(B300:Q300),299,"")</f>
        <v>0</v>
      </c>
    </row>
    <row r="301" spans="1:1">
      <c r="A301">
        <f>IF(COUNTBLANK(B301:Q301)&lt;&gt;COLUMNS(B301:Q301),300,"")</f>
        <v>0</v>
      </c>
    </row>
    <row r="302" spans="1:1">
      <c r="A302">
        <f>IF(COUNTBLANK(B302:Q302)&lt;&gt;COLUMNS(B302:Q302),301,"")</f>
        <v>0</v>
      </c>
    </row>
    <row r="303" spans="1:1">
      <c r="A303">
        <f>IF(COUNTBLANK(B303:Q303)&lt;&gt;COLUMNS(B303:Q303),302,"")</f>
        <v>0</v>
      </c>
    </row>
    <row r="304" spans="1:1">
      <c r="A304">
        <f>IF(COUNTBLANK(B304:Q304)&lt;&gt;COLUMNS(B304:Q304),303,"")</f>
        <v>0</v>
      </c>
    </row>
    <row r="305" spans="1:1">
      <c r="A305">
        <f>IF(COUNTBLANK(B305:Q305)&lt;&gt;COLUMNS(B305:Q305),304,"")</f>
        <v>0</v>
      </c>
    </row>
    <row r="306" spans="1:1">
      <c r="A306">
        <f>IF(COUNTBLANK(B306:Q306)&lt;&gt;COLUMNS(B306:Q306),305,"")</f>
        <v>0</v>
      </c>
    </row>
    <row r="307" spans="1:1">
      <c r="A307">
        <f>IF(COUNTBLANK(B307:Q307)&lt;&gt;COLUMNS(B307:Q307),306,"")</f>
        <v>0</v>
      </c>
    </row>
    <row r="308" spans="1:1">
      <c r="A308">
        <f>IF(COUNTBLANK(B308:Q308)&lt;&gt;COLUMNS(B308:Q308),307,"")</f>
        <v>0</v>
      </c>
    </row>
    <row r="309" spans="1:1">
      <c r="A309">
        <f>IF(COUNTBLANK(B309:Q309)&lt;&gt;COLUMNS(B309:Q309),308,"")</f>
        <v>0</v>
      </c>
    </row>
    <row r="310" spans="1:1">
      <c r="A310">
        <f>IF(COUNTBLANK(B310:Q310)&lt;&gt;COLUMNS(B310:Q310),309,"")</f>
        <v>0</v>
      </c>
    </row>
    <row r="311" spans="1:1">
      <c r="A311">
        <f>IF(COUNTBLANK(B311:Q311)&lt;&gt;COLUMNS(B311:Q311),310,"")</f>
        <v>0</v>
      </c>
    </row>
    <row r="312" spans="1:1">
      <c r="A312">
        <f>IF(COUNTBLANK(B312:Q312)&lt;&gt;COLUMNS(B312:Q312),311,"")</f>
        <v>0</v>
      </c>
    </row>
    <row r="313" spans="1:1">
      <c r="A313">
        <f>IF(COUNTBLANK(B313:Q313)&lt;&gt;COLUMNS(B313:Q313),312,"")</f>
        <v>0</v>
      </c>
    </row>
    <row r="314" spans="1:1">
      <c r="A314">
        <f>IF(COUNTBLANK(B314:Q314)&lt;&gt;COLUMNS(B314:Q314),313,"")</f>
        <v>0</v>
      </c>
    </row>
    <row r="315" spans="1:1">
      <c r="A315">
        <f>IF(COUNTBLANK(B315:Q315)&lt;&gt;COLUMNS(B315:Q315),314,"")</f>
        <v>0</v>
      </c>
    </row>
    <row r="316" spans="1:1">
      <c r="A316">
        <f>IF(COUNTBLANK(B316:Q316)&lt;&gt;COLUMNS(B316:Q316),315,"")</f>
        <v>0</v>
      </c>
    </row>
    <row r="317" spans="1:1">
      <c r="A317">
        <f>IF(COUNTBLANK(B317:Q317)&lt;&gt;COLUMNS(B317:Q317),316,"")</f>
        <v>0</v>
      </c>
    </row>
    <row r="318" spans="1:1">
      <c r="A318">
        <f>IF(COUNTBLANK(B318:Q318)&lt;&gt;COLUMNS(B318:Q318),317,"")</f>
        <v>0</v>
      </c>
    </row>
    <row r="319" spans="1:1">
      <c r="A319">
        <f>IF(COUNTBLANK(B319:Q319)&lt;&gt;COLUMNS(B319:Q319),318,"")</f>
        <v>0</v>
      </c>
    </row>
    <row r="320" spans="1:1">
      <c r="A320">
        <f>IF(COUNTBLANK(B320:Q320)&lt;&gt;COLUMNS(B320:Q320),319,"")</f>
        <v>0</v>
      </c>
    </row>
    <row r="321" spans="1:1">
      <c r="A321">
        <f>IF(COUNTBLANK(B321:Q321)&lt;&gt;COLUMNS(B321:Q321),320,"")</f>
        <v>0</v>
      </c>
    </row>
    <row r="322" spans="1:1">
      <c r="A322">
        <f>IF(COUNTBLANK(B322:Q322)&lt;&gt;COLUMNS(B322:Q322),321,"")</f>
        <v>0</v>
      </c>
    </row>
    <row r="323" spans="1:1">
      <c r="A323">
        <f>IF(COUNTBLANK(B323:Q323)&lt;&gt;COLUMNS(B323:Q323),322,"")</f>
        <v>0</v>
      </c>
    </row>
    <row r="324" spans="1:1">
      <c r="A324">
        <f>IF(COUNTBLANK(B324:Q324)&lt;&gt;COLUMNS(B324:Q324),323,"")</f>
        <v>0</v>
      </c>
    </row>
    <row r="325" spans="1:1">
      <c r="A325">
        <f>IF(COUNTBLANK(B325:Q325)&lt;&gt;COLUMNS(B325:Q325),324,"")</f>
        <v>0</v>
      </c>
    </row>
    <row r="326" spans="1:1">
      <c r="A326">
        <f>IF(COUNTBLANK(B326:Q326)&lt;&gt;COLUMNS(B326:Q326),325,"")</f>
        <v>0</v>
      </c>
    </row>
    <row r="327" spans="1:1">
      <c r="A327">
        <f>IF(COUNTBLANK(B327:Q327)&lt;&gt;COLUMNS(B327:Q327),326,"")</f>
        <v>0</v>
      </c>
    </row>
    <row r="328" spans="1:1">
      <c r="A328">
        <f>IF(COUNTBLANK(B328:Q328)&lt;&gt;COLUMNS(B328:Q328),327,"")</f>
        <v>0</v>
      </c>
    </row>
    <row r="329" spans="1:1">
      <c r="A329">
        <f>IF(COUNTBLANK(B329:Q329)&lt;&gt;COLUMNS(B329:Q329),328,"")</f>
        <v>0</v>
      </c>
    </row>
    <row r="330" spans="1:1">
      <c r="A330">
        <f>IF(COUNTBLANK(B330:Q330)&lt;&gt;COLUMNS(B330:Q330),329,"")</f>
        <v>0</v>
      </c>
    </row>
    <row r="331" spans="1:1">
      <c r="A331">
        <f>IF(COUNTBLANK(B331:Q331)&lt;&gt;COLUMNS(B331:Q331),330,"")</f>
        <v>0</v>
      </c>
    </row>
    <row r="332" spans="1:1">
      <c r="A332">
        <f>IF(COUNTBLANK(B332:Q332)&lt;&gt;COLUMNS(B332:Q332),331,"")</f>
        <v>0</v>
      </c>
    </row>
    <row r="333" spans="1:1">
      <c r="A333">
        <f>IF(COUNTBLANK(B333:Q333)&lt;&gt;COLUMNS(B333:Q333),332,"")</f>
        <v>0</v>
      </c>
    </row>
    <row r="334" spans="1:1">
      <c r="A334">
        <f>IF(COUNTBLANK(B334:Q334)&lt;&gt;COLUMNS(B334:Q334),333,"")</f>
        <v>0</v>
      </c>
    </row>
    <row r="335" spans="1:1">
      <c r="A335">
        <f>IF(COUNTBLANK(B335:Q335)&lt;&gt;COLUMNS(B335:Q335),334,"")</f>
        <v>0</v>
      </c>
    </row>
    <row r="336" spans="1:1">
      <c r="A336">
        <f>IF(COUNTBLANK(B336:Q336)&lt;&gt;COLUMNS(B336:Q336),335,"")</f>
        <v>0</v>
      </c>
    </row>
    <row r="337" spans="1:1">
      <c r="A337">
        <f>IF(COUNTBLANK(B337:Q337)&lt;&gt;COLUMNS(B337:Q337),336,"")</f>
        <v>0</v>
      </c>
    </row>
    <row r="338" spans="1:1">
      <c r="A338">
        <f>IF(COUNTBLANK(B338:Q338)&lt;&gt;COLUMNS(B338:Q338),337,"")</f>
        <v>0</v>
      </c>
    </row>
    <row r="339" spans="1:1">
      <c r="A339">
        <f>IF(COUNTBLANK(B339:Q339)&lt;&gt;COLUMNS(B339:Q339),338,"")</f>
        <v>0</v>
      </c>
    </row>
    <row r="340" spans="1:1">
      <c r="A340">
        <f>IF(COUNTBLANK(B340:Q340)&lt;&gt;COLUMNS(B340:Q340),339,"")</f>
        <v>0</v>
      </c>
    </row>
    <row r="341" spans="1:1">
      <c r="A341">
        <f>IF(COUNTBLANK(B341:Q341)&lt;&gt;COLUMNS(B341:Q341),340,"")</f>
        <v>0</v>
      </c>
    </row>
    <row r="342" spans="1:1">
      <c r="A342">
        <f>IF(COUNTBLANK(B342:Q342)&lt;&gt;COLUMNS(B342:Q342),341,"")</f>
        <v>0</v>
      </c>
    </row>
    <row r="343" spans="1:1">
      <c r="A343">
        <f>IF(COUNTBLANK(B343:Q343)&lt;&gt;COLUMNS(B343:Q343),342,"")</f>
        <v>0</v>
      </c>
    </row>
    <row r="344" spans="1:1">
      <c r="A344">
        <f>IF(COUNTBLANK(B344:Q344)&lt;&gt;COLUMNS(B344:Q344),343,"")</f>
        <v>0</v>
      </c>
    </row>
    <row r="345" spans="1:1">
      <c r="A345">
        <f>IF(COUNTBLANK(B345:Q345)&lt;&gt;COLUMNS(B345:Q345),344,"")</f>
        <v>0</v>
      </c>
    </row>
    <row r="346" spans="1:1">
      <c r="A346">
        <f>IF(COUNTBLANK(B346:Q346)&lt;&gt;COLUMNS(B346:Q346),345,"")</f>
        <v>0</v>
      </c>
    </row>
    <row r="347" spans="1:1">
      <c r="A347">
        <f>IF(COUNTBLANK(B347:Q347)&lt;&gt;COLUMNS(B347:Q347),346,"")</f>
        <v>0</v>
      </c>
    </row>
    <row r="348" spans="1:1">
      <c r="A348">
        <f>IF(COUNTBLANK(B348:Q348)&lt;&gt;COLUMNS(B348:Q348),347,"")</f>
        <v>0</v>
      </c>
    </row>
    <row r="349" spans="1:1">
      <c r="A349">
        <f>IF(COUNTBLANK(B349:Q349)&lt;&gt;COLUMNS(B349:Q349),348,"")</f>
        <v>0</v>
      </c>
    </row>
    <row r="350" spans="1:1">
      <c r="A350">
        <f>IF(COUNTBLANK(B350:Q350)&lt;&gt;COLUMNS(B350:Q350),349,"")</f>
        <v>0</v>
      </c>
    </row>
    <row r="351" spans="1:1">
      <c r="A351">
        <f>IF(COUNTBLANK(B351:Q351)&lt;&gt;COLUMNS(B351:Q351),350,"")</f>
        <v>0</v>
      </c>
    </row>
    <row r="352" spans="1:1">
      <c r="A352">
        <f>IF(COUNTBLANK(B352:Q352)&lt;&gt;COLUMNS(B352:Q352),351,"")</f>
        <v>0</v>
      </c>
    </row>
    <row r="353" spans="1:1">
      <c r="A353">
        <f>IF(COUNTBLANK(B353:Q353)&lt;&gt;COLUMNS(B353:Q353),352,"")</f>
        <v>0</v>
      </c>
    </row>
    <row r="354" spans="1:1">
      <c r="A354">
        <f>IF(COUNTBLANK(B354:Q354)&lt;&gt;COLUMNS(B354:Q354),353,"")</f>
        <v>0</v>
      </c>
    </row>
    <row r="355" spans="1:1">
      <c r="A355">
        <f>IF(COUNTBLANK(B355:Q355)&lt;&gt;COLUMNS(B355:Q355),354,"")</f>
        <v>0</v>
      </c>
    </row>
    <row r="356" spans="1:1">
      <c r="A356">
        <f>IF(COUNTBLANK(B356:Q356)&lt;&gt;COLUMNS(B356:Q356),355,"")</f>
        <v>0</v>
      </c>
    </row>
    <row r="357" spans="1:1">
      <c r="A357">
        <f>IF(COUNTBLANK(B357:Q357)&lt;&gt;COLUMNS(B357:Q357),356,"")</f>
        <v>0</v>
      </c>
    </row>
    <row r="358" spans="1:1">
      <c r="A358">
        <f>IF(COUNTBLANK(B358:Q358)&lt;&gt;COLUMNS(B358:Q358),357,"")</f>
        <v>0</v>
      </c>
    </row>
    <row r="359" spans="1:1">
      <c r="A359">
        <f>IF(COUNTBLANK(B359:Q359)&lt;&gt;COLUMNS(B359:Q359),358,"")</f>
        <v>0</v>
      </c>
    </row>
    <row r="360" spans="1:1">
      <c r="A360">
        <f>IF(COUNTBLANK(B360:Q360)&lt;&gt;COLUMNS(B360:Q360),359,"")</f>
        <v>0</v>
      </c>
    </row>
    <row r="361" spans="1:1">
      <c r="A361">
        <f>IF(COUNTBLANK(B361:Q361)&lt;&gt;COLUMNS(B361:Q361),360,"")</f>
        <v>0</v>
      </c>
    </row>
    <row r="362" spans="1:1">
      <c r="A362">
        <f>IF(COUNTBLANK(B362:Q362)&lt;&gt;COLUMNS(B362:Q362),361,"")</f>
        <v>0</v>
      </c>
    </row>
    <row r="363" spans="1:1">
      <c r="A363">
        <f>IF(COUNTBLANK(B363:Q363)&lt;&gt;COLUMNS(B363:Q363),362,"")</f>
        <v>0</v>
      </c>
    </row>
    <row r="364" spans="1:1">
      <c r="A364">
        <f>IF(COUNTBLANK(B364:Q364)&lt;&gt;COLUMNS(B364:Q364),363,"")</f>
        <v>0</v>
      </c>
    </row>
    <row r="365" spans="1:1">
      <c r="A365">
        <f>IF(COUNTBLANK(B365:Q365)&lt;&gt;COLUMNS(B365:Q365),364,"")</f>
        <v>0</v>
      </c>
    </row>
    <row r="366" spans="1:1">
      <c r="A366">
        <f>IF(COUNTBLANK(B366:Q366)&lt;&gt;COLUMNS(B366:Q366),365,"")</f>
        <v>0</v>
      </c>
    </row>
    <row r="367" spans="1:1">
      <c r="A367">
        <f>IF(COUNTBLANK(B367:Q367)&lt;&gt;COLUMNS(B367:Q367),366,"")</f>
        <v>0</v>
      </c>
    </row>
    <row r="368" spans="1:1">
      <c r="A368">
        <f>IF(COUNTBLANK(B368:Q368)&lt;&gt;COLUMNS(B368:Q368),367,"")</f>
        <v>0</v>
      </c>
    </row>
    <row r="369" spans="1:1">
      <c r="A369">
        <f>IF(COUNTBLANK(B369:Q369)&lt;&gt;COLUMNS(B369:Q369),368,"")</f>
        <v>0</v>
      </c>
    </row>
    <row r="370" spans="1:1">
      <c r="A370">
        <f>IF(COUNTBLANK(B370:Q370)&lt;&gt;COLUMNS(B370:Q370),369,"")</f>
        <v>0</v>
      </c>
    </row>
    <row r="371" spans="1:1">
      <c r="A371">
        <f>IF(COUNTBLANK(B371:Q371)&lt;&gt;COLUMNS(B371:Q371),370,"")</f>
        <v>0</v>
      </c>
    </row>
    <row r="372" spans="1:1">
      <c r="A372">
        <f>IF(COUNTBLANK(B372:Q372)&lt;&gt;COLUMNS(B372:Q372),371,"")</f>
        <v>0</v>
      </c>
    </row>
    <row r="373" spans="1:1">
      <c r="A373">
        <f>IF(COUNTBLANK(B373:Q373)&lt;&gt;COLUMNS(B373:Q373),372,"")</f>
        <v>0</v>
      </c>
    </row>
    <row r="374" spans="1:1">
      <c r="A374">
        <f>IF(COUNTBLANK(B374:Q374)&lt;&gt;COLUMNS(B374:Q374),373,"")</f>
        <v>0</v>
      </c>
    </row>
    <row r="375" spans="1:1">
      <c r="A375">
        <f>IF(COUNTBLANK(B375:Q375)&lt;&gt;COLUMNS(B375:Q375),374,"")</f>
        <v>0</v>
      </c>
    </row>
    <row r="376" spans="1:1">
      <c r="A376">
        <f>IF(COUNTBLANK(B376:Q376)&lt;&gt;COLUMNS(B376:Q376),375,"")</f>
        <v>0</v>
      </c>
    </row>
    <row r="377" spans="1:1">
      <c r="A377">
        <f>IF(COUNTBLANK(B377:Q377)&lt;&gt;COLUMNS(B377:Q377),376,"")</f>
        <v>0</v>
      </c>
    </row>
    <row r="378" spans="1:1">
      <c r="A378">
        <f>IF(COUNTBLANK(B378:Q378)&lt;&gt;COLUMNS(B378:Q378),377,"")</f>
        <v>0</v>
      </c>
    </row>
    <row r="379" spans="1:1">
      <c r="A379">
        <f>IF(COUNTBLANK(B379:Q379)&lt;&gt;COLUMNS(B379:Q379),378,"")</f>
        <v>0</v>
      </c>
    </row>
    <row r="380" spans="1:1">
      <c r="A380">
        <f>IF(COUNTBLANK(B380:Q380)&lt;&gt;COLUMNS(B380:Q380),379,"")</f>
        <v>0</v>
      </c>
    </row>
    <row r="381" spans="1:1">
      <c r="A381">
        <f>IF(COUNTBLANK(B381:Q381)&lt;&gt;COLUMNS(B381:Q381),380,"")</f>
        <v>0</v>
      </c>
    </row>
    <row r="382" spans="1:1">
      <c r="A382">
        <f>IF(COUNTBLANK(B382:Q382)&lt;&gt;COLUMNS(B382:Q382),381,"")</f>
        <v>0</v>
      </c>
    </row>
    <row r="383" spans="1:1">
      <c r="A383">
        <f>IF(COUNTBLANK(B383:Q383)&lt;&gt;COLUMNS(B383:Q383),382,"")</f>
        <v>0</v>
      </c>
    </row>
    <row r="384" spans="1:1">
      <c r="A384">
        <f>IF(COUNTBLANK(B384:Q384)&lt;&gt;COLUMNS(B384:Q384),383,"")</f>
        <v>0</v>
      </c>
    </row>
    <row r="385" spans="1:1">
      <c r="A385">
        <f>IF(COUNTBLANK(B385:Q385)&lt;&gt;COLUMNS(B385:Q385),384,"")</f>
        <v>0</v>
      </c>
    </row>
    <row r="386" spans="1:1">
      <c r="A386">
        <f>IF(COUNTBLANK(B386:Q386)&lt;&gt;COLUMNS(B386:Q386),385,"")</f>
        <v>0</v>
      </c>
    </row>
    <row r="387" spans="1:1">
      <c r="A387">
        <f>IF(COUNTBLANK(B387:Q387)&lt;&gt;COLUMNS(B387:Q387),386,"")</f>
        <v>0</v>
      </c>
    </row>
    <row r="388" spans="1:1">
      <c r="A388">
        <f>IF(COUNTBLANK(B388:Q388)&lt;&gt;COLUMNS(B388:Q388),387,"")</f>
        <v>0</v>
      </c>
    </row>
    <row r="389" spans="1:1">
      <c r="A389">
        <f>IF(COUNTBLANK(B389:Q389)&lt;&gt;COLUMNS(B389:Q389),388,"")</f>
        <v>0</v>
      </c>
    </row>
    <row r="390" spans="1:1">
      <c r="A390">
        <f>IF(COUNTBLANK(B390:Q390)&lt;&gt;COLUMNS(B390:Q390),389,"")</f>
        <v>0</v>
      </c>
    </row>
    <row r="391" spans="1:1">
      <c r="A391">
        <f>IF(COUNTBLANK(B391:Q391)&lt;&gt;COLUMNS(B391:Q391),390,"")</f>
        <v>0</v>
      </c>
    </row>
    <row r="392" spans="1:1">
      <c r="A392">
        <f>IF(COUNTBLANK(B392:Q392)&lt;&gt;COLUMNS(B392:Q392),391,"")</f>
        <v>0</v>
      </c>
    </row>
    <row r="393" spans="1:1">
      <c r="A393">
        <f>IF(COUNTBLANK(B393:Q393)&lt;&gt;COLUMNS(B393:Q393),392,"")</f>
        <v>0</v>
      </c>
    </row>
    <row r="394" spans="1:1">
      <c r="A394">
        <f>IF(COUNTBLANK(B394:Q394)&lt;&gt;COLUMNS(B394:Q394),393,"")</f>
        <v>0</v>
      </c>
    </row>
    <row r="395" spans="1:1">
      <c r="A395">
        <f>IF(COUNTBLANK(B395:Q395)&lt;&gt;COLUMNS(B395:Q395),394,"")</f>
        <v>0</v>
      </c>
    </row>
    <row r="396" spans="1:1">
      <c r="A396">
        <f>IF(COUNTBLANK(B396:Q396)&lt;&gt;COLUMNS(B396:Q396),395,"")</f>
        <v>0</v>
      </c>
    </row>
    <row r="397" spans="1:1">
      <c r="A397">
        <f>IF(COUNTBLANK(B397:Q397)&lt;&gt;COLUMNS(B397:Q397),396,"")</f>
        <v>0</v>
      </c>
    </row>
    <row r="398" spans="1:1">
      <c r="A398">
        <f>IF(COUNTBLANK(B398:Q398)&lt;&gt;COLUMNS(B398:Q398),397,"")</f>
        <v>0</v>
      </c>
    </row>
    <row r="399" spans="1:1">
      <c r="A399">
        <f>IF(COUNTBLANK(B399:Q399)&lt;&gt;COLUMNS(B399:Q399),398,"")</f>
        <v>0</v>
      </c>
    </row>
    <row r="400" spans="1:1">
      <c r="A400">
        <f>IF(COUNTBLANK(B400:Q400)&lt;&gt;COLUMNS(B400:Q400),399,"")</f>
        <v>0</v>
      </c>
    </row>
    <row r="401" spans="1:1">
      <c r="A401">
        <f>IF(COUNTBLANK(B401:Q401)&lt;&gt;COLUMNS(B401:Q401),400,"")</f>
        <v>0</v>
      </c>
    </row>
    <row r="402" spans="1:1">
      <c r="A402">
        <f>IF(COUNTBLANK(B402:Q402)&lt;&gt;COLUMNS(B402:Q402),401,"")</f>
        <v>0</v>
      </c>
    </row>
    <row r="403" spans="1:1">
      <c r="A403">
        <f>IF(COUNTBLANK(B403:Q403)&lt;&gt;COLUMNS(B403:Q403),402,"")</f>
        <v>0</v>
      </c>
    </row>
    <row r="404" spans="1:1">
      <c r="A404">
        <f>IF(COUNTBLANK(B404:Q404)&lt;&gt;COLUMNS(B404:Q404),403,"")</f>
        <v>0</v>
      </c>
    </row>
    <row r="405" spans="1:1">
      <c r="A405">
        <f>IF(COUNTBLANK(B405:Q405)&lt;&gt;COLUMNS(B405:Q405),404,"")</f>
        <v>0</v>
      </c>
    </row>
    <row r="406" spans="1:1">
      <c r="A406">
        <f>IF(COUNTBLANK(B406:Q406)&lt;&gt;COLUMNS(B406:Q406),405,"")</f>
        <v>0</v>
      </c>
    </row>
    <row r="407" spans="1:1">
      <c r="A407">
        <f>IF(COUNTBLANK(B407:Q407)&lt;&gt;COLUMNS(B407:Q407),406,"")</f>
        <v>0</v>
      </c>
    </row>
    <row r="408" spans="1:1">
      <c r="A408">
        <f>IF(COUNTBLANK(B408:Q408)&lt;&gt;COLUMNS(B408:Q408),407,"")</f>
        <v>0</v>
      </c>
    </row>
    <row r="409" spans="1:1">
      <c r="A409">
        <f>IF(COUNTBLANK(B409:Q409)&lt;&gt;COLUMNS(B409:Q409),408,"")</f>
        <v>0</v>
      </c>
    </row>
    <row r="410" spans="1:1">
      <c r="A410">
        <f>IF(COUNTBLANK(B410:Q410)&lt;&gt;COLUMNS(B410:Q410),409,"")</f>
        <v>0</v>
      </c>
    </row>
    <row r="411" spans="1:1">
      <c r="A411">
        <f>IF(COUNTBLANK(B411:Q411)&lt;&gt;COLUMNS(B411:Q411),410,"")</f>
        <v>0</v>
      </c>
    </row>
    <row r="412" spans="1:1">
      <c r="A412">
        <f>IF(COUNTBLANK(B412:Q412)&lt;&gt;COLUMNS(B412:Q412),411,"")</f>
        <v>0</v>
      </c>
    </row>
    <row r="413" spans="1:1">
      <c r="A413">
        <f>IF(COUNTBLANK(B413:Q413)&lt;&gt;COLUMNS(B413:Q413),412,"")</f>
        <v>0</v>
      </c>
    </row>
    <row r="414" spans="1:1">
      <c r="A414">
        <f>IF(COUNTBLANK(B414:Q414)&lt;&gt;COLUMNS(B414:Q414),413,"")</f>
        <v>0</v>
      </c>
    </row>
    <row r="415" spans="1:1">
      <c r="A415">
        <f>IF(COUNTBLANK(B415:Q415)&lt;&gt;COLUMNS(B415:Q415),414,"")</f>
        <v>0</v>
      </c>
    </row>
    <row r="416" spans="1:1">
      <c r="A416">
        <f>IF(COUNTBLANK(B416:Q416)&lt;&gt;COLUMNS(B416:Q416),415,"")</f>
        <v>0</v>
      </c>
    </row>
    <row r="417" spans="1:1">
      <c r="A417">
        <f>IF(COUNTBLANK(B417:Q417)&lt;&gt;COLUMNS(B417:Q417),416,"")</f>
        <v>0</v>
      </c>
    </row>
    <row r="418" spans="1:1">
      <c r="A418">
        <f>IF(COUNTBLANK(B418:Q418)&lt;&gt;COLUMNS(B418:Q418),417,"")</f>
        <v>0</v>
      </c>
    </row>
    <row r="419" spans="1:1">
      <c r="A419">
        <f>IF(COUNTBLANK(B419:Q419)&lt;&gt;COLUMNS(B419:Q419),418,"")</f>
        <v>0</v>
      </c>
    </row>
    <row r="420" spans="1:1">
      <c r="A420">
        <f>IF(COUNTBLANK(B420:Q420)&lt;&gt;COLUMNS(B420:Q420),419,"")</f>
        <v>0</v>
      </c>
    </row>
    <row r="421" spans="1:1">
      <c r="A421">
        <f>IF(COUNTBLANK(B421:Q421)&lt;&gt;COLUMNS(B421:Q421),420,"")</f>
        <v>0</v>
      </c>
    </row>
    <row r="422" spans="1:1">
      <c r="A422">
        <f>IF(COUNTBLANK(B422:Q422)&lt;&gt;COLUMNS(B422:Q422),421,"")</f>
        <v>0</v>
      </c>
    </row>
    <row r="423" spans="1:1">
      <c r="A423">
        <f>IF(COUNTBLANK(B423:Q423)&lt;&gt;COLUMNS(B423:Q423),422,"")</f>
        <v>0</v>
      </c>
    </row>
    <row r="424" spans="1:1">
      <c r="A424">
        <f>IF(COUNTBLANK(B424:Q424)&lt;&gt;COLUMNS(B424:Q424),423,"")</f>
        <v>0</v>
      </c>
    </row>
    <row r="425" spans="1:1">
      <c r="A425">
        <f>IF(COUNTBLANK(B425:Q425)&lt;&gt;COLUMNS(B425:Q425),424,"")</f>
        <v>0</v>
      </c>
    </row>
    <row r="426" spans="1:1">
      <c r="A426">
        <f>IF(COUNTBLANK(B426:Q426)&lt;&gt;COLUMNS(B426:Q426),425,"")</f>
        <v>0</v>
      </c>
    </row>
    <row r="427" spans="1:1">
      <c r="A427">
        <f>IF(COUNTBLANK(B427:Q427)&lt;&gt;COLUMNS(B427:Q427),426,"")</f>
        <v>0</v>
      </c>
    </row>
    <row r="428" spans="1:1">
      <c r="A428">
        <f>IF(COUNTBLANK(B428:Q428)&lt;&gt;COLUMNS(B428:Q428),427,"")</f>
        <v>0</v>
      </c>
    </row>
    <row r="429" spans="1:1">
      <c r="A429">
        <f>IF(COUNTBLANK(B429:Q429)&lt;&gt;COLUMNS(B429:Q429),428,"")</f>
        <v>0</v>
      </c>
    </row>
    <row r="430" spans="1:1">
      <c r="A430">
        <f>IF(COUNTBLANK(B430:Q430)&lt;&gt;COLUMNS(B430:Q430),429,"")</f>
        <v>0</v>
      </c>
    </row>
    <row r="431" spans="1:1">
      <c r="A431">
        <f>IF(COUNTBLANK(B431:Q431)&lt;&gt;COLUMNS(B431:Q431),430,"")</f>
        <v>0</v>
      </c>
    </row>
    <row r="432" spans="1:1">
      <c r="A432">
        <f>IF(COUNTBLANK(B432:Q432)&lt;&gt;COLUMNS(B432:Q432),431,"")</f>
        <v>0</v>
      </c>
    </row>
    <row r="433" spans="1:1">
      <c r="A433">
        <f>IF(COUNTBLANK(B433:Q433)&lt;&gt;COLUMNS(B433:Q433),432,"")</f>
        <v>0</v>
      </c>
    </row>
    <row r="434" spans="1:1">
      <c r="A434">
        <f>IF(COUNTBLANK(B434:Q434)&lt;&gt;COLUMNS(B434:Q434),433,"")</f>
        <v>0</v>
      </c>
    </row>
    <row r="435" spans="1:1">
      <c r="A435">
        <f>IF(COUNTBLANK(B435:Q435)&lt;&gt;COLUMNS(B435:Q435),434,"")</f>
        <v>0</v>
      </c>
    </row>
    <row r="436" spans="1:1">
      <c r="A436">
        <f>IF(COUNTBLANK(B436:Q436)&lt;&gt;COLUMNS(B436:Q436),435,"")</f>
        <v>0</v>
      </c>
    </row>
    <row r="437" spans="1:1">
      <c r="A437">
        <f>IF(COUNTBLANK(B437:Q437)&lt;&gt;COLUMNS(B437:Q437),436,"")</f>
        <v>0</v>
      </c>
    </row>
    <row r="438" spans="1:1">
      <c r="A438">
        <f>IF(COUNTBLANK(B438:Q438)&lt;&gt;COLUMNS(B438:Q438),437,"")</f>
        <v>0</v>
      </c>
    </row>
    <row r="439" spans="1:1">
      <c r="A439">
        <f>IF(COUNTBLANK(B439:Q439)&lt;&gt;COLUMNS(B439:Q439),438,"")</f>
        <v>0</v>
      </c>
    </row>
    <row r="440" spans="1:1">
      <c r="A440">
        <f>IF(COUNTBLANK(B440:Q440)&lt;&gt;COLUMNS(B440:Q440),439,"")</f>
        <v>0</v>
      </c>
    </row>
    <row r="441" spans="1:1">
      <c r="A441">
        <f>IF(COUNTBLANK(B441:Q441)&lt;&gt;COLUMNS(B441:Q441),440,"")</f>
        <v>0</v>
      </c>
    </row>
    <row r="442" spans="1:1">
      <c r="A442">
        <f>IF(COUNTBLANK(B442:Q442)&lt;&gt;COLUMNS(B442:Q442),441,"")</f>
        <v>0</v>
      </c>
    </row>
    <row r="443" spans="1:1">
      <c r="A443">
        <f>IF(COUNTBLANK(B443:Q443)&lt;&gt;COLUMNS(B443:Q443),442,"")</f>
        <v>0</v>
      </c>
    </row>
    <row r="444" spans="1:1">
      <c r="A444">
        <f>IF(COUNTBLANK(B444:Q444)&lt;&gt;COLUMNS(B444:Q444),443,"")</f>
        <v>0</v>
      </c>
    </row>
    <row r="445" spans="1:1">
      <c r="A445">
        <f>IF(COUNTBLANK(B445:Q445)&lt;&gt;COLUMNS(B445:Q445),444,"")</f>
        <v>0</v>
      </c>
    </row>
    <row r="446" spans="1:1">
      <c r="A446">
        <f>IF(COUNTBLANK(B446:Q446)&lt;&gt;COLUMNS(B446:Q446),445,"")</f>
        <v>0</v>
      </c>
    </row>
    <row r="447" spans="1:1">
      <c r="A447">
        <f>IF(COUNTBLANK(B447:Q447)&lt;&gt;COLUMNS(B447:Q447),446,"")</f>
        <v>0</v>
      </c>
    </row>
    <row r="448" spans="1:1">
      <c r="A448">
        <f>IF(COUNTBLANK(B448:Q448)&lt;&gt;COLUMNS(B448:Q448),447,"")</f>
        <v>0</v>
      </c>
    </row>
    <row r="449" spans="1:1">
      <c r="A449">
        <f>IF(COUNTBLANK(B449:Q449)&lt;&gt;COLUMNS(B449:Q449),448,"")</f>
        <v>0</v>
      </c>
    </row>
    <row r="450" spans="1:1">
      <c r="A450">
        <f>IF(COUNTBLANK(B450:Q450)&lt;&gt;COLUMNS(B450:Q450),449,"")</f>
        <v>0</v>
      </c>
    </row>
    <row r="451" spans="1:1">
      <c r="A451">
        <f>IF(COUNTBLANK(B451:Q451)&lt;&gt;COLUMNS(B451:Q451),450,"")</f>
        <v>0</v>
      </c>
    </row>
    <row r="452" spans="1:1">
      <c r="A452">
        <f>IF(COUNTBLANK(B452:Q452)&lt;&gt;COLUMNS(B452:Q452),451,"")</f>
        <v>0</v>
      </c>
    </row>
    <row r="453" spans="1:1">
      <c r="A453">
        <f>IF(COUNTBLANK(B453:Q453)&lt;&gt;COLUMNS(B453:Q453),452,"")</f>
        <v>0</v>
      </c>
    </row>
    <row r="454" spans="1:1">
      <c r="A454">
        <f>IF(COUNTBLANK(B454:Q454)&lt;&gt;COLUMNS(B454:Q454),453,"")</f>
        <v>0</v>
      </c>
    </row>
    <row r="455" spans="1:1">
      <c r="A455">
        <f>IF(COUNTBLANK(B455:Q455)&lt;&gt;COLUMNS(B455:Q455),454,"")</f>
        <v>0</v>
      </c>
    </row>
    <row r="456" spans="1:1">
      <c r="A456">
        <f>IF(COUNTBLANK(B456:Q456)&lt;&gt;COLUMNS(B456:Q456),455,"")</f>
        <v>0</v>
      </c>
    </row>
    <row r="457" spans="1:1">
      <c r="A457">
        <f>IF(COUNTBLANK(B457:Q457)&lt;&gt;COLUMNS(B457:Q457),456,"")</f>
        <v>0</v>
      </c>
    </row>
    <row r="458" spans="1:1">
      <c r="A458">
        <f>IF(COUNTBLANK(B458:Q458)&lt;&gt;COLUMNS(B458:Q458),457,"")</f>
        <v>0</v>
      </c>
    </row>
    <row r="459" spans="1:1">
      <c r="A459">
        <f>IF(COUNTBLANK(B459:Q459)&lt;&gt;COLUMNS(B459:Q459),458,"")</f>
        <v>0</v>
      </c>
    </row>
    <row r="460" spans="1:1">
      <c r="A460">
        <f>IF(COUNTBLANK(B460:Q460)&lt;&gt;COLUMNS(B460:Q460),459,"")</f>
        <v>0</v>
      </c>
    </row>
    <row r="461" spans="1:1">
      <c r="A461">
        <f>IF(COUNTBLANK(B461:Q461)&lt;&gt;COLUMNS(B461:Q461),460,"")</f>
        <v>0</v>
      </c>
    </row>
    <row r="462" spans="1:1">
      <c r="A462">
        <f>IF(COUNTBLANK(B462:Q462)&lt;&gt;COLUMNS(B462:Q462),461,"")</f>
        <v>0</v>
      </c>
    </row>
    <row r="463" spans="1:1">
      <c r="A463">
        <f>IF(COUNTBLANK(B463:Q463)&lt;&gt;COLUMNS(B463:Q463),462,"")</f>
        <v>0</v>
      </c>
    </row>
    <row r="464" spans="1:1">
      <c r="A464">
        <f>IF(COUNTBLANK(B464:Q464)&lt;&gt;COLUMNS(B464:Q464),463,"")</f>
        <v>0</v>
      </c>
    </row>
    <row r="465" spans="1:1">
      <c r="A465">
        <f>IF(COUNTBLANK(B465:Q465)&lt;&gt;COLUMNS(B465:Q465),464,"")</f>
        <v>0</v>
      </c>
    </row>
    <row r="466" spans="1:1">
      <c r="A466">
        <f>IF(COUNTBLANK(B466:Q466)&lt;&gt;COLUMNS(B466:Q466),465,"")</f>
        <v>0</v>
      </c>
    </row>
    <row r="467" spans="1:1">
      <c r="A467">
        <f>IF(COUNTBLANK(B467:Q467)&lt;&gt;COLUMNS(B467:Q467),466,"")</f>
        <v>0</v>
      </c>
    </row>
    <row r="468" spans="1:1">
      <c r="A468">
        <f>IF(COUNTBLANK(B468:Q468)&lt;&gt;COLUMNS(B468:Q468),467,"")</f>
        <v>0</v>
      </c>
    </row>
    <row r="469" spans="1:1">
      <c r="A469">
        <f>IF(COUNTBLANK(B469:Q469)&lt;&gt;COLUMNS(B469:Q469),468,"")</f>
        <v>0</v>
      </c>
    </row>
    <row r="470" spans="1:1">
      <c r="A470">
        <f>IF(COUNTBLANK(B470:Q470)&lt;&gt;COLUMNS(B470:Q470),469,"")</f>
        <v>0</v>
      </c>
    </row>
    <row r="471" spans="1:1">
      <c r="A471">
        <f>IF(COUNTBLANK(B471:Q471)&lt;&gt;COLUMNS(B471:Q471),470,"")</f>
        <v>0</v>
      </c>
    </row>
    <row r="472" spans="1:1">
      <c r="A472">
        <f>IF(COUNTBLANK(B472:Q472)&lt;&gt;COLUMNS(B472:Q472),471,"")</f>
        <v>0</v>
      </c>
    </row>
    <row r="473" spans="1:1">
      <c r="A473">
        <f>IF(COUNTBLANK(B473:Q473)&lt;&gt;COLUMNS(B473:Q473),472,"")</f>
        <v>0</v>
      </c>
    </row>
    <row r="474" spans="1:1">
      <c r="A474">
        <f>IF(COUNTBLANK(B474:Q474)&lt;&gt;COLUMNS(B474:Q474),473,"")</f>
        <v>0</v>
      </c>
    </row>
    <row r="475" spans="1:1">
      <c r="A475">
        <f>IF(COUNTBLANK(B475:Q475)&lt;&gt;COLUMNS(B475:Q475),474,"")</f>
        <v>0</v>
      </c>
    </row>
    <row r="476" spans="1:1">
      <c r="A476">
        <f>IF(COUNTBLANK(B476:Q476)&lt;&gt;COLUMNS(B476:Q476),475,"")</f>
        <v>0</v>
      </c>
    </row>
    <row r="477" spans="1:1">
      <c r="A477">
        <f>IF(COUNTBLANK(B477:Q477)&lt;&gt;COLUMNS(B477:Q477),476,"")</f>
        <v>0</v>
      </c>
    </row>
    <row r="478" spans="1:1">
      <c r="A478">
        <f>IF(COUNTBLANK(B478:Q478)&lt;&gt;COLUMNS(B478:Q478),477,"")</f>
        <v>0</v>
      </c>
    </row>
    <row r="479" spans="1:1">
      <c r="A479">
        <f>IF(COUNTBLANK(B479:Q479)&lt;&gt;COLUMNS(B479:Q479),478,"")</f>
        <v>0</v>
      </c>
    </row>
    <row r="480" spans="1:1">
      <c r="A480">
        <f>IF(COUNTBLANK(B480:Q480)&lt;&gt;COLUMNS(B480:Q480),479,"")</f>
        <v>0</v>
      </c>
    </row>
    <row r="481" spans="1:1">
      <c r="A481">
        <f>IF(COUNTBLANK(B481:Q481)&lt;&gt;COLUMNS(B481:Q481),480,"")</f>
        <v>0</v>
      </c>
    </row>
    <row r="482" spans="1:1">
      <c r="A482">
        <f>IF(COUNTBLANK(B482:Q482)&lt;&gt;COLUMNS(B482:Q482),481,"")</f>
        <v>0</v>
      </c>
    </row>
    <row r="483" spans="1:1">
      <c r="A483">
        <f>IF(COUNTBLANK(B483:Q483)&lt;&gt;COLUMNS(B483:Q483),482,"")</f>
        <v>0</v>
      </c>
    </row>
    <row r="484" spans="1:1">
      <c r="A484">
        <f>IF(COUNTBLANK(B484:Q484)&lt;&gt;COLUMNS(B484:Q484),483,"")</f>
        <v>0</v>
      </c>
    </row>
    <row r="485" spans="1:1">
      <c r="A485">
        <f>IF(COUNTBLANK(B485:Q485)&lt;&gt;COLUMNS(B485:Q485),484,"")</f>
        <v>0</v>
      </c>
    </row>
    <row r="486" spans="1:1">
      <c r="A486">
        <f>IF(COUNTBLANK(B486:Q486)&lt;&gt;COLUMNS(B486:Q486),485,"")</f>
        <v>0</v>
      </c>
    </row>
    <row r="487" spans="1:1">
      <c r="A487">
        <f>IF(COUNTBLANK(B487:Q487)&lt;&gt;COLUMNS(B487:Q487),486,"")</f>
        <v>0</v>
      </c>
    </row>
    <row r="488" spans="1:1">
      <c r="A488">
        <f>IF(COUNTBLANK(B488:Q488)&lt;&gt;COLUMNS(B488:Q488),487,"")</f>
        <v>0</v>
      </c>
    </row>
    <row r="489" spans="1:1">
      <c r="A489">
        <f>IF(COUNTBLANK(B489:Q489)&lt;&gt;COLUMNS(B489:Q489),488,"")</f>
        <v>0</v>
      </c>
    </row>
    <row r="490" spans="1:1">
      <c r="A490">
        <f>IF(COUNTBLANK(B490:Q490)&lt;&gt;COLUMNS(B490:Q490),489,"")</f>
        <v>0</v>
      </c>
    </row>
    <row r="491" spans="1:1">
      <c r="A491">
        <f>IF(COUNTBLANK(B491:Q491)&lt;&gt;COLUMNS(B491:Q491),490,"")</f>
        <v>0</v>
      </c>
    </row>
    <row r="492" spans="1:1">
      <c r="A492">
        <f>IF(COUNTBLANK(B492:Q492)&lt;&gt;COLUMNS(B492:Q492),491,"")</f>
        <v>0</v>
      </c>
    </row>
    <row r="493" spans="1:1">
      <c r="A493">
        <f>IF(COUNTBLANK(B493:Q493)&lt;&gt;COLUMNS(B493:Q493),492,"")</f>
        <v>0</v>
      </c>
    </row>
    <row r="494" spans="1:1">
      <c r="A494">
        <f>IF(COUNTBLANK(B494:Q494)&lt;&gt;COLUMNS(B494:Q494),493,"")</f>
        <v>0</v>
      </c>
    </row>
    <row r="495" spans="1:1">
      <c r="A495">
        <f>IF(COUNTBLANK(B495:Q495)&lt;&gt;COLUMNS(B495:Q495),494,"")</f>
        <v>0</v>
      </c>
    </row>
    <row r="496" spans="1:1">
      <c r="A496">
        <f>IF(COUNTBLANK(B496:Q496)&lt;&gt;COLUMNS(B496:Q496),495,"")</f>
        <v>0</v>
      </c>
    </row>
    <row r="497" spans="1:1">
      <c r="A497">
        <f>IF(COUNTBLANK(B497:Q497)&lt;&gt;COLUMNS(B497:Q497),496,"")</f>
        <v>0</v>
      </c>
    </row>
    <row r="498" spans="1:1">
      <c r="A498">
        <f>IF(COUNTBLANK(B498:Q498)&lt;&gt;COLUMNS(B498:Q498),497,"")</f>
        <v>0</v>
      </c>
    </row>
    <row r="499" spans="1:1">
      <c r="A499">
        <f>IF(COUNTBLANK(B499:Q499)&lt;&gt;COLUMNS(B499:Q499),498,"")</f>
        <v>0</v>
      </c>
    </row>
    <row r="500" spans="1:1">
      <c r="A500">
        <f>IF(COUNTBLANK(B500:Q500)&lt;&gt;COLUMNS(B500:Q500),499,"")</f>
        <v>0</v>
      </c>
    </row>
    <row r="501" spans="1:1">
      <c r="A501">
        <f>IF(COUNTBLANK(B501:Q501)&lt;&gt;COLUMNS(B501:Q501),500,"")</f>
        <v>0</v>
      </c>
    </row>
    <row r="502" spans="1:1">
      <c r="A502">
        <f>IF(COUNTBLANK(B502:Q502)&lt;&gt;COLUMNS(B502:Q502),501,"")</f>
        <v>0</v>
      </c>
    </row>
    <row r="503" spans="1:1">
      <c r="A503">
        <f>IF(COUNTBLANK(B503:Q503)&lt;&gt;COLUMNS(B503:Q503),502,"")</f>
        <v>0</v>
      </c>
    </row>
    <row r="504" spans="1:1">
      <c r="A504">
        <f>IF(COUNTBLANK(B504:Q504)&lt;&gt;COLUMNS(B504:Q504),503,"")</f>
        <v>0</v>
      </c>
    </row>
    <row r="505" spans="1:1">
      <c r="A505">
        <f>IF(COUNTBLANK(B505:Q505)&lt;&gt;COLUMNS(B505:Q505),504,"")</f>
        <v>0</v>
      </c>
    </row>
    <row r="506" spans="1:1">
      <c r="A506">
        <f>IF(COUNTBLANK(B506:Q506)&lt;&gt;COLUMNS(B506:Q506),505,"")</f>
        <v>0</v>
      </c>
    </row>
    <row r="507" spans="1:1">
      <c r="A507">
        <f>IF(COUNTBLANK(B507:Q507)&lt;&gt;COLUMNS(B507:Q507),506,"")</f>
        <v>0</v>
      </c>
    </row>
    <row r="508" spans="1:1">
      <c r="A508">
        <f>IF(COUNTBLANK(B508:Q508)&lt;&gt;COLUMNS(B508:Q508),507,"")</f>
        <v>0</v>
      </c>
    </row>
    <row r="509" spans="1:1">
      <c r="A509">
        <f>IF(COUNTBLANK(B509:Q509)&lt;&gt;COLUMNS(B509:Q509),508,"")</f>
        <v>0</v>
      </c>
    </row>
    <row r="510" spans="1:1">
      <c r="A510">
        <f>IF(COUNTBLANK(B510:Q510)&lt;&gt;COLUMNS(B510:Q510),509,"")</f>
        <v>0</v>
      </c>
    </row>
    <row r="511" spans="1:1">
      <c r="A511">
        <f>IF(COUNTBLANK(B511:Q511)&lt;&gt;COLUMNS(B511:Q511),510,"")</f>
        <v>0</v>
      </c>
    </row>
    <row r="512" spans="1:1">
      <c r="A512">
        <f>IF(COUNTBLANK(B512:Q512)&lt;&gt;COLUMNS(B512:Q512),511,"")</f>
        <v>0</v>
      </c>
    </row>
    <row r="513" spans="1:1">
      <c r="A513">
        <f>IF(COUNTBLANK(B513:Q513)&lt;&gt;COLUMNS(B513:Q513),512,"")</f>
        <v>0</v>
      </c>
    </row>
    <row r="514" spans="1:1">
      <c r="A514">
        <f>IF(COUNTBLANK(B514:Q514)&lt;&gt;COLUMNS(B514:Q514),513,"")</f>
        <v>0</v>
      </c>
    </row>
    <row r="515" spans="1:1">
      <c r="A515">
        <f>IF(COUNTBLANK(B515:Q515)&lt;&gt;COLUMNS(B515:Q515),514,"")</f>
        <v>0</v>
      </c>
    </row>
    <row r="516" spans="1:1">
      <c r="A516">
        <f>IF(COUNTBLANK(B516:Q516)&lt;&gt;COLUMNS(B516:Q516),515,"")</f>
        <v>0</v>
      </c>
    </row>
    <row r="517" spans="1:1">
      <c r="A517">
        <f>IF(COUNTBLANK(B517:Q517)&lt;&gt;COLUMNS(B517:Q517),516,"")</f>
        <v>0</v>
      </c>
    </row>
    <row r="518" spans="1:1">
      <c r="A518">
        <f>IF(COUNTBLANK(B518:Q518)&lt;&gt;COLUMNS(B518:Q518),517,"")</f>
        <v>0</v>
      </c>
    </row>
    <row r="519" spans="1:1">
      <c r="A519">
        <f>IF(COUNTBLANK(B519:Q519)&lt;&gt;COLUMNS(B519:Q519),518,"")</f>
        <v>0</v>
      </c>
    </row>
    <row r="520" spans="1:1">
      <c r="A520">
        <f>IF(COUNTBLANK(B520:Q520)&lt;&gt;COLUMNS(B520:Q520),519,"")</f>
        <v>0</v>
      </c>
    </row>
    <row r="521" spans="1:1">
      <c r="A521">
        <f>IF(COUNTBLANK(B521:Q521)&lt;&gt;COLUMNS(B521:Q521),520,"")</f>
        <v>0</v>
      </c>
    </row>
    <row r="522" spans="1:1">
      <c r="A522">
        <f>IF(COUNTBLANK(B522:Q522)&lt;&gt;COLUMNS(B522:Q522),521,"")</f>
        <v>0</v>
      </c>
    </row>
    <row r="523" spans="1:1">
      <c r="A523">
        <f>IF(COUNTBLANK(B523:Q523)&lt;&gt;COLUMNS(B523:Q523),522,"")</f>
        <v>0</v>
      </c>
    </row>
    <row r="524" spans="1:1">
      <c r="A524">
        <f>IF(COUNTBLANK(B524:Q524)&lt;&gt;COLUMNS(B524:Q524),523,"")</f>
        <v>0</v>
      </c>
    </row>
    <row r="525" spans="1:1">
      <c r="A525">
        <f>IF(COUNTBLANK(B525:Q525)&lt;&gt;COLUMNS(B525:Q525),524,"")</f>
        <v>0</v>
      </c>
    </row>
    <row r="526" spans="1:1">
      <c r="A526">
        <f>IF(COUNTBLANK(B526:Q526)&lt;&gt;COLUMNS(B526:Q526),525,"")</f>
        <v>0</v>
      </c>
    </row>
    <row r="527" spans="1:1">
      <c r="A527">
        <f>IF(COUNTBLANK(B527:Q527)&lt;&gt;COLUMNS(B527:Q527),526,"")</f>
        <v>0</v>
      </c>
    </row>
    <row r="528" spans="1:1">
      <c r="A528">
        <f>IF(COUNTBLANK(B528:Q528)&lt;&gt;COLUMNS(B528:Q528),527,"")</f>
        <v>0</v>
      </c>
    </row>
    <row r="529" spans="1:1">
      <c r="A529">
        <f>IF(COUNTBLANK(B529:Q529)&lt;&gt;COLUMNS(B529:Q529),528,"")</f>
        <v>0</v>
      </c>
    </row>
    <row r="530" spans="1:1">
      <c r="A530">
        <f>IF(COUNTBLANK(B530:Q530)&lt;&gt;COLUMNS(B530:Q530),529,"")</f>
        <v>0</v>
      </c>
    </row>
    <row r="531" spans="1:1">
      <c r="A531">
        <f>IF(COUNTBLANK(B531:Q531)&lt;&gt;COLUMNS(B531:Q531),530,"")</f>
        <v>0</v>
      </c>
    </row>
    <row r="532" spans="1:1">
      <c r="A532">
        <f>IF(COUNTBLANK(B532:Q532)&lt;&gt;COLUMNS(B532:Q532),531,"")</f>
        <v>0</v>
      </c>
    </row>
    <row r="533" spans="1:1">
      <c r="A533">
        <f>IF(COUNTBLANK(B533:Q533)&lt;&gt;COLUMNS(B533:Q533),532,"")</f>
        <v>0</v>
      </c>
    </row>
    <row r="534" spans="1:1">
      <c r="A534">
        <f>IF(COUNTBLANK(B534:Q534)&lt;&gt;COLUMNS(B534:Q534),533,"")</f>
        <v>0</v>
      </c>
    </row>
    <row r="535" spans="1:1">
      <c r="A535">
        <f>IF(COUNTBLANK(B535:Q535)&lt;&gt;COLUMNS(B535:Q535),534,"")</f>
        <v>0</v>
      </c>
    </row>
    <row r="536" spans="1:1">
      <c r="A536">
        <f>IF(COUNTBLANK(B536:Q536)&lt;&gt;COLUMNS(B536:Q536),535,"")</f>
        <v>0</v>
      </c>
    </row>
    <row r="537" spans="1:1">
      <c r="A537">
        <f>IF(COUNTBLANK(B537:Q537)&lt;&gt;COLUMNS(B537:Q537),536,"")</f>
        <v>0</v>
      </c>
    </row>
    <row r="538" spans="1:1">
      <c r="A538">
        <f>IF(COUNTBLANK(B538:Q538)&lt;&gt;COLUMNS(B538:Q538),537,"")</f>
        <v>0</v>
      </c>
    </row>
    <row r="539" spans="1:1">
      <c r="A539">
        <f>IF(COUNTBLANK(B539:Q539)&lt;&gt;COLUMNS(B539:Q539),538,"")</f>
        <v>0</v>
      </c>
    </row>
    <row r="540" spans="1:1">
      <c r="A540">
        <f>IF(COUNTBLANK(B540:Q540)&lt;&gt;COLUMNS(B540:Q540),539,"")</f>
        <v>0</v>
      </c>
    </row>
    <row r="541" spans="1:1">
      <c r="A541">
        <f>IF(COUNTBLANK(B541:Q541)&lt;&gt;COLUMNS(B541:Q541),540,"")</f>
        <v>0</v>
      </c>
    </row>
    <row r="542" spans="1:1">
      <c r="A542">
        <f>IF(COUNTBLANK(B542:Q542)&lt;&gt;COLUMNS(B542:Q542),541,"")</f>
        <v>0</v>
      </c>
    </row>
    <row r="543" spans="1:1">
      <c r="A543">
        <f>IF(COUNTBLANK(B543:Q543)&lt;&gt;COLUMNS(B543:Q543),542,"")</f>
        <v>0</v>
      </c>
    </row>
    <row r="544" spans="1:1">
      <c r="A544">
        <f>IF(COUNTBLANK(B544:Q544)&lt;&gt;COLUMNS(B544:Q544),543,"")</f>
        <v>0</v>
      </c>
    </row>
    <row r="545" spans="1:1">
      <c r="A545">
        <f>IF(COUNTBLANK(B545:Q545)&lt;&gt;COLUMNS(B545:Q545),544,"")</f>
        <v>0</v>
      </c>
    </row>
    <row r="546" spans="1:1">
      <c r="A546">
        <f>IF(COUNTBLANK(B546:Q546)&lt;&gt;COLUMNS(B546:Q546),545,"")</f>
        <v>0</v>
      </c>
    </row>
    <row r="547" spans="1:1">
      <c r="A547">
        <f>IF(COUNTBLANK(B547:Q547)&lt;&gt;COLUMNS(B547:Q547),546,"")</f>
        <v>0</v>
      </c>
    </row>
    <row r="548" spans="1:1">
      <c r="A548">
        <f>IF(COUNTBLANK(B548:Q548)&lt;&gt;COLUMNS(B548:Q548),547,"")</f>
        <v>0</v>
      </c>
    </row>
    <row r="549" spans="1:1">
      <c r="A549">
        <f>IF(COUNTBLANK(B549:Q549)&lt;&gt;COLUMNS(B549:Q549),548,"")</f>
        <v>0</v>
      </c>
    </row>
    <row r="550" spans="1:1">
      <c r="A550">
        <f>IF(COUNTBLANK(B550:Q550)&lt;&gt;COLUMNS(B550:Q550),549,"")</f>
        <v>0</v>
      </c>
    </row>
    <row r="551" spans="1:1">
      <c r="A551">
        <f>IF(COUNTBLANK(B551:Q551)&lt;&gt;COLUMNS(B551:Q551),550,"")</f>
        <v>0</v>
      </c>
    </row>
    <row r="552" spans="1:1">
      <c r="A552">
        <f>IF(COUNTBLANK(B552:Q552)&lt;&gt;COLUMNS(B552:Q552),551,"")</f>
        <v>0</v>
      </c>
    </row>
    <row r="553" spans="1:1">
      <c r="A553">
        <f>IF(COUNTBLANK(B553:Q553)&lt;&gt;COLUMNS(B553:Q553),552,"")</f>
        <v>0</v>
      </c>
    </row>
    <row r="554" spans="1:1">
      <c r="A554">
        <f>IF(COUNTBLANK(B554:Q554)&lt;&gt;COLUMNS(B554:Q554),553,"")</f>
        <v>0</v>
      </c>
    </row>
    <row r="555" spans="1:1">
      <c r="A555">
        <f>IF(COUNTBLANK(B555:Q555)&lt;&gt;COLUMNS(B555:Q555),554,"")</f>
        <v>0</v>
      </c>
    </row>
    <row r="556" spans="1:1">
      <c r="A556">
        <f>IF(COUNTBLANK(B556:Q556)&lt;&gt;COLUMNS(B556:Q556),555,"")</f>
        <v>0</v>
      </c>
    </row>
    <row r="557" spans="1:1">
      <c r="A557">
        <f>IF(COUNTBLANK(B557:Q557)&lt;&gt;COLUMNS(B557:Q557),556,"")</f>
        <v>0</v>
      </c>
    </row>
    <row r="558" spans="1:1">
      <c r="A558">
        <f>IF(COUNTBLANK(B558:Q558)&lt;&gt;COLUMNS(B558:Q558),557,"")</f>
        <v>0</v>
      </c>
    </row>
    <row r="559" spans="1:1">
      <c r="A559">
        <f>IF(COUNTBLANK(B559:Q559)&lt;&gt;COLUMNS(B559:Q559),558,"")</f>
        <v>0</v>
      </c>
    </row>
    <row r="560" spans="1:1">
      <c r="A560">
        <f>IF(COUNTBLANK(B560:Q560)&lt;&gt;COLUMNS(B560:Q560),559,"")</f>
        <v>0</v>
      </c>
    </row>
    <row r="561" spans="1:1">
      <c r="A561">
        <f>IF(COUNTBLANK(B561:Q561)&lt;&gt;COLUMNS(B561:Q561),560,"")</f>
        <v>0</v>
      </c>
    </row>
    <row r="562" spans="1:1">
      <c r="A562">
        <f>IF(COUNTBLANK(B562:Q562)&lt;&gt;COLUMNS(B562:Q562),561,"")</f>
        <v>0</v>
      </c>
    </row>
    <row r="563" spans="1:1">
      <c r="A563">
        <f>IF(COUNTBLANK(B563:Q563)&lt;&gt;COLUMNS(B563:Q563),562,"")</f>
        <v>0</v>
      </c>
    </row>
    <row r="564" spans="1:1">
      <c r="A564">
        <f>IF(COUNTBLANK(B564:Q564)&lt;&gt;COLUMNS(B564:Q564),563,"")</f>
        <v>0</v>
      </c>
    </row>
    <row r="565" spans="1:1">
      <c r="A565">
        <f>IF(COUNTBLANK(B565:Q565)&lt;&gt;COLUMNS(B565:Q565),564,"")</f>
        <v>0</v>
      </c>
    </row>
    <row r="566" spans="1:1">
      <c r="A566">
        <f>IF(COUNTBLANK(B566:Q566)&lt;&gt;COLUMNS(B566:Q566),565,"")</f>
        <v>0</v>
      </c>
    </row>
    <row r="567" spans="1:1">
      <c r="A567">
        <f>IF(COUNTBLANK(B567:Q567)&lt;&gt;COLUMNS(B567:Q567),566,"")</f>
        <v>0</v>
      </c>
    </row>
    <row r="568" spans="1:1">
      <c r="A568">
        <f>IF(COUNTBLANK(B568:Q568)&lt;&gt;COLUMNS(B568:Q568),567,"")</f>
        <v>0</v>
      </c>
    </row>
    <row r="569" spans="1:1">
      <c r="A569">
        <f>IF(COUNTBLANK(B569:Q569)&lt;&gt;COLUMNS(B569:Q569),568,"")</f>
        <v>0</v>
      </c>
    </row>
    <row r="570" spans="1:1">
      <c r="A570">
        <f>IF(COUNTBLANK(B570:Q570)&lt;&gt;COLUMNS(B570:Q570),569,"")</f>
        <v>0</v>
      </c>
    </row>
    <row r="571" spans="1:1">
      <c r="A571">
        <f>IF(COUNTBLANK(B571:Q571)&lt;&gt;COLUMNS(B571:Q571),570,"")</f>
        <v>0</v>
      </c>
    </row>
    <row r="572" spans="1:1">
      <c r="A572">
        <f>IF(COUNTBLANK(B572:Q572)&lt;&gt;COLUMNS(B572:Q572),571,"")</f>
        <v>0</v>
      </c>
    </row>
    <row r="573" spans="1:1">
      <c r="A573">
        <f>IF(COUNTBLANK(B573:Q573)&lt;&gt;COLUMNS(B573:Q573),572,"")</f>
        <v>0</v>
      </c>
    </row>
    <row r="574" spans="1:1">
      <c r="A574">
        <f>IF(COUNTBLANK(B574:Q574)&lt;&gt;COLUMNS(B574:Q574),573,"")</f>
        <v>0</v>
      </c>
    </row>
    <row r="575" spans="1:1">
      <c r="A575">
        <f>IF(COUNTBLANK(B575:Q575)&lt;&gt;COLUMNS(B575:Q575),574,"")</f>
        <v>0</v>
      </c>
    </row>
    <row r="576" spans="1:1">
      <c r="A576">
        <f>IF(COUNTBLANK(B576:Q576)&lt;&gt;COLUMNS(B576:Q576),575,"")</f>
        <v>0</v>
      </c>
    </row>
    <row r="577" spans="1:1">
      <c r="A577">
        <f>IF(COUNTBLANK(B577:Q577)&lt;&gt;COLUMNS(B577:Q577),576,"")</f>
        <v>0</v>
      </c>
    </row>
    <row r="578" spans="1:1">
      <c r="A578">
        <f>IF(COUNTBLANK(B578:Q578)&lt;&gt;COLUMNS(B578:Q578),577,"")</f>
        <v>0</v>
      </c>
    </row>
    <row r="579" spans="1:1">
      <c r="A579">
        <f>IF(COUNTBLANK(B579:Q579)&lt;&gt;COLUMNS(B579:Q579),578,"")</f>
        <v>0</v>
      </c>
    </row>
    <row r="580" spans="1:1">
      <c r="A580">
        <f>IF(COUNTBLANK(B580:Q580)&lt;&gt;COLUMNS(B580:Q580),579,"")</f>
        <v>0</v>
      </c>
    </row>
    <row r="581" spans="1:1">
      <c r="A581">
        <f>IF(COUNTBLANK(B581:Q581)&lt;&gt;COLUMNS(B581:Q581),580,"")</f>
        <v>0</v>
      </c>
    </row>
    <row r="582" spans="1:1">
      <c r="A582">
        <f>IF(COUNTBLANK(B582:Q582)&lt;&gt;COLUMNS(B582:Q582),581,"")</f>
        <v>0</v>
      </c>
    </row>
    <row r="583" spans="1:1">
      <c r="A583">
        <f>IF(COUNTBLANK(B583:Q583)&lt;&gt;COLUMNS(B583:Q583),582,"")</f>
        <v>0</v>
      </c>
    </row>
    <row r="584" spans="1:1">
      <c r="A584">
        <f>IF(COUNTBLANK(B584:Q584)&lt;&gt;COLUMNS(B584:Q584),583,"")</f>
        <v>0</v>
      </c>
    </row>
    <row r="585" spans="1:1">
      <c r="A585">
        <f>IF(COUNTBLANK(B585:Q585)&lt;&gt;COLUMNS(B585:Q585),584,"")</f>
        <v>0</v>
      </c>
    </row>
    <row r="586" spans="1:1">
      <c r="A586">
        <f>IF(COUNTBLANK(B586:Q586)&lt;&gt;COLUMNS(B586:Q586),585,"")</f>
        <v>0</v>
      </c>
    </row>
    <row r="587" spans="1:1">
      <c r="A587">
        <f>IF(COUNTBLANK(B587:Q587)&lt;&gt;COLUMNS(B587:Q587),586,"")</f>
        <v>0</v>
      </c>
    </row>
    <row r="588" spans="1:1">
      <c r="A588">
        <f>IF(COUNTBLANK(B588:Q588)&lt;&gt;COLUMNS(B588:Q588),587,"")</f>
        <v>0</v>
      </c>
    </row>
    <row r="589" spans="1:1">
      <c r="A589">
        <f>IF(COUNTBLANK(B589:Q589)&lt;&gt;COLUMNS(B589:Q589),588,"")</f>
        <v>0</v>
      </c>
    </row>
    <row r="590" spans="1:1">
      <c r="A590">
        <f>IF(COUNTBLANK(B590:Q590)&lt;&gt;COLUMNS(B590:Q590),589,"")</f>
        <v>0</v>
      </c>
    </row>
    <row r="591" spans="1:1">
      <c r="A591">
        <f>IF(COUNTBLANK(B591:Q591)&lt;&gt;COLUMNS(B591:Q591),590,"")</f>
        <v>0</v>
      </c>
    </row>
    <row r="592" spans="1:1">
      <c r="A592">
        <f>IF(COUNTBLANK(B592:Q592)&lt;&gt;COLUMNS(B592:Q592),591,"")</f>
        <v>0</v>
      </c>
    </row>
    <row r="593" spans="1:1">
      <c r="A593">
        <f>IF(COUNTBLANK(B593:Q593)&lt;&gt;COLUMNS(B593:Q593),592,"")</f>
        <v>0</v>
      </c>
    </row>
    <row r="594" spans="1:1">
      <c r="A594">
        <f>IF(COUNTBLANK(B594:Q594)&lt;&gt;COLUMNS(B594:Q594),593,"")</f>
        <v>0</v>
      </c>
    </row>
    <row r="595" spans="1:1">
      <c r="A595">
        <f>IF(COUNTBLANK(B595:Q595)&lt;&gt;COLUMNS(B595:Q595),594,"")</f>
        <v>0</v>
      </c>
    </row>
    <row r="596" spans="1:1">
      <c r="A596">
        <f>IF(COUNTBLANK(B596:Q596)&lt;&gt;COLUMNS(B596:Q596),595,"")</f>
        <v>0</v>
      </c>
    </row>
    <row r="597" spans="1:1">
      <c r="A597">
        <f>IF(COUNTBLANK(B597:Q597)&lt;&gt;COLUMNS(B597:Q597),596,"")</f>
        <v>0</v>
      </c>
    </row>
    <row r="598" spans="1:1">
      <c r="A598">
        <f>IF(COUNTBLANK(B598:Q598)&lt;&gt;COLUMNS(B598:Q598),597,"")</f>
        <v>0</v>
      </c>
    </row>
    <row r="599" spans="1:1">
      <c r="A599">
        <f>IF(COUNTBLANK(B599:Q599)&lt;&gt;COLUMNS(B599:Q599),598,"")</f>
        <v>0</v>
      </c>
    </row>
    <row r="600" spans="1:1">
      <c r="A600">
        <f>IF(COUNTBLANK(B600:Q600)&lt;&gt;COLUMNS(B600:Q600),599,"")</f>
        <v>0</v>
      </c>
    </row>
    <row r="601" spans="1:1">
      <c r="A601">
        <f>IF(COUNTBLANK(B601:Q601)&lt;&gt;COLUMNS(B601:Q601),600,"")</f>
        <v>0</v>
      </c>
    </row>
    <row r="602" spans="1:1">
      <c r="A602">
        <f>IF(COUNTBLANK(B602:Q602)&lt;&gt;COLUMNS(B602:Q602),601,"")</f>
        <v>0</v>
      </c>
    </row>
    <row r="603" spans="1:1">
      <c r="A603">
        <f>IF(COUNTBLANK(B603:Q603)&lt;&gt;COLUMNS(B603:Q603),602,"")</f>
        <v>0</v>
      </c>
    </row>
    <row r="604" spans="1:1">
      <c r="A604">
        <f>IF(COUNTBLANK(B604:Q604)&lt;&gt;COLUMNS(B604:Q604),603,"")</f>
        <v>0</v>
      </c>
    </row>
    <row r="605" spans="1:1">
      <c r="A605">
        <f>IF(COUNTBLANK(B605:Q605)&lt;&gt;COLUMNS(B605:Q605),604,"")</f>
        <v>0</v>
      </c>
    </row>
    <row r="606" spans="1:1">
      <c r="A606">
        <f>IF(COUNTBLANK(B606:Q606)&lt;&gt;COLUMNS(B606:Q606),605,"")</f>
        <v>0</v>
      </c>
    </row>
    <row r="607" spans="1:1">
      <c r="A607">
        <f>IF(COUNTBLANK(B607:Q607)&lt;&gt;COLUMNS(B607:Q607),606,"")</f>
        <v>0</v>
      </c>
    </row>
    <row r="608" spans="1:1">
      <c r="A608">
        <f>IF(COUNTBLANK(B608:Q608)&lt;&gt;COLUMNS(B608:Q608),607,"")</f>
        <v>0</v>
      </c>
    </row>
    <row r="609" spans="1:1">
      <c r="A609">
        <f>IF(COUNTBLANK(B609:Q609)&lt;&gt;COLUMNS(B609:Q609),608,"")</f>
        <v>0</v>
      </c>
    </row>
    <row r="610" spans="1:1">
      <c r="A610">
        <f>IF(COUNTBLANK(B610:Q610)&lt;&gt;COLUMNS(B610:Q610),609,"")</f>
        <v>0</v>
      </c>
    </row>
    <row r="611" spans="1:1">
      <c r="A611">
        <f>IF(COUNTBLANK(B611:Q611)&lt;&gt;COLUMNS(B611:Q611),610,"")</f>
        <v>0</v>
      </c>
    </row>
    <row r="612" spans="1:1">
      <c r="A612">
        <f>IF(COUNTBLANK(B612:Q612)&lt;&gt;COLUMNS(B612:Q612),611,"")</f>
        <v>0</v>
      </c>
    </row>
    <row r="613" spans="1:1">
      <c r="A613">
        <f>IF(COUNTBLANK(B613:Q613)&lt;&gt;COLUMNS(B613:Q613),612,"")</f>
        <v>0</v>
      </c>
    </row>
    <row r="614" spans="1:1">
      <c r="A614">
        <f>IF(COUNTBLANK(B614:Q614)&lt;&gt;COLUMNS(B614:Q614),613,"")</f>
        <v>0</v>
      </c>
    </row>
    <row r="615" spans="1:1">
      <c r="A615">
        <f>IF(COUNTBLANK(B615:Q615)&lt;&gt;COLUMNS(B615:Q615),614,"")</f>
        <v>0</v>
      </c>
    </row>
    <row r="616" spans="1:1">
      <c r="A616">
        <f>IF(COUNTBLANK(B616:Q616)&lt;&gt;COLUMNS(B616:Q616),615,"")</f>
        <v>0</v>
      </c>
    </row>
    <row r="617" spans="1:1">
      <c r="A617">
        <f>IF(COUNTBLANK(B617:Q617)&lt;&gt;COLUMNS(B617:Q617),616,"")</f>
        <v>0</v>
      </c>
    </row>
    <row r="618" spans="1:1">
      <c r="A618">
        <f>IF(COUNTBLANK(B618:Q618)&lt;&gt;COLUMNS(B618:Q618),617,"")</f>
        <v>0</v>
      </c>
    </row>
    <row r="619" spans="1:1">
      <c r="A619">
        <f>IF(COUNTBLANK(B619:Q619)&lt;&gt;COLUMNS(B619:Q619),618,"")</f>
        <v>0</v>
      </c>
    </row>
    <row r="620" spans="1:1">
      <c r="A620">
        <f>IF(COUNTBLANK(B620:Q620)&lt;&gt;COLUMNS(B620:Q620),619,"")</f>
        <v>0</v>
      </c>
    </row>
    <row r="621" spans="1:1">
      <c r="A621">
        <f>IF(COUNTBLANK(B621:Q621)&lt;&gt;COLUMNS(B621:Q621),620,"")</f>
        <v>0</v>
      </c>
    </row>
    <row r="622" spans="1:1">
      <c r="A622">
        <f>IF(COUNTBLANK(B622:Q622)&lt;&gt;COLUMNS(B622:Q622),621,"")</f>
        <v>0</v>
      </c>
    </row>
    <row r="623" spans="1:1">
      <c r="A623">
        <f>IF(COUNTBLANK(B623:Q623)&lt;&gt;COLUMNS(B623:Q623),622,"")</f>
        <v>0</v>
      </c>
    </row>
    <row r="624" spans="1:1">
      <c r="A624">
        <f>IF(COUNTBLANK(B624:Q624)&lt;&gt;COLUMNS(B624:Q624),623,"")</f>
        <v>0</v>
      </c>
    </row>
    <row r="625" spans="1:1">
      <c r="A625">
        <f>IF(COUNTBLANK(B625:Q625)&lt;&gt;COLUMNS(B625:Q625),624,"")</f>
        <v>0</v>
      </c>
    </row>
    <row r="626" spans="1:1">
      <c r="A626">
        <f>IF(COUNTBLANK(B626:Q626)&lt;&gt;COLUMNS(B626:Q626),625,"")</f>
        <v>0</v>
      </c>
    </row>
    <row r="627" spans="1:1">
      <c r="A627">
        <f>IF(COUNTBLANK(B627:Q627)&lt;&gt;COLUMNS(B627:Q627),626,"")</f>
        <v>0</v>
      </c>
    </row>
    <row r="628" spans="1:1">
      <c r="A628">
        <f>IF(COUNTBLANK(B628:Q628)&lt;&gt;COLUMNS(B628:Q628),627,"")</f>
        <v>0</v>
      </c>
    </row>
    <row r="629" spans="1:1">
      <c r="A629">
        <f>IF(COUNTBLANK(B629:Q629)&lt;&gt;COLUMNS(B629:Q629),628,"")</f>
        <v>0</v>
      </c>
    </row>
    <row r="630" spans="1:1">
      <c r="A630">
        <f>IF(COUNTBLANK(B630:Q630)&lt;&gt;COLUMNS(B630:Q630),629,"")</f>
        <v>0</v>
      </c>
    </row>
    <row r="631" spans="1:1">
      <c r="A631">
        <f>IF(COUNTBLANK(B631:Q631)&lt;&gt;COLUMNS(B631:Q631),630,"")</f>
        <v>0</v>
      </c>
    </row>
    <row r="632" spans="1:1">
      <c r="A632">
        <f>IF(COUNTBLANK(B632:Q632)&lt;&gt;COLUMNS(B632:Q632),631,"")</f>
        <v>0</v>
      </c>
    </row>
    <row r="633" spans="1:1">
      <c r="A633">
        <f>IF(COUNTBLANK(B633:Q633)&lt;&gt;COLUMNS(B633:Q633),632,"")</f>
        <v>0</v>
      </c>
    </row>
    <row r="634" spans="1:1">
      <c r="A634">
        <f>IF(COUNTBLANK(B634:Q634)&lt;&gt;COLUMNS(B634:Q634),633,"")</f>
        <v>0</v>
      </c>
    </row>
    <row r="635" spans="1:1">
      <c r="A635">
        <f>IF(COUNTBLANK(B635:Q635)&lt;&gt;COLUMNS(B635:Q635),634,"")</f>
        <v>0</v>
      </c>
    </row>
    <row r="636" spans="1:1">
      <c r="A636">
        <f>IF(COUNTBLANK(B636:Q636)&lt;&gt;COLUMNS(B636:Q636),635,"")</f>
        <v>0</v>
      </c>
    </row>
    <row r="637" spans="1:1">
      <c r="A637">
        <f>IF(COUNTBLANK(B637:Q637)&lt;&gt;COLUMNS(B637:Q637),636,"")</f>
        <v>0</v>
      </c>
    </row>
    <row r="638" spans="1:1">
      <c r="A638">
        <f>IF(COUNTBLANK(B638:Q638)&lt;&gt;COLUMNS(B638:Q638),637,"")</f>
        <v>0</v>
      </c>
    </row>
    <row r="639" spans="1:1">
      <c r="A639">
        <f>IF(COUNTBLANK(B639:Q639)&lt;&gt;COLUMNS(B639:Q639),638,"")</f>
        <v>0</v>
      </c>
    </row>
    <row r="640" spans="1:1">
      <c r="A640">
        <f>IF(COUNTBLANK(B640:Q640)&lt;&gt;COLUMNS(B640:Q640),639,"")</f>
        <v>0</v>
      </c>
    </row>
    <row r="641" spans="1:1">
      <c r="A641">
        <f>IF(COUNTBLANK(B641:Q641)&lt;&gt;COLUMNS(B641:Q641),640,"")</f>
        <v>0</v>
      </c>
    </row>
    <row r="642" spans="1:1">
      <c r="A642">
        <f>IF(COUNTBLANK(B642:Q642)&lt;&gt;COLUMNS(B642:Q642),641,"")</f>
        <v>0</v>
      </c>
    </row>
    <row r="643" spans="1:1">
      <c r="A643">
        <f>IF(COUNTBLANK(B643:Q643)&lt;&gt;COLUMNS(B643:Q643),642,"")</f>
        <v>0</v>
      </c>
    </row>
    <row r="644" spans="1:1">
      <c r="A644">
        <f>IF(COUNTBLANK(B644:Q644)&lt;&gt;COLUMNS(B644:Q644),643,"")</f>
        <v>0</v>
      </c>
    </row>
    <row r="645" spans="1:1">
      <c r="A645">
        <f>IF(COUNTBLANK(B645:Q645)&lt;&gt;COLUMNS(B645:Q645),644,"")</f>
        <v>0</v>
      </c>
    </row>
    <row r="646" spans="1:1">
      <c r="A646">
        <f>IF(COUNTBLANK(B646:Q646)&lt;&gt;COLUMNS(B646:Q646),645,"")</f>
        <v>0</v>
      </c>
    </row>
    <row r="647" spans="1:1">
      <c r="A647">
        <f>IF(COUNTBLANK(B647:Q647)&lt;&gt;COLUMNS(B647:Q647),646,"")</f>
        <v>0</v>
      </c>
    </row>
    <row r="648" spans="1:1">
      <c r="A648">
        <f>IF(COUNTBLANK(B648:Q648)&lt;&gt;COLUMNS(B648:Q648),647,"")</f>
        <v>0</v>
      </c>
    </row>
    <row r="649" spans="1:1">
      <c r="A649">
        <f>IF(COUNTBLANK(B649:Q649)&lt;&gt;COLUMNS(B649:Q649),648,"")</f>
        <v>0</v>
      </c>
    </row>
    <row r="650" spans="1:1">
      <c r="A650">
        <f>IF(COUNTBLANK(B650:Q650)&lt;&gt;COLUMNS(B650:Q650),649,"")</f>
        <v>0</v>
      </c>
    </row>
    <row r="651" spans="1:1">
      <c r="A651">
        <f>IF(COUNTBLANK(B651:Q651)&lt;&gt;COLUMNS(B651:Q651),650,"")</f>
        <v>0</v>
      </c>
    </row>
    <row r="652" spans="1:1">
      <c r="A652">
        <f>IF(COUNTBLANK(B652:Q652)&lt;&gt;COLUMNS(B652:Q652),651,"")</f>
        <v>0</v>
      </c>
    </row>
    <row r="653" spans="1:1">
      <c r="A653">
        <f>IF(COUNTBLANK(B653:Q653)&lt;&gt;COLUMNS(B653:Q653),652,"")</f>
        <v>0</v>
      </c>
    </row>
    <row r="654" spans="1:1">
      <c r="A654">
        <f>IF(COUNTBLANK(B654:Q654)&lt;&gt;COLUMNS(B654:Q654),653,"")</f>
        <v>0</v>
      </c>
    </row>
    <row r="655" spans="1:1">
      <c r="A655">
        <f>IF(COUNTBLANK(B655:Q655)&lt;&gt;COLUMNS(B655:Q655),654,"")</f>
        <v>0</v>
      </c>
    </row>
    <row r="656" spans="1:1">
      <c r="A656">
        <f>IF(COUNTBLANK(B656:Q656)&lt;&gt;COLUMNS(B656:Q656),655,"")</f>
        <v>0</v>
      </c>
    </row>
    <row r="657" spans="1:1">
      <c r="A657">
        <f>IF(COUNTBLANK(B657:Q657)&lt;&gt;COLUMNS(B657:Q657),656,"")</f>
        <v>0</v>
      </c>
    </row>
    <row r="658" spans="1:1">
      <c r="A658">
        <f>IF(COUNTBLANK(B658:Q658)&lt;&gt;COLUMNS(B658:Q658),657,"")</f>
        <v>0</v>
      </c>
    </row>
    <row r="659" spans="1:1">
      <c r="A659">
        <f>IF(COUNTBLANK(B659:Q659)&lt;&gt;COLUMNS(B659:Q659),658,"")</f>
        <v>0</v>
      </c>
    </row>
    <row r="660" spans="1:1">
      <c r="A660">
        <f>IF(COUNTBLANK(B660:Q660)&lt;&gt;COLUMNS(B660:Q660),659,"")</f>
        <v>0</v>
      </c>
    </row>
    <row r="661" spans="1:1">
      <c r="A661">
        <f>IF(COUNTBLANK(B661:Q661)&lt;&gt;COLUMNS(B661:Q661),660,"")</f>
        <v>0</v>
      </c>
    </row>
    <row r="662" spans="1:1">
      <c r="A662">
        <f>IF(COUNTBLANK(B662:Q662)&lt;&gt;COLUMNS(B662:Q662),661,"")</f>
        <v>0</v>
      </c>
    </row>
    <row r="663" spans="1:1">
      <c r="A663">
        <f>IF(COUNTBLANK(B663:Q663)&lt;&gt;COLUMNS(B663:Q663),662,"")</f>
        <v>0</v>
      </c>
    </row>
    <row r="664" spans="1:1">
      <c r="A664">
        <f>IF(COUNTBLANK(B664:Q664)&lt;&gt;COLUMNS(B664:Q664),663,"")</f>
        <v>0</v>
      </c>
    </row>
    <row r="665" spans="1:1">
      <c r="A665">
        <f>IF(COUNTBLANK(B665:Q665)&lt;&gt;COLUMNS(B665:Q665),664,"")</f>
        <v>0</v>
      </c>
    </row>
    <row r="666" spans="1:1">
      <c r="A666">
        <f>IF(COUNTBLANK(B666:Q666)&lt;&gt;COLUMNS(B666:Q666),665,"")</f>
        <v>0</v>
      </c>
    </row>
    <row r="667" spans="1:1">
      <c r="A667">
        <f>IF(COUNTBLANK(B667:Q667)&lt;&gt;COLUMNS(B667:Q667),666,"")</f>
        <v>0</v>
      </c>
    </row>
    <row r="668" spans="1:1">
      <c r="A668">
        <f>IF(COUNTBLANK(B668:Q668)&lt;&gt;COLUMNS(B668:Q668),667,"")</f>
        <v>0</v>
      </c>
    </row>
    <row r="669" spans="1:1">
      <c r="A669">
        <f>IF(COUNTBLANK(B669:Q669)&lt;&gt;COLUMNS(B669:Q669),668,"")</f>
        <v>0</v>
      </c>
    </row>
    <row r="670" spans="1:1">
      <c r="A670">
        <f>IF(COUNTBLANK(B670:Q670)&lt;&gt;COLUMNS(B670:Q670),669,"")</f>
        <v>0</v>
      </c>
    </row>
    <row r="671" spans="1:1">
      <c r="A671">
        <f>IF(COUNTBLANK(B671:Q671)&lt;&gt;COLUMNS(B671:Q671),670,"")</f>
        <v>0</v>
      </c>
    </row>
    <row r="672" spans="1:1">
      <c r="A672">
        <f>IF(COUNTBLANK(B672:Q672)&lt;&gt;COLUMNS(B672:Q672),671,"")</f>
        <v>0</v>
      </c>
    </row>
    <row r="673" spans="1:1">
      <c r="A673">
        <f>IF(COUNTBLANK(B673:Q673)&lt;&gt;COLUMNS(B673:Q673),672,"")</f>
        <v>0</v>
      </c>
    </row>
    <row r="674" spans="1:1">
      <c r="A674">
        <f>IF(COUNTBLANK(B674:Q674)&lt;&gt;COLUMNS(B674:Q674),673,"")</f>
        <v>0</v>
      </c>
    </row>
    <row r="675" spans="1:1">
      <c r="A675">
        <f>IF(COUNTBLANK(B675:Q675)&lt;&gt;COLUMNS(B675:Q675),674,"")</f>
        <v>0</v>
      </c>
    </row>
    <row r="676" spans="1:1">
      <c r="A676">
        <f>IF(COUNTBLANK(B676:Q676)&lt;&gt;COLUMNS(B676:Q676),675,"")</f>
        <v>0</v>
      </c>
    </row>
    <row r="677" spans="1:1">
      <c r="A677">
        <f>IF(COUNTBLANK(B677:Q677)&lt;&gt;COLUMNS(B677:Q677),676,"")</f>
        <v>0</v>
      </c>
    </row>
    <row r="678" spans="1:1">
      <c r="A678">
        <f>IF(COUNTBLANK(B678:Q678)&lt;&gt;COLUMNS(B678:Q678),677,"")</f>
        <v>0</v>
      </c>
    </row>
    <row r="679" spans="1:1">
      <c r="A679">
        <f>IF(COUNTBLANK(B679:Q679)&lt;&gt;COLUMNS(B679:Q679),678,"")</f>
        <v>0</v>
      </c>
    </row>
    <row r="680" spans="1:1">
      <c r="A680">
        <f>IF(COUNTBLANK(B680:Q680)&lt;&gt;COLUMNS(B680:Q680),679,"")</f>
        <v>0</v>
      </c>
    </row>
    <row r="681" spans="1:1">
      <c r="A681">
        <f>IF(COUNTBLANK(B681:Q681)&lt;&gt;COLUMNS(B681:Q681),680,"")</f>
        <v>0</v>
      </c>
    </row>
    <row r="682" spans="1:1">
      <c r="A682">
        <f>IF(COUNTBLANK(B682:Q682)&lt;&gt;COLUMNS(B682:Q682),681,"")</f>
        <v>0</v>
      </c>
    </row>
    <row r="683" spans="1:1">
      <c r="A683">
        <f>IF(COUNTBLANK(B683:Q683)&lt;&gt;COLUMNS(B683:Q683),682,"")</f>
        <v>0</v>
      </c>
    </row>
    <row r="684" spans="1:1">
      <c r="A684">
        <f>IF(COUNTBLANK(B684:Q684)&lt;&gt;COLUMNS(B684:Q684),683,"")</f>
        <v>0</v>
      </c>
    </row>
    <row r="685" spans="1:1">
      <c r="A685">
        <f>IF(COUNTBLANK(B685:Q685)&lt;&gt;COLUMNS(B685:Q685),684,"")</f>
        <v>0</v>
      </c>
    </row>
    <row r="686" spans="1:1">
      <c r="A686">
        <f>IF(COUNTBLANK(B686:Q686)&lt;&gt;COLUMNS(B686:Q686),685,"")</f>
        <v>0</v>
      </c>
    </row>
    <row r="687" spans="1:1">
      <c r="A687">
        <f>IF(COUNTBLANK(B687:Q687)&lt;&gt;COLUMNS(B687:Q687),686,"")</f>
        <v>0</v>
      </c>
    </row>
    <row r="688" spans="1:1">
      <c r="A688">
        <f>IF(COUNTBLANK(B688:Q688)&lt;&gt;COLUMNS(B688:Q688),687,"")</f>
        <v>0</v>
      </c>
    </row>
    <row r="689" spans="1:1">
      <c r="A689">
        <f>IF(COUNTBLANK(B689:Q689)&lt;&gt;COLUMNS(B689:Q689),688,"")</f>
        <v>0</v>
      </c>
    </row>
    <row r="690" spans="1:1">
      <c r="A690">
        <f>IF(COUNTBLANK(B690:Q690)&lt;&gt;COLUMNS(B690:Q690),689,"")</f>
        <v>0</v>
      </c>
    </row>
    <row r="691" spans="1:1">
      <c r="A691">
        <f>IF(COUNTBLANK(B691:Q691)&lt;&gt;COLUMNS(B691:Q691),690,"")</f>
        <v>0</v>
      </c>
    </row>
    <row r="692" spans="1:1">
      <c r="A692">
        <f>IF(COUNTBLANK(B692:Q692)&lt;&gt;COLUMNS(B692:Q692),691,"")</f>
        <v>0</v>
      </c>
    </row>
    <row r="693" spans="1:1">
      <c r="A693">
        <f>IF(COUNTBLANK(B693:Q693)&lt;&gt;COLUMNS(B693:Q693),692,"")</f>
        <v>0</v>
      </c>
    </row>
    <row r="694" spans="1:1">
      <c r="A694">
        <f>IF(COUNTBLANK(B694:Q694)&lt;&gt;COLUMNS(B694:Q694),693,"")</f>
        <v>0</v>
      </c>
    </row>
    <row r="695" spans="1:1">
      <c r="A695">
        <f>IF(COUNTBLANK(B695:Q695)&lt;&gt;COLUMNS(B695:Q695),694,"")</f>
        <v>0</v>
      </c>
    </row>
    <row r="696" spans="1:1">
      <c r="A696">
        <f>IF(COUNTBLANK(B696:Q696)&lt;&gt;COLUMNS(B696:Q696),695,"")</f>
        <v>0</v>
      </c>
    </row>
    <row r="697" spans="1:1">
      <c r="A697">
        <f>IF(COUNTBLANK(B697:Q697)&lt;&gt;COLUMNS(B697:Q697),696,"")</f>
        <v>0</v>
      </c>
    </row>
    <row r="698" spans="1:1">
      <c r="A698">
        <f>IF(COUNTBLANK(B698:Q698)&lt;&gt;COLUMNS(B698:Q698),697,"")</f>
        <v>0</v>
      </c>
    </row>
    <row r="699" spans="1:1">
      <c r="A699">
        <f>IF(COUNTBLANK(B699:Q699)&lt;&gt;COLUMNS(B699:Q699),698,"")</f>
        <v>0</v>
      </c>
    </row>
    <row r="700" spans="1:1">
      <c r="A700">
        <f>IF(COUNTBLANK(B700:Q700)&lt;&gt;COLUMNS(B700:Q700),699,"")</f>
        <v>0</v>
      </c>
    </row>
    <row r="701" spans="1:1">
      <c r="A701">
        <f>IF(COUNTBLANK(B701:Q701)&lt;&gt;COLUMNS(B701:Q701),700,"")</f>
        <v>0</v>
      </c>
    </row>
    <row r="702" spans="1:1">
      <c r="A702">
        <f>IF(COUNTBLANK(B702:Q702)&lt;&gt;COLUMNS(B702:Q702),701,"")</f>
        <v>0</v>
      </c>
    </row>
    <row r="703" spans="1:1">
      <c r="A703">
        <f>IF(COUNTBLANK(B703:Q703)&lt;&gt;COLUMNS(B703:Q703),702,"")</f>
        <v>0</v>
      </c>
    </row>
    <row r="704" spans="1:1">
      <c r="A704">
        <f>IF(COUNTBLANK(B704:Q704)&lt;&gt;COLUMNS(B704:Q704),703,"")</f>
        <v>0</v>
      </c>
    </row>
    <row r="705" spans="1:1">
      <c r="A705">
        <f>IF(COUNTBLANK(B705:Q705)&lt;&gt;COLUMNS(B705:Q705),704,"")</f>
        <v>0</v>
      </c>
    </row>
    <row r="706" spans="1:1">
      <c r="A706">
        <f>IF(COUNTBLANK(B706:Q706)&lt;&gt;COLUMNS(B706:Q706),705,"")</f>
        <v>0</v>
      </c>
    </row>
    <row r="707" spans="1:1">
      <c r="A707">
        <f>IF(COUNTBLANK(B707:Q707)&lt;&gt;COLUMNS(B707:Q707),706,"")</f>
        <v>0</v>
      </c>
    </row>
    <row r="708" spans="1:1">
      <c r="A708">
        <f>IF(COUNTBLANK(B708:Q708)&lt;&gt;COLUMNS(B708:Q708),707,"")</f>
        <v>0</v>
      </c>
    </row>
    <row r="709" spans="1:1">
      <c r="A709">
        <f>IF(COUNTBLANK(B709:Q709)&lt;&gt;COLUMNS(B709:Q709),708,"")</f>
        <v>0</v>
      </c>
    </row>
    <row r="710" spans="1:1">
      <c r="A710">
        <f>IF(COUNTBLANK(B710:Q710)&lt;&gt;COLUMNS(B710:Q710),709,"")</f>
        <v>0</v>
      </c>
    </row>
    <row r="711" spans="1:1">
      <c r="A711">
        <f>IF(COUNTBLANK(B711:Q711)&lt;&gt;COLUMNS(B711:Q711),710,"")</f>
        <v>0</v>
      </c>
    </row>
    <row r="712" spans="1:1">
      <c r="A712">
        <f>IF(COUNTBLANK(B712:Q712)&lt;&gt;COLUMNS(B712:Q712),711,"")</f>
        <v>0</v>
      </c>
    </row>
    <row r="713" spans="1:1">
      <c r="A713">
        <f>IF(COUNTBLANK(B713:Q713)&lt;&gt;COLUMNS(B713:Q713),712,"")</f>
        <v>0</v>
      </c>
    </row>
    <row r="714" spans="1:1">
      <c r="A714">
        <f>IF(COUNTBLANK(B714:Q714)&lt;&gt;COLUMNS(B714:Q714),713,"")</f>
        <v>0</v>
      </c>
    </row>
    <row r="715" spans="1:1">
      <c r="A715">
        <f>IF(COUNTBLANK(B715:Q715)&lt;&gt;COLUMNS(B715:Q715),714,"")</f>
        <v>0</v>
      </c>
    </row>
    <row r="716" spans="1:1">
      <c r="A716">
        <f>IF(COUNTBLANK(B716:Q716)&lt;&gt;COLUMNS(B716:Q716),715,"")</f>
        <v>0</v>
      </c>
    </row>
    <row r="717" spans="1:1">
      <c r="A717">
        <f>IF(COUNTBLANK(B717:Q717)&lt;&gt;COLUMNS(B717:Q717),716,"")</f>
        <v>0</v>
      </c>
    </row>
    <row r="718" spans="1:1">
      <c r="A718">
        <f>IF(COUNTBLANK(B718:Q718)&lt;&gt;COLUMNS(B718:Q718),717,"")</f>
        <v>0</v>
      </c>
    </row>
    <row r="719" spans="1:1">
      <c r="A719">
        <f>IF(COUNTBLANK(B719:Q719)&lt;&gt;COLUMNS(B719:Q719),718,"")</f>
        <v>0</v>
      </c>
    </row>
    <row r="720" spans="1:1">
      <c r="A720">
        <f>IF(COUNTBLANK(B720:Q720)&lt;&gt;COLUMNS(B720:Q720),719,"")</f>
        <v>0</v>
      </c>
    </row>
    <row r="721" spans="1:1">
      <c r="A721">
        <f>IF(COUNTBLANK(B721:Q721)&lt;&gt;COLUMNS(B721:Q721),720,"")</f>
        <v>0</v>
      </c>
    </row>
    <row r="722" spans="1:1">
      <c r="A722">
        <f>IF(COUNTBLANK(B722:Q722)&lt;&gt;COLUMNS(B722:Q722),721,"")</f>
        <v>0</v>
      </c>
    </row>
    <row r="723" spans="1:1">
      <c r="A723">
        <f>IF(COUNTBLANK(B723:Q723)&lt;&gt;COLUMNS(B723:Q723),722,"")</f>
        <v>0</v>
      </c>
    </row>
    <row r="724" spans="1:1">
      <c r="A724">
        <f>IF(COUNTBLANK(B724:Q724)&lt;&gt;COLUMNS(B724:Q724),723,"")</f>
        <v>0</v>
      </c>
    </row>
    <row r="725" spans="1:1">
      <c r="A725">
        <f>IF(COUNTBLANK(B725:Q725)&lt;&gt;COLUMNS(B725:Q725),724,"")</f>
        <v>0</v>
      </c>
    </row>
    <row r="726" spans="1:1">
      <c r="A726">
        <f>IF(COUNTBLANK(B726:Q726)&lt;&gt;COLUMNS(B726:Q726),725,"")</f>
        <v>0</v>
      </c>
    </row>
    <row r="727" spans="1:1">
      <c r="A727">
        <f>IF(COUNTBLANK(B727:Q727)&lt;&gt;COLUMNS(B727:Q727),726,"")</f>
        <v>0</v>
      </c>
    </row>
    <row r="728" spans="1:1">
      <c r="A728">
        <f>IF(COUNTBLANK(B728:Q728)&lt;&gt;COLUMNS(B728:Q728),727,"")</f>
        <v>0</v>
      </c>
    </row>
    <row r="729" spans="1:1">
      <c r="A729">
        <f>IF(COUNTBLANK(B729:Q729)&lt;&gt;COLUMNS(B729:Q729),728,"")</f>
        <v>0</v>
      </c>
    </row>
    <row r="730" spans="1:1">
      <c r="A730">
        <f>IF(COUNTBLANK(B730:Q730)&lt;&gt;COLUMNS(B730:Q730),729,"")</f>
        <v>0</v>
      </c>
    </row>
    <row r="731" spans="1:1">
      <c r="A731">
        <f>IF(COUNTBLANK(B731:Q731)&lt;&gt;COLUMNS(B731:Q731),730,"")</f>
        <v>0</v>
      </c>
    </row>
    <row r="732" spans="1:1">
      <c r="A732">
        <f>IF(COUNTBLANK(B732:Q732)&lt;&gt;COLUMNS(B732:Q732),731,"")</f>
        <v>0</v>
      </c>
    </row>
    <row r="733" spans="1:1">
      <c r="A733">
        <f>IF(COUNTBLANK(B733:Q733)&lt;&gt;COLUMNS(B733:Q733),732,"")</f>
        <v>0</v>
      </c>
    </row>
    <row r="734" spans="1:1">
      <c r="A734">
        <f>IF(COUNTBLANK(B734:Q734)&lt;&gt;COLUMNS(B734:Q734),733,"")</f>
        <v>0</v>
      </c>
    </row>
    <row r="735" spans="1:1">
      <c r="A735">
        <f>IF(COUNTBLANK(B735:Q735)&lt;&gt;COLUMNS(B735:Q735),734,"")</f>
        <v>0</v>
      </c>
    </row>
    <row r="736" spans="1:1">
      <c r="A736">
        <f>IF(COUNTBLANK(B736:Q736)&lt;&gt;COLUMNS(B736:Q736),735,"")</f>
        <v>0</v>
      </c>
    </row>
    <row r="737" spans="1:1">
      <c r="A737">
        <f>IF(COUNTBLANK(B737:Q737)&lt;&gt;COLUMNS(B737:Q737),736,"")</f>
        <v>0</v>
      </c>
    </row>
    <row r="738" spans="1:1">
      <c r="A738">
        <f>IF(COUNTBLANK(B738:Q738)&lt;&gt;COLUMNS(B738:Q738),737,"")</f>
        <v>0</v>
      </c>
    </row>
    <row r="739" spans="1:1">
      <c r="A739">
        <f>IF(COUNTBLANK(B739:Q739)&lt;&gt;COLUMNS(B739:Q739),738,"")</f>
        <v>0</v>
      </c>
    </row>
    <row r="740" spans="1:1">
      <c r="A740">
        <f>IF(COUNTBLANK(B740:Q740)&lt;&gt;COLUMNS(B740:Q740),739,"")</f>
        <v>0</v>
      </c>
    </row>
    <row r="741" spans="1:1">
      <c r="A741">
        <f>IF(COUNTBLANK(B741:Q741)&lt;&gt;COLUMNS(B741:Q741),740,"")</f>
        <v>0</v>
      </c>
    </row>
    <row r="742" spans="1:1">
      <c r="A742">
        <f>IF(COUNTBLANK(B742:Q742)&lt;&gt;COLUMNS(B742:Q742),741,"")</f>
        <v>0</v>
      </c>
    </row>
    <row r="743" spans="1:1">
      <c r="A743">
        <f>IF(COUNTBLANK(B743:Q743)&lt;&gt;COLUMNS(B743:Q743),742,"")</f>
        <v>0</v>
      </c>
    </row>
    <row r="744" spans="1:1">
      <c r="A744">
        <f>IF(COUNTBLANK(B744:Q744)&lt;&gt;COLUMNS(B744:Q744),743,"")</f>
        <v>0</v>
      </c>
    </row>
    <row r="745" spans="1:1">
      <c r="A745">
        <f>IF(COUNTBLANK(B745:Q745)&lt;&gt;COLUMNS(B745:Q745),744,"")</f>
        <v>0</v>
      </c>
    </row>
    <row r="746" spans="1:1">
      <c r="A746">
        <f>IF(COUNTBLANK(B746:Q746)&lt;&gt;COLUMNS(B746:Q746),745,"")</f>
        <v>0</v>
      </c>
    </row>
    <row r="747" spans="1:1">
      <c r="A747">
        <f>IF(COUNTBLANK(B747:Q747)&lt;&gt;COLUMNS(B747:Q747),746,"")</f>
        <v>0</v>
      </c>
    </row>
    <row r="748" spans="1:1">
      <c r="A748">
        <f>IF(COUNTBLANK(B748:Q748)&lt;&gt;COLUMNS(B748:Q748),747,"")</f>
        <v>0</v>
      </c>
    </row>
    <row r="749" spans="1:1">
      <c r="A749">
        <f>IF(COUNTBLANK(B749:Q749)&lt;&gt;COLUMNS(B749:Q749),748,"")</f>
        <v>0</v>
      </c>
    </row>
    <row r="750" spans="1:1">
      <c r="A750">
        <f>IF(COUNTBLANK(B750:Q750)&lt;&gt;COLUMNS(B750:Q750),749,"")</f>
        <v>0</v>
      </c>
    </row>
    <row r="751" spans="1:1">
      <c r="A751">
        <f>IF(COUNTBLANK(B751:Q751)&lt;&gt;COLUMNS(B751:Q751),750,"")</f>
        <v>0</v>
      </c>
    </row>
    <row r="752" spans="1:1">
      <c r="A752">
        <f>IF(COUNTBLANK(B752:Q752)&lt;&gt;COLUMNS(B752:Q752),751,"")</f>
        <v>0</v>
      </c>
    </row>
    <row r="753" spans="1:1">
      <c r="A753">
        <f>IF(COUNTBLANK(B753:Q753)&lt;&gt;COLUMNS(B753:Q753),752,"")</f>
        <v>0</v>
      </c>
    </row>
    <row r="754" spans="1:1">
      <c r="A754">
        <f>IF(COUNTBLANK(B754:Q754)&lt;&gt;COLUMNS(B754:Q754),753,"")</f>
        <v>0</v>
      </c>
    </row>
    <row r="755" spans="1:1">
      <c r="A755">
        <f>IF(COUNTBLANK(B755:Q755)&lt;&gt;COLUMNS(B755:Q755),754,"")</f>
        <v>0</v>
      </c>
    </row>
    <row r="756" spans="1:1">
      <c r="A756">
        <f>IF(COUNTBLANK(B756:Q756)&lt;&gt;COLUMNS(B756:Q756),755,"")</f>
        <v>0</v>
      </c>
    </row>
    <row r="757" spans="1:1">
      <c r="A757">
        <f>IF(COUNTBLANK(B757:Q757)&lt;&gt;COLUMNS(B757:Q757),756,"")</f>
        <v>0</v>
      </c>
    </row>
    <row r="758" spans="1:1">
      <c r="A758">
        <f>IF(COUNTBLANK(B758:Q758)&lt;&gt;COLUMNS(B758:Q758),757,"")</f>
        <v>0</v>
      </c>
    </row>
    <row r="759" spans="1:1">
      <c r="A759">
        <f>IF(COUNTBLANK(B759:Q759)&lt;&gt;COLUMNS(B759:Q759),758,"")</f>
        <v>0</v>
      </c>
    </row>
    <row r="760" spans="1:1">
      <c r="A760">
        <f>IF(COUNTBLANK(B760:Q760)&lt;&gt;COLUMNS(B760:Q760),759,"")</f>
        <v>0</v>
      </c>
    </row>
    <row r="761" spans="1:1">
      <c r="A761">
        <f>IF(COUNTBLANK(B761:Q761)&lt;&gt;COLUMNS(B761:Q761),760,"")</f>
        <v>0</v>
      </c>
    </row>
    <row r="762" spans="1:1">
      <c r="A762">
        <f>IF(COUNTBLANK(B762:Q762)&lt;&gt;COLUMNS(B762:Q762),761,"")</f>
        <v>0</v>
      </c>
    </row>
    <row r="763" spans="1:1">
      <c r="A763">
        <f>IF(COUNTBLANK(B763:Q763)&lt;&gt;COLUMNS(B763:Q763),762,"")</f>
        <v>0</v>
      </c>
    </row>
    <row r="764" spans="1:1">
      <c r="A764">
        <f>IF(COUNTBLANK(B764:Q764)&lt;&gt;COLUMNS(B764:Q764),763,"")</f>
        <v>0</v>
      </c>
    </row>
    <row r="765" spans="1:1">
      <c r="A765">
        <f>IF(COUNTBLANK(B765:Q765)&lt;&gt;COLUMNS(B765:Q765),764,"")</f>
        <v>0</v>
      </c>
    </row>
    <row r="766" spans="1:1">
      <c r="A766">
        <f>IF(COUNTBLANK(B766:Q766)&lt;&gt;COLUMNS(B766:Q766),765,"")</f>
        <v>0</v>
      </c>
    </row>
    <row r="767" spans="1:1">
      <c r="A767">
        <f>IF(COUNTBLANK(B767:Q767)&lt;&gt;COLUMNS(B767:Q767),766,"")</f>
        <v>0</v>
      </c>
    </row>
    <row r="768" spans="1:1">
      <c r="A768">
        <f>IF(COUNTBLANK(B768:Q768)&lt;&gt;COLUMNS(B768:Q768),767,"")</f>
        <v>0</v>
      </c>
    </row>
    <row r="769" spans="1:1">
      <c r="A769">
        <f>IF(COUNTBLANK(B769:Q769)&lt;&gt;COLUMNS(B769:Q769),768,"")</f>
        <v>0</v>
      </c>
    </row>
    <row r="770" spans="1:1">
      <c r="A770">
        <f>IF(COUNTBLANK(B770:Q770)&lt;&gt;COLUMNS(B770:Q770),769,"")</f>
        <v>0</v>
      </c>
    </row>
    <row r="771" spans="1:1">
      <c r="A771">
        <f>IF(COUNTBLANK(B771:Q771)&lt;&gt;COLUMNS(B771:Q771),770,"")</f>
        <v>0</v>
      </c>
    </row>
    <row r="772" spans="1:1">
      <c r="A772">
        <f>IF(COUNTBLANK(B772:Q772)&lt;&gt;COLUMNS(B772:Q772),771,"")</f>
        <v>0</v>
      </c>
    </row>
    <row r="773" spans="1:1">
      <c r="A773">
        <f>IF(COUNTBLANK(B773:Q773)&lt;&gt;COLUMNS(B773:Q773),772,"")</f>
        <v>0</v>
      </c>
    </row>
    <row r="774" spans="1:1">
      <c r="A774">
        <f>IF(COUNTBLANK(B774:Q774)&lt;&gt;COLUMNS(B774:Q774),773,"")</f>
        <v>0</v>
      </c>
    </row>
    <row r="775" spans="1:1">
      <c r="A775">
        <f>IF(COUNTBLANK(B775:Q775)&lt;&gt;COLUMNS(B775:Q775),774,"")</f>
        <v>0</v>
      </c>
    </row>
    <row r="776" spans="1:1">
      <c r="A776">
        <f>IF(COUNTBLANK(B776:Q776)&lt;&gt;COLUMNS(B776:Q776),775,"")</f>
        <v>0</v>
      </c>
    </row>
    <row r="777" spans="1:1">
      <c r="A777">
        <f>IF(COUNTBLANK(B777:Q777)&lt;&gt;COLUMNS(B777:Q777),776,"")</f>
        <v>0</v>
      </c>
    </row>
    <row r="778" spans="1:1">
      <c r="A778">
        <f>IF(COUNTBLANK(B778:Q778)&lt;&gt;COLUMNS(B778:Q778),777,"")</f>
        <v>0</v>
      </c>
    </row>
    <row r="779" spans="1:1">
      <c r="A779">
        <f>IF(COUNTBLANK(B779:Q779)&lt;&gt;COLUMNS(B779:Q779),778,"")</f>
        <v>0</v>
      </c>
    </row>
    <row r="780" spans="1:1">
      <c r="A780">
        <f>IF(COUNTBLANK(B780:Q780)&lt;&gt;COLUMNS(B780:Q780),779,"")</f>
        <v>0</v>
      </c>
    </row>
    <row r="781" spans="1:1">
      <c r="A781">
        <f>IF(COUNTBLANK(B781:Q781)&lt;&gt;COLUMNS(B781:Q781),780,"")</f>
        <v>0</v>
      </c>
    </row>
    <row r="782" spans="1:1">
      <c r="A782">
        <f>IF(COUNTBLANK(B782:Q782)&lt;&gt;COLUMNS(B782:Q782),781,"")</f>
        <v>0</v>
      </c>
    </row>
    <row r="783" spans="1:1">
      <c r="A783">
        <f>IF(COUNTBLANK(B783:Q783)&lt;&gt;COLUMNS(B783:Q783),782,"")</f>
        <v>0</v>
      </c>
    </row>
    <row r="784" spans="1:1">
      <c r="A784">
        <f>IF(COUNTBLANK(B784:Q784)&lt;&gt;COLUMNS(B784:Q784),783,"")</f>
        <v>0</v>
      </c>
    </row>
    <row r="785" spans="1:1">
      <c r="A785">
        <f>IF(COUNTBLANK(B785:Q785)&lt;&gt;COLUMNS(B785:Q785),784,"")</f>
        <v>0</v>
      </c>
    </row>
    <row r="786" spans="1:1">
      <c r="A786">
        <f>IF(COUNTBLANK(B786:Q786)&lt;&gt;COLUMNS(B786:Q786),785,"")</f>
        <v>0</v>
      </c>
    </row>
    <row r="787" spans="1:1">
      <c r="A787">
        <f>IF(COUNTBLANK(B787:Q787)&lt;&gt;COLUMNS(B787:Q787),786,"")</f>
        <v>0</v>
      </c>
    </row>
    <row r="788" spans="1:1">
      <c r="A788">
        <f>IF(COUNTBLANK(B788:Q788)&lt;&gt;COLUMNS(B788:Q788),787,"")</f>
        <v>0</v>
      </c>
    </row>
    <row r="789" spans="1:1">
      <c r="A789">
        <f>IF(COUNTBLANK(B789:Q789)&lt;&gt;COLUMNS(B789:Q789),788,"")</f>
        <v>0</v>
      </c>
    </row>
    <row r="790" spans="1:1">
      <c r="A790">
        <f>IF(COUNTBLANK(B790:Q790)&lt;&gt;COLUMNS(B790:Q790),789,"")</f>
        <v>0</v>
      </c>
    </row>
    <row r="791" spans="1:1">
      <c r="A791">
        <f>IF(COUNTBLANK(B791:Q791)&lt;&gt;COLUMNS(B791:Q791),790,"")</f>
        <v>0</v>
      </c>
    </row>
    <row r="792" spans="1:1">
      <c r="A792">
        <f>IF(COUNTBLANK(B792:Q792)&lt;&gt;COLUMNS(B792:Q792),791,"")</f>
        <v>0</v>
      </c>
    </row>
    <row r="793" spans="1:1">
      <c r="A793">
        <f>IF(COUNTBLANK(B793:Q793)&lt;&gt;COLUMNS(B793:Q793),792,"")</f>
        <v>0</v>
      </c>
    </row>
    <row r="794" spans="1:1">
      <c r="A794">
        <f>IF(COUNTBLANK(B794:Q794)&lt;&gt;COLUMNS(B794:Q794),793,"")</f>
        <v>0</v>
      </c>
    </row>
    <row r="795" spans="1:1">
      <c r="A795">
        <f>IF(COUNTBLANK(B795:Q795)&lt;&gt;COLUMNS(B795:Q795),794,"")</f>
        <v>0</v>
      </c>
    </row>
    <row r="796" spans="1:1">
      <c r="A796">
        <f>IF(COUNTBLANK(B796:Q796)&lt;&gt;COLUMNS(B796:Q796),795,"")</f>
        <v>0</v>
      </c>
    </row>
    <row r="797" spans="1:1">
      <c r="A797">
        <f>IF(COUNTBLANK(B797:Q797)&lt;&gt;COLUMNS(B797:Q797),796,"")</f>
        <v>0</v>
      </c>
    </row>
    <row r="798" spans="1:1">
      <c r="A798">
        <f>IF(COUNTBLANK(B798:Q798)&lt;&gt;COLUMNS(B798:Q798),797,"")</f>
        <v>0</v>
      </c>
    </row>
    <row r="799" spans="1:1">
      <c r="A799">
        <f>IF(COUNTBLANK(B799:Q799)&lt;&gt;COLUMNS(B799:Q799),798,"")</f>
        <v>0</v>
      </c>
    </row>
    <row r="800" spans="1:1">
      <c r="A800">
        <f>IF(COUNTBLANK(B800:Q800)&lt;&gt;COLUMNS(B800:Q800),799,"")</f>
        <v>0</v>
      </c>
    </row>
    <row r="801" spans="1:1">
      <c r="A801">
        <f>IF(COUNTBLANK(B801:Q801)&lt;&gt;COLUMNS(B801:Q801),800,"")</f>
        <v>0</v>
      </c>
    </row>
    <row r="802" spans="1:1">
      <c r="A802">
        <f>IF(COUNTBLANK(B802:Q802)&lt;&gt;COLUMNS(B802:Q802),801,"")</f>
        <v>0</v>
      </c>
    </row>
    <row r="803" spans="1:1">
      <c r="A803">
        <f>IF(COUNTBLANK(B803:Q803)&lt;&gt;COLUMNS(B803:Q803),802,"")</f>
        <v>0</v>
      </c>
    </row>
    <row r="804" spans="1:1">
      <c r="A804">
        <f>IF(COUNTBLANK(B804:Q804)&lt;&gt;COLUMNS(B804:Q804),803,"")</f>
        <v>0</v>
      </c>
    </row>
    <row r="805" spans="1:1">
      <c r="A805">
        <f>IF(COUNTBLANK(B805:Q805)&lt;&gt;COLUMNS(B805:Q805),804,"")</f>
        <v>0</v>
      </c>
    </row>
    <row r="806" spans="1:1">
      <c r="A806">
        <f>IF(COUNTBLANK(B806:Q806)&lt;&gt;COLUMNS(B806:Q806),805,"")</f>
        <v>0</v>
      </c>
    </row>
    <row r="807" spans="1:1">
      <c r="A807">
        <f>IF(COUNTBLANK(B807:Q807)&lt;&gt;COLUMNS(B807:Q807),806,"")</f>
        <v>0</v>
      </c>
    </row>
    <row r="808" spans="1:1">
      <c r="A808">
        <f>IF(COUNTBLANK(B808:Q808)&lt;&gt;COLUMNS(B808:Q808),807,"")</f>
        <v>0</v>
      </c>
    </row>
    <row r="809" spans="1:1">
      <c r="A809">
        <f>IF(COUNTBLANK(B809:Q809)&lt;&gt;COLUMNS(B809:Q809),808,"")</f>
        <v>0</v>
      </c>
    </row>
    <row r="810" spans="1:1">
      <c r="A810">
        <f>IF(COUNTBLANK(B810:Q810)&lt;&gt;COLUMNS(B810:Q810),809,"")</f>
        <v>0</v>
      </c>
    </row>
    <row r="811" spans="1:1">
      <c r="A811">
        <f>IF(COUNTBLANK(B811:Q811)&lt;&gt;COLUMNS(B811:Q811),810,"")</f>
        <v>0</v>
      </c>
    </row>
    <row r="812" spans="1:1">
      <c r="A812">
        <f>IF(COUNTBLANK(B812:Q812)&lt;&gt;COLUMNS(B812:Q812),811,"")</f>
        <v>0</v>
      </c>
    </row>
    <row r="813" spans="1:1">
      <c r="A813">
        <f>IF(COUNTBLANK(B813:Q813)&lt;&gt;COLUMNS(B813:Q813),812,"")</f>
        <v>0</v>
      </c>
    </row>
    <row r="814" spans="1:1">
      <c r="A814">
        <f>IF(COUNTBLANK(B814:Q814)&lt;&gt;COLUMNS(B814:Q814),813,"")</f>
        <v>0</v>
      </c>
    </row>
    <row r="815" spans="1:1">
      <c r="A815">
        <f>IF(COUNTBLANK(B815:Q815)&lt;&gt;COLUMNS(B815:Q815),814,"")</f>
        <v>0</v>
      </c>
    </row>
    <row r="816" spans="1:1">
      <c r="A816">
        <f>IF(COUNTBLANK(B816:Q816)&lt;&gt;COLUMNS(B816:Q816),815,"")</f>
        <v>0</v>
      </c>
    </row>
    <row r="817" spans="1:1">
      <c r="A817">
        <f>IF(COUNTBLANK(B817:Q817)&lt;&gt;COLUMNS(B817:Q817),816,"")</f>
        <v>0</v>
      </c>
    </row>
    <row r="818" spans="1:1">
      <c r="A818">
        <f>IF(COUNTBLANK(B818:Q818)&lt;&gt;COLUMNS(B818:Q818),817,"")</f>
        <v>0</v>
      </c>
    </row>
    <row r="819" spans="1:1">
      <c r="A819">
        <f>IF(COUNTBLANK(B819:Q819)&lt;&gt;COLUMNS(B819:Q819),818,"")</f>
        <v>0</v>
      </c>
    </row>
    <row r="820" spans="1:1">
      <c r="A820">
        <f>IF(COUNTBLANK(B820:Q820)&lt;&gt;COLUMNS(B820:Q820),819,"")</f>
        <v>0</v>
      </c>
    </row>
    <row r="821" spans="1:1">
      <c r="A821">
        <f>IF(COUNTBLANK(B821:Q821)&lt;&gt;COLUMNS(B821:Q821),820,"")</f>
        <v>0</v>
      </c>
    </row>
    <row r="822" spans="1:1">
      <c r="A822">
        <f>IF(COUNTBLANK(B822:Q822)&lt;&gt;COLUMNS(B822:Q822),821,"")</f>
        <v>0</v>
      </c>
    </row>
    <row r="823" spans="1:1">
      <c r="A823">
        <f>IF(COUNTBLANK(B823:Q823)&lt;&gt;COLUMNS(B823:Q823),822,"")</f>
        <v>0</v>
      </c>
    </row>
    <row r="824" spans="1:1">
      <c r="A824">
        <f>IF(COUNTBLANK(B824:Q824)&lt;&gt;COLUMNS(B824:Q824),823,"")</f>
        <v>0</v>
      </c>
    </row>
    <row r="825" spans="1:1">
      <c r="A825">
        <f>IF(COUNTBLANK(B825:Q825)&lt;&gt;COLUMNS(B825:Q825),824,"")</f>
        <v>0</v>
      </c>
    </row>
    <row r="826" spans="1:1">
      <c r="A826">
        <f>IF(COUNTBLANK(B826:Q826)&lt;&gt;COLUMNS(B826:Q826),825,"")</f>
        <v>0</v>
      </c>
    </row>
    <row r="827" spans="1:1">
      <c r="A827">
        <f>IF(COUNTBLANK(B827:Q827)&lt;&gt;COLUMNS(B827:Q827),826,"")</f>
        <v>0</v>
      </c>
    </row>
    <row r="828" spans="1:1">
      <c r="A828">
        <f>IF(COUNTBLANK(B828:Q828)&lt;&gt;COLUMNS(B828:Q828),827,"")</f>
        <v>0</v>
      </c>
    </row>
    <row r="829" spans="1:1">
      <c r="A829">
        <f>IF(COUNTBLANK(B829:Q829)&lt;&gt;COLUMNS(B829:Q829),828,"")</f>
        <v>0</v>
      </c>
    </row>
    <row r="830" spans="1:1">
      <c r="A830">
        <f>IF(COUNTBLANK(B830:Q830)&lt;&gt;COLUMNS(B830:Q830),829,"")</f>
        <v>0</v>
      </c>
    </row>
    <row r="831" spans="1:1">
      <c r="A831">
        <f>IF(COUNTBLANK(B831:Q831)&lt;&gt;COLUMNS(B831:Q831),830,"")</f>
        <v>0</v>
      </c>
    </row>
    <row r="832" spans="1:1">
      <c r="A832">
        <f>IF(COUNTBLANK(B832:Q832)&lt;&gt;COLUMNS(B832:Q832),831,"")</f>
        <v>0</v>
      </c>
    </row>
    <row r="833" spans="1:1">
      <c r="A833">
        <f>IF(COUNTBLANK(B833:Q833)&lt;&gt;COLUMNS(B833:Q833),832,"")</f>
        <v>0</v>
      </c>
    </row>
    <row r="834" spans="1:1">
      <c r="A834">
        <f>IF(COUNTBLANK(B834:Q834)&lt;&gt;COLUMNS(B834:Q834),833,"")</f>
        <v>0</v>
      </c>
    </row>
    <row r="835" spans="1:1">
      <c r="A835">
        <f>IF(COUNTBLANK(B835:Q835)&lt;&gt;COLUMNS(B835:Q835),834,"")</f>
        <v>0</v>
      </c>
    </row>
    <row r="836" spans="1:1">
      <c r="A836">
        <f>IF(COUNTBLANK(B836:Q836)&lt;&gt;COLUMNS(B836:Q836),835,"")</f>
        <v>0</v>
      </c>
    </row>
    <row r="837" spans="1:1">
      <c r="A837">
        <f>IF(COUNTBLANK(B837:Q837)&lt;&gt;COLUMNS(B837:Q837),836,"")</f>
        <v>0</v>
      </c>
    </row>
    <row r="838" spans="1:1">
      <c r="A838">
        <f>IF(COUNTBLANK(B838:Q838)&lt;&gt;COLUMNS(B838:Q838),837,"")</f>
        <v>0</v>
      </c>
    </row>
    <row r="839" spans="1:1">
      <c r="A839">
        <f>IF(COUNTBLANK(B839:Q839)&lt;&gt;COLUMNS(B839:Q839),838,"")</f>
        <v>0</v>
      </c>
    </row>
    <row r="840" spans="1:1">
      <c r="A840">
        <f>IF(COUNTBLANK(B840:Q840)&lt;&gt;COLUMNS(B840:Q840),839,"")</f>
        <v>0</v>
      </c>
    </row>
    <row r="841" spans="1:1">
      <c r="A841">
        <f>IF(COUNTBLANK(B841:Q841)&lt;&gt;COLUMNS(B841:Q841),840,"")</f>
        <v>0</v>
      </c>
    </row>
    <row r="842" spans="1:1">
      <c r="A842">
        <f>IF(COUNTBLANK(B842:Q842)&lt;&gt;COLUMNS(B842:Q842),841,"")</f>
        <v>0</v>
      </c>
    </row>
    <row r="843" spans="1:1">
      <c r="A843">
        <f>IF(COUNTBLANK(B843:Q843)&lt;&gt;COLUMNS(B843:Q843),842,"")</f>
        <v>0</v>
      </c>
    </row>
    <row r="844" spans="1:1">
      <c r="A844">
        <f>IF(COUNTBLANK(B844:Q844)&lt;&gt;COLUMNS(B844:Q844),843,"")</f>
        <v>0</v>
      </c>
    </row>
    <row r="845" spans="1:1">
      <c r="A845">
        <f>IF(COUNTBLANK(B845:Q845)&lt;&gt;COLUMNS(B845:Q845),844,"")</f>
        <v>0</v>
      </c>
    </row>
    <row r="846" spans="1:1">
      <c r="A846">
        <f>IF(COUNTBLANK(B846:Q846)&lt;&gt;COLUMNS(B846:Q846),845,"")</f>
        <v>0</v>
      </c>
    </row>
    <row r="847" spans="1:1">
      <c r="A847">
        <f>IF(COUNTBLANK(B847:Q847)&lt;&gt;COLUMNS(B847:Q847),846,"")</f>
        <v>0</v>
      </c>
    </row>
    <row r="848" spans="1:1">
      <c r="A848">
        <f>IF(COUNTBLANK(B848:Q848)&lt;&gt;COLUMNS(B848:Q848),847,"")</f>
        <v>0</v>
      </c>
    </row>
    <row r="849" spans="1:1">
      <c r="A849">
        <f>IF(COUNTBLANK(B849:Q849)&lt;&gt;COLUMNS(B849:Q849),848,"")</f>
        <v>0</v>
      </c>
    </row>
    <row r="850" spans="1:1">
      <c r="A850">
        <f>IF(COUNTBLANK(B850:Q850)&lt;&gt;COLUMNS(B850:Q850),849,"")</f>
        <v>0</v>
      </c>
    </row>
    <row r="851" spans="1:1">
      <c r="A851">
        <f>IF(COUNTBLANK(B851:Q851)&lt;&gt;COLUMNS(B851:Q851),850,"")</f>
        <v>0</v>
      </c>
    </row>
    <row r="852" spans="1:1">
      <c r="A852">
        <f>IF(COUNTBLANK(B852:Q852)&lt;&gt;COLUMNS(B852:Q852),851,"")</f>
        <v>0</v>
      </c>
    </row>
    <row r="853" spans="1:1">
      <c r="A853">
        <f>IF(COUNTBLANK(B853:Q853)&lt;&gt;COLUMNS(B853:Q853),852,"")</f>
        <v>0</v>
      </c>
    </row>
    <row r="854" spans="1:1">
      <c r="A854">
        <f>IF(COUNTBLANK(B854:Q854)&lt;&gt;COLUMNS(B854:Q854),853,"")</f>
        <v>0</v>
      </c>
    </row>
    <row r="855" spans="1:1">
      <c r="A855">
        <f>IF(COUNTBLANK(B855:Q855)&lt;&gt;COLUMNS(B855:Q855),854,"")</f>
        <v>0</v>
      </c>
    </row>
    <row r="856" spans="1:1">
      <c r="A856">
        <f>IF(COUNTBLANK(B856:Q856)&lt;&gt;COLUMNS(B856:Q856),855,"")</f>
        <v>0</v>
      </c>
    </row>
    <row r="857" spans="1:1">
      <c r="A857">
        <f>IF(COUNTBLANK(B857:Q857)&lt;&gt;COLUMNS(B857:Q857),856,"")</f>
        <v>0</v>
      </c>
    </row>
    <row r="858" spans="1:1">
      <c r="A858">
        <f>IF(COUNTBLANK(B858:Q858)&lt;&gt;COLUMNS(B858:Q858),857,"")</f>
        <v>0</v>
      </c>
    </row>
    <row r="859" spans="1:1">
      <c r="A859">
        <f>IF(COUNTBLANK(B859:Q859)&lt;&gt;COLUMNS(B859:Q859),858,"")</f>
        <v>0</v>
      </c>
    </row>
    <row r="860" spans="1:1">
      <c r="A860">
        <f>IF(COUNTBLANK(B860:Q860)&lt;&gt;COLUMNS(B860:Q860),859,"")</f>
        <v>0</v>
      </c>
    </row>
    <row r="861" spans="1:1">
      <c r="A861">
        <f>IF(COUNTBLANK(B861:Q861)&lt;&gt;COLUMNS(B861:Q861),860,"")</f>
        <v>0</v>
      </c>
    </row>
    <row r="862" spans="1:1">
      <c r="A862">
        <f>IF(COUNTBLANK(B862:Q862)&lt;&gt;COLUMNS(B862:Q862),861,"")</f>
        <v>0</v>
      </c>
    </row>
    <row r="863" spans="1:1">
      <c r="A863">
        <f>IF(COUNTBLANK(B863:Q863)&lt;&gt;COLUMNS(B863:Q863),862,"")</f>
        <v>0</v>
      </c>
    </row>
    <row r="864" spans="1:1">
      <c r="A864">
        <f>IF(COUNTBLANK(B864:Q864)&lt;&gt;COLUMNS(B864:Q864),863,"")</f>
        <v>0</v>
      </c>
    </row>
    <row r="865" spans="1:1">
      <c r="A865">
        <f>IF(COUNTBLANK(B865:Q865)&lt;&gt;COLUMNS(B865:Q865),864,"")</f>
        <v>0</v>
      </c>
    </row>
    <row r="866" spans="1:1">
      <c r="A866">
        <f>IF(COUNTBLANK(B866:Q866)&lt;&gt;COLUMNS(B866:Q866),865,"")</f>
        <v>0</v>
      </c>
    </row>
    <row r="867" spans="1:1">
      <c r="A867">
        <f>IF(COUNTBLANK(B867:Q867)&lt;&gt;COLUMNS(B867:Q867),866,"")</f>
        <v>0</v>
      </c>
    </row>
    <row r="868" spans="1:1">
      <c r="A868">
        <f>IF(COUNTBLANK(B868:Q868)&lt;&gt;COLUMNS(B868:Q868),867,"")</f>
        <v>0</v>
      </c>
    </row>
    <row r="869" spans="1:1">
      <c r="A869">
        <f>IF(COUNTBLANK(B869:Q869)&lt;&gt;COLUMNS(B869:Q869),868,"")</f>
        <v>0</v>
      </c>
    </row>
    <row r="870" spans="1:1">
      <c r="A870">
        <f>IF(COUNTBLANK(B870:Q870)&lt;&gt;COLUMNS(B870:Q870),869,"")</f>
        <v>0</v>
      </c>
    </row>
    <row r="871" spans="1:1">
      <c r="A871">
        <f>IF(COUNTBLANK(B871:Q871)&lt;&gt;COLUMNS(B871:Q871),870,"")</f>
        <v>0</v>
      </c>
    </row>
    <row r="872" spans="1:1">
      <c r="A872">
        <f>IF(COUNTBLANK(B872:Q872)&lt;&gt;COLUMNS(B872:Q872),871,"")</f>
        <v>0</v>
      </c>
    </row>
    <row r="873" spans="1:1">
      <c r="A873">
        <f>IF(COUNTBLANK(B873:Q873)&lt;&gt;COLUMNS(B873:Q873),872,"")</f>
        <v>0</v>
      </c>
    </row>
    <row r="874" spans="1:1">
      <c r="A874">
        <f>IF(COUNTBLANK(B874:Q874)&lt;&gt;COLUMNS(B874:Q874),873,"")</f>
        <v>0</v>
      </c>
    </row>
    <row r="875" spans="1:1">
      <c r="A875">
        <f>IF(COUNTBLANK(B875:Q875)&lt;&gt;COLUMNS(B875:Q875),874,"")</f>
        <v>0</v>
      </c>
    </row>
    <row r="876" spans="1:1">
      <c r="A876">
        <f>IF(COUNTBLANK(B876:Q876)&lt;&gt;COLUMNS(B876:Q876),875,"")</f>
        <v>0</v>
      </c>
    </row>
    <row r="877" spans="1:1">
      <c r="A877">
        <f>IF(COUNTBLANK(B877:Q877)&lt;&gt;COLUMNS(B877:Q877),876,"")</f>
        <v>0</v>
      </c>
    </row>
    <row r="878" spans="1:1">
      <c r="A878">
        <f>IF(COUNTBLANK(B878:Q878)&lt;&gt;COLUMNS(B878:Q878),877,"")</f>
        <v>0</v>
      </c>
    </row>
    <row r="879" spans="1:1">
      <c r="A879">
        <f>IF(COUNTBLANK(B879:Q879)&lt;&gt;COLUMNS(B879:Q879),878,"")</f>
        <v>0</v>
      </c>
    </row>
    <row r="880" spans="1:1">
      <c r="A880">
        <f>IF(COUNTBLANK(B880:Q880)&lt;&gt;COLUMNS(B880:Q880),879,"")</f>
        <v>0</v>
      </c>
    </row>
    <row r="881" spans="1:1">
      <c r="A881">
        <f>IF(COUNTBLANK(B881:Q881)&lt;&gt;COLUMNS(B881:Q881),880,"")</f>
        <v>0</v>
      </c>
    </row>
    <row r="882" spans="1:1">
      <c r="A882">
        <f>IF(COUNTBLANK(B882:Q882)&lt;&gt;COLUMNS(B882:Q882),881,"")</f>
        <v>0</v>
      </c>
    </row>
    <row r="883" spans="1:1">
      <c r="A883">
        <f>IF(COUNTBLANK(B883:Q883)&lt;&gt;COLUMNS(B883:Q883),882,"")</f>
        <v>0</v>
      </c>
    </row>
    <row r="884" spans="1:1">
      <c r="A884">
        <f>IF(COUNTBLANK(B884:Q884)&lt;&gt;COLUMNS(B884:Q884),883,"")</f>
        <v>0</v>
      </c>
    </row>
    <row r="885" spans="1:1">
      <c r="A885">
        <f>IF(COUNTBLANK(B885:Q885)&lt;&gt;COLUMNS(B885:Q885),884,"")</f>
        <v>0</v>
      </c>
    </row>
    <row r="886" spans="1:1">
      <c r="A886">
        <f>IF(COUNTBLANK(B886:Q886)&lt;&gt;COLUMNS(B886:Q886),885,"")</f>
        <v>0</v>
      </c>
    </row>
    <row r="887" spans="1:1">
      <c r="A887">
        <f>IF(COUNTBLANK(B887:Q887)&lt;&gt;COLUMNS(B887:Q887),886,"")</f>
        <v>0</v>
      </c>
    </row>
    <row r="888" spans="1:1">
      <c r="A888">
        <f>IF(COUNTBLANK(B888:Q888)&lt;&gt;COLUMNS(B888:Q888),887,"")</f>
        <v>0</v>
      </c>
    </row>
    <row r="889" spans="1:1">
      <c r="A889">
        <f>IF(COUNTBLANK(B889:Q889)&lt;&gt;COLUMNS(B889:Q889),888,"")</f>
        <v>0</v>
      </c>
    </row>
    <row r="890" spans="1:1">
      <c r="A890">
        <f>IF(COUNTBLANK(B890:Q890)&lt;&gt;COLUMNS(B890:Q890),889,"")</f>
        <v>0</v>
      </c>
    </row>
    <row r="891" spans="1:1">
      <c r="A891">
        <f>IF(COUNTBLANK(B891:Q891)&lt;&gt;COLUMNS(B891:Q891),890,"")</f>
        <v>0</v>
      </c>
    </row>
    <row r="892" spans="1:1">
      <c r="A892">
        <f>IF(COUNTBLANK(B892:Q892)&lt;&gt;COLUMNS(B892:Q892),891,"")</f>
        <v>0</v>
      </c>
    </row>
    <row r="893" spans="1:1">
      <c r="A893">
        <f>IF(COUNTBLANK(B893:Q893)&lt;&gt;COLUMNS(B893:Q893),892,"")</f>
        <v>0</v>
      </c>
    </row>
    <row r="894" spans="1:1">
      <c r="A894">
        <f>IF(COUNTBLANK(B894:Q894)&lt;&gt;COLUMNS(B894:Q894),893,"")</f>
        <v>0</v>
      </c>
    </row>
    <row r="895" spans="1:1">
      <c r="A895">
        <f>IF(COUNTBLANK(B895:Q895)&lt;&gt;COLUMNS(B895:Q895),894,"")</f>
        <v>0</v>
      </c>
    </row>
    <row r="896" spans="1:1">
      <c r="A896">
        <f>IF(COUNTBLANK(B896:Q896)&lt;&gt;COLUMNS(B896:Q896),895,"")</f>
        <v>0</v>
      </c>
    </row>
    <row r="897" spans="1:1">
      <c r="A897">
        <f>IF(COUNTBLANK(B897:Q897)&lt;&gt;COLUMNS(B897:Q897),896,"")</f>
        <v>0</v>
      </c>
    </row>
    <row r="898" spans="1:1">
      <c r="A898">
        <f>IF(COUNTBLANK(B898:Q898)&lt;&gt;COLUMNS(B898:Q898),897,"")</f>
        <v>0</v>
      </c>
    </row>
    <row r="899" spans="1:1">
      <c r="A899">
        <f>IF(COUNTBLANK(B899:Q899)&lt;&gt;COLUMNS(B899:Q899),898,"")</f>
        <v>0</v>
      </c>
    </row>
    <row r="900" spans="1:1">
      <c r="A900">
        <f>IF(COUNTBLANK(B900:Q900)&lt;&gt;COLUMNS(B900:Q900),899,"")</f>
        <v>0</v>
      </c>
    </row>
    <row r="901" spans="1:1">
      <c r="A901">
        <f>IF(COUNTBLANK(B901:Q901)&lt;&gt;COLUMNS(B901:Q901),900,"")</f>
        <v>0</v>
      </c>
    </row>
    <row r="902" spans="1:1">
      <c r="A902">
        <f>IF(COUNTBLANK(B902:Q902)&lt;&gt;COLUMNS(B902:Q902),901,"")</f>
        <v>0</v>
      </c>
    </row>
    <row r="903" spans="1:1">
      <c r="A903">
        <f>IF(COUNTBLANK(B903:Q903)&lt;&gt;COLUMNS(B903:Q903),902,"")</f>
        <v>0</v>
      </c>
    </row>
    <row r="904" spans="1:1">
      <c r="A904">
        <f>IF(COUNTBLANK(B904:Q904)&lt;&gt;COLUMNS(B904:Q904),903,"")</f>
        <v>0</v>
      </c>
    </row>
    <row r="905" spans="1:1">
      <c r="A905">
        <f>IF(COUNTBLANK(B905:Q905)&lt;&gt;COLUMNS(B905:Q905),904,"")</f>
        <v>0</v>
      </c>
    </row>
    <row r="906" spans="1:1">
      <c r="A906">
        <f>IF(COUNTBLANK(B906:Q906)&lt;&gt;COLUMNS(B906:Q906),905,"")</f>
        <v>0</v>
      </c>
    </row>
    <row r="907" spans="1:1">
      <c r="A907">
        <f>IF(COUNTBLANK(B907:Q907)&lt;&gt;COLUMNS(B907:Q907),906,"")</f>
        <v>0</v>
      </c>
    </row>
    <row r="908" spans="1:1">
      <c r="A908">
        <f>IF(COUNTBLANK(B908:Q908)&lt;&gt;COLUMNS(B908:Q908),907,"")</f>
        <v>0</v>
      </c>
    </row>
    <row r="909" spans="1:1">
      <c r="A909">
        <f>IF(COUNTBLANK(B909:Q909)&lt;&gt;COLUMNS(B909:Q909),908,"")</f>
        <v>0</v>
      </c>
    </row>
    <row r="910" spans="1:1">
      <c r="A910">
        <f>IF(COUNTBLANK(B910:Q910)&lt;&gt;COLUMNS(B910:Q910),909,"")</f>
        <v>0</v>
      </c>
    </row>
    <row r="911" spans="1:1">
      <c r="A911">
        <f>IF(COUNTBLANK(B911:Q911)&lt;&gt;COLUMNS(B911:Q911),910,"")</f>
        <v>0</v>
      </c>
    </row>
    <row r="912" spans="1:1">
      <c r="A912">
        <f>IF(COUNTBLANK(B912:Q912)&lt;&gt;COLUMNS(B912:Q912),911,"")</f>
        <v>0</v>
      </c>
    </row>
    <row r="913" spans="1:1">
      <c r="A913">
        <f>IF(COUNTBLANK(B913:Q913)&lt;&gt;COLUMNS(B913:Q913),912,"")</f>
        <v>0</v>
      </c>
    </row>
    <row r="914" spans="1:1">
      <c r="A914">
        <f>IF(COUNTBLANK(B914:Q914)&lt;&gt;COLUMNS(B914:Q914),913,"")</f>
        <v>0</v>
      </c>
    </row>
    <row r="915" spans="1:1">
      <c r="A915">
        <f>IF(COUNTBLANK(B915:Q915)&lt;&gt;COLUMNS(B915:Q915),914,"")</f>
        <v>0</v>
      </c>
    </row>
    <row r="916" spans="1:1">
      <c r="A916">
        <f>IF(COUNTBLANK(B916:Q916)&lt;&gt;COLUMNS(B916:Q916),915,"")</f>
        <v>0</v>
      </c>
    </row>
    <row r="917" spans="1:1">
      <c r="A917">
        <f>IF(COUNTBLANK(B917:Q917)&lt;&gt;COLUMNS(B917:Q917),916,"")</f>
        <v>0</v>
      </c>
    </row>
    <row r="918" spans="1:1">
      <c r="A918">
        <f>IF(COUNTBLANK(B918:Q918)&lt;&gt;COLUMNS(B918:Q918),917,"")</f>
        <v>0</v>
      </c>
    </row>
    <row r="919" spans="1:1">
      <c r="A919">
        <f>IF(COUNTBLANK(B919:Q919)&lt;&gt;COLUMNS(B919:Q919),918,"")</f>
        <v>0</v>
      </c>
    </row>
    <row r="920" spans="1:1">
      <c r="A920">
        <f>IF(COUNTBLANK(B920:Q920)&lt;&gt;COLUMNS(B920:Q920),919,"")</f>
        <v>0</v>
      </c>
    </row>
    <row r="921" spans="1:1">
      <c r="A921">
        <f>IF(COUNTBLANK(B921:Q921)&lt;&gt;COLUMNS(B921:Q921),920,"")</f>
        <v>0</v>
      </c>
    </row>
    <row r="922" spans="1:1">
      <c r="A922">
        <f>IF(COUNTBLANK(B922:Q922)&lt;&gt;COLUMNS(B922:Q922),921,"")</f>
        <v>0</v>
      </c>
    </row>
    <row r="923" spans="1:1">
      <c r="A923">
        <f>IF(COUNTBLANK(B923:Q923)&lt;&gt;COLUMNS(B923:Q923),922,"")</f>
        <v>0</v>
      </c>
    </row>
    <row r="924" spans="1:1">
      <c r="A924">
        <f>IF(COUNTBLANK(B924:Q924)&lt;&gt;COLUMNS(B924:Q924),923,"")</f>
        <v>0</v>
      </c>
    </row>
    <row r="925" spans="1:1">
      <c r="A925">
        <f>IF(COUNTBLANK(B925:Q925)&lt;&gt;COLUMNS(B925:Q925),924,"")</f>
        <v>0</v>
      </c>
    </row>
    <row r="926" spans="1:1">
      <c r="A926">
        <f>IF(COUNTBLANK(B926:Q926)&lt;&gt;COLUMNS(B926:Q926),925,"")</f>
        <v>0</v>
      </c>
    </row>
    <row r="927" spans="1:1">
      <c r="A927">
        <f>IF(COUNTBLANK(B927:Q927)&lt;&gt;COLUMNS(B927:Q927),926,"")</f>
        <v>0</v>
      </c>
    </row>
    <row r="928" spans="1:1">
      <c r="A928">
        <f>IF(COUNTBLANK(B928:Q928)&lt;&gt;COLUMNS(B928:Q928),927,"")</f>
        <v>0</v>
      </c>
    </row>
    <row r="929" spans="1:1">
      <c r="A929">
        <f>IF(COUNTBLANK(B929:Q929)&lt;&gt;COLUMNS(B929:Q929),928,"")</f>
        <v>0</v>
      </c>
    </row>
    <row r="930" spans="1:1">
      <c r="A930">
        <f>IF(COUNTBLANK(B930:Q930)&lt;&gt;COLUMNS(B930:Q930),929,"")</f>
        <v>0</v>
      </c>
    </row>
    <row r="931" spans="1:1">
      <c r="A931">
        <f>IF(COUNTBLANK(B931:Q931)&lt;&gt;COLUMNS(B931:Q931),930,"")</f>
        <v>0</v>
      </c>
    </row>
    <row r="932" spans="1:1">
      <c r="A932">
        <f>IF(COUNTBLANK(B932:Q932)&lt;&gt;COLUMNS(B932:Q932),931,"")</f>
        <v>0</v>
      </c>
    </row>
    <row r="933" spans="1:1">
      <c r="A933">
        <f>IF(COUNTBLANK(B933:Q933)&lt;&gt;COLUMNS(B933:Q933),932,"")</f>
        <v>0</v>
      </c>
    </row>
    <row r="934" spans="1:1">
      <c r="A934">
        <f>IF(COUNTBLANK(B934:Q934)&lt;&gt;COLUMNS(B934:Q934),933,"")</f>
        <v>0</v>
      </c>
    </row>
    <row r="935" spans="1:1">
      <c r="A935">
        <f>IF(COUNTBLANK(B935:Q935)&lt;&gt;COLUMNS(B935:Q935),934,"")</f>
        <v>0</v>
      </c>
    </row>
    <row r="936" spans="1:1">
      <c r="A936">
        <f>IF(COUNTBLANK(B936:Q936)&lt;&gt;COLUMNS(B936:Q936),935,"")</f>
        <v>0</v>
      </c>
    </row>
    <row r="937" spans="1:1">
      <c r="A937">
        <f>IF(COUNTBLANK(B937:Q937)&lt;&gt;COLUMNS(B937:Q937),936,"")</f>
        <v>0</v>
      </c>
    </row>
    <row r="938" spans="1:1">
      <c r="A938">
        <f>IF(COUNTBLANK(B938:Q938)&lt;&gt;COLUMNS(B938:Q938),937,"")</f>
        <v>0</v>
      </c>
    </row>
    <row r="939" spans="1:1">
      <c r="A939">
        <f>IF(COUNTBLANK(B939:Q939)&lt;&gt;COLUMNS(B939:Q939),938,"")</f>
        <v>0</v>
      </c>
    </row>
    <row r="940" spans="1:1">
      <c r="A940">
        <f>IF(COUNTBLANK(B940:Q940)&lt;&gt;COLUMNS(B940:Q940),939,"")</f>
        <v>0</v>
      </c>
    </row>
    <row r="941" spans="1:1">
      <c r="A941">
        <f>IF(COUNTBLANK(B941:Q941)&lt;&gt;COLUMNS(B941:Q941),940,"")</f>
        <v>0</v>
      </c>
    </row>
    <row r="942" spans="1:1">
      <c r="A942">
        <f>IF(COUNTBLANK(B942:Q942)&lt;&gt;COLUMNS(B942:Q942),941,"")</f>
        <v>0</v>
      </c>
    </row>
    <row r="943" spans="1:1">
      <c r="A943">
        <f>IF(COUNTBLANK(B943:Q943)&lt;&gt;COLUMNS(B943:Q943),942,"")</f>
        <v>0</v>
      </c>
    </row>
    <row r="944" spans="1:1">
      <c r="A944">
        <f>IF(COUNTBLANK(B944:Q944)&lt;&gt;COLUMNS(B944:Q944),943,"")</f>
        <v>0</v>
      </c>
    </row>
    <row r="945" spans="1:1">
      <c r="A945">
        <f>IF(COUNTBLANK(B945:Q945)&lt;&gt;COLUMNS(B945:Q945),944,"")</f>
        <v>0</v>
      </c>
    </row>
    <row r="946" spans="1:1">
      <c r="A946">
        <f>IF(COUNTBLANK(B946:Q946)&lt;&gt;COLUMNS(B946:Q946),945,"")</f>
        <v>0</v>
      </c>
    </row>
    <row r="947" spans="1:1">
      <c r="A947">
        <f>IF(COUNTBLANK(B947:Q947)&lt;&gt;COLUMNS(B947:Q947),946,"")</f>
        <v>0</v>
      </c>
    </row>
    <row r="948" spans="1:1">
      <c r="A948">
        <f>IF(COUNTBLANK(B948:Q948)&lt;&gt;COLUMNS(B948:Q948),947,"")</f>
        <v>0</v>
      </c>
    </row>
    <row r="949" spans="1:1">
      <c r="A949">
        <f>IF(COUNTBLANK(B949:Q949)&lt;&gt;COLUMNS(B949:Q949),948,"")</f>
        <v>0</v>
      </c>
    </row>
    <row r="950" spans="1:1">
      <c r="A950">
        <f>IF(COUNTBLANK(B950:Q950)&lt;&gt;COLUMNS(B950:Q950),949,"")</f>
        <v>0</v>
      </c>
    </row>
    <row r="951" spans="1:1">
      <c r="A951">
        <f>IF(COUNTBLANK(B951:Q951)&lt;&gt;COLUMNS(B951:Q951),950,"")</f>
        <v>0</v>
      </c>
    </row>
    <row r="952" spans="1:1">
      <c r="A952">
        <f>IF(COUNTBLANK(B952:Q952)&lt;&gt;COLUMNS(B952:Q952),951,"")</f>
        <v>0</v>
      </c>
    </row>
    <row r="953" spans="1:1">
      <c r="A953">
        <f>IF(COUNTBLANK(B953:Q953)&lt;&gt;COLUMNS(B953:Q953),952,"")</f>
        <v>0</v>
      </c>
    </row>
    <row r="954" spans="1:1">
      <c r="A954">
        <f>IF(COUNTBLANK(B954:Q954)&lt;&gt;COLUMNS(B954:Q954),953,"")</f>
        <v>0</v>
      </c>
    </row>
    <row r="955" spans="1:1">
      <c r="A955">
        <f>IF(COUNTBLANK(B955:Q955)&lt;&gt;COLUMNS(B955:Q955),954,"")</f>
        <v>0</v>
      </c>
    </row>
    <row r="956" spans="1:1">
      <c r="A956">
        <f>IF(COUNTBLANK(B956:Q956)&lt;&gt;COLUMNS(B956:Q956),955,"")</f>
        <v>0</v>
      </c>
    </row>
    <row r="957" spans="1:1">
      <c r="A957">
        <f>IF(COUNTBLANK(B957:Q957)&lt;&gt;COLUMNS(B957:Q957),956,"")</f>
        <v>0</v>
      </c>
    </row>
    <row r="958" spans="1:1">
      <c r="A958">
        <f>IF(COUNTBLANK(B958:Q958)&lt;&gt;COLUMNS(B958:Q958),957,"")</f>
        <v>0</v>
      </c>
    </row>
    <row r="959" spans="1:1">
      <c r="A959">
        <f>IF(COUNTBLANK(B959:Q959)&lt;&gt;COLUMNS(B959:Q959),958,"")</f>
        <v>0</v>
      </c>
    </row>
    <row r="960" spans="1:1">
      <c r="A960">
        <f>IF(COUNTBLANK(B960:Q960)&lt;&gt;COLUMNS(B960:Q960),959,"")</f>
        <v>0</v>
      </c>
    </row>
    <row r="961" spans="1:1">
      <c r="A961">
        <f>IF(COUNTBLANK(B961:Q961)&lt;&gt;COLUMNS(B961:Q961),960,"")</f>
        <v>0</v>
      </c>
    </row>
    <row r="962" spans="1:1">
      <c r="A962">
        <f>IF(COUNTBLANK(B962:Q962)&lt;&gt;COLUMNS(B962:Q962),961,"")</f>
        <v>0</v>
      </c>
    </row>
    <row r="963" spans="1:1">
      <c r="A963">
        <f>IF(COUNTBLANK(B963:Q963)&lt;&gt;COLUMNS(B963:Q963),962,"")</f>
        <v>0</v>
      </c>
    </row>
    <row r="964" spans="1:1">
      <c r="A964">
        <f>IF(COUNTBLANK(B964:Q964)&lt;&gt;COLUMNS(B964:Q964),963,"")</f>
        <v>0</v>
      </c>
    </row>
    <row r="965" spans="1:1">
      <c r="A965">
        <f>IF(COUNTBLANK(B965:Q965)&lt;&gt;COLUMNS(B965:Q965),964,"")</f>
        <v>0</v>
      </c>
    </row>
    <row r="966" spans="1:1">
      <c r="A966">
        <f>IF(COUNTBLANK(B966:Q966)&lt;&gt;COLUMNS(B966:Q966),965,"")</f>
        <v>0</v>
      </c>
    </row>
    <row r="967" spans="1:1">
      <c r="A967">
        <f>IF(COUNTBLANK(B967:Q967)&lt;&gt;COLUMNS(B967:Q967),966,"")</f>
        <v>0</v>
      </c>
    </row>
    <row r="968" spans="1:1">
      <c r="A968">
        <f>IF(COUNTBLANK(B968:Q968)&lt;&gt;COLUMNS(B968:Q968),967,"")</f>
        <v>0</v>
      </c>
    </row>
    <row r="969" spans="1:1">
      <c r="A969">
        <f>IF(COUNTBLANK(B969:Q969)&lt;&gt;COLUMNS(B969:Q969),968,"")</f>
        <v>0</v>
      </c>
    </row>
    <row r="970" spans="1:1">
      <c r="A970">
        <f>IF(COUNTBLANK(B970:Q970)&lt;&gt;COLUMNS(B970:Q970),969,"")</f>
        <v>0</v>
      </c>
    </row>
    <row r="971" spans="1:1">
      <c r="A971">
        <f>IF(COUNTBLANK(B971:Q971)&lt;&gt;COLUMNS(B971:Q971),970,"")</f>
        <v>0</v>
      </c>
    </row>
    <row r="972" spans="1:1">
      <c r="A972">
        <f>IF(COUNTBLANK(B972:Q972)&lt;&gt;COLUMNS(B972:Q972),971,"")</f>
        <v>0</v>
      </c>
    </row>
    <row r="973" spans="1:1">
      <c r="A973">
        <f>IF(COUNTBLANK(B973:Q973)&lt;&gt;COLUMNS(B973:Q973),972,"")</f>
        <v>0</v>
      </c>
    </row>
    <row r="974" spans="1:1">
      <c r="A974">
        <f>IF(COUNTBLANK(B974:Q974)&lt;&gt;COLUMNS(B974:Q974),973,"")</f>
        <v>0</v>
      </c>
    </row>
    <row r="975" spans="1:1">
      <c r="A975">
        <f>IF(COUNTBLANK(B975:Q975)&lt;&gt;COLUMNS(B975:Q975),974,"")</f>
        <v>0</v>
      </c>
    </row>
    <row r="976" spans="1:1">
      <c r="A976">
        <f>IF(COUNTBLANK(B976:Q976)&lt;&gt;COLUMNS(B976:Q976),975,"")</f>
        <v>0</v>
      </c>
    </row>
    <row r="977" spans="1:1">
      <c r="A977">
        <f>IF(COUNTBLANK(B977:Q977)&lt;&gt;COLUMNS(B977:Q977),976,"")</f>
        <v>0</v>
      </c>
    </row>
    <row r="978" spans="1:1">
      <c r="A978">
        <f>IF(COUNTBLANK(B978:Q978)&lt;&gt;COLUMNS(B978:Q978),977,"")</f>
        <v>0</v>
      </c>
    </row>
    <row r="979" spans="1:1">
      <c r="A979">
        <f>IF(COUNTBLANK(B979:Q979)&lt;&gt;COLUMNS(B979:Q979),978,"")</f>
        <v>0</v>
      </c>
    </row>
    <row r="980" spans="1:1">
      <c r="A980">
        <f>IF(COUNTBLANK(B980:Q980)&lt;&gt;COLUMNS(B980:Q980),979,"")</f>
        <v>0</v>
      </c>
    </row>
    <row r="981" spans="1:1">
      <c r="A981">
        <f>IF(COUNTBLANK(B981:Q981)&lt;&gt;COLUMNS(B981:Q981),980,"")</f>
        <v>0</v>
      </c>
    </row>
    <row r="982" spans="1:1">
      <c r="A982">
        <f>IF(COUNTBLANK(B982:Q982)&lt;&gt;COLUMNS(B982:Q982),981,"")</f>
        <v>0</v>
      </c>
    </row>
    <row r="983" spans="1:1">
      <c r="A983">
        <f>IF(COUNTBLANK(B983:Q983)&lt;&gt;COLUMNS(B983:Q983),982,"")</f>
        <v>0</v>
      </c>
    </row>
    <row r="984" spans="1:1">
      <c r="A984">
        <f>IF(COUNTBLANK(B984:Q984)&lt;&gt;COLUMNS(B984:Q984),983,"")</f>
        <v>0</v>
      </c>
    </row>
    <row r="985" spans="1:1">
      <c r="A985">
        <f>IF(COUNTBLANK(B985:Q985)&lt;&gt;COLUMNS(B985:Q985),984,"")</f>
        <v>0</v>
      </c>
    </row>
    <row r="986" spans="1:1">
      <c r="A986">
        <f>IF(COUNTBLANK(B986:Q986)&lt;&gt;COLUMNS(B986:Q986),985,"")</f>
        <v>0</v>
      </c>
    </row>
    <row r="987" spans="1:1">
      <c r="A987">
        <f>IF(COUNTBLANK(B987:Q987)&lt;&gt;COLUMNS(B987:Q987),986,"")</f>
        <v>0</v>
      </c>
    </row>
    <row r="988" spans="1:1">
      <c r="A988">
        <f>IF(COUNTBLANK(B988:Q988)&lt;&gt;COLUMNS(B988:Q988),987,"")</f>
        <v>0</v>
      </c>
    </row>
    <row r="989" spans="1:1">
      <c r="A989">
        <f>IF(COUNTBLANK(B989:Q989)&lt;&gt;COLUMNS(B989:Q989),988,"")</f>
        <v>0</v>
      </c>
    </row>
    <row r="990" spans="1:1">
      <c r="A990">
        <f>IF(COUNTBLANK(B990:Q990)&lt;&gt;COLUMNS(B990:Q990),989,"")</f>
        <v>0</v>
      </c>
    </row>
    <row r="991" spans="1:1">
      <c r="A991">
        <f>IF(COUNTBLANK(B991:Q991)&lt;&gt;COLUMNS(B991:Q991),990,"")</f>
        <v>0</v>
      </c>
    </row>
    <row r="992" spans="1:1">
      <c r="A992">
        <f>IF(COUNTBLANK(B992:Q992)&lt;&gt;COLUMNS(B992:Q992),991,"")</f>
        <v>0</v>
      </c>
    </row>
    <row r="993" spans="1:2">
      <c r="A993">
        <f>IF(COUNTBLANK(B993:Q993)&lt;&gt;COLUMNS(B993:Q993),992,"")</f>
        <v>0</v>
      </c>
    </row>
    <row r="994" spans="1:2">
      <c r="A994">
        <f>IF(COUNTBLANK(B994:Q994)&lt;&gt;COLUMNS(B994:Q994),993,"")</f>
        <v>0</v>
      </c>
    </row>
    <row r="995" spans="1:2">
      <c r="A995">
        <f>IF(COUNTBLANK(B995:Q995)&lt;&gt;COLUMNS(B995:Q995),994,"")</f>
        <v>0</v>
      </c>
    </row>
    <row r="996" spans="1:2">
      <c r="A996">
        <f>IF(COUNTBLANK(B996:Q996)&lt;&gt;COLUMNS(B996:Q996),995,"")</f>
        <v>0</v>
      </c>
    </row>
    <row r="997" spans="1:2">
      <c r="A997">
        <f>IF(COUNTBLANK(B997:Q997)&lt;&gt;COLUMNS(B997:Q997),996,"")</f>
        <v>0</v>
      </c>
    </row>
    <row r="998" spans="1:2">
      <c r="A998">
        <f>IF(COUNTBLANK(B998:Q998)&lt;&gt;COLUMNS(B998:Q998),997,"")</f>
        <v>0</v>
      </c>
    </row>
    <row r="999" spans="1:2">
      <c r="A999">
        <f>IF(COUNTBLANK(B999:Q999)&lt;&gt;COLUMNS(B999:Q999),998,"")</f>
        <v>0</v>
      </c>
    </row>
    <row r="1000" spans="1:2">
      <c r="A1000">
        <f>IF(COUNTBLANK(B1000:Q1000)&lt;&gt;COLUMNS(B1000:Q1000),999,"")</f>
        <v>0</v>
      </c>
    </row>
    <row r="1001" spans="1:2">
      <c r="A1001">
        <f>IF(COUNTBLANK(B1001:Q1001)&lt;&gt;COLUMNS(B1001:Q1001),1000,"")</f>
        <v>0</v>
      </c>
    </row>
    <row r="1002" spans="1:2">
      <c r="B1002" s="3" t="s">
        <v>2</v>
      </c>
    </row>
  </sheetData>
  <sheetProtection sheet="1" objects="1" scenarios="1" formatCells="0" formatColumns="0" formatRows="0"/>
  <dataValidations count="16">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custom" allowBlank="1" showInputMessage="1" showErrorMessage="1" errorTitle="Invalid collection_timestamp" error="The collection_timestamp value entered is not valid. The day and time of sampling as a single point in time expressed in 24-hour time format, e.g. 2016-11-22. The value must [text truncated: please refer to field descriptions sheet for full requirements]." promptTitle="Enter collection_timestamp" prompt="The day and time of sampling as a single point in time expressed in 24-hour time format, e.g. 2016-11-22. The value must be a string and must equal &quot;missing: not collected&quot; o[text truncated: please refer to field descriptions sheet for full requirements]." sqref="C2:C1001">
      <formula1>(OR(AND(IF(C2="",FALSE,TRUE),OR(exact(C2,"missing: not collected"),exact(C2,"missing: not provided"),exact(C2,"missing: restricted access"))),AND(IF(C2="",FALSE,TRUE),AND(AND(IFERROR(INT(LEFT(C2,4))&gt;1900,FALSE),IFERROR(INT(LEFT(C2,4))&lt;=YEAR(NOW()),FALSE)), OR(MID(C2,5,1)="", AND(AND(MID(C2,5,1)="-",IFERROR(INT(MID(C2,6,1))&gt;=0,FALSE),IFERROR(INT(MID(C2,6,1))&lt;=1,FALSE),NOT(MID(C2,7,1)=""),IFERROR(INT(MID(C2,6,2))&gt;=1,FALSE),IFERROR(INT(MID(C2,6,2))&lt;=12,FALSE)), OR(MID(C2,8,1)="", AND(AND(MID(C2,8,1)="-",IFERROR(INT(MID(C2,9,1))&gt;=0,FALSE),IFERROR(INT(MID(C2,9,1))&lt;=3,FALSE),NOT(MID(C2,10,1)=""),IFERROR(INT(MID(C2,9,2))&gt;=1,FALSE),IFERROR(INT(MID(C2,9,2))&lt;=31,FALSE)), OR(MID(C2,11,1)="", AND(AND(MID(C2,11,1)=" ",IFERROR(INT(MID(C2,12,1))&gt;=0,FALSE),IFERROR(INT(MID(C2,12,1))&lt;=2,FALSE),NOT(MID(C2,13,1)=""),IFERROR(INT(MID(C2,12,2))&gt;=0,FALSE),IFERROR(INT(MID(C2,12,2))&lt;=23,FALSE)), OR(MID(C2,14,1)="", AND(AND(MID(C2,14,1)=":",IFERROR(INT(MID(C2,15,1))&gt;=0,FALSE),IFERROR(INT(MID(C2,15,1))&lt;=5,FALSE),NOT(MID(C2,16,1)=""),IFERROR(INT(MID(C2,15,2))&gt;=0,FALSE),IFERROR(INT(MID(C2,15,2))&lt;=59,FALSE)), OR(MID(C2,17,1)="", AND(AND(MID(C2,17,1)=":",IFERROR(INT(MID(C2,18,1))&gt;=0,FALSE),IFERROR(INT(MID(C2,18,1))&lt;=5,FALSE),NOT(MID(C2,19,1)=""),IFERROR(INT(MID(C2,18,2))&gt;=0,FALSE),IFERROR(INT(MID(C2,18,2))&lt;=59,FALSE)), LEN(C2)&lt;=19))))))))))))))</formula1>
    </dataValidation>
    <dataValidation type="custom" allowBlank="1" showInputMessage="1" showErrorMessage="1" errorTitle="Invalid description" error="The description value entered is not valid. A description of the sample that can include site, subject, and sample material. The value must be a string." promptTitle="Enter description" prompt="A description of the sample that can include site, subject, and sample material. The value must be a string." sqref="D2:D1001">
      <formula1>(IF(D2="",FALSE,TRUE))</formula1>
    </dataValidation>
    <dataValidation type="list" allowBlank="1" showInputMessage="1" showErrorMessage="1" errorTitle="Invalid dna_extracted" error="The dna_extracted value entered is not valid. Whether the DNA been extracted from the sample. The value must be a string and must equal &quot;missing: not collected&quot; or must equal[text truncated: please refer to field descriptions sheet for full requirements]." promptTitle="Enter dna_extracted" prompt="Whether the DNA been extracted from the sample. The value must be a string and must equal &quot;missing: not collected&quot; or must equal &quot;missing: not provided&quot; or the value must be a string and must equal &quot;TRUE&quot; or must equal &quot;FALSE&quot;." sqref="E2:E1001">
      <formula1>"missing: not collected,missing: not provided,TRUE,FALSE"</formula1>
    </dataValidation>
    <dataValidation type="custom" allowBlank="1" showInputMessage="1" showErrorMessage="1" errorTitle="Invalid env_biome" error="The env_biome value entered is not valid. Classification of the location where the sample was obtained, from the Environmental Ontology (ENVO). The value must be a string." promptTitle="Enter env_biome" prompt="Classification of the location where the sample was obtained, from the Environmental Ontology (ENVO). The value must be a string." sqref="F2:F1001">
      <formula1>(IF(F2="",FALSE,TRUE))</formula1>
    </dataValidation>
    <dataValidation type="custom" allowBlank="1" showInputMessage="1" showErrorMessage="1" errorTitle="Invalid env_feature" error="The env_feature value entered is not valid. Classification of a specific feature in the biome, from the Environmental Ontology (ENVO). The value must be a string." promptTitle="Enter env_feature" prompt="Classification of a specific feature in the biome, from the Environmental Ontology (ENVO). The value must be a string." sqref="G2:G1001">
      <formula1>(IF(G2="",FALSE,TRUE))</formula1>
    </dataValidation>
    <dataValidation type="custom" allowBlank="1" showInputMessage="1" showErrorMessage="1" errorTitle="Invalid env_material" error="The env_material value entered is not valid. Classification of the material being sampled, from the Environmental Ontology (ENVO). The value must be a string." promptTitle="Enter env_material" prompt="Classification of the material being sampled, from the Environmental Ontology (ENVO). The value must be a string." sqref="H2:H1001">
      <formula1>(IF(H2="",FALSE,TRUE))</formula1>
    </dataValidation>
    <dataValidation type="custom" allowBlank="1" showInputMessage="1" showErrorMessage="1" errorTitle="Invalid env_package" error="The env_package value entered is not valid. Environment where the sample was obtained. The value must be a string and must equal &quot;missing: not collected&quot; or must equal &quot;missi[text truncated: please refer to field descriptions sheet for full requirements]." promptTitle="Enter env_package" prompt="Environment where the sample was obtained. The value must be a string and must equal &quot;missing: not collected&quot; or must equal &quot;missing: not provided&quot; or must equal &quot;missing: re[text truncated: please refer to field descriptions sheet for full requirements]." sqref="I2:I1001">
      <formula1>(OR(AND(IF(I2="",FALSE,TRUE),OR(exact(I2,"missing: not collected"),exact(I2,"missing: not provided"),exact(I2,"missing: restricted access"))),AND(IF(I2="",FALSE,TRUE),OR(exact(I2,"air"),exact(I2,"built environment"),exact(I2,"host-associated"),exact(I2,"human-associated"),exact(I2,"human-skin"),exact(I2,"human-oral"),exact(I2,"human-gut"),exact(I2,"human-vaginal"),exact(I2,"microbial mat/biofilm"),exact(I2,"misc environment"),exact(I2,"plant-associated"),exact(I2,"sediment"),exact(I2,"soil"),exact(I2,"wastewater/sludge"),exact(I2,"water")))))</formula1>
    </dataValidation>
    <dataValidation type="custom" allowBlank="1" showInputMessage="1" showErrorMessage="1" errorTitle="Invalid geo_loc_name" error="The geo_loc_name value entered is not valid. The geographical origin of the sample as defined by the country or location as chosen from the GAZ ontology, e.g. USA:CA:San Diego . The value must be a string." promptTitle="Enter geo_loc_name" prompt="The geographical origin of the sample as defined by the country or location as chosen from the GAZ ontology, e.g. USA:CA:San Diego . The value must be a string." sqref="J2:J1001">
      <formula1>(IF(J2="",FALSE,TRUE))</formula1>
    </dataValidation>
    <dataValidation type="custom" allowBlank="1" showInputMessage="1" showErrorMessage="1" errorTitle="Invalid latitude" error="The latitude value entered is not valid. Location of the sample site by latitude in decimal degrees, e.g. 32.72 for San Diego, USA. The value must be a string and must equal [text truncated: please refer to field descriptions sheet for full requirements]." promptTitle="Enter latitude" prompt="Location of the sample site by latitude in decimal degrees, e.g. 32.72 for San Diego, USA. The value must be a string and must equal &quot;missing: not collected&quot; or must equal &quot;m[text truncated: please refer to field descriptions sheet for full requirements]." sqref="K2:K1001">
      <formula1>(OR(AND(IF(K2="",FALSE,TRUE),OR(exact(K2,"missing: not collected"),exact(K2,"missing: not provided"),exact(K2,"missing: restricted access"))),AND(IF(K2="",FALSE,ISNUMBER(VALUE(K2))),K2&gt;=-90.00,K2&lt;=90.00)))</formula1>
    </dataValidation>
    <dataValidation type="custom" allowBlank="1" showInputMessage="1" showErrorMessage="1" errorTitle="Invalid longitude" error="The longitude value entered is not valid. Location of the sample site by longitude in decimal degrees, e.g. -117.16 for San Diego, USA. The value must be a string and must eq[text truncated: please refer to field descriptions sheet for full requirements]." promptTitle="Enter longitude" prompt="Location of the sample site by longitude in decimal degrees, e.g. -117.16 for San Diego, USA. The value must be a string and must equal &quot;missing: not collected&quot; or must equal[text truncated: please refer to field descriptions sheet for full requirements]." sqref="L2:L1001">
      <formula1>(OR(AND(IF(L2="",FALSE,TRUE),OR(exact(L2,"missing: not collected"),exact(L2,"missing: not provided"),exact(L2,"missing: restricted access"))),AND(IF(L2="",FALSE,ISNUMBER(VALUE(L2))),L2&gt;=-180.00,L2&lt;=180.00)))</formula1>
    </dataValidation>
    <dataValidation type="custom" allowBlank="1" showInputMessage="1" showErrorMessage="1" errorTitle="Invalid value" error="The physical_specimen_location value entered is not valid. Where the sample is stored (if there is any left). The value must be a string." promptTitle="Enter physical_specimen_location" prompt="Where the sample is stored (if there is any left). The value must be a string." sqref="M2:M1001">
      <formula1>(IF(M2="",FALSE,TRUE))</formula1>
    </dataValidation>
    <dataValidation type="list" allowBlank="1" showInputMessage="1" showErrorMessage="1" errorTitle="Invalid value" error="The physical_specimen_remaining value entered is not valid. Whether there is any raw specimen left to sample. The value must be a string and must equal &quot;missing: not collecte[text truncated: please refer to field descriptions sheet for full requirements]." promptTitle="Enter value" prompt="Whether there is any raw specimen left to sample. The value must be a string and must equal &quot;missing: not collected&quot; or must equal &quot;missing: not provided&quot; or must equal &quot;miss[text truncated: please refer to field descriptions sheet for full requirements]." sqref="N2:N1001">
      <formula1>"missing: not collected,missing: not provided,missing: restricted access,TRUE,FALSE"</formula1>
    </dataValidation>
    <dataValidation type="custom" allowBlank="1" showInputMessage="1" showErrorMessage="1" errorTitle="Invalid scientific_name" error="The scientific_name value entered is not valid. The scientific name of the metagenome associated with this sample, as defined in the NCBI Taxonomy. Be aware that this is NOT [text truncated: please refer to field descriptions sheet for full requirements]." promptTitle="Enter scientific_name" prompt="The scientific name of the metagenome associated with this sample, as defined in the NCBI Taxonomy. Be aware that this is NOT the scientific name of the host! Note that this [text truncated: please refer to field descriptions sheet for full requirements]." sqref="O2:O1001">
      <formula1>(IF(O2="",FALSE,TRUE))</formula1>
    </dataValidation>
    <dataValidation type="custom" allowBlank="1" showInputMessage="1" showErrorMessage="1" errorTitle="Invalid taxon_id" error="The taxon_id value entered is not valid. The NCBI Taxonomy id of the metagenome associated with this sample. Be aware that this is NOT the taxon id of the host! Note that thi[text truncated: please refer to field descriptions sheet for full requirements]." promptTitle="Enter taxon_id" prompt="The NCBI Taxonomy id of the metagenome associated with this sample. Be aware that this is NOT the taxon id of the host! Note that this value must correspond to the scientific[text truncated: please refer to field descriptions sheet for full requirements]." sqref="P2:P1001">
      <formula1>(OR(AND(IF(P2="",FALSE,TRUE),OR(exact(P2,"missing: not collected"),exact(P2,"missing: not provided"))),AND(IF(P2="",FALSE,IF(ISERROR(INT(P2)),FALSE,INT(P2)=P2)),P2&gt;0)))</formula1>
    </dataValidation>
    <dataValidation type="custom" allowBlank="1" showInputMessage="1" showErrorMessage="1" errorTitle="Invalid title" error="The title value entered is not valid. Title of study. The value must be a string." promptTitle="Enter title" prompt="Title of study. The value must be a string." sqref="Q2:Q1001">
      <formula1>(IF(Q2="",FALSE,TRUE))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4"/>
    <col min="3" max="3" width="9.140625" style="4"/>
    <col min="4" max="4" width="9.140625" style="4"/>
    <col min="5" max="5" width="9.140625" style="4"/>
    <col min="6" max="6" width="9.140625" style="4"/>
    <col min="7" max="7" width="9.140625" style="4"/>
    <col min="8" max="8" width="9.140625" style="4"/>
    <col min="9" max="9" width="9.140625" style="4"/>
    <col min="10" max="10" width="9.140625" style="4"/>
    <col min="11" max="11" width="9.140625" style="4"/>
    <col min="12" max="12" width="9.140625" style="4"/>
    <col min="13" max="13" width="9.140625" style="4"/>
    <col min="14" max="14" width="9.140625" style="4"/>
    <col min="15" max="15" width="9.140625" style="4"/>
    <col min="16" max="16" width="9.140625" style="4"/>
    <col min="17" max="17" width="9.140625" style="4"/>
    <col min="21" max="27" width="0" hidden="1" customWidth="1"/>
    <col min="28" max="43" width="0" hidden="1" customWidth="1"/>
  </cols>
  <sheetData>
    <row r="1" spans="1:43">
      <c r="A1" s="3" t="s">
        <v>1</v>
      </c>
      <c r="B1" s="3">
        <f>IF(B2=" ", " ", INDEX($AB$1:$AQ$1, 1, MATCH(COLUMNS($AB$1006:AB1006),$AB$1006:$AQ$1006,0)))</f>
        <v>0</v>
      </c>
      <c r="C1" s="3">
        <f>IF(C2=" ", " ", INDEX($AB$1:$AQ$1, 1, MATCH(COLUMNS($AB$1006:AC1006),$AB$1006:$AQ$1006,0)))</f>
        <v>0</v>
      </c>
      <c r="D1" s="3">
        <f>IF(D2=" ", " ", INDEX($AB$1:$AQ$1, 1, MATCH(COLUMNS($AB$1006:AD1006),$AB$1006:$AQ$1006,0)))</f>
        <v>0</v>
      </c>
      <c r="E1" s="3">
        <f>IF(E2=" ", " ", INDEX($AB$1:$AQ$1, 1, MATCH(COLUMNS($AB$1006:AE1006),$AB$1006:$AQ$1006,0)))</f>
        <v>0</v>
      </c>
      <c r="F1" s="3">
        <f>IF(F2=" ", " ", INDEX($AB$1:$AQ$1, 1, MATCH(COLUMNS($AB$1006:AF1006),$AB$1006:$AQ$1006,0)))</f>
        <v>0</v>
      </c>
      <c r="G1" s="3">
        <f>IF(G2=" ", " ", INDEX($AB$1:$AQ$1, 1, MATCH(COLUMNS($AB$1006:AG1006),$AB$1006:$AQ$1006,0)))</f>
        <v>0</v>
      </c>
      <c r="H1" s="3">
        <f>IF(H2=" ", " ", INDEX($AB$1:$AQ$1, 1, MATCH(COLUMNS($AB$1006:AH1006),$AB$1006:$AQ$1006,0)))</f>
        <v>0</v>
      </c>
      <c r="I1" s="3">
        <f>IF(I2=" ", " ", INDEX($AB$1:$AQ$1, 1, MATCH(COLUMNS($AB$1006:AI1006),$AB$1006:$AQ$1006,0)))</f>
        <v>0</v>
      </c>
      <c r="J1" s="3">
        <f>IF(J2=" ", " ", INDEX($AB$1:$AQ$1, 1, MATCH(COLUMNS($AB$1006:AJ1006),$AB$1006:$AQ$1006,0)))</f>
        <v>0</v>
      </c>
      <c r="K1" s="3">
        <f>IF(K2=" ", " ", INDEX($AB$1:$AQ$1, 1, MATCH(COLUMNS($AB$1006:AK1006),$AB$1006:$AQ$1006,0)))</f>
        <v>0</v>
      </c>
      <c r="L1" s="3">
        <f>IF(L2=" ", " ", INDEX($AB$1:$AQ$1, 1, MATCH(COLUMNS($AB$1006:AL1006),$AB$1006:$AQ$1006,0)))</f>
        <v>0</v>
      </c>
      <c r="M1" s="3">
        <f>IF(M2=" ", " ", INDEX($AB$1:$AQ$1, 1, MATCH(COLUMNS($AB$1006:AM1006),$AB$1006:$AQ$1006,0)))</f>
        <v>0</v>
      </c>
      <c r="N1" s="3">
        <f>IF(N2=" ", " ", INDEX($AB$1:$AQ$1, 1, MATCH(COLUMNS($AB$1006:AN1006),$AB$1006:$AQ$1006,0)))</f>
        <v>0</v>
      </c>
      <c r="O1" s="3">
        <f>IF(O2=" ", " ", INDEX($AB$1:$AQ$1, 1, MATCH(COLUMNS($AB$1006:AO1006),$AB$1006:$AQ$1006,0)))</f>
        <v>0</v>
      </c>
      <c r="P1" s="3">
        <f>IF(P2=" ", " ", INDEX($AB$1:$AQ$1, 1, MATCH(COLUMNS($AB$1006:AP1006),$AB$1006:$AQ$1006,0)))</f>
        <v>0</v>
      </c>
      <c r="Q1" s="3">
        <f>IF(Q2=" ", " ", INDEX($AB$1:$AQ$1, 1, MATCH(COLUMNS($AB$1006:AQ1006),$AB$1006:$AQ$1006,0)))</f>
        <v>0</v>
      </c>
      <c r="U1" s="3" t="s">
        <v>22</v>
      </c>
      <c r="V1" s="3" t="s">
        <v>21</v>
      </c>
      <c r="W1" s="3" t="s">
        <v>20</v>
      </c>
      <c r="X1" s="3" t="s">
        <v>19</v>
      </c>
      <c r="Y1" s="3" t="s">
        <v>18</v>
      </c>
      <c r="Z1" s="3" t="s">
        <v>1</v>
      </c>
      <c r="AB1" s="3" t="s">
        <v>1</v>
      </c>
      <c r="AC1" s="3" t="s">
        <v>3</v>
      </c>
      <c r="AD1" s="3" t="s">
        <v>4</v>
      </c>
      <c r="AE1" s="3" t="s">
        <v>5</v>
      </c>
      <c r="AF1" s="3" t="s">
        <v>6</v>
      </c>
      <c r="AG1" s="3" t="s">
        <v>7</v>
      </c>
      <c r="AH1" s="3" t="s">
        <v>8</v>
      </c>
      <c r="AI1" s="3" t="s">
        <v>9</v>
      </c>
      <c r="AJ1" s="3" t="s">
        <v>10</v>
      </c>
      <c r="AK1" s="3" t="s">
        <v>11</v>
      </c>
      <c r="AL1" s="3" t="s">
        <v>12</v>
      </c>
      <c r="AM1" s="3" t="s">
        <v>13</v>
      </c>
      <c r="AN1" s="3" t="s">
        <v>14</v>
      </c>
      <c r="AO1" s="3" t="s">
        <v>15</v>
      </c>
      <c r="AP1" s="3" t="s">
        <v>16</v>
      </c>
      <c r="AQ1" s="3" t="s">
        <v>17</v>
      </c>
    </row>
    <row r="2" spans="1:43">
      <c r="A2" s="5">
        <f>IF(B2=" "," ",HYPERLINK(CONCATENATE("#metadata!",ADDRESS(INDEX($W$2:$W$1001,MATCH(ROWS($U$2:U2),$U$2:$U$1001,0),0),1)),INDEX($Z$2:$Z$1001,MATCH(ROWS($U$2:U2),$U$2:$U$1001,0),0)))</f>
        <v>0</v>
      </c>
      <c r="B2" s="4">
        <f>IF(OR(INDEX($V$2:$V$1001,MATCH(ROWS($U$2:U2),$U$2:$U$1001,0),1)&gt;=100000,INDEX($AB$1005:$AQ$1005,1,MATCH(COLUMNS($AB$1006:AB1006),$AB$1006:$AQ$1006,0))&gt;=100000), " ",IF(INDEX($AB$2:$AQ$1001,MATCH(ROWS($U$2:U2),$U$2:$U$1001,0),MATCH(COLUMNS($AB$1006:AB1006),$AB$1006:$AQ$1006,0)), HYPERLINK("#",""), HYPERLINK(CONCATENATE("#metadata!", ADDRESS(INDEX($W$2:$W$1001,MATCH(ROWS($U$2:U2),$U$2:$U$1001,0),0), INDEX($AB$1004:$AQ$1004,1,MATCH(COLUMNS($AB$1006:AB1006),$AB$1006:$AQ$1006,0)))),"Fix")))</f>
        <v>0</v>
      </c>
      <c r="C2" s="4">
        <f>IF(OR(INDEX($V$2:$V$1001,MATCH(ROWS($U$2:U2),$U$2:$U$1001,0),1)&gt;=100000,INDEX($AB$1005:$AQ$1005,1,MATCH(COLUMNS($AB$1006:AC1006),$AB$1006:$AQ$1006,0))&gt;=100000), " ",IF(INDEX($AB$2:$AQ$1001,MATCH(ROWS($U$2:U2),$U$2:$U$1001,0),MATCH(COLUMNS($AB$1006:AC1006),$AB$1006:$AQ$1006,0)), HYPERLINK("#",""), HYPERLINK(CONCATENATE("#metadata!", ADDRESS(INDEX($W$2:$W$1001,MATCH(ROWS($U$2:U2),$U$2:$U$1001,0),0), INDEX($AB$1004:$AQ$1004,1,MATCH(COLUMNS($AB$1006:AC1006),$AB$1006:$AQ$1006,0)))),"Fix")))</f>
        <v>0</v>
      </c>
      <c r="D2" s="4">
        <f>IF(OR(INDEX($V$2:$V$1001,MATCH(ROWS($U$2:U2),$U$2:$U$1001,0),1)&gt;=100000,INDEX($AB$1005:$AQ$1005,1,MATCH(COLUMNS($AB$1006:AD1006),$AB$1006:$AQ$1006,0))&gt;=100000), " ",IF(INDEX($AB$2:$AQ$1001,MATCH(ROWS($U$2:U2),$U$2:$U$1001,0),MATCH(COLUMNS($AB$1006:AD1006),$AB$1006:$AQ$1006,0)), HYPERLINK("#",""), HYPERLINK(CONCATENATE("#metadata!", ADDRESS(INDEX($W$2:$W$1001,MATCH(ROWS($U$2:U2),$U$2:$U$1001,0),0), INDEX($AB$1004:$AQ$1004,1,MATCH(COLUMNS($AB$1006:AD1006),$AB$1006:$AQ$1006,0)))),"Fix")))</f>
        <v>0</v>
      </c>
      <c r="E2" s="4">
        <f>IF(OR(INDEX($V$2:$V$1001,MATCH(ROWS($U$2:U2),$U$2:$U$1001,0),1)&gt;=100000,INDEX($AB$1005:$AQ$1005,1,MATCH(COLUMNS($AB$1006:AE1006),$AB$1006:$AQ$1006,0))&gt;=100000), " ",IF(INDEX($AB$2:$AQ$1001,MATCH(ROWS($U$2:U2),$U$2:$U$1001,0),MATCH(COLUMNS($AB$1006:AE1006),$AB$1006:$AQ$1006,0)), HYPERLINK("#",""), HYPERLINK(CONCATENATE("#metadata!", ADDRESS(INDEX($W$2:$W$1001,MATCH(ROWS($U$2:U2),$U$2:$U$1001,0),0), INDEX($AB$1004:$AQ$1004,1,MATCH(COLUMNS($AB$1006:AE1006),$AB$1006:$AQ$1006,0)))),"Fix")))</f>
        <v>0</v>
      </c>
      <c r="F2" s="4">
        <f>IF(OR(INDEX($V$2:$V$1001,MATCH(ROWS($U$2:U2),$U$2:$U$1001,0),1)&gt;=100000,INDEX($AB$1005:$AQ$1005,1,MATCH(COLUMNS($AB$1006:AF1006),$AB$1006:$AQ$1006,0))&gt;=100000), " ",IF(INDEX($AB$2:$AQ$1001,MATCH(ROWS($U$2:U2),$U$2:$U$1001,0),MATCH(COLUMNS($AB$1006:AF1006),$AB$1006:$AQ$1006,0)), HYPERLINK("#",""), HYPERLINK(CONCATENATE("#metadata!", ADDRESS(INDEX($W$2:$W$1001,MATCH(ROWS($U$2:U2),$U$2:$U$1001,0),0), INDEX($AB$1004:$AQ$1004,1,MATCH(COLUMNS($AB$1006:AF1006),$AB$1006:$AQ$1006,0)))),"Fix")))</f>
        <v>0</v>
      </c>
      <c r="G2" s="4">
        <f>IF(OR(INDEX($V$2:$V$1001,MATCH(ROWS($U$2:U2),$U$2:$U$1001,0),1)&gt;=100000,INDEX($AB$1005:$AQ$1005,1,MATCH(COLUMNS($AB$1006:AG1006),$AB$1006:$AQ$1006,0))&gt;=100000), " ",IF(INDEX($AB$2:$AQ$1001,MATCH(ROWS($U$2:U2),$U$2:$U$1001,0),MATCH(COLUMNS($AB$1006:AG1006),$AB$1006:$AQ$1006,0)), HYPERLINK("#",""), HYPERLINK(CONCATENATE("#metadata!", ADDRESS(INDEX($W$2:$W$1001,MATCH(ROWS($U$2:U2),$U$2:$U$1001,0),0), INDEX($AB$1004:$AQ$1004,1,MATCH(COLUMNS($AB$1006:AG1006),$AB$1006:$AQ$1006,0)))),"Fix")))</f>
        <v>0</v>
      </c>
      <c r="H2" s="4">
        <f>IF(OR(INDEX($V$2:$V$1001,MATCH(ROWS($U$2:U2),$U$2:$U$1001,0),1)&gt;=100000,INDEX($AB$1005:$AQ$1005,1,MATCH(COLUMNS($AB$1006:AH1006),$AB$1006:$AQ$1006,0))&gt;=100000), " ",IF(INDEX($AB$2:$AQ$1001,MATCH(ROWS($U$2:U2),$U$2:$U$1001,0),MATCH(COLUMNS($AB$1006:AH1006),$AB$1006:$AQ$1006,0)), HYPERLINK("#",""), HYPERLINK(CONCATENATE("#metadata!", ADDRESS(INDEX($W$2:$W$1001,MATCH(ROWS($U$2:U2),$U$2:$U$1001,0),0), INDEX($AB$1004:$AQ$1004,1,MATCH(COLUMNS($AB$1006:AH1006),$AB$1006:$AQ$1006,0)))),"Fix")))</f>
        <v>0</v>
      </c>
      <c r="I2" s="4">
        <f>IF(OR(INDEX($V$2:$V$1001,MATCH(ROWS($U$2:U2),$U$2:$U$1001,0),1)&gt;=100000,INDEX($AB$1005:$AQ$1005,1,MATCH(COLUMNS($AB$1006:AI1006),$AB$1006:$AQ$1006,0))&gt;=100000), " ",IF(INDEX($AB$2:$AQ$1001,MATCH(ROWS($U$2:U2),$U$2:$U$1001,0),MATCH(COLUMNS($AB$1006:AI1006),$AB$1006:$AQ$1006,0)), HYPERLINK("#",""), HYPERLINK(CONCATENATE("#metadata!", ADDRESS(INDEX($W$2:$W$1001,MATCH(ROWS($U$2:U2),$U$2:$U$1001,0),0), INDEX($AB$1004:$AQ$1004,1,MATCH(COLUMNS($AB$1006:AI1006),$AB$1006:$AQ$1006,0)))),"Fix")))</f>
        <v>0</v>
      </c>
      <c r="J2" s="4">
        <f>IF(OR(INDEX($V$2:$V$1001,MATCH(ROWS($U$2:U2),$U$2:$U$1001,0),1)&gt;=100000,INDEX($AB$1005:$AQ$1005,1,MATCH(COLUMNS($AB$1006:AJ1006),$AB$1006:$AQ$1006,0))&gt;=100000), " ",IF(INDEX($AB$2:$AQ$1001,MATCH(ROWS($U$2:U2),$U$2:$U$1001,0),MATCH(COLUMNS($AB$1006:AJ1006),$AB$1006:$AQ$1006,0)), HYPERLINK("#",""), HYPERLINK(CONCATENATE("#metadata!", ADDRESS(INDEX($W$2:$W$1001,MATCH(ROWS($U$2:U2),$U$2:$U$1001,0),0), INDEX($AB$1004:$AQ$1004,1,MATCH(COLUMNS($AB$1006:AJ1006),$AB$1006:$AQ$1006,0)))),"Fix")))</f>
        <v>0</v>
      </c>
      <c r="K2" s="4">
        <f>IF(OR(INDEX($V$2:$V$1001,MATCH(ROWS($U$2:U2),$U$2:$U$1001,0),1)&gt;=100000,INDEX($AB$1005:$AQ$1005,1,MATCH(COLUMNS($AB$1006:AK1006),$AB$1006:$AQ$1006,0))&gt;=100000), " ",IF(INDEX($AB$2:$AQ$1001,MATCH(ROWS($U$2:U2),$U$2:$U$1001,0),MATCH(COLUMNS($AB$1006:AK1006),$AB$1006:$AQ$1006,0)), HYPERLINK("#",""), HYPERLINK(CONCATENATE("#metadata!", ADDRESS(INDEX($W$2:$W$1001,MATCH(ROWS($U$2:U2),$U$2:$U$1001,0),0), INDEX($AB$1004:$AQ$1004,1,MATCH(COLUMNS($AB$1006:AK1006),$AB$1006:$AQ$1006,0)))),"Fix")))</f>
        <v>0</v>
      </c>
      <c r="L2" s="4">
        <f>IF(OR(INDEX($V$2:$V$1001,MATCH(ROWS($U$2:U2),$U$2:$U$1001,0),1)&gt;=100000,INDEX($AB$1005:$AQ$1005,1,MATCH(COLUMNS($AB$1006:AL1006),$AB$1006:$AQ$1006,0))&gt;=100000), " ",IF(INDEX($AB$2:$AQ$1001,MATCH(ROWS($U$2:U2),$U$2:$U$1001,0),MATCH(COLUMNS($AB$1006:AL1006),$AB$1006:$AQ$1006,0)), HYPERLINK("#",""), HYPERLINK(CONCATENATE("#metadata!", ADDRESS(INDEX($W$2:$W$1001,MATCH(ROWS($U$2:U2),$U$2:$U$1001,0),0), INDEX($AB$1004:$AQ$1004,1,MATCH(COLUMNS($AB$1006:AL1006),$AB$1006:$AQ$1006,0)))),"Fix")))</f>
        <v>0</v>
      </c>
      <c r="M2" s="4">
        <f>IF(OR(INDEX($V$2:$V$1001,MATCH(ROWS($U$2:U2),$U$2:$U$1001,0),1)&gt;=100000,INDEX($AB$1005:$AQ$1005,1,MATCH(COLUMNS($AB$1006:AM1006),$AB$1006:$AQ$1006,0))&gt;=100000), " ",IF(INDEX($AB$2:$AQ$1001,MATCH(ROWS($U$2:U2),$U$2:$U$1001,0),MATCH(COLUMNS($AB$1006:AM1006),$AB$1006:$AQ$1006,0)), HYPERLINK("#",""), HYPERLINK(CONCATENATE("#metadata!", ADDRESS(INDEX($W$2:$W$1001,MATCH(ROWS($U$2:U2),$U$2:$U$1001,0),0), INDEX($AB$1004:$AQ$1004,1,MATCH(COLUMNS($AB$1006:AM1006),$AB$1006:$AQ$1006,0)))),"Fix")))</f>
        <v>0</v>
      </c>
      <c r="N2" s="4">
        <f>IF(OR(INDEX($V$2:$V$1001,MATCH(ROWS($U$2:U2),$U$2:$U$1001,0),1)&gt;=100000,INDEX($AB$1005:$AQ$1005,1,MATCH(COLUMNS($AB$1006:AN1006),$AB$1006:$AQ$1006,0))&gt;=100000), " ",IF(INDEX($AB$2:$AQ$1001,MATCH(ROWS($U$2:U2),$U$2:$U$1001,0),MATCH(COLUMNS($AB$1006:AN1006),$AB$1006:$AQ$1006,0)), HYPERLINK("#",""), HYPERLINK(CONCATENATE("#metadata!", ADDRESS(INDEX($W$2:$W$1001,MATCH(ROWS($U$2:U2),$U$2:$U$1001,0),0), INDEX($AB$1004:$AQ$1004,1,MATCH(COLUMNS($AB$1006:AN1006),$AB$1006:$AQ$1006,0)))),"Fix")))</f>
        <v>0</v>
      </c>
      <c r="O2" s="4">
        <f>IF(OR(INDEX($V$2:$V$1001,MATCH(ROWS($U$2:U2),$U$2:$U$1001,0),1)&gt;=100000,INDEX($AB$1005:$AQ$1005,1,MATCH(COLUMNS($AB$1006:AO1006),$AB$1006:$AQ$1006,0))&gt;=100000), " ",IF(INDEX($AB$2:$AQ$1001,MATCH(ROWS($U$2:U2),$U$2:$U$1001,0),MATCH(COLUMNS($AB$1006:AO1006),$AB$1006:$AQ$1006,0)), HYPERLINK("#",""), HYPERLINK(CONCATENATE("#metadata!", ADDRESS(INDEX($W$2:$W$1001,MATCH(ROWS($U$2:U2),$U$2:$U$1001,0),0), INDEX($AB$1004:$AQ$1004,1,MATCH(COLUMNS($AB$1006:AO1006),$AB$1006:$AQ$1006,0)))),"Fix")))</f>
        <v>0</v>
      </c>
      <c r="P2" s="4">
        <f>IF(OR(INDEX($V$2:$V$1001,MATCH(ROWS($U$2:U2),$U$2:$U$1001,0),1)&gt;=100000,INDEX($AB$1005:$AQ$1005,1,MATCH(COLUMNS($AB$1006:AP1006),$AB$1006:$AQ$1006,0))&gt;=100000), " ",IF(INDEX($AB$2:$AQ$1001,MATCH(ROWS($U$2:U2),$U$2:$U$1001,0),MATCH(COLUMNS($AB$1006:AP1006),$AB$1006:$AQ$1006,0)), HYPERLINK("#",""), HYPERLINK(CONCATENATE("#metadata!", ADDRESS(INDEX($W$2:$W$1001,MATCH(ROWS($U$2:U2),$U$2:$U$1001,0),0), INDEX($AB$1004:$AQ$1004,1,MATCH(COLUMNS($AB$1006:AP1006),$AB$1006:$AQ$1006,0)))),"Fix")))</f>
        <v>0</v>
      </c>
      <c r="Q2" s="4">
        <f>IF(OR(INDEX($V$2:$V$1001,MATCH(ROWS($U$2:U2),$U$2:$U$1001,0),1)&gt;=100000,INDEX($AB$1005:$AQ$1005,1,MATCH(COLUMNS($AB$1006:AQ1006),$AB$1006:$AQ$1006,0))&gt;=100000), " ",IF(INDEX($AB$2:$AQ$1001,MATCH(ROWS($U$2:U2),$U$2:$U$1001,0),MATCH(COLUMNS($AB$1006:AQ1006),$AB$1006:$AQ$1006,0)), HYPERLINK("#",""), HYPERLINK(CONCATENATE("#metadata!", ADDRESS(INDEX($W$2:$W$1001,MATCH(ROWS($U$2:U2),$U$2:$U$1001,0),0), INDEX($AB$1004:$AQ$1004,1,MATCH(COLUMNS($AB$1006:AQ1006),$AB$1006:$AQ$1006,0)))),"Fix")))</f>
        <v>0</v>
      </c>
      <c r="U2">
        <f t="array" ref="U2:U1001">COUNTIF(V$2:V$1001,"&lt;="&amp;$V2:$V1001)</f>
        <v>0</v>
      </c>
      <c r="V2">
        <f t="array" ref="V2:V1001">INT(X2:X1001)*100000+$W$2:$W$1001</f>
        <v>0</v>
      </c>
      <c r="W2">
        <f t="array" ref="W2:W1001">ROW(metadata!B2:B1001)</f>
        <v>0</v>
      </c>
      <c r="X2">
        <f>IF(Y2,TRUE,AND(AB2:AQ2))</f>
        <v>0</v>
      </c>
      <c r="Y2">
        <f>COUNTBLANK(metadata!B2:Q2)=COLUMNS(metadata!B2:Q2)</f>
        <v>0</v>
      </c>
      <c r="Z2">
        <f t="array" ref="Z2:Z1001">IF(metadata!B2:B1001="","",metadata!B2:B1001)</f>
        <v>0</v>
      </c>
      <c r="AB2">
        <f>AND(IF(metadata!B2="",FALSE,TRUE),COUNTIF(metadata!B:B, metadata!B2) = 1,NOT(ISERROR(SUMPRODUCT(SEARCH(MID(metadata!B2,ROW(INDIRECT("1:"&amp;LEN(metadata!B2))), 1),"0123456789abcdefghijklmnopqrstuvwxyzABCDEFGHIJKLMNOPQRSTUVWXYZ.")))))</f>
        <v>0</v>
      </c>
      <c r="AC2">
        <f>OR(AND(IF(metadata!C2="",FALSE,TRUE),OR(exact(metadata!C2,"missing: not collected"),exact(metadata!C2,"missing: not provided"),exact(metadata!C2,"missing: restricted access"))),AND(IF(metadata!C2="",FALSE,TRUE),AND(AND(IFERROR(INT(LEFT(metadata!C2,4))&gt;1900,FALSE),IFERROR(INT(LEFT(metadata!C2,4))&lt;=YEAR(NOW()),FALSE)), OR(MID(metadata!C2,5,1)="", AND(AND(MID(metadata!C2,5,1)="-",IFERROR(INT(MID(metadata!C2,6,1))&gt;=0,FALSE),IFERROR(INT(MID(metadata!C2,6,1))&lt;=1,FALSE),NOT(MID(metadata!C2,7,1)=""),IFERROR(INT(MID(metadata!C2,6,2))&gt;=1,FALSE),IFERROR(INT(MID(metadata!C2,6,2))&lt;=12,FALSE)), OR(MID(metadata!C2,8,1)="", AND(AND(MID(metadata!C2,8,1)="-",IFERROR(INT(MID(metadata!C2,9,1))&gt;=0,FALSE),IFERROR(INT(MID(metadata!C2,9,1))&lt;=3,FALSE),NOT(MID(metadata!C2,10,1)=""),IFERROR(INT(MID(metadata!C2,9,2))&gt;=1,FALSE),IFERROR(INT(MID(metadata!C2,9,2))&lt;=31,FALSE)), OR(MID(metadata!C2,11,1)="", AND(AND(MID(metadata!C2,11,1)=" ",IFERROR(INT(MID(metadata!C2,12,1))&gt;=0,FALSE),IFERROR(INT(MID(metadata!C2,12,1))&lt;=2,FALSE),NOT(MID(metadata!C2,13,1)=""),IFERROR(INT(MID(metadata!C2,12,2))&gt;=0,FALSE),IFERROR(INT(MID(metadata!C2,12,2))&lt;=23,FALSE)), OR(MID(metadata!C2,14,1)="", AND(AND(MID(metadata!C2,14,1)=":",IFERROR(INT(MID(metadata!C2,15,1))&gt;=0,FALSE),IFERROR(INT(MID(metadata!C2,15,1))&lt;=5,FALSE),NOT(MID(metadata!C2,16,1)=""),IFERROR(INT(MID(metadata!C2,15,2))&gt;=0,FALSE),IFERROR(INT(MID(metadata!C2,15,2))&lt;=59,FALSE)), OR(MID(metadata!C2,17,1)="", AND(AND(MID(metadata!C2,17,1)=":",IFERROR(INT(MID(metadata!C2,18,1))&gt;=0,FALSE),IFERROR(INT(MID(metadata!C2,18,1))&lt;=5,FALSE),NOT(MID(metadata!C2,19,1)=""),IFERROR(INT(MID(metadata!C2,18,2))&gt;=0,FALSE),IFERROR(INT(MID(metadata!C2,18,2))&lt;=59,FALSE)), LEN(metadata!C2)&lt;=19)))))))))))))</f>
        <v>0</v>
      </c>
      <c r="AD2">
        <f>IF(metadata!D2="",FALSE,TRUE)</f>
        <v>0</v>
      </c>
      <c r="AE2">
        <f>OR(AND(IF(metadata!E2="",FALSE,TRUE),OR(exact(metadata!E2,"missing: not collected"),exact(metadata!E2,"missing: not provided"))),AND(IF(metadata!E2="",FALSE,TRUE),OR(exact(metadata!E2,"TRUE"),exact(metadata!E2,"FALSE"))))</f>
        <v>0</v>
      </c>
      <c r="AF2">
        <f>IF(metadata!F2="",FALSE,TRUE)</f>
        <v>0</v>
      </c>
      <c r="AG2">
        <f>IF(metadata!G2="",FALSE,TRUE)</f>
        <v>0</v>
      </c>
      <c r="AH2">
        <f>IF(metadata!H2="",FALSE,TRUE)</f>
        <v>0</v>
      </c>
      <c r="AI2">
        <f>OR(AND(IF(metadata!I2="",FALSE,TRUE),OR(exact(metadata!I2,"missing: not collected"),exact(metadata!I2,"missing: not provided"),exact(metadata!I2,"missing: restricted access"))),AND(IF(metadata!I2="",FALSE,TRUE),OR(exact(metadata!I2,"air"),exact(metadata!I2,"built environment"),exact(metadata!I2,"host-associated"),exact(metadata!I2,"human-associated"),exact(metadata!I2,"human-skin"),exact(metadata!I2,"human-oral"),exact(metadata!I2,"human-gut"),exact(metadata!I2,"human-vaginal"),exact(metadata!I2,"microbial mat/biofilm"),exact(metadata!I2,"misc environment"),exact(metadata!I2,"plant-associated"),exact(metadata!I2,"sediment"),exact(metadata!I2,"soil"),exact(metadata!I2,"wastewater/sludge"),exact(metadata!I2,"water"))))</f>
        <v>0</v>
      </c>
      <c r="AJ2">
        <f>IF(metadata!J2="",FALSE,TRUE)</f>
        <v>0</v>
      </c>
      <c r="AK2">
        <f>OR(AND(IF(metadata!K2="",FALSE,TRUE),OR(exact(metadata!K2,"missing: not collected"),exact(metadata!K2,"missing: not provided"),exact(metadata!K2,"missing: restricted access"))),AND(IF(metadata!K2="",FALSE,ISNUMBER(VALUE(metadata!K2))),metadata!K2&gt;=-90.00,metadata!K2&lt;=90.00))</f>
        <v>0</v>
      </c>
      <c r="AL2">
        <f>OR(AND(IF(metadata!L2="",FALSE,TRUE),OR(exact(metadata!L2,"missing: not collected"),exact(metadata!L2,"missing: not provided"),exact(metadata!L2,"missing: restricted access"))),AND(IF(metadata!L2="",FALSE,ISNUMBER(VALUE(metadata!L2))),metadata!L2&gt;=-180.00,metadata!L2&lt;=180.00))</f>
        <v>0</v>
      </c>
      <c r="AM2">
        <f>IF(metadata!M2="",FALSE,TRUE)</f>
        <v>0</v>
      </c>
      <c r="AN2">
        <f>OR(AND(IF(metadata!N2="",FALSE,TRUE),OR(exact(metadata!N2,"missing: not collected"),exact(metadata!N2,"missing: not provided"),exact(metadata!N2,"missing: restricted access"))),AND(IF(metadata!N2="",FALSE,TRUE),OR(exact(metadata!N2,"TRUE"),exact(metadata!N2,"FALSE"))))</f>
        <v>0</v>
      </c>
      <c r="AO2">
        <f>IF(metadata!O2="",FALSE,TRUE)</f>
        <v>0</v>
      </c>
      <c r="AP2">
        <f>OR(AND(IF(metadata!P2="",FALSE,TRUE),OR(exact(metadata!P2,"missing: not collected"),exact(metadata!P2,"missing: not provided"))),AND(IF(metadata!P2="",FALSE,IF(ISERROR(INT(metadata!P2)),FALSE,INT(metadata!P2)=metadata!P2)),metadata!P2&gt;0))</f>
        <v>0</v>
      </c>
      <c r="AQ2">
        <f>IF(metadata!Q2="",FALSE,TRUE)</f>
        <v>0</v>
      </c>
    </row>
    <row r="3" spans="1:43">
      <c r="A3" s="5">
        <f>IF(B3=" "," ",HYPERLINK(CONCATENATE("#metadata!",ADDRESS(INDEX($W$2:$W$1001,MATCH(ROWS($U$2:U3),$U$2:$U$1001,0),0),1)),INDEX($Z$2:$Z$1001,MATCH(ROWS($U$2:U3),$U$2:$U$1001,0),0)))</f>
        <v>0</v>
      </c>
      <c r="B3" s="4">
        <f>IF(OR(INDEX($V$2:$V$1001,MATCH(ROWS($U$2:U3),$U$2:$U$1001,0),1)&gt;=100000,INDEX($AB$1005:$AQ$1005,1,MATCH(COLUMNS($AB$1006:AB1006),$AB$1006:$AQ$1006,0))&gt;=100000), " ",IF(INDEX($AB$2:$AQ$1001,MATCH(ROWS($U$2:U3),$U$2:$U$1001,0),MATCH(COLUMNS($AB$1006:AB1006),$AB$1006:$AQ$1006,0)), HYPERLINK("#",""), HYPERLINK(CONCATENATE("#metadata!", ADDRESS(INDEX($W$2:$W$1001,MATCH(ROWS($U$2:U3),$U$2:$U$1001,0),0), INDEX($AB$1004:$AQ$1004,1,MATCH(COLUMNS($AB$1006:AB1006),$AB$1006:$AQ$1006,0)))),"Fix")))</f>
        <v>0</v>
      </c>
      <c r="C3" s="4">
        <f>IF(OR(INDEX($V$2:$V$1001,MATCH(ROWS($U$2:U3),$U$2:$U$1001,0),1)&gt;=100000,INDEX($AB$1005:$AQ$1005,1,MATCH(COLUMNS($AB$1006:AC1006),$AB$1006:$AQ$1006,0))&gt;=100000), " ",IF(INDEX($AB$2:$AQ$1001,MATCH(ROWS($U$2:U3),$U$2:$U$1001,0),MATCH(COLUMNS($AB$1006:AC1006),$AB$1006:$AQ$1006,0)), HYPERLINK("#",""), HYPERLINK(CONCATENATE("#metadata!", ADDRESS(INDEX($W$2:$W$1001,MATCH(ROWS($U$2:U3),$U$2:$U$1001,0),0), INDEX($AB$1004:$AQ$1004,1,MATCH(COLUMNS($AB$1006:AC1006),$AB$1006:$AQ$1006,0)))),"Fix")))</f>
        <v>0</v>
      </c>
      <c r="D3" s="4">
        <f>IF(OR(INDEX($V$2:$V$1001,MATCH(ROWS($U$2:U3),$U$2:$U$1001,0),1)&gt;=100000,INDEX($AB$1005:$AQ$1005,1,MATCH(COLUMNS($AB$1006:AD1006),$AB$1006:$AQ$1006,0))&gt;=100000), " ",IF(INDEX($AB$2:$AQ$1001,MATCH(ROWS($U$2:U3),$U$2:$U$1001,0),MATCH(COLUMNS($AB$1006:AD1006),$AB$1006:$AQ$1006,0)), HYPERLINK("#",""), HYPERLINK(CONCATENATE("#metadata!", ADDRESS(INDEX($W$2:$W$1001,MATCH(ROWS($U$2:U3),$U$2:$U$1001,0),0), INDEX($AB$1004:$AQ$1004,1,MATCH(COLUMNS($AB$1006:AD1006),$AB$1006:$AQ$1006,0)))),"Fix")))</f>
        <v>0</v>
      </c>
      <c r="E3" s="4">
        <f>IF(OR(INDEX($V$2:$V$1001,MATCH(ROWS($U$2:U3),$U$2:$U$1001,0),1)&gt;=100000,INDEX($AB$1005:$AQ$1005,1,MATCH(COLUMNS($AB$1006:AE1006),$AB$1006:$AQ$1006,0))&gt;=100000), " ",IF(INDEX($AB$2:$AQ$1001,MATCH(ROWS($U$2:U3),$U$2:$U$1001,0),MATCH(COLUMNS($AB$1006:AE1006),$AB$1006:$AQ$1006,0)), HYPERLINK("#",""), HYPERLINK(CONCATENATE("#metadata!", ADDRESS(INDEX($W$2:$W$1001,MATCH(ROWS($U$2:U3),$U$2:$U$1001,0),0), INDEX($AB$1004:$AQ$1004,1,MATCH(COLUMNS($AB$1006:AE1006),$AB$1006:$AQ$1006,0)))),"Fix")))</f>
        <v>0</v>
      </c>
      <c r="F3" s="4">
        <f>IF(OR(INDEX($V$2:$V$1001,MATCH(ROWS($U$2:U3),$U$2:$U$1001,0),1)&gt;=100000,INDEX($AB$1005:$AQ$1005,1,MATCH(COLUMNS($AB$1006:AF1006),$AB$1006:$AQ$1006,0))&gt;=100000), " ",IF(INDEX($AB$2:$AQ$1001,MATCH(ROWS($U$2:U3),$U$2:$U$1001,0),MATCH(COLUMNS($AB$1006:AF1006),$AB$1006:$AQ$1006,0)), HYPERLINK("#",""), HYPERLINK(CONCATENATE("#metadata!", ADDRESS(INDEX($W$2:$W$1001,MATCH(ROWS($U$2:U3),$U$2:$U$1001,0),0), INDEX($AB$1004:$AQ$1004,1,MATCH(COLUMNS($AB$1006:AF1006),$AB$1006:$AQ$1006,0)))),"Fix")))</f>
        <v>0</v>
      </c>
      <c r="G3" s="4">
        <f>IF(OR(INDEX($V$2:$V$1001,MATCH(ROWS($U$2:U3),$U$2:$U$1001,0),1)&gt;=100000,INDEX($AB$1005:$AQ$1005,1,MATCH(COLUMNS($AB$1006:AG1006),$AB$1006:$AQ$1006,0))&gt;=100000), " ",IF(INDEX($AB$2:$AQ$1001,MATCH(ROWS($U$2:U3),$U$2:$U$1001,0),MATCH(COLUMNS($AB$1006:AG1006),$AB$1006:$AQ$1006,0)), HYPERLINK("#",""), HYPERLINK(CONCATENATE("#metadata!", ADDRESS(INDEX($W$2:$W$1001,MATCH(ROWS($U$2:U3),$U$2:$U$1001,0),0), INDEX($AB$1004:$AQ$1004,1,MATCH(COLUMNS($AB$1006:AG1006),$AB$1006:$AQ$1006,0)))),"Fix")))</f>
        <v>0</v>
      </c>
      <c r="H3" s="4">
        <f>IF(OR(INDEX($V$2:$V$1001,MATCH(ROWS($U$2:U3),$U$2:$U$1001,0),1)&gt;=100000,INDEX($AB$1005:$AQ$1005,1,MATCH(COLUMNS($AB$1006:AH1006),$AB$1006:$AQ$1006,0))&gt;=100000), " ",IF(INDEX($AB$2:$AQ$1001,MATCH(ROWS($U$2:U3),$U$2:$U$1001,0),MATCH(COLUMNS($AB$1006:AH1006),$AB$1006:$AQ$1006,0)), HYPERLINK("#",""), HYPERLINK(CONCATENATE("#metadata!", ADDRESS(INDEX($W$2:$W$1001,MATCH(ROWS($U$2:U3),$U$2:$U$1001,0),0), INDEX($AB$1004:$AQ$1004,1,MATCH(COLUMNS($AB$1006:AH1006),$AB$1006:$AQ$1006,0)))),"Fix")))</f>
        <v>0</v>
      </c>
      <c r="I3" s="4">
        <f>IF(OR(INDEX($V$2:$V$1001,MATCH(ROWS($U$2:U3),$U$2:$U$1001,0),1)&gt;=100000,INDEX($AB$1005:$AQ$1005,1,MATCH(COLUMNS($AB$1006:AI1006),$AB$1006:$AQ$1006,0))&gt;=100000), " ",IF(INDEX($AB$2:$AQ$1001,MATCH(ROWS($U$2:U3),$U$2:$U$1001,0),MATCH(COLUMNS($AB$1006:AI1006),$AB$1006:$AQ$1006,0)), HYPERLINK("#",""), HYPERLINK(CONCATENATE("#metadata!", ADDRESS(INDEX($W$2:$W$1001,MATCH(ROWS($U$2:U3),$U$2:$U$1001,0),0), INDEX($AB$1004:$AQ$1004,1,MATCH(COLUMNS($AB$1006:AI1006),$AB$1006:$AQ$1006,0)))),"Fix")))</f>
        <v>0</v>
      </c>
      <c r="J3" s="4">
        <f>IF(OR(INDEX($V$2:$V$1001,MATCH(ROWS($U$2:U3),$U$2:$U$1001,0),1)&gt;=100000,INDEX($AB$1005:$AQ$1005,1,MATCH(COLUMNS($AB$1006:AJ1006),$AB$1006:$AQ$1006,0))&gt;=100000), " ",IF(INDEX($AB$2:$AQ$1001,MATCH(ROWS($U$2:U3),$U$2:$U$1001,0),MATCH(COLUMNS($AB$1006:AJ1006),$AB$1006:$AQ$1006,0)), HYPERLINK("#",""), HYPERLINK(CONCATENATE("#metadata!", ADDRESS(INDEX($W$2:$W$1001,MATCH(ROWS($U$2:U3),$U$2:$U$1001,0),0), INDEX($AB$1004:$AQ$1004,1,MATCH(COLUMNS($AB$1006:AJ1006),$AB$1006:$AQ$1006,0)))),"Fix")))</f>
        <v>0</v>
      </c>
      <c r="K3" s="4">
        <f>IF(OR(INDEX($V$2:$V$1001,MATCH(ROWS($U$2:U3),$U$2:$U$1001,0),1)&gt;=100000,INDEX($AB$1005:$AQ$1005,1,MATCH(COLUMNS($AB$1006:AK1006),$AB$1006:$AQ$1006,0))&gt;=100000), " ",IF(INDEX($AB$2:$AQ$1001,MATCH(ROWS($U$2:U3),$U$2:$U$1001,0),MATCH(COLUMNS($AB$1006:AK1006),$AB$1006:$AQ$1006,0)), HYPERLINK("#",""), HYPERLINK(CONCATENATE("#metadata!", ADDRESS(INDEX($W$2:$W$1001,MATCH(ROWS($U$2:U3),$U$2:$U$1001,0),0), INDEX($AB$1004:$AQ$1004,1,MATCH(COLUMNS($AB$1006:AK1006),$AB$1006:$AQ$1006,0)))),"Fix")))</f>
        <v>0</v>
      </c>
      <c r="L3" s="4">
        <f>IF(OR(INDEX($V$2:$V$1001,MATCH(ROWS($U$2:U3),$U$2:$U$1001,0),1)&gt;=100000,INDEX($AB$1005:$AQ$1005,1,MATCH(COLUMNS($AB$1006:AL1006),$AB$1006:$AQ$1006,0))&gt;=100000), " ",IF(INDEX($AB$2:$AQ$1001,MATCH(ROWS($U$2:U3),$U$2:$U$1001,0),MATCH(COLUMNS($AB$1006:AL1006),$AB$1006:$AQ$1006,0)), HYPERLINK("#",""), HYPERLINK(CONCATENATE("#metadata!", ADDRESS(INDEX($W$2:$W$1001,MATCH(ROWS($U$2:U3),$U$2:$U$1001,0),0), INDEX($AB$1004:$AQ$1004,1,MATCH(COLUMNS($AB$1006:AL1006),$AB$1006:$AQ$1006,0)))),"Fix")))</f>
        <v>0</v>
      </c>
      <c r="M3" s="4">
        <f>IF(OR(INDEX($V$2:$V$1001,MATCH(ROWS($U$2:U3),$U$2:$U$1001,0),1)&gt;=100000,INDEX($AB$1005:$AQ$1005,1,MATCH(COLUMNS($AB$1006:AM1006),$AB$1006:$AQ$1006,0))&gt;=100000), " ",IF(INDEX($AB$2:$AQ$1001,MATCH(ROWS($U$2:U3),$U$2:$U$1001,0),MATCH(COLUMNS($AB$1006:AM1006),$AB$1006:$AQ$1006,0)), HYPERLINK("#",""), HYPERLINK(CONCATENATE("#metadata!", ADDRESS(INDEX($W$2:$W$1001,MATCH(ROWS($U$2:U3),$U$2:$U$1001,0),0), INDEX($AB$1004:$AQ$1004,1,MATCH(COLUMNS($AB$1006:AM1006),$AB$1006:$AQ$1006,0)))),"Fix")))</f>
        <v>0</v>
      </c>
      <c r="N3" s="4">
        <f>IF(OR(INDEX($V$2:$V$1001,MATCH(ROWS($U$2:U3),$U$2:$U$1001,0),1)&gt;=100000,INDEX($AB$1005:$AQ$1005,1,MATCH(COLUMNS($AB$1006:AN1006),$AB$1006:$AQ$1006,0))&gt;=100000), " ",IF(INDEX($AB$2:$AQ$1001,MATCH(ROWS($U$2:U3),$U$2:$U$1001,0),MATCH(COLUMNS($AB$1006:AN1006),$AB$1006:$AQ$1006,0)), HYPERLINK("#",""), HYPERLINK(CONCATENATE("#metadata!", ADDRESS(INDEX($W$2:$W$1001,MATCH(ROWS($U$2:U3),$U$2:$U$1001,0),0), INDEX($AB$1004:$AQ$1004,1,MATCH(COLUMNS($AB$1006:AN1006),$AB$1006:$AQ$1006,0)))),"Fix")))</f>
        <v>0</v>
      </c>
      <c r="O3" s="4">
        <f>IF(OR(INDEX($V$2:$V$1001,MATCH(ROWS($U$2:U3),$U$2:$U$1001,0),1)&gt;=100000,INDEX($AB$1005:$AQ$1005,1,MATCH(COLUMNS($AB$1006:AO1006),$AB$1006:$AQ$1006,0))&gt;=100000), " ",IF(INDEX($AB$2:$AQ$1001,MATCH(ROWS($U$2:U3),$U$2:$U$1001,0),MATCH(COLUMNS($AB$1006:AO1006),$AB$1006:$AQ$1006,0)), HYPERLINK("#",""), HYPERLINK(CONCATENATE("#metadata!", ADDRESS(INDEX($W$2:$W$1001,MATCH(ROWS($U$2:U3),$U$2:$U$1001,0),0), INDEX($AB$1004:$AQ$1004,1,MATCH(COLUMNS($AB$1006:AO1006),$AB$1006:$AQ$1006,0)))),"Fix")))</f>
        <v>0</v>
      </c>
      <c r="P3" s="4">
        <f>IF(OR(INDEX($V$2:$V$1001,MATCH(ROWS($U$2:U3),$U$2:$U$1001,0),1)&gt;=100000,INDEX($AB$1005:$AQ$1005,1,MATCH(COLUMNS($AB$1006:AP1006),$AB$1006:$AQ$1006,0))&gt;=100000), " ",IF(INDEX($AB$2:$AQ$1001,MATCH(ROWS($U$2:U3),$U$2:$U$1001,0),MATCH(COLUMNS($AB$1006:AP1006),$AB$1006:$AQ$1006,0)), HYPERLINK("#",""), HYPERLINK(CONCATENATE("#metadata!", ADDRESS(INDEX($W$2:$W$1001,MATCH(ROWS($U$2:U3),$U$2:$U$1001,0),0), INDEX($AB$1004:$AQ$1004,1,MATCH(COLUMNS($AB$1006:AP1006),$AB$1006:$AQ$1006,0)))),"Fix")))</f>
        <v>0</v>
      </c>
      <c r="Q3" s="4">
        <f>IF(OR(INDEX($V$2:$V$1001,MATCH(ROWS($U$2:U3),$U$2:$U$1001,0),1)&gt;=100000,INDEX($AB$1005:$AQ$1005,1,MATCH(COLUMNS($AB$1006:AQ1006),$AB$1006:$AQ$1006,0))&gt;=100000), " ",IF(INDEX($AB$2:$AQ$1001,MATCH(ROWS($U$2:U3),$U$2:$U$1001,0),MATCH(COLUMNS($AB$1006:AQ1006),$AB$1006:$AQ$1006,0)), HYPERLINK("#",""), HYPERLINK(CONCATENATE("#metadata!", ADDRESS(INDEX($W$2:$W$1001,MATCH(ROWS($U$2:U3),$U$2:$U$1001,0),0), INDEX($AB$1004:$AQ$1004,1,MATCH(COLUMNS($AB$1006:AQ1006),$AB$1006:$AQ$1006,0)))),"Fix")))</f>
        <v>0</v>
      </c>
      <c r="U3">
        <v>0</v>
      </c>
      <c r="V3">
        <v>0</v>
      </c>
      <c r="W3">
        <v>0</v>
      </c>
      <c r="X3">
        <f>IF(Y3,TRUE,AND(AB3:AQ3))</f>
        <v>0</v>
      </c>
      <c r="Y3">
        <f>COUNTBLANK(metadata!B3:Q3)=COLUMNS(metadata!B3:Q3)</f>
        <v>0</v>
      </c>
      <c r="Z3">
        <v>0</v>
      </c>
      <c r="AB3">
        <f>AND(IF(metadata!B3="",FALSE,TRUE),COUNTIF(metadata!B:B, metadata!B3) = 1,NOT(ISERROR(SUMPRODUCT(SEARCH(MID(metadata!B3,ROW(INDIRECT("1:"&amp;LEN(metadata!B3))), 1),"0123456789abcdefghijklmnopqrstuvwxyzABCDEFGHIJKLMNOPQRSTUVWXYZ.")))))</f>
        <v>0</v>
      </c>
      <c r="AC3">
        <f>OR(AND(IF(metadata!C3="",FALSE,TRUE),OR(exact(metadata!C3,"missing: not collected"),exact(metadata!C3,"missing: not provided"),exact(metadata!C3,"missing: restricted access"))),AND(IF(metadata!C3="",FALSE,TRUE),AND(AND(IFERROR(INT(LEFT(metadata!C3,4))&gt;1900,FALSE),IFERROR(INT(LEFT(metadata!C3,4))&lt;=YEAR(NOW()),FALSE)), OR(MID(metadata!C3,5,1)="", AND(AND(MID(metadata!C3,5,1)="-",IFERROR(INT(MID(metadata!C3,6,1))&gt;=0,FALSE),IFERROR(INT(MID(metadata!C3,6,1))&lt;=1,FALSE),NOT(MID(metadata!C3,7,1)=""),IFERROR(INT(MID(metadata!C3,6,2))&gt;=1,FALSE),IFERROR(INT(MID(metadata!C3,6,2))&lt;=12,FALSE)), OR(MID(metadata!C3,8,1)="", AND(AND(MID(metadata!C3,8,1)="-",IFERROR(INT(MID(metadata!C3,9,1))&gt;=0,FALSE),IFERROR(INT(MID(metadata!C3,9,1))&lt;=3,FALSE),NOT(MID(metadata!C3,10,1)=""),IFERROR(INT(MID(metadata!C3,9,2))&gt;=1,FALSE),IFERROR(INT(MID(metadata!C3,9,2))&lt;=31,FALSE)), OR(MID(metadata!C3,11,1)="", AND(AND(MID(metadata!C3,11,1)=" ",IFERROR(INT(MID(metadata!C3,12,1))&gt;=0,FALSE),IFERROR(INT(MID(metadata!C3,12,1))&lt;=2,FALSE),NOT(MID(metadata!C3,13,1)=""),IFERROR(INT(MID(metadata!C3,12,2))&gt;=0,FALSE),IFERROR(INT(MID(metadata!C3,12,2))&lt;=23,FALSE)), OR(MID(metadata!C3,14,1)="", AND(AND(MID(metadata!C3,14,1)=":",IFERROR(INT(MID(metadata!C3,15,1))&gt;=0,FALSE),IFERROR(INT(MID(metadata!C3,15,1))&lt;=5,FALSE),NOT(MID(metadata!C3,16,1)=""),IFERROR(INT(MID(metadata!C3,15,2))&gt;=0,FALSE),IFERROR(INT(MID(metadata!C3,15,2))&lt;=59,FALSE)), OR(MID(metadata!C3,17,1)="", AND(AND(MID(metadata!C3,17,1)=":",IFERROR(INT(MID(metadata!C3,18,1))&gt;=0,FALSE),IFERROR(INT(MID(metadata!C3,18,1))&lt;=5,FALSE),NOT(MID(metadata!C3,19,1)=""),IFERROR(INT(MID(metadata!C3,18,2))&gt;=0,FALSE),IFERROR(INT(MID(metadata!C3,18,2))&lt;=59,FALSE)), LEN(metadata!C3)&lt;=19)))))))))))))</f>
        <v>0</v>
      </c>
      <c r="AD3">
        <f>IF(metadata!D3="",FALSE,TRUE)</f>
        <v>0</v>
      </c>
      <c r="AE3">
        <f>OR(AND(IF(metadata!E3="",FALSE,TRUE),OR(exact(metadata!E3,"missing: not collected"),exact(metadata!E3,"missing: not provided"))),AND(IF(metadata!E3="",FALSE,TRUE),OR(exact(metadata!E3,"TRUE"),exact(metadata!E3,"FALSE"))))</f>
        <v>0</v>
      </c>
      <c r="AF3">
        <f>IF(metadata!F3="",FALSE,TRUE)</f>
        <v>0</v>
      </c>
      <c r="AG3">
        <f>IF(metadata!G3="",FALSE,TRUE)</f>
        <v>0</v>
      </c>
      <c r="AH3">
        <f>IF(metadata!H3="",FALSE,TRUE)</f>
        <v>0</v>
      </c>
      <c r="AI3">
        <f>OR(AND(IF(metadata!I3="",FALSE,TRUE),OR(exact(metadata!I3,"missing: not collected"),exact(metadata!I3,"missing: not provided"),exact(metadata!I3,"missing: restricted access"))),AND(IF(metadata!I3="",FALSE,TRUE),OR(exact(metadata!I3,"air"),exact(metadata!I3,"built environment"),exact(metadata!I3,"host-associated"),exact(metadata!I3,"human-associated"),exact(metadata!I3,"human-skin"),exact(metadata!I3,"human-oral"),exact(metadata!I3,"human-gut"),exact(metadata!I3,"human-vaginal"),exact(metadata!I3,"microbial mat/biofilm"),exact(metadata!I3,"misc environment"),exact(metadata!I3,"plant-associated"),exact(metadata!I3,"sediment"),exact(metadata!I3,"soil"),exact(metadata!I3,"wastewater/sludge"),exact(metadata!I3,"water"))))</f>
        <v>0</v>
      </c>
      <c r="AJ3">
        <f>IF(metadata!J3="",FALSE,TRUE)</f>
        <v>0</v>
      </c>
      <c r="AK3">
        <f>OR(AND(IF(metadata!K3="",FALSE,TRUE),OR(exact(metadata!K3,"missing: not collected"),exact(metadata!K3,"missing: not provided"),exact(metadata!K3,"missing: restricted access"))),AND(IF(metadata!K3="",FALSE,ISNUMBER(VALUE(metadata!K3))),metadata!K3&gt;=-90.00,metadata!K3&lt;=90.00))</f>
        <v>0</v>
      </c>
      <c r="AL3">
        <f>OR(AND(IF(metadata!L3="",FALSE,TRUE),OR(exact(metadata!L3,"missing: not collected"),exact(metadata!L3,"missing: not provided"),exact(metadata!L3,"missing: restricted access"))),AND(IF(metadata!L3="",FALSE,ISNUMBER(VALUE(metadata!L3))),metadata!L3&gt;=-180.00,metadata!L3&lt;=180.00))</f>
        <v>0</v>
      </c>
      <c r="AM3">
        <f>IF(metadata!M3="",FALSE,TRUE)</f>
        <v>0</v>
      </c>
      <c r="AN3">
        <f>OR(AND(IF(metadata!N3="",FALSE,TRUE),OR(exact(metadata!N3,"missing: not collected"),exact(metadata!N3,"missing: not provided"),exact(metadata!N3,"missing: restricted access"))),AND(IF(metadata!N3="",FALSE,TRUE),OR(exact(metadata!N3,"TRUE"),exact(metadata!N3,"FALSE"))))</f>
        <v>0</v>
      </c>
      <c r="AO3">
        <f>IF(metadata!O3="",FALSE,TRUE)</f>
        <v>0</v>
      </c>
      <c r="AP3">
        <f>OR(AND(IF(metadata!P3="",FALSE,TRUE),OR(exact(metadata!P3,"missing: not collected"),exact(metadata!P3,"missing: not provided"))),AND(IF(metadata!P3="",FALSE,IF(ISERROR(INT(metadata!P3)),FALSE,INT(metadata!P3)=metadata!P3)),metadata!P3&gt;0))</f>
        <v>0</v>
      </c>
      <c r="AQ3">
        <f>IF(metadata!Q3="",FALSE,TRUE)</f>
        <v>0</v>
      </c>
    </row>
    <row r="4" spans="1:43">
      <c r="A4" s="5">
        <f>IF(B4=" "," ",HYPERLINK(CONCATENATE("#metadata!",ADDRESS(INDEX($W$2:$W$1001,MATCH(ROWS($U$2:U4),$U$2:$U$1001,0),0),1)),INDEX($Z$2:$Z$1001,MATCH(ROWS($U$2:U4),$U$2:$U$1001,0),0)))</f>
        <v>0</v>
      </c>
      <c r="B4" s="4">
        <f>IF(OR(INDEX($V$2:$V$1001,MATCH(ROWS($U$2:U4),$U$2:$U$1001,0),1)&gt;=100000,INDEX($AB$1005:$AQ$1005,1,MATCH(COLUMNS($AB$1006:AB1006),$AB$1006:$AQ$1006,0))&gt;=100000), " ",IF(INDEX($AB$2:$AQ$1001,MATCH(ROWS($U$2:U4),$U$2:$U$1001,0),MATCH(COLUMNS($AB$1006:AB1006),$AB$1006:$AQ$1006,0)), HYPERLINK("#",""), HYPERLINK(CONCATENATE("#metadata!", ADDRESS(INDEX($W$2:$W$1001,MATCH(ROWS($U$2:U4),$U$2:$U$1001,0),0), INDEX($AB$1004:$AQ$1004,1,MATCH(COLUMNS($AB$1006:AB1006),$AB$1006:$AQ$1006,0)))),"Fix")))</f>
        <v>0</v>
      </c>
      <c r="C4" s="4">
        <f>IF(OR(INDEX($V$2:$V$1001,MATCH(ROWS($U$2:U4),$U$2:$U$1001,0),1)&gt;=100000,INDEX($AB$1005:$AQ$1005,1,MATCH(COLUMNS($AB$1006:AC1006),$AB$1006:$AQ$1006,0))&gt;=100000), " ",IF(INDEX($AB$2:$AQ$1001,MATCH(ROWS($U$2:U4),$U$2:$U$1001,0),MATCH(COLUMNS($AB$1006:AC1006),$AB$1006:$AQ$1006,0)), HYPERLINK("#",""), HYPERLINK(CONCATENATE("#metadata!", ADDRESS(INDEX($W$2:$W$1001,MATCH(ROWS($U$2:U4),$U$2:$U$1001,0),0), INDEX($AB$1004:$AQ$1004,1,MATCH(COLUMNS($AB$1006:AC1006),$AB$1006:$AQ$1006,0)))),"Fix")))</f>
        <v>0</v>
      </c>
      <c r="D4" s="4">
        <f>IF(OR(INDEX($V$2:$V$1001,MATCH(ROWS($U$2:U4),$U$2:$U$1001,0),1)&gt;=100000,INDEX($AB$1005:$AQ$1005,1,MATCH(COLUMNS($AB$1006:AD1006),$AB$1006:$AQ$1006,0))&gt;=100000), " ",IF(INDEX($AB$2:$AQ$1001,MATCH(ROWS($U$2:U4),$U$2:$U$1001,0),MATCH(COLUMNS($AB$1006:AD1006),$AB$1006:$AQ$1006,0)), HYPERLINK("#",""), HYPERLINK(CONCATENATE("#metadata!", ADDRESS(INDEX($W$2:$W$1001,MATCH(ROWS($U$2:U4),$U$2:$U$1001,0),0), INDEX($AB$1004:$AQ$1004,1,MATCH(COLUMNS($AB$1006:AD1006),$AB$1006:$AQ$1006,0)))),"Fix")))</f>
        <v>0</v>
      </c>
      <c r="E4" s="4">
        <f>IF(OR(INDEX($V$2:$V$1001,MATCH(ROWS($U$2:U4),$U$2:$U$1001,0),1)&gt;=100000,INDEX($AB$1005:$AQ$1005,1,MATCH(COLUMNS($AB$1006:AE1006),$AB$1006:$AQ$1006,0))&gt;=100000), " ",IF(INDEX($AB$2:$AQ$1001,MATCH(ROWS($U$2:U4),$U$2:$U$1001,0),MATCH(COLUMNS($AB$1006:AE1006),$AB$1006:$AQ$1006,0)), HYPERLINK("#",""), HYPERLINK(CONCATENATE("#metadata!", ADDRESS(INDEX($W$2:$W$1001,MATCH(ROWS($U$2:U4),$U$2:$U$1001,0),0), INDEX($AB$1004:$AQ$1004,1,MATCH(COLUMNS($AB$1006:AE1006),$AB$1006:$AQ$1006,0)))),"Fix")))</f>
        <v>0</v>
      </c>
      <c r="F4" s="4">
        <f>IF(OR(INDEX($V$2:$V$1001,MATCH(ROWS($U$2:U4),$U$2:$U$1001,0),1)&gt;=100000,INDEX($AB$1005:$AQ$1005,1,MATCH(COLUMNS($AB$1006:AF1006),$AB$1006:$AQ$1006,0))&gt;=100000), " ",IF(INDEX($AB$2:$AQ$1001,MATCH(ROWS($U$2:U4),$U$2:$U$1001,0),MATCH(COLUMNS($AB$1006:AF1006),$AB$1006:$AQ$1006,0)), HYPERLINK("#",""), HYPERLINK(CONCATENATE("#metadata!", ADDRESS(INDEX($W$2:$W$1001,MATCH(ROWS($U$2:U4),$U$2:$U$1001,0),0), INDEX($AB$1004:$AQ$1004,1,MATCH(COLUMNS($AB$1006:AF1006),$AB$1006:$AQ$1006,0)))),"Fix")))</f>
        <v>0</v>
      </c>
      <c r="G4" s="4">
        <f>IF(OR(INDEX($V$2:$V$1001,MATCH(ROWS($U$2:U4),$U$2:$U$1001,0),1)&gt;=100000,INDEX($AB$1005:$AQ$1005,1,MATCH(COLUMNS($AB$1006:AG1006),$AB$1006:$AQ$1006,0))&gt;=100000), " ",IF(INDEX($AB$2:$AQ$1001,MATCH(ROWS($U$2:U4),$U$2:$U$1001,0),MATCH(COLUMNS($AB$1006:AG1006),$AB$1006:$AQ$1006,0)), HYPERLINK("#",""), HYPERLINK(CONCATENATE("#metadata!", ADDRESS(INDEX($W$2:$W$1001,MATCH(ROWS($U$2:U4),$U$2:$U$1001,0),0), INDEX($AB$1004:$AQ$1004,1,MATCH(COLUMNS($AB$1006:AG1006),$AB$1006:$AQ$1006,0)))),"Fix")))</f>
        <v>0</v>
      </c>
      <c r="H4" s="4">
        <f>IF(OR(INDEX($V$2:$V$1001,MATCH(ROWS($U$2:U4),$U$2:$U$1001,0),1)&gt;=100000,INDEX($AB$1005:$AQ$1005,1,MATCH(COLUMNS($AB$1006:AH1006),$AB$1006:$AQ$1006,0))&gt;=100000), " ",IF(INDEX($AB$2:$AQ$1001,MATCH(ROWS($U$2:U4),$U$2:$U$1001,0),MATCH(COLUMNS($AB$1006:AH1006),$AB$1006:$AQ$1006,0)), HYPERLINK("#",""), HYPERLINK(CONCATENATE("#metadata!", ADDRESS(INDEX($W$2:$W$1001,MATCH(ROWS($U$2:U4),$U$2:$U$1001,0),0), INDEX($AB$1004:$AQ$1004,1,MATCH(COLUMNS($AB$1006:AH1006),$AB$1006:$AQ$1006,0)))),"Fix")))</f>
        <v>0</v>
      </c>
      <c r="I4" s="4">
        <f>IF(OR(INDEX($V$2:$V$1001,MATCH(ROWS($U$2:U4),$U$2:$U$1001,0),1)&gt;=100000,INDEX($AB$1005:$AQ$1005,1,MATCH(COLUMNS($AB$1006:AI1006),$AB$1006:$AQ$1006,0))&gt;=100000), " ",IF(INDEX($AB$2:$AQ$1001,MATCH(ROWS($U$2:U4),$U$2:$U$1001,0),MATCH(COLUMNS($AB$1006:AI1006),$AB$1006:$AQ$1006,0)), HYPERLINK("#",""), HYPERLINK(CONCATENATE("#metadata!", ADDRESS(INDEX($W$2:$W$1001,MATCH(ROWS($U$2:U4),$U$2:$U$1001,0),0), INDEX($AB$1004:$AQ$1004,1,MATCH(COLUMNS($AB$1006:AI1006),$AB$1006:$AQ$1006,0)))),"Fix")))</f>
        <v>0</v>
      </c>
      <c r="J4" s="4">
        <f>IF(OR(INDEX($V$2:$V$1001,MATCH(ROWS($U$2:U4),$U$2:$U$1001,0),1)&gt;=100000,INDEX($AB$1005:$AQ$1005,1,MATCH(COLUMNS($AB$1006:AJ1006),$AB$1006:$AQ$1006,0))&gt;=100000), " ",IF(INDEX($AB$2:$AQ$1001,MATCH(ROWS($U$2:U4),$U$2:$U$1001,0),MATCH(COLUMNS($AB$1006:AJ1006),$AB$1006:$AQ$1006,0)), HYPERLINK("#",""), HYPERLINK(CONCATENATE("#metadata!", ADDRESS(INDEX($W$2:$W$1001,MATCH(ROWS($U$2:U4),$U$2:$U$1001,0),0), INDEX($AB$1004:$AQ$1004,1,MATCH(COLUMNS($AB$1006:AJ1006),$AB$1006:$AQ$1006,0)))),"Fix")))</f>
        <v>0</v>
      </c>
      <c r="K4" s="4">
        <f>IF(OR(INDEX($V$2:$V$1001,MATCH(ROWS($U$2:U4),$U$2:$U$1001,0),1)&gt;=100000,INDEX($AB$1005:$AQ$1005,1,MATCH(COLUMNS($AB$1006:AK1006),$AB$1006:$AQ$1006,0))&gt;=100000), " ",IF(INDEX($AB$2:$AQ$1001,MATCH(ROWS($U$2:U4),$U$2:$U$1001,0),MATCH(COLUMNS($AB$1006:AK1006),$AB$1006:$AQ$1006,0)), HYPERLINK("#",""), HYPERLINK(CONCATENATE("#metadata!", ADDRESS(INDEX($W$2:$W$1001,MATCH(ROWS($U$2:U4),$U$2:$U$1001,0),0), INDEX($AB$1004:$AQ$1004,1,MATCH(COLUMNS($AB$1006:AK1006),$AB$1006:$AQ$1006,0)))),"Fix")))</f>
        <v>0</v>
      </c>
      <c r="L4" s="4">
        <f>IF(OR(INDEX($V$2:$V$1001,MATCH(ROWS($U$2:U4),$U$2:$U$1001,0),1)&gt;=100000,INDEX($AB$1005:$AQ$1005,1,MATCH(COLUMNS($AB$1006:AL1006),$AB$1006:$AQ$1006,0))&gt;=100000), " ",IF(INDEX($AB$2:$AQ$1001,MATCH(ROWS($U$2:U4),$U$2:$U$1001,0),MATCH(COLUMNS($AB$1006:AL1006),$AB$1006:$AQ$1006,0)), HYPERLINK("#",""), HYPERLINK(CONCATENATE("#metadata!", ADDRESS(INDEX($W$2:$W$1001,MATCH(ROWS($U$2:U4),$U$2:$U$1001,0),0), INDEX($AB$1004:$AQ$1004,1,MATCH(COLUMNS($AB$1006:AL1006),$AB$1006:$AQ$1006,0)))),"Fix")))</f>
        <v>0</v>
      </c>
      <c r="M4" s="4">
        <f>IF(OR(INDEX($V$2:$V$1001,MATCH(ROWS($U$2:U4),$U$2:$U$1001,0),1)&gt;=100000,INDEX($AB$1005:$AQ$1005,1,MATCH(COLUMNS($AB$1006:AM1006),$AB$1006:$AQ$1006,0))&gt;=100000), " ",IF(INDEX($AB$2:$AQ$1001,MATCH(ROWS($U$2:U4),$U$2:$U$1001,0),MATCH(COLUMNS($AB$1006:AM1006),$AB$1006:$AQ$1006,0)), HYPERLINK("#",""), HYPERLINK(CONCATENATE("#metadata!", ADDRESS(INDEX($W$2:$W$1001,MATCH(ROWS($U$2:U4),$U$2:$U$1001,0),0), INDEX($AB$1004:$AQ$1004,1,MATCH(COLUMNS($AB$1006:AM1006),$AB$1006:$AQ$1006,0)))),"Fix")))</f>
        <v>0</v>
      </c>
      <c r="N4" s="4">
        <f>IF(OR(INDEX($V$2:$V$1001,MATCH(ROWS($U$2:U4),$U$2:$U$1001,0),1)&gt;=100000,INDEX($AB$1005:$AQ$1005,1,MATCH(COLUMNS($AB$1006:AN1006),$AB$1006:$AQ$1006,0))&gt;=100000), " ",IF(INDEX($AB$2:$AQ$1001,MATCH(ROWS($U$2:U4),$U$2:$U$1001,0),MATCH(COLUMNS($AB$1006:AN1006),$AB$1006:$AQ$1006,0)), HYPERLINK("#",""), HYPERLINK(CONCATENATE("#metadata!", ADDRESS(INDEX($W$2:$W$1001,MATCH(ROWS($U$2:U4),$U$2:$U$1001,0),0), INDEX($AB$1004:$AQ$1004,1,MATCH(COLUMNS($AB$1006:AN1006),$AB$1006:$AQ$1006,0)))),"Fix")))</f>
        <v>0</v>
      </c>
      <c r="O4" s="4">
        <f>IF(OR(INDEX($V$2:$V$1001,MATCH(ROWS($U$2:U4),$U$2:$U$1001,0),1)&gt;=100000,INDEX($AB$1005:$AQ$1005,1,MATCH(COLUMNS($AB$1006:AO1006),$AB$1006:$AQ$1006,0))&gt;=100000), " ",IF(INDEX($AB$2:$AQ$1001,MATCH(ROWS($U$2:U4),$U$2:$U$1001,0),MATCH(COLUMNS($AB$1006:AO1006),$AB$1006:$AQ$1006,0)), HYPERLINK("#",""), HYPERLINK(CONCATENATE("#metadata!", ADDRESS(INDEX($W$2:$W$1001,MATCH(ROWS($U$2:U4),$U$2:$U$1001,0),0), INDEX($AB$1004:$AQ$1004,1,MATCH(COLUMNS($AB$1006:AO1006),$AB$1006:$AQ$1006,0)))),"Fix")))</f>
        <v>0</v>
      </c>
      <c r="P4" s="4">
        <f>IF(OR(INDEX($V$2:$V$1001,MATCH(ROWS($U$2:U4),$U$2:$U$1001,0),1)&gt;=100000,INDEX($AB$1005:$AQ$1005,1,MATCH(COLUMNS($AB$1006:AP1006),$AB$1006:$AQ$1006,0))&gt;=100000), " ",IF(INDEX($AB$2:$AQ$1001,MATCH(ROWS($U$2:U4),$U$2:$U$1001,0),MATCH(COLUMNS($AB$1006:AP1006),$AB$1006:$AQ$1006,0)), HYPERLINK("#",""), HYPERLINK(CONCATENATE("#metadata!", ADDRESS(INDEX($W$2:$W$1001,MATCH(ROWS($U$2:U4),$U$2:$U$1001,0),0), INDEX($AB$1004:$AQ$1004,1,MATCH(COLUMNS($AB$1006:AP1006),$AB$1006:$AQ$1006,0)))),"Fix")))</f>
        <v>0</v>
      </c>
      <c r="Q4" s="4">
        <f>IF(OR(INDEX($V$2:$V$1001,MATCH(ROWS($U$2:U4),$U$2:$U$1001,0),1)&gt;=100000,INDEX($AB$1005:$AQ$1005,1,MATCH(COLUMNS($AB$1006:AQ1006),$AB$1006:$AQ$1006,0))&gt;=100000), " ",IF(INDEX($AB$2:$AQ$1001,MATCH(ROWS($U$2:U4),$U$2:$U$1001,0),MATCH(COLUMNS($AB$1006:AQ1006),$AB$1006:$AQ$1006,0)), HYPERLINK("#",""), HYPERLINK(CONCATENATE("#metadata!", ADDRESS(INDEX($W$2:$W$1001,MATCH(ROWS($U$2:U4),$U$2:$U$1001,0),0), INDEX($AB$1004:$AQ$1004,1,MATCH(COLUMNS($AB$1006:AQ1006),$AB$1006:$AQ$1006,0)))),"Fix")))</f>
        <v>0</v>
      </c>
      <c r="U4">
        <v>0</v>
      </c>
      <c r="V4">
        <v>0</v>
      </c>
      <c r="W4">
        <v>0</v>
      </c>
      <c r="X4">
        <f>IF(Y4,TRUE,AND(AB4:AQ4))</f>
        <v>0</v>
      </c>
      <c r="Y4">
        <f>COUNTBLANK(metadata!B4:Q4)=COLUMNS(metadata!B4:Q4)</f>
        <v>0</v>
      </c>
      <c r="Z4">
        <v>0</v>
      </c>
      <c r="AB4">
        <f>AND(IF(metadata!B4="",FALSE,TRUE),COUNTIF(metadata!B:B, metadata!B4) = 1,NOT(ISERROR(SUMPRODUCT(SEARCH(MID(metadata!B4,ROW(INDIRECT("1:"&amp;LEN(metadata!B4))), 1),"0123456789abcdefghijklmnopqrstuvwxyzABCDEFGHIJKLMNOPQRSTUVWXYZ.")))))</f>
        <v>0</v>
      </c>
      <c r="AC4">
        <f>OR(AND(IF(metadata!C4="",FALSE,TRUE),OR(exact(metadata!C4,"missing: not collected"),exact(metadata!C4,"missing: not provided"),exact(metadata!C4,"missing: restricted access"))),AND(IF(metadata!C4="",FALSE,TRUE),AND(AND(IFERROR(INT(LEFT(metadata!C4,4))&gt;1900,FALSE),IFERROR(INT(LEFT(metadata!C4,4))&lt;=YEAR(NOW()),FALSE)), OR(MID(metadata!C4,5,1)="", AND(AND(MID(metadata!C4,5,1)="-",IFERROR(INT(MID(metadata!C4,6,1))&gt;=0,FALSE),IFERROR(INT(MID(metadata!C4,6,1))&lt;=1,FALSE),NOT(MID(metadata!C4,7,1)=""),IFERROR(INT(MID(metadata!C4,6,2))&gt;=1,FALSE),IFERROR(INT(MID(metadata!C4,6,2))&lt;=12,FALSE)), OR(MID(metadata!C4,8,1)="", AND(AND(MID(metadata!C4,8,1)="-",IFERROR(INT(MID(metadata!C4,9,1))&gt;=0,FALSE),IFERROR(INT(MID(metadata!C4,9,1))&lt;=3,FALSE),NOT(MID(metadata!C4,10,1)=""),IFERROR(INT(MID(metadata!C4,9,2))&gt;=1,FALSE),IFERROR(INT(MID(metadata!C4,9,2))&lt;=31,FALSE)), OR(MID(metadata!C4,11,1)="", AND(AND(MID(metadata!C4,11,1)=" ",IFERROR(INT(MID(metadata!C4,12,1))&gt;=0,FALSE),IFERROR(INT(MID(metadata!C4,12,1))&lt;=2,FALSE),NOT(MID(metadata!C4,13,1)=""),IFERROR(INT(MID(metadata!C4,12,2))&gt;=0,FALSE),IFERROR(INT(MID(metadata!C4,12,2))&lt;=23,FALSE)), OR(MID(metadata!C4,14,1)="", AND(AND(MID(metadata!C4,14,1)=":",IFERROR(INT(MID(metadata!C4,15,1))&gt;=0,FALSE),IFERROR(INT(MID(metadata!C4,15,1))&lt;=5,FALSE),NOT(MID(metadata!C4,16,1)=""),IFERROR(INT(MID(metadata!C4,15,2))&gt;=0,FALSE),IFERROR(INT(MID(metadata!C4,15,2))&lt;=59,FALSE)), OR(MID(metadata!C4,17,1)="", AND(AND(MID(metadata!C4,17,1)=":",IFERROR(INT(MID(metadata!C4,18,1))&gt;=0,FALSE),IFERROR(INT(MID(metadata!C4,18,1))&lt;=5,FALSE),NOT(MID(metadata!C4,19,1)=""),IFERROR(INT(MID(metadata!C4,18,2))&gt;=0,FALSE),IFERROR(INT(MID(metadata!C4,18,2))&lt;=59,FALSE)), LEN(metadata!C4)&lt;=19)))))))))))))</f>
        <v>0</v>
      </c>
      <c r="AD4">
        <f>IF(metadata!D4="",FALSE,TRUE)</f>
        <v>0</v>
      </c>
      <c r="AE4">
        <f>OR(AND(IF(metadata!E4="",FALSE,TRUE),OR(exact(metadata!E4,"missing: not collected"),exact(metadata!E4,"missing: not provided"))),AND(IF(metadata!E4="",FALSE,TRUE),OR(exact(metadata!E4,"TRUE"),exact(metadata!E4,"FALSE"))))</f>
        <v>0</v>
      </c>
      <c r="AF4">
        <f>IF(metadata!F4="",FALSE,TRUE)</f>
        <v>0</v>
      </c>
      <c r="AG4">
        <f>IF(metadata!G4="",FALSE,TRUE)</f>
        <v>0</v>
      </c>
      <c r="AH4">
        <f>IF(metadata!H4="",FALSE,TRUE)</f>
        <v>0</v>
      </c>
      <c r="AI4">
        <f>OR(AND(IF(metadata!I4="",FALSE,TRUE),OR(exact(metadata!I4,"missing: not collected"),exact(metadata!I4,"missing: not provided"),exact(metadata!I4,"missing: restricted access"))),AND(IF(metadata!I4="",FALSE,TRUE),OR(exact(metadata!I4,"air"),exact(metadata!I4,"built environment"),exact(metadata!I4,"host-associated"),exact(metadata!I4,"human-associated"),exact(metadata!I4,"human-skin"),exact(metadata!I4,"human-oral"),exact(metadata!I4,"human-gut"),exact(metadata!I4,"human-vaginal"),exact(metadata!I4,"microbial mat/biofilm"),exact(metadata!I4,"misc environment"),exact(metadata!I4,"plant-associated"),exact(metadata!I4,"sediment"),exact(metadata!I4,"soil"),exact(metadata!I4,"wastewater/sludge"),exact(metadata!I4,"water"))))</f>
        <v>0</v>
      </c>
      <c r="AJ4">
        <f>IF(metadata!J4="",FALSE,TRUE)</f>
        <v>0</v>
      </c>
      <c r="AK4">
        <f>OR(AND(IF(metadata!K4="",FALSE,TRUE),OR(exact(metadata!K4,"missing: not collected"),exact(metadata!K4,"missing: not provided"),exact(metadata!K4,"missing: restricted access"))),AND(IF(metadata!K4="",FALSE,ISNUMBER(VALUE(metadata!K4))),metadata!K4&gt;=-90.00,metadata!K4&lt;=90.00))</f>
        <v>0</v>
      </c>
      <c r="AL4">
        <f>OR(AND(IF(metadata!L4="",FALSE,TRUE),OR(exact(metadata!L4,"missing: not collected"),exact(metadata!L4,"missing: not provided"),exact(metadata!L4,"missing: restricted access"))),AND(IF(metadata!L4="",FALSE,ISNUMBER(VALUE(metadata!L4))),metadata!L4&gt;=-180.00,metadata!L4&lt;=180.00))</f>
        <v>0</v>
      </c>
      <c r="AM4">
        <f>IF(metadata!M4="",FALSE,TRUE)</f>
        <v>0</v>
      </c>
      <c r="AN4">
        <f>OR(AND(IF(metadata!N4="",FALSE,TRUE),OR(exact(metadata!N4,"missing: not collected"),exact(metadata!N4,"missing: not provided"),exact(metadata!N4,"missing: restricted access"))),AND(IF(metadata!N4="",FALSE,TRUE),OR(exact(metadata!N4,"TRUE"),exact(metadata!N4,"FALSE"))))</f>
        <v>0</v>
      </c>
      <c r="AO4">
        <f>IF(metadata!O4="",FALSE,TRUE)</f>
        <v>0</v>
      </c>
      <c r="AP4">
        <f>OR(AND(IF(metadata!P4="",FALSE,TRUE),OR(exact(metadata!P4,"missing: not collected"),exact(metadata!P4,"missing: not provided"))),AND(IF(metadata!P4="",FALSE,IF(ISERROR(INT(metadata!P4)),FALSE,INT(metadata!P4)=metadata!P4)),metadata!P4&gt;0))</f>
        <v>0</v>
      </c>
      <c r="AQ4">
        <f>IF(metadata!Q4="",FALSE,TRUE)</f>
        <v>0</v>
      </c>
    </row>
    <row r="5" spans="1:43">
      <c r="A5" s="5">
        <f>IF(B5=" "," ",HYPERLINK(CONCATENATE("#metadata!",ADDRESS(INDEX($W$2:$W$1001,MATCH(ROWS($U$2:U5),$U$2:$U$1001,0),0),1)),INDEX($Z$2:$Z$1001,MATCH(ROWS($U$2:U5),$U$2:$U$1001,0),0)))</f>
        <v>0</v>
      </c>
      <c r="B5" s="4">
        <f>IF(OR(INDEX($V$2:$V$1001,MATCH(ROWS($U$2:U5),$U$2:$U$1001,0),1)&gt;=100000,INDEX($AB$1005:$AQ$1005,1,MATCH(COLUMNS($AB$1006:AB1006),$AB$1006:$AQ$1006,0))&gt;=100000), " ",IF(INDEX($AB$2:$AQ$1001,MATCH(ROWS($U$2:U5),$U$2:$U$1001,0),MATCH(COLUMNS($AB$1006:AB1006),$AB$1006:$AQ$1006,0)), HYPERLINK("#",""), HYPERLINK(CONCATENATE("#metadata!", ADDRESS(INDEX($W$2:$W$1001,MATCH(ROWS($U$2:U5),$U$2:$U$1001,0),0), INDEX($AB$1004:$AQ$1004,1,MATCH(COLUMNS($AB$1006:AB1006),$AB$1006:$AQ$1006,0)))),"Fix")))</f>
        <v>0</v>
      </c>
      <c r="C5" s="4">
        <f>IF(OR(INDEX($V$2:$V$1001,MATCH(ROWS($U$2:U5),$U$2:$U$1001,0),1)&gt;=100000,INDEX($AB$1005:$AQ$1005,1,MATCH(COLUMNS($AB$1006:AC1006),$AB$1006:$AQ$1006,0))&gt;=100000), " ",IF(INDEX($AB$2:$AQ$1001,MATCH(ROWS($U$2:U5),$U$2:$U$1001,0),MATCH(COLUMNS($AB$1006:AC1006),$AB$1006:$AQ$1006,0)), HYPERLINK("#",""), HYPERLINK(CONCATENATE("#metadata!", ADDRESS(INDEX($W$2:$W$1001,MATCH(ROWS($U$2:U5),$U$2:$U$1001,0),0), INDEX($AB$1004:$AQ$1004,1,MATCH(COLUMNS($AB$1006:AC1006),$AB$1006:$AQ$1006,0)))),"Fix")))</f>
        <v>0</v>
      </c>
      <c r="D5" s="4">
        <f>IF(OR(INDEX($V$2:$V$1001,MATCH(ROWS($U$2:U5),$U$2:$U$1001,0),1)&gt;=100000,INDEX($AB$1005:$AQ$1005,1,MATCH(COLUMNS($AB$1006:AD1006),$AB$1006:$AQ$1006,0))&gt;=100000), " ",IF(INDEX($AB$2:$AQ$1001,MATCH(ROWS($U$2:U5),$U$2:$U$1001,0),MATCH(COLUMNS($AB$1006:AD1006),$AB$1006:$AQ$1006,0)), HYPERLINK("#",""), HYPERLINK(CONCATENATE("#metadata!", ADDRESS(INDEX($W$2:$W$1001,MATCH(ROWS($U$2:U5),$U$2:$U$1001,0),0), INDEX($AB$1004:$AQ$1004,1,MATCH(COLUMNS($AB$1006:AD1006),$AB$1006:$AQ$1006,0)))),"Fix")))</f>
        <v>0</v>
      </c>
      <c r="E5" s="4">
        <f>IF(OR(INDEX($V$2:$V$1001,MATCH(ROWS($U$2:U5),$U$2:$U$1001,0),1)&gt;=100000,INDEX($AB$1005:$AQ$1005,1,MATCH(COLUMNS($AB$1006:AE1006),$AB$1006:$AQ$1006,0))&gt;=100000), " ",IF(INDEX($AB$2:$AQ$1001,MATCH(ROWS($U$2:U5),$U$2:$U$1001,0),MATCH(COLUMNS($AB$1006:AE1006),$AB$1006:$AQ$1006,0)), HYPERLINK("#",""), HYPERLINK(CONCATENATE("#metadata!", ADDRESS(INDEX($W$2:$W$1001,MATCH(ROWS($U$2:U5),$U$2:$U$1001,0),0), INDEX($AB$1004:$AQ$1004,1,MATCH(COLUMNS($AB$1006:AE1006),$AB$1006:$AQ$1006,0)))),"Fix")))</f>
        <v>0</v>
      </c>
      <c r="F5" s="4">
        <f>IF(OR(INDEX($V$2:$V$1001,MATCH(ROWS($U$2:U5),$U$2:$U$1001,0),1)&gt;=100000,INDEX($AB$1005:$AQ$1005,1,MATCH(COLUMNS($AB$1006:AF1006),$AB$1006:$AQ$1006,0))&gt;=100000), " ",IF(INDEX($AB$2:$AQ$1001,MATCH(ROWS($U$2:U5),$U$2:$U$1001,0),MATCH(COLUMNS($AB$1006:AF1006),$AB$1006:$AQ$1006,0)), HYPERLINK("#",""), HYPERLINK(CONCATENATE("#metadata!", ADDRESS(INDEX($W$2:$W$1001,MATCH(ROWS($U$2:U5),$U$2:$U$1001,0),0), INDEX($AB$1004:$AQ$1004,1,MATCH(COLUMNS($AB$1006:AF1006),$AB$1006:$AQ$1006,0)))),"Fix")))</f>
        <v>0</v>
      </c>
      <c r="G5" s="4">
        <f>IF(OR(INDEX($V$2:$V$1001,MATCH(ROWS($U$2:U5),$U$2:$U$1001,0),1)&gt;=100000,INDEX($AB$1005:$AQ$1005,1,MATCH(COLUMNS($AB$1006:AG1006),$AB$1006:$AQ$1006,0))&gt;=100000), " ",IF(INDEX($AB$2:$AQ$1001,MATCH(ROWS($U$2:U5),$U$2:$U$1001,0),MATCH(COLUMNS($AB$1006:AG1006),$AB$1006:$AQ$1006,0)), HYPERLINK("#",""), HYPERLINK(CONCATENATE("#metadata!", ADDRESS(INDEX($W$2:$W$1001,MATCH(ROWS($U$2:U5),$U$2:$U$1001,0),0), INDEX($AB$1004:$AQ$1004,1,MATCH(COLUMNS($AB$1006:AG1006),$AB$1006:$AQ$1006,0)))),"Fix")))</f>
        <v>0</v>
      </c>
      <c r="H5" s="4">
        <f>IF(OR(INDEX($V$2:$V$1001,MATCH(ROWS($U$2:U5),$U$2:$U$1001,0),1)&gt;=100000,INDEX($AB$1005:$AQ$1005,1,MATCH(COLUMNS($AB$1006:AH1006),$AB$1006:$AQ$1006,0))&gt;=100000), " ",IF(INDEX($AB$2:$AQ$1001,MATCH(ROWS($U$2:U5),$U$2:$U$1001,0),MATCH(COLUMNS($AB$1006:AH1006),$AB$1006:$AQ$1006,0)), HYPERLINK("#",""), HYPERLINK(CONCATENATE("#metadata!", ADDRESS(INDEX($W$2:$W$1001,MATCH(ROWS($U$2:U5),$U$2:$U$1001,0),0), INDEX($AB$1004:$AQ$1004,1,MATCH(COLUMNS($AB$1006:AH1006),$AB$1006:$AQ$1006,0)))),"Fix")))</f>
        <v>0</v>
      </c>
      <c r="I5" s="4">
        <f>IF(OR(INDEX($V$2:$V$1001,MATCH(ROWS($U$2:U5),$U$2:$U$1001,0),1)&gt;=100000,INDEX($AB$1005:$AQ$1005,1,MATCH(COLUMNS($AB$1006:AI1006),$AB$1006:$AQ$1006,0))&gt;=100000), " ",IF(INDEX($AB$2:$AQ$1001,MATCH(ROWS($U$2:U5),$U$2:$U$1001,0),MATCH(COLUMNS($AB$1006:AI1006),$AB$1006:$AQ$1006,0)), HYPERLINK("#",""), HYPERLINK(CONCATENATE("#metadata!", ADDRESS(INDEX($W$2:$W$1001,MATCH(ROWS($U$2:U5),$U$2:$U$1001,0),0), INDEX($AB$1004:$AQ$1004,1,MATCH(COLUMNS($AB$1006:AI1006),$AB$1006:$AQ$1006,0)))),"Fix")))</f>
        <v>0</v>
      </c>
      <c r="J5" s="4">
        <f>IF(OR(INDEX($V$2:$V$1001,MATCH(ROWS($U$2:U5),$U$2:$U$1001,0),1)&gt;=100000,INDEX($AB$1005:$AQ$1005,1,MATCH(COLUMNS($AB$1006:AJ1006),$AB$1006:$AQ$1006,0))&gt;=100000), " ",IF(INDEX($AB$2:$AQ$1001,MATCH(ROWS($U$2:U5),$U$2:$U$1001,0),MATCH(COLUMNS($AB$1006:AJ1006),$AB$1006:$AQ$1006,0)), HYPERLINK("#",""), HYPERLINK(CONCATENATE("#metadata!", ADDRESS(INDEX($W$2:$W$1001,MATCH(ROWS($U$2:U5),$U$2:$U$1001,0),0), INDEX($AB$1004:$AQ$1004,1,MATCH(COLUMNS($AB$1006:AJ1006),$AB$1006:$AQ$1006,0)))),"Fix")))</f>
        <v>0</v>
      </c>
      <c r="K5" s="4">
        <f>IF(OR(INDEX($V$2:$V$1001,MATCH(ROWS($U$2:U5),$U$2:$U$1001,0),1)&gt;=100000,INDEX($AB$1005:$AQ$1005,1,MATCH(COLUMNS($AB$1006:AK1006),$AB$1006:$AQ$1006,0))&gt;=100000), " ",IF(INDEX($AB$2:$AQ$1001,MATCH(ROWS($U$2:U5),$U$2:$U$1001,0),MATCH(COLUMNS($AB$1006:AK1006),$AB$1006:$AQ$1006,0)), HYPERLINK("#",""), HYPERLINK(CONCATENATE("#metadata!", ADDRESS(INDEX($W$2:$W$1001,MATCH(ROWS($U$2:U5),$U$2:$U$1001,0),0), INDEX($AB$1004:$AQ$1004,1,MATCH(COLUMNS($AB$1006:AK1006),$AB$1006:$AQ$1006,0)))),"Fix")))</f>
        <v>0</v>
      </c>
      <c r="L5" s="4">
        <f>IF(OR(INDEX($V$2:$V$1001,MATCH(ROWS($U$2:U5),$U$2:$U$1001,0),1)&gt;=100000,INDEX($AB$1005:$AQ$1005,1,MATCH(COLUMNS($AB$1006:AL1006),$AB$1006:$AQ$1006,0))&gt;=100000), " ",IF(INDEX($AB$2:$AQ$1001,MATCH(ROWS($U$2:U5),$U$2:$U$1001,0),MATCH(COLUMNS($AB$1006:AL1006),$AB$1006:$AQ$1006,0)), HYPERLINK("#",""), HYPERLINK(CONCATENATE("#metadata!", ADDRESS(INDEX($W$2:$W$1001,MATCH(ROWS($U$2:U5),$U$2:$U$1001,0),0), INDEX($AB$1004:$AQ$1004,1,MATCH(COLUMNS($AB$1006:AL1006),$AB$1006:$AQ$1006,0)))),"Fix")))</f>
        <v>0</v>
      </c>
      <c r="M5" s="4">
        <f>IF(OR(INDEX($V$2:$V$1001,MATCH(ROWS($U$2:U5),$U$2:$U$1001,0),1)&gt;=100000,INDEX($AB$1005:$AQ$1005,1,MATCH(COLUMNS($AB$1006:AM1006),$AB$1006:$AQ$1006,0))&gt;=100000), " ",IF(INDEX($AB$2:$AQ$1001,MATCH(ROWS($U$2:U5),$U$2:$U$1001,0),MATCH(COLUMNS($AB$1006:AM1006),$AB$1006:$AQ$1006,0)), HYPERLINK("#",""), HYPERLINK(CONCATENATE("#metadata!", ADDRESS(INDEX($W$2:$W$1001,MATCH(ROWS($U$2:U5),$U$2:$U$1001,0),0), INDEX($AB$1004:$AQ$1004,1,MATCH(COLUMNS($AB$1006:AM1006),$AB$1006:$AQ$1006,0)))),"Fix")))</f>
        <v>0</v>
      </c>
      <c r="N5" s="4">
        <f>IF(OR(INDEX($V$2:$V$1001,MATCH(ROWS($U$2:U5),$U$2:$U$1001,0),1)&gt;=100000,INDEX($AB$1005:$AQ$1005,1,MATCH(COLUMNS($AB$1006:AN1006),$AB$1006:$AQ$1006,0))&gt;=100000), " ",IF(INDEX($AB$2:$AQ$1001,MATCH(ROWS($U$2:U5),$U$2:$U$1001,0),MATCH(COLUMNS($AB$1006:AN1006),$AB$1006:$AQ$1006,0)), HYPERLINK("#",""), HYPERLINK(CONCATENATE("#metadata!", ADDRESS(INDEX($W$2:$W$1001,MATCH(ROWS($U$2:U5),$U$2:$U$1001,0),0), INDEX($AB$1004:$AQ$1004,1,MATCH(COLUMNS($AB$1006:AN1006),$AB$1006:$AQ$1006,0)))),"Fix")))</f>
        <v>0</v>
      </c>
      <c r="O5" s="4">
        <f>IF(OR(INDEX($V$2:$V$1001,MATCH(ROWS($U$2:U5),$U$2:$U$1001,0),1)&gt;=100000,INDEX($AB$1005:$AQ$1005,1,MATCH(COLUMNS($AB$1006:AO1006),$AB$1006:$AQ$1006,0))&gt;=100000), " ",IF(INDEX($AB$2:$AQ$1001,MATCH(ROWS($U$2:U5),$U$2:$U$1001,0),MATCH(COLUMNS($AB$1006:AO1006),$AB$1006:$AQ$1006,0)), HYPERLINK("#",""), HYPERLINK(CONCATENATE("#metadata!", ADDRESS(INDEX($W$2:$W$1001,MATCH(ROWS($U$2:U5),$U$2:$U$1001,0),0), INDEX($AB$1004:$AQ$1004,1,MATCH(COLUMNS($AB$1006:AO1006),$AB$1006:$AQ$1006,0)))),"Fix")))</f>
        <v>0</v>
      </c>
      <c r="P5" s="4">
        <f>IF(OR(INDEX($V$2:$V$1001,MATCH(ROWS($U$2:U5),$U$2:$U$1001,0),1)&gt;=100000,INDEX($AB$1005:$AQ$1005,1,MATCH(COLUMNS($AB$1006:AP1006),$AB$1006:$AQ$1006,0))&gt;=100000), " ",IF(INDEX($AB$2:$AQ$1001,MATCH(ROWS($U$2:U5),$U$2:$U$1001,0),MATCH(COLUMNS($AB$1006:AP1006),$AB$1006:$AQ$1006,0)), HYPERLINK("#",""), HYPERLINK(CONCATENATE("#metadata!", ADDRESS(INDEX($W$2:$W$1001,MATCH(ROWS($U$2:U5),$U$2:$U$1001,0),0), INDEX($AB$1004:$AQ$1004,1,MATCH(COLUMNS($AB$1006:AP1006),$AB$1006:$AQ$1006,0)))),"Fix")))</f>
        <v>0</v>
      </c>
      <c r="Q5" s="4">
        <f>IF(OR(INDEX($V$2:$V$1001,MATCH(ROWS($U$2:U5),$U$2:$U$1001,0),1)&gt;=100000,INDEX($AB$1005:$AQ$1005,1,MATCH(COLUMNS($AB$1006:AQ1006),$AB$1006:$AQ$1006,0))&gt;=100000), " ",IF(INDEX($AB$2:$AQ$1001,MATCH(ROWS($U$2:U5),$U$2:$U$1001,0),MATCH(COLUMNS($AB$1006:AQ1006),$AB$1006:$AQ$1006,0)), HYPERLINK("#",""), HYPERLINK(CONCATENATE("#metadata!", ADDRESS(INDEX($W$2:$W$1001,MATCH(ROWS($U$2:U5),$U$2:$U$1001,0),0), INDEX($AB$1004:$AQ$1004,1,MATCH(COLUMNS($AB$1006:AQ1006),$AB$1006:$AQ$1006,0)))),"Fix")))</f>
        <v>0</v>
      </c>
      <c r="U5">
        <v>0</v>
      </c>
      <c r="V5">
        <v>0</v>
      </c>
      <c r="W5">
        <v>0</v>
      </c>
      <c r="X5">
        <f>IF(Y5,TRUE,AND(AB5:AQ5))</f>
        <v>0</v>
      </c>
      <c r="Y5">
        <f>COUNTBLANK(metadata!B5:Q5)=COLUMNS(metadata!B5:Q5)</f>
        <v>0</v>
      </c>
      <c r="Z5">
        <v>0</v>
      </c>
      <c r="AB5">
        <f>AND(IF(metadata!B5="",FALSE,TRUE),COUNTIF(metadata!B:B, metadata!B5) = 1,NOT(ISERROR(SUMPRODUCT(SEARCH(MID(metadata!B5,ROW(INDIRECT("1:"&amp;LEN(metadata!B5))), 1),"0123456789abcdefghijklmnopqrstuvwxyzABCDEFGHIJKLMNOPQRSTUVWXYZ.")))))</f>
        <v>0</v>
      </c>
      <c r="AC5">
        <f>OR(AND(IF(metadata!C5="",FALSE,TRUE),OR(exact(metadata!C5,"missing: not collected"),exact(metadata!C5,"missing: not provided"),exact(metadata!C5,"missing: restricted access"))),AND(IF(metadata!C5="",FALSE,TRUE),AND(AND(IFERROR(INT(LEFT(metadata!C5,4))&gt;1900,FALSE),IFERROR(INT(LEFT(metadata!C5,4))&lt;=YEAR(NOW()),FALSE)), OR(MID(metadata!C5,5,1)="", AND(AND(MID(metadata!C5,5,1)="-",IFERROR(INT(MID(metadata!C5,6,1))&gt;=0,FALSE),IFERROR(INT(MID(metadata!C5,6,1))&lt;=1,FALSE),NOT(MID(metadata!C5,7,1)=""),IFERROR(INT(MID(metadata!C5,6,2))&gt;=1,FALSE),IFERROR(INT(MID(metadata!C5,6,2))&lt;=12,FALSE)), OR(MID(metadata!C5,8,1)="", AND(AND(MID(metadata!C5,8,1)="-",IFERROR(INT(MID(metadata!C5,9,1))&gt;=0,FALSE),IFERROR(INT(MID(metadata!C5,9,1))&lt;=3,FALSE),NOT(MID(metadata!C5,10,1)=""),IFERROR(INT(MID(metadata!C5,9,2))&gt;=1,FALSE),IFERROR(INT(MID(metadata!C5,9,2))&lt;=31,FALSE)), OR(MID(metadata!C5,11,1)="", AND(AND(MID(metadata!C5,11,1)=" ",IFERROR(INT(MID(metadata!C5,12,1))&gt;=0,FALSE),IFERROR(INT(MID(metadata!C5,12,1))&lt;=2,FALSE),NOT(MID(metadata!C5,13,1)=""),IFERROR(INT(MID(metadata!C5,12,2))&gt;=0,FALSE),IFERROR(INT(MID(metadata!C5,12,2))&lt;=23,FALSE)), OR(MID(metadata!C5,14,1)="", AND(AND(MID(metadata!C5,14,1)=":",IFERROR(INT(MID(metadata!C5,15,1))&gt;=0,FALSE),IFERROR(INT(MID(metadata!C5,15,1))&lt;=5,FALSE),NOT(MID(metadata!C5,16,1)=""),IFERROR(INT(MID(metadata!C5,15,2))&gt;=0,FALSE),IFERROR(INT(MID(metadata!C5,15,2))&lt;=59,FALSE)), OR(MID(metadata!C5,17,1)="", AND(AND(MID(metadata!C5,17,1)=":",IFERROR(INT(MID(metadata!C5,18,1))&gt;=0,FALSE),IFERROR(INT(MID(metadata!C5,18,1))&lt;=5,FALSE),NOT(MID(metadata!C5,19,1)=""),IFERROR(INT(MID(metadata!C5,18,2))&gt;=0,FALSE),IFERROR(INT(MID(metadata!C5,18,2))&lt;=59,FALSE)), LEN(metadata!C5)&lt;=19)))))))))))))</f>
        <v>0</v>
      </c>
      <c r="AD5">
        <f>IF(metadata!D5="",FALSE,TRUE)</f>
        <v>0</v>
      </c>
      <c r="AE5">
        <f>OR(AND(IF(metadata!E5="",FALSE,TRUE),OR(exact(metadata!E5,"missing: not collected"),exact(metadata!E5,"missing: not provided"))),AND(IF(metadata!E5="",FALSE,TRUE),OR(exact(metadata!E5,"TRUE"),exact(metadata!E5,"FALSE"))))</f>
        <v>0</v>
      </c>
      <c r="AF5">
        <f>IF(metadata!F5="",FALSE,TRUE)</f>
        <v>0</v>
      </c>
      <c r="AG5">
        <f>IF(metadata!G5="",FALSE,TRUE)</f>
        <v>0</v>
      </c>
      <c r="AH5">
        <f>IF(metadata!H5="",FALSE,TRUE)</f>
        <v>0</v>
      </c>
      <c r="AI5">
        <f>OR(AND(IF(metadata!I5="",FALSE,TRUE),OR(exact(metadata!I5,"missing: not collected"),exact(metadata!I5,"missing: not provided"),exact(metadata!I5,"missing: restricted access"))),AND(IF(metadata!I5="",FALSE,TRUE),OR(exact(metadata!I5,"air"),exact(metadata!I5,"built environment"),exact(metadata!I5,"host-associated"),exact(metadata!I5,"human-associated"),exact(metadata!I5,"human-skin"),exact(metadata!I5,"human-oral"),exact(metadata!I5,"human-gut"),exact(metadata!I5,"human-vaginal"),exact(metadata!I5,"microbial mat/biofilm"),exact(metadata!I5,"misc environment"),exact(metadata!I5,"plant-associated"),exact(metadata!I5,"sediment"),exact(metadata!I5,"soil"),exact(metadata!I5,"wastewater/sludge"),exact(metadata!I5,"water"))))</f>
        <v>0</v>
      </c>
      <c r="AJ5">
        <f>IF(metadata!J5="",FALSE,TRUE)</f>
        <v>0</v>
      </c>
      <c r="AK5">
        <f>OR(AND(IF(metadata!K5="",FALSE,TRUE),OR(exact(metadata!K5,"missing: not collected"),exact(metadata!K5,"missing: not provided"),exact(metadata!K5,"missing: restricted access"))),AND(IF(metadata!K5="",FALSE,ISNUMBER(VALUE(metadata!K5))),metadata!K5&gt;=-90.00,metadata!K5&lt;=90.00))</f>
        <v>0</v>
      </c>
      <c r="AL5">
        <f>OR(AND(IF(metadata!L5="",FALSE,TRUE),OR(exact(metadata!L5,"missing: not collected"),exact(metadata!L5,"missing: not provided"),exact(metadata!L5,"missing: restricted access"))),AND(IF(metadata!L5="",FALSE,ISNUMBER(VALUE(metadata!L5))),metadata!L5&gt;=-180.00,metadata!L5&lt;=180.00))</f>
        <v>0</v>
      </c>
      <c r="AM5">
        <f>IF(metadata!M5="",FALSE,TRUE)</f>
        <v>0</v>
      </c>
      <c r="AN5">
        <f>OR(AND(IF(metadata!N5="",FALSE,TRUE),OR(exact(metadata!N5,"missing: not collected"),exact(metadata!N5,"missing: not provided"),exact(metadata!N5,"missing: restricted access"))),AND(IF(metadata!N5="",FALSE,TRUE),OR(exact(metadata!N5,"TRUE"),exact(metadata!N5,"FALSE"))))</f>
        <v>0</v>
      </c>
      <c r="AO5">
        <f>IF(metadata!O5="",FALSE,TRUE)</f>
        <v>0</v>
      </c>
      <c r="AP5">
        <f>OR(AND(IF(metadata!P5="",FALSE,TRUE),OR(exact(metadata!P5,"missing: not collected"),exact(metadata!P5,"missing: not provided"))),AND(IF(metadata!P5="",FALSE,IF(ISERROR(INT(metadata!P5)),FALSE,INT(metadata!P5)=metadata!P5)),metadata!P5&gt;0))</f>
        <v>0</v>
      </c>
      <c r="AQ5">
        <f>IF(metadata!Q5="",FALSE,TRUE)</f>
        <v>0</v>
      </c>
    </row>
    <row r="6" spans="1:43">
      <c r="A6" s="5">
        <f>IF(B6=" "," ",HYPERLINK(CONCATENATE("#metadata!",ADDRESS(INDEX($W$2:$W$1001,MATCH(ROWS($U$2:U6),$U$2:$U$1001,0),0),1)),INDEX($Z$2:$Z$1001,MATCH(ROWS($U$2:U6),$U$2:$U$1001,0),0)))</f>
        <v>0</v>
      </c>
      <c r="B6" s="4">
        <f>IF(OR(INDEX($V$2:$V$1001,MATCH(ROWS($U$2:U6),$U$2:$U$1001,0),1)&gt;=100000,INDEX($AB$1005:$AQ$1005,1,MATCH(COLUMNS($AB$1006:AB1006),$AB$1006:$AQ$1006,0))&gt;=100000), " ",IF(INDEX($AB$2:$AQ$1001,MATCH(ROWS($U$2:U6),$U$2:$U$1001,0),MATCH(COLUMNS($AB$1006:AB1006),$AB$1006:$AQ$1006,0)), HYPERLINK("#",""), HYPERLINK(CONCATENATE("#metadata!", ADDRESS(INDEX($W$2:$W$1001,MATCH(ROWS($U$2:U6),$U$2:$U$1001,0),0), INDEX($AB$1004:$AQ$1004,1,MATCH(COLUMNS($AB$1006:AB1006),$AB$1006:$AQ$1006,0)))),"Fix")))</f>
        <v>0</v>
      </c>
      <c r="C6" s="4">
        <f>IF(OR(INDEX($V$2:$V$1001,MATCH(ROWS($U$2:U6),$U$2:$U$1001,0),1)&gt;=100000,INDEX($AB$1005:$AQ$1005,1,MATCH(COLUMNS($AB$1006:AC1006),$AB$1006:$AQ$1006,0))&gt;=100000), " ",IF(INDEX($AB$2:$AQ$1001,MATCH(ROWS($U$2:U6),$U$2:$U$1001,0),MATCH(COLUMNS($AB$1006:AC1006),$AB$1006:$AQ$1006,0)), HYPERLINK("#",""), HYPERLINK(CONCATENATE("#metadata!", ADDRESS(INDEX($W$2:$W$1001,MATCH(ROWS($U$2:U6),$U$2:$U$1001,0),0), INDEX($AB$1004:$AQ$1004,1,MATCH(COLUMNS($AB$1006:AC1006),$AB$1006:$AQ$1006,0)))),"Fix")))</f>
        <v>0</v>
      </c>
      <c r="D6" s="4">
        <f>IF(OR(INDEX($V$2:$V$1001,MATCH(ROWS($U$2:U6),$U$2:$U$1001,0),1)&gt;=100000,INDEX($AB$1005:$AQ$1005,1,MATCH(COLUMNS($AB$1006:AD1006),$AB$1006:$AQ$1006,0))&gt;=100000), " ",IF(INDEX($AB$2:$AQ$1001,MATCH(ROWS($U$2:U6),$U$2:$U$1001,0),MATCH(COLUMNS($AB$1006:AD1006),$AB$1006:$AQ$1006,0)), HYPERLINK("#",""), HYPERLINK(CONCATENATE("#metadata!", ADDRESS(INDEX($W$2:$W$1001,MATCH(ROWS($U$2:U6),$U$2:$U$1001,0),0), INDEX($AB$1004:$AQ$1004,1,MATCH(COLUMNS($AB$1006:AD1006),$AB$1006:$AQ$1006,0)))),"Fix")))</f>
        <v>0</v>
      </c>
      <c r="E6" s="4">
        <f>IF(OR(INDEX($V$2:$V$1001,MATCH(ROWS($U$2:U6),$U$2:$U$1001,0),1)&gt;=100000,INDEX($AB$1005:$AQ$1005,1,MATCH(COLUMNS($AB$1006:AE1006),$AB$1006:$AQ$1006,0))&gt;=100000), " ",IF(INDEX($AB$2:$AQ$1001,MATCH(ROWS($U$2:U6),$U$2:$U$1001,0),MATCH(COLUMNS($AB$1006:AE1006),$AB$1006:$AQ$1006,0)), HYPERLINK("#",""), HYPERLINK(CONCATENATE("#metadata!", ADDRESS(INDEX($W$2:$W$1001,MATCH(ROWS($U$2:U6),$U$2:$U$1001,0),0), INDEX($AB$1004:$AQ$1004,1,MATCH(COLUMNS($AB$1006:AE1006),$AB$1006:$AQ$1006,0)))),"Fix")))</f>
        <v>0</v>
      </c>
      <c r="F6" s="4">
        <f>IF(OR(INDEX($V$2:$V$1001,MATCH(ROWS($U$2:U6),$U$2:$U$1001,0),1)&gt;=100000,INDEX($AB$1005:$AQ$1005,1,MATCH(COLUMNS($AB$1006:AF1006),$AB$1006:$AQ$1006,0))&gt;=100000), " ",IF(INDEX($AB$2:$AQ$1001,MATCH(ROWS($U$2:U6),$U$2:$U$1001,0),MATCH(COLUMNS($AB$1006:AF1006),$AB$1006:$AQ$1006,0)), HYPERLINK("#",""), HYPERLINK(CONCATENATE("#metadata!", ADDRESS(INDEX($W$2:$W$1001,MATCH(ROWS($U$2:U6),$U$2:$U$1001,0),0), INDEX($AB$1004:$AQ$1004,1,MATCH(COLUMNS($AB$1006:AF1006),$AB$1006:$AQ$1006,0)))),"Fix")))</f>
        <v>0</v>
      </c>
      <c r="G6" s="4">
        <f>IF(OR(INDEX($V$2:$V$1001,MATCH(ROWS($U$2:U6),$U$2:$U$1001,0),1)&gt;=100000,INDEX($AB$1005:$AQ$1005,1,MATCH(COLUMNS($AB$1006:AG1006),$AB$1006:$AQ$1006,0))&gt;=100000), " ",IF(INDEX($AB$2:$AQ$1001,MATCH(ROWS($U$2:U6),$U$2:$U$1001,0),MATCH(COLUMNS($AB$1006:AG1006),$AB$1006:$AQ$1006,0)), HYPERLINK("#",""), HYPERLINK(CONCATENATE("#metadata!", ADDRESS(INDEX($W$2:$W$1001,MATCH(ROWS($U$2:U6),$U$2:$U$1001,0),0), INDEX($AB$1004:$AQ$1004,1,MATCH(COLUMNS($AB$1006:AG1006),$AB$1006:$AQ$1006,0)))),"Fix")))</f>
        <v>0</v>
      </c>
      <c r="H6" s="4">
        <f>IF(OR(INDEX($V$2:$V$1001,MATCH(ROWS($U$2:U6),$U$2:$U$1001,0),1)&gt;=100000,INDEX($AB$1005:$AQ$1005,1,MATCH(COLUMNS($AB$1006:AH1006),$AB$1006:$AQ$1006,0))&gt;=100000), " ",IF(INDEX($AB$2:$AQ$1001,MATCH(ROWS($U$2:U6),$U$2:$U$1001,0),MATCH(COLUMNS($AB$1006:AH1006),$AB$1006:$AQ$1006,0)), HYPERLINK("#",""), HYPERLINK(CONCATENATE("#metadata!", ADDRESS(INDEX($W$2:$W$1001,MATCH(ROWS($U$2:U6),$U$2:$U$1001,0),0), INDEX($AB$1004:$AQ$1004,1,MATCH(COLUMNS($AB$1006:AH1006),$AB$1006:$AQ$1006,0)))),"Fix")))</f>
        <v>0</v>
      </c>
      <c r="I6" s="4">
        <f>IF(OR(INDEX($V$2:$V$1001,MATCH(ROWS($U$2:U6),$U$2:$U$1001,0),1)&gt;=100000,INDEX($AB$1005:$AQ$1005,1,MATCH(COLUMNS($AB$1006:AI1006),$AB$1006:$AQ$1006,0))&gt;=100000), " ",IF(INDEX($AB$2:$AQ$1001,MATCH(ROWS($U$2:U6),$U$2:$U$1001,0),MATCH(COLUMNS($AB$1006:AI1006),$AB$1006:$AQ$1006,0)), HYPERLINK("#",""), HYPERLINK(CONCATENATE("#metadata!", ADDRESS(INDEX($W$2:$W$1001,MATCH(ROWS($U$2:U6),$U$2:$U$1001,0),0), INDEX($AB$1004:$AQ$1004,1,MATCH(COLUMNS($AB$1006:AI1006),$AB$1006:$AQ$1006,0)))),"Fix")))</f>
        <v>0</v>
      </c>
      <c r="J6" s="4">
        <f>IF(OR(INDEX($V$2:$V$1001,MATCH(ROWS($U$2:U6),$U$2:$U$1001,0),1)&gt;=100000,INDEX($AB$1005:$AQ$1005,1,MATCH(COLUMNS($AB$1006:AJ1006),$AB$1006:$AQ$1006,0))&gt;=100000), " ",IF(INDEX($AB$2:$AQ$1001,MATCH(ROWS($U$2:U6),$U$2:$U$1001,0),MATCH(COLUMNS($AB$1006:AJ1006),$AB$1006:$AQ$1006,0)), HYPERLINK("#",""), HYPERLINK(CONCATENATE("#metadata!", ADDRESS(INDEX($W$2:$W$1001,MATCH(ROWS($U$2:U6),$U$2:$U$1001,0),0), INDEX($AB$1004:$AQ$1004,1,MATCH(COLUMNS($AB$1006:AJ1006),$AB$1006:$AQ$1006,0)))),"Fix")))</f>
        <v>0</v>
      </c>
      <c r="K6" s="4">
        <f>IF(OR(INDEX($V$2:$V$1001,MATCH(ROWS($U$2:U6),$U$2:$U$1001,0),1)&gt;=100000,INDEX($AB$1005:$AQ$1005,1,MATCH(COLUMNS($AB$1006:AK1006),$AB$1006:$AQ$1006,0))&gt;=100000), " ",IF(INDEX($AB$2:$AQ$1001,MATCH(ROWS($U$2:U6),$U$2:$U$1001,0),MATCH(COLUMNS($AB$1006:AK1006),$AB$1006:$AQ$1006,0)), HYPERLINK("#",""), HYPERLINK(CONCATENATE("#metadata!", ADDRESS(INDEX($W$2:$W$1001,MATCH(ROWS($U$2:U6),$U$2:$U$1001,0),0), INDEX($AB$1004:$AQ$1004,1,MATCH(COLUMNS($AB$1006:AK1006),$AB$1006:$AQ$1006,0)))),"Fix")))</f>
        <v>0</v>
      </c>
      <c r="L6" s="4">
        <f>IF(OR(INDEX($V$2:$V$1001,MATCH(ROWS($U$2:U6),$U$2:$U$1001,0),1)&gt;=100000,INDEX($AB$1005:$AQ$1005,1,MATCH(COLUMNS($AB$1006:AL1006),$AB$1006:$AQ$1006,0))&gt;=100000), " ",IF(INDEX($AB$2:$AQ$1001,MATCH(ROWS($U$2:U6),$U$2:$U$1001,0),MATCH(COLUMNS($AB$1006:AL1006),$AB$1006:$AQ$1006,0)), HYPERLINK("#",""), HYPERLINK(CONCATENATE("#metadata!", ADDRESS(INDEX($W$2:$W$1001,MATCH(ROWS($U$2:U6),$U$2:$U$1001,0),0), INDEX($AB$1004:$AQ$1004,1,MATCH(COLUMNS($AB$1006:AL1006),$AB$1006:$AQ$1006,0)))),"Fix")))</f>
        <v>0</v>
      </c>
      <c r="M6" s="4">
        <f>IF(OR(INDEX($V$2:$V$1001,MATCH(ROWS($U$2:U6),$U$2:$U$1001,0),1)&gt;=100000,INDEX($AB$1005:$AQ$1005,1,MATCH(COLUMNS($AB$1006:AM1006),$AB$1006:$AQ$1006,0))&gt;=100000), " ",IF(INDEX($AB$2:$AQ$1001,MATCH(ROWS($U$2:U6),$U$2:$U$1001,0),MATCH(COLUMNS($AB$1006:AM1006),$AB$1006:$AQ$1006,0)), HYPERLINK("#",""), HYPERLINK(CONCATENATE("#metadata!", ADDRESS(INDEX($W$2:$W$1001,MATCH(ROWS($U$2:U6),$U$2:$U$1001,0),0), INDEX($AB$1004:$AQ$1004,1,MATCH(COLUMNS($AB$1006:AM1006),$AB$1006:$AQ$1006,0)))),"Fix")))</f>
        <v>0</v>
      </c>
      <c r="N6" s="4">
        <f>IF(OR(INDEX($V$2:$V$1001,MATCH(ROWS($U$2:U6),$U$2:$U$1001,0),1)&gt;=100000,INDEX($AB$1005:$AQ$1005,1,MATCH(COLUMNS($AB$1006:AN1006),$AB$1006:$AQ$1006,0))&gt;=100000), " ",IF(INDEX($AB$2:$AQ$1001,MATCH(ROWS($U$2:U6),$U$2:$U$1001,0),MATCH(COLUMNS($AB$1006:AN1006),$AB$1006:$AQ$1006,0)), HYPERLINK("#",""), HYPERLINK(CONCATENATE("#metadata!", ADDRESS(INDEX($W$2:$W$1001,MATCH(ROWS($U$2:U6),$U$2:$U$1001,0),0), INDEX($AB$1004:$AQ$1004,1,MATCH(COLUMNS($AB$1006:AN1006),$AB$1006:$AQ$1006,0)))),"Fix")))</f>
        <v>0</v>
      </c>
      <c r="O6" s="4">
        <f>IF(OR(INDEX($V$2:$V$1001,MATCH(ROWS($U$2:U6),$U$2:$U$1001,0),1)&gt;=100000,INDEX($AB$1005:$AQ$1005,1,MATCH(COLUMNS($AB$1006:AO1006),$AB$1006:$AQ$1006,0))&gt;=100000), " ",IF(INDEX($AB$2:$AQ$1001,MATCH(ROWS($U$2:U6),$U$2:$U$1001,0),MATCH(COLUMNS($AB$1006:AO1006),$AB$1006:$AQ$1006,0)), HYPERLINK("#",""), HYPERLINK(CONCATENATE("#metadata!", ADDRESS(INDEX($W$2:$W$1001,MATCH(ROWS($U$2:U6),$U$2:$U$1001,0),0), INDEX($AB$1004:$AQ$1004,1,MATCH(COLUMNS($AB$1006:AO1006),$AB$1006:$AQ$1006,0)))),"Fix")))</f>
        <v>0</v>
      </c>
      <c r="P6" s="4">
        <f>IF(OR(INDEX($V$2:$V$1001,MATCH(ROWS($U$2:U6),$U$2:$U$1001,0),1)&gt;=100000,INDEX($AB$1005:$AQ$1005,1,MATCH(COLUMNS($AB$1006:AP1006),$AB$1006:$AQ$1006,0))&gt;=100000), " ",IF(INDEX($AB$2:$AQ$1001,MATCH(ROWS($U$2:U6),$U$2:$U$1001,0),MATCH(COLUMNS($AB$1006:AP1006),$AB$1006:$AQ$1006,0)), HYPERLINK("#",""), HYPERLINK(CONCATENATE("#metadata!", ADDRESS(INDEX($W$2:$W$1001,MATCH(ROWS($U$2:U6),$U$2:$U$1001,0),0), INDEX($AB$1004:$AQ$1004,1,MATCH(COLUMNS($AB$1006:AP1006),$AB$1006:$AQ$1006,0)))),"Fix")))</f>
        <v>0</v>
      </c>
      <c r="Q6" s="4">
        <f>IF(OR(INDEX($V$2:$V$1001,MATCH(ROWS($U$2:U6),$U$2:$U$1001,0),1)&gt;=100000,INDEX($AB$1005:$AQ$1005,1,MATCH(COLUMNS($AB$1006:AQ1006),$AB$1006:$AQ$1006,0))&gt;=100000), " ",IF(INDEX($AB$2:$AQ$1001,MATCH(ROWS($U$2:U6),$U$2:$U$1001,0),MATCH(COLUMNS($AB$1006:AQ1006),$AB$1006:$AQ$1006,0)), HYPERLINK("#",""), HYPERLINK(CONCATENATE("#metadata!", ADDRESS(INDEX($W$2:$W$1001,MATCH(ROWS($U$2:U6),$U$2:$U$1001,0),0), INDEX($AB$1004:$AQ$1004,1,MATCH(COLUMNS($AB$1006:AQ1006),$AB$1006:$AQ$1006,0)))),"Fix")))</f>
        <v>0</v>
      </c>
      <c r="U6">
        <v>0</v>
      </c>
      <c r="V6">
        <v>0</v>
      </c>
      <c r="W6">
        <v>0</v>
      </c>
      <c r="X6">
        <f>IF(Y6,TRUE,AND(AB6:AQ6))</f>
        <v>0</v>
      </c>
      <c r="Y6">
        <f>COUNTBLANK(metadata!B6:Q6)=COLUMNS(metadata!B6:Q6)</f>
        <v>0</v>
      </c>
      <c r="Z6">
        <v>0</v>
      </c>
      <c r="AB6">
        <f>AND(IF(metadata!B6="",FALSE,TRUE),COUNTIF(metadata!B:B, metadata!B6) = 1,NOT(ISERROR(SUMPRODUCT(SEARCH(MID(metadata!B6,ROW(INDIRECT("1:"&amp;LEN(metadata!B6))), 1),"0123456789abcdefghijklmnopqrstuvwxyzABCDEFGHIJKLMNOPQRSTUVWXYZ.")))))</f>
        <v>0</v>
      </c>
      <c r="AC6">
        <f>OR(AND(IF(metadata!C6="",FALSE,TRUE),OR(exact(metadata!C6,"missing: not collected"),exact(metadata!C6,"missing: not provided"),exact(metadata!C6,"missing: restricted access"))),AND(IF(metadata!C6="",FALSE,TRUE),AND(AND(IFERROR(INT(LEFT(metadata!C6,4))&gt;1900,FALSE),IFERROR(INT(LEFT(metadata!C6,4))&lt;=YEAR(NOW()),FALSE)), OR(MID(metadata!C6,5,1)="", AND(AND(MID(metadata!C6,5,1)="-",IFERROR(INT(MID(metadata!C6,6,1))&gt;=0,FALSE),IFERROR(INT(MID(metadata!C6,6,1))&lt;=1,FALSE),NOT(MID(metadata!C6,7,1)=""),IFERROR(INT(MID(metadata!C6,6,2))&gt;=1,FALSE),IFERROR(INT(MID(metadata!C6,6,2))&lt;=12,FALSE)), OR(MID(metadata!C6,8,1)="", AND(AND(MID(metadata!C6,8,1)="-",IFERROR(INT(MID(metadata!C6,9,1))&gt;=0,FALSE),IFERROR(INT(MID(metadata!C6,9,1))&lt;=3,FALSE),NOT(MID(metadata!C6,10,1)=""),IFERROR(INT(MID(metadata!C6,9,2))&gt;=1,FALSE),IFERROR(INT(MID(metadata!C6,9,2))&lt;=31,FALSE)), OR(MID(metadata!C6,11,1)="", AND(AND(MID(metadata!C6,11,1)=" ",IFERROR(INT(MID(metadata!C6,12,1))&gt;=0,FALSE),IFERROR(INT(MID(metadata!C6,12,1))&lt;=2,FALSE),NOT(MID(metadata!C6,13,1)=""),IFERROR(INT(MID(metadata!C6,12,2))&gt;=0,FALSE),IFERROR(INT(MID(metadata!C6,12,2))&lt;=23,FALSE)), OR(MID(metadata!C6,14,1)="", AND(AND(MID(metadata!C6,14,1)=":",IFERROR(INT(MID(metadata!C6,15,1))&gt;=0,FALSE),IFERROR(INT(MID(metadata!C6,15,1))&lt;=5,FALSE),NOT(MID(metadata!C6,16,1)=""),IFERROR(INT(MID(metadata!C6,15,2))&gt;=0,FALSE),IFERROR(INT(MID(metadata!C6,15,2))&lt;=59,FALSE)), OR(MID(metadata!C6,17,1)="", AND(AND(MID(metadata!C6,17,1)=":",IFERROR(INT(MID(metadata!C6,18,1))&gt;=0,FALSE),IFERROR(INT(MID(metadata!C6,18,1))&lt;=5,FALSE),NOT(MID(metadata!C6,19,1)=""),IFERROR(INT(MID(metadata!C6,18,2))&gt;=0,FALSE),IFERROR(INT(MID(metadata!C6,18,2))&lt;=59,FALSE)), LEN(metadata!C6)&lt;=19)))))))))))))</f>
        <v>0</v>
      </c>
      <c r="AD6">
        <f>IF(metadata!D6="",FALSE,TRUE)</f>
        <v>0</v>
      </c>
      <c r="AE6">
        <f>OR(AND(IF(metadata!E6="",FALSE,TRUE),OR(exact(metadata!E6,"missing: not collected"),exact(metadata!E6,"missing: not provided"))),AND(IF(metadata!E6="",FALSE,TRUE),OR(exact(metadata!E6,"TRUE"),exact(metadata!E6,"FALSE"))))</f>
        <v>0</v>
      </c>
      <c r="AF6">
        <f>IF(metadata!F6="",FALSE,TRUE)</f>
        <v>0</v>
      </c>
      <c r="AG6">
        <f>IF(metadata!G6="",FALSE,TRUE)</f>
        <v>0</v>
      </c>
      <c r="AH6">
        <f>IF(metadata!H6="",FALSE,TRUE)</f>
        <v>0</v>
      </c>
      <c r="AI6">
        <f>OR(AND(IF(metadata!I6="",FALSE,TRUE),OR(exact(metadata!I6,"missing: not collected"),exact(metadata!I6,"missing: not provided"),exact(metadata!I6,"missing: restricted access"))),AND(IF(metadata!I6="",FALSE,TRUE),OR(exact(metadata!I6,"air"),exact(metadata!I6,"built environment"),exact(metadata!I6,"host-associated"),exact(metadata!I6,"human-associated"),exact(metadata!I6,"human-skin"),exact(metadata!I6,"human-oral"),exact(metadata!I6,"human-gut"),exact(metadata!I6,"human-vaginal"),exact(metadata!I6,"microbial mat/biofilm"),exact(metadata!I6,"misc environment"),exact(metadata!I6,"plant-associated"),exact(metadata!I6,"sediment"),exact(metadata!I6,"soil"),exact(metadata!I6,"wastewater/sludge"),exact(metadata!I6,"water"))))</f>
        <v>0</v>
      </c>
      <c r="AJ6">
        <f>IF(metadata!J6="",FALSE,TRUE)</f>
        <v>0</v>
      </c>
      <c r="AK6">
        <f>OR(AND(IF(metadata!K6="",FALSE,TRUE),OR(exact(metadata!K6,"missing: not collected"),exact(metadata!K6,"missing: not provided"),exact(metadata!K6,"missing: restricted access"))),AND(IF(metadata!K6="",FALSE,ISNUMBER(VALUE(metadata!K6))),metadata!K6&gt;=-90.00,metadata!K6&lt;=90.00))</f>
        <v>0</v>
      </c>
      <c r="AL6">
        <f>OR(AND(IF(metadata!L6="",FALSE,TRUE),OR(exact(metadata!L6,"missing: not collected"),exact(metadata!L6,"missing: not provided"),exact(metadata!L6,"missing: restricted access"))),AND(IF(metadata!L6="",FALSE,ISNUMBER(VALUE(metadata!L6))),metadata!L6&gt;=-180.00,metadata!L6&lt;=180.00))</f>
        <v>0</v>
      </c>
      <c r="AM6">
        <f>IF(metadata!M6="",FALSE,TRUE)</f>
        <v>0</v>
      </c>
      <c r="AN6">
        <f>OR(AND(IF(metadata!N6="",FALSE,TRUE),OR(exact(metadata!N6,"missing: not collected"),exact(metadata!N6,"missing: not provided"),exact(metadata!N6,"missing: restricted access"))),AND(IF(metadata!N6="",FALSE,TRUE),OR(exact(metadata!N6,"TRUE"),exact(metadata!N6,"FALSE"))))</f>
        <v>0</v>
      </c>
      <c r="AO6">
        <f>IF(metadata!O6="",FALSE,TRUE)</f>
        <v>0</v>
      </c>
      <c r="AP6">
        <f>OR(AND(IF(metadata!P6="",FALSE,TRUE),OR(exact(metadata!P6,"missing: not collected"),exact(metadata!P6,"missing: not provided"))),AND(IF(metadata!P6="",FALSE,IF(ISERROR(INT(metadata!P6)),FALSE,INT(metadata!P6)=metadata!P6)),metadata!P6&gt;0))</f>
        <v>0</v>
      </c>
      <c r="AQ6">
        <f>IF(metadata!Q6="",FALSE,TRUE)</f>
        <v>0</v>
      </c>
    </row>
    <row r="7" spans="1:43">
      <c r="A7" s="5">
        <f>IF(B7=" "," ",HYPERLINK(CONCATENATE("#metadata!",ADDRESS(INDEX($W$2:$W$1001,MATCH(ROWS($U$2:U7),$U$2:$U$1001,0),0),1)),INDEX($Z$2:$Z$1001,MATCH(ROWS($U$2:U7),$U$2:$U$1001,0),0)))</f>
        <v>0</v>
      </c>
      <c r="B7" s="4">
        <f>IF(OR(INDEX($V$2:$V$1001,MATCH(ROWS($U$2:U7),$U$2:$U$1001,0),1)&gt;=100000,INDEX($AB$1005:$AQ$1005,1,MATCH(COLUMNS($AB$1006:AB1006),$AB$1006:$AQ$1006,0))&gt;=100000), " ",IF(INDEX($AB$2:$AQ$1001,MATCH(ROWS($U$2:U7),$U$2:$U$1001,0),MATCH(COLUMNS($AB$1006:AB1006),$AB$1006:$AQ$1006,0)), HYPERLINK("#",""), HYPERLINK(CONCATENATE("#metadata!", ADDRESS(INDEX($W$2:$W$1001,MATCH(ROWS($U$2:U7),$U$2:$U$1001,0),0), INDEX($AB$1004:$AQ$1004,1,MATCH(COLUMNS($AB$1006:AB1006),$AB$1006:$AQ$1006,0)))),"Fix")))</f>
        <v>0</v>
      </c>
      <c r="C7" s="4">
        <f>IF(OR(INDEX($V$2:$V$1001,MATCH(ROWS($U$2:U7),$U$2:$U$1001,0),1)&gt;=100000,INDEX($AB$1005:$AQ$1005,1,MATCH(COLUMNS($AB$1006:AC1006),$AB$1006:$AQ$1006,0))&gt;=100000), " ",IF(INDEX($AB$2:$AQ$1001,MATCH(ROWS($U$2:U7),$U$2:$U$1001,0),MATCH(COLUMNS($AB$1006:AC1006),$AB$1006:$AQ$1006,0)), HYPERLINK("#",""), HYPERLINK(CONCATENATE("#metadata!", ADDRESS(INDEX($W$2:$W$1001,MATCH(ROWS($U$2:U7),$U$2:$U$1001,0),0), INDEX($AB$1004:$AQ$1004,1,MATCH(COLUMNS($AB$1006:AC1006),$AB$1006:$AQ$1006,0)))),"Fix")))</f>
        <v>0</v>
      </c>
      <c r="D7" s="4">
        <f>IF(OR(INDEX($V$2:$V$1001,MATCH(ROWS($U$2:U7),$U$2:$U$1001,0),1)&gt;=100000,INDEX($AB$1005:$AQ$1005,1,MATCH(COLUMNS($AB$1006:AD1006),$AB$1006:$AQ$1006,0))&gt;=100000), " ",IF(INDEX($AB$2:$AQ$1001,MATCH(ROWS($U$2:U7),$U$2:$U$1001,0),MATCH(COLUMNS($AB$1006:AD1006),$AB$1006:$AQ$1006,0)), HYPERLINK("#",""), HYPERLINK(CONCATENATE("#metadata!", ADDRESS(INDEX($W$2:$W$1001,MATCH(ROWS($U$2:U7),$U$2:$U$1001,0),0), INDEX($AB$1004:$AQ$1004,1,MATCH(COLUMNS($AB$1006:AD1006),$AB$1006:$AQ$1006,0)))),"Fix")))</f>
        <v>0</v>
      </c>
      <c r="E7" s="4">
        <f>IF(OR(INDEX($V$2:$V$1001,MATCH(ROWS($U$2:U7),$U$2:$U$1001,0),1)&gt;=100000,INDEX($AB$1005:$AQ$1005,1,MATCH(COLUMNS($AB$1006:AE1006),$AB$1006:$AQ$1006,0))&gt;=100000), " ",IF(INDEX($AB$2:$AQ$1001,MATCH(ROWS($U$2:U7),$U$2:$U$1001,0),MATCH(COLUMNS($AB$1006:AE1006),$AB$1006:$AQ$1006,0)), HYPERLINK("#",""), HYPERLINK(CONCATENATE("#metadata!", ADDRESS(INDEX($W$2:$W$1001,MATCH(ROWS($U$2:U7),$U$2:$U$1001,0),0), INDEX($AB$1004:$AQ$1004,1,MATCH(COLUMNS($AB$1006:AE1006),$AB$1006:$AQ$1006,0)))),"Fix")))</f>
        <v>0</v>
      </c>
      <c r="F7" s="4">
        <f>IF(OR(INDEX($V$2:$V$1001,MATCH(ROWS($U$2:U7),$U$2:$U$1001,0),1)&gt;=100000,INDEX($AB$1005:$AQ$1005,1,MATCH(COLUMNS($AB$1006:AF1006),$AB$1006:$AQ$1006,0))&gt;=100000), " ",IF(INDEX($AB$2:$AQ$1001,MATCH(ROWS($U$2:U7),$U$2:$U$1001,0),MATCH(COLUMNS($AB$1006:AF1006),$AB$1006:$AQ$1006,0)), HYPERLINK("#",""), HYPERLINK(CONCATENATE("#metadata!", ADDRESS(INDEX($W$2:$W$1001,MATCH(ROWS($U$2:U7),$U$2:$U$1001,0),0), INDEX($AB$1004:$AQ$1004,1,MATCH(COLUMNS($AB$1006:AF1006),$AB$1006:$AQ$1006,0)))),"Fix")))</f>
        <v>0</v>
      </c>
      <c r="G7" s="4">
        <f>IF(OR(INDEX($V$2:$V$1001,MATCH(ROWS($U$2:U7),$U$2:$U$1001,0),1)&gt;=100000,INDEX($AB$1005:$AQ$1005,1,MATCH(COLUMNS($AB$1006:AG1006),$AB$1006:$AQ$1006,0))&gt;=100000), " ",IF(INDEX($AB$2:$AQ$1001,MATCH(ROWS($U$2:U7),$U$2:$U$1001,0),MATCH(COLUMNS($AB$1006:AG1006),$AB$1006:$AQ$1006,0)), HYPERLINK("#",""), HYPERLINK(CONCATENATE("#metadata!", ADDRESS(INDEX($W$2:$W$1001,MATCH(ROWS($U$2:U7),$U$2:$U$1001,0),0), INDEX($AB$1004:$AQ$1004,1,MATCH(COLUMNS($AB$1006:AG1006),$AB$1006:$AQ$1006,0)))),"Fix")))</f>
        <v>0</v>
      </c>
      <c r="H7" s="4">
        <f>IF(OR(INDEX($V$2:$V$1001,MATCH(ROWS($U$2:U7),$U$2:$U$1001,0),1)&gt;=100000,INDEX($AB$1005:$AQ$1005,1,MATCH(COLUMNS($AB$1006:AH1006),$AB$1006:$AQ$1006,0))&gt;=100000), " ",IF(INDEX($AB$2:$AQ$1001,MATCH(ROWS($U$2:U7),$U$2:$U$1001,0),MATCH(COLUMNS($AB$1006:AH1006),$AB$1006:$AQ$1006,0)), HYPERLINK("#",""), HYPERLINK(CONCATENATE("#metadata!", ADDRESS(INDEX($W$2:$W$1001,MATCH(ROWS($U$2:U7),$U$2:$U$1001,0),0), INDEX($AB$1004:$AQ$1004,1,MATCH(COLUMNS($AB$1006:AH1006),$AB$1006:$AQ$1006,0)))),"Fix")))</f>
        <v>0</v>
      </c>
      <c r="I7" s="4">
        <f>IF(OR(INDEX($V$2:$V$1001,MATCH(ROWS($U$2:U7),$U$2:$U$1001,0),1)&gt;=100000,INDEX($AB$1005:$AQ$1005,1,MATCH(COLUMNS($AB$1006:AI1006),$AB$1006:$AQ$1006,0))&gt;=100000), " ",IF(INDEX($AB$2:$AQ$1001,MATCH(ROWS($U$2:U7),$U$2:$U$1001,0),MATCH(COLUMNS($AB$1006:AI1006),$AB$1006:$AQ$1006,0)), HYPERLINK("#",""), HYPERLINK(CONCATENATE("#metadata!", ADDRESS(INDEX($W$2:$W$1001,MATCH(ROWS($U$2:U7),$U$2:$U$1001,0),0), INDEX($AB$1004:$AQ$1004,1,MATCH(COLUMNS($AB$1006:AI1006),$AB$1006:$AQ$1006,0)))),"Fix")))</f>
        <v>0</v>
      </c>
      <c r="J7" s="4">
        <f>IF(OR(INDEX($V$2:$V$1001,MATCH(ROWS($U$2:U7),$U$2:$U$1001,0),1)&gt;=100000,INDEX($AB$1005:$AQ$1005,1,MATCH(COLUMNS($AB$1006:AJ1006),$AB$1006:$AQ$1006,0))&gt;=100000), " ",IF(INDEX($AB$2:$AQ$1001,MATCH(ROWS($U$2:U7),$U$2:$U$1001,0),MATCH(COLUMNS($AB$1006:AJ1006),$AB$1006:$AQ$1006,0)), HYPERLINK("#",""), HYPERLINK(CONCATENATE("#metadata!", ADDRESS(INDEX($W$2:$W$1001,MATCH(ROWS($U$2:U7),$U$2:$U$1001,0),0), INDEX($AB$1004:$AQ$1004,1,MATCH(COLUMNS($AB$1006:AJ1006),$AB$1006:$AQ$1006,0)))),"Fix")))</f>
        <v>0</v>
      </c>
      <c r="K7" s="4">
        <f>IF(OR(INDEX($V$2:$V$1001,MATCH(ROWS($U$2:U7),$U$2:$U$1001,0),1)&gt;=100000,INDEX($AB$1005:$AQ$1005,1,MATCH(COLUMNS($AB$1006:AK1006),$AB$1006:$AQ$1006,0))&gt;=100000), " ",IF(INDEX($AB$2:$AQ$1001,MATCH(ROWS($U$2:U7),$U$2:$U$1001,0),MATCH(COLUMNS($AB$1006:AK1006),$AB$1006:$AQ$1006,0)), HYPERLINK("#",""), HYPERLINK(CONCATENATE("#metadata!", ADDRESS(INDEX($W$2:$W$1001,MATCH(ROWS($U$2:U7),$U$2:$U$1001,0),0), INDEX($AB$1004:$AQ$1004,1,MATCH(COLUMNS($AB$1006:AK1006),$AB$1006:$AQ$1006,0)))),"Fix")))</f>
        <v>0</v>
      </c>
      <c r="L7" s="4">
        <f>IF(OR(INDEX($V$2:$V$1001,MATCH(ROWS($U$2:U7),$U$2:$U$1001,0),1)&gt;=100000,INDEX($AB$1005:$AQ$1005,1,MATCH(COLUMNS($AB$1006:AL1006),$AB$1006:$AQ$1006,0))&gt;=100000), " ",IF(INDEX($AB$2:$AQ$1001,MATCH(ROWS($U$2:U7),$U$2:$U$1001,0),MATCH(COLUMNS($AB$1006:AL1006),$AB$1006:$AQ$1006,0)), HYPERLINK("#",""), HYPERLINK(CONCATENATE("#metadata!", ADDRESS(INDEX($W$2:$W$1001,MATCH(ROWS($U$2:U7),$U$2:$U$1001,0),0), INDEX($AB$1004:$AQ$1004,1,MATCH(COLUMNS($AB$1006:AL1006),$AB$1006:$AQ$1006,0)))),"Fix")))</f>
        <v>0</v>
      </c>
      <c r="M7" s="4">
        <f>IF(OR(INDEX($V$2:$V$1001,MATCH(ROWS($U$2:U7),$U$2:$U$1001,0),1)&gt;=100000,INDEX($AB$1005:$AQ$1005,1,MATCH(COLUMNS($AB$1006:AM1006),$AB$1006:$AQ$1006,0))&gt;=100000), " ",IF(INDEX($AB$2:$AQ$1001,MATCH(ROWS($U$2:U7),$U$2:$U$1001,0),MATCH(COLUMNS($AB$1006:AM1006),$AB$1006:$AQ$1006,0)), HYPERLINK("#",""), HYPERLINK(CONCATENATE("#metadata!", ADDRESS(INDEX($W$2:$W$1001,MATCH(ROWS($U$2:U7),$U$2:$U$1001,0),0), INDEX($AB$1004:$AQ$1004,1,MATCH(COLUMNS($AB$1006:AM1006),$AB$1006:$AQ$1006,0)))),"Fix")))</f>
        <v>0</v>
      </c>
      <c r="N7" s="4">
        <f>IF(OR(INDEX($V$2:$V$1001,MATCH(ROWS($U$2:U7),$U$2:$U$1001,0),1)&gt;=100000,INDEX($AB$1005:$AQ$1005,1,MATCH(COLUMNS($AB$1006:AN1006),$AB$1006:$AQ$1006,0))&gt;=100000), " ",IF(INDEX($AB$2:$AQ$1001,MATCH(ROWS($U$2:U7),$U$2:$U$1001,0),MATCH(COLUMNS($AB$1006:AN1006),$AB$1006:$AQ$1006,0)), HYPERLINK("#",""), HYPERLINK(CONCATENATE("#metadata!", ADDRESS(INDEX($W$2:$W$1001,MATCH(ROWS($U$2:U7),$U$2:$U$1001,0),0), INDEX($AB$1004:$AQ$1004,1,MATCH(COLUMNS($AB$1006:AN1006),$AB$1006:$AQ$1006,0)))),"Fix")))</f>
        <v>0</v>
      </c>
      <c r="O7" s="4">
        <f>IF(OR(INDEX($V$2:$V$1001,MATCH(ROWS($U$2:U7),$U$2:$U$1001,0),1)&gt;=100000,INDEX($AB$1005:$AQ$1005,1,MATCH(COLUMNS($AB$1006:AO1006),$AB$1006:$AQ$1006,0))&gt;=100000), " ",IF(INDEX($AB$2:$AQ$1001,MATCH(ROWS($U$2:U7),$U$2:$U$1001,0),MATCH(COLUMNS($AB$1006:AO1006),$AB$1006:$AQ$1006,0)), HYPERLINK("#",""), HYPERLINK(CONCATENATE("#metadata!", ADDRESS(INDEX($W$2:$W$1001,MATCH(ROWS($U$2:U7),$U$2:$U$1001,0),0), INDEX($AB$1004:$AQ$1004,1,MATCH(COLUMNS($AB$1006:AO1006),$AB$1006:$AQ$1006,0)))),"Fix")))</f>
        <v>0</v>
      </c>
      <c r="P7" s="4">
        <f>IF(OR(INDEX($V$2:$V$1001,MATCH(ROWS($U$2:U7),$U$2:$U$1001,0),1)&gt;=100000,INDEX($AB$1005:$AQ$1005,1,MATCH(COLUMNS($AB$1006:AP1006),$AB$1006:$AQ$1006,0))&gt;=100000), " ",IF(INDEX($AB$2:$AQ$1001,MATCH(ROWS($U$2:U7),$U$2:$U$1001,0),MATCH(COLUMNS($AB$1006:AP1006),$AB$1006:$AQ$1006,0)), HYPERLINK("#",""), HYPERLINK(CONCATENATE("#metadata!", ADDRESS(INDEX($W$2:$W$1001,MATCH(ROWS($U$2:U7),$U$2:$U$1001,0),0), INDEX($AB$1004:$AQ$1004,1,MATCH(COLUMNS($AB$1006:AP1006),$AB$1006:$AQ$1006,0)))),"Fix")))</f>
        <v>0</v>
      </c>
      <c r="Q7" s="4">
        <f>IF(OR(INDEX($V$2:$V$1001,MATCH(ROWS($U$2:U7),$U$2:$U$1001,0),1)&gt;=100000,INDEX($AB$1005:$AQ$1005,1,MATCH(COLUMNS($AB$1006:AQ1006),$AB$1006:$AQ$1006,0))&gt;=100000), " ",IF(INDEX($AB$2:$AQ$1001,MATCH(ROWS($U$2:U7),$U$2:$U$1001,0),MATCH(COLUMNS($AB$1006:AQ1006),$AB$1006:$AQ$1006,0)), HYPERLINK("#",""), HYPERLINK(CONCATENATE("#metadata!", ADDRESS(INDEX($W$2:$W$1001,MATCH(ROWS($U$2:U7),$U$2:$U$1001,0),0), INDEX($AB$1004:$AQ$1004,1,MATCH(COLUMNS($AB$1006:AQ1006),$AB$1006:$AQ$1006,0)))),"Fix")))</f>
        <v>0</v>
      </c>
      <c r="U7">
        <v>0</v>
      </c>
      <c r="V7">
        <v>0</v>
      </c>
      <c r="W7">
        <v>0</v>
      </c>
      <c r="X7">
        <f>IF(Y7,TRUE,AND(AB7:AQ7))</f>
        <v>0</v>
      </c>
      <c r="Y7">
        <f>COUNTBLANK(metadata!B7:Q7)=COLUMNS(metadata!B7:Q7)</f>
        <v>0</v>
      </c>
      <c r="Z7">
        <v>0</v>
      </c>
      <c r="AB7">
        <f>AND(IF(metadata!B7="",FALSE,TRUE),COUNTIF(metadata!B:B, metadata!B7) = 1,NOT(ISERROR(SUMPRODUCT(SEARCH(MID(metadata!B7,ROW(INDIRECT("1:"&amp;LEN(metadata!B7))), 1),"0123456789abcdefghijklmnopqrstuvwxyzABCDEFGHIJKLMNOPQRSTUVWXYZ.")))))</f>
        <v>0</v>
      </c>
      <c r="AC7">
        <f>OR(AND(IF(metadata!C7="",FALSE,TRUE),OR(exact(metadata!C7,"missing: not collected"),exact(metadata!C7,"missing: not provided"),exact(metadata!C7,"missing: restricted access"))),AND(IF(metadata!C7="",FALSE,TRUE),AND(AND(IFERROR(INT(LEFT(metadata!C7,4))&gt;1900,FALSE),IFERROR(INT(LEFT(metadata!C7,4))&lt;=YEAR(NOW()),FALSE)), OR(MID(metadata!C7,5,1)="", AND(AND(MID(metadata!C7,5,1)="-",IFERROR(INT(MID(metadata!C7,6,1))&gt;=0,FALSE),IFERROR(INT(MID(metadata!C7,6,1))&lt;=1,FALSE),NOT(MID(metadata!C7,7,1)=""),IFERROR(INT(MID(metadata!C7,6,2))&gt;=1,FALSE),IFERROR(INT(MID(metadata!C7,6,2))&lt;=12,FALSE)), OR(MID(metadata!C7,8,1)="", AND(AND(MID(metadata!C7,8,1)="-",IFERROR(INT(MID(metadata!C7,9,1))&gt;=0,FALSE),IFERROR(INT(MID(metadata!C7,9,1))&lt;=3,FALSE),NOT(MID(metadata!C7,10,1)=""),IFERROR(INT(MID(metadata!C7,9,2))&gt;=1,FALSE),IFERROR(INT(MID(metadata!C7,9,2))&lt;=31,FALSE)), OR(MID(metadata!C7,11,1)="", AND(AND(MID(metadata!C7,11,1)=" ",IFERROR(INT(MID(metadata!C7,12,1))&gt;=0,FALSE),IFERROR(INT(MID(metadata!C7,12,1))&lt;=2,FALSE),NOT(MID(metadata!C7,13,1)=""),IFERROR(INT(MID(metadata!C7,12,2))&gt;=0,FALSE),IFERROR(INT(MID(metadata!C7,12,2))&lt;=23,FALSE)), OR(MID(metadata!C7,14,1)="", AND(AND(MID(metadata!C7,14,1)=":",IFERROR(INT(MID(metadata!C7,15,1))&gt;=0,FALSE),IFERROR(INT(MID(metadata!C7,15,1))&lt;=5,FALSE),NOT(MID(metadata!C7,16,1)=""),IFERROR(INT(MID(metadata!C7,15,2))&gt;=0,FALSE),IFERROR(INT(MID(metadata!C7,15,2))&lt;=59,FALSE)), OR(MID(metadata!C7,17,1)="", AND(AND(MID(metadata!C7,17,1)=":",IFERROR(INT(MID(metadata!C7,18,1))&gt;=0,FALSE),IFERROR(INT(MID(metadata!C7,18,1))&lt;=5,FALSE),NOT(MID(metadata!C7,19,1)=""),IFERROR(INT(MID(metadata!C7,18,2))&gt;=0,FALSE),IFERROR(INT(MID(metadata!C7,18,2))&lt;=59,FALSE)), LEN(metadata!C7)&lt;=19)))))))))))))</f>
        <v>0</v>
      </c>
      <c r="AD7">
        <f>IF(metadata!D7="",FALSE,TRUE)</f>
        <v>0</v>
      </c>
      <c r="AE7">
        <f>OR(AND(IF(metadata!E7="",FALSE,TRUE),OR(exact(metadata!E7,"missing: not collected"),exact(metadata!E7,"missing: not provided"))),AND(IF(metadata!E7="",FALSE,TRUE),OR(exact(metadata!E7,"TRUE"),exact(metadata!E7,"FALSE"))))</f>
        <v>0</v>
      </c>
      <c r="AF7">
        <f>IF(metadata!F7="",FALSE,TRUE)</f>
        <v>0</v>
      </c>
      <c r="AG7">
        <f>IF(metadata!G7="",FALSE,TRUE)</f>
        <v>0</v>
      </c>
      <c r="AH7">
        <f>IF(metadata!H7="",FALSE,TRUE)</f>
        <v>0</v>
      </c>
      <c r="AI7">
        <f>OR(AND(IF(metadata!I7="",FALSE,TRUE),OR(exact(metadata!I7,"missing: not collected"),exact(metadata!I7,"missing: not provided"),exact(metadata!I7,"missing: restricted access"))),AND(IF(metadata!I7="",FALSE,TRUE),OR(exact(metadata!I7,"air"),exact(metadata!I7,"built environment"),exact(metadata!I7,"host-associated"),exact(metadata!I7,"human-associated"),exact(metadata!I7,"human-skin"),exact(metadata!I7,"human-oral"),exact(metadata!I7,"human-gut"),exact(metadata!I7,"human-vaginal"),exact(metadata!I7,"microbial mat/biofilm"),exact(metadata!I7,"misc environment"),exact(metadata!I7,"plant-associated"),exact(metadata!I7,"sediment"),exact(metadata!I7,"soil"),exact(metadata!I7,"wastewater/sludge"),exact(metadata!I7,"water"))))</f>
        <v>0</v>
      </c>
      <c r="AJ7">
        <f>IF(metadata!J7="",FALSE,TRUE)</f>
        <v>0</v>
      </c>
      <c r="AK7">
        <f>OR(AND(IF(metadata!K7="",FALSE,TRUE),OR(exact(metadata!K7,"missing: not collected"),exact(metadata!K7,"missing: not provided"),exact(metadata!K7,"missing: restricted access"))),AND(IF(metadata!K7="",FALSE,ISNUMBER(VALUE(metadata!K7))),metadata!K7&gt;=-90.00,metadata!K7&lt;=90.00))</f>
        <v>0</v>
      </c>
      <c r="AL7">
        <f>OR(AND(IF(metadata!L7="",FALSE,TRUE),OR(exact(metadata!L7,"missing: not collected"),exact(metadata!L7,"missing: not provided"),exact(metadata!L7,"missing: restricted access"))),AND(IF(metadata!L7="",FALSE,ISNUMBER(VALUE(metadata!L7))),metadata!L7&gt;=-180.00,metadata!L7&lt;=180.00))</f>
        <v>0</v>
      </c>
      <c r="AM7">
        <f>IF(metadata!M7="",FALSE,TRUE)</f>
        <v>0</v>
      </c>
      <c r="AN7">
        <f>OR(AND(IF(metadata!N7="",FALSE,TRUE),OR(exact(metadata!N7,"missing: not collected"),exact(metadata!N7,"missing: not provided"),exact(metadata!N7,"missing: restricted access"))),AND(IF(metadata!N7="",FALSE,TRUE),OR(exact(metadata!N7,"TRUE"),exact(metadata!N7,"FALSE"))))</f>
        <v>0</v>
      </c>
      <c r="AO7">
        <f>IF(metadata!O7="",FALSE,TRUE)</f>
        <v>0</v>
      </c>
      <c r="AP7">
        <f>OR(AND(IF(metadata!P7="",FALSE,TRUE),OR(exact(metadata!P7,"missing: not collected"),exact(metadata!P7,"missing: not provided"))),AND(IF(metadata!P7="",FALSE,IF(ISERROR(INT(metadata!P7)),FALSE,INT(metadata!P7)=metadata!P7)),metadata!P7&gt;0))</f>
        <v>0</v>
      </c>
      <c r="AQ7">
        <f>IF(metadata!Q7="",FALSE,TRUE)</f>
        <v>0</v>
      </c>
    </row>
    <row r="8" spans="1:43">
      <c r="A8" s="5">
        <f>IF(B8=" "," ",HYPERLINK(CONCATENATE("#metadata!",ADDRESS(INDEX($W$2:$W$1001,MATCH(ROWS($U$2:U8),$U$2:$U$1001,0),0),1)),INDEX($Z$2:$Z$1001,MATCH(ROWS($U$2:U8),$U$2:$U$1001,0),0)))</f>
        <v>0</v>
      </c>
      <c r="B8" s="4">
        <f>IF(OR(INDEX($V$2:$V$1001,MATCH(ROWS($U$2:U8),$U$2:$U$1001,0),1)&gt;=100000,INDEX($AB$1005:$AQ$1005,1,MATCH(COLUMNS($AB$1006:AB1006),$AB$1006:$AQ$1006,0))&gt;=100000), " ",IF(INDEX($AB$2:$AQ$1001,MATCH(ROWS($U$2:U8),$U$2:$U$1001,0),MATCH(COLUMNS($AB$1006:AB1006),$AB$1006:$AQ$1006,0)), HYPERLINK("#",""), HYPERLINK(CONCATENATE("#metadata!", ADDRESS(INDEX($W$2:$W$1001,MATCH(ROWS($U$2:U8),$U$2:$U$1001,0),0), INDEX($AB$1004:$AQ$1004,1,MATCH(COLUMNS($AB$1006:AB1006),$AB$1006:$AQ$1006,0)))),"Fix")))</f>
        <v>0</v>
      </c>
      <c r="C8" s="4">
        <f>IF(OR(INDEX($V$2:$V$1001,MATCH(ROWS($U$2:U8),$U$2:$U$1001,0),1)&gt;=100000,INDEX($AB$1005:$AQ$1005,1,MATCH(COLUMNS($AB$1006:AC1006),$AB$1006:$AQ$1006,0))&gt;=100000), " ",IF(INDEX($AB$2:$AQ$1001,MATCH(ROWS($U$2:U8),$U$2:$U$1001,0),MATCH(COLUMNS($AB$1006:AC1006),$AB$1006:$AQ$1006,0)), HYPERLINK("#",""), HYPERLINK(CONCATENATE("#metadata!", ADDRESS(INDEX($W$2:$W$1001,MATCH(ROWS($U$2:U8),$U$2:$U$1001,0),0), INDEX($AB$1004:$AQ$1004,1,MATCH(COLUMNS($AB$1006:AC1006),$AB$1006:$AQ$1006,0)))),"Fix")))</f>
        <v>0</v>
      </c>
      <c r="D8" s="4">
        <f>IF(OR(INDEX($V$2:$V$1001,MATCH(ROWS($U$2:U8),$U$2:$U$1001,0),1)&gt;=100000,INDEX($AB$1005:$AQ$1005,1,MATCH(COLUMNS($AB$1006:AD1006),$AB$1006:$AQ$1006,0))&gt;=100000), " ",IF(INDEX($AB$2:$AQ$1001,MATCH(ROWS($U$2:U8),$U$2:$U$1001,0),MATCH(COLUMNS($AB$1006:AD1006),$AB$1006:$AQ$1006,0)), HYPERLINK("#",""), HYPERLINK(CONCATENATE("#metadata!", ADDRESS(INDEX($W$2:$W$1001,MATCH(ROWS($U$2:U8),$U$2:$U$1001,0),0), INDEX($AB$1004:$AQ$1004,1,MATCH(COLUMNS($AB$1006:AD1006),$AB$1006:$AQ$1006,0)))),"Fix")))</f>
        <v>0</v>
      </c>
      <c r="E8" s="4">
        <f>IF(OR(INDEX($V$2:$V$1001,MATCH(ROWS($U$2:U8),$U$2:$U$1001,0),1)&gt;=100000,INDEX($AB$1005:$AQ$1005,1,MATCH(COLUMNS($AB$1006:AE1006),$AB$1006:$AQ$1006,0))&gt;=100000), " ",IF(INDEX($AB$2:$AQ$1001,MATCH(ROWS($U$2:U8),$U$2:$U$1001,0),MATCH(COLUMNS($AB$1006:AE1006),$AB$1006:$AQ$1006,0)), HYPERLINK("#",""), HYPERLINK(CONCATENATE("#metadata!", ADDRESS(INDEX($W$2:$W$1001,MATCH(ROWS($U$2:U8),$U$2:$U$1001,0),0), INDEX($AB$1004:$AQ$1004,1,MATCH(COLUMNS($AB$1006:AE1006),$AB$1006:$AQ$1006,0)))),"Fix")))</f>
        <v>0</v>
      </c>
      <c r="F8" s="4">
        <f>IF(OR(INDEX($V$2:$V$1001,MATCH(ROWS($U$2:U8),$U$2:$U$1001,0),1)&gt;=100000,INDEX($AB$1005:$AQ$1005,1,MATCH(COLUMNS($AB$1006:AF1006),$AB$1006:$AQ$1006,0))&gt;=100000), " ",IF(INDEX($AB$2:$AQ$1001,MATCH(ROWS($U$2:U8),$U$2:$U$1001,0),MATCH(COLUMNS($AB$1006:AF1006),$AB$1006:$AQ$1006,0)), HYPERLINK("#",""), HYPERLINK(CONCATENATE("#metadata!", ADDRESS(INDEX($W$2:$W$1001,MATCH(ROWS($U$2:U8),$U$2:$U$1001,0),0), INDEX($AB$1004:$AQ$1004,1,MATCH(COLUMNS($AB$1006:AF1006),$AB$1006:$AQ$1006,0)))),"Fix")))</f>
        <v>0</v>
      </c>
      <c r="G8" s="4">
        <f>IF(OR(INDEX($V$2:$V$1001,MATCH(ROWS($U$2:U8),$U$2:$U$1001,0),1)&gt;=100000,INDEX($AB$1005:$AQ$1005,1,MATCH(COLUMNS($AB$1006:AG1006),$AB$1006:$AQ$1006,0))&gt;=100000), " ",IF(INDEX($AB$2:$AQ$1001,MATCH(ROWS($U$2:U8),$U$2:$U$1001,0),MATCH(COLUMNS($AB$1006:AG1006),$AB$1006:$AQ$1006,0)), HYPERLINK("#",""), HYPERLINK(CONCATENATE("#metadata!", ADDRESS(INDEX($W$2:$W$1001,MATCH(ROWS($U$2:U8),$U$2:$U$1001,0),0), INDEX($AB$1004:$AQ$1004,1,MATCH(COLUMNS($AB$1006:AG1006),$AB$1006:$AQ$1006,0)))),"Fix")))</f>
        <v>0</v>
      </c>
      <c r="H8" s="4">
        <f>IF(OR(INDEX($V$2:$V$1001,MATCH(ROWS($U$2:U8),$U$2:$U$1001,0),1)&gt;=100000,INDEX($AB$1005:$AQ$1005,1,MATCH(COLUMNS($AB$1006:AH1006),$AB$1006:$AQ$1006,0))&gt;=100000), " ",IF(INDEX($AB$2:$AQ$1001,MATCH(ROWS($U$2:U8),$U$2:$U$1001,0),MATCH(COLUMNS($AB$1006:AH1006),$AB$1006:$AQ$1006,0)), HYPERLINK("#",""), HYPERLINK(CONCATENATE("#metadata!", ADDRESS(INDEX($W$2:$W$1001,MATCH(ROWS($U$2:U8),$U$2:$U$1001,0),0), INDEX($AB$1004:$AQ$1004,1,MATCH(COLUMNS($AB$1006:AH1006),$AB$1006:$AQ$1006,0)))),"Fix")))</f>
        <v>0</v>
      </c>
      <c r="I8" s="4">
        <f>IF(OR(INDEX($V$2:$V$1001,MATCH(ROWS($U$2:U8),$U$2:$U$1001,0),1)&gt;=100000,INDEX($AB$1005:$AQ$1005,1,MATCH(COLUMNS($AB$1006:AI1006),$AB$1006:$AQ$1006,0))&gt;=100000), " ",IF(INDEX($AB$2:$AQ$1001,MATCH(ROWS($U$2:U8),$U$2:$U$1001,0),MATCH(COLUMNS($AB$1006:AI1006),$AB$1006:$AQ$1006,0)), HYPERLINK("#",""), HYPERLINK(CONCATENATE("#metadata!", ADDRESS(INDEX($W$2:$W$1001,MATCH(ROWS($U$2:U8),$U$2:$U$1001,0),0), INDEX($AB$1004:$AQ$1004,1,MATCH(COLUMNS($AB$1006:AI1006),$AB$1006:$AQ$1006,0)))),"Fix")))</f>
        <v>0</v>
      </c>
      <c r="J8" s="4">
        <f>IF(OR(INDEX($V$2:$V$1001,MATCH(ROWS($U$2:U8),$U$2:$U$1001,0),1)&gt;=100000,INDEX($AB$1005:$AQ$1005,1,MATCH(COLUMNS($AB$1006:AJ1006),$AB$1006:$AQ$1006,0))&gt;=100000), " ",IF(INDEX($AB$2:$AQ$1001,MATCH(ROWS($U$2:U8),$U$2:$U$1001,0),MATCH(COLUMNS($AB$1006:AJ1006),$AB$1006:$AQ$1006,0)), HYPERLINK("#",""), HYPERLINK(CONCATENATE("#metadata!", ADDRESS(INDEX($W$2:$W$1001,MATCH(ROWS($U$2:U8),$U$2:$U$1001,0),0), INDEX($AB$1004:$AQ$1004,1,MATCH(COLUMNS($AB$1006:AJ1006),$AB$1006:$AQ$1006,0)))),"Fix")))</f>
        <v>0</v>
      </c>
      <c r="K8" s="4">
        <f>IF(OR(INDEX($V$2:$V$1001,MATCH(ROWS($U$2:U8),$U$2:$U$1001,0),1)&gt;=100000,INDEX($AB$1005:$AQ$1005,1,MATCH(COLUMNS($AB$1006:AK1006),$AB$1006:$AQ$1006,0))&gt;=100000), " ",IF(INDEX($AB$2:$AQ$1001,MATCH(ROWS($U$2:U8),$U$2:$U$1001,0),MATCH(COLUMNS($AB$1006:AK1006),$AB$1006:$AQ$1006,0)), HYPERLINK("#",""), HYPERLINK(CONCATENATE("#metadata!", ADDRESS(INDEX($W$2:$W$1001,MATCH(ROWS($U$2:U8),$U$2:$U$1001,0),0), INDEX($AB$1004:$AQ$1004,1,MATCH(COLUMNS($AB$1006:AK1006),$AB$1006:$AQ$1006,0)))),"Fix")))</f>
        <v>0</v>
      </c>
      <c r="L8" s="4">
        <f>IF(OR(INDEX($V$2:$V$1001,MATCH(ROWS($U$2:U8),$U$2:$U$1001,0),1)&gt;=100000,INDEX($AB$1005:$AQ$1005,1,MATCH(COLUMNS($AB$1006:AL1006),$AB$1006:$AQ$1006,0))&gt;=100000), " ",IF(INDEX($AB$2:$AQ$1001,MATCH(ROWS($U$2:U8),$U$2:$U$1001,0),MATCH(COLUMNS($AB$1006:AL1006),$AB$1006:$AQ$1006,0)), HYPERLINK("#",""), HYPERLINK(CONCATENATE("#metadata!", ADDRESS(INDEX($W$2:$W$1001,MATCH(ROWS($U$2:U8),$U$2:$U$1001,0),0), INDEX($AB$1004:$AQ$1004,1,MATCH(COLUMNS($AB$1006:AL1006),$AB$1006:$AQ$1006,0)))),"Fix")))</f>
        <v>0</v>
      </c>
      <c r="M8" s="4">
        <f>IF(OR(INDEX($V$2:$V$1001,MATCH(ROWS($U$2:U8),$U$2:$U$1001,0),1)&gt;=100000,INDEX($AB$1005:$AQ$1005,1,MATCH(COLUMNS($AB$1006:AM1006),$AB$1006:$AQ$1006,0))&gt;=100000), " ",IF(INDEX($AB$2:$AQ$1001,MATCH(ROWS($U$2:U8),$U$2:$U$1001,0),MATCH(COLUMNS($AB$1006:AM1006),$AB$1006:$AQ$1006,0)), HYPERLINK("#",""), HYPERLINK(CONCATENATE("#metadata!", ADDRESS(INDEX($W$2:$W$1001,MATCH(ROWS($U$2:U8),$U$2:$U$1001,0),0), INDEX($AB$1004:$AQ$1004,1,MATCH(COLUMNS($AB$1006:AM1006),$AB$1006:$AQ$1006,0)))),"Fix")))</f>
        <v>0</v>
      </c>
      <c r="N8" s="4">
        <f>IF(OR(INDEX($V$2:$V$1001,MATCH(ROWS($U$2:U8),$U$2:$U$1001,0),1)&gt;=100000,INDEX($AB$1005:$AQ$1005,1,MATCH(COLUMNS($AB$1006:AN1006),$AB$1006:$AQ$1006,0))&gt;=100000), " ",IF(INDEX($AB$2:$AQ$1001,MATCH(ROWS($U$2:U8),$U$2:$U$1001,0),MATCH(COLUMNS($AB$1006:AN1006),$AB$1006:$AQ$1006,0)), HYPERLINK("#",""), HYPERLINK(CONCATENATE("#metadata!", ADDRESS(INDEX($W$2:$W$1001,MATCH(ROWS($U$2:U8),$U$2:$U$1001,0),0), INDEX($AB$1004:$AQ$1004,1,MATCH(COLUMNS($AB$1006:AN1006),$AB$1006:$AQ$1006,0)))),"Fix")))</f>
        <v>0</v>
      </c>
      <c r="O8" s="4">
        <f>IF(OR(INDEX($V$2:$V$1001,MATCH(ROWS($U$2:U8),$U$2:$U$1001,0),1)&gt;=100000,INDEX($AB$1005:$AQ$1005,1,MATCH(COLUMNS($AB$1006:AO1006),$AB$1006:$AQ$1006,0))&gt;=100000), " ",IF(INDEX($AB$2:$AQ$1001,MATCH(ROWS($U$2:U8),$U$2:$U$1001,0),MATCH(COLUMNS($AB$1006:AO1006),$AB$1006:$AQ$1006,0)), HYPERLINK("#",""), HYPERLINK(CONCATENATE("#metadata!", ADDRESS(INDEX($W$2:$W$1001,MATCH(ROWS($U$2:U8),$U$2:$U$1001,0),0), INDEX($AB$1004:$AQ$1004,1,MATCH(COLUMNS($AB$1006:AO1006),$AB$1006:$AQ$1006,0)))),"Fix")))</f>
        <v>0</v>
      </c>
      <c r="P8" s="4">
        <f>IF(OR(INDEX($V$2:$V$1001,MATCH(ROWS($U$2:U8),$U$2:$U$1001,0),1)&gt;=100000,INDEX($AB$1005:$AQ$1005,1,MATCH(COLUMNS($AB$1006:AP1006),$AB$1006:$AQ$1006,0))&gt;=100000), " ",IF(INDEX($AB$2:$AQ$1001,MATCH(ROWS($U$2:U8),$U$2:$U$1001,0),MATCH(COLUMNS($AB$1006:AP1006),$AB$1006:$AQ$1006,0)), HYPERLINK("#",""), HYPERLINK(CONCATENATE("#metadata!", ADDRESS(INDEX($W$2:$W$1001,MATCH(ROWS($U$2:U8),$U$2:$U$1001,0),0), INDEX($AB$1004:$AQ$1004,1,MATCH(COLUMNS($AB$1006:AP1006),$AB$1006:$AQ$1006,0)))),"Fix")))</f>
        <v>0</v>
      </c>
      <c r="Q8" s="4">
        <f>IF(OR(INDEX($V$2:$V$1001,MATCH(ROWS($U$2:U8),$U$2:$U$1001,0),1)&gt;=100000,INDEX($AB$1005:$AQ$1005,1,MATCH(COLUMNS($AB$1006:AQ1006),$AB$1006:$AQ$1006,0))&gt;=100000), " ",IF(INDEX($AB$2:$AQ$1001,MATCH(ROWS($U$2:U8),$U$2:$U$1001,0),MATCH(COLUMNS($AB$1006:AQ1006),$AB$1006:$AQ$1006,0)), HYPERLINK("#",""), HYPERLINK(CONCATENATE("#metadata!", ADDRESS(INDEX($W$2:$W$1001,MATCH(ROWS($U$2:U8),$U$2:$U$1001,0),0), INDEX($AB$1004:$AQ$1004,1,MATCH(COLUMNS($AB$1006:AQ1006),$AB$1006:$AQ$1006,0)))),"Fix")))</f>
        <v>0</v>
      </c>
      <c r="U8">
        <v>0</v>
      </c>
      <c r="V8">
        <v>0</v>
      </c>
      <c r="W8">
        <v>0</v>
      </c>
      <c r="X8">
        <f>IF(Y8,TRUE,AND(AB8:AQ8))</f>
        <v>0</v>
      </c>
      <c r="Y8">
        <f>COUNTBLANK(metadata!B8:Q8)=COLUMNS(metadata!B8:Q8)</f>
        <v>0</v>
      </c>
      <c r="Z8">
        <v>0</v>
      </c>
      <c r="AB8">
        <f>AND(IF(metadata!B8="",FALSE,TRUE),COUNTIF(metadata!B:B, metadata!B8) = 1,NOT(ISERROR(SUMPRODUCT(SEARCH(MID(metadata!B8,ROW(INDIRECT("1:"&amp;LEN(metadata!B8))), 1),"0123456789abcdefghijklmnopqrstuvwxyzABCDEFGHIJKLMNOPQRSTUVWXYZ.")))))</f>
        <v>0</v>
      </c>
      <c r="AC8">
        <f>OR(AND(IF(metadata!C8="",FALSE,TRUE),OR(exact(metadata!C8,"missing: not collected"),exact(metadata!C8,"missing: not provided"),exact(metadata!C8,"missing: restricted access"))),AND(IF(metadata!C8="",FALSE,TRUE),AND(AND(IFERROR(INT(LEFT(metadata!C8,4))&gt;1900,FALSE),IFERROR(INT(LEFT(metadata!C8,4))&lt;=YEAR(NOW()),FALSE)), OR(MID(metadata!C8,5,1)="", AND(AND(MID(metadata!C8,5,1)="-",IFERROR(INT(MID(metadata!C8,6,1))&gt;=0,FALSE),IFERROR(INT(MID(metadata!C8,6,1))&lt;=1,FALSE),NOT(MID(metadata!C8,7,1)=""),IFERROR(INT(MID(metadata!C8,6,2))&gt;=1,FALSE),IFERROR(INT(MID(metadata!C8,6,2))&lt;=12,FALSE)), OR(MID(metadata!C8,8,1)="", AND(AND(MID(metadata!C8,8,1)="-",IFERROR(INT(MID(metadata!C8,9,1))&gt;=0,FALSE),IFERROR(INT(MID(metadata!C8,9,1))&lt;=3,FALSE),NOT(MID(metadata!C8,10,1)=""),IFERROR(INT(MID(metadata!C8,9,2))&gt;=1,FALSE),IFERROR(INT(MID(metadata!C8,9,2))&lt;=31,FALSE)), OR(MID(metadata!C8,11,1)="", AND(AND(MID(metadata!C8,11,1)=" ",IFERROR(INT(MID(metadata!C8,12,1))&gt;=0,FALSE),IFERROR(INT(MID(metadata!C8,12,1))&lt;=2,FALSE),NOT(MID(metadata!C8,13,1)=""),IFERROR(INT(MID(metadata!C8,12,2))&gt;=0,FALSE),IFERROR(INT(MID(metadata!C8,12,2))&lt;=23,FALSE)), OR(MID(metadata!C8,14,1)="", AND(AND(MID(metadata!C8,14,1)=":",IFERROR(INT(MID(metadata!C8,15,1))&gt;=0,FALSE),IFERROR(INT(MID(metadata!C8,15,1))&lt;=5,FALSE),NOT(MID(metadata!C8,16,1)=""),IFERROR(INT(MID(metadata!C8,15,2))&gt;=0,FALSE),IFERROR(INT(MID(metadata!C8,15,2))&lt;=59,FALSE)), OR(MID(metadata!C8,17,1)="", AND(AND(MID(metadata!C8,17,1)=":",IFERROR(INT(MID(metadata!C8,18,1))&gt;=0,FALSE),IFERROR(INT(MID(metadata!C8,18,1))&lt;=5,FALSE),NOT(MID(metadata!C8,19,1)=""),IFERROR(INT(MID(metadata!C8,18,2))&gt;=0,FALSE),IFERROR(INT(MID(metadata!C8,18,2))&lt;=59,FALSE)), LEN(metadata!C8)&lt;=19)))))))))))))</f>
        <v>0</v>
      </c>
      <c r="AD8">
        <f>IF(metadata!D8="",FALSE,TRUE)</f>
        <v>0</v>
      </c>
      <c r="AE8">
        <f>OR(AND(IF(metadata!E8="",FALSE,TRUE),OR(exact(metadata!E8,"missing: not collected"),exact(metadata!E8,"missing: not provided"))),AND(IF(metadata!E8="",FALSE,TRUE),OR(exact(metadata!E8,"TRUE"),exact(metadata!E8,"FALSE"))))</f>
        <v>0</v>
      </c>
      <c r="AF8">
        <f>IF(metadata!F8="",FALSE,TRUE)</f>
        <v>0</v>
      </c>
      <c r="AG8">
        <f>IF(metadata!G8="",FALSE,TRUE)</f>
        <v>0</v>
      </c>
      <c r="AH8">
        <f>IF(metadata!H8="",FALSE,TRUE)</f>
        <v>0</v>
      </c>
      <c r="AI8">
        <f>OR(AND(IF(metadata!I8="",FALSE,TRUE),OR(exact(metadata!I8,"missing: not collected"),exact(metadata!I8,"missing: not provided"),exact(metadata!I8,"missing: restricted access"))),AND(IF(metadata!I8="",FALSE,TRUE),OR(exact(metadata!I8,"air"),exact(metadata!I8,"built environment"),exact(metadata!I8,"host-associated"),exact(metadata!I8,"human-associated"),exact(metadata!I8,"human-skin"),exact(metadata!I8,"human-oral"),exact(metadata!I8,"human-gut"),exact(metadata!I8,"human-vaginal"),exact(metadata!I8,"microbial mat/biofilm"),exact(metadata!I8,"misc environment"),exact(metadata!I8,"plant-associated"),exact(metadata!I8,"sediment"),exact(metadata!I8,"soil"),exact(metadata!I8,"wastewater/sludge"),exact(metadata!I8,"water"))))</f>
        <v>0</v>
      </c>
      <c r="AJ8">
        <f>IF(metadata!J8="",FALSE,TRUE)</f>
        <v>0</v>
      </c>
      <c r="AK8">
        <f>OR(AND(IF(metadata!K8="",FALSE,TRUE),OR(exact(metadata!K8,"missing: not collected"),exact(metadata!K8,"missing: not provided"),exact(metadata!K8,"missing: restricted access"))),AND(IF(metadata!K8="",FALSE,ISNUMBER(VALUE(metadata!K8))),metadata!K8&gt;=-90.00,metadata!K8&lt;=90.00))</f>
        <v>0</v>
      </c>
      <c r="AL8">
        <f>OR(AND(IF(metadata!L8="",FALSE,TRUE),OR(exact(metadata!L8,"missing: not collected"),exact(metadata!L8,"missing: not provided"),exact(metadata!L8,"missing: restricted access"))),AND(IF(metadata!L8="",FALSE,ISNUMBER(VALUE(metadata!L8))),metadata!L8&gt;=-180.00,metadata!L8&lt;=180.00))</f>
        <v>0</v>
      </c>
      <c r="AM8">
        <f>IF(metadata!M8="",FALSE,TRUE)</f>
        <v>0</v>
      </c>
      <c r="AN8">
        <f>OR(AND(IF(metadata!N8="",FALSE,TRUE),OR(exact(metadata!N8,"missing: not collected"),exact(metadata!N8,"missing: not provided"),exact(metadata!N8,"missing: restricted access"))),AND(IF(metadata!N8="",FALSE,TRUE),OR(exact(metadata!N8,"TRUE"),exact(metadata!N8,"FALSE"))))</f>
        <v>0</v>
      </c>
      <c r="AO8">
        <f>IF(metadata!O8="",FALSE,TRUE)</f>
        <v>0</v>
      </c>
      <c r="AP8">
        <f>OR(AND(IF(metadata!P8="",FALSE,TRUE),OR(exact(metadata!P8,"missing: not collected"),exact(metadata!P8,"missing: not provided"))),AND(IF(metadata!P8="",FALSE,IF(ISERROR(INT(metadata!P8)),FALSE,INT(metadata!P8)=metadata!P8)),metadata!P8&gt;0))</f>
        <v>0</v>
      </c>
      <c r="AQ8">
        <f>IF(metadata!Q8="",FALSE,TRUE)</f>
        <v>0</v>
      </c>
    </row>
    <row r="9" spans="1:43">
      <c r="A9" s="5">
        <f>IF(B9=" "," ",HYPERLINK(CONCATENATE("#metadata!",ADDRESS(INDEX($W$2:$W$1001,MATCH(ROWS($U$2:U9),$U$2:$U$1001,0),0),1)),INDEX($Z$2:$Z$1001,MATCH(ROWS($U$2:U9),$U$2:$U$1001,0),0)))</f>
        <v>0</v>
      </c>
      <c r="B9" s="4">
        <f>IF(OR(INDEX($V$2:$V$1001,MATCH(ROWS($U$2:U9),$U$2:$U$1001,0),1)&gt;=100000,INDEX($AB$1005:$AQ$1005,1,MATCH(COLUMNS($AB$1006:AB1006),$AB$1006:$AQ$1006,0))&gt;=100000), " ",IF(INDEX($AB$2:$AQ$1001,MATCH(ROWS($U$2:U9),$U$2:$U$1001,0),MATCH(COLUMNS($AB$1006:AB1006),$AB$1006:$AQ$1006,0)), HYPERLINK("#",""), HYPERLINK(CONCATENATE("#metadata!", ADDRESS(INDEX($W$2:$W$1001,MATCH(ROWS($U$2:U9),$U$2:$U$1001,0),0), INDEX($AB$1004:$AQ$1004,1,MATCH(COLUMNS($AB$1006:AB1006),$AB$1006:$AQ$1006,0)))),"Fix")))</f>
        <v>0</v>
      </c>
      <c r="C9" s="4">
        <f>IF(OR(INDEX($V$2:$V$1001,MATCH(ROWS($U$2:U9),$U$2:$U$1001,0),1)&gt;=100000,INDEX($AB$1005:$AQ$1005,1,MATCH(COLUMNS($AB$1006:AC1006),$AB$1006:$AQ$1006,0))&gt;=100000), " ",IF(INDEX($AB$2:$AQ$1001,MATCH(ROWS($U$2:U9),$U$2:$U$1001,0),MATCH(COLUMNS($AB$1006:AC1006),$AB$1006:$AQ$1006,0)), HYPERLINK("#",""), HYPERLINK(CONCATENATE("#metadata!", ADDRESS(INDEX($W$2:$W$1001,MATCH(ROWS($U$2:U9),$U$2:$U$1001,0),0), INDEX($AB$1004:$AQ$1004,1,MATCH(COLUMNS($AB$1006:AC1006),$AB$1006:$AQ$1006,0)))),"Fix")))</f>
        <v>0</v>
      </c>
      <c r="D9" s="4">
        <f>IF(OR(INDEX($V$2:$V$1001,MATCH(ROWS($U$2:U9),$U$2:$U$1001,0),1)&gt;=100000,INDEX($AB$1005:$AQ$1005,1,MATCH(COLUMNS($AB$1006:AD1006),$AB$1006:$AQ$1006,0))&gt;=100000), " ",IF(INDEX($AB$2:$AQ$1001,MATCH(ROWS($U$2:U9),$U$2:$U$1001,0),MATCH(COLUMNS($AB$1006:AD1006),$AB$1006:$AQ$1006,0)), HYPERLINK("#",""), HYPERLINK(CONCATENATE("#metadata!", ADDRESS(INDEX($W$2:$W$1001,MATCH(ROWS($U$2:U9),$U$2:$U$1001,0),0), INDEX($AB$1004:$AQ$1004,1,MATCH(COLUMNS($AB$1006:AD1006),$AB$1006:$AQ$1006,0)))),"Fix")))</f>
        <v>0</v>
      </c>
      <c r="E9" s="4">
        <f>IF(OR(INDEX($V$2:$V$1001,MATCH(ROWS($U$2:U9),$U$2:$U$1001,0),1)&gt;=100000,INDEX($AB$1005:$AQ$1005,1,MATCH(COLUMNS($AB$1006:AE1006),$AB$1006:$AQ$1006,0))&gt;=100000), " ",IF(INDEX($AB$2:$AQ$1001,MATCH(ROWS($U$2:U9),$U$2:$U$1001,0),MATCH(COLUMNS($AB$1006:AE1006),$AB$1006:$AQ$1006,0)), HYPERLINK("#",""), HYPERLINK(CONCATENATE("#metadata!", ADDRESS(INDEX($W$2:$W$1001,MATCH(ROWS($U$2:U9),$U$2:$U$1001,0),0), INDEX($AB$1004:$AQ$1004,1,MATCH(COLUMNS($AB$1006:AE1006),$AB$1006:$AQ$1006,0)))),"Fix")))</f>
        <v>0</v>
      </c>
      <c r="F9" s="4">
        <f>IF(OR(INDEX($V$2:$V$1001,MATCH(ROWS($U$2:U9),$U$2:$U$1001,0),1)&gt;=100000,INDEX($AB$1005:$AQ$1005,1,MATCH(COLUMNS($AB$1006:AF1006),$AB$1006:$AQ$1006,0))&gt;=100000), " ",IF(INDEX($AB$2:$AQ$1001,MATCH(ROWS($U$2:U9),$U$2:$U$1001,0),MATCH(COLUMNS($AB$1006:AF1006),$AB$1006:$AQ$1006,0)), HYPERLINK("#",""), HYPERLINK(CONCATENATE("#metadata!", ADDRESS(INDEX($W$2:$W$1001,MATCH(ROWS($U$2:U9),$U$2:$U$1001,0),0), INDEX($AB$1004:$AQ$1004,1,MATCH(COLUMNS($AB$1006:AF1006),$AB$1006:$AQ$1006,0)))),"Fix")))</f>
        <v>0</v>
      </c>
      <c r="G9" s="4">
        <f>IF(OR(INDEX($V$2:$V$1001,MATCH(ROWS($U$2:U9),$U$2:$U$1001,0),1)&gt;=100000,INDEX($AB$1005:$AQ$1005,1,MATCH(COLUMNS($AB$1006:AG1006),$AB$1006:$AQ$1006,0))&gt;=100000), " ",IF(INDEX($AB$2:$AQ$1001,MATCH(ROWS($U$2:U9),$U$2:$U$1001,0),MATCH(COLUMNS($AB$1006:AG1006),$AB$1006:$AQ$1006,0)), HYPERLINK("#",""), HYPERLINK(CONCATENATE("#metadata!", ADDRESS(INDEX($W$2:$W$1001,MATCH(ROWS($U$2:U9),$U$2:$U$1001,0),0), INDEX($AB$1004:$AQ$1004,1,MATCH(COLUMNS($AB$1006:AG1006),$AB$1006:$AQ$1006,0)))),"Fix")))</f>
        <v>0</v>
      </c>
      <c r="H9" s="4">
        <f>IF(OR(INDEX($V$2:$V$1001,MATCH(ROWS($U$2:U9),$U$2:$U$1001,0),1)&gt;=100000,INDEX($AB$1005:$AQ$1005,1,MATCH(COLUMNS($AB$1006:AH1006),$AB$1006:$AQ$1006,0))&gt;=100000), " ",IF(INDEX($AB$2:$AQ$1001,MATCH(ROWS($U$2:U9),$U$2:$U$1001,0),MATCH(COLUMNS($AB$1006:AH1006),$AB$1006:$AQ$1006,0)), HYPERLINK("#",""), HYPERLINK(CONCATENATE("#metadata!", ADDRESS(INDEX($W$2:$W$1001,MATCH(ROWS($U$2:U9),$U$2:$U$1001,0),0), INDEX($AB$1004:$AQ$1004,1,MATCH(COLUMNS($AB$1006:AH1006),$AB$1006:$AQ$1006,0)))),"Fix")))</f>
        <v>0</v>
      </c>
      <c r="I9" s="4">
        <f>IF(OR(INDEX($V$2:$V$1001,MATCH(ROWS($U$2:U9),$U$2:$U$1001,0),1)&gt;=100000,INDEX($AB$1005:$AQ$1005,1,MATCH(COLUMNS($AB$1006:AI1006),$AB$1006:$AQ$1006,0))&gt;=100000), " ",IF(INDEX($AB$2:$AQ$1001,MATCH(ROWS($U$2:U9),$U$2:$U$1001,0),MATCH(COLUMNS($AB$1006:AI1006),$AB$1006:$AQ$1006,0)), HYPERLINK("#",""), HYPERLINK(CONCATENATE("#metadata!", ADDRESS(INDEX($W$2:$W$1001,MATCH(ROWS($U$2:U9),$U$2:$U$1001,0),0), INDEX($AB$1004:$AQ$1004,1,MATCH(COLUMNS($AB$1006:AI1006),$AB$1006:$AQ$1006,0)))),"Fix")))</f>
        <v>0</v>
      </c>
      <c r="J9" s="4">
        <f>IF(OR(INDEX($V$2:$V$1001,MATCH(ROWS($U$2:U9),$U$2:$U$1001,0),1)&gt;=100000,INDEX($AB$1005:$AQ$1005,1,MATCH(COLUMNS($AB$1006:AJ1006),$AB$1006:$AQ$1006,0))&gt;=100000), " ",IF(INDEX($AB$2:$AQ$1001,MATCH(ROWS($U$2:U9),$U$2:$U$1001,0),MATCH(COLUMNS($AB$1006:AJ1006),$AB$1006:$AQ$1006,0)), HYPERLINK("#",""), HYPERLINK(CONCATENATE("#metadata!", ADDRESS(INDEX($W$2:$W$1001,MATCH(ROWS($U$2:U9),$U$2:$U$1001,0),0), INDEX($AB$1004:$AQ$1004,1,MATCH(COLUMNS($AB$1006:AJ1006),$AB$1006:$AQ$1006,0)))),"Fix")))</f>
        <v>0</v>
      </c>
      <c r="K9" s="4">
        <f>IF(OR(INDEX($V$2:$V$1001,MATCH(ROWS($U$2:U9),$U$2:$U$1001,0),1)&gt;=100000,INDEX($AB$1005:$AQ$1005,1,MATCH(COLUMNS($AB$1006:AK1006),$AB$1006:$AQ$1006,0))&gt;=100000), " ",IF(INDEX($AB$2:$AQ$1001,MATCH(ROWS($U$2:U9),$U$2:$U$1001,0),MATCH(COLUMNS($AB$1006:AK1006),$AB$1006:$AQ$1006,0)), HYPERLINK("#",""), HYPERLINK(CONCATENATE("#metadata!", ADDRESS(INDEX($W$2:$W$1001,MATCH(ROWS($U$2:U9),$U$2:$U$1001,0),0), INDEX($AB$1004:$AQ$1004,1,MATCH(COLUMNS($AB$1006:AK1006),$AB$1006:$AQ$1006,0)))),"Fix")))</f>
        <v>0</v>
      </c>
      <c r="L9" s="4">
        <f>IF(OR(INDEX($V$2:$V$1001,MATCH(ROWS($U$2:U9),$U$2:$U$1001,0),1)&gt;=100000,INDEX($AB$1005:$AQ$1005,1,MATCH(COLUMNS($AB$1006:AL1006),$AB$1006:$AQ$1006,0))&gt;=100000), " ",IF(INDEX($AB$2:$AQ$1001,MATCH(ROWS($U$2:U9),$U$2:$U$1001,0),MATCH(COLUMNS($AB$1006:AL1006),$AB$1006:$AQ$1006,0)), HYPERLINK("#",""), HYPERLINK(CONCATENATE("#metadata!", ADDRESS(INDEX($W$2:$W$1001,MATCH(ROWS($U$2:U9),$U$2:$U$1001,0),0), INDEX($AB$1004:$AQ$1004,1,MATCH(COLUMNS($AB$1006:AL1006),$AB$1006:$AQ$1006,0)))),"Fix")))</f>
        <v>0</v>
      </c>
      <c r="M9" s="4">
        <f>IF(OR(INDEX($V$2:$V$1001,MATCH(ROWS($U$2:U9),$U$2:$U$1001,0),1)&gt;=100000,INDEX($AB$1005:$AQ$1005,1,MATCH(COLUMNS($AB$1006:AM1006),$AB$1006:$AQ$1006,0))&gt;=100000), " ",IF(INDEX($AB$2:$AQ$1001,MATCH(ROWS($U$2:U9),$U$2:$U$1001,0),MATCH(COLUMNS($AB$1006:AM1006),$AB$1006:$AQ$1006,0)), HYPERLINK("#",""), HYPERLINK(CONCATENATE("#metadata!", ADDRESS(INDEX($W$2:$W$1001,MATCH(ROWS($U$2:U9),$U$2:$U$1001,0),0), INDEX($AB$1004:$AQ$1004,1,MATCH(COLUMNS($AB$1006:AM1006),$AB$1006:$AQ$1006,0)))),"Fix")))</f>
        <v>0</v>
      </c>
      <c r="N9" s="4">
        <f>IF(OR(INDEX($V$2:$V$1001,MATCH(ROWS($U$2:U9),$U$2:$U$1001,0),1)&gt;=100000,INDEX($AB$1005:$AQ$1005,1,MATCH(COLUMNS($AB$1006:AN1006),$AB$1006:$AQ$1006,0))&gt;=100000), " ",IF(INDEX($AB$2:$AQ$1001,MATCH(ROWS($U$2:U9),$U$2:$U$1001,0),MATCH(COLUMNS($AB$1006:AN1006),$AB$1006:$AQ$1006,0)), HYPERLINK("#",""), HYPERLINK(CONCATENATE("#metadata!", ADDRESS(INDEX($W$2:$W$1001,MATCH(ROWS($U$2:U9),$U$2:$U$1001,0),0), INDEX($AB$1004:$AQ$1004,1,MATCH(COLUMNS($AB$1006:AN1006),$AB$1006:$AQ$1006,0)))),"Fix")))</f>
        <v>0</v>
      </c>
      <c r="O9" s="4">
        <f>IF(OR(INDEX($V$2:$V$1001,MATCH(ROWS($U$2:U9),$U$2:$U$1001,0),1)&gt;=100000,INDEX($AB$1005:$AQ$1005,1,MATCH(COLUMNS($AB$1006:AO1006),$AB$1006:$AQ$1006,0))&gt;=100000), " ",IF(INDEX($AB$2:$AQ$1001,MATCH(ROWS($U$2:U9),$U$2:$U$1001,0),MATCH(COLUMNS($AB$1006:AO1006),$AB$1006:$AQ$1006,0)), HYPERLINK("#",""), HYPERLINK(CONCATENATE("#metadata!", ADDRESS(INDEX($W$2:$W$1001,MATCH(ROWS($U$2:U9),$U$2:$U$1001,0),0), INDEX($AB$1004:$AQ$1004,1,MATCH(COLUMNS($AB$1006:AO1006),$AB$1006:$AQ$1006,0)))),"Fix")))</f>
        <v>0</v>
      </c>
      <c r="P9" s="4">
        <f>IF(OR(INDEX($V$2:$V$1001,MATCH(ROWS($U$2:U9),$U$2:$U$1001,0),1)&gt;=100000,INDEX($AB$1005:$AQ$1005,1,MATCH(COLUMNS($AB$1006:AP1006),$AB$1006:$AQ$1006,0))&gt;=100000), " ",IF(INDEX($AB$2:$AQ$1001,MATCH(ROWS($U$2:U9),$U$2:$U$1001,0),MATCH(COLUMNS($AB$1006:AP1006),$AB$1006:$AQ$1006,0)), HYPERLINK("#",""), HYPERLINK(CONCATENATE("#metadata!", ADDRESS(INDEX($W$2:$W$1001,MATCH(ROWS($U$2:U9),$U$2:$U$1001,0),0), INDEX($AB$1004:$AQ$1004,1,MATCH(COLUMNS($AB$1006:AP1006),$AB$1006:$AQ$1006,0)))),"Fix")))</f>
        <v>0</v>
      </c>
      <c r="Q9" s="4">
        <f>IF(OR(INDEX($V$2:$V$1001,MATCH(ROWS($U$2:U9),$U$2:$U$1001,0),1)&gt;=100000,INDEX($AB$1005:$AQ$1005,1,MATCH(COLUMNS($AB$1006:AQ1006),$AB$1006:$AQ$1006,0))&gt;=100000), " ",IF(INDEX($AB$2:$AQ$1001,MATCH(ROWS($U$2:U9),$U$2:$U$1001,0),MATCH(COLUMNS($AB$1006:AQ1006),$AB$1006:$AQ$1006,0)), HYPERLINK("#",""), HYPERLINK(CONCATENATE("#metadata!", ADDRESS(INDEX($W$2:$W$1001,MATCH(ROWS($U$2:U9),$U$2:$U$1001,0),0), INDEX($AB$1004:$AQ$1004,1,MATCH(COLUMNS($AB$1006:AQ1006),$AB$1006:$AQ$1006,0)))),"Fix")))</f>
        <v>0</v>
      </c>
      <c r="U9">
        <v>0</v>
      </c>
      <c r="V9">
        <v>0</v>
      </c>
      <c r="W9">
        <v>0</v>
      </c>
      <c r="X9">
        <f>IF(Y9,TRUE,AND(AB9:AQ9))</f>
        <v>0</v>
      </c>
      <c r="Y9">
        <f>COUNTBLANK(metadata!B9:Q9)=COLUMNS(metadata!B9:Q9)</f>
        <v>0</v>
      </c>
      <c r="Z9">
        <v>0</v>
      </c>
      <c r="AB9">
        <f>AND(IF(metadata!B9="",FALSE,TRUE),COUNTIF(metadata!B:B, metadata!B9) = 1,NOT(ISERROR(SUMPRODUCT(SEARCH(MID(metadata!B9,ROW(INDIRECT("1:"&amp;LEN(metadata!B9))), 1),"0123456789abcdefghijklmnopqrstuvwxyzABCDEFGHIJKLMNOPQRSTUVWXYZ.")))))</f>
        <v>0</v>
      </c>
      <c r="AC9">
        <f>OR(AND(IF(metadata!C9="",FALSE,TRUE),OR(exact(metadata!C9,"missing: not collected"),exact(metadata!C9,"missing: not provided"),exact(metadata!C9,"missing: restricted access"))),AND(IF(metadata!C9="",FALSE,TRUE),AND(AND(IFERROR(INT(LEFT(metadata!C9,4))&gt;1900,FALSE),IFERROR(INT(LEFT(metadata!C9,4))&lt;=YEAR(NOW()),FALSE)), OR(MID(metadata!C9,5,1)="", AND(AND(MID(metadata!C9,5,1)="-",IFERROR(INT(MID(metadata!C9,6,1))&gt;=0,FALSE),IFERROR(INT(MID(metadata!C9,6,1))&lt;=1,FALSE),NOT(MID(metadata!C9,7,1)=""),IFERROR(INT(MID(metadata!C9,6,2))&gt;=1,FALSE),IFERROR(INT(MID(metadata!C9,6,2))&lt;=12,FALSE)), OR(MID(metadata!C9,8,1)="", AND(AND(MID(metadata!C9,8,1)="-",IFERROR(INT(MID(metadata!C9,9,1))&gt;=0,FALSE),IFERROR(INT(MID(metadata!C9,9,1))&lt;=3,FALSE),NOT(MID(metadata!C9,10,1)=""),IFERROR(INT(MID(metadata!C9,9,2))&gt;=1,FALSE),IFERROR(INT(MID(metadata!C9,9,2))&lt;=31,FALSE)), OR(MID(metadata!C9,11,1)="", AND(AND(MID(metadata!C9,11,1)=" ",IFERROR(INT(MID(metadata!C9,12,1))&gt;=0,FALSE),IFERROR(INT(MID(metadata!C9,12,1))&lt;=2,FALSE),NOT(MID(metadata!C9,13,1)=""),IFERROR(INT(MID(metadata!C9,12,2))&gt;=0,FALSE),IFERROR(INT(MID(metadata!C9,12,2))&lt;=23,FALSE)), OR(MID(metadata!C9,14,1)="", AND(AND(MID(metadata!C9,14,1)=":",IFERROR(INT(MID(metadata!C9,15,1))&gt;=0,FALSE),IFERROR(INT(MID(metadata!C9,15,1))&lt;=5,FALSE),NOT(MID(metadata!C9,16,1)=""),IFERROR(INT(MID(metadata!C9,15,2))&gt;=0,FALSE),IFERROR(INT(MID(metadata!C9,15,2))&lt;=59,FALSE)), OR(MID(metadata!C9,17,1)="", AND(AND(MID(metadata!C9,17,1)=":",IFERROR(INT(MID(metadata!C9,18,1))&gt;=0,FALSE),IFERROR(INT(MID(metadata!C9,18,1))&lt;=5,FALSE),NOT(MID(metadata!C9,19,1)=""),IFERROR(INT(MID(metadata!C9,18,2))&gt;=0,FALSE),IFERROR(INT(MID(metadata!C9,18,2))&lt;=59,FALSE)), LEN(metadata!C9)&lt;=19)))))))))))))</f>
        <v>0</v>
      </c>
      <c r="AD9">
        <f>IF(metadata!D9="",FALSE,TRUE)</f>
        <v>0</v>
      </c>
      <c r="AE9">
        <f>OR(AND(IF(metadata!E9="",FALSE,TRUE),OR(exact(metadata!E9,"missing: not collected"),exact(metadata!E9,"missing: not provided"))),AND(IF(metadata!E9="",FALSE,TRUE),OR(exact(metadata!E9,"TRUE"),exact(metadata!E9,"FALSE"))))</f>
        <v>0</v>
      </c>
      <c r="AF9">
        <f>IF(metadata!F9="",FALSE,TRUE)</f>
        <v>0</v>
      </c>
      <c r="AG9">
        <f>IF(metadata!G9="",FALSE,TRUE)</f>
        <v>0</v>
      </c>
      <c r="AH9">
        <f>IF(metadata!H9="",FALSE,TRUE)</f>
        <v>0</v>
      </c>
      <c r="AI9">
        <f>OR(AND(IF(metadata!I9="",FALSE,TRUE),OR(exact(metadata!I9,"missing: not collected"),exact(metadata!I9,"missing: not provided"),exact(metadata!I9,"missing: restricted access"))),AND(IF(metadata!I9="",FALSE,TRUE),OR(exact(metadata!I9,"air"),exact(metadata!I9,"built environment"),exact(metadata!I9,"host-associated"),exact(metadata!I9,"human-associated"),exact(metadata!I9,"human-skin"),exact(metadata!I9,"human-oral"),exact(metadata!I9,"human-gut"),exact(metadata!I9,"human-vaginal"),exact(metadata!I9,"microbial mat/biofilm"),exact(metadata!I9,"misc environment"),exact(metadata!I9,"plant-associated"),exact(metadata!I9,"sediment"),exact(metadata!I9,"soil"),exact(metadata!I9,"wastewater/sludge"),exact(metadata!I9,"water"))))</f>
        <v>0</v>
      </c>
      <c r="AJ9">
        <f>IF(metadata!J9="",FALSE,TRUE)</f>
        <v>0</v>
      </c>
      <c r="AK9">
        <f>OR(AND(IF(metadata!K9="",FALSE,TRUE),OR(exact(metadata!K9,"missing: not collected"),exact(metadata!K9,"missing: not provided"),exact(metadata!K9,"missing: restricted access"))),AND(IF(metadata!K9="",FALSE,ISNUMBER(VALUE(metadata!K9))),metadata!K9&gt;=-90.00,metadata!K9&lt;=90.00))</f>
        <v>0</v>
      </c>
      <c r="AL9">
        <f>OR(AND(IF(metadata!L9="",FALSE,TRUE),OR(exact(metadata!L9,"missing: not collected"),exact(metadata!L9,"missing: not provided"),exact(metadata!L9,"missing: restricted access"))),AND(IF(metadata!L9="",FALSE,ISNUMBER(VALUE(metadata!L9))),metadata!L9&gt;=-180.00,metadata!L9&lt;=180.00))</f>
        <v>0</v>
      </c>
      <c r="AM9">
        <f>IF(metadata!M9="",FALSE,TRUE)</f>
        <v>0</v>
      </c>
      <c r="AN9">
        <f>OR(AND(IF(metadata!N9="",FALSE,TRUE),OR(exact(metadata!N9,"missing: not collected"),exact(metadata!N9,"missing: not provided"),exact(metadata!N9,"missing: restricted access"))),AND(IF(metadata!N9="",FALSE,TRUE),OR(exact(metadata!N9,"TRUE"),exact(metadata!N9,"FALSE"))))</f>
        <v>0</v>
      </c>
      <c r="AO9">
        <f>IF(metadata!O9="",FALSE,TRUE)</f>
        <v>0</v>
      </c>
      <c r="AP9">
        <f>OR(AND(IF(metadata!P9="",FALSE,TRUE),OR(exact(metadata!P9,"missing: not collected"),exact(metadata!P9,"missing: not provided"))),AND(IF(metadata!P9="",FALSE,IF(ISERROR(INT(metadata!P9)),FALSE,INT(metadata!P9)=metadata!P9)),metadata!P9&gt;0))</f>
        <v>0</v>
      </c>
      <c r="AQ9">
        <f>IF(metadata!Q9="",FALSE,TRUE)</f>
        <v>0</v>
      </c>
    </row>
    <row r="10" spans="1:43">
      <c r="A10" s="5">
        <f>IF(B10=" "," ",HYPERLINK(CONCATENATE("#metadata!",ADDRESS(INDEX($W$2:$W$1001,MATCH(ROWS($U$2:U10),$U$2:$U$1001,0),0),1)),INDEX($Z$2:$Z$1001,MATCH(ROWS($U$2:U10),$U$2:$U$1001,0),0)))</f>
        <v>0</v>
      </c>
      <c r="B10" s="4">
        <f>IF(OR(INDEX($V$2:$V$1001,MATCH(ROWS($U$2:U10),$U$2:$U$1001,0),1)&gt;=100000,INDEX($AB$1005:$AQ$1005,1,MATCH(COLUMNS($AB$1006:AB1006),$AB$1006:$AQ$1006,0))&gt;=100000), " ",IF(INDEX($AB$2:$AQ$1001,MATCH(ROWS($U$2:U10),$U$2:$U$1001,0),MATCH(COLUMNS($AB$1006:AB1006),$AB$1006:$AQ$1006,0)), HYPERLINK("#",""), HYPERLINK(CONCATENATE("#metadata!", ADDRESS(INDEX($W$2:$W$1001,MATCH(ROWS($U$2:U10),$U$2:$U$1001,0),0), INDEX($AB$1004:$AQ$1004,1,MATCH(COLUMNS($AB$1006:AB1006),$AB$1006:$AQ$1006,0)))),"Fix")))</f>
        <v>0</v>
      </c>
      <c r="C10" s="4">
        <f>IF(OR(INDEX($V$2:$V$1001,MATCH(ROWS($U$2:U10),$U$2:$U$1001,0),1)&gt;=100000,INDEX($AB$1005:$AQ$1005,1,MATCH(COLUMNS($AB$1006:AC1006),$AB$1006:$AQ$1006,0))&gt;=100000), " ",IF(INDEX($AB$2:$AQ$1001,MATCH(ROWS($U$2:U10),$U$2:$U$1001,0),MATCH(COLUMNS($AB$1006:AC1006),$AB$1006:$AQ$1006,0)), HYPERLINK("#",""), HYPERLINK(CONCATENATE("#metadata!", ADDRESS(INDEX($W$2:$W$1001,MATCH(ROWS($U$2:U10),$U$2:$U$1001,0),0), INDEX($AB$1004:$AQ$1004,1,MATCH(COLUMNS($AB$1006:AC1006),$AB$1006:$AQ$1006,0)))),"Fix")))</f>
        <v>0</v>
      </c>
      <c r="D10" s="4">
        <f>IF(OR(INDEX($V$2:$V$1001,MATCH(ROWS($U$2:U10),$U$2:$U$1001,0),1)&gt;=100000,INDEX($AB$1005:$AQ$1005,1,MATCH(COLUMNS($AB$1006:AD1006),$AB$1006:$AQ$1006,0))&gt;=100000), " ",IF(INDEX($AB$2:$AQ$1001,MATCH(ROWS($U$2:U10),$U$2:$U$1001,0),MATCH(COLUMNS($AB$1006:AD1006),$AB$1006:$AQ$1006,0)), HYPERLINK("#",""), HYPERLINK(CONCATENATE("#metadata!", ADDRESS(INDEX($W$2:$W$1001,MATCH(ROWS($U$2:U10),$U$2:$U$1001,0),0), INDEX($AB$1004:$AQ$1004,1,MATCH(COLUMNS($AB$1006:AD1006),$AB$1006:$AQ$1006,0)))),"Fix")))</f>
        <v>0</v>
      </c>
      <c r="E10" s="4">
        <f>IF(OR(INDEX($V$2:$V$1001,MATCH(ROWS($U$2:U10),$U$2:$U$1001,0),1)&gt;=100000,INDEX($AB$1005:$AQ$1005,1,MATCH(COLUMNS($AB$1006:AE1006),$AB$1006:$AQ$1006,0))&gt;=100000), " ",IF(INDEX($AB$2:$AQ$1001,MATCH(ROWS($U$2:U10),$U$2:$U$1001,0),MATCH(COLUMNS($AB$1006:AE1006),$AB$1006:$AQ$1006,0)), HYPERLINK("#",""), HYPERLINK(CONCATENATE("#metadata!", ADDRESS(INDEX($W$2:$W$1001,MATCH(ROWS($U$2:U10),$U$2:$U$1001,0),0), INDEX($AB$1004:$AQ$1004,1,MATCH(COLUMNS($AB$1006:AE1006),$AB$1006:$AQ$1006,0)))),"Fix")))</f>
        <v>0</v>
      </c>
      <c r="F10" s="4">
        <f>IF(OR(INDEX($V$2:$V$1001,MATCH(ROWS($U$2:U10),$U$2:$U$1001,0),1)&gt;=100000,INDEX($AB$1005:$AQ$1005,1,MATCH(COLUMNS($AB$1006:AF1006),$AB$1006:$AQ$1006,0))&gt;=100000), " ",IF(INDEX($AB$2:$AQ$1001,MATCH(ROWS($U$2:U10),$U$2:$U$1001,0),MATCH(COLUMNS($AB$1006:AF1006),$AB$1006:$AQ$1006,0)), HYPERLINK("#",""), HYPERLINK(CONCATENATE("#metadata!", ADDRESS(INDEX($W$2:$W$1001,MATCH(ROWS($U$2:U10),$U$2:$U$1001,0),0), INDEX($AB$1004:$AQ$1004,1,MATCH(COLUMNS($AB$1006:AF1006),$AB$1006:$AQ$1006,0)))),"Fix")))</f>
        <v>0</v>
      </c>
      <c r="G10" s="4">
        <f>IF(OR(INDEX($V$2:$V$1001,MATCH(ROWS($U$2:U10),$U$2:$U$1001,0),1)&gt;=100000,INDEX($AB$1005:$AQ$1005,1,MATCH(COLUMNS($AB$1006:AG1006),$AB$1006:$AQ$1006,0))&gt;=100000), " ",IF(INDEX($AB$2:$AQ$1001,MATCH(ROWS($U$2:U10),$U$2:$U$1001,0),MATCH(COLUMNS($AB$1006:AG1006),$AB$1006:$AQ$1006,0)), HYPERLINK("#",""), HYPERLINK(CONCATENATE("#metadata!", ADDRESS(INDEX($W$2:$W$1001,MATCH(ROWS($U$2:U10),$U$2:$U$1001,0),0), INDEX($AB$1004:$AQ$1004,1,MATCH(COLUMNS($AB$1006:AG1006),$AB$1006:$AQ$1006,0)))),"Fix")))</f>
        <v>0</v>
      </c>
      <c r="H10" s="4">
        <f>IF(OR(INDEX($V$2:$V$1001,MATCH(ROWS($U$2:U10),$U$2:$U$1001,0),1)&gt;=100000,INDEX($AB$1005:$AQ$1005,1,MATCH(COLUMNS($AB$1006:AH1006),$AB$1006:$AQ$1006,0))&gt;=100000), " ",IF(INDEX($AB$2:$AQ$1001,MATCH(ROWS($U$2:U10),$U$2:$U$1001,0),MATCH(COLUMNS($AB$1006:AH1006),$AB$1006:$AQ$1006,0)), HYPERLINK("#",""), HYPERLINK(CONCATENATE("#metadata!", ADDRESS(INDEX($W$2:$W$1001,MATCH(ROWS($U$2:U10),$U$2:$U$1001,0),0), INDEX($AB$1004:$AQ$1004,1,MATCH(COLUMNS($AB$1006:AH1006),$AB$1006:$AQ$1006,0)))),"Fix")))</f>
        <v>0</v>
      </c>
      <c r="I10" s="4">
        <f>IF(OR(INDEX($V$2:$V$1001,MATCH(ROWS($U$2:U10),$U$2:$U$1001,0),1)&gt;=100000,INDEX($AB$1005:$AQ$1005,1,MATCH(COLUMNS($AB$1006:AI1006),$AB$1006:$AQ$1006,0))&gt;=100000), " ",IF(INDEX($AB$2:$AQ$1001,MATCH(ROWS($U$2:U10),$U$2:$U$1001,0),MATCH(COLUMNS($AB$1006:AI1006),$AB$1006:$AQ$1006,0)), HYPERLINK("#",""), HYPERLINK(CONCATENATE("#metadata!", ADDRESS(INDEX($W$2:$W$1001,MATCH(ROWS($U$2:U10),$U$2:$U$1001,0),0), INDEX($AB$1004:$AQ$1004,1,MATCH(COLUMNS($AB$1006:AI1006),$AB$1006:$AQ$1006,0)))),"Fix")))</f>
        <v>0</v>
      </c>
      <c r="J10" s="4">
        <f>IF(OR(INDEX($V$2:$V$1001,MATCH(ROWS($U$2:U10),$U$2:$U$1001,0),1)&gt;=100000,INDEX($AB$1005:$AQ$1005,1,MATCH(COLUMNS($AB$1006:AJ1006),$AB$1006:$AQ$1006,0))&gt;=100000), " ",IF(INDEX($AB$2:$AQ$1001,MATCH(ROWS($U$2:U10),$U$2:$U$1001,0),MATCH(COLUMNS($AB$1006:AJ1006),$AB$1006:$AQ$1006,0)), HYPERLINK("#",""), HYPERLINK(CONCATENATE("#metadata!", ADDRESS(INDEX($W$2:$W$1001,MATCH(ROWS($U$2:U10),$U$2:$U$1001,0),0), INDEX($AB$1004:$AQ$1004,1,MATCH(COLUMNS($AB$1006:AJ1006),$AB$1006:$AQ$1006,0)))),"Fix")))</f>
        <v>0</v>
      </c>
      <c r="K10" s="4">
        <f>IF(OR(INDEX($V$2:$V$1001,MATCH(ROWS($U$2:U10),$U$2:$U$1001,0),1)&gt;=100000,INDEX($AB$1005:$AQ$1005,1,MATCH(COLUMNS($AB$1006:AK1006),$AB$1006:$AQ$1006,0))&gt;=100000), " ",IF(INDEX($AB$2:$AQ$1001,MATCH(ROWS($U$2:U10),$U$2:$U$1001,0),MATCH(COLUMNS($AB$1006:AK1006),$AB$1006:$AQ$1006,0)), HYPERLINK("#",""), HYPERLINK(CONCATENATE("#metadata!", ADDRESS(INDEX($W$2:$W$1001,MATCH(ROWS($U$2:U10),$U$2:$U$1001,0),0), INDEX($AB$1004:$AQ$1004,1,MATCH(COLUMNS($AB$1006:AK1006),$AB$1006:$AQ$1006,0)))),"Fix")))</f>
        <v>0</v>
      </c>
      <c r="L10" s="4">
        <f>IF(OR(INDEX($V$2:$V$1001,MATCH(ROWS($U$2:U10),$U$2:$U$1001,0),1)&gt;=100000,INDEX($AB$1005:$AQ$1005,1,MATCH(COLUMNS($AB$1006:AL1006),$AB$1006:$AQ$1006,0))&gt;=100000), " ",IF(INDEX($AB$2:$AQ$1001,MATCH(ROWS($U$2:U10),$U$2:$U$1001,0),MATCH(COLUMNS($AB$1006:AL1006),$AB$1006:$AQ$1006,0)), HYPERLINK("#",""), HYPERLINK(CONCATENATE("#metadata!", ADDRESS(INDEX($W$2:$W$1001,MATCH(ROWS($U$2:U10),$U$2:$U$1001,0),0), INDEX($AB$1004:$AQ$1004,1,MATCH(COLUMNS($AB$1006:AL1006),$AB$1006:$AQ$1006,0)))),"Fix")))</f>
        <v>0</v>
      </c>
      <c r="M10" s="4">
        <f>IF(OR(INDEX($V$2:$V$1001,MATCH(ROWS($U$2:U10),$U$2:$U$1001,0),1)&gt;=100000,INDEX($AB$1005:$AQ$1005,1,MATCH(COLUMNS($AB$1006:AM1006),$AB$1006:$AQ$1006,0))&gt;=100000), " ",IF(INDEX($AB$2:$AQ$1001,MATCH(ROWS($U$2:U10),$U$2:$U$1001,0),MATCH(COLUMNS($AB$1006:AM1006),$AB$1006:$AQ$1006,0)), HYPERLINK("#",""), HYPERLINK(CONCATENATE("#metadata!", ADDRESS(INDEX($W$2:$W$1001,MATCH(ROWS($U$2:U10),$U$2:$U$1001,0),0), INDEX($AB$1004:$AQ$1004,1,MATCH(COLUMNS($AB$1006:AM1006),$AB$1006:$AQ$1006,0)))),"Fix")))</f>
        <v>0</v>
      </c>
      <c r="N10" s="4">
        <f>IF(OR(INDEX($V$2:$V$1001,MATCH(ROWS($U$2:U10),$U$2:$U$1001,0),1)&gt;=100000,INDEX($AB$1005:$AQ$1005,1,MATCH(COLUMNS($AB$1006:AN1006),$AB$1006:$AQ$1006,0))&gt;=100000), " ",IF(INDEX($AB$2:$AQ$1001,MATCH(ROWS($U$2:U10),$U$2:$U$1001,0),MATCH(COLUMNS($AB$1006:AN1006),$AB$1006:$AQ$1006,0)), HYPERLINK("#",""), HYPERLINK(CONCATENATE("#metadata!", ADDRESS(INDEX($W$2:$W$1001,MATCH(ROWS($U$2:U10),$U$2:$U$1001,0),0), INDEX($AB$1004:$AQ$1004,1,MATCH(COLUMNS($AB$1006:AN1006),$AB$1006:$AQ$1006,0)))),"Fix")))</f>
        <v>0</v>
      </c>
      <c r="O10" s="4">
        <f>IF(OR(INDEX($V$2:$V$1001,MATCH(ROWS($U$2:U10),$U$2:$U$1001,0),1)&gt;=100000,INDEX($AB$1005:$AQ$1005,1,MATCH(COLUMNS($AB$1006:AO1006),$AB$1006:$AQ$1006,0))&gt;=100000), " ",IF(INDEX($AB$2:$AQ$1001,MATCH(ROWS($U$2:U10),$U$2:$U$1001,0),MATCH(COLUMNS($AB$1006:AO1006),$AB$1006:$AQ$1006,0)), HYPERLINK("#",""), HYPERLINK(CONCATENATE("#metadata!", ADDRESS(INDEX($W$2:$W$1001,MATCH(ROWS($U$2:U10),$U$2:$U$1001,0),0), INDEX($AB$1004:$AQ$1004,1,MATCH(COLUMNS($AB$1006:AO1006),$AB$1006:$AQ$1006,0)))),"Fix")))</f>
        <v>0</v>
      </c>
      <c r="P10" s="4">
        <f>IF(OR(INDEX($V$2:$V$1001,MATCH(ROWS($U$2:U10),$U$2:$U$1001,0),1)&gt;=100000,INDEX($AB$1005:$AQ$1005,1,MATCH(COLUMNS($AB$1006:AP1006),$AB$1006:$AQ$1006,0))&gt;=100000), " ",IF(INDEX($AB$2:$AQ$1001,MATCH(ROWS($U$2:U10),$U$2:$U$1001,0),MATCH(COLUMNS($AB$1006:AP1006),$AB$1006:$AQ$1006,0)), HYPERLINK("#",""), HYPERLINK(CONCATENATE("#metadata!", ADDRESS(INDEX($W$2:$W$1001,MATCH(ROWS($U$2:U10),$U$2:$U$1001,0),0), INDEX($AB$1004:$AQ$1004,1,MATCH(COLUMNS($AB$1006:AP1006),$AB$1006:$AQ$1006,0)))),"Fix")))</f>
        <v>0</v>
      </c>
      <c r="Q10" s="4">
        <f>IF(OR(INDEX($V$2:$V$1001,MATCH(ROWS($U$2:U10),$U$2:$U$1001,0),1)&gt;=100000,INDEX($AB$1005:$AQ$1005,1,MATCH(COLUMNS($AB$1006:AQ1006),$AB$1006:$AQ$1006,0))&gt;=100000), " ",IF(INDEX($AB$2:$AQ$1001,MATCH(ROWS($U$2:U10),$U$2:$U$1001,0),MATCH(COLUMNS($AB$1006:AQ1006),$AB$1006:$AQ$1006,0)), HYPERLINK("#",""), HYPERLINK(CONCATENATE("#metadata!", ADDRESS(INDEX($W$2:$W$1001,MATCH(ROWS($U$2:U10),$U$2:$U$1001,0),0), INDEX($AB$1004:$AQ$1004,1,MATCH(COLUMNS($AB$1006:AQ1006),$AB$1006:$AQ$1006,0)))),"Fix")))</f>
        <v>0</v>
      </c>
      <c r="U10">
        <v>0</v>
      </c>
      <c r="V10">
        <v>0</v>
      </c>
      <c r="W10">
        <v>0</v>
      </c>
      <c r="X10">
        <f>IF(Y10,TRUE,AND(AB10:AQ10))</f>
        <v>0</v>
      </c>
      <c r="Y10">
        <f>COUNTBLANK(metadata!B10:Q10)=COLUMNS(metadata!B10:Q10)</f>
        <v>0</v>
      </c>
      <c r="Z10">
        <v>0</v>
      </c>
      <c r="AB10">
        <f>AND(IF(metadata!B10="",FALSE,TRUE),COUNTIF(metadata!B:B, metadata!B10) = 1,NOT(ISERROR(SUMPRODUCT(SEARCH(MID(metadata!B10,ROW(INDIRECT("1:"&amp;LEN(metadata!B10))), 1),"0123456789abcdefghijklmnopqrstuvwxyzABCDEFGHIJKLMNOPQRSTUVWXYZ.")))))</f>
        <v>0</v>
      </c>
      <c r="AC10">
        <f>OR(AND(IF(metadata!C10="",FALSE,TRUE),OR(exact(metadata!C10,"missing: not collected"),exact(metadata!C10,"missing: not provided"),exact(metadata!C10,"missing: restricted access"))),AND(IF(metadata!C10="",FALSE,TRUE),AND(AND(IFERROR(INT(LEFT(metadata!C10,4))&gt;1900,FALSE),IFERROR(INT(LEFT(metadata!C10,4))&lt;=YEAR(NOW()),FALSE)), OR(MID(metadata!C10,5,1)="", AND(AND(MID(metadata!C10,5,1)="-",IFERROR(INT(MID(metadata!C10,6,1))&gt;=0,FALSE),IFERROR(INT(MID(metadata!C10,6,1))&lt;=1,FALSE),NOT(MID(metadata!C10,7,1)=""),IFERROR(INT(MID(metadata!C10,6,2))&gt;=1,FALSE),IFERROR(INT(MID(metadata!C10,6,2))&lt;=12,FALSE)), OR(MID(metadata!C10,8,1)="", AND(AND(MID(metadata!C10,8,1)="-",IFERROR(INT(MID(metadata!C10,9,1))&gt;=0,FALSE),IFERROR(INT(MID(metadata!C10,9,1))&lt;=3,FALSE),NOT(MID(metadata!C10,10,1)=""),IFERROR(INT(MID(metadata!C10,9,2))&gt;=1,FALSE),IFERROR(INT(MID(metadata!C10,9,2))&lt;=31,FALSE)), OR(MID(metadata!C10,11,1)="", AND(AND(MID(metadata!C10,11,1)=" ",IFERROR(INT(MID(metadata!C10,12,1))&gt;=0,FALSE),IFERROR(INT(MID(metadata!C10,12,1))&lt;=2,FALSE),NOT(MID(metadata!C10,13,1)=""),IFERROR(INT(MID(metadata!C10,12,2))&gt;=0,FALSE),IFERROR(INT(MID(metadata!C10,12,2))&lt;=23,FALSE)), OR(MID(metadata!C10,14,1)="", AND(AND(MID(metadata!C10,14,1)=":",IFERROR(INT(MID(metadata!C10,15,1))&gt;=0,FALSE),IFERROR(INT(MID(metadata!C10,15,1))&lt;=5,FALSE),NOT(MID(metadata!C10,16,1)=""),IFERROR(INT(MID(metadata!C10,15,2))&gt;=0,FALSE),IFERROR(INT(MID(metadata!C10,15,2))&lt;=59,FALSE)), OR(MID(metadata!C10,17,1)="", AND(AND(MID(metadata!C10,17,1)=":",IFERROR(INT(MID(metadata!C10,18,1))&gt;=0,FALSE),IFERROR(INT(MID(metadata!C10,18,1))&lt;=5,FALSE),NOT(MID(metadata!C10,19,1)=""),IFERROR(INT(MID(metadata!C10,18,2))&gt;=0,FALSE),IFERROR(INT(MID(metadata!C10,18,2))&lt;=59,FALSE)), LEN(metadata!C10)&lt;=19)))))))))))))</f>
        <v>0</v>
      </c>
      <c r="AD10">
        <f>IF(metadata!D10="",FALSE,TRUE)</f>
        <v>0</v>
      </c>
      <c r="AE10">
        <f>OR(AND(IF(metadata!E10="",FALSE,TRUE),OR(exact(metadata!E10,"missing: not collected"),exact(metadata!E10,"missing: not provided"))),AND(IF(metadata!E10="",FALSE,TRUE),OR(exact(metadata!E10,"TRUE"),exact(metadata!E10,"FALSE"))))</f>
        <v>0</v>
      </c>
      <c r="AF10">
        <f>IF(metadata!F10="",FALSE,TRUE)</f>
        <v>0</v>
      </c>
      <c r="AG10">
        <f>IF(metadata!G10="",FALSE,TRUE)</f>
        <v>0</v>
      </c>
      <c r="AH10">
        <f>IF(metadata!H10="",FALSE,TRUE)</f>
        <v>0</v>
      </c>
      <c r="AI10">
        <f>OR(AND(IF(metadata!I10="",FALSE,TRUE),OR(exact(metadata!I10,"missing: not collected"),exact(metadata!I10,"missing: not provided"),exact(metadata!I10,"missing: restricted access"))),AND(IF(metadata!I10="",FALSE,TRUE),OR(exact(metadata!I10,"air"),exact(metadata!I10,"built environment"),exact(metadata!I10,"host-associated"),exact(metadata!I10,"human-associated"),exact(metadata!I10,"human-skin"),exact(metadata!I10,"human-oral"),exact(metadata!I10,"human-gut"),exact(metadata!I10,"human-vaginal"),exact(metadata!I10,"microbial mat/biofilm"),exact(metadata!I10,"misc environment"),exact(metadata!I10,"plant-associated"),exact(metadata!I10,"sediment"),exact(metadata!I10,"soil"),exact(metadata!I10,"wastewater/sludge"),exact(metadata!I10,"water"))))</f>
        <v>0</v>
      </c>
      <c r="AJ10">
        <f>IF(metadata!J10="",FALSE,TRUE)</f>
        <v>0</v>
      </c>
      <c r="AK10">
        <f>OR(AND(IF(metadata!K10="",FALSE,TRUE),OR(exact(metadata!K10,"missing: not collected"),exact(metadata!K10,"missing: not provided"),exact(metadata!K10,"missing: restricted access"))),AND(IF(metadata!K10="",FALSE,ISNUMBER(VALUE(metadata!K10))),metadata!K10&gt;=-90.00,metadata!K10&lt;=90.00))</f>
        <v>0</v>
      </c>
      <c r="AL10">
        <f>OR(AND(IF(metadata!L10="",FALSE,TRUE),OR(exact(metadata!L10,"missing: not collected"),exact(metadata!L10,"missing: not provided"),exact(metadata!L10,"missing: restricted access"))),AND(IF(metadata!L10="",FALSE,ISNUMBER(VALUE(metadata!L10))),metadata!L10&gt;=-180.00,metadata!L10&lt;=180.00))</f>
        <v>0</v>
      </c>
      <c r="AM10">
        <f>IF(metadata!M10="",FALSE,TRUE)</f>
        <v>0</v>
      </c>
      <c r="AN10">
        <f>OR(AND(IF(metadata!N10="",FALSE,TRUE),OR(exact(metadata!N10,"missing: not collected"),exact(metadata!N10,"missing: not provided"),exact(metadata!N10,"missing: restricted access"))),AND(IF(metadata!N10="",FALSE,TRUE),OR(exact(metadata!N10,"TRUE"),exact(metadata!N10,"FALSE"))))</f>
        <v>0</v>
      </c>
      <c r="AO10">
        <f>IF(metadata!O10="",FALSE,TRUE)</f>
        <v>0</v>
      </c>
      <c r="AP10">
        <f>OR(AND(IF(metadata!P10="",FALSE,TRUE),OR(exact(metadata!P10,"missing: not collected"),exact(metadata!P10,"missing: not provided"))),AND(IF(metadata!P10="",FALSE,IF(ISERROR(INT(metadata!P10)),FALSE,INT(metadata!P10)=metadata!P10)),metadata!P10&gt;0))</f>
        <v>0</v>
      </c>
      <c r="AQ10">
        <f>IF(metadata!Q10="",FALSE,TRUE)</f>
        <v>0</v>
      </c>
    </row>
    <row r="11" spans="1:43">
      <c r="A11" s="5">
        <f>IF(B11=" "," ",HYPERLINK(CONCATENATE("#metadata!",ADDRESS(INDEX($W$2:$W$1001,MATCH(ROWS($U$2:U11),$U$2:$U$1001,0),0),1)),INDEX($Z$2:$Z$1001,MATCH(ROWS($U$2:U11),$U$2:$U$1001,0),0)))</f>
        <v>0</v>
      </c>
      <c r="B11" s="4">
        <f>IF(OR(INDEX($V$2:$V$1001,MATCH(ROWS($U$2:U11),$U$2:$U$1001,0),1)&gt;=100000,INDEX($AB$1005:$AQ$1005,1,MATCH(COLUMNS($AB$1006:AB1006),$AB$1006:$AQ$1006,0))&gt;=100000), " ",IF(INDEX($AB$2:$AQ$1001,MATCH(ROWS($U$2:U11),$U$2:$U$1001,0),MATCH(COLUMNS($AB$1006:AB1006),$AB$1006:$AQ$1006,0)), HYPERLINK("#",""), HYPERLINK(CONCATENATE("#metadata!", ADDRESS(INDEX($W$2:$W$1001,MATCH(ROWS($U$2:U11),$U$2:$U$1001,0),0), INDEX($AB$1004:$AQ$1004,1,MATCH(COLUMNS($AB$1006:AB1006),$AB$1006:$AQ$1006,0)))),"Fix")))</f>
        <v>0</v>
      </c>
      <c r="C11" s="4">
        <f>IF(OR(INDEX($V$2:$V$1001,MATCH(ROWS($U$2:U11),$U$2:$U$1001,0),1)&gt;=100000,INDEX($AB$1005:$AQ$1005,1,MATCH(COLUMNS($AB$1006:AC1006),$AB$1006:$AQ$1006,0))&gt;=100000), " ",IF(INDEX($AB$2:$AQ$1001,MATCH(ROWS($U$2:U11),$U$2:$U$1001,0),MATCH(COLUMNS($AB$1006:AC1006),$AB$1006:$AQ$1006,0)), HYPERLINK("#",""), HYPERLINK(CONCATENATE("#metadata!", ADDRESS(INDEX($W$2:$W$1001,MATCH(ROWS($U$2:U11),$U$2:$U$1001,0),0), INDEX($AB$1004:$AQ$1004,1,MATCH(COLUMNS($AB$1006:AC1006),$AB$1006:$AQ$1006,0)))),"Fix")))</f>
        <v>0</v>
      </c>
      <c r="D11" s="4">
        <f>IF(OR(INDEX($V$2:$V$1001,MATCH(ROWS($U$2:U11),$U$2:$U$1001,0),1)&gt;=100000,INDEX($AB$1005:$AQ$1005,1,MATCH(COLUMNS($AB$1006:AD1006),$AB$1006:$AQ$1006,0))&gt;=100000), " ",IF(INDEX($AB$2:$AQ$1001,MATCH(ROWS($U$2:U11),$U$2:$U$1001,0),MATCH(COLUMNS($AB$1006:AD1006),$AB$1006:$AQ$1006,0)), HYPERLINK("#",""), HYPERLINK(CONCATENATE("#metadata!", ADDRESS(INDEX($W$2:$W$1001,MATCH(ROWS($U$2:U11),$U$2:$U$1001,0),0), INDEX($AB$1004:$AQ$1004,1,MATCH(COLUMNS($AB$1006:AD1006),$AB$1006:$AQ$1006,0)))),"Fix")))</f>
        <v>0</v>
      </c>
      <c r="E11" s="4">
        <f>IF(OR(INDEX($V$2:$V$1001,MATCH(ROWS($U$2:U11),$U$2:$U$1001,0),1)&gt;=100000,INDEX($AB$1005:$AQ$1005,1,MATCH(COLUMNS($AB$1006:AE1006),$AB$1006:$AQ$1006,0))&gt;=100000), " ",IF(INDEX($AB$2:$AQ$1001,MATCH(ROWS($U$2:U11),$U$2:$U$1001,0),MATCH(COLUMNS($AB$1006:AE1006),$AB$1006:$AQ$1006,0)), HYPERLINK("#",""), HYPERLINK(CONCATENATE("#metadata!", ADDRESS(INDEX($W$2:$W$1001,MATCH(ROWS($U$2:U11),$U$2:$U$1001,0),0), INDEX($AB$1004:$AQ$1004,1,MATCH(COLUMNS($AB$1006:AE1006),$AB$1006:$AQ$1006,0)))),"Fix")))</f>
        <v>0</v>
      </c>
      <c r="F11" s="4">
        <f>IF(OR(INDEX($V$2:$V$1001,MATCH(ROWS($U$2:U11),$U$2:$U$1001,0),1)&gt;=100000,INDEX($AB$1005:$AQ$1005,1,MATCH(COLUMNS($AB$1006:AF1006),$AB$1006:$AQ$1006,0))&gt;=100000), " ",IF(INDEX($AB$2:$AQ$1001,MATCH(ROWS($U$2:U11),$U$2:$U$1001,0),MATCH(COLUMNS($AB$1006:AF1006),$AB$1006:$AQ$1006,0)), HYPERLINK("#",""), HYPERLINK(CONCATENATE("#metadata!", ADDRESS(INDEX($W$2:$W$1001,MATCH(ROWS($U$2:U11),$U$2:$U$1001,0),0), INDEX($AB$1004:$AQ$1004,1,MATCH(COLUMNS($AB$1006:AF1006),$AB$1006:$AQ$1006,0)))),"Fix")))</f>
        <v>0</v>
      </c>
      <c r="G11" s="4">
        <f>IF(OR(INDEX($V$2:$V$1001,MATCH(ROWS($U$2:U11),$U$2:$U$1001,0),1)&gt;=100000,INDEX($AB$1005:$AQ$1005,1,MATCH(COLUMNS($AB$1006:AG1006),$AB$1006:$AQ$1006,0))&gt;=100000), " ",IF(INDEX($AB$2:$AQ$1001,MATCH(ROWS($U$2:U11),$U$2:$U$1001,0),MATCH(COLUMNS($AB$1006:AG1006),$AB$1006:$AQ$1006,0)), HYPERLINK("#",""), HYPERLINK(CONCATENATE("#metadata!", ADDRESS(INDEX($W$2:$W$1001,MATCH(ROWS($U$2:U11),$U$2:$U$1001,0),0), INDEX($AB$1004:$AQ$1004,1,MATCH(COLUMNS($AB$1006:AG1006),$AB$1006:$AQ$1006,0)))),"Fix")))</f>
        <v>0</v>
      </c>
      <c r="H11" s="4">
        <f>IF(OR(INDEX($V$2:$V$1001,MATCH(ROWS($U$2:U11),$U$2:$U$1001,0),1)&gt;=100000,INDEX($AB$1005:$AQ$1005,1,MATCH(COLUMNS($AB$1006:AH1006),$AB$1006:$AQ$1006,0))&gt;=100000), " ",IF(INDEX($AB$2:$AQ$1001,MATCH(ROWS($U$2:U11),$U$2:$U$1001,0),MATCH(COLUMNS($AB$1006:AH1006),$AB$1006:$AQ$1006,0)), HYPERLINK("#",""), HYPERLINK(CONCATENATE("#metadata!", ADDRESS(INDEX($W$2:$W$1001,MATCH(ROWS($U$2:U11),$U$2:$U$1001,0),0), INDEX($AB$1004:$AQ$1004,1,MATCH(COLUMNS($AB$1006:AH1006),$AB$1006:$AQ$1006,0)))),"Fix")))</f>
        <v>0</v>
      </c>
      <c r="I11" s="4">
        <f>IF(OR(INDEX($V$2:$V$1001,MATCH(ROWS($U$2:U11),$U$2:$U$1001,0),1)&gt;=100000,INDEX($AB$1005:$AQ$1005,1,MATCH(COLUMNS($AB$1006:AI1006),$AB$1006:$AQ$1006,0))&gt;=100000), " ",IF(INDEX($AB$2:$AQ$1001,MATCH(ROWS($U$2:U11),$U$2:$U$1001,0),MATCH(COLUMNS($AB$1006:AI1006),$AB$1006:$AQ$1006,0)), HYPERLINK("#",""), HYPERLINK(CONCATENATE("#metadata!", ADDRESS(INDEX($W$2:$W$1001,MATCH(ROWS($U$2:U11),$U$2:$U$1001,0),0), INDEX($AB$1004:$AQ$1004,1,MATCH(COLUMNS($AB$1006:AI1006),$AB$1006:$AQ$1006,0)))),"Fix")))</f>
        <v>0</v>
      </c>
      <c r="J11" s="4">
        <f>IF(OR(INDEX($V$2:$V$1001,MATCH(ROWS($U$2:U11),$U$2:$U$1001,0),1)&gt;=100000,INDEX($AB$1005:$AQ$1005,1,MATCH(COLUMNS($AB$1006:AJ1006),$AB$1006:$AQ$1006,0))&gt;=100000), " ",IF(INDEX($AB$2:$AQ$1001,MATCH(ROWS($U$2:U11),$U$2:$U$1001,0),MATCH(COLUMNS($AB$1006:AJ1006),$AB$1006:$AQ$1006,0)), HYPERLINK("#",""), HYPERLINK(CONCATENATE("#metadata!", ADDRESS(INDEX($W$2:$W$1001,MATCH(ROWS($U$2:U11),$U$2:$U$1001,0),0), INDEX($AB$1004:$AQ$1004,1,MATCH(COLUMNS($AB$1006:AJ1006),$AB$1006:$AQ$1006,0)))),"Fix")))</f>
        <v>0</v>
      </c>
      <c r="K11" s="4">
        <f>IF(OR(INDEX($V$2:$V$1001,MATCH(ROWS($U$2:U11),$U$2:$U$1001,0),1)&gt;=100000,INDEX($AB$1005:$AQ$1005,1,MATCH(COLUMNS($AB$1006:AK1006),$AB$1006:$AQ$1006,0))&gt;=100000), " ",IF(INDEX($AB$2:$AQ$1001,MATCH(ROWS($U$2:U11),$U$2:$U$1001,0),MATCH(COLUMNS($AB$1006:AK1006),$AB$1006:$AQ$1006,0)), HYPERLINK("#",""), HYPERLINK(CONCATENATE("#metadata!", ADDRESS(INDEX($W$2:$W$1001,MATCH(ROWS($U$2:U11),$U$2:$U$1001,0),0), INDEX($AB$1004:$AQ$1004,1,MATCH(COLUMNS($AB$1006:AK1006),$AB$1006:$AQ$1006,0)))),"Fix")))</f>
        <v>0</v>
      </c>
      <c r="L11" s="4">
        <f>IF(OR(INDEX($V$2:$V$1001,MATCH(ROWS($U$2:U11),$U$2:$U$1001,0),1)&gt;=100000,INDEX($AB$1005:$AQ$1005,1,MATCH(COLUMNS($AB$1006:AL1006),$AB$1006:$AQ$1006,0))&gt;=100000), " ",IF(INDEX($AB$2:$AQ$1001,MATCH(ROWS($U$2:U11),$U$2:$U$1001,0),MATCH(COLUMNS($AB$1006:AL1006),$AB$1006:$AQ$1006,0)), HYPERLINK("#",""), HYPERLINK(CONCATENATE("#metadata!", ADDRESS(INDEX($W$2:$W$1001,MATCH(ROWS($U$2:U11),$U$2:$U$1001,0),0), INDEX($AB$1004:$AQ$1004,1,MATCH(COLUMNS($AB$1006:AL1006),$AB$1006:$AQ$1006,0)))),"Fix")))</f>
        <v>0</v>
      </c>
      <c r="M11" s="4">
        <f>IF(OR(INDEX($V$2:$V$1001,MATCH(ROWS($U$2:U11),$U$2:$U$1001,0),1)&gt;=100000,INDEX($AB$1005:$AQ$1005,1,MATCH(COLUMNS($AB$1006:AM1006),$AB$1006:$AQ$1006,0))&gt;=100000), " ",IF(INDEX($AB$2:$AQ$1001,MATCH(ROWS($U$2:U11),$U$2:$U$1001,0),MATCH(COLUMNS($AB$1006:AM1006),$AB$1006:$AQ$1006,0)), HYPERLINK("#",""), HYPERLINK(CONCATENATE("#metadata!", ADDRESS(INDEX($W$2:$W$1001,MATCH(ROWS($U$2:U11),$U$2:$U$1001,0),0), INDEX($AB$1004:$AQ$1004,1,MATCH(COLUMNS($AB$1006:AM1006),$AB$1006:$AQ$1006,0)))),"Fix")))</f>
        <v>0</v>
      </c>
      <c r="N11" s="4">
        <f>IF(OR(INDEX($V$2:$V$1001,MATCH(ROWS($U$2:U11),$U$2:$U$1001,0),1)&gt;=100000,INDEX($AB$1005:$AQ$1005,1,MATCH(COLUMNS($AB$1006:AN1006),$AB$1006:$AQ$1006,0))&gt;=100000), " ",IF(INDEX($AB$2:$AQ$1001,MATCH(ROWS($U$2:U11),$U$2:$U$1001,0),MATCH(COLUMNS($AB$1006:AN1006),$AB$1006:$AQ$1006,0)), HYPERLINK("#",""), HYPERLINK(CONCATENATE("#metadata!", ADDRESS(INDEX($W$2:$W$1001,MATCH(ROWS($U$2:U11),$U$2:$U$1001,0),0), INDEX($AB$1004:$AQ$1004,1,MATCH(COLUMNS($AB$1006:AN1006),$AB$1006:$AQ$1006,0)))),"Fix")))</f>
        <v>0</v>
      </c>
      <c r="O11" s="4">
        <f>IF(OR(INDEX($V$2:$V$1001,MATCH(ROWS($U$2:U11),$U$2:$U$1001,0),1)&gt;=100000,INDEX($AB$1005:$AQ$1005,1,MATCH(COLUMNS($AB$1006:AO1006),$AB$1006:$AQ$1006,0))&gt;=100000), " ",IF(INDEX($AB$2:$AQ$1001,MATCH(ROWS($U$2:U11),$U$2:$U$1001,0),MATCH(COLUMNS($AB$1006:AO1006),$AB$1006:$AQ$1006,0)), HYPERLINK("#",""), HYPERLINK(CONCATENATE("#metadata!", ADDRESS(INDEX($W$2:$W$1001,MATCH(ROWS($U$2:U11),$U$2:$U$1001,0),0), INDEX($AB$1004:$AQ$1004,1,MATCH(COLUMNS($AB$1006:AO1006),$AB$1006:$AQ$1006,0)))),"Fix")))</f>
        <v>0</v>
      </c>
      <c r="P11" s="4">
        <f>IF(OR(INDEX($V$2:$V$1001,MATCH(ROWS($U$2:U11),$U$2:$U$1001,0),1)&gt;=100000,INDEX($AB$1005:$AQ$1005,1,MATCH(COLUMNS($AB$1006:AP1006),$AB$1006:$AQ$1006,0))&gt;=100000), " ",IF(INDEX($AB$2:$AQ$1001,MATCH(ROWS($U$2:U11),$U$2:$U$1001,0),MATCH(COLUMNS($AB$1006:AP1006),$AB$1006:$AQ$1006,0)), HYPERLINK("#",""), HYPERLINK(CONCATENATE("#metadata!", ADDRESS(INDEX($W$2:$W$1001,MATCH(ROWS($U$2:U11),$U$2:$U$1001,0),0), INDEX($AB$1004:$AQ$1004,1,MATCH(COLUMNS($AB$1006:AP1006),$AB$1006:$AQ$1006,0)))),"Fix")))</f>
        <v>0</v>
      </c>
      <c r="Q11" s="4">
        <f>IF(OR(INDEX($V$2:$V$1001,MATCH(ROWS($U$2:U11),$U$2:$U$1001,0),1)&gt;=100000,INDEX($AB$1005:$AQ$1005,1,MATCH(COLUMNS($AB$1006:AQ1006),$AB$1006:$AQ$1006,0))&gt;=100000), " ",IF(INDEX($AB$2:$AQ$1001,MATCH(ROWS($U$2:U11),$U$2:$U$1001,0),MATCH(COLUMNS($AB$1006:AQ1006),$AB$1006:$AQ$1006,0)), HYPERLINK("#",""), HYPERLINK(CONCATENATE("#metadata!", ADDRESS(INDEX($W$2:$W$1001,MATCH(ROWS($U$2:U11),$U$2:$U$1001,0),0), INDEX($AB$1004:$AQ$1004,1,MATCH(COLUMNS($AB$1006:AQ1006),$AB$1006:$AQ$1006,0)))),"Fix")))</f>
        <v>0</v>
      </c>
      <c r="U11">
        <v>0</v>
      </c>
      <c r="V11">
        <v>0</v>
      </c>
      <c r="W11">
        <v>0</v>
      </c>
      <c r="X11">
        <f>IF(Y11,TRUE,AND(AB11:AQ11))</f>
        <v>0</v>
      </c>
      <c r="Y11">
        <f>COUNTBLANK(metadata!B11:Q11)=COLUMNS(metadata!B11:Q11)</f>
        <v>0</v>
      </c>
      <c r="Z11">
        <v>0</v>
      </c>
      <c r="AB11">
        <f>AND(IF(metadata!B11="",FALSE,TRUE),COUNTIF(metadata!B:B, metadata!B11) = 1,NOT(ISERROR(SUMPRODUCT(SEARCH(MID(metadata!B11,ROW(INDIRECT("1:"&amp;LEN(metadata!B11))), 1),"0123456789abcdefghijklmnopqrstuvwxyzABCDEFGHIJKLMNOPQRSTUVWXYZ.")))))</f>
        <v>0</v>
      </c>
      <c r="AC11">
        <f>OR(AND(IF(metadata!C11="",FALSE,TRUE),OR(exact(metadata!C11,"missing: not collected"),exact(metadata!C11,"missing: not provided"),exact(metadata!C11,"missing: restricted access"))),AND(IF(metadata!C11="",FALSE,TRUE),AND(AND(IFERROR(INT(LEFT(metadata!C11,4))&gt;1900,FALSE),IFERROR(INT(LEFT(metadata!C11,4))&lt;=YEAR(NOW()),FALSE)), OR(MID(metadata!C11,5,1)="", AND(AND(MID(metadata!C11,5,1)="-",IFERROR(INT(MID(metadata!C11,6,1))&gt;=0,FALSE),IFERROR(INT(MID(metadata!C11,6,1))&lt;=1,FALSE),NOT(MID(metadata!C11,7,1)=""),IFERROR(INT(MID(metadata!C11,6,2))&gt;=1,FALSE),IFERROR(INT(MID(metadata!C11,6,2))&lt;=12,FALSE)), OR(MID(metadata!C11,8,1)="", AND(AND(MID(metadata!C11,8,1)="-",IFERROR(INT(MID(metadata!C11,9,1))&gt;=0,FALSE),IFERROR(INT(MID(metadata!C11,9,1))&lt;=3,FALSE),NOT(MID(metadata!C11,10,1)=""),IFERROR(INT(MID(metadata!C11,9,2))&gt;=1,FALSE),IFERROR(INT(MID(metadata!C11,9,2))&lt;=31,FALSE)), OR(MID(metadata!C11,11,1)="", AND(AND(MID(metadata!C11,11,1)=" ",IFERROR(INT(MID(metadata!C11,12,1))&gt;=0,FALSE),IFERROR(INT(MID(metadata!C11,12,1))&lt;=2,FALSE),NOT(MID(metadata!C11,13,1)=""),IFERROR(INT(MID(metadata!C11,12,2))&gt;=0,FALSE),IFERROR(INT(MID(metadata!C11,12,2))&lt;=23,FALSE)), OR(MID(metadata!C11,14,1)="", AND(AND(MID(metadata!C11,14,1)=":",IFERROR(INT(MID(metadata!C11,15,1))&gt;=0,FALSE),IFERROR(INT(MID(metadata!C11,15,1))&lt;=5,FALSE),NOT(MID(metadata!C11,16,1)=""),IFERROR(INT(MID(metadata!C11,15,2))&gt;=0,FALSE),IFERROR(INT(MID(metadata!C11,15,2))&lt;=59,FALSE)), OR(MID(metadata!C11,17,1)="", AND(AND(MID(metadata!C11,17,1)=":",IFERROR(INT(MID(metadata!C11,18,1))&gt;=0,FALSE),IFERROR(INT(MID(metadata!C11,18,1))&lt;=5,FALSE),NOT(MID(metadata!C11,19,1)=""),IFERROR(INT(MID(metadata!C11,18,2))&gt;=0,FALSE),IFERROR(INT(MID(metadata!C11,18,2))&lt;=59,FALSE)), LEN(metadata!C11)&lt;=19)))))))))))))</f>
        <v>0</v>
      </c>
      <c r="AD11">
        <f>IF(metadata!D11="",FALSE,TRUE)</f>
        <v>0</v>
      </c>
      <c r="AE11">
        <f>OR(AND(IF(metadata!E11="",FALSE,TRUE),OR(exact(metadata!E11,"missing: not collected"),exact(metadata!E11,"missing: not provided"))),AND(IF(metadata!E11="",FALSE,TRUE),OR(exact(metadata!E11,"TRUE"),exact(metadata!E11,"FALSE"))))</f>
        <v>0</v>
      </c>
      <c r="AF11">
        <f>IF(metadata!F11="",FALSE,TRUE)</f>
        <v>0</v>
      </c>
      <c r="AG11">
        <f>IF(metadata!G11="",FALSE,TRUE)</f>
        <v>0</v>
      </c>
      <c r="AH11">
        <f>IF(metadata!H11="",FALSE,TRUE)</f>
        <v>0</v>
      </c>
      <c r="AI11">
        <f>OR(AND(IF(metadata!I11="",FALSE,TRUE),OR(exact(metadata!I11,"missing: not collected"),exact(metadata!I11,"missing: not provided"),exact(metadata!I11,"missing: restricted access"))),AND(IF(metadata!I11="",FALSE,TRUE),OR(exact(metadata!I11,"air"),exact(metadata!I11,"built environment"),exact(metadata!I11,"host-associated"),exact(metadata!I11,"human-associated"),exact(metadata!I11,"human-skin"),exact(metadata!I11,"human-oral"),exact(metadata!I11,"human-gut"),exact(metadata!I11,"human-vaginal"),exact(metadata!I11,"microbial mat/biofilm"),exact(metadata!I11,"misc environment"),exact(metadata!I11,"plant-associated"),exact(metadata!I11,"sediment"),exact(metadata!I11,"soil"),exact(metadata!I11,"wastewater/sludge"),exact(metadata!I11,"water"))))</f>
        <v>0</v>
      </c>
      <c r="AJ11">
        <f>IF(metadata!J11="",FALSE,TRUE)</f>
        <v>0</v>
      </c>
      <c r="AK11">
        <f>OR(AND(IF(metadata!K11="",FALSE,TRUE),OR(exact(metadata!K11,"missing: not collected"),exact(metadata!K11,"missing: not provided"),exact(metadata!K11,"missing: restricted access"))),AND(IF(metadata!K11="",FALSE,ISNUMBER(VALUE(metadata!K11))),metadata!K11&gt;=-90.00,metadata!K11&lt;=90.00))</f>
        <v>0</v>
      </c>
      <c r="AL11">
        <f>OR(AND(IF(metadata!L11="",FALSE,TRUE),OR(exact(metadata!L11,"missing: not collected"),exact(metadata!L11,"missing: not provided"),exact(metadata!L11,"missing: restricted access"))),AND(IF(metadata!L11="",FALSE,ISNUMBER(VALUE(metadata!L11))),metadata!L11&gt;=-180.00,metadata!L11&lt;=180.00))</f>
        <v>0</v>
      </c>
      <c r="AM11">
        <f>IF(metadata!M11="",FALSE,TRUE)</f>
        <v>0</v>
      </c>
      <c r="AN11">
        <f>OR(AND(IF(metadata!N11="",FALSE,TRUE),OR(exact(metadata!N11,"missing: not collected"),exact(metadata!N11,"missing: not provided"),exact(metadata!N11,"missing: restricted access"))),AND(IF(metadata!N11="",FALSE,TRUE),OR(exact(metadata!N11,"TRUE"),exact(metadata!N11,"FALSE"))))</f>
        <v>0</v>
      </c>
      <c r="AO11">
        <f>IF(metadata!O11="",FALSE,TRUE)</f>
        <v>0</v>
      </c>
      <c r="AP11">
        <f>OR(AND(IF(metadata!P11="",FALSE,TRUE),OR(exact(metadata!P11,"missing: not collected"),exact(metadata!P11,"missing: not provided"))),AND(IF(metadata!P11="",FALSE,IF(ISERROR(INT(metadata!P11)),FALSE,INT(metadata!P11)=metadata!P11)),metadata!P11&gt;0))</f>
        <v>0</v>
      </c>
      <c r="AQ11">
        <f>IF(metadata!Q11="",FALSE,TRUE)</f>
        <v>0</v>
      </c>
    </row>
    <row r="12" spans="1:43">
      <c r="A12" s="5">
        <f>IF(B12=" "," ",HYPERLINK(CONCATENATE("#metadata!",ADDRESS(INDEX($W$2:$W$1001,MATCH(ROWS($U$2:U12),$U$2:$U$1001,0),0),1)),INDEX($Z$2:$Z$1001,MATCH(ROWS($U$2:U12),$U$2:$U$1001,0),0)))</f>
        <v>0</v>
      </c>
      <c r="B12" s="4">
        <f>IF(OR(INDEX($V$2:$V$1001,MATCH(ROWS($U$2:U12),$U$2:$U$1001,0),1)&gt;=100000,INDEX($AB$1005:$AQ$1005,1,MATCH(COLUMNS($AB$1006:AB1006),$AB$1006:$AQ$1006,0))&gt;=100000), " ",IF(INDEX($AB$2:$AQ$1001,MATCH(ROWS($U$2:U12),$U$2:$U$1001,0),MATCH(COLUMNS($AB$1006:AB1006),$AB$1006:$AQ$1006,0)), HYPERLINK("#",""), HYPERLINK(CONCATENATE("#metadata!", ADDRESS(INDEX($W$2:$W$1001,MATCH(ROWS($U$2:U12),$U$2:$U$1001,0),0), INDEX($AB$1004:$AQ$1004,1,MATCH(COLUMNS($AB$1006:AB1006),$AB$1006:$AQ$1006,0)))),"Fix")))</f>
        <v>0</v>
      </c>
      <c r="C12" s="4">
        <f>IF(OR(INDEX($V$2:$V$1001,MATCH(ROWS($U$2:U12),$U$2:$U$1001,0),1)&gt;=100000,INDEX($AB$1005:$AQ$1005,1,MATCH(COLUMNS($AB$1006:AC1006),$AB$1006:$AQ$1006,0))&gt;=100000), " ",IF(INDEX($AB$2:$AQ$1001,MATCH(ROWS($U$2:U12),$U$2:$U$1001,0),MATCH(COLUMNS($AB$1006:AC1006),$AB$1006:$AQ$1006,0)), HYPERLINK("#",""), HYPERLINK(CONCATENATE("#metadata!", ADDRESS(INDEX($W$2:$W$1001,MATCH(ROWS($U$2:U12),$U$2:$U$1001,0),0), INDEX($AB$1004:$AQ$1004,1,MATCH(COLUMNS($AB$1006:AC1006),$AB$1006:$AQ$1006,0)))),"Fix")))</f>
        <v>0</v>
      </c>
      <c r="D12" s="4">
        <f>IF(OR(INDEX($V$2:$V$1001,MATCH(ROWS($U$2:U12),$U$2:$U$1001,0),1)&gt;=100000,INDEX($AB$1005:$AQ$1005,1,MATCH(COLUMNS($AB$1006:AD1006),$AB$1006:$AQ$1006,0))&gt;=100000), " ",IF(INDEX($AB$2:$AQ$1001,MATCH(ROWS($U$2:U12),$U$2:$U$1001,0),MATCH(COLUMNS($AB$1006:AD1006),$AB$1006:$AQ$1006,0)), HYPERLINK("#",""), HYPERLINK(CONCATENATE("#metadata!", ADDRESS(INDEX($W$2:$W$1001,MATCH(ROWS($U$2:U12),$U$2:$U$1001,0),0), INDEX($AB$1004:$AQ$1004,1,MATCH(COLUMNS($AB$1006:AD1006),$AB$1006:$AQ$1006,0)))),"Fix")))</f>
        <v>0</v>
      </c>
      <c r="E12" s="4">
        <f>IF(OR(INDEX($V$2:$V$1001,MATCH(ROWS($U$2:U12),$U$2:$U$1001,0),1)&gt;=100000,INDEX($AB$1005:$AQ$1005,1,MATCH(COLUMNS($AB$1006:AE1006),$AB$1006:$AQ$1006,0))&gt;=100000), " ",IF(INDEX($AB$2:$AQ$1001,MATCH(ROWS($U$2:U12),$U$2:$U$1001,0),MATCH(COLUMNS($AB$1006:AE1006),$AB$1006:$AQ$1006,0)), HYPERLINK("#",""), HYPERLINK(CONCATENATE("#metadata!", ADDRESS(INDEX($W$2:$W$1001,MATCH(ROWS($U$2:U12),$U$2:$U$1001,0),0), INDEX($AB$1004:$AQ$1004,1,MATCH(COLUMNS($AB$1006:AE1006),$AB$1006:$AQ$1006,0)))),"Fix")))</f>
        <v>0</v>
      </c>
      <c r="F12" s="4">
        <f>IF(OR(INDEX($V$2:$V$1001,MATCH(ROWS($U$2:U12),$U$2:$U$1001,0),1)&gt;=100000,INDEX($AB$1005:$AQ$1005,1,MATCH(COLUMNS($AB$1006:AF1006),$AB$1006:$AQ$1006,0))&gt;=100000), " ",IF(INDEX($AB$2:$AQ$1001,MATCH(ROWS($U$2:U12),$U$2:$U$1001,0),MATCH(COLUMNS($AB$1006:AF1006),$AB$1006:$AQ$1006,0)), HYPERLINK("#",""), HYPERLINK(CONCATENATE("#metadata!", ADDRESS(INDEX($W$2:$W$1001,MATCH(ROWS($U$2:U12),$U$2:$U$1001,0),0), INDEX($AB$1004:$AQ$1004,1,MATCH(COLUMNS($AB$1006:AF1006),$AB$1006:$AQ$1006,0)))),"Fix")))</f>
        <v>0</v>
      </c>
      <c r="G12" s="4">
        <f>IF(OR(INDEX($V$2:$V$1001,MATCH(ROWS($U$2:U12),$U$2:$U$1001,0),1)&gt;=100000,INDEX($AB$1005:$AQ$1005,1,MATCH(COLUMNS($AB$1006:AG1006),$AB$1006:$AQ$1006,0))&gt;=100000), " ",IF(INDEX($AB$2:$AQ$1001,MATCH(ROWS($U$2:U12),$U$2:$U$1001,0),MATCH(COLUMNS($AB$1006:AG1006),$AB$1006:$AQ$1006,0)), HYPERLINK("#",""), HYPERLINK(CONCATENATE("#metadata!", ADDRESS(INDEX($W$2:$W$1001,MATCH(ROWS($U$2:U12),$U$2:$U$1001,0),0), INDEX($AB$1004:$AQ$1004,1,MATCH(COLUMNS($AB$1006:AG1006),$AB$1006:$AQ$1006,0)))),"Fix")))</f>
        <v>0</v>
      </c>
      <c r="H12" s="4">
        <f>IF(OR(INDEX($V$2:$V$1001,MATCH(ROWS($U$2:U12),$U$2:$U$1001,0),1)&gt;=100000,INDEX($AB$1005:$AQ$1005,1,MATCH(COLUMNS($AB$1006:AH1006),$AB$1006:$AQ$1006,0))&gt;=100000), " ",IF(INDEX($AB$2:$AQ$1001,MATCH(ROWS($U$2:U12),$U$2:$U$1001,0),MATCH(COLUMNS($AB$1006:AH1006),$AB$1006:$AQ$1006,0)), HYPERLINK("#",""), HYPERLINK(CONCATENATE("#metadata!", ADDRESS(INDEX($W$2:$W$1001,MATCH(ROWS($U$2:U12),$U$2:$U$1001,0),0), INDEX($AB$1004:$AQ$1004,1,MATCH(COLUMNS($AB$1006:AH1006),$AB$1006:$AQ$1006,0)))),"Fix")))</f>
        <v>0</v>
      </c>
      <c r="I12" s="4">
        <f>IF(OR(INDEX($V$2:$V$1001,MATCH(ROWS($U$2:U12),$U$2:$U$1001,0),1)&gt;=100000,INDEX($AB$1005:$AQ$1005,1,MATCH(COLUMNS($AB$1006:AI1006),$AB$1006:$AQ$1006,0))&gt;=100000), " ",IF(INDEX($AB$2:$AQ$1001,MATCH(ROWS($U$2:U12),$U$2:$U$1001,0),MATCH(COLUMNS($AB$1006:AI1006),$AB$1006:$AQ$1006,0)), HYPERLINK("#",""), HYPERLINK(CONCATENATE("#metadata!", ADDRESS(INDEX($W$2:$W$1001,MATCH(ROWS($U$2:U12),$U$2:$U$1001,0),0), INDEX($AB$1004:$AQ$1004,1,MATCH(COLUMNS($AB$1006:AI1006),$AB$1006:$AQ$1006,0)))),"Fix")))</f>
        <v>0</v>
      </c>
      <c r="J12" s="4">
        <f>IF(OR(INDEX($V$2:$V$1001,MATCH(ROWS($U$2:U12),$U$2:$U$1001,0),1)&gt;=100000,INDEX($AB$1005:$AQ$1005,1,MATCH(COLUMNS($AB$1006:AJ1006),$AB$1006:$AQ$1006,0))&gt;=100000), " ",IF(INDEX($AB$2:$AQ$1001,MATCH(ROWS($U$2:U12),$U$2:$U$1001,0),MATCH(COLUMNS($AB$1006:AJ1006),$AB$1006:$AQ$1006,0)), HYPERLINK("#",""), HYPERLINK(CONCATENATE("#metadata!", ADDRESS(INDEX($W$2:$W$1001,MATCH(ROWS($U$2:U12),$U$2:$U$1001,0),0), INDEX($AB$1004:$AQ$1004,1,MATCH(COLUMNS($AB$1006:AJ1006),$AB$1006:$AQ$1006,0)))),"Fix")))</f>
        <v>0</v>
      </c>
      <c r="K12" s="4">
        <f>IF(OR(INDEX($V$2:$V$1001,MATCH(ROWS($U$2:U12),$U$2:$U$1001,0),1)&gt;=100000,INDEX($AB$1005:$AQ$1005,1,MATCH(COLUMNS($AB$1006:AK1006),$AB$1006:$AQ$1006,0))&gt;=100000), " ",IF(INDEX($AB$2:$AQ$1001,MATCH(ROWS($U$2:U12),$U$2:$U$1001,0),MATCH(COLUMNS($AB$1006:AK1006),$AB$1006:$AQ$1006,0)), HYPERLINK("#",""), HYPERLINK(CONCATENATE("#metadata!", ADDRESS(INDEX($W$2:$W$1001,MATCH(ROWS($U$2:U12),$U$2:$U$1001,0),0), INDEX($AB$1004:$AQ$1004,1,MATCH(COLUMNS($AB$1006:AK1006),$AB$1006:$AQ$1006,0)))),"Fix")))</f>
        <v>0</v>
      </c>
      <c r="L12" s="4">
        <f>IF(OR(INDEX($V$2:$V$1001,MATCH(ROWS($U$2:U12),$U$2:$U$1001,0),1)&gt;=100000,INDEX($AB$1005:$AQ$1005,1,MATCH(COLUMNS($AB$1006:AL1006),$AB$1006:$AQ$1006,0))&gt;=100000), " ",IF(INDEX($AB$2:$AQ$1001,MATCH(ROWS($U$2:U12),$U$2:$U$1001,0),MATCH(COLUMNS($AB$1006:AL1006),$AB$1006:$AQ$1006,0)), HYPERLINK("#",""), HYPERLINK(CONCATENATE("#metadata!", ADDRESS(INDEX($W$2:$W$1001,MATCH(ROWS($U$2:U12),$U$2:$U$1001,0),0), INDEX($AB$1004:$AQ$1004,1,MATCH(COLUMNS($AB$1006:AL1006),$AB$1006:$AQ$1006,0)))),"Fix")))</f>
        <v>0</v>
      </c>
      <c r="M12" s="4">
        <f>IF(OR(INDEX($V$2:$V$1001,MATCH(ROWS($U$2:U12),$U$2:$U$1001,0),1)&gt;=100000,INDEX($AB$1005:$AQ$1005,1,MATCH(COLUMNS($AB$1006:AM1006),$AB$1006:$AQ$1006,0))&gt;=100000), " ",IF(INDEX($AB$2:$AQ$1001,MATCH(ROWS($U$2:U12),$U$2:$U$1001,0),MATCH(COLUMNS($AB$1006:AM1006),$AB$1006:$AQ$1006,0)), HYPERLINK("#",""), HYPERLINK(CONCATENATE("#metadata!", ADDRESS(INDEX($W$2:$W$1001,MATCH(ROWS($U$2:U12),$U$2:$U$1001,0),0), INDEX($AB$1004:$AQ$1004,1,MATCH(COLUMNS($AB$1006:AM1006),$AB$1006:$AQ$1006,0)))),"Fix")))</f>
        <v>0</v>
      </c>
      <c r="N12" s="4">
        <f>IF(OR(INDEX($V$2:$V$1001,MATCH(ROWS($U$2:U12),$U$2:$U$1001,0),1)&gt;=100000,INDEX($AB$1005:$AQ$1005,1,MATCH(COLUMNS($AB$1006:AN1006),$AB$1006:$AQ$1006,0))&gt;=100000), " ",IF(INDEX($AB$2:$AQ$1001,MATCH(ROWS($U$2:U12),$U$2:$U$1001,0),MATCH(COLUMNS($AB$1006:AN1006),$AB$1006:$AQ$1006,0)), HYPERLINK("#",""), HYPERLINK(CONCATENATE("#metadata!", ADDRESS(INDEX($W$2:$W$1001,MATCH(ROWS($U$2:U12),$U$2:$U$1001,0),0), INDEX($AB$1004:$AQ$1004,1,MATCH(COLUMNS($AB$1006:AN1006),$AB$1006:$AQ$1006,0)))),"Fix")))</f>
        <v>0</v>
      </c>
      <c r="O12" s="4">
        <f>IF(OR(INDEX($V$2:$V$1001,MATCH(ROWS($U$2:U12),$U$2:$U$1001,0),1)&gt;=100000,INDEX($AB$1005:$AQ$1005,1,MATCH(COLUMNS($AB$1006:AO1006),$AB$1006:$AQ$1006,0))&gt;=100000), " ",IF(INDEX($AB$2:$AQ$1001,MATCH(ROWS($U$2:U12),$U$2:$U$1001,0),MATCH(COLUMNS($AB$1006:AO1006),$AB$1006:$AQ$1006,0)), HYPERLINK("#",""), HYPERLINK(CONCATENATE("#metadata!", ADDRESS(INDEX($W$2:$W$1001,MATCH(ROWS($U$2:U12),$U$2:$U$1001,0),0), INDEX($AB$1004:$AQ$1004,1,MATCH(COLUMNS($AB$1006:AO1006),$AB$1006:$AQ$1006,0)))),"Fix")))</f>
        <v>0</v>
      </c>
      <c r="P12" s="4">
        <f>IF(OR(INDEX($V$2:$V$1001,MATCH(ROWS($U$2:U12),$U$2:$U$1001,0),1)&gt;=100000,INDEX($AB$1005:$AQ$1005,1,MATCH(COLUMNS($AB$1006:AP1006),$AB$1006:$AQ$1006,0))&gt;=100000), " ",IF(INDEX($AB$2:$AQ$1001,MATCH(ROWS($U$2:U12),$U$2:$U$1001,0),MATCH(COLUMNS($AB$1006:AP1006),$AB$1006:$AQ$1006,0)), HYPERLINK("#",""), HYPERLINK(CONCATENATE("#metadata!", ADDRESS(INDEX($W$2:$W$1001,MATCH(ROWS($U$2:U12),$U$2:$U$1001,0),0), INDEX($AB$1004:$AQ$1004,1,MATCH(COLUMNS($AB$1006:AP1006),$AB$1006:$AQ$1006,0)))),"Fix")))</f>
        <v>0</v>
      </c>
      <c r="Q12" s="4">
        <f>IF(OR(INDEX($V$2:$V$1001,MATCH(ROWS($U$2:U12),$U$2:$U$1001,0),1)&gt;=100000,INDEX($AB$1005:$AQ$1005,1,MATCH(COLUMNS($AB$1006:AQ1006),$AB$1006:$AQ$1006,0))&gt;=100000), " ",IF(INDEX($AB$2:$AQ$1001,MATCH(ROWS($U$2:U12),$U$2:$U$1001,0),MATCH(COLUMNS($AB$1006:AQ1006),$AB$1006:$AQ$1006,0)), HYPERLINK("#",""), HYPERLINK(CONCATENATE("#metadata!", ADDRESS(INDEX($W$2:$W$1001,MATCH(ROWS($U$2:U12),$U$2:$U$1001,0),0), INDEX($AB$1004:$AQ$1004,1,MATCH(COLUMNS($AB$1006:AQ1006),$AB$1006:$AQ$1006,0)))),"Fix")))</f>
        <v>0</v>
      </c>
      <c r="U12">
        <v>0</v>
      </c>
      <c r="V12">
        <v>0</v>
      </c>
      <c r="W12">
        <v>0</v>
      </c>
      <c r="X12">
        <f>IF(Y12,TRUE,AND(AB12:AQ12))</f>
        <v>0</v>
      </c>
      <c r="Y12">
        <f>COUNTBLANK(metadata!B12:Q12)=COLUMNS(metadata!B12:Q12)</f>
        <v>0</v>
      </c>
      <c r="Z12">
        <v>0</v>
      </c>
      <c r="AB12">
        <f>AND(IF(metadata!B12="",FALSE,TRUE),COUNTIF(metadata!B:B, metadata!B12) = 1,NOT(ISERROR(SUMPRODUCT(SEARCH(MID(metadata!B12,ROW(INDIRECT("1:"&amp;LEN(metadata!B12))), 1),"0123456789abcdefghijklmnopqrstuvwxyzABCDEFGHIJKLMNOPQRSTUVWXYZ.")))))</f>
        <v>0</v>
      </c>
      <c r="AC12">
        <f>OR(AND(IF(metadata!C12="",FALSE,TRUE),OR(exact(metadata!C12,"missing: not collected"),exact(metadata!C12,"missing: not provided"),exact(metadata!C12,"missing: restricted access"))),AND(IF(metadata!C12="",FALSE,TRUE),AND(AND(IFERROR(INT(LEFT(metadata!C12,4))&gt;1900,FALSE),IFERROR(INT(LEFT(metadata!C12,4))&lt;=YEAR(NOW()),FALSE)), OR(MID(metadata!C12,5,1)="", AND(AND(MID(metadata!C12,5,1)="-",IFERROR(INT(MID(metadata!C12,6,1))&gt;=0,FALSE),IFERROR(INT(MID(metadata!C12,6,1))&lt;=1,FALSE),NOT(MID(metadata!C12,7,1)=""),IFERROR(INT(MID(metadata!C12,6,2))&gt;=1,FALSE),IFERROR(INT(MID(metadata!C12,6,2))&lt;=12,FALSE)), OR(MID(metadata!C12,8,1)="", AND(AND(MID(metadata!C12,8,1)="-",IFERROR(INT(MID(metadata!C12,9,1))&gt;=0,FALSE),IFERROR(INT(MID(metadata!C12,9,1))&lt;=3,FALSE),NOT(MID(metadata!C12,10,1)=""),IFERROR(INT(MID(metadata!C12,9,2))&gt;=1,FALSE),IFERROR(INT(MID(metadata!C12,9,2))&lt;=31,FALSE)), OR(MID(metadata!C12,11,1)="", AND(AND(MID(metadata!C12,11,1)=" ",IFERROR(INT(MID(metadata!C12,12,1))&gt;=0,FALSE),IFERROR(INT(MID(metadata!C12,12,1))&lt;=2,FALSE),NOT(MID(metadata!C12,13,1)=""),IFERROR(INT(MID(metadata!C12,12,2))&gt;=0,FALSE),IFERROR(INT(MID(metadata!C12,12,2))&lt;=23,FALSE)), OR(MID(metadata!C12,14,1)="", AND(AND(MID(metadata!C12,14,1)=":",IFERROR(INT(MID(metadata!C12,15,1))&gt;=0,FALSE),IFERROR(INT(MID(metadata!C12,15,1))&lt;=5,FALSE),NOT(MID(metadata!C12,16,1)=""),IFERROR(INT(MID(metadata!C12,15,2))&gt;=0,FALSE),IFERROR(INT(MID(metadata!C12,15,2))&lt;=59,FALSE)), OR(MID(metadata!C12,17,1)="", AND(AND(MID(metadata!C12,17,1)=":",IFERROR(INT(MID(metadata!C12,18,1))&gt;=0,FALSE),IFERROR(INT(MID(metadata!C12,18,1))&lt;=5,FALSE),NOT(MID(metadata!C12,19,1)=""),IFERROR(INT(MID(metadata!C12,18,2))&gt;=0,FALSE),IFERROR(INT(MID(metadata!C12,18,2))&lt;=59,FALSE)), LEN(metadata!C12)&lt;=19)))))))))))))</f>
        <v>0</v>
      </c>
      <c r="AD12">
        <f>IF(metadata!D12="",FALSE,TRUE)</f>
        <v>0</v>
      </c>
      <c r="AE12">
        <f>OR(AND(IF(metadata!E12="",FALSE,TRUE),OR(exact(metadata!E12,"missing: not collected"),exact(metadata!E12,"missing: not provided"))),AND(IF(metadata!E12="",FALSE,TRUE),OR(exact(metadata!E12,"TRUE"),exact(metadata!E12,"FALSE"))))</f>
        <v>0</v>
      </c>
      <c r="AF12">
        <f>IF(metadata!F12="",FALSE,TRUE)</f>
        <v>0</v>
      </c>
      <c r="AG12">
        <f>IF(metadata!G12="",FALSE,TRUE)</f>
        <v>0</v>
      </c>
      <c r="AH12">
        <f>IF(metadata!H12="",FALSE,TRUE)</f>
        <v>0</v>
      </c>
      <c r="AI12">
        <f>OR(AND(IF(metadata!I12="",FALSE,TRUE),OR(exact(metadata!I12,"missing: not collected"),exact(metadata!I12,"missing: not provided"),exact(metadata!I12,"missing: restricted access"))),AND(IF(metadata!I12="",FALSE,TRUE),OR(exact(metadata!I12,"air"),exact(metadata!I12,"built environment"),exact(metadata!I12,"host-associated"),exact(metadata!I12,"human-associated"),exact(metadata!I12,"human-skin"),exact(metadata!I12,"human-oral"),exact(metadata!I12,"human-gut"),exact(metadata!I12,"human-vaginal"),exact(metadata!I12,"microbial mat/biofilm"),exact(metadata!I12,"misc environment"),exact(metadata!I12,"plant-associated"),exact(metadata!I12,"sediment"),exact(metadata!I12,"soil"),exact(metadata!I12,"wastewater/sludge"),exact(metadata!I12,"water"))))</f>
        <v>0</v>
      </c>
      <c r="AJ12">
        <f>IF(metadata!J12="",FALSE,TRUE)</f>
        <v>0</v>
      </c>
      <c r="AK12">
        <f>OR(AND(IF(metadata!K12="",FALSE,TRUE),OR(exact(metadata!K12,"missing: not collected"),exact(metadata!K12,"missing: not provided"),exact(metadata!K12,"missing: restricted access"))),AND(IF(metadata!K12="",FALSE,ISNUMBER(VALUE(metadata!K12))),metadata!K12&gt;=-90.00,metadata!K12&lt;=90.00))</f>
        <v>0</v>
      </c>
      <c r="AL12">
        <f>OR(AND(IF(metadata!L12="",FALSE,TRUE),OR(exact(metadata!L12,"missing: not collected"),exact(metadata!L12,"missing: not provided"),exact(metadata!L12,"missing: restricted access"))),AND(IF(metadata!L12="",FALSE,ISNUMBER(VALUE(metadata!L12))),metadata!L12&gt;=-180.00,metadata!L12&lt;=180.00))</f>
        <v>0</v>
      </c>
      <c r="AM12">
        <f>IF(metadata!M12="",FALSE,TRUE)</f>
        <v>0</v>
      </c>
      <c r="AN12">
        <f>OR(AND(IF(metadata!N12="",FALSE,TRUE),OR(exact(metadata!N12,"missing: not collected"),exact(metadata!N12,"missing: not provided"),exact(metadata!N12,"missing: restricted access"))),AND(IF(metadata!N12="",FALSE,TRUE),OR(exact(metadata!N12,"TRUE"),exact(metadata!N12,"FALSE"))))</f>
        <v>0</v>
      </c>
      <c r="AO12">
        <f>IF(metadata!O12="",FALSE,TRUE)</f>
        <v>0</v>
      </c>
      <c r="AP12">
        <f>OR(AND(IF(metadata!P12="",FALSE,TRUE),OR(exact(metadata!P12,"missing: not collected"),exact(metadata!P12,"missing: not provided"))),AND(IF(metadata!P12="",FALSE,IF(ISERROR(INT(metadata!P12)),FALSE,INT(metadata!P12)=metadata!P12)),metadata!P12&gt;0))</f>
        <v>0</v>
      </c>
      <c r="AQ12">
        <f>IF(metadata!Q12="",FALSE,TRUE)</f>
        <v>0</v>
      </c>
    </row>
    <row r="13" spans="1:43">
      <c r="A13" s="5">
        <f>IF(B13=" "," ",HYPERLINK(CONCATENATE("#metadata!",ADDRESS(INDEX($W$2:$W$1001,MATCH(ROWS($U$2:U13),$U$2:$U$1001,0),0),1)),INDEX($Z$2:$Z$1001,MATCH(ROWS($U$2:U13),$U$2:$U$1001,0),0)))</f>
        <v>0</v>
      </c>
      <c r="B13" s="4">
        <f>IF(OR(INDEX($V$2:$V$1001,MATCH(ROWS($U$2:U13),$U$2:$U$1001,0),1)&gt;=100000,INDEX($AB$1005:$AQ$1005,1,MATCH(COLUMNS($AB$1006:AB1006),$AB$1006:$AQ$1006,0))&gt;=100000), " ",IF(INDEX($AB$2:$AQ$1001,MATCH(ROWS($U$2:U13),$U$2:$U$1001,0),MATCH(COLUMNS($AB$1006:AB1006),$AB$1006:$AQ$1006,0)), HYPERLINK("#",""), HYPERLINK(CONCATENATE("#metadata!", ADDRESS(INDEX($W$2:$W$1001,MATCH(ROWS($U$2:U13),$U$2:$U$1001,0),0), INDEX($AB$1004:$AQ$1004,1,MATCH(COLUMNS($AB$1006:AB1006),$AB$1006:$AQ$1006,0)))),"Fix")))</f>
        <v>0</v>
      </c>
      <c r="C13" s="4">
        <f>IF(OR(INDEX($V$2:$V$1001,MATCH(ROWS($U$2:U13),$U$2:$U$1001,0),1)&gt;=100000,INDEX($AB$1005:$AQ$1005,1,MATCH(COLUMNS($AB$1006:AC1006),$AB$1006:$AQ$1006,0))&gt;=100000), " ",IF(INDEX($AB$2:$AQ$1001,MATCH(ROWS($U$2:U13),$U$2:$U$1001,0),MATCH(COLUMNS($AB$1006:AC1006),$AB$1006:$AQ$1006,0)), HYPERLINK("#",""), HYPERLINK(CONCATENATE("#metadata!", ADDRESS(INDEX($W$2:$W$1001,MATCH(ROWS($U$2:U13),$U$2:$U$1001,0),0), INDEX($AB$1004:$AQ$1004,1,MATCH(COLUMNS($AB$1006:AC1006),$AB$1006:$AQ$1006,0)))),"Fix")))</f>
        <v>0</v>
      </c>
      <c r="D13" s="4">
        <f>IF(OR(INDEX($V$2:$V$1001,MATCH(ROWS($U$2:U13),$U$2:$U$1001,0),1)&gt;=100000,INDEX($AB$1005:$AQ$1005,1,MATCH(COLUMNS($AB$1006:AD1006),$AB$1006:$AQ$1006,0))&gt;=100000), " ",IF(INDEX($AB$2:$AQ$1001,MATCH(ROWS($U$2:U13),$U$2:$U$1001,0),MATCH(COLUMNS($AB$1006:AD1006),$AB$1006:$AQ$1006,0)), HYPERLINK("#",""), HYPERLINK(CONCATENATE("#metadata!", ADDRESS(INDEX($W$2:$W$1001,MATCH(ROWS($U$2:U13),$U$2:$U$1001,0),0), INDEX($AB$1004:$AQ$1004,1,MATCH(COLUMNS($AB$1006:AD1006),$AB$1006:$AQ$1006,0)))),"Fix")))</f>
        <v>0</v>
      </c>
      <c r="E13" s="4">
        <f>IF(OR(INDEX($V$2:$V$1001,MATCH(ROWS($U$2:U13),$U$2:$U$1001,0),1)&gt;=100000,INDEX($AB$1005:$AQ$1005,1,MATCH(COLUMNS($AB$1006:AE1006),$AB$1006:$AQ$1006,0))&gt;=100000), " ",IF(INDEX($AB$2:$AQ$1001,MATCH(ROWS($U$2:U13),$U$2:$U$1001,0),MATCH(COLUMNS($AB$1006:AE1006),$AB$1006:$AQ$1006,0)), HYPERLINK("#",""), HYPERLINK(CONCATENATE("#metadata!", ADDRESS(INDEX($W$2:$W$1001,MATCH(ROWS($U$2:U13),$U$2:$U$1001,0),0), INDEX($AB$1004:$AQ$1004,1,MATCH(COLUMNS($AB$1006:AE1006),$AB$1006:$AQ$1006,0)))),"Fix")))</f>
        <v>0</v>
      </c>
      <c r="F13" s="4">
        <f>IF(OR(INDEX($V$2:$V$1001,MATCH(ROWS($U$2:U13),$U$2:$U$1001,0),1)&gt;=100000,INDEX($AB$1005:$AQ$1005,1,MATCH(COLUMNS($AB$1006:AF1006),$AB$1006:$AQ$1006,0))&gt;=100000), " ",IF(INDEX($AB$2:$AQ$1001,MATCH(ROWS($U$2:U13),$U$2:$U$1001,0),MATCH(COLUMNS($AB$1006:AF1006),$AB$1006:$AQ$1006,0)), HYPERLINK("#",""), HYPERLINK(CONCATENATE("#metadata!", ADDRESS(INDEX($W$2:$W$1001,MATCH(ROWS($U$2:U13),$U$2:$U$1001,0),0), INDEX($AB$1004:$AQ$1004,1,MATCH(COLUMNS($AB$1006:AF1006),$AB$1006:$AQ$1006,0)))),"Fix")))</f>
        <v>0</v>
      </c>
      <c r="G13" s="4">
        <f>IF(OR(INDEX($V$2:$V$1001,MATCH(ROWS($U$2:U13),$U$2:$U$1001,0),1)&gt;=100000,INDEX($AB$1005:$AQ$1005,1,MATCH(COLUMNS($AB$1006:AG1006),$AB$1006:$AQ$1006,0))&gt;=100000), " ",IF(INDEX($AB$2:$AQ$1001,MATCH(ROWS($U$2:U13),$U$2:$U$1001,0),MATCH(COLUMNS($AB$1006:AG1006),$AB$1006:$AQ$1006,0)), HYPERLINK("#",""), HYPERLINK(CONCATENATE("#metadata!", ADDRESS(INDEX($W$2:$W$1001,MATCH(ROWS($U$2:U13),$U$2:$U$1001,0),0), INDEX($AB$1004:$AQ$1004,1,MATCH(COLUMNS($AB$1006:AG1006),$AB$1006:$AQ$1006,0)))),"Fix")))</f>
        <v>0</v>
      </c>
      <c r="H13" s="4">
        <f>IF(OR(INDEX($V$2:$V$1001,MATCH(ROWS($U$2:U13),$U$2:$U$1001,0),1)&gt;=100000,INDEX($AB$1005:$AQ$1005,1,MATCH(COLUMNS($AB$1006:AH1006),$AB$1006:$AQ$1006,0))&gt;=100000), " ",IF(INDEX($AB$2:$AQ$1001,MATCH(ROWS($U$2:U13),$U$2:$U$1001,0),MATCH(COLUMNS($AB$1006:AH1006),$AB$1006:$AQ$1006,0)), HYPERLINK("#",""), HYPERLINK(CONCATENATE("#metadata!", ADDRESS(INDEX($W$2:$W$1001,MATCH(ROWS($U$2:U13),$U$2:$U$1001,0),0), INDEX($AB$1004:$AQ$1004,1,MATCH(COLUMNS($AB$1006:AH1006),$AB$1006:$AQ$1006,0)))),"Fix")))</f>
        <v>0</v>
      </c>
      <c r="I13" s="4">
        <f>IF(OR(INDEX($V$2:$V$1001,MATCH(ROWS($U$2:U13),$U$2:$U$1001,0),1)&gt;=100000,INDEX($AB$1005:$AQ$1005,1,MATCH(COLUMNS($AB$1006:AI1006),$AB$1006:$AQ$1006,0))&gt;=100000), " ",IF(INDEX($AB$2:$AQ$1001,MATCH(ROWS($U$2:U13),$U$2:$U$1001,0),MATCH(COLUMNS($AB$1006:AI1006),$AB$1006:$AQ$1006,0)), HYPERLINK("#",""), HYPERLINK(CONCATENATE("#metadata!", ADDRESS(INDEX($W$2:$W$1001,MATCH(ROWS($U$2:U13),$U$2:$U$1001,0),0), INDEX($AB$1004:$AQ$1004,1,MATCH(COLUMNS($AB$1006:AI1006),$AB$1006:$AQ$1006,0)))),"Fix")))</f>
        <v>0</v>
      </c>
      <c r="J13" s="4">
        <f>IF(OR(INDEX($V$2:$V$1001,MATCH(ROWS($U$2:U13),$U$2:$U$1001,0),1)&gt;=100000,INDEX($AB$1005:$AQ$1005,1,MATCH(COLUMNS($AB$1006:AJ1006),$AB$1006:$AQ$1006,0))&gt;=100000), " ",IF(INDEX($AB$2:$AQ$1001,MATCH(ROWS($U$2:U13),$U$2:$U$1001,0),MATCH(COLUMNS($AB$1006:AJ1006),$AB$1006:$AQ$1006,0)), HYPERLINK("#",""), HYPERLINK(CONCATENATE("#metadata!", ADDRESS(INDEX($W$2:$W$1001,MATCH(ROWS($U$2:U13),$U$2:$U$1001,0),0), INDEX($AB$1004:$AQ$1004,1,MATCH(COLUMNS($AB$1006:AJ1006),$AB$1006:$AQ$1006,0)))),"Fix")))</f>
        <v>0</v>
      </c>
      <c r="K13" s="4">
        <f>IF(OR(INDEX($V$2:$V$1001,MATCH(ROWS($U$2:U13),$U$2:$U$1001,0),1)&gt;=100000,INDEX($AB$1005:$AQ$1005,1,MATCH(COLUMNS($AB$1006:AK1006),$AB$1006:$AQ$1006,0))&gt;=100000), " ",IF(INDEX($AB$2:$AQ$1001,MATCH(ROWS($U$2:U13),$U$2:$U$1001,0),MATCH(COLUMNS($AB$1006:AK1006),$AB$1006:$AQ$1006,0)), HYPERLINK("#",""), HYPERLINK(CONCATENATE("#metadata!", ADDRESS(INDEX($W$2:$W$1001,MATCH(ROWS($U$2:U13),$U$2:$U$1001,0),0), INDEX($AB$1004:$AQ$1004,1,MATCH(COLUMNS($AB$1006:AK1006),$AB$1006:$AQ$1006,0)))),"Fix")))</f>
        <v>0</v>
      </c>
      <c r="L13" s="4">
        <f>IF(OR(INDEX($V$2:$V$1001,MATCH(ROWS($U$2:U13),$U$2:$U$1001,0),1)&gt;=100000,INDEX($AB$1005:$AQ$1005,1,MATCH(COLUMNS($AB$1006:AL1006),$AB$1006:$AQ$1006,0))&gt;=100000), " ",IF(INDEX($AB$2:$AQ$1001,MATCH(ROWS($U$2:U13),$U$2:$U$1001,0),MATCH(COLUMNS($AB$1006:AL1006),$AB$1006:$AQ$1006,0)), HYPERLINK("#",""), HYPERLINK(CONCATENATE("#metadata!", ADDRESS(INDEX($W$2:$W$1001,MATCH(ROWS($U$2:U13),$U$2:$U$1001,0),0), INDEX($AB$1004:$AQ$1004,1,MATCH(COLUMNS($AB$1006:AL1006),$AB$1006:$AQ$1006,0)))),"Fix")))</f>
        <v>0</v>
      </c>
      <c r="M13" s="4">
        <f>IF(OR(INDEX($V$2:$V$1001,MATCH(ROWS($U$2:U13),$U$2:$U$1001,0),1)&gt;=100000,INDEX($AB$1005:$AQ$1005,1,MATCH(COLUMNS($AB$1006:AM1006),$AB$1006:$AQ$1006,0))&gt;=100000), " ",IF(INDEX($AB$2:$AQ$1001,MATCH(ROWS($U$2:U13),$U$2:$U$1001,0),MATCH(COLUMNS($AB$1006:AM1006),$AB$1006:$AQ$1006,0)), HYPERLINK("#",""), HYPERLINK(CONCATENATE("#metadata!", ADDRESS(INDEX($W$2:$W$1001,MATCH(ROWS($U$2:U13),$U$2:$U$1001,0),0), INDEX($AB$1004:$AQ$1004,1,MATCH(COLUMNS($AB$1006:AM1006),$AB$1006:$AQ$1006,0)))),"Fix")))</f>
        <v>0</v>
      </c>
      <c r="N13" s="4">
        <f>IF(OR(INDEX($V$2:$V$1001,MATCH(ROWS($U$2:U13),$U$2:$U$1001,0),1)&gt;=100000,INDEX($AB$1005:$AQ$1005,1,MATCH(COLUMNS($AB$1006:AN1006),$AB$1006:$AQ$1006,0))&gt;=100000), " ",IF(INDEX($AB$2:$AQ$1001,MATCH(ROWS($U$2:U13),$U$2:$U$1001,0),MATCH(COLUMNS($AB$1006:AN1006),$AB$1006:$AQ$1006,0)), HYPERLINK("#",""), HYPERLINK(CONCATENATE("#metadata!", ADDRESS(INDEX($W$2:$W$1001,MATCH(ROWS($U$2:U13),$U$2:$U$1001,0),0), INDEX($AB$1004:$AQ$1004,1,MATCH(COLUMNS($AB$1006:AN1006),$AB$1006:$AQ$1006,0)))),"Fix")))</f>
        <v>0</v>
      </c>
      <c r="O13" s="4">
        <f>IF(OR(INDEX($V$2:$V$1001,MATCH(ROWS($U$2:U13),$U$2:$U$1001,0),1)&gt;=100000,INDEX($AB$1005:$AQ$1005,1,MATCH(COLUMNS($AB$1006:AO1006),$AB$1006:$AQ$1006,0))&gt;=100000), " ",IF(INDEX($AB$2:$AQ$1001,MATCH(ROWS($U$2:U13),$U$2:$U$1001,0),MATCH(COLUMNS($AB$1006:AO1006),$AB$1006:$AQ$1006,0)), HYPERLINK("#",""), HYPERLINK(CONCATENATE("#metadata!", ADDRESS(INDEX($W$2:$W$1001,MATCH(ROWS($U$2:U13),$U$2:$U$1001,0),0), INDEX($AB$1004:$AQ$1004,1,MATCH(COLUMNS($AB$1006:AO1006),$AB$1006:$AQ$1006,0)))),"Fix")))</f>
        <v>0</v>
      </c>
      <c r="P13" s="4">
        <f>IF(OR(INDEX($V$2:$V$1001,MATCH(ROWS($U$2:U13),$U$2:$U$1001,0),1)&gt;=100000,INDEX($AB$1005:$AQ$1005,1,MATCH(COLUMNS($AB$1006:AP1006),$AB$1006:$AQ$1006,0))&gt;=100000), " ",IF(INDEX($AB$2:$AQ$1001,MATCH(ROWS($U$2:U13),$U$2:$U$1001,0),MATCH(COLUMNS($AB$1006:AP1006),$AB$1006:$AQ$1006,0)), HYPERLINK("#",""), HYPERLINK(CONCATENATE("#metadata!", ADDRESS(INDEX($W$2:$W$1001,MATCH(ROWS($U$2:U13),$U$2:$U$1001,0),0), INDEX($AB$1004:$AQ$1004,1,MATCH(COLUMNS($AB$1006:AP1006),$AB$1006:$AQ$1006,0)))),"Fix")))</f>
        <v>0</v>
      </c>
      <c r="Q13" s="4">
        <f>IF(OR(INDEX($V$2:$V$1001,MATCH(ROWS($U$2:U13),$U$2:$U$1001,0),1)&gt;=100000,INDEX($AB$1005:$AQ$1005,1,MATCH(COLUMNS($AB$1006:AQ1006),$AB$1006:$AQ$1006,0))&gt;=100000), " ",IF(INDEX($AB$2:$AQ$1001,MATCH(ROWS($U$2:U13),$U$2:$U$1001,0),MATCH(COLUMNS($AB$1006:AQ1006),$AB$1006:$AQ$1006,0)), HYPERLINK("#",""), HYPERLINK(CONCATENATE("#metadata!", ADDRESS(INDEX($W$2:$W$1001,MATCH(ROWS($U$2:U13),$U$2:$U$1001,0),0), INDEX($AB$1004:$AQ$1004,1,MATCH(COLUMNS($AB$1006:AQ1006),$AB$1006:$AQ$1006,0)))),"Fix")))</f>
        <v>0</v>
      </c>
      <c r="U13">
        <v>0</v>
      </c>
      <c r="V13">
        <v>0</v>
      </c>
      <c r="W13">
        <v>0</v>
      </c>
      <c r="X13">
        <f>IF(Y13,TRUE,AND(AB13:AQ13))</f>
        <v>0</v>
      </c>
      <c r="Y13">
        <f>COUNTBLANK(metadata!B13:Q13)=COLUMNS(metadata!B13:Q13)</f>
        <v>0</v>
      </c>
      <c r="Z13">
        <v>0</v>
      </c>
      <c r="AB13">
        <f>AND(IF(metadata!B13="",FALSE,TRUE),COUNTIF(metadata!B:B, metadata!B13) = 1,NOT(ISERROR(SUMPRODUCT(SEARCH(MID(metadata!B13,ROW(INDIRECT("1:"&amp;LEN(metadata!B13))), 1),"0123456789abcdefghijklmnopqrstuvwxyzABCDEFGHIJKLMNOPQRSTUVWXYZ.")))))</f>
        <v>0</v>
      </c>
      <c r="AC13">
        <f>OR(AND(IF(metadata!C13="",FALSE,TRUE),OR(exact(metadata!C13,"missing: not collected"),exact(metadata!C13,"missing: not provided"),exact(metadata!C13,"missing: restricted access"))),AND(IF(metadata!C13="",FALSE,TRUE),AND(AND(IFERROR(INT(LEFT(metadata!C13,4))&gt;1900,FALSE),IFERROR(INT(LEFT(metadata!C13,4))&lt;=YEAR(NOW()),FALSE)), OR(MID(metadata!C13,5,1)="", AND(AND(MID(metadata!C13,5,1)="-",IFERROR(INT(MID(metadata!C13,6,1))&gt;=0,FALSE),IFERROR(INT(MID(metadata!C13,6,1))&lt;=1,FALSE),NOT(MID(metadata!C13,7,1)=""),IFERROR(INT(MID(metadata!C13,6,2))&gt;=1,FALSE),IFERROR(INT(MID(metadata!C13,6,2))&lt;=12,FALSE)), OR(MID(metadata!C13,8,1)="", AND(AND(MID(metadata!C13,8,1)="-",IFERROR(INT(MID(metadata!C13,9,1))&gt;=0,FALSE),IFERROR(INT(MID(metadata!C13,9,1))&lt;=3,FALSE),NOT(MID(metadata!C13,10,1)=""),IFERROR(INT(MID(metadata!C13,9,2))&gt;=1,FALSE),IFERROR(INT(MID(metadata!C13,9,2))&lt;=31,FALSE)), OR(MID(metadata!C13,11,1)="", AND(AND(MID(metadata!C13,11,1)=" ",IFERROR(INT(MID(metadata!C13,12,1))&gt;=0,FALSE),IFERROR(INT(MID(metadata!C13,12,1))&lt;=2,FALSE),NOT(MID(metadata!C13,13,1)=""),IFERROR(INT(MID(metadata!C13,12,2))&gt;=0,FALSE),IFERROR(INT(MID(metadata!C13,12,2))&lt;=23,FALSE)), OR(MID(metadata!C13,14,1)="", AND(AND(MID(metadata!C13,14,1)=":",IFERROR(INT(MID(metadata!C13,15,1))&gt;=0,FALSE),IFERROR(INT(MID(metadata!C13,15,1))&lt;=5,FALSE),NOT(MID(metadata!C13,16,1)=""),IFERROR(INT(MID(metadata!C13,15,2))&gt;=0,FALSE),IFERROR(INT(MID(metadata!C13,15,2))&lt;=59,FALSE)), OR(MID(metadata!C13,17,1)="", AND(AND(MID(metadata!C13,17,1)=":",IFERROR(INT(MID(metadata!C13,18,1))&gt;=0,FALSE),IFERROR(INT(MID(metadata!C13,18,1))&lt;=5,FALSE),NOT(MID(metadata!C13,19,1)=""),IFERROR(INT(MID(metadata!C13,18,2))&gt;=0,FALSE),IFERROR(INT(MID(metadata!C13,18,2))&lt;=59,FALSE)), LEN(metadata!C13)&lt;=19)))))))))))))</f>
        <v>0</v>
      </c>
      <c r="AD13">
        <f>IF(metadata!D13="",FALSE,TRUE)</f>
        <v>0</v>
      </c>
      <c r="AE13">
        <f>OR(AND(IF(metadata!E13="",FALSE,TRUE),OR(exact(metadata!E13,"missing: not collected"),exact(metadata!E13,"missing: not provided"))),AND(IF(metadata!E13="",FALSE,TRUE),OR(exact(metadata!E13,"TRUE"),exact(metadata!E13,"FALSE"))))</f>
        <v>0</v>
      </c>
      <c r="AF13">
        <f>IF(metadata!F13="",FALSE,TRUE)</f>
        <v>0</v>
      </c>
      <c r="AG13">
        <f>IF(metadata!G13="",FALSE,TRUE)</f>
        <v>0</v>
      </c>
      <c r="AH13">
        <f>IF(metadata!H13="",FALSE,TRUE)</f>
        <v>0</v>
      </c>
      <c r="AI13">
        <f>OR(AND(IF(metadata!I13="",FALSE,TRUE),OR(exact(metadata!I13,"missing: not collected"),exact(metadata!I13,"missing: not provided"),exact(metadata!I13,"missing: restricted access"))),AND(IF(metadata!I13="",FALSE,TRUE),OR(exact(metadata!I13,"air"),exact(metadata!I13,"built environment"),exact(metadata!I13,"host-associated"),exact(metadata!I13,"human-associated"),exact(metadata!I13,"human-skin"),exact(metadata!I13,"human-oral"),exact(metadata!I13,"human-gut"),exact(metadata!I13,"human-vaginal"),exact(metadata!I13,"microbial mat/biofilm"),exact(metadata!I13,"misc environment"),exact(metadata!I13,"plant-associated"),exact(metadata!I13,"sediment"),exact(metadata!I13,"soil"),exact(metadata!I13,"wastewater/sludge"),exact(metadata!I13,"water"))))</f>
        <v>0</v>
      </c>
      <c r="AJ13">
        <f>IF(metadata!J13="",FALSE,TRUE)</f>
        <v>0</v>
      </c>
      <c r="AK13">
        <f>OR(AND(IF(metadata!K13="",FALSE,TRUE),OR(exact(metadata!K13,"missing: not collected"),exact(metadata!K13,"missing: not provided"),exact(metadata!K13,"missing: restricted access"))),AND(IF(metadata!K13="",FALSE,ISNUMBER(VALUE(metadata!K13))),metadata!K13&gt;=-90.00,metadata!K13&lt;=90.00))</f>
        <v>0</v>
      </c>
      <c r="AL13">
        <f>OR(AND(IF(metadata!L13="",FALSE,TRUE),OR(exact(metadata!L13,"missing: not collected"),exact(metadata!L13,"missing: not provided"),exact(metadata!L13,"missing: restricted access"))),AND(IF(metadata!L13="",FALSE,ISNUMBER(VALUE(metadata!L13))),metadata!L13&gt;=-180.00,metadata!L13&lt;=180.00))</f>
        <v>0</v>
      </c>
      <c r="AM13">
        <f>IF(metadata!M13="",FALSE,TRUE)</f>
        <v>0</v>
      </c>
      <c r="AN13">
        <f>OR(AND(IF(metadata!N13="",FALSE,TRUE),OR(exact(metadata!N13,"missing: not collected"),exact(metadata!N13,"missing: not provided"),exact(metadata!N13,"missing: restricted access"))),AND(IF(metadata!N13="",FALSE,TRUE),OR(exact(metadata!N13,"TRUE"),exact(metadata!N13,"FALSE"))))</f>
        <v>0</v>
      </c>
      <c r="AO13">
        <f>IF(metadata!O13="",FALSE,TRUE)</f>
        <v>0</v>
      </c>
      <c r="AP13">
        <f>OR(AND(IF(metadata!P13="",FALSE,TRUE),OR(exact(metadata!P13,"missing: not collected"),exact(metadata!P13,"missing: not provided"))),AND(IF(metadata!P13="",FALSE,IF(ISERROR(INT(metadata!P13)),FALSE,INT(metadata!P13)=metadata!P13)),metadata!P13&gt;0))</f>
        <v>0</v>
      </c>
      <c r="AQ13">
        <f>IF(metadata!Q13="",FALSE,TRUE)</f>
        <v>0</v>
      </c>
    </row>
    <row r="14" spans="1:43">
      <c r="A14" s="5">
        <f>IF(B14=" "," ",HYPERLINK(CONCATENATE("#metadata!",ADDRESS(INDEX($W$2:$W$1001,MATCH(ROWS($U$2:U14),$U$2:$U$1001,0),0),1)),INDEX($Z$2:$Z$1001,MATCH(ROWS($U$2:U14),$U$2:$U$1001,0),0)))</f>
        <v>0</v>
      </c>
      <c r="B14" s="4">
        <f>IF(OR(INDEX($V$2:$V$1001,MATCH(ROWS($U$2:U14),$U$2:$U$1001,0),1)&gt;=100000,INDEX($AB$1005:$AQ$1005,1,MATCH(COLUMNS($AB$1006:AB1006),$AB$1006:$AQ$1006,0))&gt;=100000), " ",IF(INDEX($AB$2:$AQ$1001,MATCH(ROWS($U$2:U14),$U$2:$U$1001,0),MATCH(COLUMNS($AB$1006:AB1006),$AB$1006:$AQ$1006,0)), HYPERLINK("#",""), HYPERLINK(CONCATENATE("#metadata!", ADDRESS(INDEX($W$2:$W$1001,MATCH(ROWS($U$2:U14),$U$2:$U$1001,0),0), INDEX($AB$1004:$AQ$1004,1,MATCH(COLUMNS($AB$1006:AB1006),$AB$1006:$AQ$1006,0)))),"Fix")))</f>
        <v>0</v>
      </c>
      <c r="C14" s="4">
        <f>IF(OR(INDEX($V$2:$V$1001,MATCH(ROWS($U$2:U14),$U$2:$U$1001,0),1)&gt;=100000,INDEX($AB$1005:$AQ$1005,1,MATCH(COLUMNS($AB$1006:AC1006),$AB$1006:$AQ$1006,0))&gt;=100000), " ",IF(INDEX($AB$2:$AQ$1001,MATCH(ROWS($U$2:U14),$U$2:$U$1001,0),MATCH(COLUMNS($AB$1006:AC1006),$AB$1006:$AQ$1006,0)), HYPERLINK("#",""), HYPERLINK(CONCATENATE("#metadata!", ADDRESS(INDEX($W$2:$W$1001,MATCH(ROWS($U$2:U14),$U$2:$U$1001,0),0), INDEX($AB$1004:$AQ$1004,1,MATCH(COLUMNS($AB$1006:AC1006),$AB$1006:$AQ$1006,0)))),"Fix")))</f>
        <v>0</v>
      </c>
      <c r="D14" s="4">
        <f>IF(OR(INDEX($V$2:$V$1001,MATCH(ROWS($U$2:U14),$U$2:$U$1001,0),1)&gt;=100000,INDEX($AB$1005:$AQ$1005,1,MATCH(COLUMNS($AB$1006:AD1006),$AB$1006:$AQ$1006,0))&gt;=100000), " ",IF(INDEX($AB$2:$AQ$1001,MATCH(ROWS($U$2:U14),$U$2:$U$1001,0),MATCH(COLUMNS($AB$1006:AD1006),$AB$1006:$AQ$1006,0)), HYPERLINK("#",""), HYPERLINK(CONCATENATE("#metadata!", ADDRESS(INDEX($W$2:$W$1001,MATCH(ROWS($U$2:U14),$U$2:$U$1001,0),0), INDEX($AB$1004:$AQ$1004,1,MATCH(COLUMNS($AB$1006:AD1006),$AB$1006:$AQ$1006,0)))),"Fix")))</f>
        <v>0</v>
      </c>
      <c r="E14" s="4">
        <f>IF(OR(INDEX($V$2:$V$1001,MATCH(ROWS($U$2:U14),$U$2:$U$1001,0),1)&gt;=100000,INDEX($AB$1005:$AQ$1005,1,MATCH(COLUMNS($AB$1006:AE1006),$AB$1006:$AQ$1006,0))&gt;=100000), " ",IF(INDEX($AB$2:$AQ$1001,MATCH(ROWS($U$2:U14),$U$2:$U$1001,0),MATCH(COLUMNS($AB$1006:AE1006),$AB$1006:$AQ$1006,0)), HYPERLINK("#",""), HYPERLINK(CONCATENATE("#metadata!", ADDRESS(INDEX($W$2:$W$1001,MATCH(ROWS($U$2:U14),$U$2:$U$1001,0),0), INDEX($AB$1004:$AQ$1004,1,MATCH(COLUMNS($AB$1006:AE1006),$AB$1006:$AQ$1006,0)))),"Fix")))</f>
        <v>0</v>
      </c>
      <c r="F14" s="4">
        <f>IF(OR(INDEX($V$2:$V$1001,MATCH(ROWS($U$2:U14),$U$2:$U$1001,0),1)&gt;=100000,INDEX($AB$1005:$AQ$1005,1,MATCH(COLUMNS($AB$1006:AF1006),$AB$1006:$AQ$1006,0))&gt;=100000), " ",IF(INDEX($AB$2:$AQ$1001,MATCH(ROWS($U$2:U14),$U$2:$U$1001,0),MATCH(COLUMNS($AB$1006:AF1006),$AB$1006:$AQ$1006,0)), HYPERLINK("#",""), HYPERLINK(CONCATENATE("#metadata!", ADDRESS(INDEX($W$2:$W$1001,MATCH(ROWS($U$2:U14),$U$2:$U$1001,0),0), INDEX($AB$1004:$AQ$1004,1,MATCH(COLUMNS($AB$1006:AF1006),$AB$1006:$AQ$1006,0)))),"Fix")))</f>
        <v>0</v>
      </c>
      <c r="G14" s="4">
        <f>IF(OR(INDEX($V$2:$V$1001,MATCH(ROWS($U$2:U14),$U$2:$U$1001,0),1)&gt;=100000,INDEX($AB$1005:$AQ$1005,1,MATCH(COLUMNS($AB$1006:AG1006),$AB$1006:$AQ$1006,0))&gt;=100000), " ",IF(INDEX($AB$2:$AQ$1001,MATCH(ROWS($U$2:U14),$U$2:$U$1001,0),MATCH(COLUMNS($AB$1006:AG1006),$AB$1006:$AQ$1006,0)), HYPERLINK("#",""), HYPERLINK(CONCATENATE("#metadata!", ADDRESS(INDEX($W$2:$W$1001,MATCH(ROWS($U$2:U14),$U$2:$U$1001,0),0), INDEX($AB$1004:$AQ$1004,1,MATCH(COLUMNS($AB$1006:AG1006),$AB$1006:$AQ$1006,0)))),"Fix")))</f>
        <v>0</v>
      </c>
      <c r="H14" s="4">
        <f>IF(OR(INDEX($V$2:$V$1001,MATCH(ROWS($U$2:U14),$U$2:$U$1001,0),1)&gt;=100000,INDEX($AB$1005:$AQ$1005,1,MATCH(COLUMNS($AB$1006:AH1006),$AB$1006:$AQ$1006,0))&gt;=100000), " ",IF(INDEX($AB$2:$AQ$1001,MATCH(ROWS($U$2:U14),$U$2:$U$1001,0),MATCH(COLUMNS($AB$1006:AH1006),$AB$1006:$AQ$1006,0)), HYPERLINK("#",""), HYPERLINK(CONCATENATE("#metadata!", ADDRESS(INDEX($W$2:$W$1001,MATCH(ROWS($U$2:U14),$U$2:$U$1001,0),0), INDEX($AB$1004:$AQ$1004,1,MATCH(COLUMNS($AB$1006:AH1006),$AB$1006:$AQ$1006,0)))),"Fix")))</f>
        <v>0</v>
      </c>
      <c r="I14" s="4">
        <f>IF(OR(INDEX($V$2:$V$1001,MATCH(ROWS($U$2:U14),$U$2:$U$1001,0),1)&gt;=100000,INDEX($AB$1005:$AQ$1005,1,MATCH(COLUMNS($AB$1006:AI1006),$AB$1006:$AQ$1006,0))&gt;=100000), " ",IF(INDEX($AB$2:$AQ$1001,MATCH(ROWS($U$2:U14),$U$2:$U$1001,0),MATCH(COLUMNS($AB$1006:AI1006),$AB$1006:$AQ$1006,0)), HYPERLINK("#",""), HYPERLINK(CONCATENATE("#metadata!", ADDRESS(INDEX($W$2:$W$1001,MATCH(ROWS($U$2:U14),$U$2:$U$1001,0),0), INDEX($AB$1004:$AQ$1004,1,MATCH(COLUMNS($AB$1006:AI1006),$AB$1006:$AQ$1006,0)))),"Fix")))</f>
        <v>0</v>
      </c>
      <c r="J14" s="4">
        <f>IF(OR(INDEX($V$2:$V$1001,MATCH(ROWS($U$2:U14),$U$2:$U$1001,0),1)&gt;=100000,INDEX($AB$1005:$AQ$1005,1,MATCH(COLUMNS($AB$1006:AJ1006),$AB$1006:$AQ$1006,0))&gt;=100000), " ",IF(INDEX($AB$2:$AQ$1001,MATCH(ROWS($U$2:U14),$U$2:$U$1001,0),MATCH(COLUMNS($AB$1006:AJ1006),$AB$1006:$AQ$1006,0)), HYPERLINK("#",""), HYPERLINK(CONCATENATE("#metadata!", ADDRESS(INDEX($W$2:$W$1001,MATCH(ROWS($U$2:U14),$U$2:$U$1001,0),0), INDEX($AB$1004:$AQ$1004,1,MATCH(COLUMNS($AB$1006:AJ1006),$AB$1006:$AQ$1006,0)))),"Fix")))</f>
        <v>0</v>
      </c>
      <c r="K14" s="4">
        <f>IF(OR(INDEX($V$2:$V$1001,MATCH(ROWS($U$2:U14),$U$2:$U$1001,0),1)&gt;=100000,INDEX($AB$1005:$AQ$1005,1,MATCH(COLUMNS($AB$1006:AK1006),$AB$1006:$AQ$1006,0))&gt;=100000), " ",IF(INDEX($AB$2:$AQ$1001,MATCH(ROWS($U$2:U14),$U$2:$U$1001,0),MATCH(COLUMNS($AB$1006:AK1006),$AB$1006:$AQ$1006,0)), HYPERLINK("#",""), HYPERLINK(CONCATENATE("#metadata!", ADDRESS(INDEX($W$2:$W$1001,MATCH(ROWS($U$2:U14),$U$2:$U$1001,0),0), INDEX($AB$1004:$AQ$1004,1,MATCH(COLUMNS($AB$1006:AK1006),$AB$1006:$AQ$1006,0)))),"Fix")))</f>
        <v>0</v>
      </c>
      <c r="L14" s="4">
        <f>IF(OR(INDEX($V$2:$V$1001,MATCH(ROWS($U$2:U14),$U$2:$U$1001,0),1)&gt;=100000,INDEX($AB$1005:$AQ$1005,1,MATCH(COLUMNS($AB$1006:AL1006),$AB$1006:$AQ$1006,0))&gt;=100000), " ",IF(INDEX($AB$2:$AQ$1001,MATCH(ROWS($U$2:U14),$U$2:$U$1001,0),MATCH(COLUMNS($AB$1006:AL1006),$AB$1006:$AQ$1006,0)), HYPERLINK("#",""), HYPERLINK(CONCATENATE("#metadata!", ADDRESS(INDEX($W$2:$W$1001,MATCH(ROWS($U$2:U14),$U$2:$U$1001,0),0), INDEX($AB$1004:$AQ$1004,1,MATCH(COLUMNS($AB$1006:AL1006),$AB$1006:$AQ$1006,0)))),"Fix")))</f>
        <v>0</v>
      </c>
      <c r="M14" s="4">
        <f>IF(OR(INDEX($V$2:$V$1001,MATCH(ROWS($U$2:U14),$U$2:$U$1001,0),1)&gt;=100000,INDEX($AB$1005:$AQ$1005,1,MATCH(COLUMNS($AB$1006:AM1006),$AB$1006:$AQ$1006,0))&gt;=100000), " ",IF(INDEX($AB$2:$AQ$1001,MATCH(ROWS($U$2:U14),$U$2:$U$1001,0),MATCH(COLUMNS($AB$1006:AM1006),$AB$1006:$AQ$1006,0)), HYPERLINK("#",""), HYPERLINK(CONCATENATE("#metadata!", ADDRESS(INDEX($W$2:$W$1001,MATCH(ROWS($U$2:U14),$U$2:$U$1001,0),0), INDEX($AB$1004:$AQ$1004,1,MATCH(COLUMNS($AB$1006:AM1006),$AB$1006:$AQ$1006,0)))),"Fix")))</f>
        <v>0</v>
      </c>
      <c r="N14" s="4">
        <f>IF(OR(INDEX($V$2:$V$1001,MATCH(ROWS($U$2:U14),$U$2:$U$1001,0),1)&gt;=100000,INDEX($AB$1005:$AQ$1005,1,MATCH(COLUMNS($AB$1006:AN1006),$AB$1006:$AQ$1006,0))&gt;=100000), " ",IF(INDEX($AB$2:$AQ$1001,MATCH(ROWS($U$2:U14),$U$2:$U$1001,0),MATCH(COLUMNS($AB$1006:AN1006),$AB$1006:$AQ$1006,0)), HYPERLINK("#",""), HYPERLINK(CONCATENATE("#metadata!", ADDRESS(INDEX($W$2:$W$1001,MATCH(ROWS($U$2:U14),$U$2:$U$1001,0),0), INDEX($AB$1004:$AQ$1004,1,MATCH(COLUMNS($AB$1006:AN1006),$AB$1006:$AQ$1006,0)))),"Fix")))</f>
        <v>0</v>
      </c>
      <c r="O14" s="4">
        <f>IF(OR(INDEX($V$2:$V$1001,MATCH(ROWS($U$2:U14),$U$2:$U$1001,0),1)&gt;=100000,INDEX($AB$1005:$AQ$1005,1,MATCH(COLUMNS($AB$1006:AO1006),$AB$1006:$AQ$1006,0))&gt;=100000), " ",IF(INDEX($AB$2:$AQ$1001,MATCH(ROWS($U$2:U14),$U$2:$U$1001,0),MATCH(COLUMNS($AB$1006:AO1006),$AB$1006:$AQ$1006,0)), HYPERLINK("#",""), HYPERLINK(CONCATENATE("#metadata!", ADDRESS(INDEX($W$2:$W$1001,MATCH(ROWS($U$2:U14),$U$2:$U$1001,0),0), INDEX($AB$1004:$AQ$1004,1,MATCH(COLUMNS($AB$1006:AO1006),$AB$1006:$AQ$1006,0)))),"Fix")))</f>
        <v>0</v>
      </c>
      <c r="P14" s="4">
        <f>IF(OR(INDEX($V$2:$V$1001,MATCH(ROWS($U$2:U14),$U$2:$U$1001,0),1)&gt;=100000,INDEX($AB$1005:$AQ$1005,1,MATCH(COLUMNS($AB$1006:AP1006),$AB$1006:$AQ$1006,0))&gt;=100000), " ",IF(INDEX($AB$2:$AQ$1001,MATCH(ROWS($U$2:U14),$U$2:$U$1001,0),MATCH(COLUMNS($AB$1006:AP1006),$AB$1006:$AQ$1006,0)), HYPERLINK("#",""), HYPERLINK(CONCATENATE("#metadata!", ADDRESS(INDEX($W$2:$W$1001,MATCH(ROWS($U$2:U14),$U$2:$U$1001,0),0), INDEX($AB$1004:$AQ$1004,1,MATCH(COLUMNS($AB$1006:AP1006),$AB$1006:$AQ$1006,0)))),"Fix")))</f>
        <v>0</v>
      </c>
      <c r="Q14" s="4">
        <f>IF(OR(INDEX($V$2:$V$1001,MATCH(ROWS($U$2:U14),$U$2:$U$1001,0),1)&gt;=100000,INDEX($AB$1005:$AQ$1005,1,MATCH(COLUMNS($AB$1006:AQ1006),$AB$1006:$AQ$1006,0))&gt;=100000), " ",IF(INDEX($AB$2:$AQ$1001,MATCH(ROWS($U$2:U14),$U$2:$U$1001,0),MATCH(COLUMNS($AB$1006:AQ1006),$AB$1006:$AQ$1006,0)), HYPERLINK("#",""), HYPERLINK(CONCATENATE("#metadata!", ADDRESS(INDEX($W$2:$W$1001,MATCH(ROWS($U$2:U14),$U$2:$U$1001,0),0), INDEX($AB$1004:$AQ$1004,1,MATCH(COLUMNS($AB$1006:AQ1006),$AB$1006:$AQ$1006,0)))),"Fix")))</f>
        <v>0</v>
      </c>
      <c r="U14">
        <v>0</v>
      </c>
      <c r="V14">
        <v>0</v>
      </c>
      <c r="W14">
        <v>0</v>
      </c>
      <c r="X14">
        <f>IF(Y14,TRUE,AND(AB14:AQ14))</f>
        <v>0</v>
      </c>
      <c r="Y14">
        <f>COUNTBLANK(metadata!B14:Q14)=COLUMNS(metadata!B14:Q14)</f>
        <v>0</v>
      </c>
      <c r="Z14">
        <v>0</v>
      </c>
      <c r="AB14">
        <f>AND(IF(metadata!B14="",FALSE,TRUE),COUNTIF(metadata!B:B, metadata!B14) = 1,NOT(ISERROR(SUMPRODUCT(SEARCH(MID(metadata!B14,ROW(INDIRECT("1:"&amp;LEN(metadata!B14))), 1),"0123456789abcdefghijklmnopqrstuvwxyzABCDEFGHIJKLMNOPQRSTUVWXYZ.")))))</f>
        <v>0</v>
      </c>
      <c r="AC14">
        <f>OR(AND(IF(metadata!C14="",FALSE,TRUE),OR(exact(metadata!C14,"missing: not collected"),exact(metadata!C14,"missing: not provided"),exact(metadata!C14,"missing: restricted access"))),AND(IF(metadata!C14="",FALSE,TRUE),AND(AND(IFERROR(INT(LEFT(metadata!C14,4))&gt;1900,FALSE),IFERROR(INT(LEFT(metadata!C14,4))&lt;=YEAR(NOW()),FALSE)), OR(MID(metadata!C14,5,1)="", AND(AND(MID(metadata!C14,5,1)="-",IFERROR(INT(MID(metadata!C14,6,1))&gt;=0,FALSE),IFERROR(INT(MID(metadata!C14,6,1))&lt;=1,FALSE),NOT(MID(metadata!C14,7,1)=""),IFERROR(INT(MID(metadata!C14,6,2))&gt;=1,FALSE),IFERROR(INT(MID(metadata!C14,6,2))&lt;=12,FALSE)), OR(MID(metadata!C14,8,1)="", AND(AND(MID(metadata!C14,8,1)="-",IFERROR(INT(MID(metadata!C14,9,1))&gt;=0,FALSE),IFERROR(INT(MID(metadata!C14,9,1))&lt;=3,FALSE),NOT(MID(metadata!C14,10,1)=""),IFERROR(INT(MID(metadata!C14,9,2))&gt;=1,FALSE),IFERROR(INT(MID(metadata!C14,9,2))&lt;=31,FALSE)), OR(MID(metadata!C14,11,1)="", AND(AND(MID(metadata!C14,11,1)=" ",IFERROR(INT(MID(metadata!C14,12,1))&gt;=0,FALSE),IFERROR(INT(MID(metadata!C14,12,1))&lt;=2,FALSE),NOT(MID(metadata!C14,13,1)=""),IFERROR(INT(MID(metadata!C14,12,2))&gt;=0,FALSE),IFERROR(INT(MID(metadata!C14,12,2))&lt;=23,FALSE)), OR(MID(metadata!C14,14,1)="", AND(AND(MID(metadata!C14,14,1)=":",IFERROR(INT(MID(metadata!C14,15,1))&gt;=0,FALSE),IFERROR(INT(MID(metadata!C14,15,1))&lt;=5,FALSE),NOT(MID(metadata!C14,16,1)=""),IFERROR(INT(MID(metadata!C14,15,2))&gt;=0,FALSE),IFERROR(INT(MID(metadata!C14,15,2))&lt;=59,FALSE)), OR(MID(metadata!C14,17,1)="", AND(AND(MID(metadata!C14,17,1)=":",IFERROR(INT(MID(metadata!C14,18,1))&gt;=0,FALSE),IFERROR(INT(MID(metadata!C14,18,1))&lt;=5,FALSE),NOT(MID(metadata!C14,19,1)=""),IFERROR(INT(MID(metadata!C14,18,2))&gt;=0,FALSE),IFERROR(INT(MID(metadata!C14,18,2))&lt;=59,FALSE)), LEN(metadata!C14)&lt;=19)))))))))))))</f>
        <v>0</v>
      </c>
      <c r="AD14">
        <f>IF(metadata!D14="",FALSE,TRUE)</f>
        <v>0</v>
      </c>
      <c r="AE14">
        <f>OR(AND(IF(metadata!E14="",FALSE,TRUE),OR(exact(metadata!E14,"missing: not collected"),exact(metadata!E14,"missing: not provided"))),AND(IF(metadata!E14="",FALSE,TRUE),OR(exact(metadata!E14,"TRUE"),exact(metadata!E14,"FALSE"))))</f>
        <v>0</v>
      </c>
      <c r="AF14">
        <f>IF(metadata!F14="",FALSE,TRUE)</f>
        <v>0</v>
      </c>
      <c r="AG14">
        <f>IF(metadata!G14="",FALSE,TRUE)</f>
        <v>0</v>
      </c>
      <c r="AH14">
        <f>IF(metadata!H14="",FALSE,TRUE)</f>
        <v>0</v>
      </c>
      <c r="AI14">
        <f>OR(AND(IF(metadata!I14="",FALSE,TRUE),OR(exact(metadata!I14,"missing: not collected"),exact(metadata!I14,"missing: not provided"),exact(metadata!I14,"missing: restricted access"))),AND(IF(metadata!I14="",FALSE,TRUE),OR(exact(metadata!I14,"air"),exact(metadata!I14,"built environment"),exact(metadata!I14,"host-associated"),exact(metadata!I14,"human-associated"),exact(metadata!I14,"human-skin"),exact(metadata!I14,"human-oral"),exact(metadata!I14,"human-gut"),exact(metadata!I14,"human-vaginal"),exact(metadata!I14,"microbial mat/biofilm"),exact(metadata!I14,"misc environment"),exact(metadata!I14,"plant-associated"),exact(metadata!I14,"sediment"),exact(metadata!I14,"soil"),exact(metadata!I14,"wastewater/sludge"),exact(metadata!I14,"water"))))</f>
        <v>0</v>
      </c>
      <c r="AJ14">
        <f>IF(metadata!J14="",FALSE,TRUE)</f>
        <v>0</v>
      </c>
      <c r="AK14">
        <f>OR(AND(IF(metadata!K14="",FALSE,TRUE),OR(exact(metadata!K14,"missing: not collected"),exact(metadata!K14,"missing: not provided"),exact(metadata!K14,"missing: restricted access"))),AND(IF(metadata!K14="",FALSE,ISNUMBER(VALUE(metadata!K14))),metadata!K14&gt;=-90.00,metadata!K14&lt;=90.00))</f>
        <v>0</v>
      </c>
      <c r="AL14">
        <f>OR(AND(IF(metadata!L14="",FALSE,TRUE),OR(exact(metadata!L14,"missing: not collected"),exact(metadata!L14,"missing: not provided"),exact(metadata!L14,"missing: restricted access"))),AND(IF(metadata!L14="",FALSE,ISNUMBER(VALUE(metadata!L14))),metadata!L14&gt;=-180.00,metadata!L14&lt;=180.00))</f>
        <v>0</v>
      </c>
      <c r="AM14">
        <f>IF(metadata!M14="",FALSE,TRUE)</f>
        <v>0</v>
      </c>
      <c r="AN14">
        <f>OR(AND(IF(metadata!N14="",FALSE,TRUE),OR(exact(metadata!N14,"missing: not collected"),exact(metadata!N14,"missing: not provided"),exact(metadata!N14,"missing: restricted access"))),AND(IF(metadata!N14="",FALSE,TRUE),OR(exact(metadata!N14,"TRUE"),exact(metadata!N14,"FALSE"))))</f>
        <v>0</v>
      </c>
      <c r="AO14">
        <f>IF(metadata!O14="",FALSE,TRUE)</f>
        <v>0</v>
      </c>
      <c r="AP14">
        <f>OR(AND(IF(metadata!P14="",FALSE,TRUE),OR(exact(metadata!P14,"missing: not collected"),exact(metadata!P14,"missing: not provided"))),AND(IF(metadata!P14="",FALSE,IF(ISERROR(INT(metadata!P14)),FALSE,INT(metadata!P14)=metadata!P14)),metadata!P14&gt;0))</f>
        <v>0</v>
      </c>
      <c r="AQ14">
        <f>IF(metadata!Q14="",FALSE,TRUE)</f>
        <v>0</v>
      </c>
    </row>
    <row r="15" spans="1:43">
      <c r="A15" s="5">
        <f>IF(B15=" "," ",HYPERLINK(CONCATENATE("#metadata!",ADDRESS(INDEX($W$2:$W$1001,MATCH(ROWS($U$2:U15),$U$2:$U$1001,0),0),1)),INDEX($Z$2:$Z$1001,MATCH(ROWS($U$2:U15),$U$2:$U$1001,0),0)))</f>
        <v>0</v>
      </c>
      <c r="B15" s="4">
        <f>IF(OR(INDEX($V$2:$V$1001,MATCH(ROWS($U$2:U15),$U$2:$U$1001,0),1)&gt;=100000,INDEX($AB$1005:$AQ$1005,1,MATCH(COLUMNS($AB$1006:AB1006),$AB$1006:$AQ$1006,0))&gt;=100000), " ",IF(INDEX($AB$2:$AQ$1001,MATCH(ROWS($U$2:U15),$U$2:$U$1001,0),MATCH(COLUMNS($AB$1006:AB1006),$AB$1006:$AQ$1006,0)), HYPERLINK("#",""), HYPERLINK(CONCATENATE("#metadata!", ADDRESS(INDEX($W$2:$W$1001,MATCH(ROWS($U$2:U15),$U$2:$U$1001,0),0), INDEX($AB$1004:$AQ$1004,1,MATCH(COLUMNS($AB$1006:AB1006),$AB$1006:$AQ$1006,0)))),"Fix")))</f>
        <v>0</v>
      </c>
      <c r="C15" s="4">
        <f>IF(OR(INDEX($V$2:$V$1001,MATCH(ROWS($U$2:U15),$U$2:$U$1001,0),1)&gt;=100000,INDEX($AB$1005:$AQ$1005,1,MATCH(COLUMNS($AB$1006:AC1006),$AB$1006:$AQ$1006,0))&gt;=100000), " ",IF(INDEX($AB$2:$AQ$1001,MATCH(ROWS($U$2:U15),$U$2:$U$1001,0),MATCH(COLUMNS($AB$1006:AC1006),$AB$1006:$AQ$1006,0)), HYPERLINK("#",""), HYPERLINK(CONCATENATE("#metadata!", ADDRESS(INDEX($W$2:$W$1001,MATCH(ROWS($U$2:U15),$U$2:$U$1001,0),0), INDEX($AB$1004:$AQ$1004,1,MATCH(COLUMNS($AB$1006:AC1006),$AB$1006:$AQ$1006,0)))),"Fix")))</f>
        <v>0</v>
      </c>
      <c r="D15" s="4">
        <f>IF(OR(INDEX($V$2:$V$1001,MATCH(ROWS($U$2:U15),$U$2:$U$1001,0),1)&gt;=100000,INDEX($AB$1005:$AQ$1005,1,MATCH(COLUMNS($AB$1006:AD1006),$AB$1006:$AQ$1006,0))&gt;=100000), " ",IF(INDEX($AB$2:$AQ$1001,MATCH(ROWS($U$2:U15),$U$2:$U$1001,0),MATCH(COLUMNS($AB$1006:AD1006),$AB$1006:$AQ$1006,0)), HYPERLINK("#",""), HYPERLINK(CONCATENATE("#metadata!", ADDRESS(INDEX($W$2:$W$1001,MATCH(ROWS($U$2:U15),$U$2:$U$1001,0),0), INDEX($AB$1004:$AQ$1004,1,MATCH(COLUMNS($AB$1006:AD1006),$AB$1006:$AQ$1006,0)))),"Fix")))</f>
        <v>0</v>
      </c>
      <c r="E15" s="4">
        <f>IF(OR(INDEX($V$2:$V$1001,MATCH(ROWS($U$2:U15),$U$2:$U$1001,0),1)&gt;=100000,INDEX($AB$1005:$AQ$1005,1,MATCH(COLUMNS($AB$1006:AE1006),$AB$1006:$AQ$1006,0))&gt;=100000), " ",IF(INDEX($AB$2:$AQ$1001,MATCH(ROWS($U$2:U15),$U$2:$U$1001,0),MATCH(COLUMNS($AB$1006:AE1006),$AB$1006:$AQ$1006,0)), HYPERLINK("#",""), HYPERLINK(CONCATENATE("#metadata!", ADDRESS(INDEX($W$2:$W$1001,MATCH(ROWS($U$2:U15),$U$2:$U$1001,0),0), INDEX($AB$1004:$AQ$1004,1,MATCH(COLUMNS($AB$1006:AE1006),$AB$1006:$AQ$1006,0)))),"Fix")))</f>
        <v>0</v>
      </c>
      <c r="F15" s="4">
        <f>IF(OR(INDEX($V$2:$V$1001,MATCH(ROWS($U$2:U15),$U$2:$U$1001,0),1)&gt;=100000,INDEX($AB$1005:$AQ$1005,1,MATCH(COLUMNS($AB$1006:AF1006),$AB$1006:$AQ$1006,0))&gt;=100000), " ",IF(INDEX($AB$2:$AQ$1001,MATCH(ROWS($U$2:U15),$U$2:$U$1001,0),MATCH(COLUMNS($AB$1006:AF1006),$AB$1006:$AQ$1006,0)), HYPERLINK("#",""), HYPERLINK(CONCATENATE("#metadata!", ADDRESS(INDEX($W$2:$W$1001,MATCH(ROWS($U$2:U15),$U$2:$U$1001,0),0), INDEX($AB$1004:$AQ$1004,1,MATCH(COLUMNS($AB$1006:AF1006),$AB$1006:$AQ$1006,0)))),"Fix")))</f>
        <v>0</v>
      </c>
      <c r="G15" s="4">
        <f>IF(OR(INDEX($V$2:$V$1001,MATCH(ROWS($U$2:U15),$U$2:$U$1001,0),1)&gt;=100000,INDEX($AB$1005:$AQ$1005,1,MATCH(COLUMNS($AB$1006:AG1006),$AB$1006:$AQ$1006,0))&gt;=100000), " ",IF(INDEX($AB$2:$AQ$1001,MATCH(ROWS($U$2:U15),$U$2:$U$1001,0),MATCH(COLUMNS($AB$1006:AG1006),$AB$1006:$AQ$1006,0)), HYPERLINK("#",""), HYPERLINK(CONCATENATE("#metadata!", ADDRESS(INDEX($W$2:$W$1001,MATCH(ROWS($U$2:U15),$U$2:$U$1001,0),0), INDEX($AB$1004:$AQ$1004,1,MATCH(COLUMNS($AB$1006:AG1006),$AB$1006:$AQ$1006,0)))),"Fix")))</f>
        <v>0</v>
      </c>
      <c r="H15" s="4">
        <f>IF(OR(INDEX($V$2:$V$1001,MATCH(ROWS($U$2:U15),$U$2:$U$1001,0),1)&gt;=100000,INDEX($AB$1005:$AQ$1005,1,MATCH(COLUMNS($AB$1006:AH1006),$AB$1006:$AQ$1006,0))&gt;=100000), " ",IF(INDEX($AB$2:$AQ$1001,MATCH(ROWS($U$2:U15),$U$2:$U$1001,0),MATCH(COLUMNS($AB$1006:AH1006),$AB$1006:$AQ$1006,0)), HYPERLINK("#",""), HYPERLINK(CONCATENATE("#metadata!", ADDRESS(INDEX($W$2:$W$1001,MATCH(ROWS($U$2:U15),$U$2:$U$1001,0),0), INDEX($AB$1004:$AQ$1004,1,MATCH(COLUMNS($AB$1006:AH1006),$AB$1006:$AQ$1006,0)))),"Fix")))</f>
        <v>0</v>
      </c>
      <c r="I15" s="4">
        <f>IF(OR(INDEX($V$2:$V$1001,MATCH(ROWS($U$2:U15),$U$2:$U$1001,0),1)&gt;=100000,INDEX($AB$1005:$AQ$1005,1,MATCH(COLUMNS($AB$1006:AI1006),$AB$1006:$AQ$1006,0))&gt;=100000), " ",IF(INDEX($AB$2:$AQ$1001,MATCH(ROWS($U$2:U15),$U$2:$U$1001,0),MATCH(COLUMNS($AB$1006:AI1006),$AB$1006:$AQ$1006,0)), HYPERLINK("#",""), HYPERLINK(CONCATENATE("#metadata!", ADDRESS(INDEX($W$2:$W$1001,MATCH(ROWS($U$2:U15),$U$2:$U$1001,0),0), INDEX($AB$1004:$AQ$1004,1,MATCH(COLUMNS($AB$1006:AI1006),$AB$1006:$AQ$1006,0)))),"Fix")))</f>
        <v>0</v>
      </c>
      <c r="J15" s="4">
        <f>IF(OR(INDEX($V$2:$V$1001,MATCH(ROWS($U$2:U15),$U$2:$U$1001,0),1)&gt;=100000,INDEX($AB$1005:$AQ$1005,1,MATCH(COLUMNS($AB$1006:AJ1006),$AB$1006:$AQ$1006,0))&gt;=100000), " ",IF(INDEX($AB$2:$AQ$1001,MATCH(ROWS($U$2:U15),$U$2:$U$1001,0),MATCH(COLUMNS($AB$1006:AJ1006),$AB$1006:$AQ$1006,0)), HYPERLINK("#",""), HYPERLINK(CONCATENATE("#metadata!", ADDRESS(INDEX($W$2:$W$1001,MATCH(ROWS($U$2:U15),$U$2:$U$1001,0),0), INDEX($AB$1004:$AQ$1004,1,MATCH(COLUMNS($AB$1006:AJ1006),$AB$1006:$AQ$1006,0)))),"Fix")))</f>
        <v>0</v>
      </c>
      <c r="K15" s="4">
        <f>IF(OR(INDEX($V$2:$V$1001,MATCH(ROWS($U$2:U15),$U$2:$U$1001,0),1)&gt;=100000,INDEX($AB$1005:$AQ$1005,1,MATCH(COLUMNS($AB$1006:AK1006),$AB$1006:$AQ$1006,0))&gt;=100000), " ",IF(INDEX($AB$2:$AQ$1001,MATCH(ROWS($U$2:U15),$U$2:$U$1001,0),MATCH(COLUMNS($AB$1006:AK1006),$AB$1006:$AQ$1006,0)), HYPERLINK("#",""), HYPERLINK(CONCATENATE("#metadata!", ADDRESS(INDEX($W$2:$W$1001,MATCH(ROWS($U$2:U15),$U$2:$U$1001,0),0), INDEX($AB$1004:$AQ$1004,1,MATCH(COLUMNS($AB$1006:AK1006),$AB$1006:$AQ$1006,0)))),"Fix")))</f>
        <v>0</v>
      </c>
      <c r="L15" s="4">
        <f>IF(OR(INDEX($V$2:$V$1001,MATCH(ROWS($U$2:U15),$U$2:$U$1001,0),1)&gt;=100000,INDEX($AB$1005:$AQ$1005,1,MATCH(COLUMNS($AB$1006:AL1006),$AB$1006:$AQ$1006,0))&gt;=100000), " ",IF(INDEX($AB$2:$AQ$1001,MATCH(ROWS($U$2:U15),$U$2:$U$1001,0),MATCH(COLUMNS($AB$1006:AL1006),$AB$1006:$AQ$1006,0)), HYPERLINK("#",""), HYPERLINK(CONCATENATE("#metadata!", ADDRESS(INDEX($W$2:$W$1001,MATCH(ROWS($U$2:U15),$U$2:$U$1001,0),0), INDEX($AB$1004:$AQ$1004,1,MATCH(COLUMNS($AB$1006:AL1006),$AB$1006:$AQ$1006,0)))),"Fix")))</f>
        <v>0</v>
      </c>
      <c r="M15" s="4">
        <f>IF(OR(INDEX($V$2:$V$1001,MATCH(ROWS($U$2:U15),$U$2:$U$1001,0),1)&gt;=100000,INDEX($AB$1005:$AQ$1005,1,MATCH(COLUMNS($AB$1006:AM1006),$AB$1006:$AQ$1006,0))&gt;=100000), " ",IF(INDEX($AB$2:$AQ$1001,MATCH(ROWS($U$2:U15),$U$2:$U$1001,0),MATCH(COLUMNS($AB$1006:AM1006),$AB$1006:$AQ$1006,0)), HYPERLINK("#",""), HYPERLINK(CONCATENATE("#metadata!", ADDRESS(INDEX($W$2:$W$1001,MATCH(ROWS($U$2:U15),$U$2:$U$1001,0),0), INDEX($AB$1004:$AQ$1004,1,MATCH(COLUMNS($AB$1006:AM1006),$AB$1006:$AQ$1006,0)))),"Fix")))</f>
        <v>0</v>
      </c>
      <c r="N15" s="4">
        <f>IF(OR(INDEX($V$2:$V$1001,MATCH(ROWS($U$2:U15),$U$2:$U$1001,0),1)&gt;=100000,INDEX($AB$1005:$AQ$1005,1,MATCH(COLUMNS($AB$1006:AN1006),$AB$1006:$AQ$1006,0))&gt;=100000), " ",IF(INDEX($AB$2:$AQ$1001,MATCH(ROWS($U$2:U15),$U$2:$U$1001,0),MATCH(COLUMNS($AB$1006:AN1006),$AB$1006:$AQ$1006,0)), HYPERLINK("#",""), HYPERLINK(CONCATENATE("#metadata!", ADDRESS(INDEX($W$2:$W$1001,MATCH(ROWS($U$2:U15),$U$2:$U$1001,0),0), INDEX($AB$1004:$AQ$1004,1,MATCH(COLUMNS($AB$1006:AN1006),$AB$1006:$AQ$1006,0)))),"Fix")))</f>
        <v>0</v>
      </c>
      <c r="O15" s="4">
        <f>IF(OR(INDEX($V$2:$V$1001,MATCH(ROWS($U$2:U15),$U$2:$U$1001,0),1)&gt;=100000,INDEX($AB$1005:$AQ$1005,1,MATCH(COLUMNS($AB$1006:AO1006),$AB$1006:$AQ$1006,0))&gt;=100000), " ",IF(INDEX($AB$2:$AQ$1001,MATCH(ROWS($U$2:U15),$U$2:$U$1001,0),MATCH(COLUMNS($AB$1006:AO1006),$AB$1006:$AQ$1006,0)), HYPERLINK("#",""), HYPERLINK(CONCATENATE("#metadata!", ADDRESS(INDEX($W$2:$W$1001,MATCH(ROWS($U$2:U15),$U$2:$U$1001,0),0), INDEX($AB$1004:$AQ$1004,1,MATCH(COLUMNS($AB$1006:AO1006),$AB$1006:$AQ$1006,0)))),"Fix")))</f>
        <v>0</v>
      </c>
      <c r="P15" s="4">
        <f>IF(OR(INDEX($V$2:$V$1001,MATCH(ROWS($U$2:U15),$U$2:$U$1001,0),1)&gt;=100000,INDEX($AB$1005:$AQ$1005,1,MATCH(COLUMNS($AB$1006:AP1006),$AB$1006:$AQ$1006,0))&gt;=100000), " ",IF(INDEX($AB$2:$AQ$1001,MATCH(ROWS($U$2:U15),$U$2:$U$1001,0),MATCH(COLUMNS($AB$1006:AP1006),$AB$1006:$AQ$1006,0)), HYPERLINK("#",""), HYPERLINK(CONCATENATE("#metadata!", ADDRESS(INDEX($W$2:$W$1001,MATCH(ROWS($U$2:U15),$U$2:$U$1001,0),0), INDEX($AB$1004:$AQ$1004,1,MATCH(COLUMNS($AB$1006:AP1006),$AB$1006:$AQ$1006,0)))),"Fix")))</f>
        <v>0</v>
      </c>
      <c r="Q15" s="4">
        <f>IF(OR(INDEX($V$2:$V$1001,MATCH(ROWS($U$2:U15),$U$2:$U$1001,0),1)&gt;=100000,INDEX($AB$1005:$AQ$1005,1,MATCH(COLUMNS($AB$1006:AQ1006),$AB$1006:$AQ$1006,0))&gt;=100000), " ",IF(INDEX($AB$2:$AQ$1001,MATCH(ROWS($U$2:U15),$U$2:$U$1001,0),MATCH(COLUMNS($AB$1006:AQ1006),$AB$1006:$AQ$1006,0)), HYPERLINK("#",""), HYPERLINK(CONCATENATE("#metadata!", ADDRESS(INDEX($W$2:$W$1001,MATCH(ROWS($U$2:U15),$U$2:$U$1001,0),0), INDEX($AB$1004:$AQ$1004,1,MATCH(COLUMNS($AB$1006:AQ1006),$AB$1006:$AQ$1006,0)))),"Fix")))</f>
        <v>0</v>
      </c>
      <c r="U15">
        <v>0</v>
      </c>
      <c r="V15">
        <v>0</v>
      </c>
      <c r="W15">
        <v>0</v>
      </c>
      <c r="X15">
        <f>IF(Y15,TRUE,AND(AB15:AQ15))</f>
        <v>0</v>
      </c>
      <c r="Y15">
        <f>COUNTBLANK(metadata!B15:Q15)=COLUMNS(metadata!B15:Q15)</f>
        <v>0</v>
      </c>
      <c r="Z15">
        <v>0</v>
      </c>
      <c r="AB15">
        <f>AND(IF(metadata!B15="",FALSE,TRUE),COUNTIF(metadata!B:B, metadata!B15) = 1,NOT(ISERROR(SUMPRODUCT(SEARCH(MID(metadata!B15,ROW(INDIRECT("1:"&amp;LEN(metadata!B15))), 1),"0123456789abcdefghijklmnopqrstuvwxyzABCDEFGHIJKLMNOPQRSTUVWXYZ.")))))</f>
        <v>0</v>
      </c>
      <c r="AC15">
        <f>OR(AND(IF(metadata!C15="",FALSE,TRUE),OR(exact(metadata!C15,"missing: not collected"),exact(metadata!C15,"missing: not provided"),exact(metadata!C15,"missing: restricted access"))),AND(IF(metadata!C15="",FALSE,TRUE),AND(AND(IFERROR(INT(LEFT(metadata!C15,4))&gt;1900,FALSE),IFERROR(INT(LEFT(metadata!C15,4))&lt;=YEAR(NOW()),FALSE)), OR(MID(metadata!C15,5,1)="", AND(AND(MID(metadata!C15,5,1)="-",IFERROR(INT(MID(metadata!C15,6,1))&gt;=0,FALSE),IFERROR(INT(MID(metadata!C15,6,1))&lt;=1,FALSE),NOT(MID(metadata!C15,7,1)=""),IFERROR(INT(MID(metadata!C15,6,2))&gt;=1,FALSE),IFERROR(INT(MID(metadata!C15,6,2))&lt;=12,FALSE)), OR(MID(metadata!C15,8,1)="", AND(AND(MID(metadata!C15,8,1)="-",IFERROR(INT(MID(metadata!C15,9,1))&gt;=0,FALSE),IFERROR(INT(MID(metadata!C15,9,1))&lt;=3,FALSE),NOT(MID(metadata!C15,10,1)=""),IFERROR(INT(MID(metadata!C15,9,2))&gt;=1,FALSE),IFERROR(INT(MID(metadata!C15,9,2))&lt;=31,FALSE)), OR(MID(metadata!C15,11,1)="", AND(AND(MID(metadata!C15,11,1)=" ",IFERROR(INT(MID(metadata!C15,12,1))&gt;=0,FALSE),IFERROR(INT(MID(metadata!C15,12,1))&lt;=2,FALSE),NOT(MID(metadata!C15,13,1)=""),IFERROR(INT(MID(metadata!C15,12,2))&gt;=0,FALSE),IFERROR(INT(MID(metadata!C15,12,2))&lt;=23,FALSE)), OR(MID(metadata!C15,14,1)="", AND(AND(MID(metadata!C15,14,1)=":",IFERROR(INT(MID(metadata!C15,15,1))&gt;=0,FALSE),IFERROR(INT(MID(metadata!C15,15,1))&lt;=5,FALSE),NOT(MID(metadata!C15,16,1)=""),IFERROR(INT(MID(metadata!C15,15,2))&gt;=0,FALSE),IFERROR(INT(MID(metadata!C15,15,2))&lt;=59,FALSE)), OR(MID(metadata!C15,17,1)="", AND(AND(MID(metadata!C15,17,1)=":",IFERROR(INT(MID(metadata!C15,18,1))&gt;=0,FALSE),IFERROR(INT(MID(metadata!C15,18,1))&lt;=5,FALSE),NOT(MID(metadata!C15,19,1)=""),IFERROR(INT(MID(metadata!C15,18,2))&gt;=0,FALSE),IFERROR(INT(MID(metadata!C15,18,2))&lt;=59,FALSE)), LEN(metadata!C15)&lt;=19)))))))))))))</f>
        <v>0</v>
      </c>
      <c r="AD15">
        <f>IF(metadata!D15="",FALSE,TRUE)</f>
        <v>0</v>
      </c>
      <c r="AE15">
        <f>OR(AND(IF(metadata!E15="",FALSE,TRUE),OR(exact(metadata!E15,"missing: not collected"),exact(metadata!E15,"missing: not provided"))),AND(IF(metadata!E15="",FALSE,TRUE),OR(exact(metadata!E15,"TRUE"),exact(metadata!E15,"FALSE"))))</f>
        <v>0</v>
      </c>
      <c r="AF15">
        <f>IF(metadata!F15="",FALSE,TRUE)</f>
        <v>0</v>
      </c>
      <c r="AG15">
        <f>IF(metadata!G15="",FALSE,TRUE)</f>
        <v>0</v>
      </c>
      <c r="AH15">
        <f>IF(metadata!H15="",FALSE,TRUE)</f>
        <v>0</v>
      </c>
      <c r="AI15">
        <f>OR(AND(IF(metadata!I15="",FALSE,TRUE),OR(exact(metadata!I15,"missing: not collected"),exact(metadata!I15,"missing: not provided"),exact(metadata!I15,"missing: restricted access"))),AND(IF(metadata!I15="",FALSE,TRUE),OR(exact(metadata!I15,"air"),exact(metadata!I15,"built environment"),exact(metadata!I15,"host-associated"),exact(metadata!I15,"human-associated"),exact(metadata!I15,"human-skin"),exact(metadata!I15,"human-oral"),exact(metadata!I15,"human-gut"),exact(metadata!I15,"human-vaginal"),exact(metadata!I15,"microbial mat/biofilm"),exact(metadata!I15,"misc environment"),exact(metadata!I15,"plant-associated"),exact(metadata!I15,"sediment"),exact(metadata!I15,"soil"),exact(metadata!I15,"wastewater/sludge"),exact(metadata!I15,"water"))))</f>
        <v>0</v>
      </c>
      <c r="AJ15">
        <f>IF(metadata!J15="",FALSE,TRUE)</f>
        <v>0</v>
      </c>
      <c r="AK15">
        <f>OR(AND(IF(metadata!K15="",FALSE,TRUE),OR(exact(metadata!K15,"missing: not collected"),exact(metadata!K15,"missing: not provided"),exact(metadata!K15,"missing: restricted access"))),AND(IF(metadata!K15="",FALSE,ISNUMBER(VALUE(metadata!K15))),metadata!K15&gt;=-90.00,metadata!K15&lt;=90.00))</f>
        <v>0</v>
      </c>
      <c r="AL15">
        <f>OR(AND(IF(metadata!L15="",FALSE,TRUE),OR(exact(metadata!L15,"missing: not collected"),exact(metadata!L15,"missing: not provided"),exact(metadata!L15,"missing: restricted access"))),AND(IF(metadata!L15="",FALSE,ISNUMBER(VALUE(metadata!L15))),metadata!L15&gt;=-180.00,metadata!L15&lt;=180.00))</f>
        <v>0</v>
      </c>
      <c r="AM15">
        <f>IF(metadata!M15="",FALSE,TRUE)</f>
        <v>0</v>
      </c>
      <c r="AN15">
        <f>OR(AND(IF(metadata!N15="",FALSE,TRUE),OR(exact(metadata!N15,"missing: not collected"),exact(metadata!N15,"missing: not provided"),exact(metadata!N15,"missing: restricted access"))),AND(IF(metadata!N15="",FALSE,TRUE),OR(exact(metadata!N15,"TRUE"),exact(metadata!N15,"FALSE"))))</f>
        <v>0</v>
      </c>
      <c r="AO15">
        <f>IF(metadata!O15="",FALSE,TRUE)</f>
        <v>0</v>
      </c>
      <c r="AP15">
        <f>OR(AND(IF(metadata!P15="",FALSE,TRUE),OR(exact(metadata!P15,"missing: not collected"),exact(metadata!P15,"missing: not provided"))),AND(IF(metadata!P15="",FALSE,IF(ISERROR(INT(metadata!P15)),FALSE,INT(metadata!P15)=metadata!P15)),metadata!P15&gt;0))</f>
        <v>0</v>
      </c>
      <c r="AQ15">
        <f>IF(metadata!Q15="",FALSE,TRUE)</f>
        <v>0</v>
      </c>
    </row>
    <row r="16" spans="1:43">
      <c r="A16" s="5">
        <f>IF(B16=" "," ",HYPERLINK(CONCATENATE("#metadata!",ADDRESS(INDEX($W$2:$W$1001,MATCH(ROWS($U$2:U16),$U$2:$U$1001,0),0),1)),INDEX($Z$2:$Z$1001,MATCH(ROWS($U$2:U16),$U$2:$U$1001,0),0)))</f>
        <v>0</v>
      </c>
      <c r="B16" s="4">
        <f>IF(OR(INDEX($V$2:$V$1001,MATCH(ROWS($U$2:U16),$U$2:$U$1001,0),1)&gt;=100000,INDEX($AB$1005:$AQ$1005,1,MATCH(COLUMNS($AB$1006:AB1006),$AB$1006:$AQ$1006,0))&gt;=100000), " ",IF(INDEX($AB$2:$AQ$1001,MATCH(ROWS($U$2:U16),$U$2:$U$1001,0),MATCH(COLUMNS($AB$1006:AB1006),$AB$1006:$AQ$1006,0)), HYPERLINK("#",""), HYPERLINK(CONCATENATE("#metadata!", ADDRESS(INDEX($W$2:$W$1001,MATCH(ROWS($U$2:U16),$U$2:$U$1001,0),0), INDEX($AB$1004:$AQ$1004,1,MATCH(COLUMNS($AB$1006:AB1006),$AB$1006:$AQ$1006,0)))),"Fix")))</f>
        <v>0</v>
      </c>
      <c r="C16" s="4">
        <f>IF(OR(INDEX($V$2:$V$1001,MATCH(ROWS($U$2:U16),$U$2:$U$1001,0),1)&gt;=100000,INDEX($AB$1005:$AQ$1005,1,MATCH(COLUMNS($AB$1006:AC1006),$AB$1006:$AQ$1006,0))&gt;=100000), " ",IF(INDEX($AB$2:$AQ$1001,MATCH(ROWS($U$2:U16),$U$2:$U$1001,0),MATCH(COLUMNS($AB$1006:AC1006),$AB$1006:$AQ$1006,0)), HYPERLINK("#",""), HYPERLINK(CONCATENATE("#metadata!", ADDRESS(INDEX($W$2:$W$1001,MATCH(ROWS($U$2:U16),$U$2:$U$1001,0),0), INDEX($AB$1004:$AQ$1004,1,MATCH(COLUMNS($AB$1006:AC1006),$AB$1006:$AQ$1006,0)))),"Fix")))</f>
        <v>0</v>
      </c>
      <c r="D16" s="4">
        <f>IF(OR(INDEX($V$2:$V$1001,MATCH(ROWS($U$2:U16),$U$2:$U$1001,0),1)&gt;=100000,INDEX($AB$1005:$AQ$1005,1,MATCH(COLUMNS($AB$1006:AD1006),$AB$1006:$AQ$1006,0))&gt;=100000), " ",IF(INDEX($AB$2:$AQ$1001,MATCH(ROWS($U$2:U16),$U$2:$U$1001,0),MATCH(COLUMNS($AB$1006:AD1006),$AB$1006:$AQ$1006,0)), HYPERLINK("#",""), HYPERLINK(CONCATENATE("#metadata!", ADDRESS(INDEX($W$2:$W$1001,MATCH(ROWS($U$2:U16),$U$2:$U$1001,0),0), INDEX($AB$1004:$AQ$1004,1,MATCH(COLUMNS($AB$1006:AD1006),$AB$1006:$AQ$1006,0)))),"Fix")))</f>
        <v>0</v>
      </c>
      <c r="E16" s="4">
        <f>IF(OR(INDEX($V$2:$V$1001,MATCH(ROWS($U$2:U16),$U$2:$U$1001,0),1)&gt;=100000,INDEX($AB$1005:$AQ$1005,1,MATCH(COLUMNS($AB$1006:AE1006),$AB$1006:$AQ$1006,0))&gt;=100000), " ",IF(INDEX($AB$2:$AQ$1001,MATCH(ROWS($U$2:U16),$U$2:$U$1001,0),MATCH(COLUMNS($AB$1006:AE1006),$AB$1006:$AQ$1006,0)), HYPERLINK("#",""), HYPERLINK(CONCATENATE("#metadata!", ADDRESS(INDEX($W$2:$W$1001,MATCH(ROWS($U$2:U16),$U$2:$U$1001,0),0), INDEX($AB$1004:$AQ$1004,1,MATCH(COLUMNS($AB$1006:AE1006),$AB$1006:$AQ$1006,0)))),"Fix")))</f>
        <v>0</v>
      </c>
      <c r="F16" s="4">
        <f>IF(OR(INDEX($V$2:$V$1001,MATCH(ROWS($U$2:U16),$U$2:$U$1001,0),1)&gt;=100000,INDEX($AB$1005:$AQ$1005,1,MATCH(COLUMNS($AB$1006:AF1006),$AB$1006:$AQ$1006,0))&gt;=100000), " ",IF(INDEX($AB$2:$AQ$1001,MATCH(ROWS($U$2:U16),$U$2:$U$1001,0),MATCH(COLUMNS($AB$1006:AF1006),$AB$1006:$AQ$1006,0)), HYPERLINK("#",""), HYPERLINK(CONCATENATE("#metadata!", ADDRESS(INDEX($W$2:$W$1001,MATCH(ROWS($U$2:U16),$U$2:$U$1001,0),0), INDEX($AB$1004:$AQ$1004,1,MATCH(COLUMNS($AB$1006:AF1006),$AB$1006:$AQ$1006,0)))),"Fix")))</f>
        <v>0</v>
      </c>
      <c r="G16" s="4">
        <f>IF(OR(INDEX($V$2:$V$1001,MATCH(ROWS($U$2:U16),$U$2:$U$1001,0),1)&gt;=100000,INDEX($AB$1005:$AQ$1005,1,MATCH(COLUMNS($AB$1006:AG1006),$AB$1006:$AQ$1006,0))&gt;=100000), " ",IF(INDEX($AB$2:$AQ$1001,MATCH(ROWS($U$2:U16),$U$2:$U$1001,0),MATCH(COLUMNS($AB$1006:AG1006),$AB$1006:$AQ$1006,0)), HYPERLINK("#",""), HYPERLINK(CONCATENATE("#metadata!", ADDRESS(INDEX($W$2:$W$1001,MATCH(ROWS($U$2:U16),$U$2:$U$1001,0),0), INDEX($AB$1004:$AQ$1004,1,MATCH(COLUMNS($AB$1006:AG1006),$AB$1006:$AQ$1006,0)))),"Fix")))</f>
        <v>0</v>
      </c>
      <c r="H16" s="4">
        <f>IF(OR(INDEX($V$2:$V$1001,MATCH(ROWS($U$2:U16),$U$2:$U$1001,0),1)&gt;=100000,INDEX($AB$1005:$AQ$1005,1,MATCH(COLUMNS($AB$1006:AH1006),$AB$1006:$AQ$1006,0))&gt;=100000), " ",IF(INDEX($AB$2:$AQ$1001,MATCH(ROWS($U$2:U16),$U$2:$U$1001,0),MATCH(COLUMNS($AB$1006:AH1006),$AB$1006:$AQ$1006,0)), HYPERLINK("#",""), HYPERLINK(CONCATENATE("#metadata!", ADDRESS(INDEX($W$2:$W$1001,MATCH(ROWS($U$2:U16),$U$2:$U$1001,0),0), INDEX($AB$1004:$AQ$1004,1,MATCH(COLUMNS($AB$1006:AH1006),$AB$1006:$AQ$1006,0)))),"Fix")))</f>
        <v>0</v>
      </c>
      <c r="I16" s="4">
        <f>IF(OR(INDEX($V$2:$V$1001,MATCH(ROWS($U$2:U16),$U$2:$U$1001,0),1)&gt;=100000,INDEX($AB$1005:$AQ$1005,1,MATCH(COLUMNS($AB$1006:AI1006),$AB$1006:$AQ$1006,0))&gt;=100000), " ",IF(INDEX($AB$2:$AQ$1001,MATCH(ROWS($U$2:U16),$U$2:$U$1001,0),MATCH(COLUMNS($AB$1006:AI1006),$AB$1006:$AQ$1006,0)), HYPERLINK("#",""), HYPERLINK(CONCATENATE("#metadata!", ADDRESS(INDEX($W$2:$W$1001,MATCH(ROWS($U$2:U16),$U$2:$U$1001,0),0), INDEX($AB$1004:$AQ$1004,1,MATCH(COLUMNS($AB$1006:AI1006),$AB$1006:$AQ$1006,0)))),"Fix")))</f>
        <v>0</v>
      </c>
      <c r="J16" s="4">
        <f>IF(OR(INDEX($V$2:$V$1001,MATCH(ROWS($U$2:U16),$U$2:$U$1001,0),1)&gt;=100000,INDEX($AB$1005:$AQ$1005,1,MATCH(COLUMNS($AB$1006:AJ1006),$AB$1006:$AQ$1006,0))&gt;=100000), " ",IF(INDEX($AB$2:$AQ$1001,MATCH(ROWS($U$2:U16),$U$2:$U$1001,0),MATCH(COLUMNS($AB$1006:AJ1006),$AB$1006:$AQ$1006,0)), HYPERLINK("#",""), HYPERLINK(CONCATENATE("#metadata!", ADDRESS(INDEX($W$2:$W$1001,MATCH(ROWS($U$2:U16),$U$2:$U$1001,0),0), INDEX($AB$1004:$AQ$1004,1,MATCH(COLUMNS($AB$1006:AJ1006),$AB$1006:$AQ$1006,0)))),"Fix")))</f>
        <v>0</v>
      </c>
      <c r="K16" s="4">
        <f>IF(OR(INDEX($V$2:$V$1001,MATCH(ROWS($U$2:U16),$U$2:$U$1001,0),1)&gt;=100000,INDEX($AB$1005:$AQ$1005,1,MATCH(COLUMNS($AB$1006:AK1006),$AB$1006:$AQ$1006,0))&gt;=100000), " ",IF(INDEX($AB$2:$AQ$1001,MATCH(ROWS($U$2:U16),$U$2:$U$1001,0),MATCH(COLUMNS($AB$1006:AK1006),$AB$1006:$AQ$1006,0)), HYPERLINK("#",""), HYPERLINK(CONCATENATE("#metadata!", ADDRESS(INDEX($W$2:$W$1001,MATCH(ROWS($U$2:U16),$U$2:$U$1001,0),0), INDEX($AB$1004:$AQ$1004,1,MATCH(COLUMNS($AB$1006:AK1006),$AB$1006:$AQ$1006,0)))),"Fix")))</f>
        <v>0</v>
      </c>
      <c r="L16" s="4">
        <f>IF(OR(INDEX($V$2:$V$1001,MATCH(ROWS($U$2:U16),$U$2:$U$1001,0),1)&gt;=100000,INDEX($AB$1005:$AQ$1005,1,MATCH(COLUMNS($AB$1006:AL1006),$AB$1006:$AQ$1006,0))&gt;=100000), " ",IF(INDEX($AB$2:$AQ$1001,MATCH(ROWS($U$2:U16),$U$2:$U$1001,0),MATCH(COLUMNS($AB$1006:AL1006),$AB$1006:$AQ$1006,0)), HYPERLINK("#",""), HYPERLINK(CONCATENATE("#metadata!", ADDRESS(INDEX($W$2:$W$1001,MATCH(ROWS($U$2:U16),$U$2:$U$1001,0),0), INDEX($AB$1004:$AQ$1004,1,MATCH(COLUMNS($AB$1006:AL1006),$AB$1006:$AQ$1006,0)))),"Fix")))</f>
        <v>0</v>
      </c>
      <c r="M16" s="4">
        <f>IF(OR(INDEX($V$2:$V$1001,MATCH(ROWS($U$2:U16),$U$2:$U$1001,0),1)&gt;=100000,INDEX($AB$1005:$AQ$1005,1,MATCH(COLUMNS($AB$1006:AM1006),$AB$1006:$AQ$1006,0))&gt;=100000), " ",IF(INDEX($AB$2:$AQ$1001,MATCH(ROWS($U$2:U16),$U$2:$U$1001,0),MATCH(COLUMNS($AB$1006:AM1006),$AB$1006:$AQ$1006,0)), HYPERLINK("#",""), HYPERLINK(CONCATENATE("#metadata!", ADDRESS(INDEX($W$2:$W$1001,MATCH(ROWS($U$2:U16),$U$2:$U$1001,0),0), INDEX($AB$1004:$AQ$1004,1,MATCH(COLUMNS($AB$1006:AM1006),$AB$1006:$AQ$1006,0)))),"Fix")))</f>
        <v>0</v>
      </c>
      <c r="N16" s="4">
        <f>IF(OR(INDEX($V$2:$V$1001,MATCH(ROWS($U$2:U16),$U$2:$U$1001,0),1)&gt;=100000,INDEX($AB$1005:$AQ$1005,1,MATCH(COLUMNS($AB$1006:AN1006),$AB$1006:$AQ$1006,0))&gt;=100000), " ",IF(INDEX($AB$2:$AQ$1001,MATCH(ROWS($U$2:U16),$U$2:$U$1001,0),MATCH(COLUMNS($AB$1006:AN1006),$AB$1006:$AQ$1006,0)), HYPERLINK("#",""), HYPERLINK(CONCATENATE("#metadata!", ADDRESS(INDEX($W$2:$W$1001,MATCH(ROWS($U$2:U16),$U$2:$U$1001,0),0), INDEX($AB$1004:$AQ$1004,1,MATCH(COLUMNS($AB$1006:AN1006),$AB$1006:$AQ$1006,0)))),"Fix")))</f>
        <v>0</v>
      </c>
      <c r="O16" s="4">
        <f>IF(OR(INDEX($V$2:$V$1001,MATCH(ROWS($U$2:U16),$U$2:$U$1001,0),1)&gt;=100000,INDEX($AB$1005:$AQ$1005,1,MATCH(COLUMNS($AB$1006:AO1006),$AB$1006:$AQ$1006,0))&gt;=100000), " ",IF(INDEX($AB$2:$AQ$1001,MATCH(ROWS($U$2:U16),$U$2:$U$1001,0),MATCH(COLUMNS($AB$1006:AO1006),$AB$1006:$AQ$1006,0)), HYPERLINK("#",""), HYPERLINK(CONCATENATE("#metadata!", ADDRESS(INDEX($W$2:$W$1001,MATCH(ROWS($U$2:U16),$U$2:$U$1001,0),0), INDEX($AB$1004:$AQ$1004,1,MATCH(COLUMNS($AB$1006:AO1006),$AB$1006:$AQ$1006,0)))),"Fix")))</f>
        <v>0</v>
      </c>
      <c r="P16" s="4">
        <f>IF(OR(INDEX($V$2:$V$1001,MATCH(ROWS($U$2:U16),$U$2:$U$1001,0),1)&gt;=100000,INDEX($AB$1005:$AQ$1005,1,MATCH(COLUMNS($AB$1006:AP1006),$AB$1006:$AQ$1006,0))&gt;=100000), " ",IF(INDEX($AB$2:$AQ$1001,MATCH(ROWS($U$2:U16),$U$2:$U$1001,0),MATCH(COLUMNS($AB$1006:AP1006),$AB$1006:$AQ$1006,0)), HYPERLINK("#",""), HYPERLINK(CONCATENATE("#metadata!", ADDRESS(INDEX($W$2:$W$1001,MATCH(ROWS($U$2:U16),$U$2:$U$1001,0),0), INDEX($AB$1004:$AQ$1004,1,MATCH(COLUMNS($AB$1006:AP1006),$AB$1006:$AQ$1006,0)))),"Fix")))</f>
        <v>0</v>
      </c>
      <c r="Q16" s="4">
        <f>IF(OR(INDEX($V$2:$V$1001,MATCH(ROWS($U$2:U16),$U$2:$U$1001,0),1)&gt;=100000,INDEX($AB$1005:$AQ$1005,1,MATCH(COLUMNS($AB$1006:AQ1006),$AB$1006:$AQ$1006,0))&gt;=100000), " ",IF(INDEX($AB$2:$AQ$1001,MATCH(ROWS($U$2:U16),$U$2:$U$1001,0),MATCH(COLUMNS($AB$1006:AQ1006),$AB$1006:$AQ$1006,0)), HYPERLINK("#",""), HYPERLINK(CONCATENATE("#metadata!", ADDRESS(INDEX($W$2:$W$1001,MATCH(ROWS($U$2:U16),$U$2:$U$1001,0),0), INDEX($AB$1004:$AQ$1004,1,MATCH(COLUMNS($AB$1006:AQ1006),$AB$1006:$AQ$1006,0)))),"Fix")))</f>
        <v>0</v>
      </c>
      <c r="U16">
        <v>0</v>
      </c>
      <c r="V16">
        <v>0</v>
      </c>
      <c r="W16">
        <v>0</v>
      </c>
      <c r="X16">
        <f>IF(Y16,TRUE,AND(AB16:AQ16))</f>
        <v>0</v>
      </c>
      <c r="Y16">
        <f>COUNTBLANK(metadata!B16:Q16)=COLUMNS(metadata!B16:Q16)</f>
        <v>0</v>
      </c>
      <c r="Z16">
        <v>0</v>
      </c>
      <c r="AB16">
        <f>AND(IF(metadata!B16="",FALSE,TRUE),COUNTIF(metadata!B:B, metadata!B16) = 1,NOT(ISERROR(SUMPRODUCT(SEARCH(MID(metadata!B16,ROW(INDIRECT("1:"&amp;LEN(metadata!B16))), 1),"0123456789abcdefghijklmnopqrstuvwxyzABCDEFGHIJKLMNOPQRSTUVWXYZ.")))))</f>
        <v>0</v>
      </c>
      <c r="AC16">
        <f>OR(AND(IF(metadata!C16="",FALSE,TRUE),OR(exact(metadata!C16,"missing: not collected"),exact(metadata!C16,"missing: not provided"),exact(metadata!C16,"missing: restricted access"))),AND(IF(metadata!C16="",FALSE,TRUE),AND(AND(IFERROR(INT(LEFT(metadata!C16,4))&gt;1900,FALSE),IFERROR(INT(LEFT(metadata!C16,4))&lt;=YEAR(NOW()),FALSE)), OR(MID(metadata!C16,5,1)="", AND(AND(MID(metadata!C16,5,1)="-",IFERROR(INT(MID(metadata!C16,6,1))&gt;=0,FALSE),IFERROR(INT(MID(metadata!C16,6,1))&lt;=1,FALSE),NOT(MID(metadata!C16,7,1)=""),IFERROR(INT(MID(metadata!C16,6,2))&gt;=1,FALSE),IFERROR(INT(MID(metadata!C16,6,2))&lt;=12,FALSE)), OR(MID(metadata!C16,8,1)="", AND(AND(MID(metadata!C16,8,1)="-",IFERROR(INT(MID(metadata!C16,9,1))&gt;=0,FALSE),IFERROR(INT(MID(metadata!C16,9,1))&lt;=3,FALSE),NOT(MID(metadata!C16,10,1)=""),IFERROR(INT(MID(metadata!C16,9,2))&gt;=1,FALSE),IFERROR(INT(MID(metadata!C16,9,2))&lt;=31,FALSE)), OR(MID(metadata!C16,11,1)="", AND(AND(MID(metadata!C16,11,1)=" ",IFERROR(INT(MID(metadata!C16,12,1))&gt;=0,FALSE),IFERROR(INT(MID(metadata!C16,12,1))&lt;=2,FALSE),NOT(MID(metadata!C16,13,1)=""),IFERROR(INT(MID(metadata!C16,12,2))&gt;=0,FALSE),IFERROR(INT(MID(metadata!C16,12,2))&lt;=23,FALSE)), OR(MID(metadata!C16,14,1)="", AND(AND(MID(metadata!C16,14,1)=":",IFERROR(INT(MID(metadata!C16,15,1))&gt;=0,FALSE),IFERROR(INT(MID(metadata!C16,15,1))&lt;=5,FALSE),NOT(MID(metadata!C16,16,1)=""),IFERROR(INT(MID(metadata!C16,15,2))&gt;=0,FALSE),IFERROR(INT(MID(metadata!C16,15,2))&lt;=59,FALSE)), OR(MID(metadata!C16,17,1)="", AND(AND(MID(metadata!C16,17,1)=":",IFERROR(INT(MID(metadata!C16,18,1))&gt;=0,FALSE),IFERROR(INT(MID(metadata!C16,18,1))&lt;=5,FALSE),NOT(MID(metadata!C16,19,1)=""),IFERROR(INT(MID(metadata!C16,18,2))&gt;=0,FALSE),IFERROR(INT(MID(metadata!C16,18,2))&lt;=59,FALSE)), LEN(metadata!C16)&lt;=19)))))))))))))</f>
        <v>0</v>
      </c>
      <c r="AD16">
        <f>IF(metadata!D16="",FALSE,TRUE)</f>
        <v>0</v>
      </c>
      <c r="AE16">
        <f>OR(AND(IF(metadata!E16="",FALSE,TRUE),OR(exact(metadata!E16,"missing: not collected"),exact(metadata!E16,"missing: not provided"))),AND(IF(metadata!E16="",FALSE,TRUE),OR(exact(metadata!E16,"TRUE"),exact(metadata!E16,"FALSE"))))</f>
        <v>0</v>
      </c>
      <c r="AF16">
        <f>IF(metadata!F16="",FALSE,TRUE)</f>
        <v>0</v>
      </c>
      <c r="AG16">
        <f>IF(metadata!G16="",FALSE,TRUE)</f>
        <v>0</v>
      </c>
      <c r="AH16">
        <f>IF(metadata!H16="",FALSE,TRUE)</f>
        <v>0</v>
      </c>
      <c r="AI16">
        <f>OR(AND(IF(metadata!I16="",FALSE,TRUE),OR(exact(metadata!I16,"missing: not collected"),exact(metadata!I16,"missing: not provided"),exact(metadata!I16,"missing: restricted access"))),AND(IF(metadata!I16="",FALSE,TRUE),OR(exact(metadata!I16,"air"),exact(metadata!I16,"built environment"),exact(metadata!I16,"host-associated"),exact(metadata!I16,"human-associated"),exact(metadata!I16,"human-skin"),exact(metadata!I16,"human-oral"),exact(metadata!I16,"human-gut"),exact(metadata!I16,"human-vaginal"),exact(metadata!I16,"microbial mat/biofilm"),exact(metadata!I16,"misc environment"),exact(metadata!I16,"plant-associated"),exact(metadata!I16,"sediment"),exact(metadata!I16,"soil"),exact(metadata!I16,"wastewater/sludge"),exact(metadata!I16,"water"))))</f>
        <v>0</v>
      </c>
      <c r="AJ16">
        <f>IF(metadata!J16="",FALSE,TRUE)</f>
        <v>0</v>
      </c>
      <c r="AK16">
        <f>OR(AND(IF(metadata!K16="",FALSE,TRUE),OR(exact(metadata!K16,"missing: not collected"),exact(metadata!K16,"missing: not provided"),exact(metadata!K16,"missing: restricted access"))),AND(IF(metadata!K16="",FALSE,ISNUMBER(VALUE(metadata!K16))),metadata!K16&gt;=-90.00,metadata!K16&lt;=90.00))</f>
        <v>0</v>
      </c>
      <c r="AL16">
        <f>OR(AND(IF(metadata!L16="",FALSE,TRUE),OR(exact(metadata!L16,"missing: not collected"),exact(metadata!L16,"missing: not provided"),exact(metadata!L16,"missing: restricted access"))),AND(IF(metadata!L16="",FALSE,ISNUMBER(VALUE(metadata!L16))),metadata!L16&gt;=-180.00,metadata!L16&lt;=180.00))</f>
        <v>0</v>
      </c>
      <c r="AM16">
        <f>IF(metadata!M16="",FALSE,TRUE)</f>
        <v>0</v>
      </c>
      <c r="AN16">
        <f>OR(AND(IF(metadata!N16="",FALSE,TRUE),OR(exact(metadata!N16,"missing: not collected"),exact(metadata!N16,"missing: not provided"),exact(metadata!N16,"missing: restricted access"))),AND(IF(metadata!N16="",FALSE,TRUE),OR(exact(metadata!N16,"TRUE"),exact(metadata!N16,"FALSE"))))</f>
        <v>0</v>
      </c>
      <c r="AO16">
        <f>IF(metadata!O16="",FALSE,TRUE)</f>
        <v>0</v>
      </c>
      <c r="AP16">
        <f>OR(AND(IF(metadata!P16="",FALSE,TRUE),OR(exact(metadata!P16,"missing: not collected"),exact(metadata!P16,"missing: not provided"))),AND(IF(metadata!P16="",FALSE,IF(ISERROR(INT(metadata!P16)),FALSE,INT(metadata!P16)=metadata!P16)),metadata!P16&gt;0))</f>
        <v>0</v>
      </c>
      <c r="AQ16">
        <f>IF(metadata!Q16="",FALSE,TRUE)</f>
        <v>0</v>
      </c>
    </row>
    <row r="17" spans="1:43">
      <c r="A17" s="5">
        <f>IF(B17=" "," ",HYPERLINK(CONCATENATE("#metadata!",ADDRESS(INDEX($W$2:$W$1001,MATCH(ROWS($U$2:U17),$U$2:$U$1001,0),0),1)),INDEX($Z$2:$Z$1001,MATCH(ROWS($U$2:U17),$U$2:$U$1001,0),0)))</f>
        <v>0</v>
      </c>
      <c r="B17" s="4">
        <f>IF(OR(INDEX($V$2:$V$1001,MATCH(ROWS($U$2:U17),$U$2:$U$1001,0),1)&gt;=100000,INDEX($AB$1005:$AQ$1005,1,MATCH(COLUMNS($AB$1006:AB1006),$AB$1006:$AQ$1006,0))&gt;=100000), " ",IF(INDEX($AB$2:$AQ$1001,MATCH(ROWS($U$2:U17),$U$2:$U$1001,0),MATCH(COLUMNS($AB$1006:AB1006),$AB$1006:$AQ$1006,0)), HYPERLINK("#",""), HYPERLINK(CONCATENATE("#metadata!", ADDRESS(INDEX($W$2:$W$1001,MATCH(ROWS($U$2:U17),$U$2:$U$1001,0),0), INDEX($AB$1004:$AQ$1004,1,MATCH(COLUMNS($AB$1006:AB1006),$AB$1006:$AQ$1006,0)))),"Fix")))</f>
        <v>0</v>
      </c>
      <c r="C17" s="4">
        <f>IF(OR(INDEX($V$2:$V$1001,MATCH(ROWS($U$2:U17),$U$2:$U$1001,0),1)&gt;=100000,INDEX($AB$1005:$AQ$1005,1,MATCH(COLUMNS($AB$1006:AC1006),$AB$1006:$AQ$1006,0))&gt;=100000), " ",IF(INDEX($AB$2:$AQ$1001,MATCH(ROWS($U$2:U17),$U$2:$U$1001,0),MATCH(COLUMNS($AB$1006:AC1006),$AB$1006:$AQ$1006,0)), HYPERLINK("#",""), HYPERLINK(CONCATENATE("#metadata!", ADDRESS(INDEX($W$2:$W$1001,MATCH(ROWS($U$2:U17),$U$2:$U$1001,0),0), INDEX($AB$1004:$AQ$1004,1,MATCH(COLUMNS($AB$1006:AC1006),$AB$1006:$AQ$1006,0)))),"Fix")))</f>
        <v>0</v>
      </c>
      <c r="D17" s="4">
        <f>IF(OR(INDEX($V$2:$V$1001,MATCH(ROWS($U$2:U17),$U$2:$U$1001,0),1)&gt;=100000,INDEX($AB$1005:$AQ$1005,1,MATCH(COLUMNS($AB$1006:AD1006),$AB$1006:$AQ$1006,0))&gt;=100000), " ",IF(INDEX($AB$2:$AQ$1001,MATCH(ROWS($U$2:U17),$U$2:$U$1001,0),MATCH(COLUMNS($AB$1006:AD1006),$AB$1006:$AQ$1006,0)), HYPERLINK("#",""), HYPERLINK(CONCATENATE("#metadata!", ADDRESS(INDEX($W$2:$W$1001,MATCH(ROWS($U$2:U17),$U$2:$U$1001,0),0), INDEX($AB$1004:$AQ$1004,1,MATCH(COLUMNS($AB$1006:AD1006),$AB$1006:$AQ$1006,0)))),"Fix")))</f>
        <v>0</v>
      </c>
      <c r="E17" s="4">
        <f>IF(OR(INDEX($V$2:$V$1001,MATCH(ROWS($U$2:U17),$U$2:$U$1001,0),1)&gt;=100000,INDEX($AB$1005:$AQ$1005,1,MATCH(COLUMNS($AB$1006:AE1006),$AB$1006:$AQ$1006,0))&gt;=100000), " ",IF(INDEX($AB$2:$AQ$1001,MATCH(ROWS($U$2:U17),$U$2:$U$1001,0),MATCH(COLUMNS($AB$1006:AE1006),$AB$1006:$AQ$1006,0)), HYPERLINK("#",""), HYPERLINK(CONCATENATE("#metadata!", ADDRESS(INDEX($W$2:$W$1001,MATCH(ROWS($U$2:U17),$U$2:$U$1001,0),0), INDEX($AB$1004:$AQ$1004,1,MATCH(COLUMNS($AB$1006:AE1006),$AB$1006:$AQ$1006,0)))),"Fix")))</f>
        <v>0</v>
      </c>
      <c r="F17" s="4">
        <f>IF(OR(INDEX($V$2:$V$1001,MATCH(ROWS($U$2:U17),$U$2:$U$1001,0),1)&gt;=100000,INDEX($AB$1005:$AQ$1005,1,MATCH(COLUMNS($AB$1006:AF1006),$AB$1006:$AQ$1006,0))&gt;=100000), " ",IF(INDEX($AB$2:$AQ$1001,MATCH(ROWS($U$2:U17),$U$2:$U$1001,0),MATCH(COLUMNS($AB$1006:AF1006),$AB$1006:$AQ$1006,0)), HYPERLINK("#",""), HYPERLINK(CONCATENATE("#metadata!", ADDRESS(INDEX($W$2:$W$1001,MATCH(ROWS($U$2:U17),$U$2:$U$1001,0),0), INDEX($AB$1004:$AQ$1004,1,MATCH(COLUMNS($AB$1006:AF1006),$AB$1006:$AQ$1006,0)))),"Fix")))</f>
        <v>0</v>
      </c>
      <c r="G17" s="4">
        <f>IF(OR(INDEX($V$2:$V$1001,MATCH(ROWS($U$2:U17),$U$2:$U$1001,0),1)&gt;=100000,INDEX($AB$1005:$AQ$1005,1,MATCH(COLUMNS($AB$1006:AG1006),$AB$1006:$AQ$1006,0))&gt;=100000), " ",IF(INDEX($AB$2:$AQ$1001,MATCH(ROWS($U$2:U17),$U$2:$U$1001,0),MATCH(COLUMNS($AB$1006:AG1006),$AB$1006:$AQ$1006,0)), HYPERLINK("#",""), HYPERLINK(CONCATENATE("#metadata!", ADDRESS(INDEX($W$2:$W$1001,MATCH(ROWS($U$2:U17),$U$2:$U$1001,0),0), INDEX($AB$1004:$AQ$1004,1,MATCH(COLUMNS($AB$1006:AG1006),$AB$1006:$AQ$1006,0)))),"Fix")))</f>
        <v>0</v>
      </c>
      <c r="H17" s="4">
        <f>IF(OR(INDEX($V$2:$V$1001,MATCH(ROWS($U$2:U17),$U$2:$U$1001,0),1)&gt;=100000,INDEX($AB$1005:$AQ$1005,1,MATCH(COLUMNS($AB$1006:AH1006),$AB$1006:$AQ$1006,0))&gt;=100000), " ",IF(INDEX($AB$2:$AQ$1001,MATCH(ROWS($U$2:U17),$U$2:$U$1001,0),MATCH(COLUMNS($AB$1006:AH1006),$AB$1006:$AQ$1006,0)), HYPERLINK("#",""), HYPERLINK(CONCATENATE("#metadata!", ADDRESS(INDEX($W$2:$W$1001,MATCH(ROWS($U$2:U17),$U$2:$U$1001,0),0), INDEX($AB$1004:$AQ$1004,1,MATCH(COLUMNS($AB$1006:AH1006),$AB$1006:$AQ$1006,0)))),"Fix")))</f>
        <v>0</v>
      </c>
      <c r="I17" s="4">
        <f>IF(OR(INDEX($V$2:$V$1001,MATCH(ROWS($U$2:U17),$U$2:$U$1001,0),1)&gt;=100000,INDEX($AB$1005:$AQ$1005,1,MATCH(COLUMNS($AB$1006:AI1006),$AB$1006:$AQ$1006,0))&gt;=100000), " ",IF(INDEX($AB$2:$AQ$1001,MATCH(ROWS($U$2:U17),$U$2:$U$1001,0),MATCH(COLUMNS($AB$1006:AI1006),$AB$1006:$AQ$1006,0)), HYPERLINK("#",""), HYPERLINK(CONCATENATE("#metadata!", ADDRESS(INDEX($W$2:$W$1001,MATCH(ROWS($U$2:U17),$U$2:$U$1001,0),0), INDEX($AB$1004:$AQ$1004,1,MATCH(COLUMNS($AB$1006:AI1006),$AB$1006:$AQ$1006,0)))),"Fix")))</f>
        <v>0</v>
      </c>
      <c r="J17" s="4">
        <f>IF(OR(INDEX($V$2:$V$1001,MATCH(ROWS($U$2:U17),$U$2:$U$1001,0),1)&gt;=100000,INDEX($AB$1005:$AQ$1005,1,MATCH(COLUMNS($AB$1006:AJ1006),$AB$1006:$AQ$1006,0))&gt;=100000), " ",IF(INDEX($AB$2:$AQ$1001,MATCH(ROWS($U$2:U17),$U$2:$U$1001,0),MATCH(COLUMNS($AB$1006:AJ1006),$AB$1006:$AQ$1006,0)), HYPERLINK("#",""), HYPERLINK(CONCATENATE("#metadata!", ADDRESS(INDEX($W$2:$W$1001,MATCH(ROWS($U$2:U17),$U$2:$U$1001,0),0), INDEX($AB$1004:$AQ$1004,1,MATCH(COLUMNS($AB$1006:AJ1006),$AB$1006:$AQ$1006,0)))),"Fix")))</f>
        <v>0</v>
      </c>
      <c r="K17" s="4">
        <f>IF(OR(INDEX($V$2:$V$1001,MATCH(ROWS($U$2:U17),$U$2:$U$1001,0),1)&gt;=100000,INDEX($AB$1005:$AQ$1005,1,MATCH(COLUMNS($AB$1006:AK1006),$AB$1006:$AQ$1006,0))&gt;=100000), " ",IF(INDEX($AB$2:$AQ$1001,MATCH(ROWS($U$2:U17),$U$2:$U$1001,0),MATCH(COLUMNS($AB$1006:AK1006),$AB$1006:$AQ$1006,0)), HYPERLINK("#",""), HYPERLINK(CONCATENATE("#metadata!", ADDRESS(INDEX($W$2:$W$1001,MATCH(ROWS($U$2:U17),$U$2:$U$1001,0),0), INDEX($AB$1004:$AQ$1004,1,MATCH(COLUMNS($AB$1006:AK1006),$AB$1006:$AQ$1006,0)))),"Fix")))</f>
        <v>0</v>
      </c>
      <c r="L17" s="4">
        <f>IF(OR(INDEX($V$2:$V$1001,MATCH(ROWS($U$2:U17),$U$2:$U$1001,0),1)&gt;=100000,INDEX($AB$1005:$AQ$1005,1,MATCH(COLUMNS($AB$1006:AL1006),$AB$1006:$AQ$1006,0))&gt;=100000), " ",IF(INDEX($AB$2:$AQ$1001,MATCH(ROWS($U$2:U17),$U$2:$U$1001,0),MATCH(COLUMNS($AB$1006:AL1006),$AB$1006:$AQ$1006,0)), HYPERLINK("#",""), HYPERLINK(CONCATENATE("#metadata!", ADDRESS(INDEX($W$2:$W$1001,MATCH(ROWS($U$2:U17),$U$2:$U$1001,0),0), INDEX($AB$1004:$AQ$1004,1,MATCH(COLUMNS($AB$1006:AL1006),$AB$1006:$AQ$1006,0)))),"Fix")))</f>
        <v>0</v>
      </c>
      <c r="M17" s="4">
        <f>IF(OR(INDEX($V$2:$V$1001,MATCH(ROWS($U$2:U17),$U$2:$U$1001,0),1)&gt;=100000,INDEX($AB$1005:$AQ$1005,1,MATCH(COLUMNS($AB$1006:AM1006),$AB$1006:$AQ$1006,0))&gt;=100000), " ",IF(INDEX($AB$2:$AQ$1001,MATCH(ROWS($U$2:U17),$U$2:$U$1001,0),MATCH(COLUMNS($AB$1006:AM1006),$AB$1006:$AQ$1006,0)), HYPERLINK("#",""), HYPERLINK(CONCATENATE("#metadata!", ADDRESS(INDEX($W$2:$W$1001,MATCH(ROWS($U$2:U17),$U$2:$U$1001,0),0), INDEX($AB$1004:$AQ$1004,1,MATCH(COLUMNS($AB$1006:AM1006),$AB$1006:$AQ$1006,0)))),"Fix")))</f>
        <v>0</v>
      </c>
      <c r="N17" s="4">
        <f>IF(OR(INDEX($V$2:$V$1001,MATCH(ROWS($U$2:U17),$U$2:$U$1001,0),1)&gt;=100000,INDEX($AB$1005:$AQ$1005,1,MATCH(COLUMNS($AB$1006:AN1006),$AB$1006:$AQ$1006,0))&gt;=100000), " ",IF(INDEX($AB$2:$AQ$1001,MATCH(ROWS($U$2:U17),$U$2:$U$1001,0),MATCH(COLUMNS($AB$1006:AN1006),$AB$1006:$AQ$1006,0)), HYPERLINK("#",""), HYPERLINK(CONCATENATE("#metadata!", ADDRESS(INDEX($W$2:$W$1001,MATCH(ROWS($U$2:U17),$U$2:$U$1001,0),0), INDEX($AB$1004:$AQ$1004,1,MATCH(COLUMNS($AB$1006:AN1006),$AB$1006:$AQ$1006,0)))),"Fix")))</f>
        <v>0</v>
      </c>
      <c r="O17" s="4">
        <f>IF(OR(INDEX($V$2:$V$1001,MATCH(ROWS($U$2:U17),$U$2:$U$1001,0),1)&gt;=100000,INDEX($AB$1005:$AQ$1005,1,MATCH(COLUMNS($AB$1006:AO1006),$AB$1006:$AQ$1006,0))&gt;=100000), " ",IF(INDEX($AB$2:$AQ$1001,MATCH(ROWS($U$2:U17),$U$2:$U$1001,0),MATCH(COLUMNS($AB$1006:AO1006),$AB$1006:$AQ$1006,0)), HYPERLINK("#",""), HYPERLINK(CONCATENATE("#metadata!", ADDRESS(INDEX($W$2:$W$1001,MATCH(ROWS($U$2:U17),$U$2:$U$1001,0),0), INDEX($AB$1004:$AQ$1004,1,MATCH(COLUMNS($AB$1006:AO1006),$AB$1006:$AQ$1006,0)))),"Fix")))</f>
        <v>0</v>
      </c>
      <c r="P17" s="4">
        <f>IF(OR(INDEX($V$2:$V$1001,MATCH(ROWS($U$2:U17),$U$2:$U$1001,0),1)&gt;=100000,INDEX($AB$1005:$AQ$1005,1,MATCH(COLUMNS($AB$1006:AP1006),$AB$1006:$AQ$1006,0))&gt;=100000), " ",IF(INDEX($AB$2:$AQ$1001,MATCH(ROWS($U$2:U17),$U$2:$U$1001,0),MATCH(COLUMNS($AB$1006:AP1006),$AB$1006:$AQ$1006,0)), HYPERLINK("#",""), HYPERLINK(CONCATENATE("#metadata!", ADDRESS(INDEX($W$2:$W$1001,MATCH(ROWS($U$2:U17),$U$2:$U$1001,0),0), INDEX($AB$1004:$AQ$1004,1,MATCH(COLUMNS($AB$1006:AP1006),$AB$1006:$AQ$1006,0)))),"Fix")))</f>
        <v>0</v>
      </c>
      <c r="Q17" s="4">
        <f>IF(OR(INDEX($V$2:$V$1001,MATCH(ROWS($U$2:U17),$U$2:$U$1001,0),1)&gt;=100000,INDEX($AB$1005:$AQ$1005,1,MATCH(COLUMNS($AB$1006:AQ1006),$AB$1006:$AQ$1006,0))&gt;=100000), " ",IF(INDEX($AB$2:$AQ$1001,MATCH(ROWS($U$2:U17),$U$2:$U$1001,0),MATCH(COLUMNS($AB$1006:AQ1006),$AB$1006:$AQ$1006,0)), HYPERLINK("#",""), HYPERLINK(CONCATENATE("#metadata!", ADDRESS(INDEX($W$2:$W$1001,MATCH(ROWS($U$2:U17),$U$2:$U$1001,0),0), INDEX($AB$1004:$AQ$1004,1,MATCH(COLUMNS($AB$1006:AQ1006),$AB$1006:$AQ$1006,0)))),"Fix")))</f>
        <v>0</v>
      </c>
      <c r="U17">
        <v>0</v>
      </c>
      <c r="V17">
        <v>0</v>
      </c>
      <c r="W17">
        <v>0</v>
      </c>
      <c r="X17">
        <f>IF(Y17,TRUE,AND(AB17:AQ17))</f>
        <v>0</v>
      </c>
      <c r="Y17">
        <f>COUNTBLANK(metadata!B17:Q17)=COLUMNS(metadata!B17:Q17)</f>
        <v>0</v>
      </c>
      <c r="Z17">
        <v>0</v>
      </c>
      <c r="AB17">
        <f>AND(IF(metadata!B17="",FALSE,TRUE),COUNTIF(metadata!B:B, metadata!B17) = 1,NOT(ISERROR(SUMPRODUCT(SEARCH(MID(metadata!B17,ROW(INDIRECT("1:"&amp;LEN(metadata!B17))), 1),"0123456789abcdefghijklmnopqrstuvwxyzABCDEFGHIJKLMNOPQRSTUVWXYZ.")))))</f>
        <v>0</v>
      </c>
      <c r="AC17">
        <f>OR(AND(IF(metadata!C17="",FALSE,TRUE),OR(exact(metadata!C17,"missing: not collected"),exact(metadata!C17,"missing: not provided"),exact(metadata!C17,"missing: restricted access"))),AND(IF(metadata!C17="",FALSE,TRUE),AND(AND(IFERROR(INT(LEFT(metadata!C17,4))&gt;1900,FALSE),IFERROR(INT(LEFT(metadata!C17,4))&lt;=YEAR(NOW()),FALSE)), OR(MID(metadata!C17,5,1)="", AND(AND(MID(metadata!C17,5,1)="-",IFERROR(INT(MID(metadata!C17,6,1))&gt;=0,FALSE),IFERROR(INT(MID(metadata!C17,6,1))&lt;=1,FALSE),NOT(MID(metadata!C17,7,1)=""),IFERROR(INT(MID(metadata!C17,6,2))&gt;=1,FALSE),IFERROR(INT(MID(metadata!C17,6,2))&lt;=12,FALSE)), OR(MID(metadata!C17,8,1)="", AND(AND(MID(metadata!C17,8,1)="-",IFERROR(INT(MID(metadata!C17,9,1))&gt;=0,FALSE),IFERROR(INT(MID(metadata!C17,9,1))&lt;=3,FALSE),NOT(MID(metadata!C17,10,1)=""),IFERROR(INT(MID(metadata!C17,9,2))&gt;=1,FALSE),IFERROR(INT(MID(metadata!C17,9,2))&lt;=31,FALSE)), OR(MID(metadata!C17,11,1)="", AND(AND(MID(metadata!C17,11,1)=" ",IFERROR(INT(MID(metadata!C17,12,1))&gt;=0,FALSE),IFERROR(INT(MID(metadata!C17,12,1))&lt;=2,FALSE),NOT(MID(metadata!C17,13,1)=""),IFERROR(INT(MID(metadata!C17,12,2))&gt;=0,FALSE),IFERROR(INT(MID(metadata!C17,12,2))&lt;=23,FALSE)), OR(MID(metadata!C17,14,1)="", AND(AND(MID(metadata!C17,14,1)=":",IFERROR(INT(MID(metadata!C17,15,1))&gt;=0,FALSE),IFERROR(INT(MID(metadata!C17,15,1))&lt;=5,FALSE),NOT(MID(metadata!C17,16,1)=""),IFERROR(INT(MID(metadata!C17,15,2))&gt;=0,FALSE),IFERROR(INT(MID(metadata!C17,15,2))&lt;=59,FALSE)), OR(MID(metadata!C17,17,1)="", AND(AND(MID(metadata!C17,17,1)=":",IFERROR(INT(MID(metadata!C17,18,1))&gt;=0,FALSE),IFERROR(INT(MID(metadata!C17,18,1))&lt;=5,FALSE),NOT(MID(metadata!C17,19,1)=""),IFERROR(INT(MID(metadata!C17,18,2))&gt;=0,FALSE),IFERROR(INT(MID(metadata!C17,18,2))&lt;=59,FALSE)), LEN(metadata!C17)&lt;=19)))))))))))))</f>
        <v>0</v>
      </c>
      <c r="AD17">
        <f>IF(metadata!D17="",FALSE,TRUE)</f>
        <v>0</v>
      </c>
      <c r="AE17">
        <f>OR(AND(IF(metadata!E17="",FALSE,TRUE),OR(exact(metadata!E17,"missing: not collected"),exact(metadata!E17,"missing: not provided"))),AND(IF(metadata!E17="",FALSE,TRUE),OR(exact(metadata!E17,"TRUE"),exact(metadata!E17,"FALSE"))))</f>
        <v>0</v>
      </c>
      <c r="AF17">
        <f>IF(metadata!F17="",FALSE,TRUE)</f>
        <v>0</v>
      </c>
      <c r="AG17">
        <f>IF(metadata!G17="",FALSE,TRUE)</f>
        <v>0</v>
      </c>
      <c r="AH17">
        <f>IF(metadata!H17="",FALSE,TRUE)</f>
        <v>0</v>
      </c>
      <c r="AI17">
        <f>OR(AND(IF(metadata!I17="",FALSE,TRUE),OR(exact(metadata!I17,"missing: not collected"),exact(metadata!I17,"missing: not provided"),exact(metadata!I17,"missing: restricted access"))),AND(IF(metadata!I17="",FALSE,TRUE),OR(exact(metadata!I17,"air"),exact(metadata!I17,"built environment"),exact(metadata!I17,"host-associated"),exact(metadata!I17,"human-associated"),exact(metadata!I17,"human-skin"),exact(metadata!I17,"human-oral"),exact(metadata!I17,"human-gut"),exact(metadata!I17,"human-vaginal"),exact(metadata!I17,"microbial mat/biofilm"),exact(metadata!I17,"misc environment"),exact(metadata!I17,"plant-associated"),exact(metadata!I17,"sediment"),exact(metadata!I17,"soil"),exact(metadata!I17,"wastewater/sludge"),exact(metadata!I17,"water"))))</f>
        <v>0</v>
      </c>
      <c r="AJ17">
        <f>IF(metadata!J17="",FALSE,TRUE)</f>
        <v>0</v>
      </c>
      <c r="AK17">
        <f>OR(AND(IF(metadata!K17="",FALSE,TRUE),OR(exact(metadata!K17,"missing: not collected"),exact(metadata!K17,"missing: not provided"),exact(metadata!K17,"missing: restricted access"))),AND(IF(metadata!K17="",FALSE,ISNUMBER(VALUE(metadata!K17))),metadata!K17&gt;=-90.00,metadata!K17&lt;=90.00))</f>
        <v>0</v>
      </c>
      <c r="AL17">
        <f>OR(AND(IF(metadata!L17="",FALSE,TRUE),OR(exact(metadata!L17,"missing: not collected"),exact(metadata!L17,"missing: not provided"),exact(metadata!L17,"missing: restricted access"))),AND(IF(metadata!L17="",FALSE,ISNUMBER(VALUE(metadata!L17))),metadata!L17&gt;=-180.00,metadata!L17&lt;=180.00))</f>
        <v>0</v>
      </c>
      <c r="AM17">
        <f>IF(metadata!M17="",FALSE,TRUE)</f>
        <v>0</v>
      </c>
      <c r="AN17">
        <f>OR(AND(IF(metadata!N17="",FALSE,TRUE),OR(exact(metadata!N17,"missing: not collected"),exact(metadata!N17,"missing: not provided"),exact(metadata!N17,"missing: restricted access"))),AND(IF(metadata!N17="",FALSE,TRUE),OR(exact(metadata!N17,"TRUE"),exact(metadata!N17,"FALSE"))))</f>
        <v>0</v>
      </c>
      <c r="AO17">
        <f>IF(metadata!O17="",FALSE,TRUE)</f>
        <v>0</v>
      </c>
      <c r="AP17">
        <f>OR(AND(IF(metadata!P17="",FALSE,TRUE),OR(exact(metadata!P17,"missing: not collected"),exact(metadata!P17,"missing: not provided"))),AND(IF(metadata!P17="",FALSE,IF(ISERROR(INT(metadata!P17)),FALSE,INT(metadata!P17)=metadata!P17)),metadata!P17&gt;0))</f>
        <v>0</v>
      </c>
      <c r="AQ17">
        <f>IF(metadata!Q17="",FALSE,TRUE)</f>
        <v>0</v>
      </c>
    </row>
    <row r="18" spans="1:43">
      <c r="A18" s="5">
        <f>IF(B18=" "," ",HYPERLINK(CONCATENATE("#metadata!",ADDRESS(INDEX($W$2:$W$1001,MATCH(ROWS($U$2:U18),$U$2:$U$1001,0),0),1)),INDEX($Z$2:$Z$1001,MATCH(ROWS($U$2:U18),$U$2:$U$1001,0),0)))</f>
        <v>0</v>
      </c>
      <c r="B18" s="4">
        <f>IF(OR(INDEX($V$2:$V$1001,MATCH(ROWS($U$2:U18),$U$2:$U$1001,0),1)&gt;=100000,INDEX($AB$1005:$AQ$1005,1,MATCH(COLUMNS($AB$1006:AB1006),$AB$1006:$AQ$1006,0))&gt;=100000), " ",IF(INDEX($AB$2:$AQ$1001,MATCH(ROWS($U$2:U18),$U$2:$U$1001,0),MATCH(COLUMNS($AB$1006:AB1006),$AB$1006:$AQ$1006,0)), HYPERLINK("#",""), HYPERLINK(CONCATENATE("#metadata!", ADDRESS(INDEX($W$2:$W$1001,MATCH(ROWS($U$2:U18),$U$2:$U$1001,0),0), INDEX($AB$1004:$AQ$1004,1,MATCH(COLUMNS($AB$1006:AB1006),$AB$1006:$AQ$1006,0)))),"Fix")))</f>
        <v>0</v>
      </c>
      <c r="C18" s="4">
        <f>IF(OR(INDEX($V$2:$V$1001,MATCH(ROWS($U$2:U18),$U$2:$U$1001,0),1)&gt;=100000,INDEX($AB$1005:$AQ$1005,1,MATCH(COLUMNS($AB$1006:AC1006),$AB$1006:$AQ$1006,0))&gt;=100000), " ",IF(INDEX($AB$2:$AQ$1001,MATCH(ROWS($U$2:U18),$U$2:$U$1001,0),MATCH(COLUMNS($AB$1006:AC1006),$AB$1006:$AQ$1006,0)), HYPERLINK("#",""), HYPERLINK(CONCATENATE("#metadata!", ADDRESS(INDEX($W$2:$W$1001,MATCH(ROWS($U$2:U18),$U$2:$U$1001,0),0), INDEX($AB$1004:$AQ$1004,1,MATCH(COLUMNS($AB$1006:AC1006),$AB$1006:$AQ$1006,0)))),"Fix")))</f>
        <v>0</v>
      </c>
      <c r="D18" s="4">
        <f>IF(OR(INDEX($V$2:$V$1001,MATCH(ROWS($U$2:U18),$U$2:$U$1001,0),1)&gt;=100000,INDEX($AB$1005:$AQ$1005,1,MATCH(COLUMNS($AB$1006:AD1006),$AB$1006:$AQ$1006,0))&gt;=100000), " ",IF(INDEX($AB$2:$AQ$1001,MATCH(ROWS($U$2:U18),$U$2:$U$1001,0),MATCH(COLUMNS($AB$1006:AD1006),$AB$1006:$AQ$1006,0)), HYPERLINK("#",""), HYPERLINK(CONCATENATE("#metadata!", ADDRESS(INDEX($W$2:$W$1001,MATCH(ROWS($U$2:U18),$U$2:$U$1001,0),0), INDEX($AB$1004:$AQ$1004,1,MATCH(COLUMNS($AB$1006:AD1006),$AB$1006:$AQ$1006,0)))),"Fix")))</f>
        <v>0</v>
      </c>
      <c r="E18" s="4">
        <f>IF(OR(INDEX($V$2:$V$1001,MATCH(ROWS($U$2:U18),$U$2:$U$1001,0),1)&gt;=100000,INDEX($AB$1005:$AQ$1005,1,MATCH(COLUMNS($AB$1006:AE1006),$AB$1006:$AQ$1006,0))&gt;=100000), " ",IF(INDEX($AB$2:$AQ$1001,MATCH(ROWS($U$2:U18),$U$2:$U$1001,0),MATCH(COLUMNS($AB$1006:AE1006),$AB$1006:$AQ$1006,0)), HYPERLINK("#",""), HYPERLINK(CONCATENATE("#metadata!", ADDRESS(INDEX($W$2:$W$1001,MATCH(ROWS($U$2:U18),$U$2:$U$1001,0),0), INDEX($AB$1004:$AQ$1004,1,MATCH(COLUMNS($AB$1006:AE1006),$AB$1006:$AQ$1006,0)))),"Fix")))</f>
        <v>0</v>
      </c>
      <c r="F18" s="4">
        <f>IF(OR(INDEX($V$2:$V$1001,MATCH(ROWS($U$2:U18),$U$2:$U$1001,0),1)&gt;=100000,INDEX($AB$1005:$AQ$1005,1,MATCH(COLUMNS($AB$1006:AF1006),$AB$1006:$AQ$1006,0))&gt;=100000), " ",IF(INDEX($AB$2:$AQ$1001,MATCH(ROWS($U$2:U18),$U$2:$U$1001,0),MATCH(COLUMNS($AB$1006:AF1006),$AB$1006:$AQ$1006,0)), HYPERLINK("#",""), HYPERLINK(CONCATENATE("#metadata!", ADDRESS(INDEX($W$2:$W$1001,MATCH(ROWS($U$2:U18),$U$2:$U$1001,0),0), INDEX($AB$1004:$AQ$1004,1,MATCH(COLUMNS($AB$1006:AF1006),$AB$1006:$AQ$1006,0)))),"Fix")))</f>
        <v>0</v>
      </c>
      <c r="G18" s="4">
        <f>IF(OR(INDEX($V$2:$V$1001,MATCH(ROWS($U$2:U18),$U$2:$U$1001,0),1)&gt;=100000,INDEX($AB$1005:$AQ$1005,1,MATCH(COLUMNS($AB$1006:AG1006),$AB$1006:$AQ$1006,0))&gt;=100000), " ",IF(INDEX($AB$2:$AQ$1001,MATCH(ROWS($U$2:U18),$U$2:$U$1001,0),MATCH(COLUMNS($AB$1006:AG1006),$AB$1006:$AQ$1006,0)), HYPERLINK("#",""), HYPERLINK(CONCATENATE("#metadata!", ADDRESS(INDEX($W$2:$W$1001,MATCH(ROWS($U$2:U18),$U$2:$U$1001,0),0), INDEX($AB$1004:$AQ$1004,1,MATCH(COLUMNS($AB$1006:AG1006),$AB$1006:$AQ$1006,0)))),"Fix")))</f>
        <v>0</v>
      </c>
      <c r="H18" s="4">
        <f>IF(OR(INDEX($V$2:$V$1001,MATCH(ROWS($U$2:U18),$U$2:$U$1001,0),1)&gt;=100000,INDEX($AB$1005:$AQ$1005,1,MATCH(COLUMNS($AB$1006:AH1006),$AB$1006:$AQ$1006,0))&gt;=100000), " ",IF(INDEX($AB$2:$AQ$1001,MATCH(ROWS($U$2:U18),$U$2:$U$1001,0),MATCH(COLUMNS($AB$1006:AH1006),$AB$1006:$AQ$1006,0)), HYPERLINK("#",""), HYPERLINK(CONCATENATE("#metadata!", ADDRESS(INDEX($W$2:$W$1001,MATCH(ROWS($U$2:U18),$U$2:$U$1001,0),0), INDEX($AB$1004:$AQ$1004,1,MATCH(COLUMNS($AB$1006:AH1006),$AB$1006:$AQ$1006,0)))),"Fix")))</f>
        <v>0</v>
      </c>
      <c r="I18" s="4">
        <f>IF(OR(INDEX($V$2:$V$1001,MATCH(ROWS($U$2:U18),$U$2:$U$1001,0),1)&gt;=100000,INDEX($AB$1005:$AQ$1005,1,MATCH(COLUMNS($AB$1006:AI1006),$AB$1006:$AQ$1006,0))&gt;=100000), " ",IF(INDEX($AB$2:$AQ$1001,MATCH(ROWS($U$2:U18),$U$2:$U$1001,0),MATCH(COLUMNS($AB$1006:AI1006),$AB$1006:$AQ$1006,0)), HYPERLINK("#",""), HYPERLINK(CONCATENATE("#metadata!", ADDRESS(INDEX($W$2:$W$1001,MATCH(ROWS($U$2:U18),$U$2:$U$1001,0),0), INDEX($AB$1004:$AQ$1004,1,MATCH(COLUMNS($AB$1006:AI1006),$AB$1006:$AQ$1006,0)))),"Fix")))</f>
        <v>0</v>
      </c>
      <c r="J18" s="4">
        <f>IF(OR(INDEX($V$2:$V$1001,MATCH(ROWS($U$2:U18),$U$2:$U$1001,0),1)&gt;=100000,INDEX($AB$1005:$AQ$1005,1,MATCH(COLUMNS($AB$1006:AJ1006),$AB$1006:$AQ$1006,0))&gt;=100000), " ",IF(INDEX($AB$2:$AQ$1001,MATCH(ROWS($U$2:U18),$U$2:$U$1001,0),MATCH(COLUMNS($AB$1006:AJ1006),$AB$1006:$AQ$1006,0)), HYPERLINK("#",""), HYPERLINK(CONCATENATE("#metadata!", ADDRESS(INDEX($W$2:$W$1001,MATCH(ROWS($U$2:U18),$U$2:$U$1001,0),0), INDEX($AB$1004:$AQ$1004,1,MATCH(COLUMNS($AB$1006:AJ1006),$AB$1006:$AQ$1006,0)))),"Fix")))</f>
        <v>0</v>
      </c>
      <c r="K18" s="4">
        <f>IF(OR(INDEX($V$2:$V$1001,MATCH(ROWS($U$2:U18),$U$2:$U$1001,0),1)&gt;=100000,INDEX($AB$1005:$AQ$1005,1,MATCH(COLUMNS($AB$1006:AK1006),$AB$1006:$AQ$1006,0))&gt;=100000), " ",IF(INDEX($AB$2:$AQ$1001,MATCH(ROWS($U$2:U18),$U$2:$U$1001,0),MATCH(COLUMNS($AB$1006:AK1006),$AB$1006:$AQ$1006,0)), HYPERLINK("#",""), HYPERLINK(CONCATENATE("#metadata!", ADDRESS(INDEX($W$2:$W$1001,MATCH(ROWS($U$2:U18),$U$2:$U$1001,0),0), INDEX($AB$1004:$AQ$1004,1,MATCH(COLUMNS($AB$1006:AK1006),$AB$1006:$AQ$1006,0)))),"Fix")))</f>
        <v>0</v>
      </c>
      <c r="L18" s="4">
        <f>IF(OR(INDEX($V$2:$V$1001,MATCH(ROWS($U$2:U18),$U$2:$U$1001,0),1)&gt;=100000,INDEX($AB$1005:$AQ$1005,1,MATCH(COLUMNS($AB$1006:AL1006),$AB$1006:$AQ$1006,0))&gt;=100000), " ",IF(INDEX($AB$2:$AQ$1001,MATCH(ROWS($U$2:U18),$U$2:$U$1001,0),MATCH(COLUMNS($AB$1006:AL1006),$AB$1006:$AQ$1006,0)), HYPERLINK("#",""), HYPERLINK(CONCATENATE("#metadata!", ADDRESS(INDEX($W$2:$W$1001,MATCH(ROWS($U$2:U18),$U$2:$U$1001,0),0), INDEX($AB$1004:$AQ$1004,1,MATCH(COLUMNS($AB$1006:AL1006),$AB$1006:$AQ$1006,0)))),"Fix")))</f>
        <v>0</v>
      </c>
      <c r="M18" s="4">
        <f>IF(OR(INDEX($V$2:$V$1001,MATCH(ROWS($U$2:U18),$U$2:$U$1001,0),1)&gt;=100000,INDEX($AB$1005:$AQ$1005,1,MATCH(COLUMNS($AB$1006:AM1006),$AB$1006:$AQ$1006,0))&gt;=100000), " ",IF(INDEX($AB$2:$AQ$1001,MATCH(ROWS($U$2:U18),$U$2:$U$1001,0),MATCH(COLUMNS($AB$1006:AM1006),$AB$1006:$AQ$1006,0)), HYPERLINK("#",""), HYPERLINK(CONCATENATE("#metadata!", ADDRESS(INDEX($W$2:$W$1001,MATCH(ROWS($U$2:U18),$U$2:$U$1001,0),0), INDEX($AB$1004:$AQ$1004,1,MATCH(COLUMNS($AB$1006:AM1006),$AB$1006:$AQ$1006,0)))),"Fix")))</f>
        <v>0</v>
      </c>
      <c r="N18" s="4">
        <f>IF(OR(INDEX($V$2:$V$1001,MATCH(ROWS($U$2:U18),$U$2:$U$1001,0),1)&gt;=100000,INDEX($AB$1005:$AQ$1005,1,MATCH(COLUMNS($AB$1006:AN1006),$AB$1006:$AQ$1006,0))&gt;=100000), " ",IF(INDEX($AB$2:$AQ$1001,MATCH(ROWS($U$2:U18),$U$2:$U$1001,0),MATCH(COLUMNS($AB$1006:AN1006),$AB$1006:$AQ$1006,0)), HYPERLINK("#",""), HYPERLINK(CONCATENATE("#metadata!", ADDRESS(INDEX($W$2:$W$1001,MATCH(ROWS($U$2:U18),$U$2:$U$1001,0),0), INDEX($AB$1004:$AQ$1004,1,MATCH(COLUMNS($AB$1006:AN1006),$AB$1006:$AQ$1006,0)))),"Fix")))</f>
        <v>0</v>
      </c>
      <c r="O18" s="4">
        <f>IF(OR(INDEX($V$2:$V$1001,MATCH(ROWS($U$2:U18),$U$2:$U$1001,0),1)&gt;=100000,INDEX($AB$1005:$AQ$1005,1,MATCH(COLUMNS($AB$1006:AO1006),$AB$1006:$AQ$1006,0))&gt;=100000), " ",IF(INDEX($AB$2:$AQ$1001,MATCH(ROWS($U$2:U18),$U$2:$U$1001,0),MATCH(COLUMNS($AB$1006:AO1006),$AB$1006:$AQ$1006,0)), HYPERLINK("#",""), HYPERLINK(CONCATENATE("#metadata!", ADDRESS(INDEX($W$2:$W$1001,MATCH(ROWS($U$2:U18),$U$2:$U$1001,0),0), INDEX($AB$1004:$AQ$1004,1,MATCH(COLUMNS($AB$1006:AO1006),$AB$1006:$AQ$1006,0)))),"Fix")))</f>
        <v>0</v>
      </c>
      <c r="P18" s="4">
        <f>IF(OR(INDEX($V$2:$V$1001,MATCH(ROWS($U$2:U18),$U$2:$U$1001,0),1)&gt;=100000,INDEX($AB$1005:$AQ$1005,1,MATCH(COLUMNS($AB$1006:AP1006),$AB$1006:$AQ$1006,0))&gt;=100000), " ",IF(INDEX($AB$2:$AQ$1001,MATCH(ROWS($U$2:U18),$U$2:$U$1001,0),MATCH(COLUMNS($AB$1006:AP1006),$AB$1006:$AQ$1006,0)), HYPERLINK("#",""), HYPERLINK(CONCATENATE("#metadata!", ADDRESS(INDEX($W$2:$W$1001,MATCH(ROWS($U$2:U18),$U$2:$U$1001,0),0), INDEX($AB$1004:$AQ$1004,1,MATCH(COLUMNS($AB$1006:AP1006),$AB$1006:$AQ$1006,0)))),"Fix")))</f>
        <v>0</v>
      </c>
      <c r="Q18" s="4">
        <f>IF(OR(INDEX($V$2:$V$1001,MATCH(ROWS($U$2:U18),$U$2:$U$1001,0),1)&gt;=100000,INDEX($AB$1005:$AQ$1005,1,MATCH(COLUMNS($AB$1006:AQ1006),$AB$1006:$AQ$1006,0))&gt;=100000), " ",IF(INDEX($AB$2:$AQ$1001,MATCH(ROWS($U$2:U18),$U$2:$U$1001,0),MATCH(COLUMNS($AB$1006:AQ1006),$AB$1006:$AQ$1006,0)), HYPERLINK("#",""), HYPERLINK(CONCATENATE("#metadata!", ADDRESS(INDEX($W$2:$W$1001,MATCH(ROWS($U$2:U18),$U$2:$U$1001,0),0), INDEX($AB$1004:$AQ$1004,1,MATCH(COLUMNS($AB$1006:AQ1006),$AB$1006:$AQ$1006,0)))),"Fix")))</f>
        <v>0</v>
      </c>
      <c r="U18">
        <v>0</v>
      </c>
      <c r="V18">
        <v>0</v>
      </c>
      <c r="W18">
        <v>0</v>
      </c>
      <c r="X18">
        <f>IF(Y18,TRUE,AND(AB18:AQ18))</f>
        <v>0</v>
      </c>
      <c r="Y18">
        <f>COUNTBLANK(metadata!B18:Q18)=COLUMNS(metadata!B18:Q18)</f>
        <v>0</v>
      </c>
      <c r="Z18">
        <v>0</v>
      </c>
      <c r="AB18">
        <f>AND(IF(metadata!B18="",FALSE,TRUE),COUNTIF(metadata!B:B, metadata!B18) = 1,NOT(ISERROR(SUMPRODUCT(SEARCH(MID(metadata!B18,ROW(INDIRECT("1:"&amp;LEN(metadata!B18))), 1),"0123456789abcdefghijklmnopqrstuvwxyzABCDEFGHIJKLMNOPQRSTUVWXYZ.")))))</f>
        <v>0</v>
      </c>
      <c r="AC18">
        <f>OR(AND(IF(metadata!C18="",FALSE,TRUE),OR(exact(metadata!C18,"missing: not collected"),exact(metadata!C18,"missing: not provided"),exact(metadata!C18,"missing: restricted access"))),AND(IF(metadata!C18="",FALSE,TRUE),AND(AND(IFERROR(INT(LEFT(metadata!C18,4))&gt;1900,FALSE),IFERROR(INT(LEFT(metadata!C18,4))&lt;=YEAR(NOW()),FALSE)), OR(MID(metadata!C18,5,1)="", AND(AND(MID(metadata!C18,5,1)="-",IFERROR(INT(MID(metadata!C18,6,1))&gt;=0,FALSE),IFERROR(INT(MID(metadata!C18,6,1))&lt;=1,FALSE),NOT(MID(metadata!C18,7,1)=""),IFERROR(INT(MID(metadata!C18,6,2))&gt;=1,FALSE),IFERROR(INT(MID(metadata!C18,6,2))&lt;=12,FALSE)), OR(MID(metadata!C18,8,1)="", AND(AND(MID(metadata!C18,8,1)="-",IFERROR(INT(MID(metadata!C18,9,1))&gt;=0,FALSE),IFERROR(INT(MID(metadata!C18,9,1))&lt;=3,FALSE),NOT(MID(metadata!C18,10,1)=""),IFERROR(INT(MID(metadata!C18,9,2))&gt;=1,FALSE),IFERROR(INT(MID(metadata!C18,9,2))&lt;=31,FALSE)), OR(MID(metadata!C18,11,1)="", AND(AND(MID(metadata!C18,11,1)=" ",IFERROR(INT(MID(metadata!C18,12,1))&gt;=0,FALSE),IFERROR(INT(MID(metadata!C18,12,1))&lt;=2,FALSE),NOT(MID(metadata!C18,13,1)=""),IFERROR(INT(MID(metadata!C18,12,2))&gt;=0,FALSE),IFERROR(INT(MID(metadata!C18,12,2))&lt;=23,FALSE)), OR(MID(metadata!C18,14,1)="", AND(AND(MID(metadata!C18,14,1)=":",IFERROR(INT(MID(metadata!C18,15,1))&gt;=0,FALSE),IFERROR(INT(MID(metadata!C18,15,1))&lt;=5,FALSE),NOT(MID(metadata!C18,16,1)=""),IFERROR(INT(MID(metadata!C18,15,2))&gt;=0,FALSE),IFERROR(INT(MID(metadata!C18,15,2))&lt;=59,FALSE)), OR(MID(metadata!C18,17,1)="", AND(AND(MID(metadata!C18,17,1)=":",IFERROR(INT(MID(metadata!C18,18,1))&gt;=0,FALSE),IFERROR(INT(MID(metadata!C18,18,1))&lt;=5,FALSE),NOT(MID(metadata!C18,19,1)=""),IFERROR(INT(MID(metadata!C18,18,2))&gt;=0,FALSE),IFERROR(INT(MID(metadata!C18,18,2))&lt;=59,FALSE)), LEN(metadata!C18)&lt;=19)))))))))))))</f>
        <v>0</v>
      </c>
      <c r="AD18">
        <f>IF(metadata!D18="",FALSE,TRUE)</f>
        <v>0</v>
      </c>
      <c r="AE18">
        <f>OR(AND(IF(metadata!E18="",FALSE,TRUE),OR(exact(metadata!E18,"missing: not collected"),exact(metadata!E18,"missing: not provided"))),AND(IF(metadata!E18="",FALSE,TRUE),OR(exact(metadata!E18,"TRUE"),exact(metadata!E18,"FALSE"))))</f>
        <v>0</v>
      </c>
      <c r="AF18">
        <f>IF(metadata!F18="",FALSE,TRUE)</f>
        <v>0</v>
      </c>
      <c r="AG18">
        <f>IF(metadata!G18="",FALSE,TRUE)</f>
        <v>0</v>
      </c>
      <c r="AH18">
        <f>IF(metadata!H18="",FALSE,TRUE)</f>
        <v>0</v>
      </c>
      <c r="AI18">
        <f>OR(AND(IF(metadata!I18="",FALSE,TRUE),OR(exact(metadata!I18,"missing: not collected"),exact(metadata!I18,"missing: not provided"),exact(metadata!I18,"missing: restricted access"))),AND(IF(metadata!I18="",FALSE,TRUE),OR(exact(metadata!I18,"air"),exact(metadata!I18,"built environment"),exact(metadata!I18,"host-associated"),exact(metadata!I18,"human-associated"),exact(metadata!I18,"human-skin"),exact(metadata!I18,"human-oral"),exact(metadata!I18,"human-gut"),exact(metadata!I18,"human-vaginal"),exact(metadata!I18,"microbial mat/biofilm"),exact(metadata!I18,"misc environment"),exact(metadata!I18,"plant-associated"),exact(metadata!I18,"sediment"),exact(metadata!I18,"soil"),exact(metadata!I18,"wastewater/sludge"),exact(metadata!I18,"water"))))</f>
        <v>0</v>
      </c>
      <c r="AJ18">
        <f>IF(metadata!J18="",FALSE,TRUE)</f>
        <v>0</v>
      </c>
      <c r="AK18">
        <f>OR(AND(IF(metadata!K18="",FALSE,TRUE),OR(exact(metadata!K18,"missing: not collected"),exact(metadata!K18,"missing: not provided"),exact(metadata!K18,"missing: restricted access"))),AND(IF(metadata!K18="",FALSE,ISNUMBER(VALUE(metadata!K18))),metadata!K18&gt;=-90.00,metadata!K18&lt;=90.00))</f>
        <v>0</v>
      </c>
      <c r="AL18">
        <f>OR(AND(IF(metadata!L18="",FALSE,TRUE),OR(exact(metadata!L18,"missing: not collected"),exact(metadata!L18,"missing: not provided"),exact(metadata!L18,"missing: restricted access"))),AND(IF(metadata!L18="",FALSE,ISNUMBER(VALUE(metadata!L18))),metadata!L18&gt;=-180.00,metadata!L18&lt;=180.00))</f>
        <v>0</v>
      </c>
      <c r="AM18">
        <f>IF(metadata!M18="",FALSE,TRUE)</f>
        <v>0</v>
      </c>
      <c r="AN18">
        <f>OR(AND(IF(metadata!N18="",FALSE,TRUE),OR(exact(metadata!N18,"missing: not collected"),exact(metadata!N18,"missing: not provided"),exact(metadata!N18,"missing: restricted access"))),AND(IF(metadata!N18="",FALSE,TRUE),OR(exact(metadata!N18,"TRUE"),exact(metadata!N18,"FALSE"))))</f>
        <v>0</v>
      </c>
      <c r="AO18">
        <f>IF(metadata!O18="",FALSE,TRUE)</f>
        <v>0</v>
      </c>
      <c r="AP18">
        <f>OR(AND(IF(metadata!P18="",FALSE,TRUE),OR(exact(metadata!P18,"missing: not collected"),exact(metadata!P18,"missing: not provided"))),AND(IF(metadata!P18="",FALSE,IF(ISERROR(INT(metadata!P18)),FALSE,INT(metadata!P18)=metadata!P18)),metadata!P18&gt;0))</f>
        <v>0</v>
      </c>
      <c r="AQ18">
        <f>IF(metadata!Q18="",FALSE,TRUE)</f>
        <v>0</v>
      </c>
    </row>
    <row r="19" spans="1:43">
      <c r="A19" s="5">
        <f>IF(B19=" "," ",HYPERLINK(CONCATENATE("#metadata!",ADDRESS(INDEX($W$2:$W$1001,MATCH(ROWS($U$2:U19),$U$2:$U$1001,0),0),1)),INDEX($Z$2:$Z$1001,MATCH(ROWS($U$2:U19),$U$2:$U$1001,0),0)))</f>
        <v>0</v>
      </c>
      <c r="B19" s="4">
        <f>IF(OR(INDEX($V$2:$V$1001,MATCH(ROWS($U$2:U19),$U$2:$U$1001,0),1)&gt;=100000,INDEX($AB$1005:$AQ$1005,1,MATCH(COLUMNS($AB$1006:AB1006),$AB$1006:$AQ$1006,0))&gt;=100000), " ",IF(INDEX($AB$2:$AQ$1001,MATCH(ROWS($U$2:U19),$U$2:$U$1001,0),MATCH(COLUMNS($AB$1006:AB1006),$AB$1006:$AQ$1006,0)), HYPERLINK("#",""), HYPERLINK(CONCATENATE("#metadata!", ADDRESS(INDEX($W$2:$W$1001,MATCH(ROWS($U$2:U19),$U$2:$U$1001,0),0), INDEX($AB$1004:$AQ$1004,1,MATCH(COLUMNS($AB$1006:AB1006),$AB$1006:$AQ$1006,0)))),"Fix")))</f>
        <v>0</v>
      </c>
      <c r="C19" s="4">
        <f>IF(OR(INDEX($V$2:$V$1001,MATCH(ROWS($U$2:U19),$U$2:$U$1001,0),1)&gt;=100000,INDEX($AB$1005:$AQ$1005,1,MATCH(COLUMNS($AB$1006:AC1006),$AB$1006:$AQ$1006,0))&gt;=100000), " ",IF(INDEX($AB$2:$AQ$1001,MATCH(ROWS($U$2:U19),$U$2:$U$1001,0),MATCH(COLUMNS($AB$1006:AC1006),$AB$1006:$AQ$1006,0)), HYPERLINK("#",""), HYPERLINK(CONCATENATE("#metadata!", ADDRESS(INDEX($W$2:$W$1001,MATCH(ROWS($U$2:U19),$U$2:$U$1001,0),0), INDEX($AB$1004:$AQ$1004,1,MATCH(COLUMNS($AB$1006:AC1006),$AB$1006:$AQ$1006,0)))),"Fix")))</f>
        <v>0</v>
      </c>
      <c r="D19" s="4">
        <f>IF(OR(INDEX($V$2:$V$1001,MATCH(ROWS($U$2:U19),$U$2:$U$1001,0),1)&gt;=100000,INDEX($AB$1005:$AQ$1005,1,MATCH(COLUMNS($AB$1006:AD1006),$AB$1006:$AQ$1006,0))&gt;=100000), " ",IF(INDEX($AB$2:$AQ$1001,MATCH(ROWS($U$2:U19),$U$2:$U$1001,0),MATCH(COLUMNS($AB$1006:AD1006),$AB$1006:$AQ$1006,0)), HYPERLINK("#",""), HYPERLINK(CONCATENATE("#metadata!", ADDRESS(INDEX($W$2:$W$1001,MATCH(ROWS($U$2:U19),$U$2:$U$1001,0),0), INDEX($AB$1004:$AQ$1004,1,MATCH(COLUMNS($AB$1006:AD1006),$AB$1006:$AQ$1006,0)))),"Fix")))</f>
        <v>0</v>
      </c>
      <c r="E19" s="4">
        <f>IF(OR(INDEX($V$2:$V$1001,MATCH(ROWS($U$2:U19),$U$2:$U$1001,0),1)&gt;=100000,INDEX($AB$1005:$AQ$1005,1,MATCH(COLUMNS($AB$1006:AE1006),$AB$1006:$AQ$1006,0))&gt;=100000), " ",IF(INDEX($AB$2:$AQ$1001,MATCH(ROWS($U$2:U19),$U$2:$U$1001,0),MATCH(COLUMNS($AB$1006:AE1006),$AB$1006:$AQ$1006,0)), HYPERLINK("#",""), HYPERLINK(CONCATENATE("#metadata!", ADDRESS(INDEX($W$2:$W$1001,MATCH(ROWS($U$2:U19),$U$2:$U$1001,0),0), INDEX($AB$1004:$AQ$1004,1,MATCH(COLUMNS($AB$1006:AE1006),$AB$1006:$AQ$1006,0)))),"Fix")))</f>
        <v>0</v>
      </c>
      <c r="F19" s="4">
        <f>IF(OR(INDEX($V$2:$V$1001,MATCH(ROWS($U$2:U19),$U$2:$U$1001,0),1)&gt;=100000,INDEX($AB$1005:$AQ$1005,1,MATCH(COLUMNS($AB$1006:AF1006),$AB$1006:$AQ$1006,0))&gt;=100000), " ",IF(INDEX($AB$2:$AQ$1001,MATCH(ROWS($U$2:U19),$U$2:$U$1001,0),MATCH(COLUMNS($AB$1006:AF1006),$AB$1006:$AQ$1006,0)), HYPERLINK("#",""), HYPERLINK(CONCATENATE("#metadata!", ADDRESS(INDEX($W$2:$W$1001,MATCH(ROWS($U$2:U19),$U$2:$U$1001,0),0), INDEX($AB$1004:$AQ$1004,1,MATCH(COLUMNS($AB$1006:AF1006),$AB$1006:$AQ$1006,0)))),"Fix")))</f>
        <v>0</v>
      </c>
      <c r="G19" s="4">
        <f>IF(OR(INDEX($V$2:$V$1001,MATCH(ROWS($U$2:U19),$U$2:$U$1001,0),1)&gt;=100000,INDEX($AB$1005:$AQ$1005,1,MATCH(COLUMNS($AB$1006:AG1006),$AB$1006:$AQ$1006,0))&gt;=100000), " ",IF(INDEX($AB$2:$AQ$1001,MATCH(ROWS($U$2:U19),$U$2:$U$1001,0),MATCH(COLUMNS($AB$1006:AG1006),$AB$1006:$AQ$1006,0)), HYPERLINK("#",""), HYPERLINK(CONCATENATE("#metadata!", ADDRESS(INDEX($W$2:$W$1001,MATCH(ROWS($U$2:U19),$U$2:$U$1001,0),0), INDEX($AB$1004:$AQ$1004,1,MATCH(COLUMNS($AB$1006:AG1006),$AB$1006:$AQ$1006,0)))),"Fix")))</f>
        <v>0</v>
      </c>
      <c r="H19" s="4">
        <f>IF(OR(INDEX($V$2:$V$1001,MATCH(ROWS($U$2:U19),$U$2:$U$1001,0),1)&gt;=100000,INDEX($AB$1005:$AQ$1005,1,MATCH(COLUMNS($AB$1006:AH1006),$AB$1006:$AQ$1006,0))&gt;=100000), " ",IF(INDEX($AB$2:$AQ$1001,MATCH(ROWS($U$2:U19),$U$2:$U$1001,0),MATCH(COLUMNS($AB$1006:AH1006),$AB$1006:$AQ$1006,0)), HYPERLINK("#",""), HYPERLINK(CONCATENATE("#metadata!", ADDRESS(INDEX($W$2:$W$1001,MATCH(ROWS($U$2:U19),$U$2:$U$1001,0),0), INDEX($AB$1004:$AQ$1004,1,MATCH(COLUMNS($AB$1006:AH1006),$AB$1006:$AQ$1006,0)))),"Fix")))</f>
        <v>0</v>
      </c>
      <c r="I19" s="4">
        <f>IF(OR(INDEX($V$2:$V$1001,MATCH(ROWS($U$2:U19),$U$2:$U$1001,0),1)&gt;=100000,INDEX($AB$1005:$AQ$1005,1,MATCH(COLUMNS($AB$1006:AI1006),$AB$1006:$AQ$1006,0))&gt;=100000), " ",IF(INDEX($AB$2:$AQ$1001,MATCH(ROWS($U$2:U19),$U$2:$U$1001,0),MATCH(COLUMNS($AB$1006:AI1006),$AB$1006:$AQ$1006,0)), HYPERLINK("#",""), HYPERLINK(CONCATENATE("#metadata!", ADDRESS(INDEX($W$2:$W$1001,MATCH(ROWS($U$2:U19),$U$2:$U$1001,0),0), INDEX($AB$1004:$AQ$1004,1,MATCH(COLUMNS($AB$1006:AI1006),$AB$1006:$AQ$1006,0)))),"Fix")))</f>
        <v>0</v>
      </c>
      <c r="J19" s="4">
        <f>IF(OR(INDEX($V$2:$V$1001,MATCH(ROWS($U$2:U19),$U$2:$U$1001,0),1)&gt;=100000,INDEX($AB$1005:$AQ$1005,1,MATCH(COLUMNS($AB$1006:AJ1006),$AB$1006:$AQ$1006,0))&gt;=100000), " ",IF(INDEX($AB$2:$AQ$1001,MATCH(ROWS($U$2:U19),$U$2:$U$1001,0),MATCH(COLUMNS($AB$1006:AJ1006),$AB$1006:$AQ$1006,0)), HYPERLINK("#",""), HYPERLINK(CONCATENATE("#metadata!", ADDRESS(INDEX($W$2:$W$1001,MATCH(ROWS($U$2:U19),$U$2:$U$1001,0),0), INDEX($AB$1004:$AQ$1004,1,MATCH(COLUMNS($AB$1006:AJ1006),$AB$1006:$AQ$1006,0)))),"Fix")))</f>
        <v>0</v>
      </c>
      <c r="K19" s="4">
        <f>IF(OR(INDEX($V$2:$V$1001,MATCH(ROWS($U$2:U19),$U$2:$U$1001,0),1)&gt;=100000,INDEX($AB$1005:$AQ$1005,1,MATCH(COLUMNS($AB$1006:AK1006),$AB$1006:$AQ$1006,0))&gt;=100000), " ",IF(INDEX($AB$2:$AQ$1001,MATCH(ROWS($U$2:U19),$U$2:$U$1001,0),MATCH(COLUMNS($AB$1006:AK1006),$AB$1006:$AQ$1006,0)), HYPERLINK("#",""), HYPERLINK(CONCATENATE("#metadata!", ADDRESS(INDEX($W$2:$W$1001,MATCH(ROWS($U$2:U19),$U$2:$U$1001,0),0), INDEX($AB$1004:$AQ$1004,1,MATCH(COLUMNS($AB$1006:AK1006),$AB$1006:$AQ$1006,0)))),"Fix")))</f>
        <v>0</v>
      </c>
      <c r="L19" s="4">
        <f>IF(OR(INDEX($V$2:$V$1001,MATCH(ROWS($U$2:U19),$U$2:$U$1001,0),1)&gt;=100000,INDEX($AB$1005:$AQ$1005,1,MATCH(COLUMNS($AB$1006:AL1006),$AB$1006:$AQ$1006,0))&gt;=100000), " ",IF(INDEX($AB$2:$AQ$1001,MATCH(ROWS($U$2:U19),$U$2:$U$1001,0),MATCH(COLUMNS($AB$1006:AL1006),$AB$1006:$AQ$1006,0)), HYPERLINK("#",""), HYPERLINK(CONCATENATE("#metadata!", ADDRESS(INDEX($W$2:$W$1001,MATCH(ROWS($U$2:U19),$U$2:$U$1001,0),0), INDEX($AB$1004:$AQ$1004,1,MATCH(COLUMNS($AB$1006:AL1006),$AB$1006:$AQ$1006,0)))),"Fix")))</f>
        <v>0</v>
      </c>
      <c r="M19" s="4">
        <f>IF(OR(INDEX($V$2:$V$1001,MATCH(ROWS($U$2:U19),$U$2:$U$1001,0),1)&gt;=100000,INDEX($AB$1005:$AQ$1005,1,MATCH(COLUMNS($AB$1006:AM1006),$AB$1006:$AQ$1006,0))&gt;=100000), " ",IF(INDEX($AB$2:$AQ$1001,MATCH(ROWS($U$2:U19),$U$2:$U$1001,0),MATCH(COLUMNS($AB$1006:AM1006),$AB$1006:$AQ$1006,0)), HYPERLINK("#",""), HYPERLINK(CONCATENATE("#metadata!", ADDRESS(INDEX($W$2:$W$1001,MATCH(ROWS($U$2:U19),$U$2:$U$1001,0),0), INDEX($AB$1004:$AQ$1004,1,MATCH(COLUMNS($AB$1006:AM1006),$AB$1006:$AQ$1006,0)))),"Fix")))</f>
        <v>0</v>
      </c>
      <c r="N19" s="4">
        <f>IF(OR(INDEX($V$2:$V$1001,MATCH(ROWS($U$2:U19),$U$2:$U$1001,0),1)&gt;=100000,INDEX($AB$1005:$AQ$1005,1,MATCH(COLUMNS($AB$1006:AN1006),$AB$1006:$AQ$1006,0))&gt;=100000), " ",IF(INDEX($AB$2:$AQ$1001,MATCH(ROWS($U$2:U19),$U$2:$U$1001,0),MATCH(COLUMNS($AB$1006:AN1006),$AB$1006:$AQ$1006,0)), HYPERLINK("#",""), HYPERLINK(CONCATENATE("#metadata!", ADDRESS(INDEX($W$2:$W$1001,MATCH(ROWS($U$2:U19),$U$2:$U$1001,0),0), INDEX($AB$1004:$AQ$1004,1,MATCH(COLUMNS($AB$1006:AN1006),$AB$1006:$AQ$1006,0)))),"Fix")))</f>
        <v>0</v>
      </c>
      <c r="O19" s="4">
        <f>IF(OR(INDEX($V$2:$V$1001,MATCH(ROWS($U$2:U19),$U$2:$U$1001,0),1)&gt;=100000,INDEX($AB$1005:$AQ$1005,1,MATCH(COLUMNS($AB$1006:AO1006),$AB$1006:$AQ$1006,0))&gt;=100000), " ",IF(INDEX($AB$2:$AQ$1001,MATCH(ROWS($U$2:U19),$U$2:$U$1001,0),MATCH(COLUMNS($AB$1006:AO1006),$AB$1006:$AQ$1006,0)), HYPERLINK("#",""), HYPERLINK(CONCATENATE("#metadata!", ADDRESS(INDEX($W$2:$W$1001,MATCH(ROWS($U$2:U19),$U$2:$U$1001,0),0), INDEX($AB$1004:$AQ$1004,1,MATCH(COLUMNS($AB$1006:AO1006),$AB$1006:$AQ$1006,0)))),"Fix")))</f>
        <v>0</v>
      </c>
      <c r="P19" s="4">
        <f>IF(OR(INDEX($V$2:$V$1001,MATCH(ROWS($U$2:U19),$U$2:$U$1001,0),1)&gt;=100000,INDEX($AB$1005:$AQ$1005,1,MATCH(COLUMNS($AB$1006:AP1006),$AB$1006:$AQ$1006,0))&gt;=100000), " ",IF(INDEX($AB$2:$AQ$1001,MATCH(ROWS($U$2:U19),$U$2:$U$1001,0),MATCH(COLUMNS($AB$1006:AP1006),$AB$1006:$AQ$1006,0)), HYPERLINK("#",""), HYPERLINK(CONCATENATE("#metadata!", ADDRESS(INDEX($W$2:$W$1001,MATCH(ROWS($U$2:U19),$U$2:$U$1001,0),0), INDEX($AB$1004:$AQ$1004,1,MATCH(COLUMNS($AB$1006:AP1006),$AB$1006:$AQ$1006,0)))),"Fix")))</f>
        <v>0</v>
      </c>
      <c r="Q19" s="4">
        <f>IF(OR(INDEX($V$2:$V$1001,MATCH(ROWS($U$2:U19),$U$2:$U$1001,0),1)&gt;=100000,INDEX($AB$1005:$AQ$1005,1,MATCH(COLUMNS($AB$1006:AQ1006),$AB$1006:$AQ$1006,0))&gt;=100000), " ",IF(INDEX($AB$2:$AQ$1001,MATCH(ROWS($U$2:U19),$U$2:$U$1001,0),MATCH(COLUMNS($AB$1006:AQ1006),$AB$1006:$AQ$1006,0)), HYPERLINK("#",""), HYPERLINK(CONCATENATE("#metadata!", ADDRESS(INDEX($W$2:$W$1001,MATCH(ROWS($U$2:U19),$U$2:$U$1001,0),0), INDEX($AB$1004:$AQ$1004,1,MATCH(COLUMNS($AB$1006:AQ1006),$AB$1006:$AQ$1006,0)))),"Fix")))</f>
        <v>0</v>
      </c>
      <c r="U19">
        <v>0</v>
      </c>
      <c r="V19">
        <v>0</v>
      </c>
      <c r="W19">
        <v>0</v>
      </c>
      <c r="X19">
        <f>IF(Y19,TRUE,AND(AB19:AQ19))</f>
        <v>0</v>
      </c>
      <c r="Y19">
        <f>COUNTBLANK(metadata!B19:Q19)=COLUMNS(metadata!B19:Q19)</f>
        <v>0</v>
      </c>
      <c r="Z19">
        <v>0</v>
      </c>
      <c r="AB19">
        <f>AND(IF(metadata!B19="",FALSE,TRUE),COUNTIF(metadata!B:B, metadata!B19) = 1,NOT(ISERROR(SUMPRODUCT(SEARCH(MID(metadata!B19,ROW(INDIRECT("1:"&amp;LEN(metadata!B19))), 1),"0123456789abcdefghijklmnopqrstuvwxyzABCDEFGHIJKLMNOPQRSTUVWXYZ.")))))</f>
        <v>0</v>
      </c>
      <c r="AC19">
        <f>OR(AND(IF(metadata!C19="",FALSE,TRUE),OR(exact(metadata!C19,"missing: not collected"),exact(metadata!C19,"missing: not provided"),exact(metadata!C19,"missing: restricted access"))),AND(IF(metadata!C19="",FALSE,TRUE),AND(AND(IFERROR(INT(LEFT(metadata!C19,4))&gt;1900,FALSE),IFERROR(INT(LEFT(metadata!C19,4))&lt;=YEAR(NOW()),FALSE)), OR(MID(metadata!C19,5,1)="", AND(AND(MID(metadata!C19,5,1)="-",IFERROR(INT(MID(metadata!C19,6,1))&gt;=0,FALSE),IFERROR(INT(MID(metadata!C19,6,1))&lt;=1,FALSE),NOT(MID(metadata!C19,7,1)=""),IFERROR(INT(MID(metadata!C19,6,2))&gt;=1,FALSE),IFERROR(INT(MID(metadata!C19,6,2))&lt;=12,FALSE)), OR(MID(metadata!C19,8,1)="", AND(AND(MID(metadata!C19,8,1)="-",IFERROR(INT(MID(metadata!C19,9,1))&gt;=0,FALSE),IFERROR(INT(MID(metadata!C19,9,1))&lt;=3,FALSE),NOT(MID(metadata!C19,10,1)=""),IFERROR(INT(MID(metadata!C19,9,2))&gt;=1,FALSE),IFERROR(INT(MID(metadata!C19,9,2))&lt;=31,FALSE)), OR(MID(metadata!C19,11,1)="", AND(AND(MID(metadata!C19,11,1)=" ",IFERROR(INT(MID(metadata!C19,12,1))&gt;=0,FALSE),IFERROR(INT(MID(metadata!C19,12,1))&lt;=2,FALSE),NOT(MID(metadata!C19,13,1)=""),IFERROR(INT(MID(metadata!C19,12,2))&gt;=0,FALSE),IFERROR(INT(MID(metadata!C19,12,2))&lt;=23,FALSE)), OR(MID(metadata!C19,14,1)="", AND(AND(MID(metadata!C19,14,1)=":",IFERROR(INT(MID(metadata!C19,15,1))&gt;=0,FALSE),IFERROR(INT(MID(metadata!C19,15,1))&lt;=5,FALSE),NOT(MID(metadata!C19,16,1)=""),IFERROR(INT(MID(metadata!C19,15,2))&gt;=0,FALSE),IFERROR(INT(MID(metadata!C19,15,2))&lt;=59,FALSE)), OR(MID(metadata!C19,17,1)="", AND(AND(MID(metadata!C19,17,1)=":",IFERROR(INT(MID(metadata!C19,18,1))&gt;=0,FALSE),IFERROR(INT(MID(metadata!C19,18,1))&lt;=5,FALSE),NOT(MID(metadata!C19,19,1)=""),IFERROR(INT(MID(metadata!C19,18,2))&gt;=0,FALSE),IFERROR(INT(MID(metadata!C19,18,2))&lt;=59,FALSE)), LEN(metadata!C19)&lt;=19)))))))))))))</f>
        <v>0</v>
      </c>
      <c r="AD19">
        <f>IF(metadata!D19="",FALSE,TRUE)</f>
        <v>0</v>
      </c>
      <c r="AE19">
        <f>OR(AND(IF(metadata!E19="",FALSE,TRUE),OR(exact(metadata!E19,"missing: not collected"),exact(metadata!E19,"missing: not provided"))),AND(IF(metadata!E19="",FALSE,TRUE),OR(exact(metadata!E19,"TRUE"),exact(metadata!E19,"FALSE"))))</f>
        <v>0</v>
      </c>
      <c r="AF19">
        <f>IF(metadata!F19="",FALSE,TRUE)</f>
        <v>0</v>
      </c>
      <c r="AG19">
        <f>IF(metadata!G19="",FALSE,TRUE)</f>
        <v>0</v>
      </c>
      <c r="AH19">
        <f>IF(metadata!H19="",FALSE,TRUE)</f>
        <v>0</v>
      </c>
      <c r="AI19">
        <f>OR(AND(IF(metadata!I19="",FALSE,TRUE),OR(exact(metadata!I19,"missing: not collected"),exact(metadata!I19,"missing: not provided"),exact(metadata!I19,"missing: restricted access"))),AND(IF(metadata!I19="",FALSE,TRUE),OR(exact(metadata!I19,"air"),exact(metadata!I19,"built environment"),exact(metadata!I19,"host-associated"),exact(metadata!I19,"human-associated"),exact(metadata!I19,"human-skin"),exact(metadata!I19,"human-oral"),exact(metadata!I19,"human-gut"),exact(metadata!I19,"human-vaginal"),exact(metadata!I19,"microbial mat/biofilm"),exact(metadata!I19,"misc environment"),exact(metadata!I19,"plant-associated"),exact(metadata!I19,"sediment"),exact(metadata!I19,"soil"),exact(metadata!I19,"wastewater/sludge"),exact(metadata!I19,"water"))))</f>
        <v>0</v>
      </c>
      <c r="AJ19">
        <f>IF(metadata!J19="",FALSE,TRUE)</f>
        <v>0</v>
      </c>
      <c r="AK19">
        <f>OR(AND(IF(metadata!K19="",FALSE,TRUE),OR(exact(metadata!K19,"missing: not collected"),exact(metadata!K19,"missing: not provided"),exact(metadata!K19,"missing: restricted access"))),AND(IF(metadata!K19="",FALSE,ISNUMBER(VALUE(metadata!K19))),metadata!K19&gt;=-90.00,metadata!K19&lt;=90.00))</f>
        <v>0</v>
      </c>
      <c r="AL19">
        <f>OR(AND(IF(metadata!L19="",FALSE,TRUE),OR(exact(metadata!L19,"missing: not collected"),exact(metadata!L19,"missing: not provided"),exact(metadata!L19,"missing: restricted access"))),AND(IF(metadata!L19="",FALSE,ISNUMBER(VALUE(metadata!L19))),metadata!L19&gt;=-180.00,metadata!L19&lt;=180.00))</f>
        <v>0</v>
      </c>
      <c r="AM19">
        <f>IF(metadata!M19="",FALSE,TRUE)</f>
        <v>0</v>
      </c>
      <c r="AN19">
        <f>OR(AND(IF(metadata!N19="",FALSE,TRUE),OR(exact(metadata!N19,"missing: not collected"),exact(metadata!N19,"missing: not provided"),exact(metadata!N19,"missing: restricted access"))),AND(IF(metadata!N19="",FALSE,TRUE),OR(exact(metadata!N19,"TRUE"),exact(metadata!N19,"FALSE"))))</f>
        <v>0</v>
      </c>
      <c r="AO19">
        <f>IF(metadata!O19="",FALSE,TRUE)</f>
        <v>0</v>
      </c>
      <c r="AP19">
        <f>OR(AND(IF(metadata!P19="",FALSE,TRUE),OR(exact(metadata!P19,"missing: not collected"),exact(metadata!P19,"missing: not provided"))),AND(IF(metadata!P19="",FALSE,IF(ISERROR(INT(metadata!P19)),FALSE,INT(metadata!P19)=metadata!P19)),metadata!P19&gt;0))</f>
        <v>0</v>
      </c>
      <c r="AQ19">
        <f>IF(metadata!Q19="",FALSE,TRUE)</f>
        <v>0</v>
      </c>
    </row>
    <row r="20" spans="1:43">
      <c r="A20" s="5">
        <f>IF(B20=" "," ",HYPERLINK(CONCATENATE("#metadata!",ADDRESS(INDEX($W$2:$W$1001,MATCH(ROWS($U$2:U20),$U$2:$U$1001,0),0),1)),INDEX($Z$2:$Z$1001,MATCH(ROWS($U$2:U20),$U$2:$U$1001,0),0)))</f>
        <v>0</v>
      </c>
      <c r="B20" s="4">
        <f>IF(OR(INDEX($V$2:$V$1001,MATCH(ROWS($U$2:U20),$U$2:$U$1001,0),1)&gt;=100000,INDEX($AB$1005:$AQ$1005,1,MATCH(COLUMNS($AB$1006:AB1006),$AB$1006:$AQ$1006,0))&gt;=100000), " ",IF(INDEX($AB$2:$AQ$1001,MATCH(ROWS($U$2:U20),$U$2:$U$1001,0),MATCH(COLUMNS($AB$1006:AB1006),$AB$1006:$AQ$1006,0)), HYPERLINK("#",""), HYPERLINK(CONCATENATE("#metadata!", ADDRESS(INDEX($W$2:$W$1001,MATCH(ROWS($U$2:U20),$U$2:$U$1001,0),0), INDEX($AB$1004:$AQ$1004,1,MATCH(COLUMNS($AB$1006:AB1006),$AB$1006:$AQ$1006,0)))),"Fix")))</f>
        <v>0</v>
      </c>
      <c r="C20" s="4">
        <f>IF(OR(INDEX($V$2:$V$1001,MATCH(ROWS($U$2:U20),$U$2:$U$1001,0),1)&gt;=100000,INDEX($AB$1005:$AQ$1005,1,MATCH(COLUMNS($AB$1006:AC1006),$AB$1006:$AQ$1006,0))&gt;=100000), " ",IF(INDEX($AB$2:$AQ$1001,MATCH(ROWS($U$2:U20),$U$2:$U$1001,0),MATCH(COLUMNS($AB$1006:AC1006),$AB$1006:$AQ$1006,0)), HYPERLINK("#",""), HYPERLINK(CONCATENATE("#metadata!", ADDRESS(INDEX($W$2:$W$1001,MATCH(ROWS($U$2:U20),$U$2:$U$1001,0),0), INDEX($AB$1004:$AQ$1004,1,MATCH(COLUMNS($AB$1006:AC1006),$AB$1006:$AQ$1006,0)))),"Fix")))</f>
        <v>0</v>
      </c>
      <c r="D20" s="4">
        <f>IF(OR(INDEX($V$2:$V$1001,MATCH(ROWS($U$2:U20),$U$2:$U$1001,0),1)&gt;=100000,INDEX($AB$1005:$AQ$1005,1,MATCH(COLUMNS($AB$1006:AD1006),$AB$1006:$AQ$1006,0))&gt;=100000), " ",IF(INDEX($AB$2:$AQ$1001,MATCH(ROWS($U$2:U20),$U$2:$U$1001,0),MATCH(COLUMNS($AB$1006:AD1006),$AB$1006:$AQ$1006,0)), HYPERLINK("#",""), HYPERLINK(CONCATENATE("#metadata!", ADDRESS(INDEX($W$2:$W$1001,MATCH(ROWS($U$2:U20),$U$2:$U$1001,0),0), INDEX($AB$1004:$AQ$1004,1,MATCH(COLUMNS($AB$1006:AD1006),$AB$1006:$AQ$1006,0)))),"Fix")))</f>
        <v>0</v>
      </c>
      <c r="E20" s="4">
        <f>IF(OR(INDEX($V$2:$V$1001,MATCH(ROWS($U$2:U20),$U$2:$U$1001,0),1)&gt;=100000,INDEX($AB$1005:$AQ$1005,1,MATCH(COLUMNS($AB$1006:AE1006),$AB$1006:$AQ$1006,0))&gt;=100000), " ",IF(INDEX($AB$2:$AQ$1001,MATCH(ROWS($U$2:U20),$U$2:$U$1001,0),MATCH(COLUMNS($AB$1006:AE1006),$AB$1006:$AQ$1006,0)), HYPERLINK("#",""), HYPERLINK(CONCATENATE("#metadata!", ADDRESS(INDEX($W$2:$W$1001,MATCH(ROWS($U$2:U20),$U$2:$U$1001,0),0), INDEX($AB$1004:$AQ$1004,1,MATCH(COLUMNS($AB$1006:AE1006),$AB$1006:$AQ$1006,0)))),"Fix")))</f>
        <v>0</v>
      </c>
      <c r="F20" s="4">
        <f>IF(OR(INDEX($V$2:$V$1001,MATCH(ROWS($U$2:U20),$U$2:$U$1001,0),1)&gt;=100000,INDEX($AB$1005:$AQ$1005,1,MATCH(COLUMNS($AB$1006:AF1006),$AB$1006:$AQ$1006,0))&gt;=100000), " ",IF(INDEX($AB$2:$AQ$1001,MATCH(ROWS($U$2:U20),$U$2:$U$1001,0),MATCH(COLUMNS($AB$1006:AF1006),$AB$1006:$AQ$1006,0)), HYPERLINK("#",""), HYPERLINK(CONCATENATE("#metadata!", ADDRESS(INDEX($W$2:$W$1001,MATCH(ROWS($U$2:U20),$U$2:$U$1001,0),0), INDEX($AB$1004:$AQ$1004,1,MATCH(COLUMNS($AB$1006:AF1006),$AB$1006:$AQ$1006,0)))),"Fix")))</f>
        <v>0</v>
      </c>
      <c r="G20" s="4">
        <f>IF(OR(INDEX($V$2:$V$1001,MATCH(ROWS($U$2:U20),$U$2:$U$1001,0),1)&gt;=100000,INDEX($AB$1005:$AQ$1005,1,MATCH(COLUMNS($AB$1006:AG1006),$AB$1006:$AQ$1006,0))&gt;=100000), " ",IF(INDEX($AB$2:$AQ$1001,MATCH(ROWS($U$2:U20),$U$2:$U$1001,0),MATCH(COLUMNS($AB$1006:AG1006),$AB$1006:$AQ$1006,0)), HYPERLINK("#",""), HYPERLINK(CONCATENATE("#metadata!", ADDRESS(INDEX($W$2:$W$1001,MATCH(ROWS($U$2:U20),$U$2:$U$1001,0),0), INDEX($AB$1004:$AQ$1004,1,MATCH(COLUMNS($AB$1006:AG1006),$AB$1006:$AQ$1006,0)))),"Fix")))</f>
        <v>0</v>
      </c>
      <c r="H20" s="4">
        <f>IF(OR(INDEX($V$2:$V$1001,MATCH(ROWS($U$2:U20),$U$2:$U$1001,0),1)&gt;=100000,INDEX($AB$1005:$AQ$1005,1,MATCH(COLUMNS($AB$1006:AH1006),$AB$1006:$AQ$1006,0))&gt;=100000), " ",IF(INDEX($AB$2:$AQ$1001,MATCH(ROWS($U$2:U20),$U$2:$U$1001,0),MATCH(COLUMNS($AB$1006:AH1006),$AB$1006:$AQ$1006,0)), HYPERLINK("#",""), HYPERLINK(CONCATENATE("#metadata!", ADDRESS(INDEX($W$2:$W$1001,MATCH(ROWS($U$2:U20),$U$2:$U$1001,0),0), INDEX($AB$1004:$AQ$1004,1,MATCH(COLUMNS($AB$1006:AH1006),$AB$1006:$AQ$1006,0)))),"Fix")))</f>
        <v>0</v>
      </c>
      <c r="I20" s="4">
        <f>IF(OR(INDEX($V$2:$V$1001,MATCH(ROWS($U$2:U20),$U$2:$U$1001,0),1)&gt;=100000,INDEX($AB$1005:$AQ$1005,1,MATCH(COLUMNS($AB$1006:AI1006),$AB$1006:$AQ$1006,0))&gt;=100000), " ",IF(INDEX($AB$2:$AQ$1001,MATCH(ROWS($U$2:U20),$U$2:$U$1001,0),MATCH(COLUMNS($AB$1006:AI1006),$AB$1006:$AQ$1006,0)), HYPERLINK("#",""), HYPERLINK(CONCATENATE("#metadata!", ADDRESS(INDEX($W$2:$W$1001,MATCH(ROWS($U$2:U20),$U$2:$U$1001,0),0), INDEX($AB$1004:$AQ$1004,1,MATCH(COLUMNS($AB$1006:AI1006),$AB$1006:$AQ$1006,0)))),"Fix")))</f>
        <v>0</v>
      </c>
      <c r="J20" s="4">
        <f>IF(OR(INDEX($V$2:$V$1001,MATCH(ROWS($U$2:U20),$U$2:$U$1001,0),1)&gt;=100000,INDEX($AB$1005:$AQ$1005,1,MATCH(COLUMNS($AB$1006:AJ1006),$AB$1006:$AQ$1006,0))&gt;=100000), " ",IF(INDEX($AB$2:$AQ$1001,MATCH(ROWS($U$2:U20),$U$2:$U$1001,0),MATCH(COLUMNS($AB$1006:AJ1006),$AB$1006:$AQ$1006,0)), HYPERLINK("#",""), HYPERLINK(CONCATENATE("#metadata!", ADDRESS(INDEX($W$2:$W$1001,MATCH(ROWS($U$2:U20),$U$2:$U$1001,0),0), INDEX($AB$1004:$AQ$1004,1,MATCH(COLUMNS($AB$1006:AJ1006),$AB$1006:$AQ$1006,0)))),"Fix")))</f>
        <v>0</v>
      </c>
      <c r="K20" s="4">
        <f>IF(OR(INDEX($V$2:$V$1001,MATCH(ROWS($U$2:U20),$U$2:$U$1001,0),1)&gt;=100000,INDEX($AB$1005:$AQ$1005,1,MATCH(COLUMNS($AB$1006:AK1006),$AB$1006:$AQ$1006,0))&gt;=100000), " ",IF(INDEX($AB$2:$AQ$1001,MATCH(ROWS($U$2:U20),$U$2:$U$1001,0),MATCH(COLUMNS($AB$1006:AK1006),$AB$1006:$AQ$1006,0)), HYPERLINK("#",""), HYPERLINK(CONCATENATE("#metadata!", ADDRESS(INDEX($W$2:$W$1001,MATCH(ROWS($U$2:U20),$U$2:$U$1001,0),0), INDEX($AB$1004:$AQ$1004,1,MATCH(COLUMNS($AB$1006:AK1006),$AB$1006:$AQ$1006,0)))),"Fix")))</f>
        <v>0</v>
      </c>
      <c r="L20" s="4">
        <f>IF(OR(INDEX($V$2:$V$1001,MATCH(ROWS($U$2:U20),$U$2:$U$1001,0),1)&gt;=100000,INDEX($AB$1005:$AQ$1005,1,MATCH(COLUMNS($AB$1006:AL1006),$AB$1006:$AQ$1006,0))&gt;=100000), " ",IF(INDEX($AB$2:$AQ$1001,MATCH(ROWS($U$2:U20),$U$2:$U$1001,0),MATCH(COLUMNS($AB$1006:AL1006),$AB$1006:$AQ$1006,0)), HYPERLINK("#",""), HYPERLINK(CONCATENATE("#metadata!", ADDRESS(INDEX($W$2:$W$1001,MATCH(ROWS($U$2:U20),$U$2:$U$1001,0),0), INDEX($AB$1004:$AQ$1004,1,MATCH(COLUMNS($AB$1006:AL1006),$AB$1006:$AQ$1006,0)))),"Fix")))</f>
        <v>0</v>
      </c>
      <c r="M20" s="4">
        <f>IF(OR(INDEX($V$2:$V$1001,MATCH(ROWS($U$2:U20),$U$2:$U$1001,0),1)&gt;=100000,INDEX($AB$1005:$AQ$1005,1,MATCH(COLUMNS($AB$1006:AM1006),$AB$1006:$AQ$1006,0))&gt;=100000), " ",IF(INDEX($AB$2:$AQ$1001,MATCH(ROWS($U$2:U20),$U$2:$U$1001,0),MATCH(COLUMNS($AB$1006:AM1006),$AB$1006:$AQ$1006,0)), HYPERLINK("#",""), HYPERLINK(CONCATENATE("#metadata!", ADDRESS(INDEX($W$2:$W$1001,MATCH(ROWS($U$2:U20),$U$2:$U$1001,0),0), INDEX($AB$1004:$AQ$1004,1,MATCH(COLUMNS($AB$1006:AM1006),$AB$1006:$AQ$1006,0)))),"Fix")))</f>
        <v>0</v>
      </c>
      <c r="N20" s="4">
        <f>IF(OR(INDEX($V$2:$V$1001,MATCH(ROWS($U$2:U20),$U$2:$U$1001,0),1)&gt;=100000,INDEX($AB$1005:$AQ$1005,1,MATCH(COLUMNS($AB$1006:AN1006),$AB$1006:$AQ$1006,0))&gt;=100000), " ",IF(INDEX($AB$2:$AQ$1001,MATCH(ROWS($U$2:U20),$U$2:$U$1001,0),MATCH(COLUMNS($AB$1006:AN1006),$AB$1006:$AQ$1006,0)), HYPERLINK("#",""), HYPERLINK(CONCATENATE("#metadata!", ADDRESS(INDEX($W$2:$W$1001,MATCH(ROWS($U$2:U20),$U$2:$U$1001,0),0), INDEX($AB$1004:$AQ$1004,1,MATCH(COLUMNS($AB$1006:AN1006),$AB$1006:$AQ$1006,0)))),"Fix")))</f>
        <v>0</v>
      </c>
      <c r="O20" s="4">
        <f>IF(OR(INDEX($V$2:$V$1001,MATCH(ROWS($U$2:U20),$U$2:$U$1001,0),1)&gt;=100000,INDEX($AB$1005:$AQ$1005,1,MATCH(COLUMNS($AB$1006:AO1006),$AB$1006:$AQ$1006,0))&gt;=100000), " ",IF(INDEX($AB$2:$AQ$1001,MATCH(ROWS($U$2:U20),$U$2:$U$1001,0),MATCH(COLUMNS($AB$1006:AO1006),$AB$1006:$AQ$1006,0)), HYPERLINK("#",""), HYPERLINK(CONCATENATE("#metadata!", ADDRESS(INDEX($W$2:$W$1001,MATCH(ROWS($U$2:U20),$U$2:$U$1001,0),0), INDEX($AB$1004:$AQ$1004,1,MATCH(COLUMNS($AB$1006:AO1006),$AB$1006:$AQ$1006,0)))),"Fix")))</f>
        <v>0</v>
      </c>
      <c r="P20" s="4">
        <f>IF(OR(INDEX($V$2:$V$1001,MATCH(ROWS($U$2:U20),$U$2:$U$1001,0),1)&gt;=100000,INDEX($AB$1005:$AQ$1005,1,MATCH(COLUMNS($AB$1006:AP1006),$AB$1006:$AQ$1006,0))&gt;=100000), " ",IF(INDEX($AB$2:$AQ$1001,MATCH(ROWS($U$2:U20),$U$2:$U$1001,0),MATCH(COLUMNS($AB$1006:AP1006),$AB$1006:$AQ$1006,0)), HYPERLINK("#",""), HYPERLINK(CONCATENATE("#metadata!", ADDRESS(INDEX($W$2:$W$1001,MATCH(ROWS($U$2:U20),$U$2:$U$1001,0),0), INDEX($AB$1004:$AQ$1004,1,MATCH(COLUMNS($AB$1006:AP1006),$AB$1006:$AQ$1006,0)))),"Fix")))</f>
        <v>0</v>
      </c>
      <c r="Q20" s="4">
        <f>IF(OR(INDEX($V$2:$V$1001,MATCH(ROWS($U$2:U20),$U$2:$U$1001,0),1)&gt;=100000,INDEX($AB$1005:$AQ$1005,1,MATCH(COLUMNS($AB$1006:AQ1006),$AB$1006:$AQ$1006,0))&gt;=100000), " ",IF(INDEX($AB$2:$AQ$1001,MATCH(ROWS($U$2:U20),$U$2:$U$1001,0),MATCH(COLUMNS($AB$1006:AQ1006),$AB$1006:$AQ$1006,0)), HYPERLINK("#",""), HYPERLINK(CONCATENATE("#metadata!", ADDRESS(INDEX($W$2:$W$1001,MATCH(ROWS($U$2:U20),$U$2:$U$1001,0),0), INDEX($AB$1004:$AQ$1004,1,MATCH(COLUMNS($AB$1006:AQ1006),$AB$1006:$AQ$1006,0)))),"Fix")))</f>
        <v>0</v>
      </c>
      <c r="U20">
        <v>0</v>
      </c>
      <c r="V20">
        <v>0</v>
      </c>
      <c r="W20">
        <v>0</v>
      </c>
      <c r="X20">
        <f>IF(Y20,TRUE,AND(AB20:AQ20))</f>
        <v>0</v>
      </c>
      <c r="Y20">
        <f>COUNTBLANK(metadata!B20:Q20)=COLUMNS(metadata!B20:Q20)</f>
        <v>0</v>
      </c>
      <c r="Z20">
        <v>0</v>
      </c>
      <c r="AB20">
        <f>AND(IF(metadata!B20="",FALSE,TRUE),COUNTIF(metadata!B:B, metadata!B20) = 1,NOT(ISERROR(SUMPRODUCT(SEARCH(MID(metadata!B20,ROW(INDIRECT("1:"&amp;LEN(metadata!B20))), 1),"0123456789abcdefghijklmnopqrstuvwxyzABCDEFGHIJKLMNOPQRSTUVWXYZ.")))))</f>
        <v>0</v>
      </c>
      <c r="AC20">
        <f>OR(AND(IF(metadata!C20="",FALSE,TRUE),OR(exact(metadata!C20,"missing: not collected"),exact(metadata!C20,"missing: not provided"),exact(metadata!C20,"missing: restricted access"))),AND(IF(metadata!C20="",FALSE,TRUE),AND(AND(IFERROR(INT(LEFT(metadata!C20,4))&gt;1900,FALSE),IFERROR(INT(LEFT(metadata!C20,4))&lt;=YEAR(NOW()),FALSE)), OR(MID(metadata!C20,5,1)="", AND(AND(MID(metadata!C20,5,1)="-",IFERROR(INT(MID(metadata!C20,6,1))&gt;=0,FALSE),IFERROR(INT(MID(metadata!C20,6,1))&lt;=1,FALSE),NOT(MID(metadata!C20,7,1)=""),IFERROR(INT(MID(metadata!C20,6,2))&gt;=1,FALSE),IFERROR(INT(MID(metadata!C20,6,2))&lt;=12,FALSE)), OR(MID(metadata!C20,8,1)="", AND(AND(MID(metadata!C20,8,1)="-",IFERROR(INT(MID(metadata!C20,9,1))&gt;=0,FALSE),IFERROR(INT(MID(metadata!C20,9,1))&lt;=3,FALSE),NOT(MID(metadata!C20,10,1)=""),IFERROR(INT(MID(metadata!C20,9,2))&gt;=1,FALSE),IFERROR(INT(MID(metadata!C20,9,2))&lt;=31,FALSE)), OR(MID(metadata!C20,11,1)="", AND(AND(MID(metadata!C20,11,1)=" ",IFERROR(INT(MID(metadata!C20,12,1))&gt;=0,FALSE),IFERROR(INT(MID(metadata!C20,12,1))&lt;=2,FALSE),NOT(MID(metadata!C20,13,1)=""),IFERROR(INT(MID(metadata!C20,12,2))&gt;=0,FALSE),IFERROR(INT(MID(metadata!C20,12,2))&lt;=23,FALSE)), OR(MID(metadata!C20,14,1)="", AND(AND(MID(metadata!C20,14,1)=":",IFERROR(INT(MID(metadata!C20,15,1))&gt;=0,FALSE),IFERROR(INT(MID(metadata!C20,15,1))&lt;=5,FALSE),NOT(MID(metadata!C20,16,1)=""),IFERROR(INT(MID(metadata!C20,15,2))&gt;=0,FALSE),IFERROR(INT(MID(metadata!C20,15,2))&lt;=59,FALSE)), OR(MID(metadata!C20,17,1)="", AND(AND(MID(metadata!C20,17,1)=":",IFERROR(INT(MID(metadata!C20,18,1))&gt;=0,FALSE),IFERROR(INT(MID(metadata!C20,18,1))&lt;=5,FALSE),NOT(MID(metadata!C20,19,1)=""),IFERROR(INT(MID(metadata!C20,18,2))&gt;=0,FALSE),IFERROR(INT(MID(metadata!C20,18,2))&lt;=59,FALSE)), LEN(metadata!C20)&lt;=19)))))))))))))</f>
        <v>0</v>
      </c>
      <c r="AD20">
        <f>IF(metadata!D20="",FALSE,TRUE)</f>
        <v>0</v>
      </c>
      <c r="AE20">
        <f>OR(AND(IF(metadata!E20="",FALSE,TRUE),OR(exact(metadata!E20,"missing: not collected"),exact(metadata!E20,"missing: not provided"))),AND(IF(metadata!E20="",FALSE,TRUE),OR(exact(metadata!E20,"TRUE"),exact(metadata!E20,"FALSE"))))</f>
        <v>0</v>
      </c>
      <c r="AF20">
        <f>IF(metadata!F20="",FALSE,TRUE)</f>
        <v>0</v>
      </c>
      <c r="AG20">
        <f>IF(metadata!G20="",FALSE,TRUE)</f>
        <v>0</v>
      </c>
      <c r="AH20">
        <f>IF(metadata!H20="",FALSE,TRUE)</f>
        <v>0</v>
      </c>
      <c r="AI20">
        <f>OR(AND(IF(metadata!I20="",FALSE,TRUE),OR(exact(metadata!I20,"missing: not collected"),exact(metadata!I20,"missing: not provided"),exact(metadata!I20,"missing: restricted access"))),AND(IF(metadata!I20="",FALSE,TRUE),OR(exact(metadata!I20,"air"),exact(metadata!I20,"built environment"),exact(metadata!I20,"host-associated"),exact(metadata!I20,"human-associated"),exact(metadata!I20,"human-skin"),exact(metadata!I20,"human-oral"),exact(metadata!I20,"human-gut"),exact(metadata!I20,"human-vaginal"),exact(metadata!I20,"microbial mat/biofilm"),exact(metadata!I20,"misc environment"),exact(metadata!I20,"plant-associated"),exact(metadata!I20,"sediment"),exact(metadata!I20,"soil"),exact(metadata!I20,"wastewater/sludge"),exact(metadata!I20,"water"))))</f>
        <v>0</v>
      </c>
      <c r="AJ20">
        <f>IF(metadata!J20="",FALSE,TRUE)</f>
        <v>0</v>
      </c>
      <c r="AK20">
        <f>OR(AND(IF(metadata!K20="",FALSE,TRUE),OR(exact(metadata!K20,"missing: not collected"),exact(metadata!K20,"missing: not provided"),exact(metadata!K20,"missing: restricted access"))),AND(IF(metadata!K20="",FALSE,ISNUMBER(VALUE(metadata!K20))),metadata!K20&gt;=-90.00,metadata!K20&lt;=90.00))</f>
        <v>0</v>
      </c>
      <c r="AL20">
        <f>OR(AND(IF(metadata!L20="",FALSE,TRUE),OR(exact(metadata!L20,"missing: not collected"),exact(metadata!L20,"missing: not provided"),exact(metadata!L20,"missing: restricted access"))),AND(IF(metadata!L20="",FALSE,ISNUMBER(VALUE(metadata!L20))),metadata!L20&gt;=-180.00,metadata!L20&lt;=180.00))</f>
        <v>0</v>
      </c>
      <c r="AM20">
        <f>IF(metadata!M20="",FALSE,TRUE)</f>
        <v>0</v>
      </c>
      <c r="AN20">
        <f>OR(AND(IF(metadata!N20="",FALSE,TRUE),OR(exact(metadata!N20,"missing: not collected"),exact(metadata!N20,"missing: not provided"),exact(metadata!N20,"missing: restricted access"))),AND(IF(metadata!N20="",FALSE,TRUE),OR(exact(metadata!N20,"TRUE"),exact(metadata!N20,"FALSE"))))</f>
        <v>0</v>
      </c>
      <c r="AO20">
        <f>IF(metadata!O20="",FALSE,TRUE)</f>
        <v>0</v>
      </c>
      <c r="AP20">
        <f>OR(AND(IF(metadata!P20="",FALSE,TRUE),OR(exact(metadata!P20,"missing: not collected"),exact(metadata!P20,"missing: not provided"))),AND(IF(metadata!P20="",FALSE,IF(ISERROR(INT(metadata!P20)),FALSE,INT(metadata!P20)=metadata!P20)),metadata!P20&gt;0))</f>
        <v>0</v>
      </c>
      <c r="AQ20">
        <f>IF(metadata!Q20="",FALSE,TRUE)</f>
        <v>0</v>
      </c>
    </row>
    <row r="21" spans="1:43">
      <c r="A21" s="5">
        <f>IF(B21=" "," ",HYPERLINK(CONCATENATE("#metadata!",ADDRESS(INDEX($W$2:$W$1001,MATCH(ROWS($U$2:U21),$U$2:$U$1001,0),0),1)),INDEX($Z$2:$Z$1001,MATCH(ROWS($U$2:U21),$U$2:$U$1001,0),0)))</f>
        <v>0</v>
      </c>
      <c r="B21" s="4">
        <f>IF(OR(INDEX($V$2:$V$1001,MATCH(ROWS($U$2:U21),$U$2:$U$1001,0),1)&gt;=100000,INDEX($AB$1005:$AQ$1005,1,MATCH(COLUMNS($AB$1006:AB1006),$AB$1006:$AQ$1006,0))&gt;=100000), " ",IF(INDEX($AB$2:$AQ$1001,MATCH(ROWS($U$2:U21),$U$2:$U$1001,0),MATCH(COLUMNS($AB$1006:AB1006),$AB$1006:$AQ$1006,0)), HYPERLINK("#",""), HYPERLINK(CONCATENATE("#metadata!", ADDRESS(INDEX($W$2:$W$1001,MATCH(ROWS($U$2:U21),$U$2:$U$1001,0),0), INDEX($AB$1004:$AQ$1004,1,MATCH(COLUMNS($AB$1006:AB1006),$AB$1006:$AQ$1006,0)))),"Fix")))</f>
        <v>0</v>
      </c>
      <c r="C21" s="4">
        <f>IF(OR(INDEX($V$2:$V$1001,MATCH(ROWS($U$2:U21),$U$2:$U$1001,0),1)&gt;=100000,INDEX($AB$1005:$AQ$1005,1,MATCH(COLUMNS($AB$1006:AC1006),$AB$1006:$AQ$1006,0))&gt;=100000), " ",IF(INDEX($AB$2:$AQ$1001,MATCH(ROWS($U$2:U21),$U$2:$U$1001,0),MATCH(COLUMNS($AB$1006:AC1006),$AB$1006:$AQ$1006,0)), HYPERLINK("#",""), HYPERLINK(CONCATENATE("#metadata!", ADDRESS(INDEX($W$2:$W$1001,MATCH(ROWS($U$2:U21),$U$2:$U$1001,0),0), INDEX($AB$1004:$AQ$1004,1,MATCH(COLUMNS($AB$1006:AC1006),$AB$1006:$AQ$1006,0)))),"Fix")))</f>
        <v>0</v>
      </c>
      <c r="D21" s="4">
        <f>IF(OR(INDEX($V$2:$V$1001,MATCH(ROWS($U$2:U21),$U$2:$U$1001,0),1)&gt;=100000,INDEX($AB$1005:$AQ$1005,1,MATCH(COLUMNS($AB$1006:AD1006),$AB$1006:$AQ$1006,0))&gt;=100000), " ",IF(INDEX($AB$2:$AQ$1001,MATCH(ROWS($U$2:U21),$U$2:$U$1001,0),MATCH(COLUMNS($AB$1006:AD1006),$AB$1006:$AQ$1006,0)), HYPERLINK("#",""), HYPERLINK(CONCATENATE("#metadata!", ADDRESS(INDEX($W$2:$W$1001,MATCH(ROWS($U$2:U21),$U$2:$U$1001,0),0), INDEX($AB$1004:$AQ$1004,1,MATCH(COLUMNS($AB$1006:AD1006),$AB$1006:$AQ$1006,0)))),"Fix")))</f>
        <v>0</v>
      </c>
      <c r="E21" s="4">
        <f>IF(OR(INDEX($V$2:$V$1001,MATCH(ROWS($U$2:U21),$U$2:$U$1001,0),1)&gt;=100000,INDEX($AB$1005:$AQ$1005,1,MATCH(COLUMNS($AB$1006:AE1006),$AB$1006:$AQ$1006,0))&gt;=100000), " ",IF(INDEX($AB$2:$AQ$1001,MATCH(ROWS($U$2:U21),$U$2:$U$1001,0),MATCH(COLUMNS($AB$1006:AE1006),$AB$1006:$AQ$1006,0)), HYPERLINK("#",""), HYPERLINK(CONCATENATE("#metadata!", ADDRESS(INDEX($W$2:$W$1001,MATCH(ROWS($U$2:U21),$U$2:$U$1001,0),0), INDEX($AB$1004:$AQ$1004,1,MATCH(COLUMNS($AB$1006:AE1006),$AB$1006:$AQ$1006,0)))),"Fix")))</f>
        <v>0</v>
      </c>
      <c r="F21" s="4">
        <f>IF(OR(INDEX($V$2:$V$1001,MATCH(ROWS($U$2:U21),$U$2:$U$1001,0),1)&gt;=100000,INDEX($AB$1005:$AQ$1005,1,MATCH(COLUMNS($AB$1006:AF1006),$AB$1006:$AQ$1006,0))&gt;=100000), " ",IF(INDEX($AB$2:$AQ$1001,MATCH(ROWS($U$2:U21),$U$2:$U$1001,0),MATCH(COLUMNS($AB$1006:AF1006),$AB$1006:$AQ$1006,0)), HYPERLINK("#",""), HYPERLINK(CONCATENATE("#metadata!", ADDRESS(INDEX($W$2:$W$1001,MATCH(ROWS($U$2:U21),$U$2:$U$1001,0),0), INDEX($AB$1004:$AQ$1004,1,MATCH(COLUMNS($AB$1006:AF1006),$AB$1006:$AQ$1006,0)))),"Fix")))</f>
        <v>0</v>
      </c>
      <c r="G21" s="4">
        <f>IF(OR(INDEX($V$2:$V$1001,MATCH(ROWS($U$2:U21),$U$2:$U$1001,0),1)&gt;=100000,INDEX($AB$1005:$AQ$1005,1,MATCH(COLUMNS($AB$1006:AG1006),$AB$1006:$AQ$1006,0))&gt;=100000), " ",IF(INDEX($AB$2:$AQ$1001,MATCH(ROWS($U$2:U21),$U$2:$U$1001,0),MATCH(COLUMNS($AB$1006:AG1006),$AB$1006:$AQ$1006,0)), HYPERLINK("#",""), HYPERLINK(CONCATENATE("#metadata!", ADDRESS(INDEX($W$2:$W$1001,MATCH(ROWS($U$2:U21),$U$2:$U$1001,0),0), INDEX($AB$1004:$AQ$1004,1,MATCH(COLUMNS($AB$1006:AG1006),$AB$1006:$AQ$1006,0)))),"Fix")))</f>
        <v>0</v>
      </c>
      <c r="H21" s="4">
        <f>IF(OR(INDEX($V$2:$V$1001,MATCH(ROWS($U$2:U21),$U$2:$U$1001,0),1)&gt;=100000,INDEX($AB$1005:$AQ$1005,1,MATCH(COLUMNS($AB$1006:AH1006),$AB$1006:$AQ$1006,0))&gt;=100000), " ",IF(INDEX($AB$2:$AQ$1001,MATCH(ROWS($U$2:U21),$U$2:$U$1001,0),MATCH(COLUMNS($AB$1006:AH1006),$AB$1006:$AQ$1006,0)), HYPERLINK("#",""), HYPERLINK(CONCATENATE("#metadata!", ADDRESS(INDEX($W$2:$W$1001,MATCH(ROWS($U$2:U21),$U$2:$U$1001,0),0), INDEX($AB$1004:$AQ$1004,1,MATCH(COLUMNS($AB$1006:AH1006),$AB$1006:$AQ$1006,0)))),"Fix")))</f>
        <v>0</v>
      </c>
      <c r="I21" s="4">
        <f>IF(OR(INDEX($V$2:$V$1001,MATCH(ROWS($U$2:U21),$U$2:$U$1001,0),1)&gt;=100000,INDEX($AB$1005:$AQ$1005,1,MATCH(COLUMNS($AB$1006:AI1006),$AB$1006:$AQ$1006,0))&gt;=100000), " ",IF(INDEX($AB$2:$AQ$1001,MATCH(ROWS($U$2:U21),$U$2:$U$1001,0),MATCH(COLUMNS($AB$1006:AI1006),$AB$1006:$AQ$1006,0)), HYPERLINK("#",""), HYPERLINK(CONCATENATE("#metadata!", ADDRESS(INDEX($W$2:$W$1001,MATCH(ROWS($U$2:U21),$U$2:$U$1001,0),0), INDEX($AB$1004:$AQ$1004,1,MATCH(COLUMNS($AB$1006:AI1006),$AB$1006:$AQ$1006,0)))),"Fix")))</f>
        <v>0</v>
      </c>
      <c r="J21" s="4">
        <f>IF(OR(INDEX($V$2:$V$1001,MATCH(ROWS($U$2:U21),$U$2:$U$1001,0),1)&gt;=100000,INDEX($AB$1005:$AQ$1005,1,MATCH(COLUMNS($AB$1006:AJ1006),$AB$1006:$AQ$1006,0))&gt;=100000), " ",IF(INDEX($AB$2:$AQ$1001,MATCH(ROWS($U$2:U21),$U$2:$U$1001,0),MATCH(COLUMNS($AB$1006:AJ1006),$AB$1006:$AQ$1006,0)), HYPERLINK("#",""), HYPERLINK(CONCATENATE("#metadata!", ADDRESS(INDEX($W$2:$W$1001,MATCH(ROWS($U$2:U21),$U$2:$U$1001,0),0), INDEX($AB$1004:$AQ$1004,1,MATCH(COLUMNS($AB$1006:AJ1006),$AB$1006:$AQ$1006,0)))),"Fix")))</f>
        <v>0</v>
      </c>
      <c r="K21" s="4">
        <f>IF(OR(INDEX($V$2:$V$1001,MATCH(ROWS($U$2:U21),$U$2:$U$1001,0),1)&gt;=100000,INDEX($AB$1005:$AQ$1005,1,MATCH(COLUMNS($AB$1006:AK1006),$AB$1006:$AQ$1006,0))&gt;=100000), " ",IF(INDEX($AB$2:$AQ$1001,MATCH(ROWS($U$2:U21),$U$2:$U$1001,0),MATCH(COLUMNS($AB$1006:AK1006),$AB$1006:$AQ$1006,0)), HYPERLINK("#",""), HYPERLINK(CONCATENATE("#metadata!", ADDRESS(INDEX($W$2:$W$1001,MATCH(ROWS($U$2:U21),$U$2:$U$1001,0),0), INDEX($AB$1004:$AQ$1004,1,MATCH(COLUMNS($AB$1006:AK1006),$AB$1006:$AQ$1006,0)))),"Fix")))</f>
        <v>0</v>
      </c>
      <c r="L21" s="4">
        <f>IF(OR(INDEX($V$2:$V$1001,MATCH(ROWS($U$2:U21),$U$2:$U$1001,0),1)&gt;=100000,INDEX($AB$1005:$AQ$1005,1,MATCH(COLUMNS($AB$1006:AL1006),$AB$1006:$AQ$1006,0))&gt;=100000), " ",IF(INDEX($AB$2:$AQ$1001,MATCH(ROWS($U$2:U21),$U$2:$U$1001,0),MATCH(COLUMNS($AB$1006:AL1006),$AB$1006:$AQ$1006,0)), HYPERLINK("#",""), HYPERLINK(CONCATENATE("#metadata!", ADDRESS(INDEX($W$2:$W$1001,MATCH(ROWS($U$2:U21),$U$2:$U$1001,0),0), INDEX($AB$1004:$AQ$1004,1,MATCH(COLUMNS($AB$1006:AL1006),$AB$1006:$AQ$1006,0)))),"Fix")))</f>
        <v>0</v>
      </c>
      <c r="M21" s="4">
        <f>IF(OR(INDEX($V$2:$V$1001,MATCH(ROWS($U$2:U21),$U$2:$U$1001,0),1)&gt;=100000,INDEX($AB$1005:$AQ$1005,1,MATCH(COLUMNS($AB$1006:AM1006),$AB$1006:$AQ$1006,0))&gt;=100000), " ",IF(INDEX($AB$2:$AQ$1001,MATCH(ROWS($U$2:U21),$U$2:$U$1001,0),MATCH(COLUMNS($AB$1006:AM1006),$AB$1006:$AQ$1006,0)), HYPERLINK("#",""), HYPERLINK(CONCATENATE("#metadata!", ADDRESS(INDEX($W$2:$W$1001,MATCH(ROWS($U$2:U21),$U$2:$U$1001,0),0), INDEX($AB$1004:$AQ$1004,1,MATCH(COLUMNS($AB$1006:AM1006),$AB$1006:$AQ$1006,0)))),"Fix")))</f>
        <v>0</v>
      </c>
      <c r="N21" s="4">
        <f>IF(OR(INDEX($V$2:$V$1001,MATCH(ROWS($U$2:U21),$U$2:$U$1001,0),1)&gt;=100000,INDEX($AB$1005:$AQ$1005,1,MATCH(COLUMNS($AB$1006:AN1006),$AB$1006:$AQ$1006,0))&gt;=100000), " ",IF(INDEX($AB$2:$AQ$1001,MATCH(ROWS($U$2:U21),$U$2:$U$1001,0),MATCH(COLUMNS($AB$1006:AN1006),$AB$1006:$AQ$1006,0)), HYPERLINK("#",""), HYPERLINK(CONCATENATE("#metadata!", ADDRESS(INDEX($W$2:$W$1001,MATCH(ROWS($U$2:U21),$U$2:$U$1001,0),0), INDEX($AB$1004:$AQ$1004,1,MATCH(COLUMNS($AB$1006:AN1006),$AB$1006:$AQ$1006,0)))),"Fix")))</f>
        <v>0</v>
      </c>
      <c r="O21" s="4">
        <f>IF(OR(INDEX($V$2:$V$1001,MATCH(ROWS($U$2:U21),$U$2:$U$1001,0),1)&gt;=100000,INDEX($AB$1005:$AQ$1005,1,MATCH(COLUMNS($AB$1006:AO1006),$AB$1006:$AQ$1006,0))&gt;=100000), " ",IF(INDEX($AB$2:$AQ$1001,MATCH(ROWS($U$2:U21),$U$2:$U$1001,0),MATCH(COLUMNS($AB$1006:AO1006),$AB$1006:$AQ$1006,0)), HYPERLINK("#",""), HYPERLINK(CONCATENATE("#metadata!", ADDRESS(INDEX($W$2:$W$1001,MATCH(ROWS($U$2:U21),$U$2:$U$1001,0),0), INDEX($AB$1004:$AQ$1004,1,MATCH(COLUMNS($AB$1006:AO1006),$AB$1006:$AQ$1006,0)))),"Fix")))</f>
        <v>0</v>
      </c>
      <c r="P21" s="4">
        <f>IF(OR(INDEX($V$2:$V$1001,MATCH(ROWS($U$2:U21),$U$2:$U$1001,0),1)&gt;=100000,INDEX($AB$1005:$AQ$1005,1,MATCH(COLUMNS($AB$1006:AP1006),$AB$1006:$AQ$1006,0))&gt;=100000), " ",IF(INDEX($AB$2:$AQ$1001,MATCH(ROWS($U$2:U21),$U$2:$U$1001,0),MATCH(COLUMNS($AB$1006:AP1006),$AB$1006:$AQ$1006,0)), HYPERLINK("#",""), HYPERLINK(CONCATENATE("#metadata!", ADDRESS(INDEX($W$2:$W$1001,MATCH(ROWS($U$2:U21),$U$2:$U$1001,0),0), INDEX($AB$1004:$AQ$1004,1,MATCH(COLUMNS($AB$1006:AP1006),$AB$1006:$AQ$1006,0)))),"Fix")))</f>
        <v>0</v>
      </c>
      <c r="Q21" s="4">
        <f>IF(OR(INDEX($V$2:$V$1001,MATCH(ROWS($U$2:U21),$U$2:$U$1001,0),1)&gt;=100000,INDEX($AB$1005:$AQ$1005,1,MATCH(COLUMNS($AB$1006:AQ1006),$AB$1006:$AQ$1006,0))&gt;=100000), " ",IF(INDEX($AB$2:$AQ$1001,MATCH(ROWS($U$2:U21),$U$2:$U$1001,0),MATCH(COLUMNS($AB$1006:AQ1006),$AB$1006:$AQ$1006,0)), HYPERLINK("#",""), HYPERLINK(CONCATENATE("#metadata!", ADDRESS(INDEX($W$2:$W$1001,MATCH(ROWS($U$2:U21),$U$2:$U$1001,0),0), INDEX($AB$1004:$AQ$1004,1,MATCH(COLUMNS($AB$1006:AQ1006),$AB$1006:$AQ$1006,0)))),"Fix")))</f>
        <v>0</v>
      </c>
      <c r="U21">
        <v>0</v>
      </c>
      <c r="V21">
        <v>0</v>
      </c>
      <c r="W21">
        <v>0</v>
      </c>
      <c r="X21">
        <f>IF(Y21,TRUE,AND(AB21:AQ21))</f>
        <v>0</v>
      </c>
      <c r="Y21">
        <f>COUNTBLANK(metadata!B21:Q21)=COLUMNS(metadata!B21:Q21)</f>
        <v>0</v>
      </c>
      <c r="Z21">
        <v>0</v>
      </c>
      <c r="AB21">
        <f>AND(IF(metadata!B21="",FALSE,TRUE),COUNTIF(metadata!B:B, metadata!B21) = 1,NOT(ISERROR(SUMPRODUCT(SEARCH(MID(metadata!B21,ROW(INDIRECT("1:"&amp;LEN(metadata!B21))), 1),"0123456789abcdefghijklmnopqrstuvwxyzABCDEFGHIJKLMNOPQRSTUVWXYZ.")))))</f>
        <v>0</v>
      </c>
      <c r="AC21">
        <f>OR(AND(IF(metadata!C21="",FALSE,TRUE),OR(exact(metadata!C21,"missing: not collected"),exact(metadata!C21,"missing: not provided"),exact(metadata!C21,"missing: restricted access"))),AND(IF(metadata!C21="",FALSE,TRUE),AND(AND(IFERROR(INT(LEFT(metadata!C21,4))&gt;1900,FALSE),IFERROR(INT(LEFT(metadata!C21,4))&lt;=YEAR(NOW()),FALSE)), OR(MID(metadata!C21,5,1)="", AND(AND(MID(metadata!C21,5,1)="-",IFERROR(INT(MID(metadata!C21,6,1))&gt;=0,FALSE),IFERROR(INT(MID(metadata!C21,6,1))&lt;=1,FALSE),NOT(MID(metadata!C21,7,1)=""),IFERROR(INT(MID(metadata!C21,6,2))&gt;=1,FALSE),IFERROR(INT(MID(metadata!C21,6,2))&lt;=12,FALSE)), OR(MID(metadata!C21,8,1)="", AND(AND(MID(metadata!C21,8,1)="-",IFERROR(INT(MID(metadata!C21,9,1))&gt;=0,FALSE),IFERROR(INT(MID(metadata!C21,9,1))&lt;=3,FALSE),NOT(MID(metadata!C21,10,1)=""),IFERROR(INT(MID(metadata!C21,9,2))&gt;=1,FALSE),IFERROR(INT(MID(metadata!C21,9,2))&lt;=31,FALSE)), OR(MID(metadata!C21,11,1)="", AND(AND(MID(metadata!C21,11,1)=" ",IFERROR(INT(MID(metadata!C21,12,1))&gt;=0,FALSE),IFERROR(INT(MID(metadata!C21,12,1))&lt;=2,FALSE),NOT(MID(metadata!C21,13,1)=""),IFERROR(INT(MID(metadata!C21,12,2))&gt;=0,FALSE),IFERROR(INT(MID(metadata!C21,12,2))&lt;=23,FALSE)), OR(MID(metadata!C21,14,1)="", AND(AND(MID(metadata!C21,14,1)=":",IFERROR(INT(MID(metadata!C21,15,1))&gt;=0,FALSE),IFERROR(INT(MID(metadata!C21,15,1))&lt;=5,FALSE),NOT(MID(metadata!C21,16,1)=""),IFERROR(INT(MID(metadata!C21,15,2))&gt;=0,FALSE),IFERROR(INT(MID(metadata!C21,15,2))&lt;=59,FALSE)), OR(MID(metadata!C21,17,1)="", AND(AND(MID(metadata!C21,17,1)=":",IFERROR(INT(MID(metadata!C21,18,1))&gt;=0,FALSE),IFERROR(INT(MID(metadata!C21,18,1))&lt;=5,FALSE),NOT(MID(metadata!C21,19,1)=""),IFERROR(INT(MID(metadata!C21,18,2))&gt;=0,FALSE),IFERROR(INT(MID(metadata!C21,18,2))&lt;=59,FALSE)), LEN(metadata!C21)&lt;=19)))))))))))))</f>
        <v>0</v>
      </c>
      <c r="AD21">
        <f>IF(metadata!D21="",FALSE,TRUE)</f>
        <v>0</v>
      </c>
      <c r="AE21">
        <f>OR(AND(IF(metadata!E21="",FALSE,TRUE),OR(exact(metadata!E21,"missing: not collected"),exact(metadata!E21,"missing: not provided"))),AND(IF(metadata!E21="",FALSE,TRUE),OR(exact(metadata!E21,"TRUE"),exact(metadata!E21,"FALSE"))))</f>
        <v>0</v>
      </c>
      <c r="AF21">
        <f>IF(metadata!F21="",FALSE,TRUE)</f>
        <v>0</v>
      </c>
      <c r="AG21">
        <f>IF(metadata!G21="",FALSE,TRUE)</f>
        <v>0</v>
      </c>
      <c r="AH21">
        <f>IF(metadata!H21="",FALSE,TRUE)</f>
        <v>0</v>
      </c>
      <c r="AI21">
        <f>OR(AND(IF(metadata!I21="",FALSE,TRUE),OR(exact(metadata!I21,"missing: not collected"),exact(metadata!I21,"missing: not provided"),exact(metadata!I21,"missing: restricted access"))),AND(IF(metadata!I21="",FALSE,TRUE),OR(exact(metadata!I21,"air"),exact(metadata!I21,"built environment"),exact(metadata!I21,"host-associated"),exact(metadata!I21,"human-associated"),exact(metadata!I21,"human-skin"),exact(metadata!I21,"human-oral"),exact(metadata!I21,"human-gut"),exact(metadata!I21,"human-vaginal"),exact(metadata!I21,"microbial mat/biofilm"),exact(metadata!I21,"misc environment"),exact(metadata!I21,"plant-associated"),exact(metadata!I21,"sediment"),exact(metadata!I21,"soil"),exact(metadata!I21,"wastewater/sludge"),exact(metadata!I21,"water"))))</f>
        <v>0</v>
      </c>
      <c r="AJ21">
        <f>IF(metadata!J21="",FALSE,TRUE)</f>
        <v>0</v>
      </c>
      <c r="AK21">
        <f>OR(AND(IF(metadata!K21="",FALSE,TRUE),OR(exact(metadata!K21,"missing: not collected"),exact(metadata!K21,"missing: not provided"),exact(metadata!K21,"missing: restricted access"))),AND(IF(metadata!K21="",FALSE,ISNUMBER(VALUE(metadata!K21))),metadata!K21&gt;=-90.00,metadata!K21&lt;=90.00))</f>
        <v>0</v>
      </c>
      <c r="AL21">
        <f>OR(AND(IF(metadata!L21="",FALSE,TRUE),OR(exact(metadata!L21,"missing: not collected"),exact(metadata!L21,"missing: not provided"),exact(metadata!L21,"missing: restricted access"))),AND(IF(metadata!L21="",FALSE,ISNUMBER(VALUE(metadata!L21))),metadata!L21&gt;=-180.00,metadata!L21&lt;=180.00))</f>
        <v>0</v>
      </c>
      <c r="AM21">
        <f>IF(metadata!M21="",FALSE,TRUE)</f>
        <v>0</v>
      </c>
      <c r="AN21">
        <f>OR(AND(IF(metadata!N21="",FALSE,TRUE),OR(exact(metadata!N21,"missing: not collected"),exact(metadata!N21,"missing: not provided"),exact(metadata!N21,"missing: restricted access"))),AND(IF(metadata!N21="",FALSE,TRUE),OR(exact(metadata!N21,"TRUE"),exact(metadata!N21,"FALSE"))))</f>
        <v>0</v>
      </c>
      <c r="AO21">
        <f>IF(metadata!O21="",FALSE,TRUE)</f>
        <v>0</v>
      </c>
      <c r="AP21">
        <f>OR(AND(IF(metadata!P21="",FALSE,TRUE),OR(exact(metadata!P21,"missing: not collected"),exact(metadata!P21,"missing: not provided"))),AND(IF(metadata!P21="",FALSE,IF(ISERROR(INT(metadata!P21)),FALSE,INT(metadata!P21)=metadata!P21)),metadata!P21&gt;0))</f>
        <v>0</v>
      </c>
      <c r="AQ21">
        <f>IF(metadata!Q21="",FALSE,TRUE)</f>
        <v>0</v>
      </c>
    </row>
    <row r="22" spans="1:43">
      <c r="A22" s="5">
        <f>IF(B22=" "," ",HYPERLINK(CONCATENATE("#metadata!",ADDRESS(INDEX($W$2:$W$1001,MATCH(ROWS($U$2:U22),$U$2:$U$1001,0),0),1)),INDEX($Z$2:$Z$1001,MATCH(ROWS($U$2:U22),$U$2:$U$1001,0),0)))</f>
        <v>0</v>
      </c>
      <c r="B22" s="4">
        <f>IF(OR(INDEX($V$2:$V$1001,MATCH(ROWS($U$2:U22),$U$2:$U$1001,0),1)&gt;=100000,INDEX($AB$1005:$AQ$1005,1,MATCH(COLUMNS($AB$1006:AB1006),$AB$1006:$AQ$1006,0))&gt;=100000), " ",IF(INDEX($AB$2:$AQ$1001,MATCH(ROWS($U$2:U22),$U$2:$U$1001,0),MATCH(COLUMNS($AB$1006:AB1006),$AB$1006:$AQ$1006,0)), HYPERLINK("#",""), HYPERLINK(CONCATENATE("#metadata!", ADDRESS(INDEX($W$2:$W$1001,MATCH(ROWS($U$2:U22),$U$2:$U$1001,0),0), INDEX($AB$1004:$AQ$1004,1,MATCH(COLUMNS($AB$1006:AB1006),$AB$1006:$AQ$1006,0)))),"Fix")))</f>
        <v>0</v>
      </c>
      <c r="C22" s="4">
        <f>IF(OR(INDEX($V$2:$V$1001,MATCH(ROWS($U$2:U22),$U$2:$U$1001,0),1)&gt;=100000,INDEX($AB$1005:$AQ$1005,1,MATCH(COLUMNS($AB$1006:AC1006),$AB$1006:$AQ$1006,0))&gt;=100000), " ",IF(INDEX($AB$2:$AQ$1001,MATCH(ROWS($U$2:U22),$U$2:$U$1001,0),MATCH(COLUMNS($AB$1006:AC1006),$AB$1006:$AQ$1006,0)), HYPERLINK("#",""), HYPERLINK(CONCATENATE("#metadata!", ADDRESS(INDEX($W$2:$W$1001,MATCH(ROWS($U$2:U22),$U$2:$U$1001,0),0), INDEX($AB$1004:$AQ$1004,1,MATCH(COLUMNS($AB$1006:AC1006),$AB$1006:$AQ$1006,0)))),"Fix")))</f>
        <v>0</v>
      </c>
      <c r="D22" s="4">
        <f>IF(OR(INDEX($V$2:$V$1001,MATCH(ROWS($U$2:U22),$U$2:$U$1001,0),1)&gt;=100000,INDEX($AB$1005:$AQ$1005,1,MATCH(COLUMNS($AB$1006:AD1006),$AB$1006:$AQ$1006,0))&gt;=100000), " ",IF(INDEX($AB$2:$AQ$1001,MATCH(ROWS($U$2:U22),$U$2:$U$1001,0),MATCH(COLUMNS($AB$1006:AD1006),$AB$1006:$AQ$1006,0)), HYPERLINK("#",""), HYPERLINK(CONCATENATE("#metadata!", ADDRESS(INDEX($W$2:$W$1001,MATCH(ROWS($U$2:U22),$U$2:$U$1001,0),0), INDEX($AB$1004:$AQ$1004,1,MATCH(COLUMNS($AB$1006:AD1006),$AB$1006:$AQ$1006,0)))),"Fix")))</f>
        <v>0</v>
      </c>
      <c r="E22" s="4">
        <f>IF(OR(INDEX($V$2:$V$1001,MATCH(ROWS($U$2:U22),$U$2:$U$1001,0),1)&gt;=100000,INDEX($AB$1005:$AQ$1005,1,MATCH(COLUMNS($AB$1006:AE1006),$AB$1006:$AQ$1006,0))&gt;=100000), " ",IF(INDEX($AB$2:$AQ$1001,MATCH(ROWS($U$2:U22),$U$2:$U$1001,0),MATCH(COLUMNS($AB$1006:AE1006),$AB$1006:$AQ$1006,0)), HYPERLINK("#",""), HYPERLINK(CONCATENATE("#metadata!", ADDRESS(INDEX($W$2:$W$1001,MATCH(ROWS($U$2:U22),$U$2:$U$1001,0),0), INDEX($AB$1004:$AQ$1004,1,MATCH(COLUMNS($AB$1006:AE1006),$AB$1006:$AQ$1006,0)))),"Fix")))</f>
        <v>0</v>
      </c>
      <c r="F22" s="4">
        <f>IF(OR(INDEX($V$2:$V$1001,MATCH(ROWS($U$2:U22),$U$2:$U$1001,0),1)&gt;=100000,INDEX($AB$1005:$AQ$1005,1,MATCH(COLUMNS($AB$1006:AF1006),$AB$1006:$AQ$1006,0))&gt;=100000), " ",IF(INDEX($AB$2:$AQ$1001,MATCH(ROWS($U$2:U22),$U$2:$U$1001,0),MATCH(COLUMNS($AB$1006:AF1006),$AB$1006:$AQ$1006,0)), HYPERLINK("#",""), HYPERLINK(CONCATENATE("#metadata!", ADDRESS(INDEX($W$2:$W$1001,MATCH(ROWS($U$2:U22),$U$2:$U$1001,0),0), INDEX($AB$1004:$AQ$1004,1,MATCH(COLUMNS($AB$1006:AF1006),$AB$1006:$AQ$1006,0)))),"Fix")))</f>
        <v>0</v>
      </c>
      <c r="G22" s="4">
        <f>IF(OR(INDEX($V$2:$V$1001,MATCH(ROWS($U$2:U22),$U$2:$U$1001,0),1)&gt;=100000,INDEX($AB$1005:$AQ$1005,1,MATCH(COLUMNS($AB$1006:AG1006),$AB$1006:$AQ$1006,0))&gt;=100000), " ",IF(INDEX($AB$2:$AQ$1001,MATCH(ROWS($U$2:U22),$U$2:$U$1001,0),MATCH(COLUMNS($AB$1006:AG1006),$AB$1006:$AQ$1006,0)), HYPERLINK("#",""), HYPERLINK(CONCATENATE("#metadata!", ADDRESS(INDEX($W$2:$W$1001,MATCH(ROWS($U$2:U22),$U$2:$U$1001,0),0), INDEX($AB$1004:$AQ$1004,1,MATCH(COLUMNS($AB$1006:AG1006),$AB$1006:$AQ$1006,0)))),"Fix")))</f>
        <v>0</v>
      </c>
      <c r="H22" s="4">
        <f>IF(OR(INDEX($V$2:$V$1001,MATCH(ROWS($U$2:U22),$U$2:$U$1001,0),1)&gt;=100000,INDEX($AB$1005:$AQ$1005,1,MATCH(COLUMNS($AB$1006:AH1006),$AB$1006:$AQ$1006,0))&gt;=100000), " ",IF(INDEX($AB$2:$AQ$1001,MATCH(ROWS($U$2:U22),$U$2:$U$1001,0),MATCH(COLUMNS($AB$1006:AH1006),$AB$1006:$AQ$1006,0)), HYPERLINK("#",""), HYPERLINK(CONCATENATE("#metadata!", ADDRESS(INDEX($W$2:$W$1001,MATCH(ROWS($U$2:U22),$U$2:$U$1001,0),0), INDEX($AB$1004:$AQ$1004,1,MATCH(COLUMNS($AB$1006:AH1006),$AB$1006:$AQ$1006,0)))),"Fix")))</f>
        <v>0</v>
      </c>
      <c r="I22" s="4">
        <f>IF(OR(INDEX($V$2:$V$1001,MATCH(ROWS($U$2:U22),$U$2:$U$1001,0),1)&gt;=100000,INDEX($AB$1005:$AQ$1005,1,MATCH(COLUMNS($AB$1006:AI1006),$AB$1006:$AQ$1006,0))&gt;=100000), " ",IF(INDEX($AB$2:$AQ$1001,MATCH(ROWS($U$2:U22),$U$2:$U$1001,0),MATCH(COLUMNS($AB$1006:AI1006),$AB$1006:$AQ$1006,0)), HYPERLINK("#",""), HYPERLINK(CONCATENATE("#metadata!", ADDRESS(INDEX($W$2:$W$1001,MATCH(ROWS($U$2:U22),$U$2:$U$1001,0),0), INDEX($AB$1004:$AQ$1004,1,MATCH(COLUMNS($AB$1006:AI1006),$AB$1006:$AQ$1006,0)))),"Fix")))</f>
        <v>0</v>
      </c>
      <c r="J22" s="4">
        <f>IF(OR(INDEX($V$2:$V$1001,MATCH(ROWS($U$2:U22),$U$2:$U$1001,0),1)&gt;=100000,INDEX($AB$1005:$AQ$1005,1,MATCH(COLUMNS($AB$1006:AJ1006),$AB$1006:$AQ$1006,0))&gt;=100000), " ",IF(INDEX($AB$2:$AQ$1001,MATCH(ROWS($U$2:U22),$U$2:$U$1001,0),MATCH(COLUMNS($AB$1006:AJ1006),$AB$1006:$AQ$1006,0)), HYPERLINK("#",""), HYPERLINK(CONCATENATE("#metadata!", ADDRESS(INDEX($W$2:$W$1001,MATCH(ROWS($U$2:U22),$U$2:$U$1001,0),0), INDEX($AB$1004:$AQ$1004,1,MATCH(COLUMNS($AB$1006:AJ1006),$AB$1006:$AQ$1006,0)))),"Fix")))</f>
        <v>0</v>
      </c>
      <c r="K22" s="4">
        <f>IF(OR(INDEX($V$2:$V$1001,MATCH(ROWS($U$2:U22),$U$2:$U$1001,0),1)&gt;=100000,INDEX($AB$1005:$AQ$1005,1,MATCH(COLUMNS($AB$1006:AK1006),$AB$1006:$AQ$1006,0))&gt;=100000), " ",IF(INDEX($AB$2:$AQ$1001,MATCH(ROWS($U$2:U22),$U$2:$U$1001,0),MATCH(COLUMNS($AB$1006:AK1006),$AB$1006:$AQ$1006,0)), HYPERLINK("#",""), HYPERLINK(CONCATENATE("#metadata!", ADDRESS(INDEX($W$2:$W$1001,MATCH(ROWS($U$2:U22),$U$2:$U$1001,0),0), INDEX($AB$1004:$AQ$1004,1,MATCH(COLUMNS($AB$1006:AK1006),$AB$1006:$AQ$1006,0)))),"Fix")))</f>
        <v>0</v>
      </c>
      <c r="L22" s="4">
        <f>IF(OR(INDEX($V$2:$V$1001,MATCH(ROWS($U$2:U22),$U$2:$U$1001,0),1)&gt;=100000,INDEX($AB$1005:$AQ$1005,1,MATCH(COLUMNS($AB$1006:AL1006),$AB$1006:$AQ$1006,0))&gt;=100000), " ",IF(INDEX($AB$2:$AQ$1001,MATCH(ROWS($U$2:U22),$U$2:$U$1001,0),MATCH(COLUMNS($AB$1006:AL1006),$AB$1006:$AQ$1006,0)), HYPERLINK("#",""), HYPERLINK(CONCATENATE("#metadata!", ADDRESS(INDEX($W$2:$W$1001,MATCH(ROWS($U$2:U22),$U$2:$U$1001,0),0), INDEX($AB$1004:$AQ$1004,1,MATCH(COLUMNS($AB$1006:AL1006),$AB$1006:$AQ$1006,0)))),"Fix")))</f>
        <v>0</v>
      </c>
      <c r="M22" s="4">
        <f>IF(OR(INDEX($V$2:$V$1001,MATCH(ROWS($U$2:U22),$U$2:$U$1001,0),1)&gt;=100000,INDEX($AB$1005:$AQ$1005,1,MATCH(COLUMNS($AB$1006:AM1006),$AB$1006:$AQ$1006,0))&gt;=100000), " ",IF(INDEX($AB$2:$AQ$1001,MATCH(ROWS($U$2:U22),$U$2:$U$1001,0),MATCH(COLUMNS($AB$1006:AM1006),$AB$1006:$AQ$1006,0)), HYPERLINK("#",""), HYPERLINK(CONCATENATE("#metadata!", ADDRESS(INDEX($W$2:$W$1001,MATCH(ROWS($U$2:U22),$U$2:$U$1001,0),0), INDEX($AB$1004:$AQ$1004,1,MATCH(COLUMNS($AB$1006:AM1006),$AB$1006:$AQ$1006,0)))),"Fix")))</f>
        <v>0</v>
      </c>
      <c r="N22" s="4">
        <f>IF(OR(INDEX($V$2:$V$1001,MATCH(ROWS($U$2:U22),$U$2:$U$1001,0),1)&gt;=100000,INDEX($AB$1005:$AQ$1005,1,MATCH(COLUMNS($AB$1006:AN1006),$AB$1006:$AQ$1006,0))&gt;=100000), " ",IF(INDEX($AB$2:$AQ$1001,MATCH(ROWS($U$2:U22),$U$2:$U$1001,0),MATCH(COLUMNS($AB$1006:AN1006),$AB$1006:$AQ$1006,0)), HYPERLINK("#",""), HYPERLINK(CONCATENATE("#metadata!", ADDRESS(INDEX($W$2:$W$1001,MATCH(ROWS($U$2:U22),$U$2:$U$1001,0),0), INDEX($AB$1004:$AQ$1004,1,MATCH(COLUMNS($AB$1006:AN1006),$AB$1006:$AQ$1006,0)))),"Fix")))</f>
        <v>0</v>
      </c>
      <c r="O22" s="4">
        <f>IF(OR(INDEX($V$2:$V$1001,MATCH(ROWS($U$2:U22),$U$2:$U$1001,0),1)&gt;=100000,INDEX($AB$1005:$AQ$1005,1,MATCH(COLUMNS($AB$1006:AO1006),$AB$1006:$AQ$1006,0))&gt;=100000), " ",IF(INDEX($AB$2:$AQ$1001,MATCH(ROWS($U$2:U22),$U$2:$U$1001,0),MATCH(COLUMNS($AB$1006:AO1006),$AB$1006:$AQ$1006,0)), HYPERLINK("#",""), HYPERLINK(CONCATENATE("#metadata!", ADDRESS(INDEX($W$2:$W$1001,MATCH(ROWS($U$2:U22),$U$2:$U$1001,0),0), INDEX($AB$1004:$AQ$1004,1,MATCH(COLUMNS($AB$1006:AO1006),$AB$1006:$AQ$1006,0)))),"Fix")))</f>
        <v>0</v>
      </c>
      <c r="P22" s="4">
        <f>IF(OR(INDEX($V$2:$V$1001,MATCH(ROWS($U$2:U22),$U$2:$U$1001,0),1)&gt;=100000,INDEX($AB$1005:$AQ$1005,1,MATCH(COLUMNS($AB$1006:AP1006),$AB$1006:$AQ$1006,0))&gt;=100000), " ",IF(INDEX($AB$2:$AQ$1001,MATCH(ROWS($U$2:U22),$U$2:$U$1001,0),MATCH(COLUMNS($AB$1006:AP1006),$AB$1006:$AQ$1006,0)), HYPERLINK("#",""), HYPERLINK(CONCATENATE("#metadata!", ADDRESS(INDEX($W$2:$W$1001,MATCH(ROWS($U$2:U22),$U$2:$U$1001,0),0), INDEX($AB$1004:$AQ$1004,1,MATCH(COLUMNS($AB$1006:AP1006),$AB$1006:$AQ$1006,0)))),"Fix")))</f>
        <v>0</v>
      </c>
      <c r="Q22" s="4">
        <f>IF(OR(INDEX($V$2:$V$1001,MATCH(ROWS($U$2:U22),$U$2:$U$1001,0),1)&gt;=100000,INDEX($AB$1005:$AQ$1005,1,MATCH(COLUMNS($AB$1006:AQ1006),$AB$1006:$AQ$1006,0))&gt;=100000), " ",IF(INDEX($AB$2:$AQ$1001,MATCH(ROWS($U$2:U22),$U$2:$U$1001,0),MATCH(COLUMNS($AB$1006:AQ1006),$AB$1006:$AQ$1006,0)), HYPERLINK("#",""), HYPERLINK(CONCATENATE("#metadata!", ADDRESS(INDEX($W$2:$W$1001,MATCH(ROWS($U$2:U22),$U$2:$U$1001,0),0), INDEX($AB$1004:$AQ$1004,1,MATCH(COLUMNS($AB$1006:AQ1006),$AB$1006:$AQ$1006,0)))),"Fix")))</f>
        <v>0</v>
      </c>
      <c r="U22">
        <v>0</v>
      </c>
      <c r="V22">
        <v>0</v>
      </c>
      <c r="W22">
        <v>0</v>
      </c>
      <c r="X22">
        <f>IF(Y22,TRUE,AND(AB22:AQ22))</f>
        <v>0</v>
      </c>
      <c r="Y22">
        <f>COUNTBLANK(metadata!B22:Q22)=COLUMNS(metadata!B22:Q22)</f>
        <v>0</v>
      </c>
      <c r="Z22">
        <v>0</v>
      </c>
      <c r="AB22">
        <f>AND(IF(metadata!B22="",FALSE,TRUE),COUNTIF(metadata!B:B, metadata!B22) = 1,NOT(ISERROR(SUMPRODUCT(SEARCH(MID(metadata!B22,ROW(INDIRECT("1:"&amp;LEN(metadata!B22))), 1),"0123456789abcdefghijklmnopqrstuvwxyzABCDEFGHIJKLMNOPQRSTUVWXYZ.")))))</f>
        <v>0</v>
      </c>
      <c r="AC22">
        <f>OR(AND(IF(metadata!C22="",FALSE,TRUE),OR(exact(metadata!C22,"missing: not collected"),exact(metadata!C22,"missing: not provided"),exact(metadata!C22,"missing: restricted access"))),AND(IF(metadata!C22="",FALSE,TRUE),AND(AND(IFERROR(INT(LEFT(metadata!C22,4))&gt;1900,FALSE),IFERROR(INT(LEFT(metadata!C22,4))&lt;=YEAR(NOW()),FALSE)), OR(MID(metadata!C22,5,1)="", AND(AND(MID(metadata!C22,5,1)="-",IFERROR(INT(MID(metadata!C22,6,1))&gt;=0,FALSE),IFERROR(INT(MID(metadata!C22,6,1))&lt;=1,FALSE),NOT(MID(metadata!C22,7,1)=""),IFERROR(INT(MID(metadata!C22,6,2))&gt;=1,FALSE),IFERROR(INT(MID(metadata!C22,6,2))&lt;=12,FALSE)), OR(MID(metadata!C22,8,1)="", AND(AND(MID(metadata!C22,8,1)="-",IFERROR(INT(MID(metadata!C22,9,1))&gt;=0,FALSE),IFERROR(INT(MID(metadata!C22,9,1))&lt;=3,FALSE),NOT(MID(metadata!C22,10,1)=""),IFERROR(INT(MID(metadata!C22,9,2))&gt;=1,FALSE),IFERROR(INT(MID(metadata!C22,9,2))&lt;=31,FALSE)), OR(MID(metadata!C22,11,1)="", AND(AND(MID(metadata!C22,11,1)=" ",IFERROR(INT(MID(metadata!C22,12,1))&gt;=0,FALSE),IFERROR(INT(MID(metadata!C22,12,1))&lt;=2,FALSE),NOT(MID(metadata!C22,13,1)=""),IFERROR(INT(MID(metadata!C22,12,2))&gt;=0,FALSE),IFERROR(INT(MID(metadata!C22,12,2))&lt;=23,FALSE)), OR(MID(metadata!C22,14,1)="", AND(AND(MID(metadata!C22,14,1)=":",IFERROR(INT(MID(metadata!C22,15,1))&gt;=0,FALSE),IFERROR(INT(MID(metadata!C22,15,1))&lt;=5,FALSE),NOT(MID(metadata!C22,16,1)=""),IFERROR(INT(MID(metadata!C22,15,2))&gt;=0,FALSE),IFERROR(INT(MID(metadata!C22,15,2))&lt;=59,FALSE)), OR(MID(metadata!C22,17,1)="", AND(AND(MID(metadata!C22,17,1)=":",IFERROR(INT(MID(metadata!C22,18,1))&gt;=0,FALSE),IFERROR(INT(MID(metadata!C22,18,1))&lt;=5,FALSE),NOT(MID(metadata!C22,19,1)=""),IFERROR(INT(MID(metadata!C22,18,2))&gt;=0,FALSE),IFERROR(INT(MID(metadata!C22,18,2))&lt;=59,FALSE)), LEN(metadata!C22)&lt;=19)))))))))))))</f>
        <v>0</v>
      </c>
      <c r="AD22">
        <f>IF(metadata!D22="",FALSE,TRUE)</f>
        <v>0</v>
      </c>
      <c r="AE22">
        <f>OR(AND(IF(metadata!E22="",FALSE,TRUE),OR(exact(metadata!E22,"missing: not collected"),exact(metadata!E22,"missing: not provided"))),AND(IF(metadata!E22="",FALSE,TRUE),OR(exact(metadata!E22,"TRUE"),exact(metadata!E22,"FALSE"))))</f>
        <v>0</v>
      </c>
      <c r="AF22">
        <f>IF(metadata!F22="",FALSE,TRUE)</f>
        <v>0</v>
      </c>
      <c r="AG22">
        <f>IF(metadata!G22="",FALSE,TRUE)</f>
        <v>0</v>
      </c>
      <c r="AH22">
        <f>IF(metadata!H22="",FALSE,TRUE)</f>
        <v>0</v>
      </c>
      <c r="AI22">
        <f>OR(AND(IF(metadata!I22="",FALSE,TRUE),OR(exact(metadata!I22,"missing: not collected"),exact(metadata!I22,"missing: not provided"),exact(metadata!I22,"missing: restricted access"))),AND(IF(metadata!I22="",FALSE,TRUE),OR(exact(metadata!I22,"air"),exact(metadata!I22,"built environment"),exact(metadata!I22,"host-associated"),exact(metadata!I22,"human-associated"),exact(metadata!I22,"human-skin"),exact(metadata!I22,"human-oral"),exact(metadata!I22,"human-gut"),exact(metadata!I22,"human-vaginal"),exact(metadata!I22,"microbial mat/biofilm"),exact(metadata!I22,"misc environment"),exact(metadata!I22,"plant-associated"),exact(metadata!I22,"sediment"),exact(metadata!I22,"soil"),exact(metadata!I22,"wastewater/sludge"),exact(metadata!I22,"water"))))</f>
        <v>0</v>
      </c>
      <c r="AJ22">
        <f>IF(metadata!J22="",FALSE,TRUE)</f>
        <v>0</v>
      </c>
      <c r="AK22">
        <f>OR(AND(IF(metadata!K22="",FALSE,TRUE),OR(exact(metadata!K22,"missing: not collected"),exact(metadata!K22,"missing: not provided"),exact(metadata!K22,"missing: restricted access"))),AND(IF(metadata!K22="",FALSE,ISNUMBER(VALUE(metadata!K22))),metadata!K22&gt;=-90.00,metadata!K22&lt;=90.00))</f>
        <v>0</v>
      </c>
      <c r="AL22">
        <f>OR(AND(IF(metadata!L22="",FALSE,TRUE),OR(exact(metadata!L22,"missing: not collected"),exact(metadata!L22,"missing: not provided"),exact(metadata!L22,"missing: restricted access"))),AND(IF(metadata!L22="",FALSE,ISNUMBER(VALUE(metadata!L22))),metadata!L22&gt;=-180.00,metadata!L22&lt;=180.00))</f>
        <v>0</v>
      </c>
      <c r="AM22">
        <f>IF(metadata!M22="",FALSE,TRUE)</f>
        <v>0</v>
      </c>
      <c r="AN22">
        <f>OR(AND(IF(metadata!N22="",FALSE,TRUE),OR(exact(metadata!N22,"missing: not collected"),exact(metadata!N22,"missing: not provided"),exact(metadata!N22,"missing: restricted access"))),AND(IF(metadata!N22="",FALSE,TRUE),OR(exact(metadata!N22,"TRUE"),exact(metadata!N22,"FALSE"))))</f>
        <v>0</v>
      </c>
      <c r="AO22">
        <f>IF(metadata!O22="",FALSE,TRUE)</f>
        <v>0</v>
      </c>
      <c r="AP22">
        <f>OR(AND(IF(metadata!P22="",FALSE,TRUE),OR(exact(metadata!P22,"missing: not collected"),exact(metadata!P22,"missing: not provided"))),AND(IF(metadata!P22="",FALSE,IF(ISERROR(INT(metadata!P22)),FALSE,INT(metadata!P22)=metadata!P22)),metadata!P22&gt;0))</f>
        <v>0</v>
      </c>
      <c r="AQ22">
        <f>IF(metadata!Q22="",FALSE,TRUE)</f>
        <v>0</v>
      </c>
    </row>
    <row r="23" spans="1:43">
      <c r="A23" s="5">
        <f>IF(B23=" "," ",HYPERLINK(CONCATENATE("#metadata!",ADDRESS(INDEX($W$2:$W$1001,MATCH(ROWS($U$2:U23),$U$2:$U$1001,0),0),1)),INDEX($Z$2:$Z$1001,MATCH(ROWS($U$2:U23),$U$2:$U$1001,0),0)))</f>
        <v>0</v>
      </c>
      <c r="B23" s="4">
        <f>IF(OR(INDEX($V$2:$V$1001,MATCH(ROWS($U$2:U23),$U$2:$U$1001,0),1)&gt;=100000,INDEX($AB$1005:$AQ$1005,1,MATCH(COLUMNS($AB$1006:AB1006),$AB$1006:$AQ$1006,0))&gt;=100000), " ",IF(INDEX($AB$2:$AQ$1001,MATCH(ROWS($U$2:U23),$U$2:$U$1001,0),MATCH(COLUMNS($AB$1006:AB1006),$AB$1006:$AQ$1006,0)), HYPERLINK("#",""), HYPERLINK(CONCATENATE("#metadata!", ADDRESS(INDEX($W$2:$W$1001,MATCH(ROWS($U$2:U23),$U$2:$U$1001,0),0), INDEX($AB$1004:$AQ$1004,1,MATCH(COLUMNS($AB$1006:AB1006),$AB$1006:$AQ$1006,0)))),"Fix")))</f>
        <v>0</v>
      </c>
      <c r="C23" s="4">
        <f>IF(OR(INDEX($V$2:$V$1001,MATCH(ROWS($U$2:U23),$U$2:$U$1001,0),1)&gt;=100000,INDEX($AB$1005:$AQ$1005,1,MATCH(COLUMNS($AB$1006:AC1006),$AB$1006:$AQ$1006,0))&gt;=100000), " ",IF(INDEX($AB$2:$AQ$1001,MATCH(ROWS($U$2:U23),$U$2:$U$1001,0),MATCH(COLUMNS($AB$1006:AC1006),$AB$1006:$AQ$1006,0)), HYPERLINK("#",""), HYPERLINK(CONCATENATE("#metadata!", ADDRESS(INDEX($W$2:$W$1001,MATCH(ROWS($U$2:U23),$U$2:$U$1001,0),0), INDEX($AB$1004:$AQ$1004,1,MATCH(COLUMNS($AB$1006:AC1006),$AB$1006:$AQ$1006,0)))),"Fix")))</f>
        <v>0</v>
      </c>
      <c r="D23" s="4">
        <f>IF(OR(INDEX($V$2:$V$1001,MATCH(ROWS($U$2:U23),$U$2:$U$1001,0),1)&gt;=100000,INDEX($AB$1005:$AQ$1005,1,MATCH(COLUMNS($AB$1006:AD1006),$AB$1006:$AQ$1006,0))&gt;=100000), " ",IF(INDEX($AB$2:$AQ$1001,MATCH(ROWS($U$2:U23),$U$2:$U$1001,0),MATCH(COLUMNS($AB$1006:AD1006),$AB$1006:$AQ$1006,0)), HYPERLINK("#",""), HYPERLINK(CONCATENATE("#metadata!", ADDRESS(INDEX($W$2:$W$1001,MATCH(ROWS($U$2:U23),$U$2:$U$1001,0),0), INDEX($AB$1004:$AQ$1004,1,MATCH(COLUMNS($AB$1006:AD1006),$AB$1006:$AQ$1006,0)))),"Fix")))</f>
        <v>0</v>
      </c>
      <c r="E23" s="4">
        <f>IF(OR(INDEX($V$2:$V$1001,MATCH(ROWS($U$2:U23),$U$2:$U$1001,0),1)&gt;=100000,INDEX($AB$1005:$AQ$1005,1,MATCH(COLUMNS($AB$1006:AE1006),$AB$1006:$AQ$1006,0))&gt;=100000), " ",IF(INDEX($AB$2:$AQ$1001,MATCH(ROWS($U$2:U23),$U$2:$U$1001,0),MATCH(COLUMNS($AB$1006:AE1006),$AB$1006:$AQ$1006,0)), HYPERLINK("#",""), HYPERLINK(CONCATENATE("#metadata!", ADDRESS(INDEX($W$2:$W$1001,MATCH(ROWS($U$2:U23),$U$2:$U$1001,0),0), INDEX($AB$1004:$AQ$1004,1,MATCH(COLUMNS($AB$1006:AE1006),$AB$1006:$AQ$1006,0)))),"Fix")))</f>
        <v>0</v>
      </c>
      <c r="F23" s="4">
        <f>IF(OR(INDEX($V$2:$V$1001,MATCH(ROWS($U$2:U23),$U$2:$U$1001,0),1)&gt;=100000,INDEX($AB$1005:$AQ$1005,1,MATCH(COLUMNS($AB$1006:AF1006),$AB$1006:$AQ$1006,0))&gt;=100000), " ",IF(INDEX($AB$2:$AQ$1001,MATCH(ROWS($U$2:U23),$U$2:$U$1001,0),MATCH(COLUMNS($AB$1006:AF1006),$AB$1006:$AQ$1006,0)), HYPERLINK("#",""), HYPERLINK(CONCATENATE("#metadata!", ADDRESS(INDEX($W$2:$W$1001,MATCH(ROWS($U$2:U23),$U$2:$U$1001,0),0), INDEX($AB$1004:$AQ$1004,1,MATCH(COLUMNS($AB$1006:AF1006),$AB$1006:$AQ$1006,0)))),"Fix")))</f>
        <v>0</v>
      </c>
      <c r="G23" s="4">
        <f>IF(OR(INDEX($V$2:$V$1001,MATCH(ROWS($U$2:U23),$U$2:$U$1001,0),1)&gt;=100000,INDEX($AB$1005:$AQ$1005,1,MATCH(COLUMNS($AB$1006:AG1006),$AB$1006:$AQ$1006,0))&gt;=100000), " ",IF(INDEX($AB$2:$AQ$1001,MATCH(ROWS($U$2:U23),$U$2:$U$1001,0),MATCH(COLUMNS($AB$1006:AG1006),$AB$1006:$AQ$1006,0)), HYPERLINK("#",""), HYPERLINK(CONCATENATE("#metadata!", ADDRESS(INDEX($W$2:$W$1001,MATCH(ROWS($U$2:U23),$U$2:$U$1001,0),0), INDEX($AB$1004:$AQ$1004,1,MATCH(COLUMNS($AB$1006:AG1006),$AB$1006:$AQ$1006,0)))),"Fix")))</f>
        <v>0</v>
      </c>
      <c r="H23" s="4">
        <f>IF(OR(INDEX($V$2:$V$1001,MATCH(ROWS($U$2:U23),$U$2:$U$1001,0),1)&gt;=100000,INDEX($AB$1005:$AQ$1005,1,MATCH(COLUMNS($AB$1006:AH1006),$AB$1006:$AQ$1006,0))&gt;=100000), " ",IF(INDEX($AB$2:$AQ$1001,MATCH(ROWS($U$2:U23),$U$2:$U$1001,0),MATCH(COLUMNS($AB$1006:AH1006),$AB$1006:$AQ$1006,0)), HYPERLINK("#",""), HYPERLINK(CONCATENATE("#metadata!", ADDRESS(INDEX($W$2:$W$1001,MATCH(ROWS($U$2:U23),$U$2:$U$1001,0),0), INDEX($AB$1004:$AQ$1004,1,MATCH(COLUMNS($AB$1006:AH1006),$AB$1006:$AQ$1006,0)))),"Fix")))</f>
        <v>0</v>
      </c>
      <c r="I23" s="4">
        <f>IF(OR(INDEX($V$2:$V$1001,MATCH(ROWS($U$2:U23),$U$2:$U$1001,0),1)&gt;=100000,INDEX($AB$1005:$AQ$1005,1,MATCH(COLUMNS($AB$1006:AI1006),$AB$1006:$AQ$1006,0))&gt;=100000), " ",IF(INDEX($AB$2:$AQ$1001,MATCH(ROWS($U$2:U23),$U$2:$U$1001,0),MATCH(COLUMNS($AB$1006:AI1006),$AB$1006:$AQ$1006,0)), HYPERLINK("#",""), HYPERLINK(CONCATENATE("#metadata!", ADDRESS(INDEX($W$2:$W$1001,MATCH(ROWS($U$2:U23),$U$2:$U$1001,0),0), INDEX($AB$1004:$AQ$1004,1,MATCH(COLUMNS($AB$1006:AI1006),$AB$1006:$AQ$1006,0)))),"Fix")))</f>
        <v>0</v>
      </c>
      <c r="J23" s="4">
        <f>IF(OR(INDEX($V$2:$V$1001,MATCH(ROWS($U$2:U23),$U$2:$U$1001,0),1)&gt;=100000,INDEX($AB$1005:$AQ$1005,1,MATCH(COLUMNS($AB$1006:AJ1006),$AB$1006:$AQ$1006,0))&gt;=100000), " ",IF(INDEX($AB$2:$AQ$1001,MATCH(ROWS($U$2:U23),$U$2:$U$1001,0),MATCH(COLUMNS($AB$1006:AJ1006),$AB$1006:$AQ$1006,0)), HYPERLINK("#",""), HYPERLINK(CONCATENATE("#metadata!", ADDRESS(INDEX($W$2:$W$1001,MATCH(ROWS($U$2:U23),$U$2:$U$1001,0),0), INDEX($AB$1004:$AQ$1004,1,MATCH(COLUMNS($AB$1006:AJ1006),$AB$1006:$AQ$1006,0)))),"Fix")))</f>
        <v>0</v>
      </c>
      <c r="K23" s="4">
        <f>IF(OR(INDEX($V$2:$V$1001,MATCH(ROWS($U$2:U23),$U$2:$U$1001,0),1)&gt;=100000,INDEX($AB$1005:$AQ$1005,1,MATCH(COLUMNS($AB$1006:AK1006),$AB$1006:$AQ$1006,0))&gt;=100000), " ",IF(INDEX($AB$2:$AQ$1001,MATCH(ROWS($U$2:U23),$U$2:$U$1001,0),MATCH(COLUMNS($AB$1006:AK1006),$AB$1006:$AQ$1006,0)), HYPERLINK("#",""), HYPERLINK(CONCATENATE("#metadata!", ADDRESS(INDEX($W$2:$W$1001,MATCH(ROWS($U$2:U23),$U$2:$U$1001,0),0), INDEX($AB$1004:$AQ$1004,1,MATCH(COLUMNS($AB$1006:AK1006),$AB$1006:$AQ$1006,0)))),"Fix")))</f>
        <v>0</v>
      </c>
      <c r="L23" s="4">
        <f>IF(OR(INDEX($V$2:$V$1001,MATCH(ROWS($U$2:U23),$U$2:$U$1001,0),1)&gt;=100000,INDEX($AB$1005:$AQ$1005,1,MATCH(COLUMNS($AB$1006:AL1006),$AB$1006:$AQ$1006,0))&gt;=100000), " ",IF(INDEX($AB$2:$AQ$1001,MATCH(ROWS($U$2:U23),$U$2:$U$1001,0),MATCH(COLUMNS($AB$1006:AL1006),$AB$1006:$AQ$1006,0)), HYPERLINK("#",""), HYPERLINK(CONCATENATE("#metadata!", ADDRESS(INDEX($W$2:$W$1001,MATCH(ROWS($U$2:U23),$U$2:$U$1001,0),0), INDEX($AB$1004:$AQ$1004,1,MATCH(COLUMNS($AB$1006:AL1006),$AB$1006:$AQ$1006,0)))),"Fix")))</f>
        <v>0</v>
      </c>
      <c r="M23" s="4">
        <f>IF(OR(INDEX($V$2:$V$1001,MATCH(ROWS($U$2:U23),$U$2:$U$1001,0),1)&gt;=100000,INDEX($AB$1005:$AQ$1005,1,MATCH(COLUMNS($AB$1006:AM1006),$AB$1006:$AQ$1006,0))&gt;=100000), " ",IF(INDEX($AB$2:$AQ$1001,MATCH(ROWS($U$2:U23),$U$2:$U$1001,0),MATCH(COLUMNS($AB$1006:AM1006),$AB$1006:$AQ$1006,0)), HYPERLINK("#",""), HYPERLINK(CONCATENATE("#metadata!", ADDRESS(INDEX($W$2:$W$1001,MATCH(ROWS($U$2:U23),$U$2:$U$1001,0),0), INDEX($AB$1004:$AQ$1004,1,MATCH(COLUMNS($AB$1006:AM1006),$AB$1006:$AQ$1006,0)))),"Fix")))</f>
        <v>0</v>
      </c>
      <c r="N23" s="4">
        <f>IF(OR(INDEX($V$2:$V$1001,MATCH(ROWS($U$2:U23),$U$2:$U$1001,0),1)&gt;=100000,INDEX($AB$1005:$AQ$1005,1,MATCH(COLUMNS($AB$1006:AN1006),$AB$1006:$AQ$1006,0))&gt;=100000), " ",IF(INDEX($AB$2:$AQ$1001,MATCH(ROWS($U$2:U23),$U$2:$U$1001,0),MATCH(COLUMNS($AB$1006:AN1006),$AB$1006:$AQ$1006,0)), HYPERLINK("#",""), HYPERLINK(CONCATENATE("#metadata!", ADDRESS(INDEX($W$2:$W$1001,MATCH(ROWS($U$2:U23),$U$2:$U$1001,0),0), INDEX($AB$1004:$AQ$1004,1,MATCH(COLUMNS($AB$1006:AN1006),$AB$1006:$AQ$1006,0)))),"Fix")))</f>
        <v>0</v>
      </c>
      <c r="O23" s="4">
        <f>IF(OR(INDEX($V$2:$V$1001,MATCH(ROWS($U$2:U23),$U$2:$U$1001,0),1)&gt;=100000,INDEX($AB$1005:$AQ$1005,1,MATCH(COLUMNS($AB$1006:AO1006),$AB$1006:$AQ$1006,0))&gt;=100000), " ",IF(INDEX($AB$2:$AQ$1001,MATCH(ROWS($U$2:U23),$U$2:$U$1001,0),MATCH(COLUMNS($AB$1006:AO1006),$AB$1006:$AQ$1006,0)), HYPERLINK("#",""), HYPERLINK(CONCATENATE("#metadata!", ADDRESS(INDEX($W$2:$W$1001,MATCH(ROWS($U$2:U23),$U$2:$U$1001,0),0), INDEX($AB$1004:$AQ$1004,1,MATCH(COLUMNS($AB$1006:AO1006),$AB$1006:$AQ$1006,0)))),"Fix")))</f>
        <v>0</v>
      </c>
      <c r="P23" s="4">
        <f>IF(OR(INDEX($V$2:$V$1001,MATCH(ROWS($U$2:U23),$U$2:$U$1001,0),1)&gt;=100000,INDEX($AB$1005:$AQ$1005,1,MATCH(COLUMNS($AB$1006:AP1006),$AB$1006:$AQ$1006,0))&gt;=100000), " ",IF(INDEX($AB$2:$AQ$1001,MATCH(ROWS($U$2:U23),$U$2:$U$1001,0),MATCH(COLUMNS($AB$1006:AP1006),$AB$1006:$AQ$1006,0)), HYPERLINK("#",""), HYPERLINK(CONCATENATE("#metadata!", ADDRESS(INDEX($W$2:$W$1001,MATCH(ROWS($U$2:U23),$U$2:$U$1001,0),0), INDEX($AB$1004:$AQ$1004,1,MATCH(COLUMNS($AB$1006:AP1006),$AB$1006:$AQ$1006,0)))),"Fix")))</f>
        <v>0</v>
      </c>
      <c r="Q23" s="4">
        <f>IF(OR(INDEX($V$2:$V$1001,MATCH(ROWS($U$2:U23),$U$2:$U$1001,0),1)&gt;=100000,INDEX($AB$1005:$AQ$1005,1,MATCH(COLUMNS($AB$1006:AQ1006),$AB$1006:$AQ$1006,0))&gt;=100000), " ",IF(INDEX($AB$2:$AQ$1001,MATCH(ROWS($U$2:U23),$U$2:$U$1001,0),MATCH(COLUMNS($AB$1006:AQ1006),$AB$1006:$AQ$1006,0)), HYPERLINK("#",""), HYPERLINK(CONCATENATE("#metadata!", ADDRESS(INDEX($W$2:$W$1001,MATCH(ROWS($U$2:U23),$U$2:$U$1001,0),0), INDEX($AB$1004:$AQ$1004,1,MATCH(COLUMNS($AB$1006:AQ1006),$AB$1006:$AQ$1006,0)))),"Fix")))</f>
        <v>0</v>
      </c>
      <c r="U23">
        <v>0</v>
      </c>
      <c r="V23">
        <v>0</v>
      </c>
      <c r="W23">
        <v>0</v>
      </c>
      <c r="X23">
        <f>IF(Y23,TRUE,AND(AB23:AQ23))</f>
        <v>0</v>
      </c>
      <c r="Y23">
        <f>COUNTBLANK(metadata!B23:Q23)=COLUMNS(metadata!B23:Q23)</f>
        <v>0</v>
      </c>
      <c r="Z23">
        <v>0</v>
      </c>
      <c r="AB23">
        <f>AND(IF(metadata!B23="",FALSE,TRUE),COUNTIF(metadata!B:B, metadata!B23) = 1,NOT(ISERROR(SUMPRODUCT(SEARCH(MID(metadata!B23,ROW(INDIRECT("1:"&amp;LEN(metadata!B23))), 1),"0123456789abcdefghijklmnopqrstuvwxyzABCDEFGHIJKLMNOPQRSTUVWXYZ.")))))</f>
        <v>0</v>
      </c>
      <c r="AC23">
        <f>OR(AND(IF(metadata!C23="",FALSE,TRUE),OR(exact(metadata!C23,"missing: not collected"),exact(metadata!C23,"missing: not provided"),exact(metadata!C23,"missing: restricted access"))),AND(IF(metadata!C23="",FALSE,TRUE),AND(AND(IFERROR(INT(LEFT(metadata!C23,4))&gt;1900,FALSE),IFERROR(INT(LEFT(metadata!C23,4))&lt;=YEAR(NOW()),FALSE)), OR(MID(metadata!C23,5,1)="", AND(AND(MID(metadata!C23,5,1)="-",IFERROR(INT(MID(metadata!C23,6,1))&gt;=0,FALSE),IFERROR(INT(MID(metadata!C23,6,1))&lt;=1,FALSE),NOT(MID(metadata!C23,7,1)=""),IFERROR(INT(MID(metadata!C23,6,2))&gt;=1,FALSE),IFERROR(INT(MID(metadata!C23,6,2))&lt;=12,FALSE)), OR(MID(metadata!C23,8,1)="", AND(AND(MID(metadata!C23,8,1)="-",IFERROR(INT(MID(metadata!C23,9,1))&gt;=0,FALSE),IFERROR(INT(MID(metadata!C23,9,1))&lt;=3,FALSE),NOT(MID(metadata!C23,10,1)=""),IFERROR(INT(MID(metadata!C23,9,2))&gt;=1,FALSE),IFERROR(INT(MID(metadata!C23,9,2))&lt;=31,FALSE)), OR(MID(metadata!C23,11,1)="", AND(AND(MID(metadata!C23,11,1)=" ",IFERROR(INT(MID(metadata!C23,12,1))&gt;=0,FALSE),IFERROR(INT(MID(metadata!C23,12,1))&lt;=2,FALSE),NOT(MID(metadata!C23,13,1)=""),IFERROR(INT(MID(metadata!C23,12,2))&gt;=0,FALSE),IFERROR(INT(MID(metadata!C23,12,2))&lt;=23,FALSE)), OR(MID(metadata!C23,14,1)="", AND(AND(MID(metadata!C23,14,1)=":",IFERROR(INT(MID(metadata!C23,15,1))&gt;=0,FALSE),IFERROR(INT(MID(metadata!C23,15,1))&lt;=5,FALSE),NOT(MID(metadata!C23,16,1)=""),IFERROR(INT(MID(metadata!C23,15,2))&gt;=0,FALSE),IFERROR(INT(MID(metadata!C23,15,2))&lt;=59,FALSE)), OR(MID(metadata!C23,17,1)="", AND(AND(MID(metadata!C23,17,1)=":",IFERROR(INT(MID(metadata!C23,18,1))&gt;=0,FALSE),IFERROR(INT(MID(metadata!C23,18,1))&lt;=5,FALSE),NOT(MID(metadata!C23,19,1)=""),IFERROR(INT(MID(metadata!C23,18,2))&gt;=0,FALSE),IFERROR(INT(MID(metadata!C23,18,2))&lt;=59,FALSE)), LEN(metadata!C23)&lt;=19)))))))))))))</f>
        <v>0</v>
      </c>
      <c r="AD23">
        <f>IF(metadata!D23="",FALSE,TRUE)</f>
        <v>0</v>
      </c>
      <c r="AE23">
        <f>OR(AND(IF(metadata!E23="",FALSE,TRUE),OR(exact(metadata!E23,"missing: not collected"),exact(metadata!E23,"missing: not provided"))),AND(IF(metadata!E23="",FALSE,TRUE),OR(exact(metadata!E23,"TRUE"),exact(metadata!E23,"FALSE"))))</f>
        <v>0</v>
      </c>
      <c r="AF23">
        <f>IF(metadata!F23="",FALSE,TRUE)</f>
        <v>0</v>
      </c>
      <c r="AG23">
        <f>IF(metadata!G23="",FALSE,TRUE)</f>
        <v>0</v>
      </c>
      <c r="AH23">
        <f>IF(metadata!H23="",FALSE,TRUE)</f>
        <v>0</v>
      </c>
      <c r="AI23">
        <f>OR(AND(IF(metadata!I23="",FALSE,TRUE),OR(exact(metadata!I23,"missing: not collected"),exact(metadata!I23,"missing: not provided"),exact(metadata!I23,"missing: restricted access"))),AND(IF(metadata!I23="",FALSE,TRUE),OR(exact(metadata!I23,"air"),exact(metadata!I23,"built environment"),exact(metadata!I23,"host-associated"),exact(metadata!I23,"human-associated"),exact(metadata!I23,"human-skin"),exact(metadata!I23,"human-oral"),exact(metadata!I23,"human-gut"),exact(metadata!I23,"human-vaginal"),exact(metadata!I23,"microbial mat/biofilm"),exact(metadata!I23,"misc environment"),exact(metadata!I23,"plant-associated"),exact(metadata!I23,"sediment"),exact(metadata!I23,"soil"),exact(metadata!I23,"wastewater/sludge"),exact(metadata!I23,"water"))))</f>
        <v>0</v>
      </c>
      <c r="AJ23">
        <f>IF(metadata!J23="",FALSE,TRUE)</f>
        <v>0</v>
      </c>
      <c r="AK23">
        <f>OR(AND(IF(metadata!K23="",FALSE,TRUE),OR(exact(metadata!K23,"missing: not collected"),exact(metadata!K23,"missing: not provided"),exact(metadata!K23,"missing: restricted access"))),AND(IF(metadata!K23="",FALSE,ISNUMBER(VALUE(metadata!K23))),metadata!K23&gt;=-90.00,metadata!K23&lt;=90.00))</f>
        <v>0</v>
      </c>
      <c r="AL23">
        <f>OR(AND(IF(metadata!L23="",FALSE,TRUE),OR(exact(metadata!L23,"missing: not collected"),exact(metadata!L23,"missing: not provided"),exact(metadata!L23,"missing: restricted access"))),AND(IF(metadata!L23="",FALSE,ISNUMBER(VALUE(metadata!L23))),metadata!L23&gt;=-180.00,metadata!L23&lt;=180.00))</f>
        <v>0</v>
      </c>
      <c r="AM23">
        <f>IF(metadata!M23="",FALSE,TRUE)</f>
        <v>0</v>
      </c>
      <c r="AN23">
        <f>OR(AND(IF(metadata!N23="",FALSE,TRUE),OR(exact(metadata!N23,"missing: not collected"),exact(metadata!N23,"missing: not provided"),exact(metadata!N23,"missing: restricted access"))),AND(IF(metadata!N23="",FALSE,TRUE),OR(exact(metadata!N23,"TRUE"),exact(metadata!N23,"FALSE"))))</f>
        <v>0</v>
      </c>
      <c r="AO23">
        <f>IF(metadata!O23="",FALSE,TRUE)</f>
        <v>0</v>
      </c>
      <c r="AP23">
        <f>OR(AND(IF(metadata!P23="",FALSE,TRUE),OR(exact(metadata!P23,"missing: not collected"),exact(metadata!P23,"missing: not provided"))),AND(IF(metadata!P23="",FALSE,IF(ISERROR(INT(metadata!P23)),FALSE,INT(metadata!P23)=metadata!P23)),metadata!P23&gt;0))</f>
        <v>0</v>
      </c>
      <c r="AQ23">
        <f>IF(metadata!Q23="",FALSE,TRUE)</f>
        <v>0</v>
      </c>
    </row>
    <row r="24" spans="1:43">
      <c r="A24" s="5">
        <f>IF(B24=" "," ",HYPERLINK(CONCATENATE("#metadata!",ADDRESS(INDEX($W$2:$W$1001,MATCH(ROWS($U$2:U24),$U$2:$U$1001,0),0),1)),INDEX($Z$2:$Z$1001,MATCH(ROWS($U$2:U24),$U$2:$U$1001,0),0)))</f>
        <v>0</v>
      </c>
      <c r="B24" s="4">
        <f>IF(OR(INDEX($V$2:$V$1001,MATCH(ROWS($U$2:U24),$U$2:$U$1001,0),1)&gt;=100000,INDEX($AB$1005:$AQ$1005,1,MATCH(COLUMNS($AB$1006:AB1006),$AB$1006:$AQ$1006,0))&gt;=100000), " ",IF(INDEX($AB$2:$AQ$1001,MATCH(ROWS($U$2:U24),$U$2:$U$1001,0),MATCH(COLUMNS($AB$1006:AB1006),$AB$1006:$AQ$1006,0)), HYPERLINK("#",""), HYPERLINK(CONCATENATE("#metadata!", ADDRESS(INDEX($W$2:$W$1001,MATCH(ROWS($U$2:U24),$U$2:$U$1001,0),0), INDEX($AB$1004:$AQ$1004,1,MATCH(COLUMNS($AB$1006:AB1006),$AB$1006:$AQ$1006,0)))),"Fix")))</f>
        <v>0</v>
      </c>
      <c r="C24" s="4">
        <f>IF(OR(INDEX($V$2:$V$1001,MATCH(ROWS($U$2:U24),$U$2:$U$1001,0),1)&gt;=100000,INDEX($AB$1005:$AQ$1005,1,MATCH(COLUMNS($AB$1006:AC1006),$AB$1006:$AQ$1006,0))&gt;=100000), " ",IF(INDEX($AB$2:$AQ$1001,MATCH(ROWS($U$2:U24),$U$2:$U$1001,0),MATCH(COLUMNS($AB$1006:AC1006),$AB$1006:$AQ$1006,0)), HYPERLINK("#",""), HYPERLINK(CONCATENATE("#metadata!", ADDRESS(INDEX($W$2:$W$1001,MATCH(ROWS($U$2:U24),$U$2:$U$1001,0),0), INDEX($AB$1004:$AQ$1004,1,MATCH(COLUMNS($AB$1006:AC1006),$AB$1006:$AQ$1006,0)))),"Fix")))</f>
        <v>0</v>
      </c>
      <c r="D24" s="4">
        <f>IF(OR(INDEX($V$2:$V$1001,MATCH(ROWS($U$2:U24),$U$2:$U$1001,0),1)&gt;=100000,INDEX($AB$1005:$AQ$1005,1,MATCH(COLUMNS($AB$1006:AD1006),$AB$1006:$AQ$1006,0))&gt;=100000), " ",IF(INDEX($AB$2:$AQ$1001,MATCH(ROWS($U$2:U24),$U$2:$U$1001,0),MATCH(COLUMNS($AB$1006:AD1006),$AB$1006:$AQ$1006,0)), HYPERLINK("#",""), HYPERLINK(CONCATENATE("#metadata!", ADDRESS(INDEX($W$2:$W$1001,MATCH(ROWS($U$2:U24),$U$2:$U$1001,0),0), INDEX($AB$1004:$AQ$1004,1,MATCH(COLUMNS($AB$1006:AD1006),$AB$1006:$AQ$1006,0)))),"Fix")))</f>
        <v>0</v>
      </c>
      <c r="E24" s="4">
        <f>IF(OR(INDEX($V$2:$V$1001,MATCH(ROWS($U$2:U24),$U$2:$U$1001,0),1)&gt;=100000,INDEX($AB$1005:$AQ$1005,1,MATCH(COLUMNS($AB$1006:AE1006),$AB$1006:$AQ$1006,0))&gt;=100000), " ",IF(INDEX($AB$2:$AQ$1001,MATCH(ROWS($U$2:U24),$U$2:$U$1001,0),MATCH(COLUMNS($AB$1006:AE1006),$AB$1006:$AQ$1006,0)), HYPERLINK("#",""), HYPERLINK(CONCATENATE("#metadata!", ADDRESS(INDEX($W$2:$W$1001,MATCH(ROWS($U$2:U24),$U$2:$U$1001,0),0), INDEX($AB$1004:$AQ$1004,1,MATCH(COLUMNS($AB$1006:AE1006),$AB$1006:$AQ$1006,0)))),"Fix")))</f>
        <v>0</v>
      </c>
      <c r="F24" s="4">
        <f>IF(OR(INDEX($V$2:$V$1001,MATCH(ROWS($U$2:U24),$U$2:$U$1001,0),1)&gt;=100000,INDEX($AB$1005:$AQ$1005,1,MATCH(COLUMNS($AB$1006:AF1006),$AB$1006:$AQ$1006,0))&gt;=100000), " ",IF(INDEX($AB$2:$AQ$1001,MATCH(ROWS($U$2:U24),$U$2:$U$1001,0),MATCH(COLUMNS($AB$1006:AF1006),$AB$1006:$AQ$1006,0)), HYPERLINK("#",""), HYPERLINK(CONCATENATE("#metadata!", ADDRESS(INDEX($W$2:$W$1001,MATCH(ROWS($U$2:U24),$U$2:$U$1001,0),0), INDEX($AB$1004:$AQ$1004,1,MATCH(COLUMNS($AB$1006:AF1006),$AB$1006:$AQ$1006,0)))),"Fix")))</f>
        <v>0</v>
      </c>
      <c r="G24" s="4">
        <f>IF(OR(INDEX($V$2:$V$1001,MATCH(ROWS($U$2:U24),$U$2:$U$1001,0),1)&gt;=100000,INDEX($AB$1005:$AQ$1005,1,MATCH(COLUMNS($AB$1006:AG1006),$AB$1006:$AQ$1006,0))&gt;=100000), " ",IF(INDEX($AB$2:$AQ$1001,MATCH(ROWS($U$2:U24),$U$2:$U$1001,0),MATCH(COLUMNS($AB$1006:AG1006),$AB$1006:$AQ$1006,0)), HYPERLINK("#",""), HYPERLINK(CONCATENATE("#metadata!", ADDRESS(INDEX($W$2:$W$1001,MATCH(ROWS($U$2:U24),$U$2:$U$1001,0),0), INDEX($AB$1004:$AQ$1004,1,MATCH(COLUMNS($AB$1006:AG1006),$AB$1006:$AQ$1006,0)))),"Fix")))</f>
        <v>0</v>
      </c>
      <c r="H24" s="4">
        <f>IF(OR(INDEX($V$2:$V$1001,MATCH(ROWS($U$2:U24),$U$2:$U$1001,0),1)&gt;=100000,INDEX($AB$1005:$AQ$1005,1,MATCH(COLUMNS($AB$1006:AH1006),$AB$1006:$AQ$1006,0))&gt;=100000), " ",IF(INDEX($AB$2:$AQ$1001,MATCH(ROWS($U$2:U24),$U$2:$U$1001,0),MATCH(COLUMNS($AB$1006:AH1006),$AB$1006:$AQ$1006,0)), HYPERLINK("#",""), HYPERLINK(CONCATENATE("#metadata!", ADDRESS(INDEX($W$2:$W$1001,MATCH(ROWS($U$2:U24),$U$2:$U$1001,0),0), INDEX($AB$1004:$AQ$1004,1,MATCH(COLUMNS($AB$1006:AH1006),$AB$1006:$AQ$1006,0)))),"Fix")))</f>
        <v>0</v>
      </c>
      <c r="I24" s="4">
        <f>IF(OR(INDEX($V$2:$V$1001,MATCH(ROWS($U$2:U24),$U$2:$U$1001,0),1)&gt;=100000,INDEX($AB$1005:$AQ$1005,1,MATCH(COLUMNS($AB$1006:AI1006),$AB$1006:$AQ$1006,0))&gt;=100000), " ",IF(INDEX($AB$2:$AQ$1001,MATCH(ROWS($U$2:U24),$U$2:$U$1001,0),MATCH(COLUMNS($AB$1006:AI1006),$AB$1006:$AQ$1006,0)), HYPERLINK("#",""), HYPERLINK(CONCATENATE("#metadata!", ADDRESS(INDEX($W$2:$W$1001,MATCH(ROWS($U$2:U24),$U$2:$U$1001,0),0), INDEX($AB$1004:$AQ$1004,1,MATCH(COLUMNS($AB$1006:AI1006),$AB$1006:$AQ$1006,0)))),"Fix")))</f>
        <v>0</v>
      </c>
      <c r="J24" s="4">
        <f>IF(OR(INDEX($V$2:$V$1001,MATCH(ROWS($U$2:U24),$U$2:$U$1001,0),1)&gt;=100000,INDEX($AB$1005:$AQ$1005,1,MATCH(COLUMNS($AB$1006:AJ1006),$AB$1006:$AQ$1006,0))&gt;=100000), " ",IF(INDEX($AB$2:$AQ$1001,MATCH(ROWS($U$2:U24),$U$2:$U$1001,0),MATCH(COLUMNS($AB$1006:AJ1006),$AB$1006:$AQ$1006,0)), HYPERLINK("#",""), HYPERLINK(CONCATENATE("#metadata!", ADDRESS(INDEX($W$2:$W$1001,MATCH(ROWS($U$2:U24),$U$2:$U$1001,0),0), INDEX($AB$1004:$AQ$1004,1,MATCH(COLUMNS($AB$1006:AJ1006),$AB$1006:$AQ$1006,0)))),"Fix")))</f>
        <v>0</v>
      </c>
      <c r="K24" s="4">
        <f>IF(OR(INDEX($V$2:$V$1001,MATCH(ROWS($U$2:U24),$U$2:$U$1001,0),1)&gt;=100000,INDEX($AB$1005:$AQ$1005,1,MATCH(COLUMNS($AB$1006:AK1006),$AB$1006:$AQ$1006,0))&gt;=100000), " ",IF(INDEX($AB$2:$AQ$1001,MATCH(ROWS($U$2:U24),$U$2:$U$1001,0),MATCH(COLUMNS($AB$1006:AK1006),$AB$1006:$AQ$1006,0)), HYPERLINK("#",""), HYPERLINK(CONCATENATE("#metadata!", ADDRESS(INDEX($W$2:$W$1001,MATCH(ROWS($U$2:U24),$U$2:$U$1001,0),0), INDEX($AB$1004:$AQ$1004,1,MATCH(COLUMNS($AB$1006:AK1006),$AB$1006:$AQ$1006,0)))),"Fix")))</f>
        <v>0</v>
      </c>
      <c r="L24" s="4">
        <f>IF(OR(INDEX($V$2:$V$1001,MATCH(ROWS($U$2:U24),$U$2:$U$1001,0),1)&gt;=100000,INDEX($AB$1005:$AQ$1005,1,MATCH(COLUMNS($AB$1006:AL1006),$AB$1006:$AQ$1006,0))&gt;=100000), " ",IF(INDEX($AB$2:$AQ$1001,MATCH(ROWS($U$2:U24),$U$2:$U$1001,0),MATCH(COLUMNS($AB$1006:AL1006),$AB$1006:$AQ$1006,0)), HYPERLINK("#",""), HYPERLINK(CONCATENATE("#metadata!", ADDRESS(INDEX($W$2:$W$1001,MATCH(ROWS($U$2:U24),$U$2:$U$1001,0),0), INDEX($AB$1004:$AQ$1004,1,MATCH(COLUMNS($AB$1006:AL1006),$AB$1006:$AQ$1006,0)))),"Fix")))</f>
        <v>0</v>
      </c>
      <c r="M24" s="4">
        <f>IF(OR(INDEX($V$2:$V$1001,MATCH(ROWS($U$2:U24),$U$2:$U$1001,0),1)&gt;=100000,INDEX($AB$1005:$AQ$1005,1,MATCH(COLUMNS($AB$1006:AM1006),$AB$1006:$AQ$1006,0))&gt;=100000), " ",IF(INDEX($AB$2:$AQ$1001,MATCH(ROWS($U$2:U24),$U$2:$U$1001,0),MATCH(COLUMNS($AB$1006:AM1006),$AB$1006:$AQ$1006,0)), HYPERLINK("#",""), HYPERLINK(CONCATENATE("#metadata!", ADDRESS(INDEX($W$2:$W$1001,MATCH(ROWS($U$2:U24),$U$2:$U$1001,0),0), INDEX($AB$1004:$AQ$1004,1,MATCH(COLUMNS($AB$1006:AM1006),$AB$1006:$AQ$1006,0)))),"Fix")))</f>
        <v>0</v>
      </c>
      <c r="N24" s="4">
        <f>IF(OR(INDEX($V$2:$V$1001,MATCH(ROWS($U$2:U24),$U$2:$U$1001,0),1)&gt;=100000,INDEX($AB$1005:$AQ$1005,1,MATCH(COLUMNS($AB$1006:AN1006),$AB$1006:$AQ$1006,0))&gt;=100000), " ",IF(INDEX($AB$2:$AQ$1001,MATCH(ROWS($U$2:U24),$U$2:$U$1001,0),MATCH(COLUMNS($AB$1006:AN1006),$AB$1006:$AQ$1006,0)), HYPERLINK("#",""), HYPERLINK(CONCATENATE("#metadata!", ADDRESS(INDEX($W$2:$W$1001,MATCH(ROWS($U$2:U24),$U$2:$U$1001,0),0), INDEX($AB$1004:$AQ$1004,1,MATCH(COLUMNS($AB$1006:AN1006),$AB$1006:$AQ$1006,0)))),"Fix")))</f>
        <v>0</v>
      </c>
      <c r="O24" s="4">
        <f>IF(OR(INDEX($V$2:$V$1001,MATCH(ROWS($U$2:U24),$U$2:$U$1001,0),1)&gt;=100000,INDEX($AB$1005:$AQ$1005,1,MATCH(COLUMNS($AB$1006:AO1006),$AB$1006:$AQ$1006,0))&gt;=100000), " ",IF(INDEX($AB$2:$AQ$1001,MATCH(ROWS($U$2:U24),$U$2:$U$1001,0),MATCH(COLUMNS($AB$1006:AO1006),$AB$1006:$AQ$1006,0)), HYPERLINK("#",""), HYPERLINK(CONCATENATE("#metadata!", ADDRESS(INDEX($W$2:$W$1001,MATCH(ROWS($U$2:U24),$U$2:$U$1001,0),0), INDEX($AB$1004:$AQ$1004,1,MATCH(COLUMNS($AB$1006:AO1006),$AB$1006:$AQ$1006,0)))),"Fix")))</f>
        <v>0</v>
      </c>
      <c r="P24" s="4">
        <f>IF(OR(INDEX($V$2:$V$1001,MATCH(ROWS($U$2:U24),$U$2:$U$1001,0),1)&gt;=100000,INDEX($AB$1005:$AQ$1005,1,MATCH(COLUMNS($AB$1006:AP1006),$AB$1006:$AQ$1006,0))&gt;=100000), " ",IF(INDEX($AB$2:$AQ$1001,MATCH(ROWS($U$2:U24),$U$2:$U$1001,0),MATCH(COLUMNS($AB$1006:AP1006),$AB$1006:$AQ$1006,0)), HYPERLINK("#",""), HYPERLINK(CONCATENATE("#metadata!", ADDRESS(INDEX($W$2:$W$1001,MATCH(ROWS($U$2:U24),$U$2:$U$1001,0),0), INDEX($AB$1004:$AQ$1004,1,MATCH(COLUMNS($AB$1006:AP1006),$AB$1006:$AQ$1006,0)))),"Fix")))</f>
        <v>0</v>
      </c>
      <c r="Q24" s="4">
        <f>IF(OR(INDEX($V$2:$V$1001,MATCH(ROWS($U$2:U24),$U$2:$U$1001,0),1)&gt;=100000,INDEX($AB$1005:$AQ$1005,1,MATCH(COLUMNS($AB$1006:AQ1006),$AB$1006:$AQ$1006,0))&gt;=100000), " ",IF(INDEX($AB$2:$AQ$1001,MATCH(ROWS($U$2:U24),$U$2:$U$1001,0),MATCH(COLUMNS($AB$1006:AQ1006),$AB$1006:$AQ$1006,0)), HYPERLINK("#",""), HYPERLINK(CONCATENATE("#metadata!", ADDRESS(INDEX($W$2:$W$1001,MATCH(ROWS($U$2:U24),$U$2:$U$1001,0),0), INDEX($AB$1004:$AQ$1004,1,MATCH(COLUMNS($AB$1006:AQ1006),$AB$1006:$AQ$1006,0)))),"Fix")))</f>
        <v>0</v>
      </c>
      <c r="U24">
        <v>0</v>
      </c>
      <c r="V24">
        <v>0</v>
      </c>
      <c r="W24">
        <v>0</v>
      </c>
      <c r="X24">
        <f>IF(Y24,TRUE,AND(AB24:AQ24))</f>
        <v>0</v>
      </c>
      <c r="Y24">
        <f>COUNTBLANK(metadata!B24:Q24)=COLUMNS(metadata!B24:Q24)</f>
        <v>0</v>
      </c>
      <c r="Z24">
        <v>0</v>
      </c>
      <c r="AB24">
        <f>AND(IF(metadata!B24="",FALSE,TRUE),COUNTIF(metadata!B:B, metadata!B24) = 1,NOT(ISERROR(SUMPRODUCT(SEARCH(MID(metadata!B24,ROW(INDIRECT("1:"&amp;LEN(metadata!B24))), 1),"0123456789abcdefghijklmnopqrstuvwxyzABCDEFGHIJKLMNOPQRSTUVWXYZ.")))))</f>
        <v>0</v>
      </c>
      <c r="AC24">
        <f>OR(AND(IF(metadata!C24="",FALSE,TRUE),OR(exact(metadata!C24,"missing: not collected"),exact(metadata!C24,"missing: not provided"),exact(metadata!C24,"missing: restricted access"))),AND(IF(metadata!C24="",FALSE,TRUE),AND(AND(IFERROR(INT(LEFT(metadata!C24,4))&gt;1900,FALSE),IFERROR(INT(LEFT(metadata!C24,4))&lt;=YEAR(NOW()),FALSE)), OR(MID(metadata!C24,5,1)="", AND(AND(MID(metadata!C24,5,1)="-",IFERROR(INT(MID(metadata!C24,6,1))&gt;=0,FALSE),IFERROR(INT(MID(metadata!C24,6,1))&lt;=1,FALSE),NOT(MID(metadata!C24,7,1)=""),IFERROR(INT(MID(metadata!C24,6,2))&gt;=1,FALSE),IFERROR(INT(MID(metadata!C24,6,2))&lt;=12,FALSE)), OR(MID(metadata!C24,8,1)="", AND(AND(MID(metadata!C24,8,1)="-",IFERROR(INT(MID(metadata!C24,9,1))&gt;=0,FALSE),IFERROR(INT(MID(metadata!C24,9,1))&lt;=3,FALSE),NOT(MID(metadata!C24,10,1)=""),IFERROR(INT(MID(metadata!C24,9,2))&gt;=1,FALSE),IFERROR(INT(MID(metadata!C24,9,2))&lt;=31,FALSE)), OR(MID(metadata!C24,11,1)="", AND(AND(MID(metadata!C24,11,1)=" ",IFERROR(INT(MID(metadata!C24,12,1))&gt;=0,FALSE),IFERROR(INT(MID(metadata!C24,12,1))&lt;=2,FALSE),NOT(MID(metadata!C24,13,1)=""),IFERROR(INT(MID(metadata!C24,12,2))&gt;=0,FALSE),IFERROR(INT(MID(metadata!C24,12,2))&lt;=23,FALSE)), OR(MID(metadata!C24,14,1)="", AND(AND(MID(metadata!C24,14,1)=":",IFERROR(INT(MID(metadata!C24,15,1))&gt;=0,FALSE),IFERROR(INT(MID(metadata!C24,15,1))&lt;=5,FALSE),NOT(MID(metadata!C24,16,1)=""),IFERROR(INT(MID(metadata!C24,15,2))&gt;=0,FALSE),IFERROR(INT(MID(metadata!C24,15,2))&lt;=59,FALSE)), OR(MID(metadata!C24,17,1)="", AND(AND(MID(metadata!C24,17,1)=":",IFERROR(INT(MID(metadata!C24,18,1))&gt;=0,FALSE),IFERROR(INT(MID(metadata!C24,18,1))&lt;=5,FALSE),NOT(MID(metadata!C24,19,1)=""),IFERROR(INT(MID(metadata!C24,18,2))&gt;=0,FALSE),IFERROR(INT(MID(metadata!C24,18,2))&lt;=59,FALSE)), LEN(metadata!C24)&lt;=19)))))))))))))</f>
        <v>0</v>
      </c>
      <c r="AD24">
        <f>IF(metadata!D24="",FALSE,TRUE)</f>
        <v>0</v>
      </c>
      <c r="AE24">
        <f>OR(AND(IF(metadata!E24="",FALSE,TRUE),OR(exact(metadata!E24,"missing: not collected"),exact(metadata!E24,"missing: not provided"))),AND(IF(metadata!E24="",FALSE,TRUE),OR(exact(metadata!E24,"TRUE"),exact(metadata!E24,"FALSE"))))</f>
        <v>0</v>
      </c>
      <c r="AF24">
        <f>IF(metadata!F24="",FALSE,TRUE)</f>
        <v>0</v>
      </c>
      <c r="AG24">
        <f>IF(metadata!G24="",FALSE,TRUE)</f>
        <v>0</v>
      </c>
      <c r="AH24">
        <f>IF(metadata!H24="",FALSE,TRUE)</f>
        <v>0</v>
      </c>
      <c r="AI24">
        <f>OR(AND(IF(metadata!I24="",FALSE,TRUE),OR(exact(metadata!I24,"missing: not collected"),exact(metadata!I24,"missing: not provided"),exact(metadata!I24,"missing: restricted access"))),AND(IF(metadata!I24="",FALSE,TRUE),OR(exact(metadata!I24,"air"),exact(metadata!I24,"built environment"),exact(metadata!I24,"host-associated"),exact(metadata!I24,"human-associated"),exact(metadata!I24,"human-skin"),exact(metadata!I24,"human-oral"),exact(metadata!I24,"human-gut"),exact(metadata!I24,"human-vaginal"),exact(metadata!I24,"microbial mat/biofilm"),exact(metadata!I24,"misc environment"),exact(metadata!I24,"plant-associated"),exact(metadata!I24,"sediment"),exact(metadata!I24,"soil"),exact(metadata!I24,"wastewater/sludge"),exact(metadata!I24,"water"))))</f>
        <v>0</v>
      </c>
      <c r="AJ24">
        <f>IF(metadata!J24="",FALSE,TRUE)</f>
        <v>0</v>
      </c>
      <c r="AK24">
        <f>OR(AND(IF(metadata!K24="",FALSE,TRUE),OR(exact(metadata!K24,"missing: not collected"),exact(metadata!K24,"missing: not provided"),exact(metadata!K24,"missing: restricted access"))),AND(IF(metadata!K24="",FALSE,ISNUMBER(VALUE(metadata!K24))),metadata!K24&gt;=-90.00,metadata!K24&lt;=90.00))</f>
        <v>0</v>
      </c>
      <c r="AL24">
        <f>OR(AND(IF(metadata!L24="",FALSE,TRUE),OR(exact(metadata!L24,"missing: not collected"),exact(metadata!L24,"missing: not provided"),exact(metadata!L24,"missing: restricted access"))),AND(IF(metadata!L24="",FALSE,ISNUMBER(VALUE(metadata!L24))),metadata!L24&gt;=-180.00,metadata!L24&lt;=180.00))</f>
        <v>0</v>
      </c>
      <c r="AM24">
        <f>IF(metadata!M24="",FALSE,TRUE)</f>
        <v>0</v>
      </c>
      <c r="AN24">
        <f>OR(AND(IF(metadata!N24="",FALSE,TRUE),OR(exact(metadata!N24,"missing: not collected"),exact(metadata!N24,"missing: not provided"),exact(metadata!N24,"missing: restricted access"))),AND(IF(metadata!N24="",FALSE,TRUE),OR(exact(metadata!N24,"TRUE"),exact(metadata!N24,"FALSE"))))</f>
        <v>0</v>
      </c>
      <c r="AO24">
        <f>IF(metadata!O24="",FALSE,TRUE)</f>
        <v>0</v>
      </c>
      <c r="AP24">
        <f>OR(AND(IF(metadata!P24="",FALSE,TRUE),OR(exact(metadata!P24,"missing: not collected"),exact(metadata!P24,"missing: not provided"))),AND(IF(metadata!P24="",FALSE,IF(ISERROR(INT(metadata!P24)),FALSE,INT(metadata!P24)=metadata!P24)),metadata!P24&gt;0))</f>
        <v>0</v>
      </c>
      <c r="AQ24">
        <f>IF(metadata!Q24="",FALSE,TRUE)</f>
        <v>0</v>
      </c>
    </row>
    <row r="25" spans="1:43">
      <c r="A25" s="5">
        <f>IF(B25=" "," ",HYPERLINK(CONCATENATE("#metadata!",ADDRESS(INDEX($W$2:$W$1001,MATCH(ROWS($U$2:U25),$U$2:$U$1001,0),0),1)),INDEX($Z$2:$Z$1001,MATCH(ROWS($U$2:U25),$U$2:$U$1001,0),0)))</f>
        <v>0</v>
      </c>
      <c r="B25" s="4">
        <f>IF(OR(INDEX($V$2:$V$1001,MATCH(ROWS($U$2:U25),$U$2:$U$1001,0),1)&gt;=100000,INDEX($AB$1005:$AQ$1005,1,MATCH(COLUMNS($AB$1006:AB1006),$AB$1006:$AQ$1006,0))&gt;=100000), " ",IF(INDEX($AB$2:$AQ$1001,MATCH(ROWS($U$2:U25),$U$2:$U$1001,0),MATCH(COLUMNS($AB$1006:AB1006),$AB$1006:$AQ$1006,0)), HYPERLINK("#",""), HYPERLINK(CONCATENATE("#metadata!", ADDRESS(INDEX($W$2:$W$1001,MATCH(ROWS($U$2:U25),$U$2:$U$1001,0),0), INDEX($AB$1004:$AQ$1004,1,MATCH(COLUMNS($AB$1006:AB1006),$AB$1006:$AQ$1006,0)))),"Fix")))</f>
        <v>0</v>
      </c>
      <c r="C25" s="4">
        <f>IF(OR(INDEX($V$2:$V$1001,MATCH(ROWS($U$2:U25),$U$2:$U$1001,0),1)&gt;=100000,INDEX($AB$1005:$AQ$1005,1,MATCH(COLUMNS($AB$1006:AC1006),$AB$1006:$AQ$1006,0))&gt;=100000), " ",IF(INDEX($AB$2:$AQ$1001,MATCH(ROWS($U$2:U25),$U$2:$U$1001,0),MATCH(COLUMNS($AB$1006:AC1006),$AB$1006:$AQ$1006,0)), HYPERLINK("#",""), HYPERLINK(CONCATENATE("#metadata!", ADDRESS(INDEX($W$2:$W$1001,MATCH(ROWS($U$2:U25),$U$2:$U$1001,0),0), INDEX($AB$1004:$AQ$1004,1,MATCH(COLUMNS($AB$1006:AC1006),$AB$1006:$AQ$1006,0)))),"Fix")))</f>
        <v>0</v>
      </c>
      <c r="D25" s="4">
        <f>IF(OR(INDEX($V$2:$V$1001,MATCH(ROWS($U$2:U25),$U$2:$U$1001,0),1)&gt;=100000,INDEX($AB$1005:$AQ$1005,1,MATCH(COLUMNS($AB$1006:AD1006),$AB$1006:$AQ$1006,0))&gt;=100000), " ",IF(INDEX($AB$2:$AQ$1001,MATCH(ROWS($U$2:U25),$U$2:$U$1001,0),MATCH(COLUMNS($AB$1006:AD1006),$AB$1006:$AQ$1006,0)), HYPERLINK("#",""), HYPERLINK(CONCATENATE("#metadata!", ADDRESS(INDEX($W$2:$W$1001,MATCH(ROWS($U$2:U25),$U$2:$U$1001,0),0), INDEX($AB$1004:$AQ$1004,1,MATCH(COLUMNS($AB$1006:AD1006),$AB$1006:$AQ$1006,0)))),"Fix")))</f>
        <v>0</v>
      </c>
      <c r="E25" s="4">
        <f>IF(OR(INDEX($V$2:$V$1001,MATCH(ROWS($U$2:U25),$U$2:$U$1001,0),1)&gt;=100000,INDEX($AB$1005:$AQ$1005,1,MATCH(COLUMNS($AB$1006:AE1006),$AB$1006:$AQ$1006,0))&gt;=100000), " ",IF(INDEX($AB$2:$AQ$1001,MATCH(ROWS($U$2:U25),$U$2:$U$1001,0),MATCH(COLUMNS($AB$1006:AE1006),$AB$1006:$AQ$1006,0)), HYPERLINK("#",""), HYPERLINK(CONCATENATE("#metadata!", ADDRESS(INDEX($W$2:$W$1001,MATCH(ROWS($U$2:U25),$U$2:$U$1001,0),0), INDEX($AB$1004:$AQ$1004,1,MATCH(COLUMNS($AB$1006:AE1006),$AB$1006:$AQ$1006,0)))),"Fix")))</f>
        <v>0</v>
      </c>
      <c r="F25" s="4">
        <f>IF(OR(INDEX($V$2:$V$1001,MATCH(ROWS($U$2:U25),$U$2:$U$1001,0),1)&gt;=100000,INDEX($AB$1005:$AQ$1005,1,MATCH(COLUMNS($AB$1006:AF1006),$AB$1006:$AQ$1006,0))&gt;=100000), " ",IF(INDEX($AB$2:$AQ$1001,MATCH(ROWS($U$2:U25),$U$2:$U$1001,0),MATCH(COLUMNS($AB$1006:AF1006),$AB$1006:$AQ$1006,0)), HYPERLINK("#",""), HYPERLINK(CONCATENATE("#metadata!", ADDRESS(INDEX($W$2:$W$1001,MATCH(ROWS($U$2:U25),$U$2:$U$1001,0),0), INDEX($AB$1004:$AQ$1004,1,MATCH(COLUMNS($AB$1006:AF1006),$AB$1006:$AQ$1006,0)))),"Fix")))</f>
        <v>0</v>
      </c>
      <c r="G25" s="4">
        <f>IF(OR(INDEX($V$2:$V$1001,MATCH(ROWS($U$2:U25),$U$2:$U$1001,0),1)&gt;=100000,INDEX($AB$1005:$AQ$1005,1,MATCH(COLUMNS($AB$1006:AG1006),$AB$1006:$AQ$1006,0))&gt;=100000), " ",IF(INDEX($AB$2:$AQ$1001,MATCH(ROWS($U$2:U25),$U$2:$U$1001,0),MATCH(COLUMNS($AB$1006:AG1006),$AB$1006:$AQ$1006,0)), HYPERLINK("#",""), HYPERLINK(CONCATENATE("#metadata!", ADDRESS(INDEX($W$2:$W$1001,MATCH(ROWS($U$2:U25),$U$2:$U$1001,0),0), INDEX($AB$1004:$AQ$1004,1,MATCH(COLUMNS($AB$1006:AG1006),$AB$1006:$AQ$1006,0)))),"Fix")))</f>
        <v>0</v>
      </c>
      <c r="H25" s="4">
        <f>IF(OR(INDEX($V$2:$V$1001,MATCH(ROWS($U$2:U25),$U$2:$U$1001,0),1)&gt;=100000,INDEX($AB$1005:$AQ$1005,1,MATCH(COLUMNS($AB$1006:AH1006),$AB$1006:$AQ$1006,0))&gt;=100000), " ",IF(INDEX($AB$2:$AQ$1001,MATCH(ROWS($U$2:U25),$U$2:$U$1001,0),MATCH(COLUMNS($AB$1006:AH1006),$AB$1006:$AQ$1006,0)), HYPERLINK("#",""), HYPERLINK(CONCATENATE("#metadata!", ADDRESS(INDEX($W$2:$W$1001,MATCH(ROWS($U$2:U25),$U$2:$U$1001,0),0), INDEX($AB$1004:$AQ$1004,1,MATCH(COLUMNS($AB$1006:AH1006),$AB$1006:$AQ$1006,0)))),"Fix")))</f>
        <v>0</v>
      </c>
      <c r="I25" s="4">
        <f>IF(OR(INDEX($V$2:$V$1001,MATCH(ROWS($U$2:U25),$U$2:$U$1001,0),1)&gt;=100000,INDEX($AB$1005:$AQ$1005,1,MATCH(COLUMNS($AB$1006:AI1006),$AB$1006:$AQ$1006,0))&gt;=100000), " ",IF(INDEX($AB$2:$AQ$1001,MATCH(ROWS($U$2:U25),$U$2:$U$1001,0),MATCH(COLUMNS($AB$1006:AI1006),$AB$1006:$AQ$1006,0)), HYPERLINK("#",""), HYPERLINK(CONCATENATE("#metadata!", ADDRESS(INDEX($W$2:$W$1001,MATCH(ROWS($U$2:U25),$U$2:$U$1001,0),0), INDEX($AB$1004:$AQ$1004,1,MATCH(COLUMNS($AB$1006:AI1006),$AB$1006:$AQ$1006,0)))),"Fix")))</f>
        <v>0</v>
      </c>
      <c r="J25" s="4">
        <f>IF(OR(INDEX($V$2:$V$1001,MATCH(ROWS($U$2:U25),$U$2:$U$1001,0),1)&gt;=100000,INDEX($AB$1005:$AQ$1005,1,MATCH(COLUMNS($AB$1006:AJ1006),$AB$1006:$AQ$1006,0))&gt;=100000), " ",IF(INDEX($AB$2:$AQ$1001,MATCH(ROWS($U$2:U25),$U$2:$U$1001,0),MATCH(COLUMNS($AB$1006:AJ1006),$AB$1006:$AQ$1006,0)), HYPERLINK("#",""), HYPERLINK(CONCATENATE("#metadata!", ADDRESS(INDEX($W$2:$W$1001,MATCH(ROWS($U$2:U25),$U$2:$U$1001,0),0), INDEX($AB$1004:$AQ$1004,1,MATCH(COLUMNS($AB$1006:AJ1006),$AB$1006:$AQ$1006,0)))),"Fix")))</f>
        <v>0</v>
      </c>
      <c r="K25" s="4">
        <f>IF(OR(INDEX($V$2:$V$1001,MATCH(ROWS($U$2:U25),$U$2:$U$1001,0),1)&gt;=100000,INDEX($AB$1005:$AQ$1005,1,MATCH(COLUMNS($AB$1006:AK1006),$AB$1006:$AQ$1006,0))&gt;=100000), " ",IF(INDEX($AB$2:$AQ$1001,MATCH(ROWS($U$2:U25),$U$2:$U$1001,0),MATCH(COLUMNS($AB$1006:AK1006),$AB$1006:$AQ$1006,0)), HYPERLINK("#",""), HYPERLINK(CONCATENATE("#metadata!", ADDRESS(INDEX($W$2:$W$1001,MATCH(ROWS($U$2:U25),$U$2:$U$1001,0),0), INDEX($AB$1004:$AQ$1004,1,MATCH(COLUMNS($AB$1006:AK1006),$AB$1006:$AQ$1006,0)))),"Fix")))</f>
        <v>0</v>
      </c>
      <c r="L25" s="4">
        <f>IF(OR(INDEX($V$2:$V$1001,MATCH(ROWS($U$2:U25),$U$2:$U$1001,0),1)&gt;=100000,INDEX($AB$1005:$AQ$1005,1,MATCH(COLUMNS($AB$1006:AL1006),$AB$1006:$AQ$1006,0))&gt;=100000), " ",IF(INDEX($AB$2:$AQ$1001,MATCH(ROWS($U$2:U25),$U$2:$U$1001,0),MATCH(COLUMNS($AB$1006:AL1006),$AB$1006:$AQ$1006,0)), HYPERLINK("#",""), HYPERLINK(CONCATENATE("#metadata!", ADDRESS(INDEX($W$2:$W$1001,MATCH(ROWS($U$2:U25),$U$2:$U$1001,0),0), INDEX($AB$1004:$AQ$1004,1,MATCH(COLUMNS($AB$1006:AL1006),$AB$1006:$AQ$1006,0)))),"Fix")))</f>
        <v>0</v>
      </c>
      <c r="M25" s="4">
        <f>IF(OR(INDEX($V$2:$V$1001,MATCH(ROWS($U$2:U25),$U$2:$U$1001,0),1)&gt;=100000,INDEX($AB$1005:$AQ$1005,1,MATCH(COLUMNS($AB$1006:AM1006),$AB$1006:$AQ$1006,0))&gt;=100000), " ",IF(INDEX($AB$2:$AQ$1001,MATCH(ROWS($U$2:U25),$U$2:$U$1001,0),MATCH(COLUMNS($AB$1006:AM1006),$AB$1006:$AQ$1006,0)), HYPERLINK("#",""), HYPERLINK(CONCATENATE("#metadata!", ADDRESS(INDEX($W$2:$W$1001,MATCH(ROWS($U$2:U25),$U$2:$U$1001,0),0), INDEX($AB$1004:$AQ$1004,1,MATCH(COLUMNS($AB$1006:AM1006),$AB$1006:$AQ$1006,0)))),"Fix")))</f>
        <v>0</v>
      </c>
      <c r="N25" s="4">
        <f>IF(OR(INDEX($V$2:$V$1001,MATCH(ROWS($U$2:U25),$U$2:$U$1001,0),1)&gt;=100000,INDEX($AB$1005:$AQ$1005,1,MATCH(COLUMNS($AB$1006:AN1006),$AB$1006:$AQ$1006,0))&gt;=100000), " ",IF(INDEX($AB$2:$AQ$1001,MATCH(ROWS($U$2:U25),$U$2:$U$1001,0),MATCH(COLUMNS($AB$1006:AN1006),$AB$1006:$AQ$1006,0)), HYPERLINK("#",""), HYPERLINK(CONCATENATE("#metadata!", ADDRESS(INDEX($W$2:$W$1001,MATCH(ROWS($U$2:U25),$U$2:$U$1001,0),0), INDEX($AB$1004:$AQ$1004,1,MATCH(COLUMNS($AB$1006:AN1006),$AB$1006:$AQ$1006,0)))),"Fix")))</f>
        <v>0</v>
      </c>
      <c r="O25" s="4">
        <f>IF(OR(INDEX($V$2:$V$1001,MATCH(ROWS($U$2:U25),$U$2:$U$1001,0),1)&gt;=100000,INDEX($AB$1005:$AQ$1005,1,MATCH(COLUMNS($AB$1006:AO1006),$AB$1006:$AQ$1006,0))&gt;=100000), " ",IF(INDEX($AB$2:$AQ$1001,MATCH(ROWS($U$2:U25),$U$2:$U$1001,0),MATCH(COLUMNS($AB$1006:AO1006),$AB$1006:$AQ$1006,0)), HYPERLINK("#",""), HYPERLINK(CONCATENATE("#metadata!", ADDRESS(INDEX($W$2:$W$1001,MATCH(ROWS($U$2:U25),$U$2:$U$1001,0),0), INDEX($AB$1004:$AQ$1004,1,MATCH(COLUMNS($AB$1006:AO1006),$AB$1006:$AQ$1006,0)))),"Fix")))</f>
        <v>0</v>
      </c>
      <c r="P25" s="4">
        <f>IF(OR(INDEX($V$2:$V$1001,MATCH(ROWS($U$2:U25),$U$2:$U$1001,0),1)&gt;=100000,INDEX($AB$1005:$AQ$1005,1,MATCH(COLUMNS($AB$1006:AP1006),$AB$1006:$AQ$1006,0))&gt;=100000), " ",IF(INDEX($AB$2:$AQ$1001,MATCH(ROWS($U$2:U25),$U$2:$U$1001,0),MATCH(COLUMNS($AB$1006:AP1006),$AB$1006:$AQ$1006,0)), HYPERLINK("#",""), HYPERLINK(CONCATENATE("#metadata!", ADDRESS(INDEX($W$2:$W$1001,MATCH(ROWS($U$2:U25),$U$2:$U$1001,0),0), INDEX($AB$1004:$AQ$1004,1,MATCH(COLUMNS($AB$1006:AP1006),$AB$1006:$AQ$1006,0)))),"Fix")))</f>
        <v>0</v>
      </c>
      <c r="Q25" s="4">
        <f>IF(OR(INDEX($V$2:$V$1001,MATCH(ROWS($U$2:U25),$U$2:$U$1001,0),1)&gt;=100000,INDEX($AB$1005:$AQ$1005,1,MATCH(COLUMNS($AB$1006:AQ1006),$AB$1006:$AQ$1006,0))&gt;=100000), " ",IF(INDEX($AB$2:$AQ$1001,MATCH(ROWS($U$2:U25),$U$2:$U$1001,0),MATCH(COLUMNS($AB$1006:AQ1006),$AB$1006:$AQ$1006,0)), HYPERLINK("#",""), HYPERLINK(CONCATENATE("#metadata!", ADDRESS(INDEX($W$2:$W$1001,MATCH(ROWS($U$2:U25),$U$2:$U$1001,0),0), INDEX($AB$1004:$AQ$1004,1,MATCH(COLUMNS($AB$1006:AQ1006),$AB$1006:$AQ$1006,0)))),"Fix")))</f>
        <v>0</v>
      </c>
      <c r="U25">
        <v>0</v>
      </c>
      <c r="V25">
        <v>0</v>
      </c>
      <c r="W25">
        <v>0</v>
      </c>
      <c r="X25">
        <f>IF(Y25,TRUE,AND(AB25:AQ25))</f>
        <v>0</v>
      </c>
      <c r="Y25">
        <f>COUNTBLANK(metadata!B25:Q25)=COLUMNS(metadata!B25:Q25)</f>
        <v>0</v>
      </c>
      <c r="Z25">
        <v>0</v>
      </c>
      <c r="AB25">
        <f>AND(IF(metadata!B25="",FALSE,TRUE),COUNTIF(metadata!B:B, metadata!B25) = 1,NOT(ISERROR(SUMPRODUCT(SEARCH(MID(metadata!B25,ROW(INDIRECT("1:"&amp;LEN(metadata!B25))), 1),"0123456789abcdefghijklmnopqrstuvwxyzABCDEFGHIJKLMNOPQRSTUVWXYZ.")))))</f>
        <v>0</v>
      </c>
      <c r="AC25">
        <f>OR(AND(IF(metadata!C25="",FALSE,TRUE),OR(exact(metadata!C25,"missing: not collected"),exact(metadata!C25,"missing: not provided"),exact(metadata!C25,"missing: restricted access"))),AND(IF(metadata!C25="",FALSE,TRUE),AND(AND(IFERROR(INT(LEFT(metadata!C25,4))&gt;1900,FALSE),IFERROR(INT(LEFT(metadata!C25,4))&lt;=YEAR(NOW()),FALSE)), OR(MID(metadata!C25,5,1)="", AND(AND(MID(metadata!C25,5,1)="-",IFERROR(INT(MID(metadata!C25,6,1))&gt;=0,FALSE),IFERROR(INT(MID(metadata!C25,6,1))&lt;=1,FALSE),NOT(MID(metadata!C25,7,1)=""),IFERROR(INT(MID(metadata!C25,6,2))&gt;=1,FALSE),IFERROR(INT(MID(metadata!C25,6,2))&lt;=12,FALSE)), OR(MID(metadata!C25,8,1)="", AND(AND(MID(metadata!C25,8,1)="-",IFERROR(INT(MID(metadata!C25,9,1))&gt;=0,FALSE),IFERROR(INT(MID(metadata!C25,9,1))&lt;=3,FALSE),NOT(MID(metadata!C25,10,1)=""),IFERROR(INT(MID(metadata!C25,9,2))&gt;=1,FALSE),IFERROR(INT(MID(metadata!C25,9,2))&lt;=31,FALSE)), OR(MID(metadata!C25,11,1)="", AND(AND(MID(metadata!C25,11,1)=" ",IFERROR(INT(MID(metadata!C25,12,1))&gt;=0,FALSE),IFERROR(INT(MID(metadata!C25,12,1))&lt;=2,FALSE),NOT(MID(metadata!C25,13,1)=""),IFERROR(INT(MID(metadata!C25,12,2))&gt;=0,FALSE),IFERROR(INT(MID(metadata!C25,12,2))&lt;=23,FALSE)), OR(MID(metadata!C25,14,1)="", AND(AND(MID(metadata!C25,14,1)=":",IFERROR(INT(MID(metadata!C25,15,1))&gt;=0,FALSE),IFERROR(INT(MID(metadata!C25,15,1))&lt;=5,FALSE),NOT(MID(metadata!C25,16,1)=""),IFERROR(INT(MID(metadata!C25,15,2))&gt;=0,FALSE),IFERROR(INT(MID(metadata!C25,15,2))&lt;=59,FALSE)), OR(MID(metadata!C25,17,1)="", AND(AND(MID(metadata!C25,17,1)=":",IFERROR(INT(MID(metadata!C25,18,1))&gt;=0,FALSE),IFERROR(INT(MID(metadata!C25,18,1))&lt;=5,FALSE),NOT(MID(metadata!C25,19,1)=""),IFERROR(INT(MID(metadata!C25,18,2))&gt;=0,FALSE),IFERROR(INT(MID(metadata!C25,18,2))&lt;=59,FALSE)), LEN(metadata!C25)&lt;=19)))))))))))))</f>
        <v>0</v>
      </c>
      <c r="AD25">
        <f>IF(metadata!D25="",FALSE,TRUE)</f>
        <v>0</v>
      </c>
      <c r="AE25">
        <f>OR(AND(IF(metadata!E25="",FALSE,TRUE),OR(exact(metadata!E25,"missing: not collected"),exact(metadata!E25,"missing: not provided"))),AND(IF(metadata!E25="",FALSE,TRUE),OR(exact(metadata!E25,"TRUE"),exact(metadata!E25,"FALSE"))))</f>
        <v>0</v>
      </c>
      <c r="AF25">
        <f>IF(metadata!F25="",FALSE,TRUE)</f>
        <v>0</v>
      </c>
      <c r="AG25">
        <f>IF(metadata!G25="",FALSE,TRUE)</f>
        <v>0</v>
      </c>
      <c r="AH25">
        <f>IF(metadata!H25="",FALSE,TRUE)</f>
        <v>0</v>
      </c>
      <c r="AI25">
        <f>OR(AND(IF(metadata!I25="",FALSE,TRUE),OR(exact(metadata!I25,"missing: not collected"),exact(metadata!I25,"missing: not provided"),exact(metadata!I25,"missing: restricted access"))),AND(IF(metadata!I25="",FALSE,TRUE),OR(exact(metadata!I25,"air"),exact(metadata!I25,"built environment"),exact(metadata!I25,"host-associated"),exact(metadata!I25,"human-associated"),exact(metadata!I25,"human-skin"),exact(metadata!I25,"human-oral"),exact(metadata!I25,"human-gut"),exact(metadata!I25,"human-vaginal"),exact(metadata!I25,"microbial mat/biofilm"),exact(metadata!I25,"misc environment"),exact(metadata!I25,"plant-associated"),exact(metadata!I25,"sediment"),exact(metadata!I25,"soil"),exact(metadata!I25,"wastewater/sludge"),exact(metadata!I25,"water"))))</f>
        <v>0</v>
      </c>
      <c r="AJ25">
        <f>IF(metadata!J25="",FALSE,TRUE)</f>
        <v>0</v>
      </c>
      <c r="AK25">
        <f>OR(AND(IF(metadata!K25="",FALSE,TRUE),OR(exact(metadata!K25,"missing: not collected"),exact(metadata!K25,"missing: not provided"),exact(metadata!K25,"missing: restricted access"))),AND(IF(metadata!K25="",FALSE,ISNUMBER(VALUE(metadata!K25))),metadata!K25&gt;=-90.00,metadata!K25&lt;=90.00))</f>
        <v>0</v>
      </c>
      <c r="AL25">
        <f>OR(AND(IF(metadata!L25="",FALSE,TRUE),OR(exact(metadata!L25,"missing: not collected"),exact(metadata!L25,"missing: not provided"),exact(metadata!L25,"missing: restricted access"))),AND(IF(metadata!L25="",FALSE,ISNUMBER(VALUE(metadata!L25))),metadata!L25&gt;=-180.00,metadata!L25&lt;=180.00))</f>
        <v>0</v>
      </c>
      <c r="AM25">
        <f>IF(metadata!M25="",FALSE,TRUE)</f>
        <v>0</v>
      </c>
      <c r="AN25">
        <f>OR(AND(IF(metadata!N25="",FALSE,TRUE),OR(exact(metadata!N25,"missing: not collected"),exact(metadata!N25,"missing: not provided"),exact(metadata!N25,"missing: restricted access"))),AND(IF(metadata!N25="",FALSE,TRUE),OR(exact(metadata!N25,"TRUE"),exact(metadata!N25,"FALSE"))))</f>
        <v>0</v>
      </c>
      <c r="AO25">
        <f>IF(metadata!O25="",FALSE,TRUE)</f>
        <v>0</v>
      </c>
      <c r="AP25">
        <f>OR(AND(IF(metadata!P25="",FALSE,TRUE),OR(exact(metadata!P25,"missing: not collected"),exact(metadata!P25,"missing: not provided"))),AND(IF(metadata!P25="",FALSE,IF(ISERROR(INT(metadata!P25)),FALSE,INT(metadata!P25)=metadata!P25)),metadata!P25&gt;0))</f>
        <v>0</v>
      </c>
      <c r="AQ25">
        <f>IF(metadata!Q25="",FALSE,TRUE)</f>
        <v>0</v>
      </c>
    </row>
    <row r="26" spans="1:43">
      <c r="A26" s="5">
        <f>IF(B26=" "," ",HYPERLINK(CONCATENATE("#metadata!",ADDRESS(INDEX($W$2:$W$1001,MATCH(ROWS($U$2:U26),$U$2:$U$1001,0),0),1)),INDEX($Z$2:$Z$1001,MATCH(ROWS($U$2:U26),$U$2:$U$1001,0),0)))</f>
        <v>0</v>
      </c>
      <c r="B26" s="4">
        <f>IF(OR(INDEX($V$2:$V$1001,MATCH(ROWS($U$2:U26),$U$2:$U$1001,0),1)&gt;=100000,INDEX($AB$1005:$AQ$1005,1,MATCH(COLUMNS($AB$1006:AB1006),$AB$1006:$AQ$1006,0))&gt;=100000), " ",IF(INDEX($AB$2:$AQ$1001,MATCH(ROWS($U$2:U26),$U$2:$U$1001,0),MATCH(COLUMNS($AB$1006:AB1006),$AB$1006:$AQ$1006,0)), HYPERLINK("#",""), HYPERLINK(CONCATENATE("#metadata!", ADDRESS(INDEX($W$2:$W$1001,MATCH(ROWS($U$2:U26),$U$2:$U$1001,0),0), INDEX($AB$1004:$AQ$1004,1,MATCH(COLUMNS($AB$1006:AB1006),$AB$1006:$AQ$1006,0)))),"Fix")))</f>
        <v>0</v>
      </c>
      <c r="C26" s="4">
        <f>IF(OR(INDEX($V$2:$V$1001,MATCH(ROWS($U$2:U26),$U$2:$U$1001,0),1)&gt;=100000,INDEX($AB$1005:$AQ$1005,1,MATCH(COLUMNS($AB$1006:AC1006),$AB$1006:$AQ$1006,0))&gt;=100000), " ",IF(INDEX($AB$2:$AQ$1001,MATCH(ROWS($U$2:U26),$U$2:$U$1001,0),MATCH(COLUMNS($AB$1006:AC1006),$AB$1006:$AQ$1006,0)), HYPERLINK("#",""), HYPERLINK(CONCATENATE("#metadata!", ADDRESS(INDEX($W$2:$W$1001,MATCH(ROWS($U$2:U26),$U$2:$U$1001,0),0), INDEX($AB$1004:$AQ$1004,1,MATCH(COLUMNS($AB$1006:AC1006),$AB$1006:$AQ$1006,0)))),"Fix")))</f>
        <v>0</v>
      </c>
      <c r="D26" s="4">
        <f>IF(OR(INDEX($V$2:$V$1001,MATCH(ROWS($U$2:U26),$U$2:$U$1001,0),1)&gt;=100000,INDEX($AB$1005:$AQ$1005,1,MATCH(COLUMNS($AB$1006:AD1006),$AB$1006:$AQ$1006,0))&gt;=100000), " ",IF(INDEX($AB$2:$AQ$1001,MATCH(ROWS($U$2:U26),$U$2:$U$1001,0),MATCH(COLUMNS($AB$1006:AD1006),$AB$1006:$AQ$1006,0)), HYPERLINK("#",""), HYPERLINK(CONCATENATE("#metadata!", ADDRESS(INDEX($W$2:$W$1001,MATCH(ROWS($U$2:U26),$U$2:$U$1001,0),0), INDEX($AB$1004:$AQ$1004,1,MATCH(COLUMNS($AB$1006:AD1006),$AB$1006:$AQ$1006,0)))),"Fix")))</f>
        <v>0</v>
      </c>
      <c r="E26" s="4">
        <f>IF(OR(INDEX($V$2:$V$1001,MATCH(ROWS($U$2:U26),$U$2:$U$1001,0),1)&gt;=100000,INDEX($AB$1005:$AQ$1005,1,MATCH(COLUMNS($AB$1006:AE1006),$AB$1006:$AQ$1006,0))&gt;=100000), " ",IF(INDEX($AB$2:$AQ$1001,MATCH(ROWS($U$2:U26),$U$2:$U$1001,0),MATCH(COLUMNS($AB$1006:AE1006),$AB$1006:$AQ$1006,0)), HYPERLINK("#",""), HYPERLINK(CONCATENATE("#metadata!", ADDRESS(INDEX($W$2:$W$1001,MATCH(ROWS($U$2:U26),$U$2:$U$1001,0),0), INDEX($AB$1004:$AQ$1004,1,MATCH(COLUMNS($AB$1006:AE1006),$AB$1006:$AQ$1006,0)))),"Fix")))</f>
        <v>0</v>
      </c>
      <c r="F26" s="4">
        <f>IF(OR(INDEX($V$2:$V$1001,MATCH(ROWS($U$2:U26),$U$2:$U$1001,0),1)&gt;=100000,INDEX($AB$1005:$AQ$1005,1,MATCH(COLUMNS($AB$1006:AF1006),$AB$1006:$AQ$1006,0))&gt;=100000), " ",IF(INDEX($AB$2:$AQ$1001,MATCH(ROWS($U$2:U26),$U$2:$U$1001,0),MATCH(COLUMNS($AB$1006:AF1006),$AB$1006:$AQ$1006,0)), HYPERLINK("#",""), HYPERLINK(CONCATENATE("#metadata!", ADDRESS(INDEX($W$2:$W$1001,MATCH(ROWS($U$2:U26),$U$2:$U$1001,0),0), INDEX($AB$1004:$AQ$1004,1,MATCH(COLUMNS($AB$1006:AF1006),$AB$1006:$AQ$1006,0)))),"Fix")))</f>
        <v>0</v>
      </c>
      <c r="G26" s="4">
        <f>IF(OR(INDEX($V$2:$V$1001,MATCH(ROWS($U$2:U26),$U$2:$U$1001,0),1)&gt;=100000,INDEX($AB$1005:$AQ$1005,1,MATCH(COLUMNS($AB$1006:AG1006),$AB$1006:$AQ$1006,0))&gt;=100000), " ",IF(INDEX($AB$2:$AQ$1001,MATCH(ROWS($U$2:U26),$U$2:$U$1001,0),MATCH(COLUMNS($AB$1006:AG1006),$AB$1006:$AQ$1006,0)), HYPERLINK("#",""), HYPERLINK(CONCATENATE("#metadata!", ADDRESS(INDEX($W$2:$W$1001,MATCH(ROWS($U$2:U26),$U$2:$U$1001,0),0), INDEX($AB$1004:$AQ$1004,1,MATCH(COLUMNS($AB$1006:AG1006),$AB$1006:$AQ$1006,0)))),"Fix")))</f>
        <v>0</v>
      </c>
      <c r="H26" s="4">
        <f>IF(OR(INDEX($V$2:$V$1001,MATCH(ROWS($U$2:U26),$U$2:$U$1001,0),1)&gt;=100000,INDEX($AB$1005:$AQ$1005,1,MATCH(COLUMNS($AB$1006:AH1006),$AB$1006:$AQ$1006,0))&gt;=100000), " ",IF(INDEX($AB$2:$AQ$1001,MATCH(ROWS($U$2:U26),$U$2:$U$1001,0),MATCH(COLUMNS($AB$1006:AH1006),$AB$1006:$AQ$1006,0)), HYPERLINK("#",""), HYPERLINK(CONCATENATE("#metadata!", ADDRESS(INDEX($W$2:$W$1001,MATCH(ROWS($U$2:U26),$U$2:$U$1001,0),0), INDEX($AB$1004:$AQ$1004,1,MATCH(COLUMNS($AB$1006:AH1006),$AB$1006:$AQ$1006,0)))),"Fix")))</f>
        <v>0</v>
      </c>
      <c r="I26" s="4">
        <f>IF(OR(INDEX($V$2:$V$1001,MATCH(ROWS($U$2:U26),$U$2:$U$1001,0),1)&gt;=100000,INDEX($AB$1005:$AQ$1005,1,MATCH(COLUMNS($AB$1006:AI1006),$AB$1006:$AQ$1006,0))&gt;=100000), " ",IF(INDEX($AB$2:$AQ$1001,MATCH(ROWS($U$2:U26),$U$2:$U$1001,0),MATCH(COLUMNS($AB$1006:AI1006),$AB$1006:$AQ$1006,0)), HYPERLINK("#",""), HYPERLINK(CONCATENATE("#metadata!", ADDRESS(INDEX($W$2:$W$1001,MATCH(ROWS($U$2:U26),$U$2:$U$1001,0),0), INDEX($AB$1004:$AQ$1004,1,MATCH(COLUMNS($AB$1006:AI1006),$AB$1006:$AQ$1006,0)))),"Fix")))</f>
        <v>0</v>
      </c>
      <c r="J26" s="4">
        <f>IF(OR(INDEX($V$2:$V$1001,MATCH(ROWS($U$2:U26),$U$2:$U$1001,0),1)&gt;=100000,INDEX($AB$1005:$AQ$1005,1,MATCH(COLUMNS($AB$1006:AJ1006),$AB$1006:$AQ$1006,0))&gt;=100000), " ",IF(INDEX($AB$2:$AQ$1001,MATCH(ROWS($U$2:U26),$U$2:$U$1001,0),MATCH(COLUMNS($AB$1006:AJ1006),$AB$1006:$AQ$1006,0)), HYPERLINK("#",""), HYPERLINK(CONCATENATE("#metadata!", ADDRESS(INDEX($W$2:$W$1001,MATCH(ROWS($U$2:U26),$U$2:$U$1001,0),0), INDEX($AB$1004:$AQ$1004,1,MATCH(COLUMNS($AB$1006:AJ1006),$AB$1006:$AQ$1006,0)))),"Fix")))</f>
        <v>0</v>
      </c>
      <c r="K26" s="4">
        <f>IF(OR(INDEX($V$2:$V$1001,MATCH(ROWS($U$2:U26),$U$2:$U$1001,0),1)&gt;=100000,INDEX($AB$1005:$AQ$1005,1,MATCH(COLUMNS($AB$1006:AK1006),$AB$1006:$AQ$1006,0))&gt;=100000), " ",IF(INDEX($AB$2:$AQ$1001,MATCH(ROWS($U$2:U26),$U$2:$U$1001,0),MATCH(COLUMNS($AB$1006:AK1006),$AB$1006:$AQ$1006,0)), HYPERLINK("#",""), HYPERLINK(CONCATENATE("#metadata!", ADDRESS(INDEX($W$2:$W$1001,MATCH(ROWS($U$2:U26),$U$2:$U$1001,0),0), INDEX($AB$1004:$AQ$1004,1,MATCH(COLUMNS($AB$1006:AK1006),$AB$1006:$AQ$1006,0)))),"Fix")))</f>
        <v>0</v>
      </c>
      <c r="L26" s="4">
        <f>IF(OR(INDEX($V$2:$V$1001,MATCH(ROWS($U$2:U26),$U$2:$U$1001,0),1)&gt;=100000,INDEX($AB$1005:$AQ$1005,1,MATCH(COLUMNS($AB$1006:AL1006),$AB$1006:$AQ$1006,0))&gt;=100000), " ",IF(INDEX($AB$2:$AQ$1001,MATCH(ROWS($U$2:U26),$U$2:$U$1001,0),MATCH(COLUMNS($AB$1006:AL1006),$AB$1006:$AQ$1006,0)), HYPERLINK("#",""), HYPERLINK(CONCATENATE("#metadata!", ADDRESS(INDEX($W$2:$W$1001,MATCH(ROWS($U$2:U26),$U$2:$U$1001,0),0), INDEX($AB$1004:$AQ$1004,1,MATCH(COLUMNS($AB$1006:AL1006),$AB$1006:$AQ$1006,0)))),"Fix")))</f>
        <v>0</v>
      </c>
      <c r="M26" s="4">
        <f>IF(OR(INDEX($V$2:$V$1001,MATCH(ROWS($U$2:U26),$U$2:$U$1001,0),1)&gt;=100000,INDEX($AB$1005:$AQ$1005,1,MATCH(COLUMNS($AB$1006:AM1006),$AB$1006:$AQ$1006,0))&gt;=100000), " ",IF(INDEX($AB$2:$AQ$1001,MATCH(ROWS($U$2:U26),$U$2:$U$1001,0),MATCH(COLUMNS($AB$1006:AM1006),$AB$1006:$AQ$1006,0)), HYPERLINK("#",""), HYPERLINK(CONCATENATE("#metadata!", ADDRESS(INDEX($W$2:$W$1001,MATCH(ROWS($U$2:U26),$U$2:$U$1001,0),0), INDEX($AB$1004:$AQ$1004,1,MATCH(COLUMNS($AB$1006:AM1006),$AB$1006:$AQ$1006,0)))),"Fix")))</f>
        <v>0</v>
      </c>
      <c r="N26" s="4">
        <f>IF(OR(INDEX($V$2:$V$1001,MATCH(ROWS($U$2:U26),$U$2:$U$1001,0),1)&gt;=100000,INDEX($AB$1005:$AQ$1005,1,MATCH(COLUMNS($AB$1006:AN1006),$AB$1006:$AQ$1006,0))&gt;=100000), " ",IF(INDEX($AB$2:$AQ$1001,MATCH(ROWS($U$2:U26),$U$2:$U$1001,0),MATCH(COLUMNS($AB$1006:AN1006),$AB$1006:$AQ$1006,0)), HYPERLINK("#",""), HYPERLINK(CONCATENATE("#metadata!", ADDRESS(INDEX($W$2:$W$1001,MATCH(ROWS($U$2:U26),$U$2:$U$1001,0),0), INDEX($AB$1004:$AQ$1004,1,MATCH(COLUMNS($AB$1006:AN1006),$AB$1006:$AQ$1006,0)))),"Fix")))</f>
        <v>0</v>
      </c>
      <c r="O26" s="4">
        <f>IF(OR(INDEX($V$2:$V$1001,MATCH(ROWS($U$2:U26),$U$2:$U$1001,0),1)&gt;=100000,INDEX($AB$1005:$AQ$1005,1,MATCH(COLUMNS($AB$1006:AO1006),$AB$1006:$AQ$1006,0))&gt;=100000), " ",IF(INDEX($AB$2:$AQ$1001,MATCH(ROWS($U$2:U26),$U$2:$U$1001,0),MATCH(COLUMNS($AB$1006:AO1006),$AB$1006:$AQ$1006,0)), HYPERLINK("#",""), HYPERLINK(CONCATENATE("#metadata!", ADDRESS(INDEX($W$2:$W$1001,MATCH(ROWS($U$2:U26),$U$2:$U$1001,0),0), INDEX($AB$1004:$AQ$1004,1,MATCH(COLUMNS($AB$1006:AO1006),$AB$1006:$AQ$1006,0)))),"Fix")))</f>
        <v>0</v>
      </c>
      <c r="P26" s="4">
        <f>IF(OR(INDEX($V$2:$V$1001,MATCH(ROWS($U$2:U26),$U$2:$U$1001,0),1)&gt;=100000,INDEX($AB$1005:$AQ$1005,1,MATCH(COLUMNS($AB$1006:AP1006),$AB$1006:$AQ$1006,0))&gt;=100000), " ",IF(INDEX($AB$2:$AQ$1001,MATCH(ROWS($U$2:U26),$U$2:$U$1001,0),MATCH(COLUMNS($AB$1006:AP1006),$AB$1006:$AQ$1006,0)), HYPERLINK("#",""), HYPERLINK(CONCATENATE("#metadata!", ADDRESS(INDEX($W$2:$W$1001,MATCH(ROWS($U$2:U26),$U$2:$U$1001,0),0), INDEX($AB$1004:$AQ$1004,1,MATCH(COLUMNS($AB$1006:AP1006),$AB$1006:$AQ$1006,0)))),"Fix")))</f>
        <v>0</v>
      </c>
      <c r="Q26" s="4">
        <f>IF(OR(INDEX($V$2:$V$1001,MATCH(ROWS($U$2:U26),$U$2:$U$1001,0),1)&gt;=100000,INDEX($AB$1005:$AQ$1005,1,MATCH(COLUMNS($AB$1006:AQ1006),$AB$1006:$AQ$1006,0))&gt;=100000), " ",IF(INDEX($AB$2:$AQ$1001,MATCH(ROWS($U$2:U26),$U$2:$U$1001,0),MATCH(COLUMNS($AB$1006:AQ1006),$AB$1006:$AQ$1006,0)), HYPERLINK("#",""), HYPERLINK(CONCATENATE("#metadata!", ADDRESS(INDEX($W$2:$W$1001,MATCH(ROWS($U$2:U26),$U$2:$U$1001,0),0), INDEX($AB$1004:$AQ$1004,1,MATCH(COLUMNS($AB$1006:AQ1006),$AB$1006:$AQ$1006,0)))),"Fix")))</f>
        <v>0</v>
      </c>
      <c r="U26">
        <v>0</v>
      </c>
      <c r="V26">
        <v>0</v>
      </c>
      <c r="W26">
        <v>0</v>
      </c>
      <c r="X26">
        <f>IF(Y26,TRUE,AND(AB26:AQ26))</f>
        <v>0</v>
      </c>
      <c r="Y26">
        <f>COUNTBLANK(metadata!B26:Q26)=COLUMNS(metadata!B26:Q26)</f>
        <v>0</v>
      </c>
      <c r="Z26">
        <v>0</v>
      </c>
      <c r="AB26">
        <f>AND(IF(metadata!B26="",FALSE,TRUE),COUNTIF(metadata!B:B, metadata!B26) = 1,NOT(ISERROR(SUMPRODUCT(SEARCH(MID(metadata!B26,ROW(INDIRECT("1:"&amp;LEN(metadata!B26))), 1),"0123456789abcdefghijklmnopqrstuvwxyzABCDEFGHIJKLMNOPQRSTUVWXYZ.")))))</f>
        <v>0</v>
      </c>
      <c r="AC26">
        <f>OR(AND(IF(metadata!C26="",FALSE,TRUE),OR(exact(metadata!C26,"missing: not collected"),exact(metadata!C26,"missing: not provided"),exact(metadata!C26,"missing: restricted access"))),AND(IF(metadata!C26="",FALSE,TRUE),AND(AND(IFERROR(INT(LEFT(metadata!C26,4))&gt;1900,FALSE),IFERROR(INT(LEFT(metadata!C26,4))&lt;=YEAR(NOW()),FALSE)), OR(MID(metadata!C26,5,1)="", AND(AND(MID(metadata!C26,5,1)="-",IFERROR(INT(MID(metadata!C26,6,1))&gt;=0,FALSE),IFERROR(INT(MID(metadata!C26,6,1))&lt;=1,FALSE),NOT(MID(metadata!C26,7,1)=""),IFERROR(INT(MID(metadata!C26,6,2))&gt;=1,FALSE),IFERROR(INT(MID(metadata!C26,6,2))&lt;=12,FALSE)), OR(MID(metadata!C26,8,1)="", AND(AND(MID(metadata!C26,8,1)="-",IFERROR(INT(MID(metadata!C26,9,1))&gt;=0,FALSE),IFERROR(INT(MID(metadata!C26,9,1))&lt;=3,FALSE),NOT(MID(metadata!C26,10,1)=""),IFERROR(INT(MID(metadata!C26,9,2))&gt;=1,FALSE),IFERROR(INT(MID(metadata!C26,9,2))&lt;=31,FALSE)), OR(MID(metadata!C26,11,1)="", AND(AND(MID(metadata!C26,11,1)=" ",IFERROR(INT(MID(metadata!C26,12,1))&gt;=0,FALSE),IFERROR(INT(MID(metadata!C26,12,1))&lt;=2,FALSE),NOT(MID(metadata!C26,13,1)=""),IFERROR(INT(MID(metadata!C26,12,2))&gt;=0,FALSE),IFERROR(INT(MID(metadata!C26,12,2))&lt;=23,FALSE)), OR(MID(metadata!C26,14,1)="", AND(AND(MID(metadata!C26,14,1)=":",IFERROR(INT(MID(metadata!C26,15,1))&gt;=0,FALSE),IFERROR(INT(MID(metadata!C26,15,1))&lt;=5,FALSE),NOT(MID(metadata!C26,16,1)=""),IFERROR(INT(MID(metadata!C26,15,2))&gt;=0,FALSE),IFERROR(INT(MID(metadata!C26,15,2))&lt;=59,FALSE)), OR(MID(metadata!C26,17,1)="", AND(AND(MID(metadata!C26,17,1)=":",IFERROR(INT(MID(metadata!C26,18,1))&gt;=0,FALSE),IFERROR(INT(MID(metadata!C26,18,1))&lt;=5,FALSE),NOT(MID(metadata!C26,19,1)=""),IFERROR(INT(MID(metadata!C26,18,2))&gt;=0,FALSE),IFERROR(INT(MID(metadata!C26,18,2))&lt;=59,FALSE)), LEN(metadata!C26)&lt;=19)))))))))))))</f>
        <v>0</v>
      </c>
      <c r="AD26">
        <f>IF(metadata!D26="",FALSE,TRUE)</f>
        <v>0</v>
      </c>
      <c r="AE26">
        <f>OR(AND(IF(metadata!E26="",FALSE,TRUE),OR(exact(metadata!E26,"missing: not collected"),exact(metadata!E26,"missing: not provided"))),AND(IF(metadata!E26="",FALSE,TRUE),OR(exact(metadata!E26,"TRUE"),exact(metadata!E26,"FALSE"))))</f>
        <v>0</v>
      </c>
      <c r="AF26">
        <f>IF(metadata!F26="",FALSE,TRUE)</f>
        <v>0</v>
      </c>
      <c r="AG26">
        <f>IF(metadata!G26="",FALSE,TRUE)</f>
        <v>0</v>
      </c>
      <c r="AH26">
        <f>IF(metadata!H26="",FALSE,TRUE)</f>
        <v>0</v>
      </c>
      <c r="AI26">
        <f>OR(AND(IF(metadata!I26="",FALSE,TRUE),OR(exact(metadata!I26,"missing: not collected"),exact(metadata!I26,"missing: not provided"),exact(metadata!I26,"missing: restricted access"))),AND(IF(metadata!I26="",FALSE,TRUE),OR(exact(metadata!I26,"air"),exact(metadata!I26,"built environment"),exact(metadata!I26,"host-associated"),exact(metadata!I26,"human-associated"),exact(metadata!I26,"human-skin"),exact(metadata!I26,"human-oral"),exact(metadata!I26,"human-gut"),exact(metadata!I26,"human-vaginal"),exact(metadata!I26,"microbial mat/biofilm"),exact(metadata!I26,"misc environment"),exact(metadata!I26,"plant-associated"),exact(metadata!I26,"sediment"),exact(metadata!I26,"soil"),exact(metadata!I26,"wastewater/sludge"),exact(metadata!I26,"water"))))</f>
        <v>0</v>
      </c>
      <c r="AJ26">
        <f>IF(metadata!J26="",FALSE,TRUE)</f>
        <v>0</v>
      </c>
      <c r="AK26">
        <f>OR(AND(IF(metadata!K26="",FALSE,TRUE),OR(exact(metadata!K26,"missing: not collected"),exact(metadata!K26,"missing: not provided"),exact(metadata!K26,"missing: restricted access"))),AND(IF(metadata!K26="",FALSE,ISNUMBER(VALUE(metadata!K26))),metadata!K26&gt;=-90.00,metadata!K26&lt;=90.00))</f>
        <v>0</v>
      </c>
      <c r="AL26">
        <f>OR(AND(IF(metadata!L26="",FALSE,TRUE),OR(exact(metadata!L26,"missing: not collected"),exact(metadata!L26,"missing: not provided"),exact(metadata!L26,"missing: restricted access"))),AND(IF(metadata!L26="",FALSE,ISNUMBER(VALUE(metadata!L26))),metadata!L26&gt;=-180.00,metadata!L26&lt;=180.00))</f>
        <v>0</v>
      </c>
      <c r="AM26">
        <f>IF(metadata!M26="",FALSE,TRUE)</f>
        <v>0</v>
      </c>
      <c r="AN26">
        <f>OR(AND(IF(metadata!N26="",FALSE,TRUE),OR(exact(metadata!N26,"missing: not collected"),exact(metadata!N26,"missing: not provided"),exact(metadata!N26,"missing: restricted access"))),AND(IF(metadata!N26="",FALSE,TRUE),OR(exact(metadata!N26,"TRUE"),exact(metadata!N26,"FALSE"))))</f>
        <v>0</v>
      </c>
      <c r="AO26">
        <f>IF(metadata!O26="",FALSE,TRUE)</f>
        <v>0</v>
      </c>
      <c r="AP26">
        <f>OR(AND(IF(metadata!P26="",FALSE,TRUE),OR(exact(metadata!P26,"missing: not collected"),exact(metadata!P26,"missing: not provided"))),AND(IF(metadata!P26="",FALSE,IF(ISERROR(INT(metadata!P26)),FALSE,INT(metadata!P26)=metadata!P26)),metadata!P26&gt;0))</f>
        <v>0</v>
      </c>
      <c r="AQ26">
        <f>IF(metadata!Q26="",FALSE,TRUE)</f>
        <v>0</v>
      </c>
    </row>
    <row r="27" spans="1:43">
      <c r="A27" s="5">
        <f>IF(B27=" "," ",HYPERLINK(CONCATENATE("#metadata!",ADDRESS(INDEX($W$2:$W$1001,MATCH(ROWS($U$2:U27),$U$2:$U$1001,0),0),1)),INDEX($Z$2:$Z$1001,MATCH(ROWS($U$2:U27),$U$2:$U$1001,0),0)))</f>
        <v>0</v>
      </c>
      <c r="B27" s="4">
        <f>IF(OR(INDEX($V$2:$V$1001,MATCH(ROWS($U$2:U27),$U$2:$U$1001,0),1)&gt;=100000,INDEX($AB$1005:$AQ$1005,1,MATCH(COLUMNS($AB$1006:AB1006),$AB$1006:$AQ$1006,0))&gt;=100000), " ",IF(INDEX($AB$2:$AQ$1001,MATCH(ROWS($U$2:U27),$U$2:$U$1001,0),MATCH(COLUMNS($AB$1006:AB1006),$AB$1006:$AQ$1006,0)), HYPERLINK("#",""), HYPERLINK(CONCATENATE("#metadata!", ADDRESS(INDEX($W$2:$W$1001,MATCH(ROWS($U$2:U27),$U$2:$U$1001,0),0), INDEX($AB$1004:$AQ$1004,1,MATCH(COLUMNS($AB$1006:AB1006),$AB$1006:$AQ$1006,0)))),"Fix")))</f>
        <v>0</v>
      </c>
      <c r="C27" s="4">
        <f>IF(OR(INDEX($V$2:$V$1001,MATCH(ROWS($U$2:U27),$U$2:$U$1001,0),1)&gt;=100000,INDEX($AB$1005:$AQ$1005,1,MATCH(COLUMNS($AB$1006:AC1006),$AB$1006:$AQ$1006,0))&gt;=100000), " ",IF(INDEX($AB$2:$AQ$1001,MATCH(ROWS($U$2:U27),$U$2:$U$1001,0),MATCH(COLUMNS($AB$1006:AC1006),$AB$1006:$AQ$1006,0)), HYPERLINK("#",""), HYPERLINK(CONCATENATE("#metadata!", ADDRESS(INDEX($W$2:$W$1001,MATCH(ROWS($U$2:U27),$U$2:$U$1001,0),0), INDEX($AB$1004:$AQ$1004,1,MATCH(COLUMNS($AB$1006:AC1006),$AB$1006:$AQ$1006,0)))),"Fix")))</f>
        <v>0</v>
      </c>
      <c r="D27" s="4">
        <f>IF(OR(INDEX($V$2:$V$1001,MATCH(ROWS($U$2:U27),$U$2:$U$1001,0),1)&gt;=100000,INDEX($AB$1005:$AQ$1005,1,MATCH(COLUMNS($AB$1006:AD1006),$AB$1006:$AQ$1006,0))&gt;=100000), " ",IF(INDEX($AB$2:$AQ$1001,MATCH(ROWS($U$2:U27),$U$2:$U$1001,0),MATCH(COLUMNS($AB$1006:AD1006),$AB$1006:$AQ$1006,0)), HYPERLINK("#",""), HYPERLINK(CONCATENATE("#metadata!", ADDRESS(INDEX($W$2:$W$1001,MATCH(ROWS($U$2:U27),$U$2:$U$1001,0),0), INDEX($AB$1004:$AQ$1004,1,MATCH(COLUMNS($AB$1006:AD1006),$AB$1006:$AQ$1006,0)))),"Fix")))</f>
        <v>0</v>
      </c>
      <c r="E27" s="4">
        <f>IF(OR(INDEX($V$2:$V$1001,MATCH(ROWS($U$2:U27),$U$2:$U$1001,0),1)&gt;=100000,INDEX($AB$1005:$AQ$1005,1,MATCH(COLUMNS($AB$1006:AE1006),$AB$1006:$AQ$1006,0))&gt;=100000), " ",IF(INDEX($AB$2:$AQ$1001,MATCH(ROWS($U$2:U27),$U$2:$U$1001,0),MATCH(COLUMNS($AB$1006:AE1006),$AB$1006:$AQ$1006,0)), HYPERLINK("#",""), HYPERLINK(CONCATENATE("#metadata!", ADDRESS(INDEX($W$2:$W$1001,MATCH(ROWS($U$2:U27),$U$2:$U$1001,0),0), INDEX($AB$1004:$AQ$1004,1,MATCH(COLUMNS($AB$1006:AE1006),$AB$1006:$AQ$1006,0)))),"Fix")))</f>
        <v>0</v>
      </c>
      <c r="F27" s="4">
        <f>IF(OR(INDEX($V$2:$V$1001,MATCH(ROWS($U$2:U27),$U$2:$U$1001,0),1)&gt;=100000,INDEX($AB$1005:$AQ$1005,1,MATCH(COLUMNS($AB$1006:AF1006),$AB$1006:$AQ$1006,0))&gt;=100000), " ",IF(INDEX($AB$2:$AQ$1001,MATCH(ROWS($U$2:U27),$U$2:$U$1001,0),MATCH(COLUMNS($AB$1006:AF1006),$AB$1006:$AQ$1006,0)), HYPERLINK("#",""), HYPERLINK(CONCATENATE("#metadata!", ADDRESS(INDEX($W$2:$W$1001,MATCH(ROWS($U$2:U27),$U$2:$U$1001,0),0), INDEX($AB$1004:$AQ$1004,1,MATCH(COLUMNS($AB$1006:AF1006),$AB$1006:$AQ$1006,0)))),"Fix")))</f>
        <v>0</v>
      </c>
      <c r="G27" s="4">
        <f>IF(OR(INDEX($V$2:$V$1001,MATCH(ROWS($U$2:U27),$U$2:$U$1001,0),1)&gt;=100000,INDEX($AB$1005:$AQ$1005,1,MATCH(COLUMNS($AB$1006:AG1006),$AB$1006:$AQ$1006,0))&gt;=100000), " ",IF(INDEX($AB$2:$AQ$1001,MATCH(ROWS($U$2:U27),$U$2:$U$1001,0),MATCH(COLUMNS($AB$1006:AG1006),$AB$1006:$AQ$1006,0)), HYPERLINK("#",""), HYPERLINK(CONCATENATE("#metadata!", ADDRESS(INDEX($W$2:$W$1001,MATCH(ROWS($U$2:U27),$U$2:$U$1001,0),0), INDEX($AB$1004:$AQ$1004,1,MATCH(COLUMNS($AB$1006:AG1006),$AB$1006:$AQ$1006,0)))),"Fix")))</f>
        <v>0</v>
      </c>
      <c r="H27" s="4">
        <f>IF(OR(INDEX($V$2:$V$1001,MATCH(ROWS($U$2:U27),$U$2:$U$1001,0),1)&gt;=100000,INDEX($AB$1005:$AQ$1005,1,MATCH(COLUMNS($AB$1006:AH1006),$AB$1006:$AQ$1006,0))&gt;=100000), " ",IF(INDEX($AB$2:$AQ$1001,MATCH(ROWS($U$2:U27),$U$2:$U$1001,0),MATCH(COLUMNS($AB$1006:AH1006),$AB$1006:$AQ$1006,0)), HYPERLINK("#",""), HYPERLINK(CONCATENATE("#metadata!", ADDRESS(INDEX($W$2:$W$1001,MATCH(ROWS($U$2:U27),$U$2:$U$1001,0),0), INDEX($AB$1004:$AQ$1004,1,MATCH(COLUMNS($AB$1006:AH1006),$AB$1006:$AQ$1006,0)))),"Fix")))</f>
        <v>0</v>
      </c>
      <c r="I27" s="4">
        <f>IF(OR(INDEX($V$2:$V$1001,MATCH(ROWS($U$2:U27),$U$2:$U$1001,0),1)&gt;=100000,INDEX($AB$1005:$AQ$1005,1,MATCH(COLUMNS($AB$1006:AI1006),$AB$1006:$AQ$1006,0))&gt;=100000), " ",IF(INDEX($AB$2:$AQ$1001,MATCH(ROWS($U$2:U27),$U$2:$U$1001,0),MATCH(COLUMNS($AB$1006:AI1006),$AB$1006:$AQ$1006,0)), HYPERLINK("#",""), HYPERLINK(CONCATENATE("#metadata!", ADDRESS(INDEX($W$2:$W$1001,MATCH(ROWS($U$2:U27),$U$2:$U$1001,0),0), INDEX($AB$1004:$AQ$1004,1,MATCH(COLUMNS($AB$1006:AI1006),$AB$1006:$AQ$1006,0)))),"Fix")))</f>
        <v>0</v>
      </c>
      <c r="J27" s="4">
        <f>IF(OR(INDEX($V$2:$V$1001,MATCH(ROWS($U$2:U27),$U$2:$U$1001,0),1)&gt;=100000,INDEX($AB$1005:$AQ$1005,1,MATCH(COLUMNS($AB$1006:AJ1006),$AB$1006:$AQ$1006,0))&gt;=100000), " ",IF(INDEX($AB$2:$AQ$1001,MATCH(ROWS($U$2:U27),$U$2:$U$1001,0),MATCH(COLUMNS($AB$1006:AJ1006),$AB$1006:$AQ$1006,0)), HYPERLINK("#",""), HYPERLINK(CONCATENATE("#metadata!", ADDRESS(INDEX($W$2:$W$1001,MATCH(ROWS($U$2:U27),$U$2:$U$1001,0),0), INDEX($AB$1004:$AQ$1004,1,MATCH(COLUMNS($AB$1006:AJ1006),$AB$1006:$AQ$1006,0)))),"Fix")))</f>
        <v>0</v>
      </c>
      <c r="K27" s="4">
        <f>IF(OR(INDEX($V$2:$V$1001,MATCH(ROWS($U$2:U27),$U$2:$U$1001,0),1)&gt;=100000,INDEX($AB$1005:$AQ$1005,1,MATCH(COLUMNS($AB$1006:AK1006),$AB$1006:$AQ$1006,0))&gt;=100000), " ",IF(INDEX($AB$2:$AQ$1001,MATCH(ROWS($U$2:U27),$U$2:$U$1001,0),MATCH(COLUMNS($AB$1006:AK1006),$AB$1006:$AQ$1006,0)), HYPERLINK("#",""), HYPERLINK(CONCATENATE("#metadata!", ADDRESS(INDEX($W$2:$W$1001,MATCH(ROWS($U$2:U27),$U$2:$U$1001,0),0), INDEX($AB$1004:$AQ$1004,1,MATCH(COLUMNS($AB$1006:AK1006),$AB$1006:$AQ$1006,0)))),"Fix")))</f>
        <v>0</v>
      </c>
      <c r="L27" s="4">
        <f>IF(OR(INDEX($V$2:$V$1001,MATCH(ROWS($U$2:U27),$U$2:$U$1001,0),1)&gt;=100000,INDEX($AB$1005:$AQ$1005,1,MATCH(COLUMNS($AB$1006:AL1006),$AB$1006:$AQ$1006,0))&gt;=100000), " ",IF(INDEX($AB$2:$AQ$1001,MATCH(ROWS($U$2:U27),$U$2:$U$1001,0),MATCH(COLUMNS($AB$1006:AL1006),$AB$1006:$AQ$1006,0)), HYPERLINK("#",""), HYPERLINK(CONCATENATE("#metadata!", ADDRESS(INDEX($W$2:$W$1001,MATCH(ROWS($U$2:U27),$U$2:$U$1001,0),0), INDEX($AB$1004:$AQ$1004,1,MATCH(COLUMNS($AB$1006:AL1006),$AB$1006:$AQ$1006,0)))),"Fix")))</f>
        <v>0</v>
      </c>
      <c r="M27" s="4">
        <f>IF(OR(INDEX($V$2:$V$1001,MATCH(ROWS($U$2:U27),$U$2:$U$1001,0),1)&gt;=100000,INDEX($AB$1005:$AQ$1005,1,MATCH(COLUMNS($AB$1006:AM1006),$AB$1006:$AQ$1006,0))&gt;=100000), " ",IF(INDEX($AB$2:$AQ$1001,MATCH(ROWS($U$2:U27),$U$2:$U$1001,0),MATCH(COLUMNS($AB$1006:AM1006),$AB$1006:$AQ$1006,0)), HYPERLINK("#",""), HYPERLINK(CONCATENATE("#metadata!", ADDRESS(INDEX($W$2:$W$1001,MATCH(ROWS($U$2:U27),$U$2:$U$1001,0),0), INDEX($AB$1004:$AQ$1004,1,MATCH(COLUMNS($AB$1006:AM1006),$AB$1006:$AQ$1006,0)))),"Fix")))</f>
        <v>0</v>
      </c>
      <c r="N27" s="4">
        <f>IF(OR(INDEX($V$2:$V$1001,MATCH(ROWS($U$2:U27),$U$2:$U$1001,0),1)&gt;=100000,INDEX($AB$1005:$AQ$1005,1,MATCH(COLUMNS($AB$1006:AN1006),$AB$1006:$AQ$1006,0))&gt;=100000), " ",IF(INDEX($AB$2:$AQ$1001,MATCH(ROWS($U$2:U27),$U$2:$U$1001,0),MATCH(COLUMNS($AB$1006:AN1006),$AB$1006:$AQ$1006,0)), HYPERLINK("#",""), HYPERLINK(CONCATENATE("#metadata!", ADDRESS(INDEX($W$2:$W$1001,MATCH(ROWS($U$2:U27),$U$2:$U$1001,0),0), INDEX($AB$1004:$AQ$1004,1,MATCH(COLUMNS($AB$1006:AN1006),$AB$1006:$AQ$1006,0)))),"Fix")))</f>
        <v>0</v>
      </c>
      <c r="O27" s="4">
        <f>IF(OR(INDEX($V$2:$V$1001,MATCH(ROWS($U$2:U27),$U$2:$U$1001,0),1)&gt;=100000,INDEX($AB$1005:$AQ$1005,1,MATCH(COLUMNS($AB$1006:AO1006),$AB$1006:$AQ$1006,0))&gt;=100000), " ",IF(INDEX($AB$2:$AQ$1001,MATCH(ROWS($U$2:U27),$U$2:$U$1001,0),MATCH(COLUMNS($AB$1006:AO1006),$AB$1006:$AQ$1006,0)), HYPERLINK("#",""), HYPERLINK(CONCATENATE("#metadata!", ADDRESS(INDEX($W$2:$W$1001,MATCH(ROWS($U$2:U27),$U$2:$U$1001,0),0), INDEX($AB$1004:$AQ$1004,1,MATCH(COLUMNS($AB$1006:AO1006),$AB$1006:$AQ$1006,0)))),"Fix")))</f>
        <v>0</v>
      </c>
      <c r="P27" s="4">
        <f>IF(OR(INDEX($V$2:$V$1001,MATCH(ROWS($U$2:U27),$U$2:$U$1001,0),1)&gt;=100000,INDEX($AB$1005:$AQ$1005,1,MATCH(COLUMNS($AB$1006:AP1006),$AB$1006:$AQ$1006,0))&gt;=100000), " ",IF(INDEX($AB$2:$AQ$1001,MATCH(ROWS($U$2:U27),$U$2:$U$1001,0),MATCH(COLUMNS($AB$1006:AP1006),$AB$1006:$AQ$1006,0)), HYPERLINK("#",""), HYPERLINK(CONCATENATE("#metadata!", ADDRESS(INDEX($W$2:$W$1001,MATCH(ROWS($U$2:U27),$U$2:$U$1001,0),0), INDEX($AB$1004:$AQ$1004,1,MATCH(COLUMNS($AB$1006:AP1006),$AB$1006:$AQ$1006,0)))),"Fix")))</f>
        <v>0</v>
      </c>
      <c r="Q27" s="4">
        <f>IF(OR(INDEX($V$2:$V$1001,MATCH(ROWS($U$2:U27),$U$2:$U$1001,0),1)&gt;=100000,INDEX($AB$1005:$AQ$1005,1,MATCH(COLUMNS($AB$1006:AQ1006),$AB$1006:$AQ$1006,0))&gt;=100000), " ",IF(INDEX($AB$2:$AQ$1001,MATCH(ROWS($U$2:U27),$U$2:$U$1001,0),MATCH(COLUMNS($AB$1006:AQ1006),$AB$1006:$AQ$1006,0)), HYPERLINK("#",""), HYPERLINK(CONCATENATE("#metadata!", ADDRESS(INDEX($W$2:$W$1001,MATCH(ROWS($U$2:U27),$U$2:$U$1001,0),0), INDEX($AB$1004:$AQ$1004,1,MATCH(COLUMNS($AB$1006:AQ1006),$AB$1006:$AQ$1006,0)))),"Fix")))</f>
        <v>0</v>
      </c>
      <c r="U27">
        <v>0</v>
      </c>
      <c r="V27">
        <v>0</v>
      </c>
      <c r="W27">
        <v>0</v>
      </c>
      <c r="X27">
        <f>IF(Y27,TRUE,AND(AB27:AQ27))</f>
        <v>0</v>
      </c>
      <c r="Y27">
        <f>COUNTBLANK(metadata!B27:Q27)=COLUMNS(metadata!B27:Q27)</f>
        <v>0</v>
      </c>
      <c r="Z27">
        <v>0</v>
      </c>
      <c r="AB27">
        <f>AND(IF(metadata!B27="",FALSE,TRUE),COUNTIF(metadata!B:B, metadata!B27) = 1,NOT(ISERROR(SUMPRODUCT(SEARCH(MID(metadata!B27,ROW(INDIRECT("1:"&amp;LEN(metadata!B27))), 1),"0123456789abcdefghijklmnopqrstuvwxyzABCDEFGHIJKLMNOPQRSTUVWXYZ.")))))</f>
        <v>0</v>
      </c>
      <c r="AC27">
        <f>OR(AND(IF(metadata!C27="",FALSE,TRUE),OR(exact(metadata!C27,"missing: not collected"),exact(metadata!C27,"missing: not provided"),exact(metadata!C27,"missing: restricted access"))),AND(IF(metadata!C27="",FALSE,TRUE),AND(AND(IFERROR(INT(LEFT(metadata!C27,4))&gt;1900,FALSE),IFERROR(INT(LEFT(metadata!C27,4))&lt;=YEAR(NOW()),FALSE)), OR(MID(metadata!C27,5,1)="", AND(AND(MID(metadata!C27,5,1)="-",IFERROR(INT(MID(metadata!C27,6,1))&gt;=0,FALSE),IFERROR(INT(MID(metadata!C27,6,1))&lt;=1,FALSE),NOT(MID(metadata!C27,7,1)=""),IFERROR(INT(MID(metadata!C27,6,2))&gt;=1,FALSE),IFERROR(INT(MID(metadata!C27,6,2))&lt;=12,FALSE)), OR(MID(metadata!C27,8,1)="", AND(AND(MID(metadata!C27,8,1)="-",IFERROR(INT(MID(metadata!C27,9,1))&gt;=0,FALSE),IFERROR(INT(MID(metadata!C27,9,1))&lt;=3,FALSE),NOT(MID(metadata!C27,10,1)=""),IFERROR(INT(MID(metadata!C27,9,2))&gt;=1,FALSE),IFERROR(INT(MID(metadata!C27,9,2))&lt;=31,FALSE)), OR(MID(metadata!C27,11,1)="", AND(AND(MID(metadata!C27,11,1)=" ",IFERROR(INT(MID(metadata!C27,12,1))&gt;=0,FALSE),IFERROR(INT(MID(metadata!C27,12,1))&lt;=2,FALSE),NOT(MID(metadata!C27,13,1)=""),IFERROR(INT(MID(metadata!C27,12,2))&gt;=0,FALSE),IFERROR(INT(MID(metadata!C27,12,2))&lt;=23,FALSE)), OR(MID(metadata!C27,14,1)="", AND(AND(MID(metadata!C27,14,1)=":",IFERROR(INT(MID(metadata!C27,15,1))&gt;=0,FALSE),IFERROR(INT(MID(metadata!C27,15,1))&lt;=5,FALSE),NOT(MID(metadata!C27,16,1)=""),IFERROR(INT(MID(metadata!C27,15,2))&gt;=0,FALSE),IFERROR(INT(MID(metadata!C27,15,2))&lt;=59,FALSE)), OR(MID(metadata!C27,17,1)="", AND(AND(MID(metadata!C27,17,1)=":",IFERROR(INT(MID(metadata!C27,18,1))&gt;=0,FALSE),IFERROR(INT(MID(metadata!C27,18,1))&lt;=5,FALSE),NOT(MID(metadata!C27,19,1)=""),IFERROR(INT(MID(metadata!C27,18,2))&gt;=0,FALSE),IFERROR(INT(MID(metadata!C27,18,2))&lt;=59,FALSE)), LEN(metadata!C27)&lt;=19)))))))))))))</f>
        <v>0</v>
      </c>
      <c r="AD27">
        <f>IF(metadata!D27="",FALSE,TRUE)</f>
        <v>0</v>
      </c>
      <c r="AE27">
        <f>OR(AND(IF(metadata!E27="",FALSE,TRUE),OR(exact(metadata!E27,"missing: not collected"),exact(metadata!E27,"missing: not provided"))),AND(IF(metadata!E27="",FALSE,TRUE),OR(exact(metadata!E27,"TRUE"),exact(metadata!E27,"FALSE"))))</f>
        <v>0</v>
      </c>
      <c r="AF27">
        <f>IF(metadata!F27="",FALSE,TRUE)</f>
        <v>0</v>
      </c>
      <c r="AG27">
        <f>IF(metadata!G27="",FALSE,TRUE)</f>
        <v>0</v>
      </c>
      <c r="AH27">
        <f>IF(metadata!H27="",FALSE,TRUE)</f>
        <v>0</v>
      </c>
      <c r="AI27">
        <f>OR(AND(IF(metadata!I27="",FALSE,TRUE),OR(exact(metadata!I27,"missing: not collected"),exact(metadata!I27,"missing: not provided"),exact(metadata!I27,"missing: restricted access"))),AND(IF(metadata!I27="",FALSE,TRUE),OR(exact(metadata!I27,"air"),exact(metadata!I27,"built environment"),exact(metadata!I27,"host-associated"),exact(metadata!I27,"human-associated"),exact(metadata!I27,"human-skin"),exact(metadata!I27,"human-oral"),exact(metadata!I27,"human-gut"),exact(metadata!I27,"human-vaginal"),exact(metadata!I27,"microbial mat/biofilm"),exact(metadata!I27,"misc environment"),exact(metadata!I27,"plant-associated"),exact(metadata!I27,"sediment"),exact(metadata!I27,"soil"),exact(metadata!I27,"wastewater/sludge"),exact(metadata!I27,"water"))))</f>
        <v>0</v>
      </c>
      <c r="AJ27">
        <f>IF(metadata!J27="",FALSE,TRUE)</f>
        <v>0</v>
      </c>
      <c r="AK27">
        <f>OR(AND(IF(metadata!K27="",FALSE,TRUE),OR(exact(metadata!K27,"missing: not collected"),exact(metadata!K27,"missing: not provided"),exact(metadata!K27,"missing: restricted access"))),AND(IF(metadata!K27="",FALSE,ISNUMBER(VALUE(metadata!K27))),metadata!K27&gt;=-90.00,metadata!K27&lt;=90.00))</f>
        <v>0</v>
      </c>
      <c r="AL27">
        <f>OR(AND(IF(metadata!L27="",FALSE,TRUE),OR(exact(metadata!L27,"missing: not collected"),exact(metadata!L27,"missing: not provided"),exact(metadata!L27,"missing: restricted access"))),AND(IF(metadata!L27="",FALSE,ISNUMBER(VALUE(metadata!L27))),metadata!L27&gt;=-180.00,metadata!L27&lt;=180.00))</f>
        <v>0</v>
      </c>
      <c r="AM27">
        <f>IF(metadata!M27="",FALSE,TRUE)</f>
        <v>0</v>
      </c>
      <c r="AN27">
        <f>OR(AND(IF(metadata!N27="",FALSE,TRUE),OR(exact(metadata!N27,"missing: not collected"),exact(metadata!N27,"missing: not provided"),exact(metadata!N27,"missing: restricted access"))),AND(IF(metadata!N27="",FALSE,TRUE),OR(exact(metadata!N27,"TRUE"),exact(metadata!N27,"FALSE"))))</f>
        <v>0</v>
      </c>
      <c r="AO27">
        <f>IF(metadata!O27="",FALSE,TRUE)</f>
        <v>0</v>
      </c>
      <c r="AP27">
        <f>OR(AND(IF(metadata!P27="",FALSE,TRUE),OR(exact(metadata!P27,"missing: not collected"),exact(metadata!P27,"missing: not provided"))),AND(IF(metadata!P27="",FALSE,IF(ISERROR(INT(metadata!P27)),FALSE,INT(metadata!P27)=metadata!P27)),metadata!P27&gt;0))</f>
        <v>0</v>
      </c>
      <c r="AQ27">
        <f>IF(metadata!Q27="",FALSE,TRUE)</f>
        <v>0</v>
      </c>
    </row>
    <row r="28" spans="1:43">
      <c r="A28" s="5">
        <f>IF(B28=" "," ",HYPERLINK(CONCATENATE("#metadata!",ADDRESS(INDEX($W$2:$W$1001,MATCH(ROWS($U$2:U28),$U$2:$U$1001,0),0),1)),INDEX($Z$2:$Z$1001,MATCH(ROWS($U$2:U28),$U$2:$U$1001,0),0)))</f>
        <v>0</v>
      </c>
      <c r="B28" s="4">
        <f>IF(OR(INDEX($V$2:$V$1001,MATCH(ROWS($U$2:U28),$U$2:$U$1001,0),1)&gt;=100000,INDEX($AB$1005:$AQ$1005,1,MATCH(COLUMNS($AB$1006:AB1006),$AB$1006:$AQ$1006,0))&gt;=100000), " ",IF(INDEX($AB$2:$AQ$1001,MATCH(ROWS($U$2:U28),$U$2:$U$1001,0),MATCH(COLUMNS($AB$1006:AB1006),$AB$1006:$AQ$1006,0)), HYPERLINK("#",""), HYPERLINK(CONCATENATE("#metadata!", ADDRESS(INDEX($W$2:$W$1001,MATCH(ROWS($U$2:U28),$U$2:$U$1001,0),0), INDEX($AB$1004:$AQ$1004,1,MATCH(COLUMNS($AB$1006:AB1006),$AB$1006:$AQ$1006,0)))),"Fix")))</f>
        <v>0</v>
      </c>
      <c r="C28" s="4">
        <f>IF(OR(INDEX($V$2:$V$1001,MATCH(ROWS($U$2:U28),$U$2:$U$1001,0),1)&gt;=100000,INDEX($AB$1005:$AQ$1005,1,MATCH(COLUMNS($AB$1006:AC1006),$AB$1006:$AQ$1006,0))&gt;=100000), " ",IF(INDEX($AB$2:$AQ$1001,MATCH(ROWS($U$2:U28),$U$2:$U$1001,0),MATCH(COLUMNS($AB$1006:AC1006),$AB$1006:$AQ$1006,0)), HYPERLINK("#",""), HYPERLINK(CONCATENATE("#metadata!", ADDRESS(INDEX($W$2:$W$1001,MATCH(ROWS($U$2:U28),$U$2:$U$1001,0),0), INDEX($AB$1004:$AQ$1004,1,MATCH(COLUMNS($AB$1006:AC1006),$AB$1006:$AQ$1006,0)))),"Fix")))</f>
        <v>0</v>
      </c>
      <c r="D28" s="4">
        <f>IF(OR(INDEX($V$2:$V$1001,MATCH(ROWS($U$2:U28),$U$2:$U$1001,0),1)&gt;=100000,INDEX($AB$1005:$AQ$1005,1,MATCH(COLUMNS($AB$1006:AD1006),$AB$1006:$AQ$1006,0))&gt;=100000), " ",IF(INDEX($AB$2:$AQ$1001,MATCH(ROWS($U$2:U28),$U$2:$U$1001,0),MATCH(COLUMNS($AB$1006:AD1006),$AB$1006:$AQ$1006,0)), HYPERLINK("#",""), HYPERLINK(CONCATENATE("#metadata!", ADDRESS(INDEX($W$2:$W$1001,MATCH(ROWS($U$2:U28),$U$2:$U$1001,0),0), INDEX($AB$1004:$AQ$1004,1,MATCH(COLUMNS($AB$1006:AD1006),$AB$1006:$AQ$1006,0)))),"Fix")))</f>
        <v>0</v>
      </c>
      <c r="E28" s="4">
        <f>IF(OR(INDEX($V$2:$V$1001,MATCH(ROWS($U$2:U28),$U$2:$U$1001,0),1)&gt;=100000,INDEX($AB$1005:$AQ$1005,1,MATCH(COLUMNS($AB$1006:AE1006),$AB$1006:$AQ$1006,0))&gt;=100000), " ",IF(INDEX($AB$2:$AQ$1001,MATCH(ROWS($U$2:U28),$U$2:$U$1001,0),MATCH(COLUMNS($AB$1006:AE1006),$AB$1006:$AQ$1006,0)), HYPERLINK("#",""), HYPERLINK(CONCATENATE("#metadata!", ADDRESS(INDEX($W$2:$W$1001,MATCH(ROWS($U$2:U28),$U$2:$U$1001,0),0), INDEX($AB$1004:$AQ$1004,1,MATCH(COLUMNS($AB$1006:AE1006),$AB$1006:$AQ$1006,0)))),"Fix")))</f>
        <v>0</v>
      </c>
      <c r="F28" s="4">
        <f>IF(OR(INDEX($V$2:$V$1001,MATCH(ROWS($U$2:U28),$U$2:$U$1001,0),1)&gt;=100000,INDEX($AB$1005:$AQ$1005,1,MATCH(COLUMNS($AB$1006:AF1006),$AB$1006:$AQ$1006,0))&gt;=100000), " ",IF(INDEX($AB$2:$AQ$1001,MATCH(ROWS($U$2:U28),$U$2:$U$1001,0),MATCH(COLUMNS($AB$1006:AF1006),$AB$1006:$AQ$1006,0)), HYPERLINK("#",""), HYPERLINK(CONCATENATE("#metadata!", ADDRESS(INDEX($W$2:$W$1001,MATCH(ROWS($U$2:U28),$U$2:$U$1001,0),0), INDEX($AB$1004:$AQ$1004,1,MATCH(COLUMNS($AB$1006:AF1006),$AB$1006:$AQ$1006,0)))),"Fix")))</f>
        <v>0</v>
      </c>
      <c r="G28" s="4">
        <f>IF(OR(INDEX($V$2:$V$1001,MATCH(ROWS($U$2:U28),$U$2:$U$1001,0),1)&gt;=100000,INDEX($AB$1005:$AQ$1005,1,MATCH(COLUMNS($AB$1006:AG1006),$AB$1006:$AQ$1006,0))&gt;=100000), " ",IF(INDEX($AB$2:$AQ$1001,MATCH(ROWS($U$2:U28),$U$2:$U$1001,0),MATCH(COLUMNS($AB$1006:AG1006),$AB$1006:$AQ$1006,0)), HYPERLINK("#",""), HYPERLINK(CONCATENATE("#metadata!", ADDRESS(INDEX($W$2:$W$1001,MATCH(ROWS($U$2:U28),$U$2:$U$1001,0),0), INDEX($AB$1004:$AQ$1004,1,MATCH(COLUMNS($AB$1006:AG1006),$AB$1006:$AQ$1006,0)))),"Fix")))</f>
        <v>0</v>
      </c>
      <c r="H28" s="4">
        <f>IF(OR(INDEX($V$2:$V$1001,MATCH(ROWS($U$2:U28),$U$2:$U$1001,0),1)&gt;=100000,INDEX($AB$1005:$AQ$1005,1,MATCH(COLUMNS($AB$1006:AH1006),$AB$1006:$AQ$1006,0))&gt;=100000), " ",IF(INDEX($AB$2:$AQ$1001,MATCH(ROWS($U$2:U28),$U$2:$U$1001,0),MATCH(COLUMNS($AB$1006:AH1006),$AB$1006:$AQ$1006,0)), HYPERLINK("#",""), HYPERLINK(CONCATENATE("#metadata!", ADDRESS(INDEX($W$2:$W$1001,MATCH(ROWS($U$2:U28),$U$2:$U$1001,0),0), INDEX($AB$1004:$AQ$1004,1,MATCH(COLUMNS($AB$1006:AH1006),$AB$1006:$AQ$1006,0)))),"Fix")))</f>
        <v>0</v>
      </c>
      <c r="I28" s="4">
        <f>IF(OR(INDEX($V$2:$V$1001,MATCH(ROWS($U$2:U28),$U$2:$U$1001,0),1)&gt;=100000,INDEX($AB$1005:$AQ$1005,1,MATCH(COLUMNS($AB$1006:AI1006),$AB$1006:$AQ$1006,0))&gt;=100000), " ",IF(INDEX($AB$2:$AQ$1001,MATCH(ROWS($U$2:U28),$U$2:$U$1001,0),MATCH(COLUMNS($AB$1006:AI1006),$AB$1006:$AQ$1006,0)), HYPERLINK("#",""), HYPERLINK(CONCATENATE("#metadata!", ADDRESS(INDEX($W$2:$W$1001,MATCH(ROWS($U$2:U28),$U$2:$U$1001,0),0), INDEX($AB$1004:$AQ$1004,1,MATCH(COLUMNS($AB$1006:AI1006),$AB$1006:$AQ$1006,0)))),"Fix")))</f>
        <v>0</v>
      </c>
      <c r="J28" s="4">
        <f>IF(OR(INDEX($V$2:$V$1001,MATCH(ROWS($U$2:U28),$U$2:$U$1001,0),1)&gt;=100000,INDEX($AB$1005:$AQ$1005,1,MATCH(COLUMNS($AB$1006:AJ1006),$AB$1006:$AQ$1006,0))&gt;=100000), " ",IF(INDEX($AB$2:$AQ$1001,MATCH(ROWS($U$2:U28),$U$2:$U$1001,0),MATCH(COLUMNS($AB$1006:AJ1006),$AB$1006:$AQ$1006,0)), HYPERLINK("#",""), HYPERLINK(CONCATENATE("#metadata!", ADDRESS(INDEX($W$2:$W$1001,MATCH(ROWS($U$2:U28),$U$2:$U$1001,0),0), INDEX($AB$1004:$AQ$1004,1,MATCH(COLUMNS($AB$1006:AJ1006),$AB$1006:$AQ$1006,0)))),"Fix")))</f>
        <v>0</v>
      </c>
      <c r="K28" s="4">
        <f>IF(OR(INDEX($V$2:$V$1001,MATCH(ROWS($U$2:U28),$U$2:$U$1001,0),1)&gt;=100000,INDEX($AB$1005:$AQ$1005,1,MATCH(COLUMNS($AB$1006:AK1006),$AB$1006:$AQ$1006,0))&gt;=100000), " ",IF(INDEX($AB$2:$AQ$1001,MATCH(ROWS($U$2:U28),$U$2:$U$1001,0),MATCH(COLUMNS($AB$1006:AK1006),$AB$1006:$AQ$1006,0)), HYPERLINK("#",""), HYPERLINK(CONCATENATE("#metadata!", ADDRESS(INDEX($W$2:$W$1001,MATCH(ROWS($U$2:U28),$U$2:$U$1001,0),0), INDEX($AB$1004:$AQ$1004,1,MATCH(COLUMNS($AB$1006:AK1006),$AB$1006:$AQ$1006,0)))),"Fix")))</f>
        <v>0</v>
      </c>
      <c r="L28" s="4">
        <f>IF(OR(INDEX($V$2:$V$1001,MATCH(ROWS($U$2:U28),$U$2:$U$1001,0),1)&gt;=100000,INDEX($AB$1005:$AQ$1005,1,MATCH(COLUMNS($AB$1006:AL1006),$AB$1006:$AQ$1006,0))&gt;=100000), " ",IF(INDEX($AB$2:$AQ$1001,MATCH(ROWS($U$2:U28),$U$2:$U$1001,0),MATCH(COLUMNS($AB$1006:AL1006),$AB$1006:$AQ$1006,0)), HYPERLINK("#",""), HYPERLINK(CONCATENATE("#metadata!", ADDRESS(INDEX($W$2:$W$1001,MATCH(ROWS($U$2:U28),$U$2:$U$1001,0),0), INDEX($AB$1004:$AQ$1004,1,MATCH(COLUMNS($AB$1006:AL1006),$AB$1006:$AQ$1006,0)))),"Fix")))</f>
        <v>0</v>
      </c>
      <c r="M28" s="4">
        <f>IF(OR(INDEX($V$2:$V$1001,MATCH(ROWS($U$2:U28),$U$2:$U$1001,0),1)&gt;=100000,INDEX($AB$1005:$AQ$1005,1,MATCH(COLUMNS($AB$1006:AM1006),$AB$1006:$AQ$1006,0))&gt;=100000), " ",IF(INDEX($AB$2:$AQ$1001,MATCH(ROWS($U$2:U28),$U$2:$U$1001,0),MATCH(COLUMNS($AB$1006:AM1006),$AB$1006:$AQ$1006,0)), HYPERLINK("#",""), HYPERLINK(CONCATENATE("#metadata!", ADDRESS(INDEX($W$2:$W$1001,MATCH(ROWS($U$2:U28),$U$2:$U$1001,0),0), INDEX($AB$1004:$AQ$1004,1,MATCH(COLUMNS($AB$1006:AM1006),$AB$1006:$AQ$1006,0)))),"Fix")))</f>
        <v>0</v>
      </c>
      <c r="N28" s="4">
        <f>IF(OR(INDEX($V$2:$V$1001,MATCH(ROWS($U$2:U28),$U$2:$U$1001,0),1)&gt;=100000,INDEX($AB$1005:$AQ$1005,1,MATCH(COLUMNS($AB$1006:AN1006),$AB$1006:$AQ$1006,0))&gt;=100000), " ",IF(INDEX($AB$2:$AQ$1001,MATCH(ROWS($U$2:U28),$U$2:$U$1001,0),MATCH(COLUMNS($AB$1006:AN1006),$AB$1006:$AQ$1006,0)), HYPERLINK("#",""), HYPERLINK(CONCATENATE("#metadata!", ADDRESS(INDEX($W$2:$W$1001,MATCH(ROWS($U$2:U28),$U$2:$U$1001,0),0), INDEX($AB$1004:$AQ$1004,1,MATCH(COLUMNS($AB$1006:AN1006),$AB$1006:$AQ$1006,0)))),"Fix")))</f>
        <v>0</v>
      </c>
      <c r="O28" s="4">
        <f>IF(OR(INDEX($V$2:$V$1001,MATCH(ROWS($U$2:U28),$U$2:$U$1001,0),1)&gt;=100000,INDEX($AB$1005:$AQ$1005,1,MATCH(COLUMNS($AB$1006:AO1006),$AB$1006:$AQ$1006,0))&gt;=100000), " ",IF(INDEX($AB$2:$AQ$1001,MATCH(ROWS($U$2:U28),$U$2:$U$1001,0),MATCH(COLUMNS($AB$1006:AO1006),$AB$1006:$AQ$1006,0)), HYPERLINK("#",""), HYPERLINK(CONCATENATE("#metadata!", ADDRESS(INDEX($W$2:$W$1001,MATCH(ROWS($U$2:U28),$U$2:$U$1001,0),0), INDEX($AB$1004:$AQ$1004,1,MATCH(COLUMNS($AB$1006:AO1006),$AB$1006:$AQ$1006,0)))),"Fix")))</f>
        <v>0</v>
      </c>
      <c r="P28" s="4">
        <f>IF(OR(INDEX($V$2:$V$1001,MATCH(ROWS($U$2:U28),$U$2:$U$1001,0),1)&gt;=100000,INDEX($AB$1005:$AQ$1005,1,MATCH(COLUMNS($AB$1006:AP1006),$AB$1006:$AQ$1006,0))&gt;=100000), " ",IF(INDEX($AB$2:$AQ$1001,MATCH(ROWS($U$2:U28),$U$2:$U$1001,0),MATCH(COLUMNS($AB$1006:AP1006),$AB$1006:$AQ$1006,0)), HYPERLINK("#",""), HYPERLINK(CONCATENATE("#metadata!", ADDRESS(INDEX($W$2:$W$1001,MATCH(ROWS($U$2:U28),$U$2:$U$1001,0),0), INDEX($AB$1004:$AQ$1004,1,MATCH(COLUMNS($AB$1006:AP1006),$AB$1006:$AQ$1006,0)))),"Fix")))</f>
        <v>0</v>
      </c>
      <c r="Q28" s="4">
        <f>IF(OR(INDEX($V$2:$V$1001,MATCH(ROWS($U$2:U28),$U$2:$U$1001,0),1)&gt;=100000,INDEX($AB$1005:$AQ$1005,1,MATCH(COLUMNS($AB$1006:AQ1006),$AB$1006:$AQ$1006,0))&gt;=100000), " ",IF(INDEX($AB$2:$AQ$1001,MATCH(ROWS($U$2:U28),$U$2:$U$1001,0),MATCH(COLUMNS($AB$1006:AQ1006),$AB$1006:$AQ$1006,0)), HYPERLINK("#",""), HYPERLINK(CONCATENATE("#metadata!", ADDRESS(INDEX($W$2:$W$1001,MATCH(ROWS($U$2:U28),$U$2:$U$1001,0),0), INDEX($AB$1004:$AQ$1004,1,MATCH(COLUMNS($AB$1006:AQ1006),$AB$1006:$AQ$1006,0)))),"Fix")))</f>
        <v>0</v>
      </c>
      <c r="U28">
        <v>0</v>
      </c>
      <c r="V28">
        <v>0</v>
      </c>
      <c r="W28">
        <v>0</v>
      </c>
      <c r="X28">
        <f>IF(Y28,TRUE,AND(AB28:AQ28))</f>
        <v>0</v>
      </c>
      <c r="Y28">
        <f>COUNTBLANK(metadata!B28:Q28)=COLUMNS(metadata!B28:Q28)</f>
        <v>0</v>
      </c>
      <c r="Z28">
        <v>0</v>
      </c>
      <c r="AB28">
        <f>AND(IF(metadata!B28="",FALSE,TRUE),COUNTIF(metadata!B:B, metadata!B28) = 1,NOT(ISERROR(SUMPRODUCT(SEARCH(MID(metadata!B28,ROW(INDIRECT("1:"&amp;LEN(metadata!B28))), 1),"0123456789abcdefghijklmnopqrstuvwxyzABCDEFGHIJKLMNOPQRSTUVWXYZ.")))))</f>
        <v>0</v>
      </c>
      <c r="AC28">
        <f>OR(AND(IF(metadata!C28="",FALSE,TRUE),OR(exact(metadata!C28,"missing: not collected"),exact(metadata!C28,"missing: not provided"),exact(metadata!C28,"missing: restricted access"))),AND(IF(metadata!C28="",FALSE,TRUE),AND(AND(IFERROR(INT(LEFT(metadata!C28,4))&gt;1900,FALSE),IFERROR(INT(LEFT(metadata!C28,4))&lt;=YEAR(NOW()),FALSE)), OR(MID(metadata!C28,5,1)="", AND(AND(MID(metadata!C28,5,1)="-",IFERROR(INT(MID(metadata!C28,6,1))&gt;=0,FALSE),IFERROR(INT(MID(metadata!C28,6,1))&lt;=1,FALSE),NOT(MID(metadata!C28,7,1)=""),IFERROR(INT(MID(metadata!C28,6,2))&gt;=1,FALSE),IFERROR(INT(MID(metadata!C28,6,2))&lt;=12,FALSE)), OR(MID(metadata!C28,8,1)="", AND(AND(MID(metadata!C28,8,1)="-",IFERROR(INT(MID(metadata!C28,9,1))&gt;=0,FALSE),IFERROR(INT(MID(metadata!C28,9,1))&lt;=3,FALSE),NOT(MID(metadata!C28,10,1)=""),IFERROR(INT(MID(metadata!C28,9,2))&gt;=1,FALSE),IFERROR(INT(MID(metadata!C28,9,2))&lt;=31,FALSE)), OR(MID(metadata!C28,11,1)="", AND(AND(MID(metadata!C28,11,1)=" ",IFERROR(INT(MID(metadata!C28,12,1))&gt;=0,FALSE),IFERROR(INT(MID(metadata!C28,12,1))&lt;=2,FALSE),NOT(MID(metadata!C28,13,1)=""),IFERROR(INT(MID(metadata!C28,12,2))&gt;=0,FALSE),IFERROR(INT(MID(metadata!C28,12,2))&lt;=23,FALSE)), OR(MID(metadata!C28,14,1)="", AND(AND(MID(metadata!C28,14,1)=":",IFERROR(INT(MID(metadata!C28,15,1))&gt;=0,FALSE),IFERROR(INT(MID(metadata!C28,15,1))&lt;=5,FALSE),NOT(MID(metadata!C28,16,1)=""),IFERROR(INT(MID(metadata!C28,15,2))&gt;=0,FALSE),IFERROR(INT(MID(metadata!C28,15,2))&lt;=59,FALSE)), OR(MID(metadata!C28,17,1)="", AND(AND(MID(metadata!C28,17,1)=":",IFERROR(INT(MID(metadata!C28,18,1))&gt;=0,FALSE),IFERROR(INT(MID(metadata!C28,18,1))&lt;=5,FALSE),NOT(MID(metadata!C28,19,1)=""),IFERROR(INT(MID(metadata!C28,18,2))&gt;=0,FALSE),IFERROR(INT(MID(metadata!C28,18,2))&lt;=59,FALSE)), LEN(metadata!C28)&lt;=19)))))))))))))</f>
        <v>0</v>
      </c>
      <c r="AD28">
        <f>IF(metadata!D28="",FALSE,TRUE)</f>
        <v>0</v>
      </c>
      <c r="AE28">
        <f>OR(AND(IF(metadata!E28="",FALSE,TRUE),OR(exact(metadata!E28,"missing: not collected"),exact(metadata!E28,"missing: not provided"))),AND(IF(metadata!E28="",FALSE,TRUE),OR(exact(metadata!E28,"TRUE"),exact(metadata!E28,"FALSE"))))</f>
        <v>0</v>
      </c>
      <c r="AF28">
        <f>IF(metadata!F28="",FALSE,TRUE)</f>
        <v>0</v>
      </c>
      <c r="AG28">
        <f>IF(metadata!G28="",FALSE,TRUE)</f>
        <v>0</v>
      </c>
      <c r="AH28">
        <f>IF(metadata!H28="",FALSE,TRUE)</f>
        <v>0</v>
      </c>
      <c r="AI28">
        <f>OR(AND(IF(metadata!I28="",FALSE,TRUE),OR(exact(metadata!I28,"missing: not collected"),exact(metadata!I28,"missing: not provided"),exact(metadata!I28,"missing: restricted access"))),AND(IF(metadata!I28="",FALSE,TRUE),OR(exact(metadata!I28,"air"),exact(metadata!I28,"built environment"),exact(metadata!I28,"host-associated"),exact(metadata!I28,"human-associated"),exact(metadata!I28,"human-skin"),exact(metadata!I28,"human-oral"),exact(metadata!I28,"human-gut"),exact(metadata!I28,"human-vaginal"),exact(metadata!I28,"microbial mat/biofilm"),exact(metadata!I28,"misc environment"),exact(metadata!I28,"plant-associated"),exact(metadata!I28,"sediment"),exact(metadata!I28,"soil"),exact(metadata!I28,"wastewater/sludge"),exact(metadata!I28,"water"))))</f>
        <v>0</v>
      </c>
      <c r="AJ28">
        <f>IF(metadata!J28="",FALSE,TRUE)</f>
        <v>0</v>
      </c>
      <c r="AK28">
        <f>OR(AND(IF(metadata!K28="",FALSE,TRUE),OR(exact(metadata!K28,"missing: not collected"),exact(metadata!K28,"missing: not provided"),exact(metadata!K28,"missing: restricted access"))),AND(IF(metadata!K28="",FALSE,ISNUMBER(VALUE(metadata!K28))),metadata!K28&gt;=-90.00,metadata!K28&lt;=90.00))</f>
        <v>0</v>
      </c>
      <c r="AL28">
        <f>OR(AND(IF(metadata!L28="",FALSE,TRUE),OR(exact(metadata!L28,"missing: not collected"),exact(metadata!L28,"missing: not provided"),exact(metadata!L28,"missing: restricted access"))),AND(IF(metadata!L28="",FALSE,ISNUMBER(VALUE(metadata!L28))),metadata!L28&gt;=-180.00,metadata!L28&lt;=180.00))</f>
        <v>0</v>
      </c>
      <c r="AM28">
        <f>IF(metadata!M28="",FALSE,TRUE)</f>
        <v>0</v>
      </c>
      <c r="AN28">
        <f>OR(AND(IF(metadata!N28="",FALSE,TRUE),OR(exact(metadata!N28,"missing: not collected"),exact(metadata!N28,"missing: not provided"),exact(metadata!N28,"missing: restricted access"))),AND(IF(metadata!N28="",FALSE,TRUE),OR(exact(metadata!N28,"TRUE"),exact(metadata!N28,"FALSE"))))</f>
        <v>0</v>
      </c>
      <c r="AO28">
        <f>IF(metadata!O28="",FALSE,TRUE)</f>
        <v>0</v>
      </c>
      <c r="AP28">
        <f>OR(AND(IF(metadata!P28="",FALSE,TRUE),OR(exact(metadata!P28,"missing: not collected"),exact(metadata!P28,"missing: not provided"))),AND(IF(metadata!P28="",FALSE,IF(ISERROR(INT(metadata!P28)),FALSE,INT(metadata!P28)=metadata!P28)),metadata!P28&gt;0))</f>
        <v>0</v>
      </c>
      <c r="AQ28">
        <f>IF(metadata!Q28="",FALSE,TRUE)</f>
        <v>0</v>
      </c>
    </row>
    <row r="29" spans="1:43">
      <c r="A29" s="5">
        <f>IF(B29=" "," ",HYPERLINK(CONCATENATE("#metadata!",ADDRESS(INDEX($W$2:$W$1001,MATCH(ROWS($U$2:U29),$U$2:$U$1001,0),0),1)),INDEX($Z$2:$Z$1001,MATCH(ROWS($U$2:U29),$U$2:$U$1001,0),0)))</f>
        <v>0</v>
      </c>
      <c r="B29" s="4">
        <f>IF(OR(INDEX($V$2:$V$1001,MATCH(ROWS($U$2:U29),$U$2:$U$1001,0),1)&gt;=100000,INDEX($AB$1005:$AQ$1005,1,MATCH(COLUMNS($AB$1006:AB1006),$AB$1006:$AQ$1006,0))&gt;=100000), " ",IF(INDEX($AB$2:$AQ$1001,MATCH(ROWS($U$2:U29),$U$2:$U$1001,0),MATCH(COLUMNS($AB$1006:AB1006),$AB$1006:$AQ$1006,0)), HYPERLINK("#",""), HYPERLINK(CONCATENATE("#metadata!", ADDRESS(INDEX($W$2:$W$1001,MATCH(ROWS($U$2:U29),$U$2:$U$1001,0),0), INDEX($AB$1004:$AQ$1004,1,MATCH(COLUMNS($AB$1006:AB1006),$AB$1006:$AQ$1006,0)))),"Fix")))</f>
        <v>0</v>
      </c>
      <c r="C29" s="4">
        <f>IF(OR(INDEX($V$2:$V$1001,MATCH(ROWS($U$2:U29),$U$2:$U$1001,0),1)&gt;=100000,INDEX($AB$1005:$AQ$1005,1,MATCH(COLUMNS($AB$1006:AC1006),$AB$1006:$AQ$1006,0))&gt;=100000), " ",IF(INDEX($AB$2:$AQ$1001,MATCH(ROWS($U$2:U29),$U$2:$U$1001,0),MATCH(COLUMNS($AB$1006:AC1006),$AB$1006:$AQ$1006,0)), HYPERLINK("#",""), HYPERLINK(CONCATENATE("#metadata!", ADDRESS(INDEX($W$2:$W$1001,MATCH(ROWS($U$2:U29),$U$2:$U$1001,0),0), INDEX($AB$1004:$AQ$1004,1,MATCH(COLUMNS($AB$1006:AC1006),$AB$1006:$AQ$1006,0)))),"Fix")))</f>
        <v>0</v>
      </c>
      <c r="D29" s="4">
        <f>IF(OR(INDEX($V$2:$V$1001,MATCH(ROWS($U$2:U29),$U$2:$U$1001,0),1)&gt;=100000,INDEX($AB$1005:$AQ$1005,1,MATCH(COLUMNS($AB$1006:AD1006),$AB$1006:$AQ$1006,0))&gt;=100000), " ",IF(INDEX($AB$2:$AQ$1001,MATCH(ROWS($U$2:U29),$U$2:$U$1001,0),MATCH(COLUMNS($AB$1006:AD1006),$AB$1006:$AQ$1006,0)), HYPERLINK("#",""), HYPERLINK(CONCATENATE("#metadata!", ADDRESS(INDEX($W$2:$W$1001,MATCH(ROWS($U$2:U29),$U$2:$U$1001,0),0), INDEX($AB$1004:$AQ$1004,1,MATCH(COLUMNS($AB$1006:AD1006),$AB$1006:$AQ$1006,0)))),"Fix")))</f>
        <v>0</v>
      </c>
      <c r="E29" s="4">
        <f>IF(OR(INDEX($V$2:$V$1001,MATCH(ROWS($U$2:U29),$U$2:$U$1001,0),1)&gt;=100000,INDEX($AB$1005:$AQ$1005,1,MATCH(COLUMNS($AB$1006:AE1006),$AB$1006:$AQ$1006,0))&gt;=100000), " ",IF(INDEX($AB$2:$AQ$1001,MATCH(ROWS($U$2:U29),$U$2:$U$1001,0),MATCH(COLUMNS($AB$1006:AE1006),$AB$1006:$AQ$1006,0)), HYPERLINK("#",""), HYPERLINK(CONCATENATE("#metadata!", ADDRESS(INDEX($W$2:$W$1001,MATCH(ROWS($U$2:U29),$U$2:$U$1001,0),0), INDEX($AB$1004:$AQ$1004,1,MATCH(COLUMNS($AB$1006:AE1006),$AB$1006:$AQ$1006,0)))),"Fix")))</f>
        <v>0</v>
      </c>
      <c r="F29" s="4">
        <f>IF(OR(INDEX($V$2:$V$1001,MATCH(ROWS($U$2:U29),$U$2:$U$1001,0),1)&gt;=100000,INDEX($AB$1005:$AQ$1005,1,MATCH(COLUMNS($AB$1006:AF1006),$AB$1006:$AQ$1006,0))&gt;=100000), " ",IF(INDEX($AB$2:$AQ$1001,MATCH(ROWS($U$2:U29),$U$2:$U$1001,0),MATCH(COLUMNS($AB$1006:AF1006),$AB$1006:$AQ$1006,0)), HYPERLINK("#",""), HYPERLINK(CONCATENATE("#metadata!", ADDRESS(INDEX($W$2:$W$1001,MATCH(ROWS($U$2:U29),$U$2:$U$1001,0),0), INDEX($AB$1004:$AQ$1004,1,MATCH(COLUMNS($AB$1006:AF1006),$AB$1006:$AQ$1006,0)))),"Fix")))</f>
        <v>0</v>
      </c>
      <c r="G29" s="4">
        <f>IF(OR(INDEX($V$2:$V$1001,MATCH(ROWS($U$2:U29),$U$2:$U$1001,0),1)&gt;=100000,INDEX($AB$1005:$AQ$1005,1,MATCH(COLUMNS($AB$1006:AG1006),$AB$1006:$AQ$1006,0))&gt;=100000), " ",IF(INDEX($AB$2:$AQ$1001,MATCH(ROWS($U$2:U29),$U$2:$U$1001,0),MATCH(COLUMNS($AB$1006:AG1006),$AB$1006:$AQ$1006,0)), HYPERLINK("#",""), HYPERLINK(CONCATENATE("#metadata!", ADDRESS(INDEX($W$2:$W$1001,MATCH(ROWS($U$2:U29),$U$2:$U$1001,0),0), INDEX($AB$1004:$AQ$1004,1,MATCH(COLUMNS($AB$1006:AG1006),$AB$1006:$AQ$1006,0)))),"Fix")))</f>
        <v>0</v>
      </c>
      <c r="H29" s="4">
        <f>IF(OR(INDEX($V$2:$V$1001,MATCH(ROWS($U$2:U29),$U$2:$U$1001,0),1)&gt;=100000,INDEX($AB$1005:$AQ$1005,1,MATCH(COLUMNS($AB$1006:AH1006),$AB$1006:$AQ$1006,0))&gt;=100000), " ",IF(INDEX($AB$2:$AQ$1001,MATCH(ROWS($U$2:U29),$U$2:$U$1001,0),MATCH(COLUMNS($AB$1006:AH1006),$AB$1006:$AQ$1006,0)), HYPERLINK("#",""), HYPERLINK(CONCATENATE("#metadata!", ADDRESS(INDEX($W$2:$W$1001,MATCH(ROWS($U$2:U29),$U$2:$U$1001,0),0), INDEX($AB$1004:$AQ$1004,1,MATCH(COLUMNS($AB$1006:AH1006),$AB$1006:$AQ$1006,0)))),"Fix")))</f>
        <v>0</v>
      </c>
      <c r="I29" s="4">
        <f>IF(OR(INDEX($V$2:$V$1001,MATCH(ROWS($U$2:U29),$U$2:$U$1001,0),1)&gt;=100000,INDEX($AB$1005:$AQ$1005,1,MATCH(COLUMNS($AB$1006:AI1006),$AB$1006:$AQ$1006,0))&gt;=100000), " ",IF(INDEX($AB$2:$AQ$1001,MATCH(ROWS($U$2:U29),$U$2:$U$1001,0),MATCH(COLUMNS($AB$1006:AI1006),$AB$1006:$AQ$1006,0)), HYPERLINK("#",""), HYPERLINK(CONCATENATE("#metadata!", ADDRESS(INDEX($W$2:$W$1001,MATCH(ROWS($U$2:U29),$U$2:$U$1001,0),0), INDEX($AB$1004:$AQ$1004,1,MATCH(COLUMNS($AB$1006:AI1006),$AB$1006:$AQ$1006,0)))),"Fix")))</f>
        <v>0</v>
      </c>
      <c r="J29" s="4">
        <f>IF(OR(INDEX($V$2:$V$1001,MATCH(ROWS($U$2:U29),$U$2:$U$1001,0),1)&gt;=100000,INDEX($AB$1005:$AQ$1005,1,MATCH(COLUMNS($AB$1006:AJ1006),$AB$1006:$AQ$1006,0))&gt;=100000), " ",IF(INDEX($AB$2:$AQ$1001,MATCH(ROWS($U$2:U29),$U$2:$U$1001,0),MATCH(COLUMNS($AB$1006:AJ1006),$AB$1006:$AQ$1006,0)), HYPERLINK("#",""), HYPERLINK(CONCATENATE("#metadata!", ADDRESS(INDEX($W$2:$W$1001,MATCH(ROWS($U$2:U29),$U$2:$U$1001,0),0), INDEX($AB$1004:$AQ$1004,1,MATCH(COLUMNS($AB$1006:AJ1006),$AB$1006:$AQ$1006,0)))),"Fix")))</f>
        <v>0</v>
      </c>
      <c r="K29" s="4">
        <f>IF(OR(INDEX($V$2:$V$1001,MATCH(ROWS($U$2:U29),$U$2:$U$1001,0),1)&gt;=100000,INDEX($AB$1005:$AQ$1005,1,MATCH(COLUMNS($AB$1006:AK1006),$AB$1006:$AQ$1006,0))&gt;=100000), " ",IF(INDEX($AB$2:$AQ$1001,MATCH(ROWS($U$2:U29),$U$2:$U$1001,0),MATCH(COLUMNS($AB$1006:AK1006),$AB$1006:$AQ$1006,0)), HYPERLINK("#",""), HYPERLINK(CONCATENATE("#metadata!", ADDRESS(INDEX($W$2:$W$1001,MATCH(ROWS($U$2:U29),$U$2:$U$1001,0),0), INDEX($AB$1004:$AQ$1004,1,MATCH(COLUMNS($AB$1006:AK1006),$AB$1006:$AQ$1006,0)))),"Fix")))</f>
        <v>0</v>
      </c>
      <c r="L29" s="4">
        <f>IF(OR(INDEX($V$2:$V$1001,MATCH(ROWS($U$2:U29),$U$2:$U$1001,0),1)&gt;=100000,INDEX($AB$1005:$AQ$1005,1,MATCH(COLUMNS($AB$1006:AL1006),$AB$1006:$AQ$1006,0))&gt;=100000), " ",IF(INDEX($AB$2:$AQ$1001,MATCH(ROWS($U$2:U29),$U$2:$U$1001,0),MATCH(COLUMNS($AB$1006:AL1006),$AB$1006:$AQ$1006,0)), HYPERLINK("#",""), HYPERLINK(CONCATENATE("#metadata!", ADDRESS(INDEX($W$2:$W$1001,MATCH(ROWS($U$2:U29),$U$2:$U$1001,0),0), INDEX($AB$1004:$AQ$1004,1,MATCH(COLUMNS($AB$1006:AL1006),$AB$1006:$AQ$1006,0)))),"Fix")))</f>
        <v>0</v>
      </c>
      <c r="M29" s="4">
        <f>IF(OR(INDEX($V$2:$V$1001,MATCH(ROWS($U$2:U29),$U$2:$U$1001,0),1)&gt;=100000,INDEX($AB$1005:$AQ$1005,1,MATCH(COLUMNS($AB$1006:AM1006),$AB$1006:$AQ$1006,0))&gt;=100000), " ",IF(INDEX($AB$2:$AQ$1001,MATCH(ROWS($U$2:U29),$U$2:$U$1001,0),MATCH(COLUMNS($AB$1006:AM1006),$AB$1006:$AQ$1006,0)), HYPERLINK("#",""), HYPERLINK(CONCATENATE("#metadata!", ADDRESS(INDEX($W$2:$W$1001,MATCH(ROWS($U$2:U29),$U$2:$U$1001,0),0), INDEX($AB$1004:$AQ$1004,1,MATCH(COLUMNS($AB$1006:AM1006),$AB$1006:$AQ$1006,0)))),"Fix")))</f>
        <v>0</v>
      </c>
      <c r="N29" s="4">
        <f>IF(OR(INDEX($V$2:$V$1001,MATCH(ROWS($U$2:U29),$U$2:$U$1001,0),1)&gt;=100000,INDEX($AB$1005:$AQ$1005,1,MATCH(COLUMNS($AB$1006:AN1006),$AB$1006:$AQ$1006,0))&gt;=100000), " ",IF(INDEX($AB$2:$AQ$1001,MATCH(ROWS($U$2:U29),$U$2:$U$1001,0),MATCH(COLUMNS($AB$1006:AN1006),$AB$1006:$AQ$1006,0)), HYPERLINK("#",""), HYPERLINK(CONCATENATE("#metadata!", ADDRESS(INDEX($W$2:$W$1001,MATCH(ROWS($U$2:U29),$U$2:$U$1001,0),0), INDEX($AB$1004:$AQ$1004,1,MATCH(COLUMNS($AB$1006:AN1006),$AB$1006:$AQ$1006,0)))),"Fix")))</f>
        <v>0</v>
      </c>
      <c r="O29" s="4">
        <f>IF(OR(INDEX($V$2:$V$1001,MATCH(ROWS($U$2:U29),$U$2:$U$1001,0),1)&gt;=100000,INDEX($AB$1005:$AQ$1005,1,MATCH(COLUMNS($AB$1006:AO1006),$AB$1006:$AQ$1006,0))&gt;=100000), " ",IF(INDEX($AB$2:$AQ$1001,MATCH(ROWS($U$2:U29),$U$2:$U$1001,0),MATCH(COLUMNS($AB$1006:AO1006),$AB$1006:$AQ$1006,0)), HYPERLINK("#",""), HYPERLINK(CONCATENATE("#metadata!", ADDRESS(INDEX($W$2:$W$1001,MATCH(ROWS($U$2:U29),$U$2:$U$1001,0),0), INDEX($AB$1004:$AQ$1004,1,MATCH(COLUMNS($AB$1006:AO1006),$AB$1006:$AQ$1006,0)))),"Fix")))</f>
        <v>0</v>
      </c>
      <c r="P29" s="4">
        <f>IF(OR(INDEX($V$2:$V$1001,MATCH(ROWS($U$2:U29),$U$2:$U$1001,0),1)&gt;=100000,INDEX($AB$1005:$AQ$1005,1,MATCH(COLUMNS($AB$1006:AP1006),$AB$1006:$AQ$1006,0))&gt;=100000), " ",IF(INDEX($AB$2:$AQ$1001,MATCH(ROWS($U$2:U29),$U$2:$U$1001,0),MATCH(COLUMNS($AB$1006:AP1006),$AB$1006:$AQ$1006,0)), HYPERLINK("#",""), HYPERLINK(CONCATENATE("#metadata!", ADDRESS(INDEX($W$2:$W$1001,MATCH(ROWS($U$2:U29),$U$2:$U$1001,0),0), INDEX($AB$1004:$AQ$1004,1,MATCH(COLUMNS($AB$1006:AP1006),$AB$1006:$AQ$1006,0)))),"Fix")))</f>
        <v>0</v>
      </c>
      <c r="Q29" s="4">
        <f>IF(OR(INDEX($V$2:$V$1001,MATCH(ROWS($U$2:U29),$U$2:$U$1001,0),1)&gt;=100000,INDEX($AB$1005:$AQ$1005,1,MATCH(COLUMNS($AB$1006:AQ1006),$AB$1006:$AQ$1006,0))&gt;=100000), " ",IF(INDEX($AB$2:$AQ$1001,MATCH(ROWS($U$2:U29),$U$2:$U$1001,0),MATCH(COLUMNS($AB$1006:AQ1006),$AB$1006:$AQ$1006,0)), HYPERLINK("#",""), HYPERLINK(CONCATENATE("#metadata!", ADDRESS(INDEX($W$2:$W$1001,MATCH(ROWS($U$2:U29),$U$2:$U$1001,0),0), INDEX($AB$1004:$AQ$1004,1,MATCH(COLUMNS($AB$1006:AQ1006),$AB$1006:$AQ$1006,0)))),"Fix")))</f>
        <v>0</v>
      </c>
      <c r="U29">
        <v>0</v>
      </c>
      <c r="V29">
        <v>0</v>
      </c>
      <c r="W29">
        <v>0</v>
      </c>
      <c r="X29">
        <f>IF(Y29,TRUE,AND(AB29:AQ29))</f>
        <v>0</v>
      </c>
      <c r="Y29">
        <f>COUNTBLANK(metadata!B29:Q29)=COLUMNS(metadata!B29:Q29)</f>
        <v>0</v>
      </c>
      <c r="Z29">
        <v>0</v>
      </c>
      <c r="AB29">
        <f>AND(IF(metadata!B29="",FALSE,TRUE),COUNTIF(metadata!B:B, metadata!B29) = 1,NOT(ISERROR(SUMPRODUCT(SEARCH(MID(metadata!B29,ROW(INDIRECT("1:"&amp;LEN(metadata!B29))), 1),"0123456789abcdefghijklmnopqrstuvwxyzABCDEFGHIJKLMNOPQRSTUVWXYZ.")))))</f>
        <v>0</v>
      </c>
      <c r="AC29">
        <f>OR(AND(IF(metadata!C29="",FALSE,TRUE),OR(exact(metadata!C29,"missing: not collected"),exact(metadata!C29,"missing: not provided"),exact(metadata!C29,"missing: restricted access"))),AND(IF(metadata!C29="",FALSE,TRUE),AND(AND(IFERROR(INT(LEFT(metadata!C29,4))&gt;1900,FALSE),IFERROR(INT(LEFT(metadata!C29,4))&lt;=YEAR(NOW()),FALSE)), OR(MID(metadata!C29,5,1)="", AND(AND(MID(metadata!C29,5,1)="-",IFERROR(INT(MID(metadata!C29,6,1))&gt;=0,FALSE),IFERROR(INT(MID(metadata!C29,6,1))&lt;=1,FALSE),NOT(MID(metadata!C29,7,1)=""),IFERROR(INT(MID(metadata!C29,6,2))&gt;=1,FALSE),IFERROR(INT(MID(metadata!C29,6,2))&lt;=12,FALSE)), OR(MID(metadata!C29,8,1)="", AND(AND(MID(metadata!C29,8,1)="-",IFERROR(INT(MID(metadata!C29,9,1))&gt;=0,FALSE),IFERROR(INT(MID(metadata!C29,9,1))&lt;=3,FALSE),NOT(MID(metadata!C29,10,1)=""),IFERROR(INT(MID(metadata!C29,9,2))&gt;=1,FALSE),IFERROR(INT(MID(metadata!C29,9,2))&lt;=31,FALSE)), OR(MID(metadata!C29,11,1)="", AND(AND(MID(metadata!C29,11,1)=" ",IFERROR(INT(MID(metadata!C29,12,1))&gt;=0,FALSE),IFERROR(INT(MID(metadata!C29,12,1))&lt;=2,FALSE),NOT(MID(metadata!C29,13,1)=""),IFERROR(INT(MID(metadata!C29,12,2))&gt;=0,FALSE),IFERROR(INT(MID(metadata!C29,12,2))&lt;=23,FALSE)), OR(MID(metadata!C29,14,1)="", AND(AND(MID(metadata!C29,14,1)=":",IFERROR(INT(MID(metadata!C29,15,1))&gt;=0,FALSE),IFERROR(INT(MID(metadata!C29,15,1))&lt;=5,FALSE),NOT(MID(metadata!C29,16,1)=""),IFERROR(INT(MID(metadata!C29,15,2))&gt;=0,FALSE),IFERROR(INT(MID(metadata!C29,15,2))&lt;=59,FALSE)), OR(MID(metadata!C29,17,1)="", AND(AND(MID(metadata!C29,17,1)=":",IFERROR(INT(MID(metadata!C29,18,1))&gt;=0,FALSE),IFERROR(INT(MID(metadata!C29,18,1))&lt;=5,FALSE),NOT(MID(metadata!C29,19,1)=""),IFERROR(INT(MID(metadata!C29,18,2))&gt;=0,FALSE),IFERROR(INT(MID(metadata!C29,18,2))&lt;=59,FALSE)), LEN(metadata!C29)&lt;=19)))))))))))))</f>
        <v>0</v>
      </c>
      <c r="AD29">
        <f>IF(metadata!D29="",FALSE,TRUE)</f>
        <v>0</v>
      </c>
      <c r="AE29">
        <f>OR(AND(IF(metadata!E29="",FALSE,TRUE),OR(exact(metadata!E29,"missing: not collected"),exact(metadata!E29,"missing: not provided"))),AND(IF(metadata!E29="",FALSE,TRUE),OR(exact(metadata!E29,"TRUE"),exact(metadata!E29,"FALSE"))))</f>
        <v>0</v>
      </c>
      <c r="AF29">
        <f>IF(metadata!F29="",FALSE,TRUE)</f>
        <v>0</v>
      </c>
      <c r="AG29">
        <f>IF(metadata!G29="",FALSE,TRUE)</f>
        <v>0</v>
      </c>
      <c r="AH29">
        <f>IF(metadata!H29="",FALSE,TRUE)</f>
        <v>0</v>
      </c>
      <c r="AI29">
        <f>OR(AND(IF(metadata!I29="",FALSE,TRUE),OR(exact(metadata!I29,"missing: not collected"),exact(metadata!I29,"missing: not provided"),exact(metadata!I29,"missing: restricted access"))),AND(IF(metadata!I29="",FALSE,TRUE),OR(exact(metadata!I29,"air"),exact(metadata!I29,"built environment"),exact(metadata!I29,"host-associated"),exact(metadata!I29,"human-associated"),exact(metadata!I29,"human-skin"),exact(metadata!I29,"human-oral"),exact(metadata!I29,"human-gut"),exact(metadata!I29,"human-vaginal"),exact(metadata!I29,"microbial mat/biofilm"),exact(metadata!I29,"misc environment"),exact(metadata!I29,"plant-associated"),exact(metadata!I29,"sediment"),exact(metadata!I29,"soil"),exact(metadata!I29,"wastewater/sludge"),exact(metadata!I29,"water"))))</f>
        <v>0</v>
      </c>
      <c r="AJ29">
        <f>IF(metadata!J29="",FALSE,TRUE)</f>
        <v>0</v>
      </c>
      <c r="AK29">
        <f>OR(AND(IF(metadata!K29="",FALSE,TRUE),OR(exact(metadata!K29,"missing: not collected"),exact(metadata!K29,"missing: not provided"),exact(metadata!K29,"missing: restricted access"))),AND(IF(metadata!K29="",FALSE,ISNUMBER(VALUE(metadata!K29))),metadata!K29&gt;=-90.00,metadata!K29&lt;=90.00))</f>
        <v>0</v>
      </c>
      <c r="AL29">
        <f>OR(AND(IF(metadata!L29="",FALSE,TRUE),OR(exact(metadata!L29,"missing: not collected"),exact(metadata!L29,"missing: not provided"),exact(metadata!L29,"missing: restricted access"))),AND(IF(metadata!L29="",FALSE,ISNUMBER(VALUE(metadata!L29))),metadata!L29&gt;=-180.00,metadata!L29&lt;=180.00))</f>
        <v>0</v>
      </c>
      <c r="AM29">
        <f>IF(metadata!M29="",FALSE,TRUE)</f>
        <v>0</v>
      </c>
      <c r="AN29">
        <f>OR(AND(IF(metadata!N29="",FALSE,TRUE),OR(exact(metadata!N29,"missing: not collected"),exact(metadata!N29,"missing: not provided"),exact(metadata!N29,"missing: restricted access"))),AND(IF(metadata!N29="",FALSE,TRUE),OR(exact(metadata!N29,"TRUE"),exact(metadata!N29,"FALSE"))))</f>
        <v>0</v>
      </c>
      <c r="AO29">
        <f>IF(metadata!O29="",FALSE,TRUE)</f>
        <v>0</v>
      </c>
      <c r="AP29">
        <f>OR(AND(IF(metadata!P29="",FALSE,TRUE),OR(exact(metadata!P29,"missing: not collected"),exact(metadata!P29,"missing: not provided"))),AND(IF(metadata!P29="",FALSE,IF(ISERROR(INT(metadata!P29)),FALSE,INT(metadata!P29)=metadata!P29)),metadata!P29&gt;0))</f>
        <v>0</v>
      </c>
      <c r="AQ29">
        <f>IF(metadata!Q29="",FALSE,TRUE)</f>
        <v>0</v>
      </c>
    </row>
    <row r="30" spans="1:43">
      <c r="A30" s="5">
        <f>IF(B30=" "," ",HYPERLINK(CONCATENATE("#metadata!",ADDRESS(INDEX($W$2:$W$1001,MATCH(ROWS($U$2:U30),$U$2:$U$1001,0),0),1)),INDEX($Z$2:$Z$1001,MATCH(ROWS($U$2:U30),$U$2:$U$1001,0),0)))</f>
        <v>0</v>
      </c>
      <c r="B30" s="4">
        <f>IF(OR(INDEX($V$2:$V$1001,MATCH(ROWS($U$2:U30),$U$2:$U$1001,0),1)&gt;=100000,INDEX($AB$1005:$AQ$1005,1,MATCH(COLUMNS($AB$1006:AB1006),$AB$1006:$AQ$1006,0))&gt;=100000), " ",IF(INDEX($AB$2:$AQ$1001,MATCH(ROWS($U$2:U30),$U$2:$U$1001,0),MATCH(COLUMNS($AB$1006:AB1006),$AB$1006:$AQ$1006,0)), HYPERLINK("#",""), HYPERLINK(CONCATENATE("#metadata!", ADDRESS(INDEX($W$2:$W$1001,MATCH(ROWS($U$2:U30),$U$2:$U$1001,0),0), INDEX($AB$1004:$AQ$1004,1,MATCH(COLUMNS($AB$1006:AB1006),$AB$1006:$AQ$1006,0)))),"Fix")))</f>
        <v>0</v>
      </c>
      <c r="C30" s="4">
        <f>IF(OR(INDEX($V$2:$V$1001,MATCH(ROWS($U$2:U30),$U$2:$U$1001,0),1)&gt;=100000,INDEX($AB$1005:$AQ$1005,1,MATCH(COLUMNS($AB$1006:AC1006),$AB$1006:$AQ$1006,0))&gt;=100000), " ",IF(INDEX($AB$2:$AQ$1001,MATCH(ROWS($U$2:U30),$U$2:$U$1001,0),MATCH(COLUMNS($AB$1006:AC1006),$AB$1006:$AQ$1006,0)), HYPERLINK("#",""), HYPERLINK(CONCATENATE("#metadata!", ADDRESS(INDEX($W$2:$W$1001,MATCH(ROWS($U$2:U30),$U$2:$U$1001,0),0), INDEX($AB$1004:$AQ$1004,1,MATCH(COLUMNS($AB$1006:AC1006),$AB$1006:$AQ$1006,0)))),"Fix")))</f>
        <v>0</v>
      </c>
      <c r="D30" s="4">
        <f>IF(OR(INDEX($V$2:$V$1001,MATCH(ROWS($U$2:U30),$U$2:$U$1001,0),1)&gt;=100000,INDEX($AB$1005:$AQ$1005,1,MATCH(COLUMNS($AB$1006:AD1006),$AB$1006:$AQ$1006,0))&gt;=100000), " ",IF(INDEX($AB$2:$AQ$1001,MATCH(ROWS($U$2:U30),$U$2:$U$1001,0),MATCH(COLUMNS($AB$1006:AD1006),$AB$1006:$AQ$1006,0)), HYPERLINK("#",""), HYPERLINK(CONCATENATE("#metadata!", ADDRESS(INDEX($W$2:$W$1001,MATCH(ROWS($U$2:U30),$U$2:$U$1001,0),0), INDEX($AB$1004:$AQ$1004,1,MATCH(COLUMNS($AB$1006:AD1006),$AB$1006:$AQ$1006,0)))),"Fix")))</f>
        <v>0</v>
      </c>
      <c r="E30" s="4">
        <f>IF(OR(INDEX($V$2:$V$1001,MATCH(ROWS($U$2:U30),$U$2:$U$1001,0),1)&gt;=100000,INDEX($AB$1005:$AQ$1005,1,MATCH(COLUMNS($AB$1006:AE1006),$AB$1006:$AQ$1006,0))&gt;=100000), " ",IF(INDEX($AB$2:$AQ$1001,MATCH(ROWS($U$2:U30),$U$2:$U$1001,0),MATCH(COLUMNS($AB$1006:AE1006),$AB$1006:$AQ$1006,0)), HYPERLINK("#",""), HYPERLINK(CONCATENATE("#metadata!", ADDRESS(INDEX($W$2:$W$1001,MATCH(ROWS($U$2:U30),$U$2:$U$1001,0),0), INDEX($AB$1004:$AQ$1004,1,MATCH(COLUMNS($AB$1006:AE1006),$AB$1006:$AQ$1006,0)))),"Fix")))</f>
        <v>0</v>
      </c>
      <c r="F30" s="4">
        <f>IF(OR(INDEX($V$2:$V$1001,MATCH(ROWS($U$2:U30),$U$2:$U$1001,0),1)&gt;=100000,INDEX($AB$1005:$AQ$1005,1,MATCH(COLUMNS($AB$1006:AF1006),$AB$1006:$AQ$1006,0))&gt;=100000), " ",IF(INDEX($AB$2:$AQ$1001,MATCH(ROWS($U$2:U30),$U$2:$U$1001,0),MATCH(COLUMNS($AB$1006:AF1006),$AB$1006:$AQ$1006,0)), HYPERLINK("#",""), HYPERLINK(CONCATENATE("#metadata!", ADDRESS(INDEX($W$2:$W$1001,MATCH(ROWS($U$2:U30),$U$2:$U$1001,0),0), INDEX($AB$1004:$AQ$1004,1,MATCH(COLUMNS($AB$1006:AF1006),$AB$1006:$AQ$1006,0)))),"Fix")))</f>
        <v>0</v>
      </c>
      <c r="G30" s="4">
        <f>IF(OR(INDEX($V$2:$V$1001,MATCH(ROWS($U$2:U30),$U$2:$U$1001,0),1)&gt;=100000,INDEX($AB$1005:$AQ$1005,1,MATCH(COLUMNS($AB$1006:AG1006),$AB$1006:$AQ$1006,0))&gt;=100000), " ",IF(INDEX($AB$2:$AQ$1001,MATCH(ROWS($U$2:U30),$U$2:$U$1001,0),MATCH(COLUMNS($AB$1006:AG1006),$AB$1006:$AQ$1006,0)), HYPERLINK("#",""), HYPERLINK(CONCATENATE("#metadata!", ADDRESS(INDEX($W$2:$W$1001,MATCH(ROWS($U$2:U30),$U$2:$U$1001,0),0), INDEX($AB$1004:$AQ$1004,1,MATCH(COLUMNS($AB$1006:AG1006),$AB$1006:$AQ$1006,0)))),"Fix")))</f>
        <v>0</v>
      </c>
      <c r="H30" s="4">
        <f>IF(OR(INDEX($V$2:$V$1001,MATCH(ROWS($U$2:U30),$U$2:$U$1001,0),1)&gt;=100000,INDEX($AB$1005:$AQ$1005,1,MATCH(COLUMNS($AB$1006:AH1006),$AB$1006:$AQ$1006,0))&gt;=100000), " ",IF(INDEX($AB$2:$AQ$1001,MATCH(ROWS($U$2:U30),$U$2:$U$1001,0),MATCH(COLUMNS($AB$1006:AH1006),$AB$1006:$AQ$1006,0)), HYPERLINK("#",""), HYPERLINK(CONCATENATE("#metadata!", ADDRESS(INDEX($W$2:$W$1001,MATCH(ROWS($U$2:U30),$U$2:$U$1001,0),0), INDEX($AB$1004:$AQ$1004,1,MATCH(COLUMNS($AB$1006:AH1006),$AB$1006:$AQ$1006,0)))),"Fix")))</f>
        <v>0</v>
      </c>
      <c r="I30" s="4">
        <f>IF(OR(INDEX($V$2:$V$1001,MATCH(ROWS($U$2:U30),$U$2:$U$1001,0),1)&gt;=100000,INDEX($AB$1005:$AQ$1005,1,MATCH(COLUMNS($AB$1006:AI1006),$AB$1006:$AQ$1006,0))&gt;=100000), " ",IF(INDEX($AB$2:$AQ$1001,MATCH(ROWS($U$2:U30),$U$2:$U$1001,0),MATCH(COLUMNS($AB$1006:AI1006),$AB$1006:$AQ$1006,0)), HYPERLINK("#",""), HYPERLINK(CONCATENATE("#metadata!", ADDRESS(INDEX($W$2:$W$1001,MATCH(ROWS($U$2:U30),$U$2:$U$1001,0),0), INDEX($AB$1004:$AQ$1004,1,MATCH(COLUMNS($AB$1006:AI1006),$AB$1006:$AQ$1006,0)))),"Fix")))</f>
        <v>0</v>
      </c>
      <c r="J30" s="4">
        <f>IF(OR(INDEX($V$2:$V$1001,MATCH(ROWS($U$2:U30),$U$2:$U$1001,0),1)&gt;=100000,INDEX($AB$1005:$AQ$1005,1,MATCH(COLUMNS($AB$1006:AJ1006),$AB$1006:$AQ$1006,0))&gt;=100000), " ",IF(INDEX($AB$2:$AQ$1001,MATCH(ROWS($U$2:U30),$U$2:$U$1001,0),MATCH(COLUMNS($AB$1006:AJ1006),$AB$1006:$AQ$1006,0)), HYPERLINK("#",""), HYPERLINK(CONCATENATE("#metadata!", ADDRESS(INDEX($W$2:$W$1001,MATCH(ROWS($U$2:U30),$U$2:$U$1001,0),0), INDEX($AB$1004:$AQ$1004,1,MATCH(COLUMNS($AB$1006:AJ1006),$AB$1006:$AQ$1006,0)))),"Fix")))</f>
        <v>0</v>
      </c>
      <c r="K30" s="4">
        <f>IF(OR(INDEX($V$2:$V$1001,MATCH(ROWS($U$2:U30),$U$2:$U$1001,0),1)&gt;=100000,INDEX($AB$1005:$AQ$1005,1,MATCH(COLUMNS($AB$1006:AK1006),$AB$1006:$AQ$1006,0))&gt;=100000), " ",IF(INDEX($AB$2:$AQ$1001,MATCH(ROWS($U$2:U30),$U$2:$U$1001,0),MATCH(COLUMNS($AB$1006:AK1006),$AB$1006:$AQ$1006,0)), HYPERLINK("#",""), HYPERLINK(CONCATENATE("#metadata!", ADDRESS(INDEX($W$2:$W$1001,MATCH(ROWS($U$2:U30),$U$2:$U$1001,0),0), INDEX($AB$1004:$AQ$1004,1,MATCH(COLUMNS($AB$1006:AK1006),$AB$1006:$AQ$1006,0)))),"Fix")))</f>
        <v>0</v>
      </c>
      <c r="L30" s="4">
        <f>IF(OR(INDEX($V$2:$V$1001,MATCH(ROWS($U$2:U30),$U$2:$U$1001,0),1)&gt;=100000,INDEX($AB$1005:$AQ$1005,1,MATCH(COLUMNS($AB$1006:AL1006),$AB$1006:$AQ$1006,0))&gt;=100000), " ",IF(INDEX($AB$2:$AQ$1001,MATCH(ROWS($U$2:U30),$U$2:$U$1001,0),MATCH(COLUMNS($AB$1006:AL1006),$AB$1006:$AQ$1006,0)), HYPERLINK("#",""), HYPERLINK(CONCATENATE("#metadata!", ADDRESS(INDEX($W$2:$W$1001,MATCH(ROWS($U$2:U30),$U$2:$U$1001,0),0), INDEX($AB$1004:$AQ$1004,1,MATCH(COLUMNS($AB$1006:AL1006),$AB$1006:$AQ$1006,0)))),"Fix")))</f>
        <v>0</v>
      </c>
      <c r="M30" s="4">
        <f>IF(OR(INDEX($V$2:$V$1001,MATCH(ROWS($U$2:U30),$U$2:$U$1001,0),1)&gt;=100000,INDEX($AB$1005:$AQ$1005,1,MATCH(COLUMNS($AB$1006:AM1006),$AB$1006:$AQ$1006,0))&gt;=100000), " ",IF(INDEX($AB$2:$AQ$1001,MATCH(ROWS($U$2:U30),$U$2:$U$1001,0),MATCH(COLUMNS($AB$1006:AM1006),$AB$1006:$AQ$1006,0)), HYPERLINK("#",""), HYPERLINK(CONCATENATE("#metadata!", ADDRESS(INDEX($W$2:$W$1001,MATCH(ROWS($U$2:U30),$U$2:$U$1001,0),0), INDEX($AB$1004:$AQ$1004,1,MATCH(COLUMNS($AB$1006:AM1006),$AB$1006:$AQ$1006,0)))),"Fix")))</f>
        <v>0</v>
      </c>
      <c r="N30" s="4">
        <f>IF(OR(INDEX($V$2:$V$1001,MATCH(ROWS($U$2:U30),$U$2:$U$1001,0),1)&gt;=100000,INDEX($AB$1005:$AQ$1005,1,MATCH(COLUMNS($AB$1006:AN1006),$AB$1006:$AQ$1006,0))&gt;=100000), " ",IF(INDEX($AB$2:$AQ$1001,MATCH(ROWS($U$2:U30),$U$2:$U$1001,0),MATCH(COLUMNS($AB$1006:AN1006),$AB$1006:$AQ$1006,0)), HYPERLINK("#",""), HYPERLINK(CONCATENATE("#metadata!", ADDRESS(INDEX($W$2:$W$1001,MATCH(ROWS($U$2:U30),$U$2:$U$1001,0),0), INDEX($AB$1004:$AQ$1004,1,MATCH(COLUMNS($AB$1006:AN1006),$AB$1006:$AQ$1006,0)))),"Fix")))</f>
        <v>0</v>
      </c>
      <c r="O30" s="4">
        <f>IF(OR(INDEX($V$2:$V$1001,MATCH(ROWS($U$2:U30),$U$2:$U$1001,0),1)&gt;=100000,INDEX($AB$1005:$AQ$1005,1,MATCH(COLUMNS($AB$1006:AO1006),$AB$1006:$AQ$1006,0))&gt;=100000), " ",IF(INDEX($AB$2:$AQ$1001,MATCH(ROWS($U$2:U30),$U$2:$U$1001,0),MATCH(COLUMNS($AB$1006:AO1006),$AB$1006:$AQ$1006,0)), HYPERLINK("#",""), HYPERLINK(CONCATENATE("#metadata!", ADDRESS(INDEX($W$2:$W$1001,MATCH(ROWS($U$2:U30),$U$2:$U$1001,0),0), INDEX($AB$1004:$AQ$1004,1,MATCH(COLUMNS($AB$1006:AO1006),$AB$1006:$AQ$1006,0)))),"Fix")))</f>
        <v>0</v>
      </c>
      <c r="P30" s="4">
        <f>IF(OR(INDEX($V$2:$V$1001,MATCH(ROWS($U$2:U30),$U$2:$U$1001,0),1)&gt;=100000,INDEX($AB$1005:$AQ$1005,1,MATCH(COLUMNS($AB$1006:AP1006),$AB$1006:$AQ$1006,0))&gt;=100000), " ",IF(INDEX($AB$2:$AQ$1001,MATCH(ROWS($U$2:U30),$U$2:$U$1001,0),MATCH(COLUMNS($AB$1006:AP1006),$AB$1006:$AQ$1006,0)), HYPERLINK("#",""), HYPERLINK(CONCATENATE("#metadata!", ADDRESS(INDEX($W$2:$W$1001,MATCH(ROWS($U$2:U30),$U$2:$U$1001,0),0), INDEX($AB$1004:$AQ$1004,1,MATCH(COLUMNS($AB$1006:AP1006),$AB$1006:$AQ$1006,0)))),"Fix")))</f>
        <v>0</v>
      </c>
      <c r="Q30" s="4">
        <f>IF(OR(INDEX($V$2:$V$1001,MATCH(ROWS($U$2:U30),$U$2:$U$1001,0),1)&gt;=100000,INDEX($AB$1005:$AQ$1005,1,MATCH(COLUMNS($AB$1006:AQ1006),$AB$1006:$AQ$1006,0))&gt;=100000), " ",IF(INDEX($AB$2:$AQ$1001,MATCH(ROWS($U$2:U30),$U$2:$U$1001,0),MATCH(COLUMNS($AB$1006:AQ1006),$AB$1006:$AQ$1006,0)), HYPERLINK("#",""), HYPERLINK(CONCATENATE("#metadata!", ADDRESS(INDEX($W$2:$W$1001,MATCH(ROWS($U$2:U30),$U$2:$U$1001,0),0), INDEX($AB$1004:$AQ$1004,1,MATCH(COLUMNS($AB$1006:AQ1006),$AB$1006:$AQ$1006,0)))),"Fix")))</f>
        <v>0</v>
      </c>
      <c r="U30">
        <v>0</v>
      </c>
      <c r="V30">
        <v>0</v>
      </c>
      <c r="W30">
        <v>0</v>
      </c>
      <c r="X30">
        <f>IF(Y30,TRUE,AND(AB30:AQ30))</f>
        <v>0</v>
      </c>
      <c r="Y30">
        <f>COUNTBLANK(metadata!B30:Q30)=COLUMNS(metadata!B30:Q30)</f>
        <v>0</v>
      </c>
      <c r="Z30">
        <v>0</v>
      </c>
      <c r="AB30">
        <f>AND(IF(metadata!B30="",FALSE,TRUE),COUNTIF(metadata!B:B, metadata!B30) = 1,NOT(ISERROR(SUMPRODUCT(SEARCH(MID(metadata!B30,ROW(INDIRECT("1:"&amp;LEN(metadata!B30))), 1),"0123456789abcdefghijklmnopqrstuvwxyzABCDEFGHIJKLMNOPQRSTUVWXYZ.")))))</f>
        <v>0</v>
      </c>
      <c r="AC30">
        <f>OR(AND(IF(metadata!C30="",FALSE,TRUE),OR(exact(metadata!C30,"missing: not collected"),exact(metadata!C30,"missing: not provided"),exact(metadata!C30,"missing: restricted access"))),AND(IF(metadata!C30="",FALSE,TRUE),AND(AND(IFERROR(INT(LEFT(metadata!C30,4))&gt;1900,FALSE),IFERROR(INT(LEFT(metadata!C30,4))&lt;=YEAR(NOW()),FALSE)), OR(MID(metadata!C30,5,1)="", AND(AND(MID(metadata!C30,5,1)="-",IFERROR(INT(MID(metadata!C30,6,1))&gt;=0,FALSE),IFERROR(INT(MID(metadata!C30,6,1))&lt;=1,FALSE),NOT(MID(metadata!C30,7,1)=""),IFERROR(INT(MID(metadata!C30,6,2))&gt;=1,FALSE),IFERROR(INT(MID(metadata!C30,6,2))&lt;=12,FALSE)), OR(MID(metadata!C30,8,1)="", AND(AND(MID(metadata!C30,8,1)="-",IFERROR(INT(MID(metadata!C30,9,1))&gt;=0,FALSE),IFERROR(INT(MID(metadata!C30,9,1))&lt;=3,FALSE),NOT(MID(metadata!C30,10,1)=""),IFERROR(INT(MID(metadata!C30,9,2))&gt;=1,FALSE),IFERROR(INT(MID(metadata!C30,9,2))&lt;=31,FALSE)), OR(MID(metadata!C30,11,1)="", AND(AND(MID(metadata!C30,11,1)=" ",IFERROR(INT(MID(metadata!C30,12,1))&gt;=0,FALSE),IFERROR(INT(MID(metadata!C30,12,1))&lt;=2,FALSE),NOT(MID(metadata!C30,13,1)=""),IFERROR(INT(MID(metadata!C30,12,2))&gt;=0,FALSE),IFERROR(INT(MID(metadata!C30,12,2))&lt;=23,FALSE)), OR(MID(metadata!C30,14,1)="", AND(AND(MID(metadata!C30,14,1)=":",IFERROR(INT(MID(metadata!C30,15,1))&gt;=0,FALSE),IFERROR(INT(MID(metadata!C30,15,1))&lt;=5,FALSE),NOT(MID(metadata!C30,16,1)=""),IFERROR(INT(MID(metadata!C30,15,2))&gt;=0,FALSE),IFERROR(INT(MID(metadata!C30,15,2))&lt;=59,FALSE)), OR(MID(metadata!C30,17,1)="", AND(AND(MID(metadata!C30,17,1)=":",IFERROR(INT(MID(metadata!C30,18,1))&gt;=0,FALSE),IFERROR(INT(MID(metadata!C30,18,1))&lt;=5,FALSE),NOT(MID(metadata!C30,19,1)=""),IFERROR(INT(MID(metadata!C30,18,2))&gt;=0,FALSE),IFERROR(INT(MID(metadata!C30,18,2))&lt;=59,FALSE)), LEN(metadata!C30)&lt;=19)))))))))))))</f>
        <v>0</v>
      </c>
      <c r="AD30">
        <f>IF(metadata!D30="",FALSE,TRUE)</f>
        <v>0</v>
      </c>
      <c r="AE30">
        <f>OR(AND(IF(metadata!E30="",FALSE,TRUE),OR(exact(metadata!E30,"missing: not collected"),exact(metadata!E30,"missing: not provided"))),AND(IF(metadata!E30="",FALSE,TRUE),OR(exact(metadata!E30,"TRUE"),exact(metadata!E30,"FALSE"))))</f>
        <v>0</v>
      </c>
      <c r="AF30">
        <f>IF(metadata!F30="",FALSE,TRUE)</f>
        <v>0</v>
      </c>
      <c r="AG30">
        <f>IF(metadata!G30="",FALSE,TRUE)</f>
        <v>0</v>
      </c>
      <c r="AH30">
        <f>IF(metadata!H30="",FALSE,TRUE)</f>
        <v>0</v>
      </c>
      <c r="AI30">
        <f>OR(AND(IF(metadata!I30="",FALSE,TRUE),OR(exact(metadata!I30,"missing: not collected"),exact(metadata!I30,"missing: not provided"),exact(metadata!I30,"missing: restricted access"))),AND(IF(metadata!I30="",FALSE,TRUE),OR(exact(metadata!I30,"air"),exact(metadata!I30,"built environment"),exact(metadata!I30,"host-associated"),exact(metadata!I30,"human-associated"),exact(metadata!I30,"human-skin"),exact(metadata!I30,"human-oral"),exact(metadata!I30,"human-gut"),exact(metadata!I30,"human-vaginal"),exact(metadata!I30,"microbial mat/biofilm"),exact(metadata!I30,"misc environment"),exact(metadata!I30,"plant-associated"),exact(metadata!I30,"sediment"),exact(metadata!I30,"soil"),exact(metadata!I30,"wastewater/sludge"),exact(metadata!I30,"water"))))</f>
        <v>0</v>
      </c>
      <c r="AJ30">
        <f>IF(metadata!J30="",FALSE,TRUE)</f>
        <v>0</v>
      </c>
      <c r="AK30">
        <f>OR(AND(IF(metadata!K30="",FALSE,TRUE),OR(exact(metadata!K30,"missing: not collected"),exact(metadata!K30,"missing: not provided"),exact(metadata!K30,"missing: restricted access"))),AND(IF(metadata!K30="",FALSE,ISNUMBER(VALUE(metadata!K30))),metadata!K30&gt;=-90.00,metadata!K30&lt;=90.00))</f>
        <v>0</v>
      </c>
      <c r="AL30">
        <f>OR(AND(IF(metadata!L30="",FALSE,TRUE),OR(exact(metadata!L30,"missing: not collected"),exact(metadata!L30,"missing: not provided"),exact(metadata!L30,"missing: restricted access"))),AND(IF(metadata!L30="",FALSE,ISNUMBER(VALUE(metadata!L30))),metadata!L30&gt;=-180.00,metadata!L30&lt;=180.00))</f>
        <v>0</v>
      </c>
      <c r="AM30">
        <f>IF(metadata!M30="",FALSE,TRUE)</f>
        <v>0</v>
      </c>
      <c r="AN30">
        <f>OR(AND(IF(metadata!N30="",FALSE,TRUE),OR(exact(metadata!N30,"missing: not collected"),exact(metadata!N30,"missing: not provided"),exact(metadata!N30,"missing: restricted access"))),AND(IF(metadata!N30="",FALSE,TRUE),OR(exact(metadata!N30,"TRUE"),exact(metadata!N30,"FALSE"))))</f>
        <v>0</v>
      </c>
      <c r="AO30">
        <f>IF(metadata!O30="",FALSE,TRUE)</f>
        <v>0</v>
      </c>
      <c r="AP30">
        <f>OR(AND(IF(metadata!P30="",FALSE,TRUE),OR(exact(metadata!P30,"missing: not collected"),exact(metadata!P30,"missing: not provided"))),AND(IF(metadata!P30="",FALSE,IF(ISERROR(INT(metadata!P30)),FALSE,INT(metadata!P30)=metadata!P30)),metadata!P30&gt;0))</f>
        <v>0</v>
      </c>
      <c r="AQ30">
        <f>IF(metadata!Q30="",FALSE,TRUE)</f>
        <v>0</v>
      </c>
    </row>
    <row r="31" spans="1:43">
      <c r="A31" s="5">
        <f>IF(B31=" "," ",HYPERLINK(CONCATENATE("#metadata!",ADDRESS(INDEX($W$2:$W$1001,MATCH(ROWS($U$2:U31),$U$2:$U$1001,0),0),1)),INDEX($Z$2:$Z$1001,MATCH(ROWS($U$2:U31),$U$2:$U$1001,0),0)))</f>
        <v>0</v>
      </c>
      <c r="B31" s="4">
        <f>IF(OR(INDEX($V$2:$V$1001,MATCH(ROWS($U$2:U31),$U$2:$U$1001,0),1)&gt;=100000,INDEX($AB$1005:$AQ$1005,1,MATCH(COLUMNS($AB$1006:AB1006),$AB$1006:$AQ$1006,0))&gt;=100000), " ",IF(INDEX($AB$2:$AQ$1001,MATCH(ROWS($U$2:U31),$U$2:$U$1001,0),MATCH(COLUMNS($AB$1006:AB1006),$AB$1006:$AQ$1006,0)), HYPERLINK("#",""), HYPERLINK(CONCATENATE("#metadata!", ADDRESS(INDEX($W$2:$W$1001,MATCH(ROWS($U$2:U31),$U$2:$U$1001,0),0), INDEX($AB$1004:$AQ$1004,1,MATCH(COLUMNS($AB$1006:AB1006),$AB$1006:$AQ$1006,0)))),"Fix")))</f>
        <v>0</v>
      </c>
      <c r="C31" s="4">
        <f>IF(OR(INDEX($V$2:$V$1001,MATCH(ROWS($U$2:U31),$U$2:$U$1001,0),1)&gt;=100000,INDEX($AB$1005:$AQ$1005,1,MATCH(COLUMNS($AB$1006:AC1006),$AB$1006:$AQ$1006,0))&gt;=100000), " ",IF(INDEX($AB$2:$AQ$1001,MATCH(ROWS($U$2:U31),$U$2:$U$1001,0),MATCH(COLUMNS($AB$1006:AC1006),$AB$1006:$AQ$1006,0)), HYPERLINK("#",""), HYPERLINK(CONCATENATE("#metadata!", ADDRESS(INDEX($W$2:$W$1001,MATCH(ROWS($U$2:U31),$U$2:$U$1001,0),0), INDEX($AB$1004:$AQ$1004,1,MATCH(COLUMNS($AB$1006:AC1006),$AB$1006:$AQ$1006,0)))),"Fix")))</f>
        <v>0</v>
      </c>
      <c r="D31" s="4">
        <f>IF(OR(INDEX($V$2:$V$1001,MATCH(ROWS($U$2:U31),$U$2:$U$1001,0),1)&gt;=100000,INDEX($AB$1005:$AQ$1005,1,MATCH(COLUMNS($AB$1006:AD1006),$AB$1006:$AQ$1006,0))&gt;=100000), " ",IF(INDEX($AB$2:$AQ$1001,MATCH(ROWS($U$2:U31),$U$2:$U$1001,0),MATCH(COLUMNS($AB$1006:AD1006),$AB$1006:$AQ$1006,0)), HYPERLINK("#",""), HYPERLINK(CONCATENATE("#metadata!", ADDRESS(INDEX($W$2:$W$1001,MATCH(ROWS($U$2:U31),$U$2:$U$1001,0),0), INDEX($AB$1004:$AQ$1004,1,MATCH(COLUMNS($AB$1006:AD1006),$AB$1006:$AQ$1006,0)))),"Fix")))</f>
        <v>0</v>
      </c>
      <c r="E31" s="4">
        <f>IF(OR(INDEX($V$2:$V$1001,MATCH(ROWS($U$2:U31),$U$2:$U$1001,0),1)&gt;=100000,INDEX($AB$1005:$AQ$1005,1,MATCH(COLUMNS($AB$1006:AE1006),$AB$1006:$AQ$1006,0))&gt;=100000), " ",IF(INDEX($AB$2:$AQ$1001,MATCH(ROWS($U$2:U31),$U$2:$U$1001,0),MATCH(COLUMNS($AB$1006:AE1006),$AB$1006:$AQ$1006,0)), HYPERLINK("#",""), HYPERLINK(CONCATENATE("#metadata!", ADDRESS(INDEX($W$2:$W$1001,MATCH(ROWS($U$2:U31),$U$2:$U$1001,0),0), INDEX($AB$1004:$AQ$1004,1,MATCH(COLUMNS($AB$1006:AE1006),$AB$1006:$AQ$1006,0)))),"Fix")))</f>
        <v>0</v>
      </c>
      <c r="F31" s="4">
        <f>IF(OR(INDEX($V$2:$V$1001,MATCH(ROWS($U$2:U31),$U$2:$U$1001,0),1)&gt;=100000,INDEX($AB$1005:$AQ$1005,1,MATCH(COLUMNS($AB$1006:AF1006),$AB$1006:$AQ$1006,0))&gt;=100000), " ",IF(INDEX($AB$2:$AQ$1001,MATCH(ROWS($U$2:U31),$U$2:$U$1001,0),MATCH(COLUMNS($AB$1006:AF1006),$AB$1006:$AQ$1006,0)), HYPERLINK("#",""), HYPERLINK(CONCATENATE("#metadata!", ADDRESS(INDEX($W$2:$W$1001,MATCH(ROWS($U$2:U31),$U$2:$U$1001,0),0), INDEX($AB$1004:$AQ$1004,1,MATCH(COLUMNS($AB$1006:AF1006),$AB$1006:$AQ$1006,0)))),"Fix")))</f>
        <v>0</v>
      </c>
      <c r="G31" s="4">
        <f>IF(OR(INDEX($V$2:$V$1001,MATCH(ROWS($U$2:U31),$U$2:$U$1001,0),1)&gt;=100000,INDEX($AB$1005:$AQ$1005,1,MATCH(COLUMNS($AB$1006:AG1006),$AB$1006:$AQ$1006,0))&gt;=100000), " ",IF(INDEX($AB$2:$AQ$1001,MATCH(ROWS($U$2:U31),$U$2:$U$1001,0),MATCH(COLUMNS($AB$1006:AG1006),$AB$1006:$AQ$1006,0)), HYPERLINK("#",""), HYPERLINK(CONCATENATE("#metadata!", ADDRESS(INDEX($W$2:$W$1001,MATCH(ROWS($U$2:U31),$U$2:$U$1001,0),0), INDEX($AB$1004:$AQ$1004,1,MATCH(COLUMNS($AB$1006:AG1006),$AB$1006:$AQ$1006,0)))),"Fix")))</f>
        <v>0</v>
      </c>
      <c r="H31" s="4">
        <f>IF(OR(INDEX($V$2:$V$1001,MATCH(ROWS($U$2:U31),$U$2:$U$1001,0),1)&gt;=100000,INDEX($AB$1005:$AQ$1005,1,MATCH(COLUMNS($AB$1006:AH1006),$AB$1006:$AQ$1006,0))&gt;=100000), " ",IF(INDEX($AB$2:$AQ$1001,MATCH(ROWS($U$2:U31),$U$2:$U$1001,0),MATCH(COLUMNS($AB$1006:AH1006),$AB$1006:$AQ$1006,0)), HYPERLINK("#",""), HYPERLINK(CONCATENATE("#metadata!", ADDRESS(INDEX($W$2:$W$1001,MATCH(ROWS($U$2:U31),$U$2:$U$1001,0),0), INDEX($AB$1004:$AQ$1004,1,MATCH(COLUMNS($AB$1006:AH1006),$AB$1006:$AQ$1006,0)))),"Fix")))</f>
        <v>0</v>
      </c>
      <c r="I31" s="4">
        <f>IF(OR(INDEX($V$2:$V$1001,MATCH(ROWS($U$2:U31),$U$2:$U$1001,0),1)&gt;=100000,INDEX($AB$1005:$AQ$1005,1,MATCH(COLUMNS($AB$1006:AI1006),$AB$1006:$AQ$1006,0))&gt;=100000), " ",IF(INDEX($AB$2:$AQ$1001,MATCH(ROWS($U$2:U31),$U$2:$U$1001,0),MATCH(COLUMNS($AB$1006:AI1006),$AB$1006:$AQ$1006,0)), HYPERLINK("#",""), HYPERLINK(CONCATENATE("#metadata!", ADDRESS(INDEX($W$2:$W$1001,MATCH(ROWS($U$2:U31),$U$2:$U$1001,0),0), INDEX($AB$1004:$AQ$1004,1,MATCH(COLUMNS($AB$1006:AI1006),$AB$1006:$AQ$1006,0)))),"Fix")))</f>
        <v>0</v>
      </c>
      <c r="J31" s="4">
        <f>IF(OR(INDEX($V$2:$V$1001,MATCH(ROWS($U$2:U31),$U$2:$U$1001,0),1)&gt;=100000,INDEX($AB$1005:$AQ$1005,1,MATCH(COLUMNS($AB$1006:AJ1006),$AB$1006:$AQ$1006,0))&gt;=100000), " ",IF(INDEX($AB$2:$AQ$1001,MATCH(ROWS($U$2:U31),$U$2:$U$1001,0),MATCH(COLUMNS($AB$1006:AJ1006),$AB$1006:$AQ$1006,0)), HYPERLINK("#",""), HYPERLINK(CONCATENATE("#metadata!", ADDRESS(INDEX($W$2:$W$1001,MATCH(ROWS($U$2:U31),$U$2:$U$1001,0),0), INDEX($AB$1004:$AQ$1004,1,MATCH(COLUMNS($AB$1006:AJ1006),$AB$1006:$AQ$1006,0)))),"Fix")))</f>
        <v>0</v>
      </c>
      <c r="K31" s="4">
        <f>IF(OR(INDEX($V$2:$V$1001,MATCH(ROWS($U$2:U31),$U$2:$U$1001,0),1)&gt;=100000,INDEX($AB$1005:$AQ$1005,1,MATCH(COLUMNS($AB$1006:AK1006),$AB$1006:$AQ$1006,0))&gt;=100000), " ",IF(INDEX($AB$2:$AQ$1001,MATCH(ROWS($U$2:U31),$U$2:$U$1001,0),MATCH(COLUMNS($AB$1006:AK1006),$AB$1006:$AQ$1006,0)), HYPERLINK("#",""), HYPERLINK(CONCATENATE("#metadata!", ADDRESS(INDEX($W$2:$W$1001,MATCH(ROWS($U$2:U31),$U$2:$U$1001,0),0), INDEX($AB$1004:$AQ$1004,1,MATCH(COLUMNS($AB$1006:AK1006),$AB$1006:$AQ$1006,0)))),"Fix")))</f>
        <v>0</v>
      </c>
      <c r="L31" s="4">
        <f>IF(OR(INDEX($V$2:$V$1001,MATCH(ROWS($U$2:U31),$U$2:$U$1001,0),1)&gt;=100000,INDEX($AB$1005:$AQ$1005,1,MATCH(COLUMNS($AB$1006:AL1006),$AB$1006:$AQ$1006,0))&gt;=100000), " ",IF(INDEX($AB$2:$AQ$1001,MATCH(ROWS($U$2:U31),$U$2:$U$1001,0),MATCH(COLUMNS($AB$1006:AL1006),$AB$1006:$AQ$1006,0)), HYPERLINK("#",""), HYPERLINK(CONCATENATE("#metadata!", ADDRESS(INDEX($W$2:$W$1001,MATCH(ROWS($U$2:U31),$U$2:$U$1001,0),0), INDEX($AB$1004:$AQ$1004,1,MATCH(COLUMNS($AB$1006:AL1006),$AB$1006:$AQ$1006,0)))),"Fix")))</f>
        <v>0</v>
      </c>
      <c r="M31" s="4">
        <f>IF(OR(INDEX($V$2:$V$1001,MATCH(ROWS($U$2:U31),$U$2:$U$1001,0),1)&gt;=100000,INDEX($AB$1005:$AQ$1005,1,MATCH(COLUMNS($AB$1006:AM1006),$AB$1006:$AQ$1006,0))&gt;=100000), " ",IF(INDEX($AB$2:$AQ$1001,MATCH(ROWS($U$2:U31),$U$2:$U$1001,0),MATCH(COLUMNS($AB$1006:AM1006),$AB$1006:$AQ$1006,0)), HYPERLINK("#",""), HYPERLINK(CONCATENATE("#metadata!", ADDRESS(INDEX($W$2:$W$1001,MATCH(ROWS($U$2:U31),$U$2:$U$1001,0),0), INDEX($AB$1004:$AQ$1004,1,MATCH(COLUMNS($AB$1006:AM1006),$AB$1006:$AQ$1006,0)))),"Fix")))</f>
        <v>0</v>
      </c>
      <c r="N31" s="4">
        <f>IF(OR(INDEX($V$2:$V$1001,MATCH(ROWS($U$2:U31),$U$2:$U$1001,0),1)&gt;=100000,INDEX($AB$1005:$AQ$1005,1,MATCH(COLUMNS($AB$1006:AN1006),$AB$1006:$AQ$1006,0))&gt;=100000), " ",IF(INDEX($AB$2:$AQ$1001,MATCH(ROWS($U$2:U31),$U$2:$U$1001,0),MATCH(COLUMNS($AB$1006:AN1006),$AB$1006:$AQ$1006,0)), HYPERLINK("#",""), HYPERLINK(CONCATENATE("#metadata!", ADDRESS(INDEX($W$2:$W$1001,MATCH(ROWS($U$2:U31),$U$2:$U$1001,0),0), INDEX($AB$1004:$AQ$1004,1,MATCH(COLUMNS($AB$1006:AN1006),$AB$1006:$AQ$1006,0)))),"Fix")))</f>
        <v>0</v>
      </c>
      <c r="O31" s="4">
        <f>IF(OR(INDEX($V$2:$V$1001,MATCH(ROWS($U$2:U31),$U$2:$U$1001,0),1)&gt;=100000,INDEX($AB$1005:$AQ$1005,1,MATCH(COLUMNS($AB$1006:AO1006),$AB$1006:$AQ$1006,0))&gt;=100000), " ",IF(INDEX($AB$2:$AQ$1001,MATCH(ROWS($U$2:U31),$U$2:$U$1001,0),MATCH(COLUMNS($AB$1006:AO1006),$AB$1006:$AQ$1006,0)), HYPERLINK("#",""), HYPERLINK(CONCATENATE("#metadata!", ADDRESS(INDEX($W$2:$W$1001,MATCH(ROWS($U$2:U31),$U$2:$U$1001,0),0), INDEX($AB$1004:$AQ$1004,1,MATCH(COLUMNS($AB$1006:AO1006),$AB$1006:$AQ$1006,0)))),"Fix")))</f>
        <v>0</v>
      </c>
      <c r="P31" s="4">
        <f>IF(OR(INDEX($V$2:$V$1001,MATCH(ROWS($U$2:U31),$U$2:$U$1001,0),1)&gt;=100000,INDEX($AB$1005:$AQ$1005,1,MATCH(COLUMNS($AB$1006:AP1006),$AB$1006:$AQ$1006,0))&gt;=100000), " ",IF(INDEX($AB$2:$AQ$1001,MATCH(ROWS($U$2:U31),$U$2:$U$1001,0),MATCH(COLUMNS($AB$1006:AP1006),$AB$1006:$AQ$1006,0)), HYPERLINK("#",""), HYPERLINK(CONCATENATE("#metadata!", ADDRESS(INDEX($W$2:$W$1001,MATCH(ROWS($U$2:U31),$U$2:$U$1001,0),0), INDEX($AB$1004:$AQ$1004,1,MATCH(COLUMNS($AB$1006:AP1006),$AB$1006:$AQ$1006,0)))),"Fix")))</f>
        <v>0</v>
      </c>
      <c r="Q31" s="4">
        <f>IF(OR(INDEX($V$2:$V$1001,MATCH(ROWS($U$2:U31),$U$2:$U$1001,0),1)&gt;=100000,INDEX($AB$1005:$AQ$1005,1,MATCH(COLUMNS($AB$1006:AQ1006),$AB$1006:$AQ$1006,0))&gt;=100000), " ",IF(INDEX($AB$2:$AQ$1001,MATCH(ROWS($U$2:U31),$U$2:$U$1001,0),MATCH(COLUMNS($AB$1006:AQ1006),$AB$1006:$AQ$1006,0)), HYPERLINK("#",""), HYPERLINK(CONCATENATE("#metadata!", ADDRESS(INDEX($W$2:$W$1001,MATCH(ROWS($U$2:U31),$U$2:$U$1001,0),0), INDEX($AB$1004:$AQ$1004,1,MATCH(COLUMNS($AB$1006:AQ1006),$AB$1006:$AQ$1006,0)))),"Fix")))</f>
        <v>0</v>
      </c>
      <c r="U31">
        <v>0</v>
      </c>
      <c r="V31">
        <v>0</v>
      </c>
      <c r="W31">
        <v>0</v>
      </c>
      <c r="X31">
        <f>IF(Y31,TRUE,AND(AB31:AQ31))</f>
        <v>0</v>
      </c>
      <c r="Y31">
        <f>COUNTBLANK(metadata!B31:Q31)=COLUMNS(metadata!B31:Q31)</f>
        <v>0</v>
      </c>
      <c r="Z31">
        <v>0</v>
      </c>
      <c r="AB31">
        <f>AND(IF(metadata!B31="",FALSE,TRUE),COUNTIF(metadata!B:B, metadata!B31) = 1,NOT(ISERROR(SUMPRODUCT(SEARCH(MID(metadata!B31,ROW(INDIRECT("1:"&amp;LEN(metadata!B31))), 1),"0123456789abcdefghijklmnopqrstuvwxyzABCDEFGHIJKLMNOPQRSTUVWXYZ.")))))</f>
        <v>0</v>
      </c>
      <c r="AC31">
        <f>OR(AND(IF(metadata!C31="",FALSE,TRUE),OR(exact(metadata!C31,"missing: not collected"),exact(metadata!C31,"missing: not provided"),exact(metadata!C31,"missing: restricted access"))),AND(IF(metadata!C31="",FALSE,TRUE),AND(AND(IFERROR(INT(LEFT(metadata!C31,4))&gt;1900,FALSE),IFERROR(INT(LEFT(metadata!C31,4))&lt;=YEAR(NOW()),FALSE)), OR(MID(metadata!C31,5,1)="", AND(AND(MID(metadata!C31,5,1)="-",IFERROR(INT(MID(metadata!C31,6,1))&gt;=0,FALSE),IFERROR(INT(MID(metadata!C31,6,1))&lt;=1,FALSE),NOT(MID(metadata!C31,7,1)=""),IFERROR(INT(MID(metadata!C31,6,2))&gt;=1,FALSE),IFERROR(INT(MID(metadata!C31,6,2))&lt;=12,FALSE)), OR(MID(metadata!C31,8,1)="", AND(AND(MID(metadata!C31,8,1)="-",IFERROR(INT(MID(metadata!C31,9,1))&gt;=0,FALSE),IFERROR(INT(MID(metadata!C31,9,1))&lt;=3,FALSE),NOT(MID(metadata!C31,10,1)=""),IFERROR(INT(MID(metadata!C31,9,2))&gt;=1,FALSE),IFERROR(INT(MID(metadata!C31,9,2))&lt;=31,FALSE)), OR(MID(metadata!C31,11,1)="", AND(AND(MID(metadata!C31,11,1)=" ",IFERROR(INT(MID(metadata!C31,12,1))&gt;=0,FALSE),IFERROR(INT(MID(metadata!C31,12,1))&lt;=2,FALSE),NOT(MID(metadata!C31,13,1)=""),IFERROR(INT(MID(metadata!C31,12,2))&gt;=0,FALSE),IFERROR(INT(MID(metadata!C31,12,2))&lt;=23,FALSE)), OR(MID(metadata!C31,14,1)="", AND(AND(MID(metadata!C31,14,1)=":",IFERROR(INT(MID(metadata!C31,15,1))&gt;=0,FALSE),IFERROR(INT(MID(metadata!C31,15,1))&lt;=5,FALSE),NOT(MID(metadata!C31,16,1)=""),IFERROR(INT(MID(metadata!C31,15,2))&gt;=0,FALSE),IFERROR(INT(MID(metadata!C31,15,2))&lt;=59,FALSE)), OR(MID(metadata!C31,17,1)="", AND(AND(MID(metadata!C31,17,1)=":",IFERROR(INT(MID(metadata!C31,18,1))&gt;=0,FALSE),IFERROR(INT(MID(metadata!C31,18,1))&lt;=5,FALSE),NOT(MID(metadata!C31,19,1)=""),IFERROR(INT(MID(metadata!C31,18,2))&gt;=0,FALSE),IFERROR(INT(MID(metadata!C31,18,2))&lt;=59,FALSE)), LEN(metadata!C31)&lt;=19)))))))))))))</f>
        <v>0</v>
      </c>
      <c r="AD31">
        <f>IF(metadata!D31="",FALSE,TRUE)</f>
        <v>0</v>
      </c>
      <c r="AE31">
        <f>OR(AND(IF(metadata!E31="",FALSE,TRUE),OR(exact(metadata!E31,"missing: not collected"),exact(metadata!E31,"missing: not provided"))),AND(IF(metadata!E31="",FALSE,TRUE),OR(exact(metadata!E31,"TRUE"),exact(metadata!E31,"FALSE"))))</f>
        <v>0</v>
      </c>
      <c r="AF31">
        <f>IF(metadata!F31="",FALSE,TRUE)</f>
        <v>0</v>
      </c>
      <c r="AG31">
        <f>IF(metadata!G31="",FALSE,TRUE)</f>
        <v>0</v>
      </c>
      <c r="AH31">
        <f>IF(metadata!H31="",FALSE,TRUE)</f>
        <v>0</v>
      </c>
      <c r="AI31">
        <f>OR(AND(IF(metadata!I31="",FALSE,TRUE),OR(exact(metadata!I31,"missing: not collected"),exact(metadata!I31,"missing: not provided"),exact(metadata!I31,"missing: restricted access"))),AND(IF(metadata!I31="",FALSE,TRUE),OR(exact(metadata!I31,"air"),exact(metadata!I31,"built environment"),exact(metadata!I31,"host-associated"),exact(metadata!I31,"human-associated"),exact(metadata!I31,"human-skin"),exact(metadata!I31,"human-oral"),exact(metadata!I31,"human-gut"),exact(metadata!I31,"human-vaginal"),exact(metadata!I31,"microbial mat/biofilm"),exact(metadata!I31,"misc environment"),exact(metadata!I31,"plant-associated"),exact(metadata!I31,"sediment"),exact(metadata!I31,"soil"),exact(metadata!I31,"wastewater/sludge"),exact(metadata!I31,"water"))))</f>
        <v>0</v>
      </c>
      <c r="AJ31">
        <f>IF(metadata!J31="",FALSE,TRUE)</f>
        <v>0</v>
      </c>
      <c r="AK31">
        <f>OR(AND(IF(metadata!K31="",FALSE,TRUE),OR(exact(metadata!K31,"missing: not collected"),exact(metadata!K31,"missing: not provided"),exact(metadata!K31,"missing: restricted access"))),AND(IF(metadata!K31="",FALSE,ISNUMBER(VALUE(metadata!K31))),metadata!K31&gt;=-90.00,metadata!K31&lt;=90.00))</f>
        <v>0</v>
      </c>
      <c r="AL31">
        <f>OR(AND(IF(metadata!L31="",FALSE,TRUE),OR(exact(metadata!L31,"missing: not collected"),exact(metadata!L31,"missing: not provided"),exact(metadata!L31,"missing: restricted access"))),AND(IF(metadata!L31="",FALSE,ISNUMBER(VALUE(metadata!L31))),metadata!L31&gt;=-180.00,metadata!L31&lt;=180.00))</f>
        <v>0</v>
      </c>
      <c r="AM31">
        <f>IF(metadata!M31="",FALSE,TRUE)</f>
        <v>0</v>
      </c>
      <c r="AN31">
        <f>OR(AND(IF(metadata!N31="",FALSE,TRUE),OR(exact(metadata!N31,"missing: not collected"),exact(metadata!N31,"missing: not provided"),exact(metadata!N31,"missing: restricted access"))),AND(IF(metadata!N31="",FALSE,TRUE),OR(exact(metadata!N31,"TRUE"),exact(metadata!N31,"FALSE"))))</f>
        <v>0</v>
      </c>
      <c r="AO31">
        <f>IF(metadata!O31="",FALSE,TRUE)</f>
        <v>0</v>
      </c>
      <c r="AP31">
        <f>OR(AND(IF(metadata!P31="",FALSE,TRUE),OR(exact(metadata!P31,"missing: not collected"),exact(metadata!P31,"missing: not provided"))),AND(IF(metadata!P31="",FALSE,IF(ISERROR(INT(metadata!P31)),FALSE,INT(metadata!P31)=metadata!P31)),metadata!P31&gt;0))</f>
        <v>0</v>
      </c>
      <c r="AQ31">
        <f>IF(metadata!Q31="",FALSE,TRUE)</f>
        <v>0</v>
      </c>
    </row>
    <row r="32" spans="1:43">
      <c r="A32" s="5">
        <f>IF(B32=" "," ",HYPERLINK(CONCATENATE("#metadata!",ADDRESS(INDEX($W$2:$W$1001,MATCH(ROWS($U$2:U32),$U$2:$U$1001,0),0),1)),INDEX($Z$2:$Z$1001,MATCH(ROWS($U$2:U32),$U$2:$U$1001,0),0)))</f>
        <v>0</v>
      </c>
      <c r="B32" s="4">
        <f>IF(OR(INDEX($V$2:$V$1001,MATCH(ROWS($U$2:U32),$U$2:$U$1001,0),1)&gt;=100000,INDEX($AB$1005:$AQ$1005,1,MATCH(COLUMNS($AB$1006:AB1006),$AB$1006:$AQ$1006,0))&gt;=100000), " ",IF(INDEX($AB$2:$AQ$1001,MATCH(ROWS($U$2:U32),$U$2:$U$1001,0),MATCH(COLUMNS($AB$1006:AB1006),$AB$1006:$AQ$1006,0)), HYPERLINK("#",""), HYPERLINK(CONCATENATE("#metadata!", ADDRESS(INDEX($W$2:$W$1001,MATCH(ROWS($U$2:U32),$U$2:$U$1001,0),0), INDEX($AB$1004:$AQ$1004,1,MATCH(COLUMNS($AB$1006:AB1006),$AB$1006:$AQ$1006,0)))),"Fix")))</f>
        <v>0</v>
      </c>
      <c r="C32" s="4">
        <f>IF(OR(INDEX($V$2:$V$1001,MATCH(ROWS($U$2:U32),$U$2:$U$1001,0),1)&gt;=100000,INDEX($AB$1005:$AQ$1005,1,MATCH(COLUMNS($AB$1006:AC1006),$AB$1006:$AQ$1006,0))&gt;=100000), " ",IF(INDEX($AB$2:$AQ$1001,MATCH(ROWS($U$2:U32),$U$2:$U$1001,0),MATCH(COLUMNS($AB$1006:AC1006),$AB$1006:$AQ$1006,0)), HYPERLINK("#",""), HYPERLINK(CONCATENATE("#metadata!", ADDRESS(INDEX($W$2:$W$1001,MATCH(ROWS($U$2:U32),$U$2:$U$1001,0),0), INDEX($AB$1004:$AQ$1004,1,MATCH(COLUMNS($AB$1006:AC1006),$AB$1006:$AQ$1006,0)))),"Fix")))</f>
        <v>0</v>
      </c>
      <c r="D32" s="4">
        <f>IF(OR(INDEX($V$2:$V$1001,MATCH(ROWS($U$2:U32),$U$2:$U$1001,0),1)&gt;=100000,INDEX($AB$1005:$AQ$1005,1,MATCH(COLUMNS($AB$1006:AD1006),$AB$1006:$AQ$1006,0))&gt;=100000), " ",IF(INDEX($AB$2:$AQ$1001,MATCH(ROWS($U$2:U32),$U$2:$U$1001,0),MATCH(COLUMNS($AB$1006:AD1006),$AB$1006:$AQ$1006,0)), HYPERLINK("#",""), HYPERLINK(CONCATENATE("#metadata!", ADDRESS(INDEX($W$2:$W$1001,MATCH(ROWS($U$2:U32),$U$2:$U$1001,0),0), INDEX($AB$1004:$AQ$1004,1,MATCH(COLUMNS($AB$1006:AD1006),$AB$1006:$AQ$1006,0)))),"Fix")))</f>
        <v>0</v>
      </c>
      <c r="E32" s="4">
        <f>IF(OR(INDEX($V$2:$V$1001,MATCH(ROWS($U$2:U32),$U$2:$U$1001,0),1)&gt;=100000,INDEX($AB$1005:$AQ$1005,1,MATCH(COLUMNS($AB$1006:AE1006),$AB$1006:$AQ$1006,0))&gt;=100000), " ",IF(INDEX($AB$2:$AQ$1001,MATCH(ROWS($U$2:U32),$U$2:$U$1001,0),MATCH(COLUMNS($AB$1006:AE1006),$AB$1006:$AQ$1006,0)), HYPERLINK("#",""), HYPERLINK(CONCATENATE("#metadata!", ADDRESS(INDEX($W$2:$W$1001,MATCH(ROWS($U$2:U32),$U$2:$U$1001,0),0), INDEX($AB$1004:$AQ$1004,1,MATCH(COLUMNS($AB$1006:AE1006),$AB$1006:$AQ$1006,0)))),"Fix")))</f>
        <v>0</v>
      </c>
      <c r="F32" s="4">
        <f>IF(OR(INDEX($V$2:$V$1001,MATCH(ROWS($U$2:U32),$U$2:$U$1001,0),1)&gt;=100000,INDEX($AB$1005:$AQ$1005,1,MATCH(COLUMNS($AB$1006:AF1006),$AB$1006:$AQ$1006,0))&gt;=100000), " ",IF(INDEX($AB$2:$AQ$1001,MATCH(ROWS($U$2:U32),$U$2:$U$1001,0),MATCH(COLUMNS($AB$1006:AF1006),$AB$1006:$AQ$1006,0)), HYPERLINK("#",""), HYPERLINK(CONCATENATE("#metadata!", ADDRESS(INDEX($W$2:$W$1001,MATCH(ROWS($U$2:U32),$U$2:$U$1001,0),0), INDEX($AB$1004:$AQ$1004,1,MATCH(COLUMNS($AB$1006:AF1006),$AB$1006:$AQ$1006,0)))),"Fix")))</f>
        <v>0</v>
      </c>
      <c r="G32" s="4">
        <f>IF(OR(INDEX($V$2:$V$1001,MATCH(ROWS($U$2:U32),$U$2:$U$1001,0),1)&gt;=100000,INDEX($AB$1005:$AQ$1005,1,MATCH(COLUMNS($AB$1006:AG1006),$AB$1006:$AQ$1006,0))&gt;=100000), " ",IF(INDEX($AB$2:$AQ$1001,MATCH(ROWS($U$2:U32),$U$2:$U$1001,0),MATCH(COLUMNS($AB$1006:AG1006),$AB$1006:$AQ$1006,0)), HYPERLINK("#",""), HYPERLINK(CONCATENATE("#metadata!", ADDRESS(INDEX($W$2:$W$1001,MATCH(ROWS($U$2:U32),$U$2:$U$1001,0),0), INDEX($AB$1004:$AQ$1004,1,MATCH(COLUMNS($AB$1006:AG1006),$AB$1006:$AQ$1006,0)))),"Fix")))</f>
        <v>0</v>
      </c>
      <c r="H32" s="4">
        <f>IF(OR(INDEX($V$2:$V$1001,MATCH(ROWS($U$2:U32),$U$2:$U$1001,0),1)&gt;=100000,INDEX($AB$1005:$AQ$1005,1,MATCH(COLUMNS($AB$1006:AH1006),$AB$1006:$AQ$1006,0))&gt;=100000), " ",IF(INDEX($AB$2:$AQ$1001,MATCH(ROWS($U$2:U32),$U$2:$U$1001,0),MATCH(COLUMNS($AB$1006:AH1006),$AB$1006:$AQ$1006,0)), HYPERLINK("#",""), HYPERLINK(CONCATENATE("#metadata!", ADDRESS(INDEX($W$2:$W$1001,MATCH(ROWS($U$2:U32),$U$2:$U$1001,0),0), INDEX($AB$1004:$AQ$1004,1,MATCH(COLUMNS($AB$1006:AH1006),$AB$1006:$AQ$1006,0)))),"Fix")))</f>
        <v>0</v>
      </c>
      <c r="I32" s="4">
        <f>IF(OR(INDEX($V$2:$V$1001,MATCH(ROWS($U$2:U32),$U$2:$U$1001,0),1)&gt;=100000,INDEX($AB$1005:$AQ$1005,1,MATCH(COLUMNS($AB$1006:AI1006),$AB$1006:$AQ$1006,0))&gt;=100000), " ",IF(INDEX($AB$2:$AQ$1001,MATCH(ROWS($U$2:U32),$U$2:$U$1001,0),MATCH(COLUMNS($AB$1006:AI1006),$AB$1006:$AQ$1006,0)), HYPERLINK("#",""), HYPERLINK(CONCATENATE("#metadata!", ADDRESS(INDEX($W$2:$W$1001,MATCH(ROWS($U$2:U32),$U$2:$U$1001,0),0), INDEX($AB$1004:$AQ$1004,1,MATCH(COLUMNS($AB$1006:AI1006),$AB$1006:$AQ$1006,0)))),"Fix")))</f>
        <v>0</v>
      </c>
      <c r="J32" s="4">
        <f>IF(OR(INDEX($V$2:$V$1001,MATCH(ROWS($U$2:U32),$U$2:$U$1001,0),1)&gt;=100000,INDEX($AB$1005:$AQ$1005,1,MATCH(COLUMNS($AB$1006:AJ1006),$AB$1006:$AQ$1006,0))&gt;=100000), " ",IF(INDEX($AB$2:$AQ$1001,MATCH(ROWS($U$2:U32),$U$2:$U$1001,0),MATCH(COLUMNS($AB$1006:AJ1006),$AB$1006:$AQ$1006,0)), HYPERLINK("#",""), HYPERLINK(CONCATENATE("#metadata!", ADDRESS(INDEX($W$2:$W$1001,MATCH(ROWS($U$2:U32),$U$2:$U$1001,0),0), INDEX($AB$1004:$AQ$1004,1,MATCH(COLUMNS($AB$1006:AJ1006),$AB$1006:$AQ$1006,0)))),"Fix")))</f>
        <v>0</v>
      </c>
      <c r="K32" s="4">
        <f>IF(OR(INDEX($V$2:$V$1001,MATCH(ROWS($U$2:U32),$U$2:$U$1001,0),1)&gt;=100000,INDEX($AB$1005:$AQ$1005,1,MATCH(COLUMNS($AB$1006:AK1006),$AB$1006:$AQ$1006,0))&gt;=100000), " ",IF(INDEX($AB$2:$AQ$1001,MATCH(ROWS($U$2:U32),$U$2:$U$1001,0),MATCH(COLUMNS($AB$1006:AK1006),$AB$1006:$AQ$1006,0)), HYPERLINK("#",""), HYPERLINK(CONCATENATE("#metadata!", ADDRESS(INDEX($W$2:$W$1001,MATCH(ROWS($U$2:U32),$U$2:$U$1001,0),0), INDEX($AB$1004:$AQ$1004,1,MATCH(COLUMNS($AB$1006:AK1006),$AB$1006:$AQ$1006,0)))),"Fix")))</f>
        <v>0</v>
      </c>
      <c r="L32" s="4">
        <f>IF(OR(INDEX($V$2:$V$1001,MATCH(ROWS($U$2:U32),$U$2:$U$1001,0),1)&gt;=100000,INDEX($AB$1005:$AQ$1005,1,MATCH(COLUMNS($AB$1006:AL1006),$AB$1006:$AQ$1006,0))&gt;=100000), " ",IF(INDEX($AB$2:$AQ$1001,MATCH(ROWS($U$2:U32),$U$2:$U$1001,0),MATCH(COLUMNS($AB$1006:AL1006),$AB$1006:$AQ$1006,0)), HYPERLINK("#",""), HYPERLINK(CONCATENATE("#metadata!", ADDRESS(INDEX($W$2:$W$1001,MATCH(ROWS($U$2:U32),$U$2:$U$1001,0),0), INDEX($AB$1004:$AQ$1004,1,MATCH(COLUMNS($AB$1006:AL1006),$AB$1006:$AQ$1006,0)))),"Fix")))</f>
        <v>0</v>
      </c>
      <c r="M32" s="4">
        <f>IF(OR(INDEX($V$2:$V$1001,MATCH(ROWS($U$2:U32),$U$2:$U$1001,0),1)&gt;=100000,INDEX($AB$1005:$AQ$1005,1,MATCH(COLUMNS($AB$1006:AM1006),$AB$1006:$AQ$1006,0))&gt;=100000), " ",IF(INDEX($AB$2:$AQ$1001,MATCH(ROWS($U$2:U32),$U$2:$U$1001,0),MATCH(COLUMNS($AB$1006:AM1006),$AB$1006:$AQ$1006,0)), HYPERLINK("#",""), HYPERLINK(CONCATENATE("#metadata!", ADDRESS(INDEX($W$2:$W$1001,MATCH(ROWS($U$2:U32),$U$2:$U$1001,0),0), INDEX($AB$1004:$AQ$1004,1,MATCH(COLUMNS($AB$1006:AM1006),$AB$1006:$AQ$1006,0)))),"Fix")))</f>
        <v>0</v>
      </c>
      <c r="N32" s="4">
        <f>IF(OR(INDEX($V$2:$V$1001,MATCH(ROWS($U$2:U32),$U$2:$U$1001,0),1)&gt;=100000,INDEX($AB$1005:$AQ$1005,1,MATCH(COLUMNS($AB$1006:AN1006),$AB$1006:$AQ$1006,0))&gt;=100000), " ",IF(INDEX($AB$2:$AQ$1001,MATCH(ROWS($U$2:U32),$U$2:$U$1001,0),MATCH(COLUMNS($AB$1006:AN1006),$AB$1006:$AQ$1006,0)), HYPERLINK("#",""), HYPERLINK(CONCATENATE("#metadata!", ADDRESS(INDEX($W$2:$W$1001,MATCH(ROWS($U$2:U32),$U$2:$U$1001,0),0), INDEX($AB$1004:$AQ$1004,1,MATCH(COLUMNS($AB$1006:AN1006),$AB$1006:$AQ$1006,0)))),"Fix")))</f>
        <v>0</v>
      </c>
      <c r="O32" s="4">
        <f>IF(OR(INDEX($V$2:$V$1001,MATCH(ROWS($U$2:U32),$U$2:$U$1001,0),1)&gt;=100000,INDEX($AB$1005:$AQ$1005,1,MATCH(COLUMNS($AB$1006:AO1006),$AB$1006:$AQ$1006,0))&gt;=100000), " ",IF(INDEX($AB$2:$AQ$1001,MATCH(ROWS($U$2:U32),$U$2:$U$1001,0),MATCH(COLUMNS($AB$1006:AO1006),$AB$1006:$AQ$1006,0)), HYPERLINK("#",""), HYPERLINK(CONCATENATE("#metadata!", ADDRESS(INDEX($W$2:$W$1001,MATCH(ROWS($U$2:U32),$U$2:$U$1001,0),0), INDEX($AB$1004:$AQ$1004,1,MATCH(COLUMNS($AB$1006:AO1006),$AB$1006:$AQ$1006,0)))),"Fix")))</f>
        <v>0</v>
      </c>
      <c r="P32" s="4">
        <f>IF(OR(INDEX($V$2:$V$1001,MATCH(ROWS($U$2:U32),$U$2:$U$1001,0),1)&gt;=100000,INDEX($AB$1005:$AQ$1005,1,MATCH(COLUMNS($AB$1006:AP1006),$AB$1006:$AQ$1006,0))&gt;=100000), " ",IF(INDEX($AB$2:$AQ$1001,MATCH(ROWS($U$2:U32),$U$2:$U$1001,0),MATCH(COLUMNS($AB$1006:AP1006),$AB$1006:$AQ$1006,0)), HYPERLINK("#",""), HYPERLINK(CONCATENATE("#metadata!", ADDRESS(INDEX($W$2:$W$1001,MATCH(ROWS($U$2:U32),$U$2:$U$1001,0),0), INDEX($AB$1004:$AQ$1004,1,MATCH(COLUMNS($AB$1006:AP1006),$AB$1006:$AQ$1006,0)))),"Fix")))</f>
        <v>0</v>
      </c>
      <c r="Q32" s="4">
        <f>IF(OR(INDEX($V$2:$V$1001,MATCH(ROWS($U$2:U32),$U$2:$U$1001,0),1)&gt;=100000,INDEX($AB$1005:$AQ$1005,1,MATCH(COLUMNS($AB$1006:AQ1006),$AB$1006:$AQ$1006,0))&gt;=100000), " ",IF(INDEX($AB$2:$AQ$1001,MATCH(ROWS($U$2:U32),$U$2:$U$1001,0),MATCH(COLUMNS($AB$1006:AQ1006),$AB$1006:$AQ$1006,0)), HYPERLINK("#",""), HYPERLINK(CONCATENATE("#metadata!", ADDRESS(INDEX($W$2:$W$1001,MATCH(ROWS($U$2:U32),$U$2:$U$1001,0),0), INDEX($AB$1004:$AQ$1004,1,MATCH(COLUMNS($AB$1006:AQ1006),$AB$1006:$AQ$1006,0)))),"Fix")))</f>
        <v>0</v>
      </c>
      <c r="U32">
        <v>0</v>
      </c>
      <c r="V32">
        <v>0</v>
      </c>
      <c r="W32">
        <v>0</v>
      </c>
      <c r="X32">
        <f>IF(Y32,TRUE,AND(AB32:AQ32))</f>
        <v>0</v>
      </c>
      <c r="Y32">
        <f>COUNTBLANK(metadata!B32:Q32)=COLUMNS(metadata!B32:Q32)</f>
        <v>0</v>
      </c>
      <c r="Z32">
        <v>0</v>
      </c>
      <c r="AB32">
        <f>AND(IF(metadata!B32="",FALSE,TRUE),COUNTIF(metadata!B:B, metadata!B32) = 1,NOT(ISERROR(SUMPRODUCT(SEARCH(MID(metadata!B32,ROW(INDIRECT("1:"&amp;LEN(metadata!B32))), 1),"0123456789abcdefghijklmnopqrstuvwxyzABCDEFGHIJKLMNOPQRSTUVWXYZ.")))))</f>
        <v>0</v>
      </c>
      <c r="AC32">
        <f>OR(AND(IF(metadata!C32="",FALSE,TRUE),OR(exact(metadata!C32,"missing: not collected"),exact(metadata!C32,"missing: not provided"),exact(metadata!C32,"missing: restricted access"))),AND(IF(metadata!C32="",FALSE,TRUE),AND(AND(IFERROR(INT(LEFT(metadata!C32,4))&gt;1900,FALSE),IFERROR(INT(LEFT(metadata!C32,4))&lt;=YEAR(NOW()),FALSE)), OR(MID(metadata!C32,5,1)="", AND(AND(MID(metadata!C32,5,1)="-",IFERROR(INT(MID(metadata!C32,6,1))&gt;=0,FALSE),IFERROR(INT(MID(metadata!C32,6,1))&lt;=1,FALSE),NOT(MID(metadata!C32,7,1)=""),IFERROR(INT(MID(metadata!C32,6,2))&gt;=1,FALSE),IFERROR(INT(MID(metadata!C32,6,2))&lt;=12,FALSE)), OR(MID(metadata!C32,8,1)="", AND(AND(MID(metadata!C32,8,1)="-",IFERROR(INT(MID(metadata!C32,9,1))&gt;=0,FALSE),IFERROR(INT(MID(metadata!C32,9,1))&lt;=3,FALSE),NOT(MID(metadata!C32,10,1)=""),IFERROR(INT(MID(metadata!C32,9,2))&gt;=1,FALSE),IFERROR(INT(MID(metadata!C32,9,2))&lt;=31,FALSE)), OR(MID(metadata!C32,11,1)="", AND(AND(MID(metadata!C32,11,1)=" ",IFERROR(INT(MID(metadata!C32,12,1))&gt;=0,FALSE),IFERROR(INT(MID(metadata!C32,12,1))&lt;=2,FALSE),NOT(MID(metadata!C32,13,1)=""),IFERROR(INT(MID(metadata!C32,12,2))&gt;=0,FALSE),IFERROR(INT(MID(metadata!C32,12,2))&lt;=23,FALSE)), OR(MID(metadata!C32,14,1)="", AND(AND(MID(metadata!C32,14,1)=":",IFERROR(INT(MID(metadata!C32,15,1))&gt;=0,FALSE),IFERROR(INT(MID(metadata!C32,15,1))&lt;=5,FALSE),NOT(MID(metadata!C32,16,1)=""),IFERROR(INT(MID(metadata!C32,15,2))&gt;=0,FALSE),IFERROR(INT(MID(metadata!C32,15,2))&lt;=59,FALSE)), OR(MID(metadata!C32,17,1)="", AND(AND(MID(metadata!C32,17,1)=":",IFERROR(INT(MID(metadata!C32,18,1))&gt;=0,FALSE),IFERROR(INT(MID(metadata!C32,18,1))&lt;=5,FALSE),NOT(MID(metadata!C32,19,1)=""),IFERROR(INT(MID(metadata!C32,18,2))&gt;=0,FALSE),IFERROR(INT(MID(metadata!C32,18,2))&lt;=59,FALSE)), LEN(metadata!C32)&lt;=19)))))))))))))</f>
        <v>0</v>
      </c>
      <c r="AD32">
        <f>IF(metadata!D32="",FALSE,TRUE)</f>
        <v>0</v>
      </c>
      <c r="AE32">
        <f>OR(AND(IF(metadata!E32="",FALSE,TRUE),OR(exact(metadata!E32,"missing: not collected"),exact(metadata!E32,"missing: not provided"))),AND(IF(metadata!E32="",FALSE,TRUE),OR(exact(metadata!E32,"TRUE"),exact(metadata!E32,"FALSE"))))</f>
        <v>0</v>
      </c>
      <c r="AF32">
        <f>IF(metadata!F32="",FALSE,TRUE)</f>
        <v>0</v>
      </c>
      <c r="AG32">
        <f>IF(metadata!G32="",FALSE,TRUE)</f>
        <v>0</v>
      </c>
      <c r="AH32">
        <f>IF(metadata!H32="",FALSE,TRUE)</f>
        <v>0</v>
      </c>
      <c r="AI32">
        <f>OR(AND(IF(metadata!I32="",FALSE,TRUE),OR(exact(metadata!I32,"missing: not collected"),exact(metadata!I32,"missing: not provided"),exact(metadata!I32,"missing: restricted access"))),AND(IF(metadata!I32="",FALSE,TRUE),OR(exact(metadata!I32,"air"),exact(metadata!I32,"built environment"),exact(metadata!I32,"host-associated"),exact(metadata!I32,"human-associated"),exact(metadata!I32,"human-skin"),exact(metadata!I32,"human-oral"),exact(metadata!I32,"human-gut"),exact(metadata!I32,"human-vaginal"),exact(metadata!I32,"microbial mat/biofilm"),exact(metadata!I32,"misc environment"),exact(metadata!I32,"plant-associated"),exact(metadata!I32,"sediment"),exact(metadata!I32,"soil"),exact(metadata!I32,"wastewater/sludge"),exact(metadata!I32,"water"))))</f>
        <v>0</v>
      </c>
      <c r="AJ32">
        <f>IF(metadata!J32="",FALSE,TRUE)</f>
        <v>0</v>
      </c>
      <c r="AK32">
        <f>OR(AND(IF(metadata!K32="",FALSE,TRUE),OR(exact(metadata!K32,"missing: not collected"),exact(metadata!K32,"missing: not provided"),exact(metadata!K32,"missing: restricted access"))),AND(IF(metadata!K32="",FALSE,ISNUMBER(VALUE(metadata!K32))),metadata!K32&gt;=-90.00,metadata!K32&lt;=90.00))</f>
        <v>0</v>
      </c>
      <c r="AL32">
        <f>OR(AND(IF(metadata!L32="",FALSE,TRUE),OR(exact(metadata!L32,"missing: not collected"),exact(metadata!L32,"missing: not provided"),exact(metadata!L32,"missing: restricted access"))),AND(IF(metadata!L32="",FALSE,ISNUMBER(VALUE(metadata!L32))),metadata!L32&gt;=-180.00,metadata!L32&lt;=180.00))</f>
        <v>0</v>
      </c>
      <c r="AM32">
        <f>IF(metadata!M32="",FALSE,TRUE)</f>
        <v>0</v>
      </c>
      <c r="AN32">
        <f>OR(AND(IF(metadata!N32="",FALSE,TRUE),OR(exact(metadata!N32,"missing: not collected"),exact(metadata!N32,"missing: not provided"),exact(metadata!N32,"missing: restricted access"))),AND(IF(metadata!N32="",FALSE,TRUE),OR(exact(metadata!N32,"TRUE"),exact(metadata!N32,"FALSE"))))</f>
        <v>0</v>
      </c>
      <c r="AO32">
        <f>IF(metadata!O32="",FALSE,TRUE)</f>
        <v>0</v>
      </c>
      <c r="AP32">
        <f>OR(AND(IF(metadata!P32="",FALSE,TRUE),OR(exact(metadata!P32,"missing: not collected"),exact(metadata!P32,"missing: not provided"))),AND(IF(metadata!P32="",FALSE,IF(ISERROR(INT(metadata!P32)),FALSE,INT(metadata!P32)=metadata!P32)),metadata!P32&gt;0))</f>
        <v>0</v>
      </c>
      <c r="AQ32">
        <f>IF(metadata!Q32="",FALSE,TRUE)</f>
        <v>0</v>
      </c>
    </row>
    <row r="33" spans="1:43">
      <c r="A33" s="5">
        <f>IF(B33=" "," ",HYPERLINK(CONCATENATE("#metadata!",ADDRESS(INDEX($W$2:$W$1001,MATCH(ROWS($U$2:U33),$U$2:$U$1001,0),0),1)),INDEX($Z$2:$Z$1001,MATCH(ROWS($U$2:U33),$U$2:$U$1001,0),0)))</f>
        <v>0</v>
      </c>
      <c r="B33" s="4">
        <f>IF(OR(INDEX($V$2:$V$1001,MATCH(ROWS($U$2:U33),$U$2:$U$1001,0),1)&gt;=100000,INDEX($AB$1005:$AQ$1005,1,MATCH(COLUMNS($AB$1006:AB1006),$AB$1006:$AQ$1006,0))&gt;=100000), " ",IF(INDEX($AB$2:$AQ$1001,MATCH(ROWS($U$2:U33),$U$2:$U$1001,0),MATCH(COLUMNS($AB$1006:AB1006),$AB$1006:$AQ$1006,0)), HYPERLINK("#",""), HYPERLINK(CONCATENATE("#metadata!", ADDRESS(INDEX($W$2:$W$1001,MATCH(ROWS($U$2:U33),$U$2:$U$1001,0),0), INDEX($AB$1004:$AQ$1004,1,MATCH(COLUMNS($AB$1006:AB1006),$AB$1006:$AQ$1006,0)))),"Fix")))</f>
        <v>0</v>
      </c>
      <c r="C33" s="4">
        <f>IF(OR(INDEX($V$2:$V$1001,MATCH(ROWS($U$2:U33),$U$2:$U$1001,0),1)&gt;=100000,INDEX($AB$1005:$AQ$1005,1,MATCH(COLUMNS($AB$1006:AC1006),$AB$1006:$AQ$1006,0))&gt;=100000), " ",IF(INDEX($AB$2:$AQ$1001,MATCH(ROWS($U$2:U33),$U$2:$U$1001,0),MATCH(COLUMNS($AB$1006:AC1006),$AB$1006:$AQ$1006,0)), HYPERLINK("#",""), HYPERLINK(CONCATENATE("#metadata!", ADDRESS(INDEX($W$2:$W$1001,MATCH(ROWS($U$2:U33),$U$2:$U$1001,0),0), INDEX($AB$1004:$AQ$1004,1,MATCH(COLUMNS($AB$1006:AC1006),$AB$1006:$AQ$1006,0)))),"Fix")))</f>
        <v>0</v>
      </c>
      <c r="D33" s="4">
        <f>IF(OR(INDEX($V$2:$V$1001,MATCH(ROWS($U$2:U33),$U$2:$U$1001,0),1)&gt;=100000,INDEX($AB$1005:$AQ$1005,1,MATCH(COLUMNS($AB$1006:AD1006),$AB$1006:$AQ$1006,0))&gt;=100000), " ",IF(INDEX($AB$2:$AQ$1001,MATCH(ROWS($U$2:U33),$U$2:$U$1001,0),MATCH(COLUMNS($AB$1006:AD1006),$AB$1006:$AQ$1006,0)), HYPERLINK("#",""), HYPERLINK(CONCATENATE("#metadata!", ADDRESS(INDEX($W$2:$W$1001,MATCH(ROWS($U$2:U33),$U$2:$U$1001,0),0), INDEX($AB$1004:$AQ$1004,1,MATCH(COLUMNS($AB$1006:AD1006),$AB$1006:$AQ$1006,0)))),"Fix")))</f>
        <v>0</v>
      </c>
      <c r="E33" s="4">
        <f>IF(OR(INDEX($V$2:$V$1001,MATCH(ROWS($U$2:U33),$U$2:$U$1001,0),1)&gt;=100000,INDEX($AB$1005:$AQ$1005,1,MATCH(COLUMNS($AB$1006:AE1006),$AB$1006:$AQ$1006,0))&gt;=100000), " ",IF(INDEX($AB$2:$AQ$1001,MATCH(ROWS($U$2:U33),$U$2:$U$1001,0),MATCH(COLUMNS($AB$1006:AE1006),$AB$1006:$AQ$1006,0)), HYPERLINK("#",""), HYPERLINK(CONCATENATE("#metadata!", ADDRESS(INDEX($W$2:$W$1001,MATCH(ROWS($U$2:U33),$U$2:$U$1001,0),0), INDEX($AB$1004:$AQ$1004,1,MATCH(COLUMNS($AB$1006:AE1006),$AB$1006:$AQ$1006,0)))),"Fix")))</f>
        <v>0</v>
      </c>
      <c r="F33" s="4">
        <f>IF(OR(INDEX($V$2:$V$1001,MATCH(ROWS($U$2:U33),$U$2:$U$1001,0),1)&gt;=100000,INDEX($AB$1005:$AQ$1005,1,MATCH(COLUMNS($AB$1006:AF1006),$AB$1006:$AQ$1006,0))&gt;=100000), " ",IF(INDEX($AB$2:$AQ$1001,MATCH(ROWS($U$2:U33),$U$2:$U$1001,0),MATCH(COLUMNS($AB$1006:AF1006),$AB$1006:$AQ$1006,0)), HYPERLINK("#",""), HYPERLINK(CONCATENATE("#metadata!", ADDRESS(INDEX($W$2:$W$1001,MATCH(ROWS($U$2:U33),$U$2:$U$1001,0),0), INDEX($AB$1004:$AQ$1004,1,MATCH(COLUMNS($AB$1006:AF1006),$AB$1006:$AQ$1006,0)))),"Fix")))</f>
        <v>0</v>
      </c>
      <c r="G33" s="4">
        <f>IF(OR(INDEX($V$2:$V$1001,MATCH(ROWS($U$2:U33),$U$2:$U$1001,0),1)&gt;=100000,INDEX($AB$1005:$AQ$1005,1,MATCH(COLUMNS($AB$1006:AG1006),$AB$1006:$AQ$1006,0))&gt;=100000), " ",IF(INDEX($AB$2:$AQ$1001,MATCH(ROWS($U$2:U33),$U$2:$U$1001,0),MATCH(COLUMNS($AB$1006:AG1006),$AB$1006:$AQ$1006,0)), HYPERLINK("#",""), HYPERLINK(CONCATENATE("#metadata!", ADDRESS(INDEX($W$2:$W$1001,MATCH(ROWS($U$2:U33),$U$2:$U$1001,0),0), INDEX($AB$1004:$AQ$1004,1,MATCH(COLUMNS($AB$1006:AG1006),$AB$1006:$AQ$1006,0)))),"Fix")))</f>
        <v>0</v>
      </c>
      <c r="H33" s="4">
        <f>IF(OR(INDEX($V$2:$V$1001,MATCH(ROWS($U$2:U33),$U$2:$U$1001,0),1)&gt;=100000,INDEX($AB$1005:$AQ$1005,1,MATCH(COLUMNS($AB$1006:AH1006),$AB$1006:$AQ$1006,0))&gt;=100000), " ",IF(INDEX($AB$2:$AQ$1001,MATCH(ROWS($U$2:U33),$U$2:$U$1001,0),MATCH(COLUMNS($AB$1006:AH1006),$AB$1006:$AQ$1006,0)), HYPERLINK("#",""), HYPERLINK(CONCATENATE("#metadata!", ADDRESS(INDEX($W$2:$W$1001,MATCH(ROWS($U$2:U33),$U$2:$U$1001,0),0), INDEX($AB$1004:$AQ$1004,1,MATCH(COLUMNS($AB$1006:AH1006),$AB$1006:$AQ$1006,0)))),"Fix")))</f>
        <v>0</v>
      </c>
      <c r="I33" s="4">
        <f>IF(OR(INDEX($V$2:$V$1001,MATCH(ROWS($U$2:U33),$U$2:$U$1001,0),1)&gt;=100000,INDEX($AB$1005:$AQ$1005,1,MATCH(COLUMNS($AB$1006:AI1006),$AB$1006:$AQ$1006,0))&gt;=100000), " ",IF(INDEX($AB$2:$AQ$1001,MATCH(ROWS($U$2:U33),$U$2:$U$1001,0),MATCH(COLUMNS($AB$1006:AI1006),$AB$1006:$AQ$1006,0)), HYPERLINK("#",""), HYPERLINK(CONCATENATE("#metadata!", ADDRESS(INDEX($W$2:$W$1001,MATCH(ROWS($U$2:U33),$U$2:$U$1001,0),0), INDEX($AB$1004:$AQ$1004,1,MATCH(COLUMNS($AB$1006:AI1006),$AB$1006:$AQ$1006,0)))),"Fix")))</f>
        <v>0</v>
      </c>
      <c r="J33" s="4">
        <f>IF(OR(INDEX($V$2:$V$1001,MATCH(ROWS($U$2:U33),$U$2:$U$1001,0),1)&gt;=100000,INDEX($AB$1005:$AQ$1005,1,MATCH(COLUMNS($AB$1006:AJ1006),$AB$1006:$AQ$1006,0))&gt;=100000), " ",IF(INDEX($AB$2:$AQ$1001,MATCH(ROWS($U$2:U33),$U$2:$U$1001,0),MATCH(COLUMNS($AB$1006:AJ1006),$AB$1006:$AQ$1006,0)), HYPERLINK("#",""), HYPERLINK(CONCATENATE("#metadata!", ADDRESS(INDEX($W$2:$W$1001,MATCH(ROWS($U$2:U33),$U$2:$U$1001,0),0), INDEX($AB$1004:$AQ$1004,1,MATCH(COLUMNS($AB$1006:AJ1006),$AB$1006:$AQ$1006,0)))),"Fix")))</f>
        <v>0</v>
      </c>
      <c r="K33" s="4">
        <f>IF(OR(INDEX($V$2:$V$1001,MATCH(ROWS($U$2:U33),$U$2:$U$1001,0),1)&gt;=100000,INDEX($AB$1005:$AQ$1005,1,MATCH(COLUMNS($AB$1006:AK1006),$AB$1006:$AQ$1006,0))&gt;=100000), " ",IF(INDEX($AB$2:$AQ$1001,MATCH(ROWS($U$2:U33),$U$2:$U$1001,0),MATCH(COLUMNS($AB$1006:AK1006),$AB$1006:$AQ$1006,0)), HYPERLINK("#",""), HYPERLINK(CONCATENATE("#metadata!", ADDRESS(INDEX($W$2:$W$1001,MATCH(ROWS($U$2:U33),$U$2:$U$1001,0),0), INDEX($AB$1004:$AQ$1004,1,MATCH(COLUMNS($AB$1006:AK1006),$AB$1006:$AQ$1006,0)))),"Fix")))</f>
        <v>0</v>
      </c>
      <c r="L33" s="4">
        <f>IF(OR(INDEX($V$2:$V$1001,MATCH(ROWS($U$2:U33),$U$2:$U$1001,0),1)&gt;=100000,INDEX($AB$1005:$AQ$1005,1,MATCH(COLUMNS($AB$1006:AL1006),$AB$1006:$AQ$1006,0))&gt;=100000), " ",IF(INDEX($AB$2:$AQ$1001,MATCH(ROWS($U$2:U33),$U$2:$U$1001,0),MATCH(COLUMNS($AB$1006:AL1006),$AB$1006:$AQ$1006,0)), HYPERLINK("#",""), HYPERLINK(CONCATENATE("#metadata!", ADDRESS(INDEX($W$2:$W$1001,MATCH(ROWS($U$2:U33),$U$2:$U$1001,0),0), INDEX($AB$1004:$AQ$1004,1,MATCH(COLUMNS($AB$1006:AL1006),$AB$1006:$AQ$1006,0)))),"Fix")))</f>
        <v>0</v>
      </c>
      <c r="M33" s="4">
        <f>IF(OR(INDEX($V$2:$V$1001,MATCH(ROWS($U$2:U33),$U$2:$U$1001,0),1)&gt;=100000,INDEX($AB$1005:$AQ$1005,1,MATCH(COLUMNS($AB$1006:AM1006),$AB$1006:$AQ$1006,0))&gt;=100000), " ",IF(INDEX($AB$2:$AQ$1001,MATCH(ROWS($U$2:U33),$U$2:$U$1001,0),MATCH(COLUMNS($AB$1006:AM1006),$AB$1006:$AQ$1006,0)), HYPERLINK("#",""), HYPERLINK(CONCATENATE("#metadata!", ADDRESS(INDEX($W$2:$W$1001,MATCH(ROWS($U$2:U33),$U$2:$U$1001,0),0), INDEX($AB$1004:$AQ$1004,1,MATCH(COLUMNS($AB$1006:AM1006),$AB$1006:$AQ$1006,0)))),"Fix")))</f>
        <v>0</v>
      </c>
      <c r="N33" s="4">
        <f>IF(OR(INDEX($V$2:$V$1001,MATCH(ROWS($U$2:U33),$U$2:$U$1001,0),1)&gt;=100000,INDEX($AB$1005:$AQ$1005,1,MATCH(COLUMNS($AB$1006:AN1006),$AB$1006:$AQ$1006,0))&gt;=100000), " ",IF(INDEX($AB$2:$AQ$1001,MATCH(ROWS($U$2:U33),$U$2:$U$1001,0),MATCH(COLUMNS($AB$1006:AN1006),$AB$1006:$AQ$1006,0)), HYPERLINK("#",""), HYPERLINK(CONCATENATE("#metadata!", ADDRESS(INDEX($W$2:$W$1001,MATCH(ROWS($U$2:U33),$U$2:$U$1001,0),0), INDEX($AB$1004:$AQ$1004,1,MATCH(COLUMNS($AB$1006:AN1006),$AB$1006:$AQ$1006,0)))),"Fix")))</f>
        <v>0</v>
      </c>
      <c r="O33" s="4">
        <f>IF(OR(INDEX($V$2:$V$1001,MATCH(ROWS($U$2:U33),$U$2:$U$1001,0),1)&gt;=100000,INDEX($AB$1005:$AQ$1005,1,MATCH(COLUMNS($AB$1006:AO1006),$AB$1006:$AQ$1006,0))&gt;=100000), " ",IF(INDEX($AB$2:$AQ$1001,MATCH(ROWS($U$2:U33),$U$2:$U$1001,0),MATCH(COLUMNS($AB$1006:AO1006),$AB$1006:$AQ$1006,0)), HYPERLINK("#",""), HYPERLINK(CONCATENATE("#metadata!", ADDRESS(INDEX($W$2:$W$1001,MATCH(ROWS($U$2:U33),$U$2:$U$1001,0),0), INDEX($AB$1004:$AQ$1004,1,MATCH(COLUMNS($AB$1006:AO1006),$AB$1006:$AQ$1006,0)))),"Fix")))</f>
        <v>0</v>
      </c>
      <c r="P33" s="4">
        <f>IF(OR(INDEX($V$2:$V$1001,MATCH(ROWS($U$2:U33),$U$2:$U$1001,0),1)&gt;=100000,INDEX($AB$1005:$AQ$1005,1,MATCH(COLUMNS($AB$1006:AP1006),$AB$1006:$AQ$1006,0))&gt;=100000), " ",IF(INDEX($AB$2:$AQ$1001,MATCH(ROWS($U$2:U33),$U$2:$U$1001,0),MATCH(COLUMNS($AB$1006:AP1006),$AB$1006:$AQ$1006,0)), HYPERLINK("#",""), HYPERLINK(CONCATENATE("#metadata!", ADDRESS(INDEX($W$2:$W$1001,MATCH(ROWS($U$2:U33),$U$2:$U$1001,0),0), INDEX($AB$1004:$AQ$1004,1,MATCH(COLUMNS($AB$1006:AP1006),$AB$1006:$AQ$1006,0)))),"Fix")))</f>
        <v>0</v>
      </c>
      <c r="Q33" s="4">
        <f>IF(OR(INDEX($V$2:$V$1001,MATCH(ROWS($U$2:U33),$U$2:$U$1001,0),1)&gt;=100000,INDEX($AB$1005:$AQ$1005,1,MATCH(COLUMNS($AB$1006:AQ1006),$AB$1006:$AQ$1006,0))&gt;=100000), " ",IF(INDEX($AB$2:$AQ$1001,MATCH(ROWS($U$2:U33),$U$2:$U$1001,0),MATCH(COLUMNS($AB$1006:AQ1006),$AB$1006:$AQ$1006,0)), HYPERLINK("#",""), HYPERLINK(CONCATENATE("#metadata!", ADDRESS(INDEX($W$2:$W$1001,MATCH(ROWS($U$2:U33),$U$2:$U$1001,0),0), INDEX($AB$1004:$AQ$1004,1,MATCH(COLUMNS($AB$1006:AQ1006),$AB$1006:$AQ$1006,0)))),"Fix")))</f>
        <v>0</v>
      </c>
      <c r="U33">
        <v>0</v>
      </c>
      <c r="V33">
        <v>0</v>
      </c>
      <c r="W33">
        <v>0</v>
      </c>
      <c r="X33">
        <f>IF(Y33,TRUE,AND(AB33:AQ33))</f>
        <v>0</v>
      </c>
      <c r="Y33">
        <f>COUNTBLANK(metadata!B33:Q33)=COLUMNS(metadata!B33:Q33)</f>
        <v>0</v>
      </c>
      <c r="Z33">
        <v>0</v>
      </c>
      <c r="AB33">
        <f>AND(IF(metadata!B33="",FALSE,TRUE),COUNTIF(metadata!B:B, metadata!B33) = 1,NOT(ISERROR(SUMPRODUCT(SEARCH(MID(metadata!B33,ROW(INDIRECT("1:"&amp;LEN(metadata!B33))), 1),"0123456789abcdefghijklmnopqrstuvwxyzABCDEFGHIJKLMNOPQRSTUVWXYZ.")))))</f>
        <v>0</v>
      </c>
      <c r="AC33">
        <f>OR(AND(IF(metadata!C33="",FALSE,TRUE),OR(exact(metadata!C33,"missing: not collected"),exact(metadata!C33,"missing: not provided"),exact(metadata!C33,"missing: restricted access"))),AND(IF(metadata!C33="",FALSE,TRUE),AND(AND(IFERROR(INT(LEFT(metadata!C33,4))&gt;1900,FALSE),IFERROR(INT(LEFT(metadata!C33,4))&lt;=YEAR(NOW()),FALSE)), OR(MID(metadata!C33,5,1)="", AND(AND(MID(metadata!C33,5,1)="-",IFERROR(INT(MID(metadata!C33,6,1))&gt;=0,FALSE),IFERROR(INT(MID(metadata!C33,6,1))&lt;=1,FALSE),NOT(MID(metadata!C33,7,1)=""),IFERROR(INT(MID(metadata!C33,6,2))&gt;=1,FALSE),IFERROR(INT(MID(metadata!C33,6,2))&lt;=12,FALSE)), OR(MID(metadata!C33,8,1)="", AND(AND(MID(metadata!C33,8,1)="-",IFERROR(INT(MID(metadata!C33,9,1))&gt;=0,FALSE),IFERROR(INT(MID(metadata!C33,9,1))&lt;=3,FALSE),NOT(MID(metadata!C33,10,1)=""),IFERROR(INT(MID(metadata!C33,9,2))&gt;=1,FALSE),IFERROR(INT(MID(metadata!C33,9,2))&lt;=31,FALSE)), OR(MID(metadata!C33,11,1)="", AND(AND(MID(metadata!C33,11,1)=" ",IFERROR(INT(MID(metadata!C33,12,1))&gt;=0,FALSE),IFERROR(INT(MID(metadata!C33,12,1))&lt;=2,FALSE),NOT(MID(metadata!C33,13,1)=""),IFERROR(INT(MID(metadata!C33,12,2))&gt;=0,FALSE),IFERROR(INT(MID(metadata!C33,12,2))&lt;=23,FALSE)), OR(MID(metadata!C33,14,1)="", AND(AND(MID(metadata!C33,14,1)=":",IFERROR(INT(MID(metadata!C33,15,1))&gt;=0,FALSE),IFERROR(INT(MID(metadata!C33,15,1))&lt;=5,FALSE),NOT(MID(metadata!C33,16,1)=""),IFERROR(INT(MID(metadata!C33,15,2))&gt;=0,FALSE),IFERROR(INT(MID(metadata!C33,15,2))&lt;=59,FALSE)), OR(MID(metadata!C33,17,1)="", AND(AND(MID(metadata!C33,17,1)=":",IFERROR(INT(MID(metadata!C33,18,1))&gt;=0,FALSE),IFERROR(INT(MID(metadata!C33,18,1))&lt;=5,FALSE),NOT(MID(metadata!C33,19,1)=""),IFERROR(INT(MID(metadata!C33,18,2))&gt;=0,FALSE),IFERROR(INT(MID(metadata!C33,18,2))&lt;=59,FALSE)), LEN(metadata!C33)&lt;=19)))))))))))))</f>
        <v>0</v>
      </c>
      <c r="AD33">
        <f>IF(metadata!D33="",FALSE,TRUE)</f>
        <v>0</v>
      </c>
      <c r="AE33">
        <f>OR(AND(IF(metadata!E33="",FALSE,TRUE),OR(exact(metadata!E33,"missing: not collected"),exact(metadata!E33,"missing: not provided"))),AND(IF(metadata!E33="",FALSE,TRUE),OR(exact(metadata!E33,"TRUE"),exact(metadata!E33,"FALSE"))))</f>
        <v>0</v>
      </c>
      <c r="AF33">
        <f>IF(metadata!F33="",FALSE,TRUE)</f>
        <v>0</v>
      </c>
      <c r="AG33">
        <f>IF(metadata!G33="",FALSE,TRUE)</f>
        <v>0</v>
      </c>
      <c r="AH33">
        <f>IF(metadata!H33="",FALSE,TRUE)</f>
        <v>0</v>
      </c>
      <c r="AI33">
        <f>OR(AND(IF(metadata!I33="",FALSE,TRUE),OR(exact(metadata!I33,"missing: not collected"),exact(metadata!I33,"missing: not provided"),exact(metadata!I33,"missing: restricted access"))),AND(IF(metadata!I33="",FALSE,TRUE),OR(exact(metadata!I33,"air"),exact(metadata!I33,"built environment"),exact(metadata!I33,"host-associated"),exact(metadata!I33,"human-associated"),exact(metadata!I33,"human-skin"),exact(metadata!I33,"human-oral"),exact(metadata!I33,"human-gut"),exact(metadata!I33,"human-vaginal"),exact(metadata!I33,"microbial mat/biofilm"),exact(metadata!I33,"misc environment"),exact(metadata!I33,"plant-associated"),exact(metadata!I33,"sediment"),exact(metadata!I33,"soil"),exact(metadata!I33,"wastewater/sludge"),exact(metadata!I33,"water"))))</f>
        <v>0</v>
      </c>
      <c r="AJ33">
        <f>IF(metadata!J33="",FALSE,TRUE)</f>
        <v>0</v>
      </c>
      <c r="AK33">
        <f>OR(AND(IF(metadata!K33="",FALSE,TRUE),OR(exact(metadata!K33,"missing: not collected"),exact(metadata!K33,"missing: not provided"),exact(metadata!K33,"missing: restricted access"))),AND(IF(metadata!K33="",FALSE,ISNUMBER(VALUE(metadata!K33))),metadata!K33&gt;=-90.00,metadata!K33&lt;=90.00))</f>
        <v>0</v>
      </c>
      <c r="AL33">
        <f>OR(AND(IF(metadata!L33="",FALSE,TRUE),OR(exact(metadata!L33,"missing: not collected"),exact(metadata!L33,"missing: not provided"),exact(metadata!L33,"missing: restricted access"))),AND(IF(metadata!L33="",FALSE,ISNUMBER(VALUE(metadata!L33))),metadata!L33&gt;=-180.00,metadata!L33&lt;=180.00))</f>
        <v>0</v>
      </c>
      <c r="AM33">
        <f>IF(metadata!M33="",FALSE,TRUE)</f>
        <v>0</v>
      </c>
      <c r="AN33">
        <f>OR(AND(IF(metadata!N33="",FALSE,TRUE),OR(exact(metadata!N33,"missing: not collected"),exact(metadata!N33,"missing: not provided"),exact(metadata!N33,"missing: restricted access"))),AND(IF(metadata!N33="",FALSE,TRUE),OR(exact(metadata!N33,"TRUE"),exact(metadata!N33,"FALSE"))))</f>
        <v>0</v>
      </c>
      <c r="AO33">
        <f>IF(metadata!O33="",FALSE,TRUE)</f>
        <v>0</v>
      </c>
      <c r="AP33">
        <f>OR(AND(IF(metadata!P33="",FALSE,TRUE),OR(exact(metadata!P33,"missing: not collected"),exact(metadata!P33,"missing: not provided"))),AND(IF(metadata!P33="",FALSE,IF(ISERROR(INT(metadata!P33)),FALSE,INT(metadata!P33)=metadata!P33)),metadata!P33&gt;0))</f>
        <v>0</v>
      </c>
      <c r="AQ33">
        <f>IF(metadata!Q33="",FALSE,TRUE)</f>
        <v>0</v>
      </c>
    </row>
    <row r="34" spans="1:43">
      <c r="A34" s="5">
        <f>IF(B34=" "," ",HYPERLINK(CONCATENATE("#metadata!",ADDRESS(INDEX($W$2:$W$1001,MATCH(ROWS($U$2:U34),$U$2:$U$1001,0),0),1)),INDEX($Z$2:$Z$1001,MATCH(ROWS($U$2:U34),$U$2:$U$1001,0),0)))</f>
        <v>0</v>
      </c>
      <c r="B34" s="4">
        <f>IF(OR(INDEX($V$2:$V$1001,MATCH(ROWS($U$2:U34),$U$2:$U$1001,0),1)&gt;=100000,INDEX($AB$1005:$AQ$1005,1,MATCH(COLUMNS($AB$1006:AB1006),$AB$1006:$AQ$1006,0))&gt;=100000), " ",IF(INDEX($AB$2:$AQ$1001,MATCH(ROWS($U$2:U34),$U$2:$U$1001,0),MATCH(COLUMNS($AB$1006:AB1006),$AB$1006:$AQ$1006,0)), HYPERLINK("#",""), HYPERLINK(CONCATENATE("#metadata!", ADDRESS(INDEX($W$2:$W$1001,MATCH(ROWS($U$2:U34),$U$2:$U$1001,0),0), INDEX($AB$1004:$AQ$1004,1,MATCH(COLUMNS($AB$1006:AB1006),$AB$1006:$AQ$1006,0)))),"Fix")))</f>
        <v>0</v>
      </c>
      <c r="C34" s="4">
        <f>IF(OR(INDEX($V$2:$V$1001,MATCH(ROWS($U$2:U34),$U$2:$U$1001,0),1)&gt;=100000,INDEX($AB$1005:$AQ$1005,1,MATCH(COLUMNS($AB$1006:AC1006),$AB$1006:$AQ$1006,0))&gt;=100000), " ",IF(INDEX($AB$2:$AQ$1001,MATCH(ROWS($U$2:U34),$U$2:$U$1001,0),MATCH(COLUMNS($AB$1006:AC1006),$AB$1006:$AQ$1006,0)), HYPERLINK("#",""), HYPERLINK(CONCATENATE("#metadata!", ADDRESS(INDEX($W$2:$W$1001,MATCH(ROWS($U$2:U34),$U$2:$U$1001,0),0), INDEX($AB$1004:$AQ$1004,1,MATCH(COLUMNS($AB$1006:AC1006),$AB$1006:$AQ$1006,0)))),"Fix")))</f>
        <v>0</v>
      </c>
      <c r="D34" s="4">
        <f>IF(OR(INDEX($V$2:$V$1001,MATCH(ROWS($U$2:U34),$U$2:$U$1001,0),1)&gt;=100000,INDEX($AB$1005:$AQ$1005,1,MATCH(COLUMNS($AB$1006:AD1006),$AB$1006:$AQ$1006,0))&gt;=100000), " ",IF(INDEX($AB$2:$AQ$1001,MATCH(ROWS($U$2:U34),$U$2:$U$1001,0),MATCH(COLUMNS($AB$1006:AD1006),$AB$1006:$AQ$1006,0)), HYPERLINK("#",""), HYPERLINK(CONCATENATE("#metadata!", ADDRESS(INDEX($W$2:$W$1001,MATCH(ROWS($U$2:U34),$U$2:$U$1001,0),0), INDEX($AB$1004:$AQ$1004,1,MATCH(COLUMNS($AB$1006:AD1006),$AB$1006:$AQ$1006,0)))),"Fix")))</f>
        <v>0</v>
      </c>
      <c r="E34" s="4">
        <f>IF(OR(INDEX($V$2:$V$1001,MATCH(ROWS($U$2:U34),$U$2:$U$1001,0),1)&gt;=100000,INDEX($AB$1005:$AQ$1005,1,MATCH(COLUMNS($AB$1006:AE1006),$AB$1006:$AQ$1006,0))&gt;=100000), " ",IF(INDEX($AB$2:$AQ$1001,MATCH(ROWS($U$2:U34),$U$2:$U$1001,0),MATCH(COLUMNS($AB$1006:AE1006),$AB$1006:$AQ$1006,0)), HYPERLINK("#",""), HYPERLINK(CONCATENATE("#metadata!", ADDRESS(INDEX($W$2:$W$1001,MATCH(ROWS($U$2:U34),$U$2:$U$1001,0),0), INDEX($AB$1004:$AQ$1004,1,MATCH(COLUMNS($AB$1006:AE1006),$AB$1006:$AQ$1006,0)))),"Fix")))</f>
        <v>0</v>
      </c>
      <c r="F34" s="4">
        <f>IF(OR(INDEX($V$2:$V$1001,MATCH(ROWS($U$2:U34),$U$2:$U$1001,0),1)&gt;=100000,INDEX($AB$1005:$AQ$1005,1,MATCH(COLUMNS($AB$1006:AF1006),$AB$1006:$AQ$1006,0))&gt;=100000), " ",IF(INDEX($AB$2:$AQ$1001,MATCH(ROWS($U$2:U34),$U$2:$U$1001,0),MATCH(COLUMNS($AB$1006:AF1006),$AB$1006:$AQ$1006,0)), HYPERLINK("#",""), HYPERLINK(CONCATENATE("#metadata!", ADDRESS(INDEX($W$2:$W$1001,MATCH(ROWS($U$2:U34),$U$2:$U$1001,0),0), INDEX($AB$1004:$AQ$1004,1,MATCH(COLUMNS($AB$1006:AF1006),$AB$1006:$AQ$1006,0)))),"Fix")))</f>
        <v>0</v>
      </c>
      <c r="G34" s="4">
        <f>IF(OR(INDEX($V$2:$V$1001,MATCH(ROWS($U$2:U34),$U$2:$U$1001,0),1)&gt;=100000,INDEX($AB$1005:$AQ$1005,1,MATCH(COLUMNS($AB$1006:AG1006),$AB$1006:$AQ$1006,0))&gt;=100000), " ",IF(INDEX($AB$2:$AQ$1001,MATCH(ROWS($U$2:U34),$U$2:$U$1001,0),MATCH(COLUMNS($AB$1006:AG1006),$AB$1006:$AQ$1006,0)), HYPERLINK("#",""), HYPERLINK(CONCATENATE("#metadata!", ADDRESS(INDEX($W$2:$W$1001,MATCH(ROWS($U$2:U34),$U$2:$U$1001,0),0), INDEX($AB$1004:$AQ$1004,1,MATCH(COLUMNS($AB$1006:AG1006),$AB$1006:$AQ$1006,0)))),"Fix")))</f>
        <v>0</v>
      </c>
      <c r="H34" s="4">
        <f>IF(OR(INDEX($V$2:$V$1001,MATCH(ROWS($U$2:U34),$U$2:$U$1001,0),1)&gt;=100000,INDEX($AB$1005:$AQ$1005,1,MATCH(COLUMNS($AB$1006:AH1006),$AB$1006:$AQ$1006,0))&gt;=100000), " ",IF(INDEX($AB$2:$AQ$1001,MATCH(ROWS($U$2:U34),$U$2:$U$1001,0),MATCH(COLUMNS($AB$1006:AH1006),$AB$1006:$AQ$1006,0)), HYPERLINK("#",""), HYPERLINK(CONCATENATE("#metadata!", ADDRESS(INDEX($W$2:$W$1001,MATCH(ROWS($U$2:U34),$U$2:$U$1001,0),0), INDEX($AB$1004:$AQ$1004,1,MATCH(COLUMNS($AB$1006:AH1006),$AB$1006:$AQ$1006,0)))),"Fix")))</f>
        <v>0</v>
      </c>
      <c r="I34" s="4">
        <f>IF(OR(INDEX($V$2:$V$1001,MATCH(ROWS($U$2:U34),$U$2:$U$1001,0),1)&gt;=100000,INDEX($AB$1005:$AQ$1005,1,MATCH(COLUMNS($AB$1006:AI1006),$AB$1006:$AQ$1006,0))&gt;=100000), " ",IF(INDEX($AB$2:$AQ$1001,MATCH(ROWS($U$2:U34),$U$2:$U$1001,0),MATCH(COLUMNS($AB$1006:AI1006),$AB$1006:$AQ$1006,0)), HYPERLINK("#",""), HYPERLINK(CONCATENATE("#metadata!", ADDRESS(INDEX($W$2:$W$1001,MATCH(ROWS($U$2:U34),$U$2:$U$1001,0),0), INDEX($AB$1004:$AQ$1004,1,MATCH(COLUMNS($AB$1006:AI1006),$AB$1006:$AQ$1006,0)))),"Fix")))</f>
        <v>0</v>
      </c>
      <c r="J34" s="4">
        <f>IF(OR(INDEX($V$2:$V$1001,MATCH(ROWS($U$2:U34),$U$2:$U$1001,0),1)&gt;=100000,INDEX($AB$1005:$AQ$1005,1,MATCH(COLUMNS($AB$1006:AJ1006),$AB$1006:$AQ$1006,0))&gt;=100000), " ",IF(INDEX($AB$2:$AQ$1001,MATCH(ROWS($U$2:U34),$U$2:$U$1001,0),MATCH(COLUMNS($AB$1006:AJ1006),$AB$1006:$AQ$1006,0)), HYPERLINK("#",""), HYPERLINK(CONCATENATE("#metadata!", ADDRESS(INDEX($W$2:$W$1001,MATCH(ROWS($U$2:U34),$U$2:$U$1001,0),0), INDEX($AB$1004:$AQ$1004,1,MATCH(COLUMNS($AB$1006:AJ1006),$AB$1006:$AQ$1006,0)))),"Fix")))</f>
        <v>0</v>
      </c>
      <c r="K34" s="4">
        <f>IF(OR(INDEX($V$2:$V$1001,MATCH(ROWS($U$2:U34),$U$2:$U$1001,0),1)&gt;=100000,INDEX($AB$1005:$AQ$1005,1,MATCH(COLUMNS($AB$1006:AK1006),$AB$1006:$AQ$1006,0))&gt;=100000), " ",IF(INDEX($AB$2:$AQ$1001,MATCH(ROWS($U$2:U34),$U$2:$U$1001,0),MATCH(COLUMNS($AB$1006:AK1006),$AB$1006:$AQ$1006,0)), HYPERLINK("#",""), HYPERLINK(CONCATENATE("#metadata!", ADDRESS(INDEX($W$2:$W$1001,MATCH(ROWS($U$2:U34),$U$2:$U$1001,0),0), INDEX($AB$1004:$AQ$1004,1,MATCH(COLUMNS($AB$1006:AK1006),$AB$1006:$AQ$1006,0)))),"Fix")))</f>
        <v>0</v>
      </c>
      <c r="L34" s="4">
        <f>IF(OR(INDEX($V$2:$V$1001,MATCH(ROWS($U$2:U34),$U$2:$U$1001,0),1)&gt;=100000,INDEX($AB$1005:$AQ$1005,1,MATCH(COLUMNS($AB$1006:AL1006),$AB$1006:$AQ$1006,0))&gt;=100000), " ",IF(INDEX($AB$2:$AQ$1001,MATCH(ROWS($U$2:U34),$U$2:$U$1001,0),MATCH(COLUMNS($AB$1006:AL1006),$AB$1006:$AQ$1006,0)), HYPERLINK("#",""), HYPERLINK(CONCATENATE("#metadata!", ADDRESS(INDEX($W$2:$W$1001,MATCH(ROWS($U$2:U34),$U$2:$U$1001,0),0), INDEX($AB$1004:$AQ$1004,1,MATCH(COLUMNS($AB$1006:AL1006),$AB$1006:$AQ$1006,0)))),"Fix")))</f>
        <v>0</v>
      </c>
      <c r="M34" s="4">
        <f>IF(OR(INDEX($V$2:$V$1001,MATCH(ROWS($U$2:U34),$U$2:$U$1001,0),1)&gt;=100000,INDEX($AB$1005:$AQ$1005,1,MATCH(COLUMNS($AB$1006:AM1006),$AB$1006:$AQ$1006,0))&gt;=100000), " ",IF(INDEX($AB$2:$AQ$1001,MATCH(ROWS($U$2:U34),$U$2:$U$1001,0),MATCH(COLUMNS($AB$1006:AM1006),$AB$1006:$AQ$1006,0)), HYPERLINK("#",""), HYPERLINK(CONCATENATE("#metadata!", ADDRESS(INDEX($W$2:$W$1001,MATCH(ROWS($U$2:U34),$U$2:$U$1001,0),0), INDEX($AB$1004:$AQ$1004,1,MATCH(COLUMNS($AB$1006:AM1006),$AB$1006:$AQ$1006,0)))),"Fix")))</f>
        <v>0</v>
      </c>
      <c r="N34" s="4">
        <f>IF(OR(INDEX($V$2:$V$1001,MATCH(ROWS($U$2:U34),$U$2:$U$1001,0),1)&gt;=100000,INDEX($AB$1005:$AQ$1005,1,MATCH(COLUMNS($AB$1006:AN1006),$AB$1006:$AQ$1006,0))&gt;=100000), " ",IF(INDEX($AB$2:$AQ$1001,MATCH(ROWS($U$2:U34),$U$2:$U$1001,0),MATCH(COLUMNS($AB$1006:AN1006),$AB$1006:$AQ$1006,0)), HYPERLINK("#",""), HYPERLINK(CONCATENATE("#metadata!", ADDRESS(INDEX($W$2:$W$1001,MATCH(ROWS($U$2:U34),$U$2:$U$1001,0),0), INDEX($AB$1004:$AQ$1004,1,MATCH(COLUMNS($AB$1006:AN1006),$AB$1006:$AQ$1006,0)))),"Fix")))</f>
        <v>0</v>
      </c>
      <c r="O34" s="4">
        <f>IF(OR(INDEX($V$2:$V$1001,MATCH(ROWS($U$2:U34),$U$2:$U$1001,0),1)&gt;=100000,INDEX($AB$1005:$AQ$1005,1,MATCH(COLUMNS($AB$1006:AO1006),$AB$1006:$AQ$1006,0))&gt;=100000), " ",IF(INDEX($AB$2:$AQ$1001,MATCH(ROWS($U$2:U34),$U$2:$U$1001,0),MATCH(COLUMNS($AB$1006:AO1006),$AB$1006:$AQ$1006,0)), HYPERLINK("#",""), HYPERLINK(CONCATENATE("#metadata!", ADDRESS(INDEX($W$2:$W$1001,MATCH(ROWS($U$2:U34),$U$2:$U$1001,0),0), INDEX($AB$1004:$AQ$1004,1,MATCH(COLUMNS($AB$1006:AO1006),$AB$1006:$AQ$1006,0)))),"Fix")))</f>
        <v>0</v>
      </c>
      <c r="P34" s="4">
        <f>IF(OR(INDEX($V$2:$V$1001,MATCH(ROWS($U$2:U34),$U$2:$U$1001,0),1)&gt;=100000,INDEX($AB$1005:$AQ$1005,1,MATCH(COLUMNS($AB$1006:AP1006),$AB$1006:$AQ$1006,0))&gt;=100000), " ",IF(INDEX($AB$2:$AQ$1001,MATCH(ROWS($U$2:U34),$U$2:$U$1001,0),MATCH(COLUMNS($AB$1006:AP1006),$AB$1006:$AQ$1006,0)), HYPERLINK("#",""), HYPERLINK(CONCATENATE("#metadata!", ADDRESS(INDEX($W$2:$W$1001,MATCH(ROWS($U$2:U34),$U$2:$U$1001,0),0), INDEX($AB$1004:$AQ$1004,1,MATCH(COLUMNS($AB$1006:AP1006),$AB$1006:$AQ$1006,0)))),"Fix")))</f>
        <v>0</v>
      </c>
      <c r="Q34" s="4">
        <f>IF(OR(INDEX($V$2:$V$1001,MATCH(ROWS($U$2:U34),$U$2:$U$1001,0),1)&gt;=100000,INDEX($AB$1005:$AQ$1005,1,MATCH(COLUMNS($AB$1006:AQ1006),$AB$1006:$AQ$1006,0))&gt;=100000), " ",IF(INDEX($AB$2:$AQ$1001,MATCH(ROWS($U$2:U34),$U$2:$U$1001,0),MATCH(COLUMNS($AB$1006:AQ1006),$AB$1006:$AQ$1006,0)), HYPERLINK("#",""), HYPERLINK(CONCATENATE("#metadata!", ADDRESS(INDEX($W$2:$W$1001,MATCH(ROWS($U$2:U34),$U$2:$U$1001,0),0), INDEX($AB$1004:$AQ$1004,1,MATCH(COLUMNS($AB$1006:AQ1006),$AB$1006:$AQ$1006,0)))),"Fix")))</f>
        <v>0</v>
      </c>
      <c r="U34">
        <v>0</v>
      </c>
      <c r="V34">
        <v>0</v>
      </c>
      <c r="W34">
        <v>0</v>
      </c>
      <c r="X34">
        <f>IF(Y34,TRUE,AND(AB34:AQ34))</f>
        <v>0</v>
      </c>
      <c r="Y34">
        <f>COUNTBLANK(metadata!B34:Q34)=COLUMNS(metadata!B34:Q34)</f>
        <v>0</v>
      </c>
      <c r="Z34">
        <v>0</v>
      </c>
      <c r="AB34">
        <f>AND(IF(metadata!B34="",FALSE,TRUE),COUNTIF(metadata!B:B, metadata!B34) = 1,NOT(ISERROR(SUMPRODUCT(SEARCH(MID(metadata!B34,ROW(INDIRECT("1:"&amp;LEN(metadata!B34))), 1),"0123456789abcdefghijklmnopqrstuvwxyzABCDEFGHIJKLMNOPQRSTUVWXYZ.")))))</f>
        <v>0</v>
      </c>
      <c r="AC34">
        <f>OR(AND(IF(metadata!C34="",FALSE,TRUE),OR(exact(metadata!C34,"missing: not collected"),exact(metadata!C34,"missing: not provided"),exact(metadata!C34,"missing: restricted access"))),AND(IF(metadata!C34="",FALSE,TRUE),AND(AND(IFERROR(INT(LEFT(metadata!C34,4))&gt;1900,FALSE),IFERROR(INT(LEFT(metadata!C34,4))&lt;=YEAR(NOW()),FALSE)), OR(MID(metadata!C34,5,1)="", AND(AND(MID(metadata!C34,5,1)="-",IFERROR(INT(MID(metadata!C34,6,1))&gt;=0,FALSE),IFERROR(INT(MID(metadata!C34,6,1))&lt;=1,FALSE),NOT(MID(metadata!C34,7,1)=""),IFERROR(INT(MID(metadata!C34,6,2))&gt;=1,FALSE),IFERROR(INT(MID(metadata!C34,6,2))&lt;=12,FALSE)), OR(MID(metadata!C34,8,1)="", AND(AND(MID(metadata!C34,8,1)="-",IFERROR(INT(MID(metadata!C34,9,1))&gt;=0,FALSE),IFERROR(INT(MID(metadata!C34,9,1))&lt;=3,FALSE),NOT(MID(metadata!C34,10,1)=""),IFERROR(INT(MID(metadata!C34,9,2))&gt;=1,FALSE),IFERROR(INT(MID(metadata!C34,9,2))&lt;=31,FALSE)), OR(MID(metadata!C34,11,1)="", AND(AND(MID(metadata!C34,11,1)=" ",IFERROR(INT(MID(metadata!C34,12,1))&gt;=0,FALSE),IFERROR(INT(MID(metadata!C34,12,1))&lt;=2,FALSE),NOT(MID(metadata!C34,13,1)=""),IFERROR(INT(MID(metadata!C34,12,2))&gt;=0,FALSE),IFERROR(INT(MID(metadata!C34,12,2))&lt;=23,FALSE)), OR(MID(metadata!C34,14,1)="", AND(AND(MID(metadata!C34,14,1)=":",IFERROR(INT(MID(metadata!C34,15,1))&gt;=0,FALSE),IFERROR(INT(MID(metadata!C34,15,1))&lt;=5,FALSE),NOT(MID(metadata!C34,16,1)=""),IFERROR(INT(MID(metadata!C34,15,2))&gt;=0,FALSE),IFERROR(INT(MID(metadata!C34,15,2))&lt;=59,FALSE)), OR(MID(metadata!C34,17,1)="", AND(AND(MID(metadata!C34,17,1)=":",IFERROR(INT(MID(metadata!C34,18,1))&gt;=0,FALSE),IFERROR(INT(MID(metadata!C34,18,1))&lt;=5,FALSE),NOT(MID(metadata!C34,19,1)=""),IFERROR(INT(MID(metadata!C34,18,2))&gt;=0,FALSE),IFERROR(INT(MID(metadata!C34,18,2))&lt;=59,FALSE)), LEN(metadata!C34)&lt;=19)))))))))))))</f>
        <v>0</v>
      </c>
      <c r="AD34">
        <f>IF(metadata!D34="",FALSE,TRUE)</f>
        <v>0</v>
      </c>
      <c r="AE34">
        <f>OR(AND(IF(metadata!E34="",FALSE,TRUE),OR(exact(metadata!E34,"missing: not collected"),exact(metadata!E34,"missing: not provided"))),AND(IF(metadata!E34="",FALSE,TRUE),OR(exact(metadata!E34,"TRUE"),exact(metadata!E34,"FALSE"))))</f>
        <v>0</v>
      </c>
      <c r="AF34">
        <f>IF(metadata!F34="",FALSE,TRUE)</f>
        <v>0</v>
      </c>
      <c r="AG34">
        <f>IF(metadata!G34="",FALSE,TRUE)</f>
        <v>0</v>
      </c>
      <c r="AH34">
        <f>IF(metadata!H34="",FALSE,TRUE)</f>
        <v>0</v>
      </c>
      <c r="AI34">
        <f>OR(AND(IF(metadata!I34="",FALSE,TRUE),OR(exact(metadata!I34,"missing: not collected"),exact(metadata!I34,"missing: not provided"),exact(metadata!I34,"missing: restricted access"))),AND(IF(metadata!I34="",FALSE,TRUE),OR(exact(metadata!I34,"air"),exact(metadata!I34,"built environment"),exact(metadata!I34,"host-associated"),exact(metadata!I34,"human-associated"),exact(metadata!I34,"human-skin"),exact(metadata!I34,"human-oral"),exact(metadata!I34,"human-gut"),exact(metadata!I34,"human-vaginal"),exact(metadata!I34,"microbial mat/biofilm"),exact(metadata!I34,"misc environment"),exact(metadata!I34,"plant-associated"),exact(metadata!I34,"sediment"),exact(metadata!I34,"soil"),exact(metadata!I34,"wastewater/sludge"),exact(metadata!I34,"water"))))</f>
        <v>0</v>
      </c>
      <c r="AJ34">
        <f>IF(metadata!J34="",FALSE,TRUE)</f>
        <v>0</v>
      </c>
      <c r="AK34">
        <f>OR(AND(IF(metadata!K34="",FALSE,TRUE),OR(exact(metadata!K34,"missing: not collected"),exact(metadata!K34,"missing: not provided"),exact(metadata!K34,"missing: restricted access"))),AND(IF(metadata!K34="",FALSE,ISNUMBER(VALUE(metadata!K34))),metadata!K34&gt;=-90.00,metadata!K34&lt;=90.00))</f>
        <v>0</v>
      </c>
      <c r="AL34">
        <f>OR(AND(IF(metadata!L34="",FALSE,TRUE),OR(exact(metadata!L34,"missing: not collected"),exact(metadata!L34,"missing: not provided"),exact(metadata!L34,"missing: restricted access"))),AND(IF(metadata!L34="",FALSE,ISNUMBER(VALUE(metadata!L34))),metadata!L34&gt;=-180.00,metadata!L34&lt;=180.00))</f>
        <v>0</v>
      </c>
      <c r="AM34">
        <f>IF(metadata!M34="",FALSE,TRUE)</f>
        <v>0</v>
      </c>
      <c r="AN34">
        <f>OR(AND(IF(metadata!N34="",FALSE,TRUE),OR(exact(metadata!N34,"missing: not collected"),exact(metadata!N34,"missing: not provided"),exact(metadata!N34,"missing: restricted access"))),AND(IF(metadata!N34="",FALSE,TRUE),OR(exact(metadata!N34,"TRUE"),exact(metadata!N34,"FALSE"))))</f>
        <v>0</v>
      </c>
      <c r="AO34">
        <f>IF(metadata!O34="",FALSE,TRUE)</f>
        <v>0</v>
      </c>
      <c r="AP34">
        <f>OR(AND(IF(metadata!P34="",FALSE,TRUE),OR(exact(metadata!P34,"missing: not collected"),exact(metadata!P34,"missing: not provided"))),AND(IF(metadata!P34="",FALSE,IF(ISERROR(INT(metadata!P34)),FALSE,INT(metadata!P34)=metadata!P34)),metadata!P34&gt;0))</f>
        <v>0</v>
      </c>
      <c r="AQ34">
        <f>IF(metadata!Q34="",FALSE,TRUE)</f>
        <v>0</v>
      </c>
    </row>
    <row r="35" spans="1:43">
      <c r="A35" s="5">
        <f>IF(B35=" "," ",HYPERLINK(CONCATENATE("#metadata!",ADDRESS(INDEX($W$2:$W$1001,MATCH(ROWS($U$2:U35),$U$2:$U$1001,0),0),1)),INDEX($Z$2:$Z$1001,MATCH(ROWS($U$2:U35),$U$2:$U$1001,0),0)))</f>
        <v>0</v>
      </c>
      <c r="B35" s="4">
        <f>IF(OR(INDEX($V$2:$V$1001,MATCH(ROWS($U$2:U35),$U$2:$U$1001,0),1)&gt;=100000,INDEX($AB$1005:$AQ$1005,1,MATCH(COLUMNS($AB$1006:AB1006),$AB$1006:$AQ$1006,0))&gt;=100000), " ",IF(INDEX($AB$2:$AQ$1001,MATCH(ROWS($U$2:U35),$U$2:$U$1001,0),MATCH(COLUMNS($AB$1006:AB1006),$AB$1006:$AQ$1006,0)), HYPERLINK("#",""), HYPERLINK(CONCATENATE("#metadata!", ADDRESS(INDEX($W$2:$W$1001,MATCH(ROWS($U$2:U35),$U$2:$U$1001,0),0), INDEX($AB$1004:$AQ$1004,1,MATCH(COLUMNS($AB$1006:AB1006),$AB$1006:$AQ$1006,0)))),"Fix")))</f>
        <v>0</v>
      </c>
      <c r="C35" s="4">
        <f>IF(OR(INDEX($V$2:$V$1001,MATCH(ROWS($U$2:U35),$U$2:$U$1001,0),1)&gt;=100000,INDEX($AB$1005:$AQ$1005,1,MATCH(COLUMNS($AB$1006:AC1006),$AB$1006:$AQ$1006,0))&gt;=100000), " ",IF(INDEX($AB$2:$AQ$1001,MATCH(ROWS($U$2:U35),$U$2:$U$1001,0),MATCH(COLUMNS($AB$1006:AC1006),$AB$1006:$AQ$1006,0)), HYPERLINK("#",""), HYPERLINK(CONCATENATE("#metadata!", ADDRESS(INDEX($W$2:$W$1001,MATCH(ROWS($U$2:U35),$U$2:$U$1001,0),0), INDEX($AB$1004:$AQ$1004,1,MATCH(COLUMNS($AB$1006:AC1006),$AB$1006:$AQ$1006,0)))),"Fix")))</f>
        <v>0</v>
      </c>
      <c r="D35" s="4">
        <f>IF(OR(INDEX($V$2:$V$1001,MATCH(ROWS($U$2:U35),$U$2:$U$1001,0),1)&gt;=100000,INDEX($AB$1005:$AQ$1005,1,MATCH(COLUMNS($AB$1006:AD1006),$AB$1006:$AQ$1006,0))&gt;=100000), " ",IF(INDEX($AB$2:$AQ$1001,MATCH(ROWS($U$2:U35),$U$2:$U$1001,0),MATCH(COLUMNS($AB$1006:AD1006),$AB$1006:$AQ$1006,0)), HYPERLINK("#",""), HYPERLINK(CONCATENATE("#metadata!", ADDRESS(INDEX($W$2:$W$1001,MATCH(ROWS($U$2:U35),$U$2:$U$1001,0),0), INDEX($AB$1004:$AQ$1004,1,MATCH(COLUMNS($AB$1006:AD1006),$AB$1006:$AQ$1006,0)))),"Fix")))</f>
        <v>0</v>
      </c>
      <c r="E35" s="4">
        <f>IF(OR(INDEX($V$2:$V$1001,MATCH(ROWS($U$2:U35),$U$2:$U$1001,0),1)&gt;=100000,INDEX($AB$1005:$AQ$1005,1,MATCH(COLUMNS($AB$1006:AE1006),$AB$1006:$AQ$1006,0))&gt;=100000), " ",IF(INDEX($AB$2:$AQ$1001,MATCH(ROWS($U$2:U35),$U$2:$U$1001,0),MATCH(COLUMNS($AB$1006:AE1006),$AB$1006:$AQ$1006,0)), HYPERLINK("#",""), HYPERLINK(CONCATENATE("#metadata!", ADDRESS(INDEX($W$2:$W$1001,MATCH(ROWS($U$2:U35),$U$2:$U$1001,0),0), INDEX($AB$1004:$AQ$1004,1,MATCH(COLUMNS($AB$1006:AE1006),$AB$1006:$AQ$1006,0)))),"Fix")))</f>
        <v>0</v>
      </c>
      <c r="F35" s="4">
        <f>IF(OR(INDEX($V$2:$V$1001,MATCH(ROWS($U$2:U35),$U$2:$U$1001,0),1)&gt;=100000,INDEX($AB$1005:$AQ$1005,1,MATCH(COLUMNS($AB$1006:AF1006),$AB$1006:$AQ$1006,0))&gt;=100000), " ",IF(INDEX($AB$2:$AQ$1001,MATCH(ROWS($U$2:U35),$U$2:$U$1001,0),MATCH(COLUMNS($AB$1006:AF1006),$AB$1006:$AQ$1006,0)), HYPERLINK("#",""), HYPERLINK(CONCATENATE("#metadata!", ADDRESS(INDEX($W$2:$W$1001,MATCH(ROWS($U$2:U35),$U$2:$U$1001,0),0), INDEX($AB$1004:$AQ$1004,1,MATCH(COLUMNS($AB$1006:AF1006),$AB$1006:$AQ$1006,0)))),"Fix")))</f>
        <v>0</v>
      </c>
      <c r="G35" s="4">
        <f>IF(OR(INDEX($V$2:$V$1001,MATCH(ROWS($U$2:U35),$U$2:$U$1001,0),1)&gt;=100000,INDEX($AB$1005:$AQ$1005,1,MATCH(COLUMNS($AB$1006:AG1006),$AB$1006:$AQ$1006,0))&gt;=100000), " ",IF(INDEX($AB$2:$AQ$1001,MATCH(ROWS($U$2:U35),$U$2:$U$1001,0),MATCH(COLUMNS($AB$1006:AG1006),$AB$1006:$AQ$1006,0)), HYPERLINK("#",""), HYPERLINK(CONCATENATE("#metadata!", ADDRESS(INDEX($W$2:$W$1001,MATCH(ROWS($U$2:U35),$U$2:$U$1001,0),0), INDEX($AB$1004:$AQ$1004,1,MATCH(COLUMNS($AB$1006:AG1006),$AB$1006:$AQ$1006,0)))),"Fix")))</f>
        <v>0</v>
      </c>
      <c r="H35" s="4">
        <f>IF(OR(INDEX($V$2:$V$1001,MATCH(ROWS($U$2:U35),$U$2:$U$1001,0),1)&gt;=100000,INDEX($AB$1005:$AQ$1005,1,MATCH(COLUMNS($AB$1006:AH1006),$AB$1006:$AQ$1006,0))&gt;=100000), " ",IF(INDEX($AB$2:$AQ$1001,MATCH(ROWS($U$2:U35),$U$2:$U$1001,0),MATCH(COLUMNS($AB$1006:AH1006),$AB$1006:$AQ$1006,0)), HYPERLINK("#",""), HYPERLINK(CONCATENATE("#metadata!", ADDRESS(INDEX($W$2:$W$1001,MATCH(ROWS($U$2:U35),$U$2:$U$1001,0),0), INDEX($AB$1004:$AQ$1004,1,MATCH(COLUMNS($AB$1006:AH1006),$AB$1006:$AQ$1006,0)))),"Fix")))</f>
        <v>0</v>
      </c>
      <c r="I35" s="4">
        <f>IF(OR(INDEX($V$2:$V$1001,MATCH(ROWS($U$2:U35),$U$2:$U$1001,0),1)&gt;=100000,INDEX($AB$1005:$AQ$1005,1,MATCH(COLUMNS($AB$1006:AI1006),$AB$1006:$AQ$1006,0))&gt;=100000), " ",IF(INDEX($AB$2:$AQ$1001,MATCH(ROWS($U$2:U35),$U$2:$U$1001,0),MATCH(COLUMNS($AB$1006:AI1006),$AB$1006:$AQ$1006,0)), HYPERLINK("#",""), HYPERLINK(CONCATENATE("#metadata!", ADDRESS(INDEX($W$2:$W$1001,MATCH(ROWS($U$2:U35),$U$2:$U$1001,0),0), INDEX($AB$1004:$AQ$1004,1,MATCH(COLUMNS($AB$1006:AI1006),$AB$1006:$AQ$1006,0)))),"Fix")))</f>
        <v>0</v>
      </c>
      <c r="J35" s="4">
        <f>IF(OR(INDEX($V$2:$V$1001,MATCH(ROWS($U$2:U35),$U$2:$U$1001,0),1)&gt;=100000,INDEX($AB$1005:$AQ$1005,1,MATCH(COLUMNS($AB$1006:AJ1006),$AB$1006:$AQ$1006,0))&gt;=100000), " ",IF(INDEX($AB$2:$AQ$1001,MATCH(ROWS($U$2:U35),$U$2:$U$1001,0),MATCH(COLUMNS($AB$1006:AJ1006),$AB$1006:$AQ$1006,0)), HYPERLINK("#",""), HYPERLINK(CONCATENATE("#metadata!", ADDRESS(INDEX($W$2:$W$1001,MATCH(ROWS($U$2:U35),$U$2:$U$1001,0),0), INDEX($AB$1004:$AQ$1004,1,MATCH(COLUMNS($AB$1006:AJ1006),$AB$1006:$AQ$1006,0)))),"Fix")))</f>
        <v>0</v>
      </c>
      <c r="K35" s="4">
        <f>IF(OR(INDEX($V$2:$V$1001,MATCH(ROWS($U$2:U35),$U$2:$U$1001,0),1)&gt;=100000,INDEX($AB$1005:$AQ$1005,1,MATCH(COLUMNS($AB$1006:AK1006),$AB$1006:$AQ$1006,0))&gt;=100000), " ",IF(INDEX($AB$2:$AQ$1001,MATCH(ROWS($U$2:U35),$U$2:$U$1001,0),MATCH(COLUMNS($AB$1006:AK1006),$AB$1006:$AQ$1006,0)), HYPERLINK("#",""), HYPERLINK(CONCATENATE("#metadata!", ADDRESS(INDEX($W$2:$W$1001,MATCH(ROWS($U$2:U35),$U$2:$U$1001,0),0), INDEX($AB$1004:$AQ$1004,1,MATCH(COLUMNS($AB$1006:AK1006),$AB$1006:$AQ$1006,0)))),"Fix")))</f>
        <v>0</v>
      </c>
      <c r="L35" s="4">
        <f>IF(OR(INDEX($V$2:$V$1001,MATCH(ROWS($U$2:U35),$U$2:$U$1001,0),1)&gt;=100000,INDEX($AB$1005:$AQ$1005,1,MATCH(COLUMNS($AB$1006:AL1006),$AB$1006:$AQ$1006,0))&gt;=100000), " ",IF(INDEX($AB$2:$AQ$1001,MATCH(ROWS($U$2:U35),$U$2:$U$1001,0),MATCH(COLUMNS($AB$1006:AL1006),$AB$1006:$AQ$1006,0)), HYPERLINK("#",""), HYPERLINK(CONCATENATE("#metadata!", ADDRESS(INDEX($W$2:$W$1001,MATCH(ROWS($U$2:U35),$U$2:$U$1001,0),0), INDEX($AB$1004:$AQ$1004,1,MATCH(COLUMNS($AB$1006:AL1006),$AB$1006:$AQ$1006,0)))),"Fix")))</f>
        <v>0</v>
      </c>
      <c r="M35" s="4">
        <f>IF(OR(INDEX($V$2:$V$1001,MATCH(ROWS($U$2:U35),$U$2:$U$1001,0),1)&gt;=100000,INDEX($AB$1005:$AQ$1005,1,MATCH(COLUMNS($AB$1006:AM1006),$AB$1006:$AQ$1006,0))&gt;=100000), " ",IF(INDEX($AB$2:$AQ$1001,MATCH(ROWS($U$2:U35),$U$2:$U$1001,0),MATCH(COLUMNS($AB$1006:AM1006),$AB$1006:$AQ$1006,0)), HYPERLINK("#",""), HYPERLINK(CONCATENATE("#metadata!", ADDRESS(INDEX($W$2:$W$1001,MATCH(ROWS($U$2:U35),$U$2:$U$1001,0),0), INDEX($AB$1004:$AQ$1004,1,MATCH(COLUMNS($AB$1006:AM1006),$AB$1006:$AQ$1006,0)))),"Fix")))</f>
        <v>0</v>
      </c>
      <c r="N35" s="4">
        <f>IF(OR(INDEX($V$2:$V$1001,MATCH(ROWS($U$2:U35),$U$2:$U$1001,0),1)&gt;=100000,INDEX($AB$1005:$AQ$1005,1,MATCH(COLUMNS($AB$1006:AN1006),$AB$1006:$AQ$1006,0))&gt;=100000), " ",IF(INDEX($AB$2:$AQ$1001,MATCH(ROWS($U$2:U35),$U$2:$U$1001,0),MATCH(COLUMNS($AB$1006:AN1006),$AB$1006:$AQ$1006,0)), HYPERLINK("#",""), HYPERLINK(CONCATENATE("#metadata!", ADDRESS(INDEX($W$2:$W$1001,MATCH(ROWS($U$2:U35),$U$2:$U$1001,0),0), INDEX($AB$1004:$AQ$1004,1,MATCH(COLUMNS($AB$1006:AN1006),$AB$1006:$AQ$1006,0)))),"Fix")))</f>
        <v>0</v>
      </c>
      <c r="O35" s="4">
        <f>IF(OR(INDEX($V$2:$V$1001,MATCH(ROWS($U$2:U35),$U$2:$U$1001,0),1)&gt;=100000,INDEX($AB$1005:$AQ$1005,1,MATCH(COLUMNS($AB$1006:AO1006),$AB$1006:$AQ$1006,0))&gt;=100000), " ",IF(INDEX($AB$2:$AQ$1001,MATCH(ROWS($U$2:U35),$U$2:$U$1001,0),MATCH(COLUMNS($AB$1006:AO1006),$AB$1006:$AQ$1006,0)), HYPERLINK("#",""), HYPERLINK(CONCATENATE("#metadata!", ADDRESS(INDEX($W$2:$W$1001,MATCH(ROWS($U$2:U35),$U$2:$U$1001,0),0), INDEX($AB$1004:$AQ$1004,1,MATCH(COLUMNS($AB$1006:AO1006),$AB$1006:$AQ$1006,0)))),"Fix")))</f>
        <v>0</v>
      </c>
      <c r="P35" s="4">
        <f>IF(OR(INDEX($V$2:$V$1001,MATCH(ROWS($U$2:U35),$U$2:$U$1001,0),1)&gt;=100000,INDEX($AB$1005:$AQ$1005,1,MATCH(COLUMNS($AB$1006:AP1006),$AB$1006:$AQ$1006,0))&gt;=100000), " ",IF(INDEX($AB$2:$AQ$1001,MATCH(ROWS($U$2:U35),$U$2:$U$1001,0),MATCH(COLUMNS($AB$1006:AP1006),$AB$1006:$AQ$1006,0)), HYPERLINK("#",""), HYPERLINK(CONCATENATE("#metadata!", ADDRESS(INDEX($W$2:$W$1001,MATCH(ROWS($U$2:U35),$U$2:$U$1001,0),0), INDEX($AB$1004:$AQ$1004,1,MATCH(COLUMNS($AB$1006:AP1006),$AB$1006:$AQ$1006,0)))),"Fix")))</f>
        <v>0</v>
      </c>
      <c r="Q35" s="4">
        <f>IF(OR(INDEX($V$2:$V$1001,MATCH(ROWS($U$2:U35),$U$2:$U$1001,0),1)&gt;=100000,INDEX($AB$1005:$AQ$1005,1,MATCH(COLUMNS($AB$1006:AQ1006),$AB$1006:$AQ$1006,0))&gt;=100000), " ",IF(INDEX($AB$2:$AQ$1001,MATCH(ROWS($U$2:U35),$U$2:$U$1001,0),MATCH(COLUMNS($AB$1006:AQ1006),$AB$1006:$AQ$1006,0)), HYPERLINK("#",""), HYPERLINK(CONCATENATE("#metadata!", ADDRESS(INDEX($W$2:$W$1001,MATCH(ROWS($U$2:U35),$U$2:$U$1001,0),0), INDEX($AB$1004:$AQ$1004,1,MATCH(COLUMNS($AB$1006:AQ1006),$AB$1006:$AQ$1006,0)))),"Fix")))</f>
        <v>0</v>
      </c>
      <c r="U35">
        <v>0</v>
      </c>
      <c r="V35">
        <v>0</v>
      </c>
      <c r="W35">
        <v>0</v>
      </c>
      <c r="X35">
        <f>IF(Y35,TRUE,AND(AB35:AQ35))</f>
        <v>0</v>
      </c>
      <c r="Y35">
        <f>COUNTBLANK(metadata!B35:Q35)=COLUMNS(metadata!B35:Q35)</f>
        <v>0</v>
      </c>
      <c r="Z35">
        <v>0</v>
      </c>
      <c r="AB35">
        <f>AND(IF(metadata!B35="",FALSE,TRUE),COUNTIF(metadata!B:B, metadata!B35) = 1,NOT(ISERROR(SUMPRODUCT(SEARCH(MID(metadata!B35,ROW(INDIRECT("1:"&amp;LEN(metadata!B35))), 1),"0123456789abcdefghijklmnopqrstuvwxyzABCDEFGHIJKLMNOPQRSTUVWXYZ.")))))</f>
        <v>0</v>
      </c>
      <c r="AC35">
        <f>OR(AND(IF(metadata!C35="",FALSE,TRUE),OR(exact(metadata!C35,"missing: not collected"),exact(metadata!C35,"missing: not provided"),exact(metadata!C35,"missing: restricted access"))),AND(IF(metadata!C35="",FALSE,TRUE),AND(AND(IFERROR(INT(LEFT(metadata!C35,4))&gt;1900,FALSE),IFERROR(INT(LEFT(metadata!C35,4))&lt;=YEAR(NOW()),FALSE)), OR(MID(metadata!C35,5,1)="", AND(AND(MID(metadata!C35,5,1)="-",IFERROR(INT(MID(metadata!C35,6,1))&gt;=0,FALSE),IFERROR(INT(MID(metadata!C35,6,1))&lt;=1,FALSE),NOT(MID(metadata!C35,7,1)=""),IFERROR(INT(MID(metadata!C35,6,2))&gt;=1,FALSE),IFERROR(INT(MID(metadata!C35,6,2))&lt;=12,FALSE)), OR(MID(metadata!C35,8,1)="", AND(AND(MID(metadata!C35,8,1)="-",IFERROR(INT(MID(metadata!C35,9,1))&gt;=0,FALSE),IFERROR(INT(MID(metadata!C35,9,1))&lt;=3,FALSE),NOT(MID(metadata!C35,10,1)=""),IFERROR(INT(MID(metadata!C35,9,2))&gt;=1,FALSE),IFERROR(INT(MID(metadata!C35,9,2))&lt;=31,FALSE)), OR(MID(metadata!C35,11,1)="", AND(AND(MID(metadata!C35,11,1)=" ",IFERROR(INT(MID(metadata!C35,12,1))&gt;=0,FALSE),IFERROR(INT(MID(metadata!C35,12,1))&lt;=2,FALSE),NOT(MID(metadata!C35,13,1)=""),IFERROR(INT(MID(metadata!C35,12,2))&gt;=0,FALSE),IFERROR(INT(MID(metadata!C35,12,2))&lt;=23,FALSE)), OR(MID(metadata!C35,14,1)="", AND(AND(MID(metadata!C35,14,1)=":",IFERROR(INT(MID(metadata!C35,15,1))&gt;=0,FALSE),IFERROR(INT(MID(metadata!C35,15,1))&lt;=5,FALSE),NOT(MID(metadata!C35,16,1)=""),IFERROR(INT(MID(metadata!C35,15,2))&gt;=0,FALSE),IFERROR(INT(MID(metadata!C35,15,2))&lt;=59,FALSE)), OR(MID(metadata!C35,17,1)="", AND(AND(MID(metadata!C35,17,1)=":",IFERROR(INT(MID(metadata!C35,18,1))&gt;=0,FALSE),IFERROR(INT(MID(metadata!C35,18,1))&lt;=5,FALSE),NOT(MID(metadata!C35,19,1)=""),IFERROR(INT(MID(metadata!C35,18,2))&gt;=0,FALSE),IFERROR(INT(MID(metadata!C35,18,2))&lt;=59,FALSE)), LEN(metadata!C35)&lt;=19)))))))))))))</f>
        <v>0</v>
      </c>
      <c r="AD35">
        <f>IF(metadata!D35="",FALSE,TRUE)</f>
        <v>0</v>
      </c>
      <c r="AE35">
        <f>OR(AND(IF(metadata!E35="",FALSE,TRUE),OR(exact(metadata!E35,"missing: not collected"),exact(metadata!E35,"missing: not provided"))),AND(IF(metadata!E35="",FALSE,TRUE),OR(exact(metadata!E35,"TRUE"),exact(metadata!E35,"FALSE"))))</f>
        <v>0</v>
      </c>
      <c r="AF35">
        <f>IF(metadata!F35="",FALSE,TRUE)</f>
        <v>0</v>
      </c>
      <c r="AG35">
        <f>IF(metadata!G35="",FALSE,TRUE)</f>
        <v>0</v>
      </c>
      <c r="AH35">
        <f>IF(metadata!H35="",FALSE,TRUE)</f>
        <v>0</v>
      </c>
      <c r="AI35">
        <f>OR(AND(IF(metadata!I35="",FALSE,TRUE),OR(exact(metadata!I35,"missing: not collected"),exact(metadata!I35,"missing: not provided"),exact(metadata!I35,"missing: restricted access"))),AND(IF(metadata!I35="",FALSE,TRUE),OR(exact(metadata!I35,"air"),exact(metadata!I35,"built environment"),exact(metadata!I35,"host-associated"),exact(metadata!I35,"human-associated"),exact(metadata!I35,"human-skin"),exact(metadata!I35,"human-oral"),exact(metadata!I35,"human-gut"),exact(metadata!I35,"human-vaginal"),exact(metadata!I35,"microbial mat/biofilm"),exact(metadata!I35,"misc environment"),exact(metadata!I35,"plant-associated"),exact(metadata!I35,"sediment"),exact(metadata!I35,"soil"),exact(metadata!I35,"wastewater/sludge"),exact(metadata!I35,"water"))))</f>
        <v>0</v>
      </c>
      <c r="AJ35">
        <f>IF(metadata!J35="",FALSE,TRUE)</f>
        <v>0</v>
      </c>
      <c r="AK35">
        <f>OR(AND(IF(metadata!K35="",FALSE,TRUE),OR(exact(metadata!K35,"missing: not collected"),exact(metadata!K35,"missing: not provided"),exact(metadata!K35,"missing: restricted access"))),AND(IF(metadata!K35="",FALSE,ISNUMBER(VALUE(metadata!K35))),metadata!K35&gt;=-90.00,metadata!K35&lt;=90.00))</f>
        <v>0</v>
      </c>
      <c r="AL35">
        <f>OR(AND(IF(metadata!L35="",FALSE,TRUE),OR(exact(metadata!L35,"missing: not collected"),exact(metadata!L35,"missing: not provided"),exact(metadata!L35,"missing: restricted access"))),AND(IF(metadata!L35="",FALSE,ISNUMBER(VALUE(metadata!L35))),metadata!L35&gt;=-180.00,metadata!L35&lt;=180.00))</f>
        <v>0</v>
      </c>
      <c r="AM35">
        <f>IF(metadata!M35="",FALSE,TRUE)</f>
        <v>0</v>
      </c>
      <c r="AN35">
        <f>OR(AND(IF(metadata!N35="",FALSE,TRUE),OR(exact(metadata!N35,"missing: not collected"),exact(metadata!N35,"missing: not provided"),exact(metadata!N35,"missing: restricted access"))),AND(IF(metadata!N35="",FALSE,TRUE),OR(exact(metadata!N35,"TRUE"),exact(metadata!N35,"FALSE"))))</f>
        <v>0</v>
      </c>
      <c r="AO35">
        <f>IF(metadata!O35="",FALSE,TRUE)</f>
        <v>0</v>
      </c>
      <c r="AP35">
        <f>OR(AND(IF(metadata!P35="",FALSE,TRUE),OR(exact(metadata!P35,"missing: not collected"),exact(metadata!P35,"missing: not provided"))),AND(IF(metadata!P35="",FALSE,IF(ISERROR(INT(metadata!P35)),FALSE,INT(metadata!P35)=metadata!P35)),metadata!P35&gt;0))</f>
        <v>0</v>
      </c>
      <c r="AQ35">
        <f>IF(metadata!Q35="",FALSE,TRUE)</f>
        <v>0</v>
      </c>
    </row>
    <row r="36" spans="1:43">
      <c r="A36" s="5">
        <f>IF(B36=" "," ",HYPERLINK(CONCATENATE("#metadata!",ADDRESS(INDEX($W$2:$W$1001,MATCH(ROWS($U$2:U36),$U$2:$U$1001,0),0),1)),INDEX($Z$2:$Z$1001,MATCH(ROWS($U$2:U36),$U$2:$U$1001,0),0)))</f>
        <v>0</v>
      </c>
      <c r="B36" s="4">
        <f>IF(OR(INDEX($V$2:$V$1001,MATCH(ROWS($U$2:U36),$U$2:$U$1001,0),1)&gt;=100000,INDEX($AB$1005:$AQ$1005,1,MATCH(COLUMNS($AB$1006:AB1006),$AB$1006:$AQ$1006,0))&gt;=100000), " ",IF(INDEX($AB$2:$AQ$1001,MATCH(ROWS($U$2:U36),$U$2:$U$1001,0),MATCH(COLUMNS($AB$1006:AB1006),$AB$1006:$AQ$1006,0)), HYPERLINK("#",""), HYPERLINK(CONCATENATE("#metadata!", ADDRESS(INDEX($W$2:$W$1001,MATCH(ROWS($U$2:U36),$U$2:$U$1001,0),0), INDEX($AB$1004:$AQ$1004,1,MATCH(COLUMNS($AB$1006:AB1006),$AB$1006:$AQ$1006,0)))),"Fix")))</f>
        <v>0</v>
      </c>
      <c r="C36" s="4">
        <f>IF(OR(INDEX($V$2:$V$1001,MATCH(ROWS($U$2:U36),$U$2:$U$1001,0),1)&gt;=100000,INDEX($AB$1005:$AQ$1005,1,MATCH(COLUMNS($AB$1006:AC1006),$AB$1006:$AQ$1006,0))&gt;=100000), " ",IF(INDEX($AB$2:$AQ$1001,MATCH(ROWS($U$2:U36),$U$2:$U$1001,0),MATCH(COLUMNS($AB$1006:AC1006),$AB$1006:$AQ$1006,0)), HYPERLINK("#",""), HYPERLINK(CONCATENATE("#metadata!", ADDRESS(INDEX($W$2:$W$1001,MATCH(ROWS($U$2:U36),$U$2:$U$1001,0),0), INDEX($AB$1004:$AQ$1004,1,MATCH(COLUMNS($AB$1006:AC1006),$AB$1006:$AQ$1006,0)))),"Fix")))</f>
        <v>0</v>
      </c>
      <c r="D36" s="4">
        <f>IF(OR(INDEX($V$2:$V$1001,MATCH(ROWS($U$2:U36),$U$2:$U$1001,0),1)&gt;=100000,INDEX($AB$1005:$AQ$1005,1,MATCH(COLUMNS($AB$1006:AD1006),$AB$1006:$AQ$1006,0))&gt;=100000), " ",IF(INDEX($AB$2:$AQ$1001,MATCH(ROWS($U$2:U36),$U$2:$U$1001,0),MATCH(COLUMNS($AB$1006:AD1006),$AB$1006:$AQ$1006,0)), HYPERLINK("#",""), HYPERLINK(CONCATENATE("#metadata!", ADDRESS(INDEX($W$2:$W$1001,MATCH(ROWS($U$2:U36),$U$2:$U$1001,0),0), INDEX($AB$1004:$AQ$1004,1,MATCH(COLUMNS($AB$1006:AD1006),$AB$1006:$AQ$1006,0)))),"Fix")))</f>
        <v>0</v>
      </c>
      <c r="E36" s="4">
        <f>IF(OR(INDEX($V$2:$V$1001,MATCH(ROWS($U$2:U36),$U$2:$U$1001,0),1)&gt;=100000,INDEX($AB$1005:$AQ$1005,1,MATCH(COLUMNS($AB$1006:AE1006),$AB$1006:$AQ$1006,0))&gt;=100000), " ",IF(INDEX($AB$2:$AQ$1001,MATCH(ROWS($U$2:U36),$U$2:$U$1001,0),MATCH(COLUMNS($AB$1006:AE1006),$AB$1006:$AQ$1006,0)), HYPERLINK("#",""), HYPERLINK(CONCATENATE("#metadata!", ADDRESS(INDEX($W$2:$W$1001,MATCH(ROWS($U$2:U36),$U$2:$U$1001,0),0), INDEX($AB$1004:$AQ$1004,1,MATCH(COLUMNS($AB$1006:AE1006),$AB$1006:$AQ$1006,0)))),"Fix")))</f>
        <v>0</v>
      </c>
      <c r="F36" s="4">
        <f>IF(OR(INDEX($V$2:$V$1001,MATCH(ROWS($U$2:U36),$U$2:$U$1001,0),1)&gt;=100000,INDEX($AB$1005:$AQ$1005,1,MATCH(COLUMNS($AB$1006:AF1006),$AB$1006:$AQ$1006,0))&gt;=100000), " ",IF(INDEX($AB$2:$AQ$1001,MATCH(ROWS($U$2:U36),$U$2:$U$1001,0),MATCH(COLUMNS($AB$1006:AF1006),$AB$1006:$AQ$1006,0)), HYPERLINK("#",""), HYPERLINK(CONCATENATE("#metadata!", ADDRESS(INDEX($W$2:$W$1001,MATCH(ROWS($U$2:U36),$U$2:$U$1001,0),0), INDEX($AB$1004:$AQ$1004,1,MATCH(COLUMNS($AB$1006:AF1006),$AB$1006:$AQ$1006,0)))),"Fix")))</f>
        <v>0</v>
      </c>
      <c r="G36" s="4">
        <f>IF(OR(INDEX($V$2:$V$1001,MATCH(ROWS($U$2:U36),$U$2:$U$1001,0),1)&gt;=100000,INDEX($AB$1005:$AQ$1005,1,MATCH(COLUMNS($AB$1006:AG1006),$AB$1006:$AQ$1006,0))&gt;=100000), " ",IF(INDEX($AB$2:$AQ$1001,MATCH(ROWS($U$2:U36),$U$2:$U$1001,0),MATCH(COLUMNS($AB$1006:AG1006),$AB$1006:$AQ$1006,0)), HYPERLINK("#",""), HYPERLINK(CONCATENATE("#metadata!", ADDRESS(INDEX($W$2:$W$1001,MATCH(ROWS($U$2:U36),$U$2:$U$1001,0),0), INDEX($AB$1004:$AQ$1004,1,MATCH(COLUMNS($AB$1006:AG1006),$AB$1006:$AQ$1006,0)))),"Fix")))</f>
        <v>0</v>
      </c>
      <c r="H36" s="4">
        <f>IF(OR(INDEX($V$2:$V$1001,MATCH(ROWS($U$2:U36),$U$2:$U$1001,0),1)&gt;=100000,INDEX($AB$1005:$AQ$1005,1,MATCH(COLUMNS($AB$1006:AH1006),$AB$1006:$AQ$1006,0))&gt;=100000), " ",IF(INDEX($AB$2:$AQ$1001,MATCH(ROWS($U$2:U36),$U$2:$U$1001,0),MATCH(COLUMNS($AB$1006:AH1006),$AB$1006:$AQ$1006,0)), HYPERLINK("#",""), HYPERLINK(CONCATENATE("#metadata!", ADDRESS(INDEX($W$2:$W$1001,MATCH(ROWS($U$2:U36),$U$2:$U$1001,0),0), INDEX($AB$1004:$AQ$1004,1,MATCH(COLUMNS($AB$1006:AH1006),$AB$1006:$AQ$1006,0)))),"Fix")))</f>
        <v>0</v>
      </c>
      <c r="I36" s="4">
        <f>IF(OR(INDEX($V$2:$V$1001,MATCH(ROWS($U$2:U36),$U$2:$U$1001,0),1)&gt;=100000,INDEX($AB$1005:$AQ$1005,1,MATCH(COLUMNS($AB$1006:AI1006),$AB$1006:$AQ$1006,0))&gt;=100000), " ",IF(INDEX($AB$2:$AQ$1001,MATCH(ROWS($U$2:U36),$U$2:$U$1001,0),MATCH(COLUMNS($AB$1006:AI1006),$AB$1006:$AQ$1006,0)), HYPERLINK("#",""), HYPERLINK(CONCATENATE("#metadata!", ADDRESS(INDEX($W$2:$W$1001,MATCH(ROWS($U$2:U36),$U$2:$U$1001,0),0), INDEX($AB$1004:$AQ$1004,1,MATCH(COLUMNS($AB$1006:AI1006),$AB$1006:$AQ$1006,0)))),"Fix")))</f>
        <v>0</v>
      </c>
      <c r="J36" s="4">
        <f>IF(OR(INDEX($V$2:$V$1001,MATCH(ROWS($U$2:U36),$U$2:$U$1001,0),1)&gt;=100000,INDEX($AB$1005:$AQ$1005,1,MATCH(COLUMNS($AB$1006:AJ1006),$AB$1006:$AQ$1006,0))&gt;=100000), " ",IF(INDEX($AB$2:$AQ$1001,MATCH(ROWS($U$2:U36),$U$2:$U$1001,0),MATCH(COLUMNS($AB$1006:AJ1006),$AB$1006:$AQ$1006,0)), HYPERLINK("#",""), HYPERLINK(CONCATENATE("#metadata!", ADDRESS(INDEX($W$2:$W$1001,MATCH(ROWS($U$2:U36),$U$2:$U$1001,0),0), INDEX($AB$1004:$AQ$1004,1,MATCH(COLUMNS($AB$1006:AJ1006),$AB$1006:$AQ$1006,0)))),"Fix")))</f>
        <v>0</v>
      </c>
      <c r="K36" s="4">
        <f>IF(OR(INDEX($V$2:$V$1001,MATCH(ROWS($U$2:U36),$U$2:$U$1001,0),1)&gt;=100000,INDEX($AB$1005:$AQ$1005,1,MATCH(COLUMNS($AB$1006:AK1006),$AB$1006:$AQ$1006,0))&gt;=100000), " ",IF(INDEX($AB$2:$AQ$1001,MATCH(ROWS($U$2:U36),$U$2:$U$1001,0),MATCH(COLUMNS($AB$1006:AK1006),$AB$1006:$AQ$1006,0)), HYPERLINK("#",""), HYPERLINK(CONCATENATE("#metadata!", ADDRESS(INDEX($W$2:$W$1001,MATCH(ROWS($U$2:U36),$U$2:$U$1001,0),0), INDEX($AB$1004:$AQ$1004,1,MATCH(COLUMNS($AB$1006:AK1006),$AB$1006:$AQ$1006,0)))),"Fix")))</f>
        <v>0</v>
      </c>
      <c r="L36" s="4">
        <f>IF(OR(INDEX($V$2:$V$1001,MATCH(ROWS($U$2:U36),$U$2:$U$1001,0),1)&gt;=100000,INDEX($AB$1005:$AQ$1005,1,MATCH(COLUMNS($AB$1006:AL1006),$AB$1006:$AQ$1006,0))&gt;=100000), " ",IF(INDEX($AB$2:$AQ$1001,MATCH(ROWS($U$2:U36),$U$2:$U$1001,0),MATCH(COLUMNS($AB$1006:AL1006),$AB$1006:$AQ$1006,0)), HYPERLINK("#",""), HYPERLINK(CONCATENATE("#metadata!", ADDRESS(INDEX($W$2:$W$1001,MATCH(ROWS($U$2:U36),$U$2:$U$1001,0),0), INDEX($AB$1004:$AQ$1004,1,MATCH(COLUMNS($AB$1006:AL1006),$AB$1006:$AQ$1006,0)))),"Fix")))</f>
        <v>0</v>
      </c>
      <c r="M36" s="4">
        <f>IF(OR(INDEX($V$2:$V$1001,MATCH(ROWS($U$2:U36),$U$2:$U$1001,0),1)&gt;=100000,INDEX($AB$1005:$AQ$1005,1,MATCH(COLUMNS($AB$1006:AM1006),$AB$1006:$AQ$1006,0))&gt;=100000), " ",IF(INDEX($AB$2:$AQ$1001,MATCH(ROWS($U$2:U36),$U$2:$U$1001,0),MATCH(COLUMNS($AB$1006:AM1006),$AB$1006:$AQ$1006,0)), HYPERLINK("#",""), HYPERLINK(CONCATENATE("#metadata!", ADDRESS(INDEX($W$2:$W$1001,MATCH(ROWS($U$2:U36),$U$2:$U$1001,0),0), INDEX($AB$1004:$AQ$1004,1,MATCH(COLUMNS($AB$1006:AM1006),$AB$1006:$AQ$1006,0)))),"Fix")))</f>
        <v>0</v>
      </c>
      <c r="N36" s="4">
        <f>IF(OR(INDEX($V$2:$V$1001,MATCH(ROWS($U$2:U36),$U$2:$U$1001,0),1)&gt;=100000,INDEX($AB$1005:$AQ$1005,1,MATCH(COLUMNS($AB$1006:AN1006),$AB$1006:$AQ$1006,0))&gt;=100000), " ",IF(INDEX($AB$2:$AQ$1001,MATCH(ROWS($U$2:U36),$U$2:$U$1001,0),MATCH(COLUMNS($AB$1006:AN1006),$AB$1006:$AQ$1006,0)), HYPERLINK("#",""), HYPERLINK(CONCATENATE("#metadata!", ADDRESS(INDEX($W$2:$W$1001,MATCH(ROWS($U$2:U36),$U$2:$U$1001,0),0), INDEX($AB$1004:$AQ$1004,1,MATCH(COLUMNS($AB$1006:AN1006),$AB$1006:$AQ$1006,0)))),"Fix")))</f>
        <v>0</v>
      </c>
      <c r="O36" s="4">
        <f>IF(OR(INDEX($V$2:$V$1001,MATCH(ROWS($U$2:U36),$U$2:$U$1001,0),1)&gt;=100000,INDEX($AB$1005:$AQ$1005,1,MATCH(COLUMNS($AB$1006:AO1006),$AB$1006:$AQ$1006,0))&gt;=100000), " ",IF(INDEX($AB$2:$AQ$1001,MATCH(ROWS($U$2:U36),$U$2:$U$1001,0),MATCH(COLUMNS($AB$1006:AO1006),$AB$1006:$AQ$1006,0)), HYPERLINK("#",""), HYPERLINK(CONCATENATE("#metadata!", ADDRESS(INDEX($W$2:$W$1001,MATCH(ROWS($U$2:U36),$U$2:$U$1001,0),0), INDEX($AB$1004:$AQ$1004,1,MATCH(COLUMNS($AB$1006:AO1006),$AB$1006:$AQ$1006,0)))),"Fix")))</f>
        <v>0</v>
      </c>
      <c r="P36" s="4">
        <f>IF(OR(INDEX($V$2:$V$1001,MATCH(ROWS($U$2:U36),$U$2:$U$1001,0),1)&gt;=100000,INDEX($AB$1005:$AQ$1005,1,MATCH(COLUMNS($AB$1006:AP1006),$AB$1006:$AQ$1006,0))&gt;=100000), " ",IF(INDEX($AB$2:$AQ$1001,MATCH(ROWS($U$2:U36),$U$2:$U$1001,0),MATCH(COLUMNS($AB$1006:AP1006),$AB$1006:$AQ$1006,0)), HYPERLINK("#",""), HYPERLINK(CONCATENATE("#metadata!", ADDRESS(INDEX($W$2:$W$1001,MATCH(ROWS($U$2:U36),$U$2:$U$1001,0),0), INDEX($AB$1004:$AQ$1004,1,MATCH(COLUMNS($AB$1006:AP1006),$AB$1006:$AQ$1006,0)))),"Fix")))</f>
        <v>0</v>
      </c>
      <c r="Q36" s="4">
        <f>IF(OR(INDEX($V$2:$V$1001,MATCH(ROWS($U$2:U36),$U$2:$U$1001,0),1)&gt;=100000,INDEX($AB$1005:$AQ$1005,1,MATCH(COLUMNS($AB$1006:AQ1006),$AB$1006:$AQ$1006,0))&gt;=100000), " ",IF(INDEX($AB$2:$AQ$1001,MATCH(ROWS($U$2:U36),$U$2:$U$1001,0),MATCH(COLUMNS($AB$1006:AQ1006),$AB$1006:$AQ$1006,0)), HYPERLINK("#",""), HYPERLINK(CONCATENATE("#metadata!", ADDRESS(INDEX($W$2:$W$1001,MATCH(ROWS($U$2:U36),$U$2:$U$1001,0),0), INDEX($AB$1004:$AQ$1004,1,MATCH(COLUMNS($AB$1006:AQ1006),$AB$1006:$AQ$1006,0)))),"Fix")))</f>
        <v>0</v>
      </c>
      <c r="U36">
        <v>0</v>
      </c>
      <c r="V36">
        <v>0</v>
      </c>
      <c r="W36">
        <v>0</v>
      </c>
      <c r="X36">
        <f>IF(Y36,TRUE,AND(AB36:AQ36))</f>
        <v>0</v>
      </c>
      <c r="Y36">
        <f>COUNTBLANK(metadata!B36:Q36)=COLUMNS(metadata!B36:Q36)</f>
        <v>0</v>
      </c>
      <c r="Z36">
        <v>0</v>
      </c>
      <c r="AB36">
        <f>AND(IF(metadata!B36="",FALSE,TRUE),COUNTIF(metadata!B:B, metadata!B36) = 1,NOT(ISERROR(SUMPRODUCT(SEARCH(MID(metadata!B36,ROW(INDIRECT("1:"&amp;LEN(metadata!B36))), 1),"0123456789abcdefghijklmnopqrstuvwxyzABCDEFGHIJKLMNOPQRSTUVWXYZ.")))))</f>
        <v>0</v>
      </c>
      <c r="AC36">
        <f>OR(AND(IF(metadata!C36="",FALSE,TRUE),OR(exact(metadata!C36,"missing: not collected"),exact(metadata!C36,"missing: not provided"),exact(metadata!C36,"missing: restricted access"))),AND(IF(metadata!C36="",FALSE,TRUE),AND(AND(IFERROR(INT(LEFT(metadata!C36,4))&gt;1900,FALSE),IFERROR(INT(LEFT(metadata!C36,4))&lt;=YEAR(NOW()),FALSE)), OR(MID(metadata!C36,5,1)="", AND(AND(MID(metadata!C36,5,1)="-",IFERROR(INT(MID(metadata!C36,6,1))&gt;=0,FALSE),IFERROR(INT(MID(metadata!C36,6,1))&lt;=1,FALSE),NOT(MID(metadata!C36,7,1)=""),IFERROR(INT(MID(metadata!C36,6,2))&gt;=1,FALSE),IFERROR(INT(MID(metadata!C36,6,2))&lt;=12,FALSE)), OR(MID(metadata!C36,8,1)="", AND(AND(MID(metadata!C36,8,1)="-",IFERROR(INT(MID(metadata!C36,9,1))&gt;=0,FALSE),IFERROR(INT(MID(metadata!C36,9,1))&lt;=3,FALSE),NOT(MID(metadata!C36,10,1)=""),IFERROR(INT(MID(metadata!C36,9,2))&gt;=1,FALSE),IFERROR(INT(MID(metadata!C36,9,2))&lt;=31,FALSE)), OR(MID(metadata!C36,11,1)="", AND(AND(MID(metadata!C36,11,1)=" ",IFERROR(INT(MID(metadata!C36,12,1))&gt;=0,FALSE),IFERROR(INT(MID(metadata!C36,12,1))&lt;=2,FALSE),NOT(MID(metadata!C36,13,1)=""),IFERROR(INT(MID(metadata!C36,12,2))&gt;=0,FALSE),IFERROR(INT(MID(metadata!C36,12,2))&lt;=23,FALSE)), OR(MID(metadata!C36,14,1)="", AND(AND(MID(metadata!C36,14,1)=":",IFERROR(INT(MID(metadata!C36,15,1))&gt;=0,FALSE),IFERROR(INT(MID(metadata!C36,15,1))&lt;=5,FALSE),NOT(MID(metadata!C36,16,1)=""),IFERROR(INT(MID(metadata!C36,15,2))&gt;=0,FALSE),IFERROR(INT(MID(metadata!C36,15,2))&lt;=59,FALSE)), OR(MID(metadata!C36,17,1)="", AND(AND(MID(metadata!C36,17,1)=":",IFERROR(INT(MID(metadata!C36,18,1))&gt;=0,FALSE),IFERROR(INT(MID(metadata!C36,18,1))&lt;=5,FALSE),NOT(MID(metadata!C36,19,1)=""),IFERROR(INT(MID(metadata!C36,18,2))&gt;=0,FALSE),IFERROR(INT(MID(metadata!C36,18,2))&lt;=59,FALSE)), LEN(metadata!C36)&lt;=19)))))))))))))</f>
        <v>0</v>
      </c>
      <c r="AD36">
        <f>IF(metadata!D36="",FALSE,TRUE)</f>
        <v>0</v>
      </c>
      <c r="AE36">
        <f>OR(AND(IF(metadata!E36="",FALSE,TRUE),OR(exact(metadata!E36,"missing: not collected"),exact(metadata!E36,"missing: not provided"))),AND(IF(metadata!E36="",FALSE,TRUE),OR(exact(metadata!E36,"TRUE"),exact(metadata!E36,"FALSE"))))</f>
        <v>0</v>
      </c>
      <c r="AF36">
        <f>IF(metadata!F36="",FALSE,TRUE)</f>
        <v>0</v>
      </c>
      <c r="AG36">
        <f>IF(metadata!G36="",FALSE,TRUE)</f>
        <v>0</v>
      </c>
      <c r="AH36">
        <f>IF(metadata!H36="",FALSE,TRUE)</f>
        <v>0</v>
      </c>
      <c r="AI36">
        <f>OR(AND(IF(metadata!I36="",FALSE,TRUE),OR(exact(metadata!I36,"missing: not collected"),exact(metadata!I36,"missing: not provided"),exact(metadata!I36,"missing: restricted access"))),AND(IF(metadata!I36="",FALSE,TRUE),OR(exact(metadata!I36,"air"),exact(metadata!I36,"built environment"),exact(metadata!I36,"host-associated"),exact(metadata!I36,"human-associated"),exact(metadata!I36,"human-skin"),exact(metadata!I36,"human-oral"),exact(metadata!I36,"human-gut"),exact(metadata!I36,"human-vaginal"),exact(metadata!I36,"microbial mat/biofilm"),exact(metadata!I36,"misc environment"),exact(metadata!I36,"plant-associated"),exact(metadata!I36,"sediment"),exact(metadata!I36,"soil"),exact(metadata!I36,"wastewater/sludge"),exact(metadata!I36,"water"))))</f>
        <v>0</v>
      </c>
      <c r="AJ36">
        <f>IF(metadata!J36="",FALSE,TRUE)</f>
        <v>0</v>
      </c>
      <c r="AK36">
        <f>OR(AND(IF(metadata!K36="",FALSE,TRUE),OR(exact(metadata!K36,"missing: not collected"),exact(metadata!K36,"missing: not provided"),exact(metadata!K36,"missing: restricted access"))),AND(IF(metadata!K36="",FALSE,ISNUMBER(VALUE(metadata!K36))),metadata!K36&gt;=-90.00,metadata!K36&lt;=90.00))</f>
        <v>0</v>
      </c>
      <c r="AL36">
        <f>OR(AND(IF(metadata!L36="",FALSE,TRUE),OR(exact(metadata!L36,"missing: not collected"),exact(metadata!L36,"missing: not provided"),exact(metadata!L36,"missing: restricted access"))),AND(IF(metadata!L36="",FALSE,ISNUMBER(VALUE(metadata!L36))),metadata!L36&gt;=-180.00,metadata!L36&lt;=180.00))</f>
        <v>0</v>
      </c>
      <c r="AM36">
        <f>IF(metadata!M36="",FALSE,TRUE)</f>
        <v>0</v>
      </c>
      <c r="AN36">
        <f>OR(AND(IF(metadata!N36="",FALSE,TRUE),OR(exact(metadata!N36,"missing: not collected"),exact(metadata!N36,"missing: not provided"),exact(metadata!N36,"missing: restricted access"))),AND(IF(metadata!N36="",FALSE,TRUE),OR(exact(metadata!N36,"TRUE"),exact(metadata!N36,"FALSE"))))</f>
        <v>0</v>
      </c>
      <c r="AO36">
        <f>IF(metadata!O36="",FALSE,TRUE)</f>
        <v>0</v>
      </c>
      <c r="AP36">
        <f>OR(AND(IF(metadata!P36="",FALSE,TRUE),OR(exact(metadata!P36,"missing: not collected"),exact(metadata!P36,"missing: not provided"))),AND(IF(metadata!P36="",FALSE,IF(ISERROR(INT(metadata!P36)),FALSE,INT(metadata!P36)=metadata!P36)),metadata!P36&gt;0))</f>
        <v>0</v>
      </c>
      <c r="AQ36">
        <f>IF(metadata!Q36="",FALSE,TRUE)</f>
        <v>0</v>
      </c>
    </row>
    <row r="37" spans="1:43">
      <c r="A37" s="5">
        <f>IF(B37=" "," ",HYPERLINK(CONCATENATE("#metadata!",ADDRESS(INDEX($W$2:$W$1001,MATCH(ROWS($U$2:U37),$U$2:$U$1001,0),0),1)),INDEX($Z$2:$Z$1001,MATCH(ROWS($U$2:U37),$U$2:$U$1001,0),0)))</f>
        <v>0</v>
      </c>
      <c r="B37" s="4">
        <f>IF(OR(INDEX($V$2:$V$1001,MATCH(ROWS($U$2:U37),$U$2:$U$1001,0),1)&gt;=100000,INDEX($AB$1005:$AQ$1005,1,MATCH(COLUMNS($AB$1006:AB1006),$AB$1006:$AQ$1006,0))&gt;=100000), " ",IF(INDEX($AB$2:$AQ$1001,MATCH(ROWS($U$2:U37),$U$2:$U$1001,0),MATCH(COLUMNS($AB$1006:AB1006),$AB$1006:$AQ$1006,0)), HYPERLINK("#",""), HYPERLINK(CONCATENATE("#metadata!", ADDRESS(INDEX($W$2:$W$1001,MATCH(ROWS($U$2:U37),$U$2:$U$1001,0),0), INDEX($AB$1004:$AQ$1004,1,MATCH(COLUMNS($AB$1006:AB1006),$AB$1006:$AQ$1006,0)))),"Fix")))</f>
        <v>0</v>
      </c>
      <c r="C37" s="4">
        <f>IF(OR(INDEX($V$2:$V$1001,MATCH(ROWS($U$2:U37),$U$2:$U$1001,0),1)&gt;=100000,INDEX($AB$1005:$AQ$1005,1,MATCH(COLUMNS($AB$1006:AC1006),$AB$1006:$AQ$1006,0))&gt;=100000), " ",IF(INDEX($AB$2:$AQ$1001,MATCH(ROWS($U$2:U37),$U$2:$U$1001,0),MATCH(COLUMNS($AB$1006:AC1006),$AB$1006:$AQ$1006,0)), HYPERLINK("#",""), HYPERLINK(CONCATENATE("#metadata!", ADDRESS(INDEX($W$2:$W$1001,MATCH(ROWS($U$2:U37),$U$2:$U$1001,0),0), INDEX($AB$1004:$AQ$1004,1,MATCH(COLUMNS($AB$1006:AC1006),$AB$1006:$AQ$1006,0)))),"Fix")))</f>
        <v>0</v>
      </c>
      <c r="D37" s="4">
        <f>IF(OR(INDEX($V$2:$V$1001,MATCH(ROWS($U$2:U37),$U$2:$U$1001,0),1)&gt;=100000,INDEX($AB$1005:$AQ$1005,1,MATCH(COLUMNS($AB$1006:AD1006),$AB$1006:$AQ$1006,0))&gt;=100000), " ",IF(INDEX($AB$2:$AQ$1001,MATCH(ROWS($U$2:U37),$U$2:$U$1001,0),MATCH(COLUMNS($AB$1006:AD1006),$AB$1006:$AQ$1006,0)), HYPERLINK("#",""), HYPERLINK(CONCATENATE("#metadata!", ADDRESS(INDEX($W$2:$W$1001,MATCH(ROWS($U$2:U37),$U$2:$U$1001,0),0), INDEX($AB$1004:$AQ$1004,1,MATCH(COLUMNS($AB$1006:AD1006),$AB$1006:$AQ$1006,0)))),"Fix")))</f>
        <v>0</v>
      </c>
      <c r="E37" s="4">
        <f>IF(OR(INDEX($V$2:$V$1001,MATCH(ROWS($U$2:U37),$U$2:$U$1001,0),1)&gt;=100000,INDEX($AB$1005:$AQ$1005,1,MATCH(COLUMNS($AB$1006:AE1006),$AB$1006:$AQ$1006,0))&gt;=100000), " ",IF(INDEX($AB$2:$AQ$1001,MATCH(ROWS($U$2:U37),$U$2:$U$1001,0),MATCH(COLUMNS($AB$1006:AE1006),$AB$1006:$AQ$1006,0)), HYPERLINK("#",""), HYPERLINK(CONCATENATE("#metadata!", ADDRESS(INDEX($W$2:$W$1001,MATCH(ROWS($U$2:U37),$U$2:$U$1001,0),0), INDEX($AB$1004:$AQ$1004,1,MATCH(COLUMNS($AB$1006:AE1006),$AB$1006:$AQ$1006,0)))),"Fix")))</f>
        <v>0</v>
      </c>
      <c r="F37" s="4">
        <f>IF(OR(INDEX($V$2:$V$1001,MATCH(ROWS($U$2:U37),$U$2:$U$1001,0),1)&gt;=100000,INDEX($AB$1005:$AQ$1005,1,MATCH(COLUMNS($AB$1006:AF1006),$AB$1006:$AQ$1006,0))&gt;=100000), " ",IF(INDEX($AB$2:$AQ$1001,MATCH(ROWS($U$2:U37),$U$2:$U$1001,0),MATCH(COLUMNS($AB$1006:AF1006),$AB$1006:$AQ$1006,0)), HYPERLINK("#",""), HYPERLINK(CONCATENATE("#metadata!", ADDRESS(INDEX($W$2:$W$1001,MATCH(ROWS($U$2:U37),$U$2:$U$1001,0),0), INDEX($AB$1004:$AQ$1004,1,MATCH(COLUMNS($AB$1006:AF1006),$AB$1006:$AQ$1006,0)))),"Fix")))</f>
        <v>0</v>
      </c>
      <c r="G37" s="4">
        <f>IF(OR(INDEX($V$2:$V$1001,MATCH(ROWS($U$2:U37),$U$2:$U$1001,0),1)&gt;=100000,INDEX($AB$1005:$AQ$1005,1,MATCH(COLUMNS($AB$1006:AG1006),$AB$1006:$AQ$1006,0))&gt;=100000), " ",IF(INDEX($AB$2:$AQ$1001,MATCH(ROWS($U$2:U37),$U$2:$U$1001,0),MATCH(COLUMNS($AB$1006:AG1006),$AB$1006:$AQ$1006,0)), HYPERLINK("#",""), HYPERLINK(CONCATENATE("#metadata!", ADDRESS(INDEX($W$2:$W$1001,MATCH(ROWS($U$2:U37),$U$2:$U$1001,0),0), INDEX($AB$1004:$AQ$1004,1,MATCH(COLUMNS($AB$1006:AG1006),$AB$1006:$AQ$1006,0)))),"Fix")))</f>
        <v>0</v>
      </c>
      <c r="H37" s="4">
        <f>IF(OR(INDEX($V$2:$V$1001,MATCH(ROWS($U$2:U37),$U$2:$U$1001,0),1)&gt;=100000,INDEX($AB$1005:$AQ$1005,1,MATCH(COLUMNS($AB$1006:AH1006),$AB$1006:$AQ$1006,0))&gt;=100000), " ",IF(INDEX($AB$2:$AQ$1001,MATCH(ROWS($U$2:U37),$U$2:$U$1001,0),MATCH(COLUMNS($AB$1006:AH1006),$AB$1006:$AQ$1006,0)), HYPERLINK("#",""), HYPERLINK(CONCATENATE("#metadata!", ADDRESS(INDEX($W$2:$W$1001,MATCH(ROWS($U$2:U37),$U$2:$U$1001,0),0), INDEX($AB$1004:$AQ$1004,1,MATCH(COLUMNS($AB$1006:AH1006),$AB$1006:$AQ$1006,0)))),"Fix")))</f>
        <v>0</v>
      </c>
      <c r="I37" s="4">
        <f>IF(OR(INDEX($V$2:$V$1001,MATCH(ROWS($U$2:U37),$U$2:$U$1001,0),1)&gt;=100000,INDEX($AB$1005:$AQ$1005,1,MATCH(COLUMNS($AB$1006:AI1006),$AB$1006:$AQ$1006,0))&gt;=100000), " ",IF(INDEX($AB$2:$AQ$1001,MATCH(ROWS($U$2:U37),$U$2:$U$1001,0),MATCH(COLUMNS($AB$1006:AI1006),$AB$1006:$AQ$1006,0)), HYPERLINK("#",""), HYPERLINK(CONCATENATE("#metadata!", ADDRESS(INDEX($W$2:$W$1001,MATCH(ROWS($U$2:U37),$U$2:$U$1001,0),0), INDEX($AB$1004:$AQ$1004,1,MATCH(COLUMNS($AB$1006:AI1006),$AB$1006:$AQ$1006,0)))),"Fix")))</f>
        <v>0</v>
      </c>
      <c r="J37" s="4">
        <f>IF(OR(INDEX($V$2:$V$1001,MATCH(ROWS($U$2:U37),$U$2:$U$1001,0),1)&gt;=100000,INDEX($AB$1005:$AQ$1005,1,MATCH(COLUMNS($AB$1006:AJ1006),$AB$1006:$AQ$1006,0))&gt;=100000), " ",IF(INDEX($AB$2:$AQ$1001,MATCH(ROWS($U$2:U37),$U$2:$U$1001,0),MATCH(COLUMNS($AB$1006:AJ1006),$AB$1006:$AQ$1006,0)), HYPERLINK("#",""), HYPERLINK(CONCATENATE("#metadata!", ADDRESS(INDEX($W$2:$W$1001,MATCH(ROWS($U$2:U37),$U$2:$U$1001,0),0), INDEX($AB$1004:$AQ$1004,1,MATCH(COLUMNS($AB$1006:AJ1006),$AB$1006:$AQ$1006,0)))),"Fix")))</f>
        <v>0</v>
      </c>
      <c r="K37" s="4">
        <f>IF(OR(INDEX($V$2:$V$1001,MATCH(ROWS($U$2:U37),$U$2:$U$1001,0),1)&gt;=100000,INDEX($AB$1005:$AQ$1005,1,MATCH(COLUMNS($AB$1006:AK1006),$AB$1006:$AQ$1006,0))&gt;=100000), " ",IF(INDEX($AB$2:$AQ$1001,MATCH(ROWS($U$2:U37),$U$2:$U$1001,0),MATCH(COLUMNS($AB$1006:AK1006),$AB$1006:$AQ$1006,0)), HYPERLINK("#",""), HYPERLINK(CONCATENATE("#metadata!", ADDRESS(INDEX($W$2:$W$1001,MATCH(ROWS($U$2:U37),$U$2:$U$1001,0),0), INDEX($AB$1004:$AQ$1004,1,MATCH(COLUMNS($AB$1006:AK1006),$AB$1006:$AQ$1006,0)))),"Fix")))</f>
        <v>0</v>
      </c>
      <c r="L37" s="4">
        <f>IF(OR(INDEX($V$2:$V$1001,MATCH(ROWS($U$2:U37),$U$2:$U$1001,0),1)&gt;=100000,INDEX($AB$1005:$AQ$1005,1,MATCH(COLUMNS($AB$1006:AL1006),$AB$1006:$AQ$1006,0))&gt;=100000), " ",IF(INDEX($AB$2:$AQ$1001,MATCH(ROWS($U$2:U37),$U$2:$U$1001,0),MATCH(COLUMNS($AB$1006:AL1006),$AB$1006:$AQ$1006,0)), HYPERLINK("#",""), HYPERLINK(CONCATENATE("#metadata!", ADDRESS(INDEX($W$2:$W$1001,MATCH(ROWS($U$2:U37),$U$2:$U$1001,0),0), INDEX($AB$1004:$AQ$1004,1,MATCH(COLUMNS($AB$1006:AL1006),$AB$1006:$AQ$1006,0)))),"Fix")))</f>
        <v>0</v>
      </c>
      <c r="M37" s="4">
        <f>IF(OR(INDEX($V$2:$V$1001,MATCH(ROWS($U$2:U37),$U$2:$U$1001,0),1)&gt;=100000,INDEX($AB$1005:$AQ$1005,1,MATCH(COLUMNS($AB$1006:AM1006),$AB$1006:$AQ$1006,0))&gt;=100000), " ",IF(INDEX($AB$2:$AQ$1001,MATCH(ROWS($U$2:U37),$U$2:$U$1001,0),MATCH(COLUMNS($AB$1006:AM1006),$AB$1006:$AQ$1006,0)), HYPERLINK("#",""), HYPERLINK(CONCATENATE("#metadata!", ADDRESS(INDEX($W$2:$W$1001,MATCH(ROWS($U$2:U37),$U$2:$U$1001,0),0), INDEX($AB$1004:$AQ$1004,1,MATCH(COLUMNS($AB$1006:AM1006),$AB$1006:$AQ$1006,0)))),"Fix")))</f>
        <v>0</v>
      </c>
      <c r="N37" s="4">
        <f>IF(OR(INDEX($V$2:$V$1001,MATCH(ROWS($U$2:U37),$U$2:$U$1001,0),1)&gt;=100000,INDEX($AB$1005:$AQ$1005,1,MATCH(COLUMNS($AB$1006:AN1006),$AB$1006:$AQ$1006,0))&gt;=100000), " ",IF(INDEX($AB$2:$AQ$1001,MATCH(ROWS($U$2:U37),$U$2:$U$1001,0),MATCH(COLUMNS($AB$1006:AN1006),$AB$1006:$AQ$1006,0)), HYPERLINK("#",""), HYPERLINK(CONCATENATE("#metadata!", ADDRESS(INDEX($W$2:$W$1001,MATCH(ROWS($U$2:U37),$U$2:$U$1001,0),0), INDEX($AB$1004:$AQ$1004,1,MATCH(COLUMNS($AB$1006:AN1006),$AB$1006:$AQ$1006,0)))),"Fix")))</f>
        <v>0</v>
      </c>
      <c r="O37" s="4">
        <f>IF(OR(INDEX($V$2:$V$1001,MATCH(ROWS($U$2:U37),$U$2:$U$1001,0),1)&gt;=100000,INDEX($AB$1005:$AQ$1005,1,MATCH(COLUMNS($AB$1006:AO1006),$AB$1006:$AQ$1006,0))&gt;=100000), " ",IF(INDEX($AB$2:$AQ$1001,MATCH(ROWS($U$2:U37),$U$2:$U$1001,0),MATCH(COLUMNS($AB$1006:AO1006),$AB$1006:$AQ$1006,0)), HYPERLINK("#",""), HYPERLINK(CONCATENATE("#metadata!", ADDRESS(INDEX($W$2:$W$1001,MATCH(ROWS($U$2:U37),$U$2:$U$1001,0),0), INDEX($AB$1004:$AQ$1004,1,MATCH(COLUMNS($AB$1006:AO1006),$AB$1006:$AQ$1006,0)))),"Fix")))</f>
        <v>0</v>
      </c>
      <c r="P37" s="4">
        <f>IF(OR(INDEX($V$2:$V$1001,MATCH(ROWS($U$2:U37),$U$2:$U$1001,0),1)&gt;=100000,INDEX($AB$1005:$AQ$1005,1,MATCH(COLUMNS($AB$1006:AP1006),$AB$1006:$AQ$1006,0))&gt;=100000), " ",IF(INDEX($AB$2:$AQ$1001,MATCH(ROWS($U$2:U37),$U$2:$U$1001,0),MATCH(COLUMNS($AB$1006:AP1006),$AB$1006:$AQ$1006,0)), HYPERLINK("#",""), HYPERLINK(CONCATENATE("#metadata!", ADDRESS(INDEX($W$2:$W$1001,MATCH(ROWS($U$2:U37),$U$2:$U$1001,0),0), INDEX($AB$1004:$AQ$1004,1,MATCH(COLUMNS($AB$1006:AP1006),$AB$1006:$AQ$1006,0)))),"Fix")))</f>
        <v>0</v>
      </c>
      <c r="Q37" s="4">
        <f>IF(OR(INDEX($V$2:$V$1001,MATCH(ROWS($U$2:U37),$U$2:$U$1001,0),1)&gt;=100000,INDEX($AB$1005:$AQ$1005,1,MATCH(COLUMNS($AB$1006:AQ1006),$AB$1006:$AQ$1006,0))&gt;=100000), " ",IF(INDEX($AB$2:$AQ$1001,MATCH(ROWS($U$2:U37),$U$2:$U$1001,0),MATCH(COLUMNS($AB$1006:AQ1006),$AB$1006:$AQ$1006,0)), HYPERLINK("#",""), HYPERLINK(CONCATENATE("#metadata!", ADDRESS(INDEX($W$2:$W$1001,MATCH(ROWS($U$2:U37),$U$2:$U$1001,0),0), INDEX($AB$1004:$AQ$1004,1,MATCH(COLUMNS($AB$1006:AQ1006),$AB$1006:$AQ$1006,0)))),"Fix")))</f>
        <v>0</v>
      </c>
      <c r="U37">
        <v>0</v>
      </c>
      <c r="V37">
        <v>0</v>
      </c>
      <c r="W37">
        <v>0</v>
      </c>
      <c r="X37">
        <f>IF(Y37,TRUE,AND(AB37:AQ37))</f>
        <v>0</v>
      </c>
      <c r="Y37">
        <f>COUNTBLANK(metadata!B37:Q37)=COLUMNS(metadata!B37:Q37)</f>
        <v>0</v>
      </c>
      <c r="Z37">
        <v>0</v>
      </c>
      <c r="AB37">
        <f>AND(IF(metadata!B37="",FALSE,TRUE),COUNTIF(metadata!B:B, metadata!B37) = 1,NOT(ISERROR(SUMPRODUCT(SEARCH(MID(metadata!B37,ROW(INDIRECT("1:"&amp;LEN(metadata!B37))), 1),"0123456789abcdefghijklmnopqrstuvwxyzABCDEFGHIJKLMNOPQRSTUVWXYZ.")))))</f>
        <v>0</v>
      </c>
      <c r="AC37">
        <f>OR(AND(IF(metadata!C37="",FALSE,TRUE),OR(exact(metadata!C37,"missing: not collected"),exact(metadata!C37,"missing: not provided"),exact(metadata!C37,"missing: restricted access"))),AND(IF(metadata!C37="",FALSE,TRUE),AND(AND(IFERROR(INT(LEFT(metadata!C37,4))&gt;1900,FALSE),IFERROR(INT(LEFT(metadata!C37,4))&lt;=YEAR(NOW()),FALSE)), OR(MID(metadata!C37,5,1)="", AND(AND(MID(metadata!C37,5,1)="-",IFERROR(INT(MID(metadata!C37,6,1))&gt;=0,FALSE),IFERROR(INT(MID(metadata!C37,6,1))&lt;=1,FALSE),NOT(MID(metadata!C37,7,1)=""),IFERROR(INT(MID(metadata!C37,6,2))&gt;=1,FALSE),IFERROR(INT(MID(metadata!C37,6,2))&lt;=12,FALSE)), OR(MID(metadata!C37,8,1)="", AND(AND(MID(metadata!C37,8,1)="-",IFERROR(INT(MID(metadata!C37,9,1))&gt;=0,FALSE),IFERROR(INT(MID(metadata!C37,9,1))&lt;=3,FALSE),NOT(MID(metadata!C37,10,1)=""),IFERROR(INT(MID(metadata!C37,9,2))&gt;=1,FALSE),IFERROR(INT(MID(metadata!C37,9,2))&lt;=31,FALSE)), OR(MID(metadata!C37,11,1)="", AND(AND(MID(metadata!C37,11,1)=" ",IFERROR(INT(MID(metadata!C37,12,1))&gt;=0,FALSE),IFERROR(INT(MID(metadata!C37,12,1))&lt;=2,FALSE),NOT(MID(metadata!C37,13,1)=""),IFERROR(INT(MID(metadata!C37,12,2))&gt;=0,FALSE),IFERROR(INT(MID(metadata!C37,12,2))&lt;=23,FALSE)), OR(MID(metadata!C37,14,1)="", AND(AND(MID(metadata!C37,14,1)=":",IFERROR(INT(MID(metadata!C37,15,1))&gt;=0,FALSE),IFERROR(INT(MID(metadata!C37,15,1))&lt;=5,FALSE),NOT(MID(metadata!C37,16,1)=""),IFERROR(INT(MID(metadata!C37,15,2))&gt;=0,FALSE),IFERROR(INT(MID(metadata!C37,15,2))&lt;=59,FALSE)), OR(MID(metadata!C37,17,1)="", AND(AND(MID(metadata!C37,17,1)=":",IFERROR(INT(MID(metadata!C37,18,1))&gt;=0,FALSE),IFERROR(INT(MID(metadata!C37,18,1))&lt;=5,FALSE),NOT(MID(metadata!C37,19,1)=""),IFERROR(INT(MID(metadata!C37,18,2))&gt;=0,FALSE),IFERROR(INT(MID(metadata!C37,18,2))&lt;=59,FALSE)), LEN(metadata!C37)&lt;=19)))))))))))))</f>
        <v>0</v>
      </c>
      <c r="AD37">
        <f>IF(metadata!D37="",FALSE,TRUE)</f>
        <v>0</v>
      </c>
      <c r="AE37">
        <f>OR(AND(IF(metadata!E37="",FALSE,TRUE),OR(exact(metadata!E37,"missing: not collected"),exact(metadata!E37,"missing: not provided"))),AND(IF(metadata!E37="",FALSE,TRUE),OR(exact(metadata!E37,"TRUE"),exact(metadata!E37,"FALSE"))))</f>
        <v>0</v>
      </c>
      <c r="AF37">
        <f>IF(metadata!F37="",FALSE,TRUE)</f>
        <v>0</v>
      </c>
      <c r="AG37">
        <f>IF(metadata!G37="",FALSE,TRUE)</f>
        <v>0</v>
      </c>
      <c r="AH37">
        <f>IF(metadata!H37="",FALSE,TRUE)</f>
        <v>0</v>
      </c>
      <c r="AI37">
        <f>OR(AND(IF(metadata!I37="",FALSE,TRUE),OR(exact(metadata!I37,"missing: not collected"),exact(metadata!I37,"missing: not provided"),exact(metadata!I37,"missing: restricted access"))),AND(IF(metadata!I37="",FALSE,TRUE),OR(exact(metadata!I37,"air"),exact(metadata!I37,"built environment"),exact(metadata!I37,"host-associated"),exact(metadata!I37,"human-associated"),exact(metadata!I37,"human-skin"),exact(metadata!I37,"human-oral"),exact(metadata!I37,"human-gut"),exact(metadata!I37,"human-vaginal"),exact(metadata!I37,"microbial mat/biofilm"),exact(metadata!I37,"misc environment"),exact(metadata!I37,"plant-associated"),exact(metadata!I37,"sediment"),exact(metadata!I37,"soil"),exact(metadata!I37,"wastewater/sludge"),exact(metadata!I37,"water"))))</f>
        <v>0</v>
      </c>
      <c r="AJ37">
        <f>IF(metadata!J37="",FALSE,TRUE)</f>
        <v>0</v>
      </c>
      <c r="AK37">
        <f>OR(AND(IF(metadata!K37="",FALSE,TRUE),OR(exact(metadata!K37,"missing: not collected"),exact(metadata!K37,"missing: not provided"),exact(metadata!K37,"missing: restricted access"))),AND(IF(metadata!K37="",FALSE,ISNUMBER(VALUE(metadata!K37))),metadata!K37&gt;=-90.00,metadata!K37&lt;=90.00))</f>
        <v>0</v>
      </c>
      <c r="AL37">
        <f>OR(AND(IF(metadata!L37="",FALSE,TRUE),OR(exact(metadata!L37,"missing: not collected"),exact(metadata!L37,"missing: not provided"),exact(metadata!L37,"missing: restricted access"))),AND(IF(metadata!L37="",FALSE,ISNUMBER(VALUE(metadata!L37))),metadata!L37&gt;=-180.00,metadata!L37&lt;=180.00))</f>
        <v>0</v>
      </c>
      <c r="AM37">
        <f>IF(metadata!M37="",FALSE,TRUE)</f>
        <v>0</v>
      </c>
      <c r="AN37">
        <f>OR(AND(IF(metadata!N37="",FALSE,TRUE),OR(exact(metadata!N37,"missing: not collected"),exact(metadata!N37,"missing: not provided"),exact(metadata!N37,"missing: restricted access"))),AND(IF(metadata!N37="",FALSE,TRUE),OR(exact(metadata!N37,"TRUE"),exact(metadata!N37,"FALSE"))))</f>
        <v>0</v>
      </c>
      <c r="AO37">
        <f>IF(metadata!O37="",FALSE,TRUE)</f>
        <v>0</v>
      </c>
      <c r="AP37">
        <f>OR(AND(IF(metadata!P37="",FALSE,TRUE),OR(exact(metadata!P37,"missing: not collected"),exact(metadata!P37,"missing: not provided"))),AND(IF(metadata!P37="",FALSE,IF(ISERROR(INT(metadata!P37)),FALSE,INT(metadata!P37)=metadata!P37)),metadata!P37&gt;0))</f>
        <v>0</v>
      </c>
      <c r="AQ37">
        <f>IF(metadata!Q37="",FALSE,TRUE)</f>
        <v>0</v>
      </c>
    </row>
    <row r="38" spans="1:43">
      <c r="A38" s="5">
        <f>IF(B38=" "," ",HYPERLINK(CONCATENATE("#metadata!",ADDRESS(INDEX($W$2:$W$1001,MATCH(ROWS($U$2:U38),$U$2:$U$1001,0),0),1)),INDEX($Z$2:$Z$1001,MATCH(ROWS($U$2:U38),$U$2:$U$1001,0),0)))</f>
        <v>0</v>
      </c>
      <c r="B38" s="4">
        <f>IF(OR(INDEX($V$2:$V$1001,MATCH(ROWS($U$2:U38),$U$2:$U$1001,0),1)&gt;=100000,INDEX($AB$1005:$AQ$1005,1,MATCH(COLUMNS($AB$1006:AB1006),$AB$1006:$AQ$1006,0))&gt;=100000), " ",IF(INDEX($AB$2:$AQ$1001,MATCH(ROWS($U$2:U38),$U$2:$U$1001,0),MATCH(COLUMNS($AB$1006:AB1006),$AB$1006:$AQ$1006,0)), HYPERLINK("#",""), HYPERLINK(CONCATENATE("#metadata!", ADDRESS(INDEX($W$2:$W$1001,MATCH(ROWS($U$2:U38),$U$2:$U$1001,0),0), INDEX($AB$1004:$AQ$1004,1,MATCH(COLUMNS($AB$1006:AB1006),$AB$1006:$AQ$1006,0)))),"Fix")))</f>
        <v>0</v>
      </c>
      <c r="C38" s="4">
        <f>IF(OR(INDEX($V$2:$V$1001,MATCH(ROWS($U$2:U38),$U$2:$U$1001,0),1)&gt;=100000,INDEX($AB$1005:$AQ$1005,1,MATCH(COLUMNS($AB$1006:AC1006),$AB$1006:$AQ$1006,0))&gt;=100000), " ",IF(INDEX($AB$2:$AQ$1001,MATCH(ROWS($U$2:U38),$U$2:$U$1001,0),MATCH(COLUMNS($AB$1006:AC1006),$AB$1006:$AQ$1006,0)), HYPERLINK("#",""), HYPERLINK(CONCATENATE("#metadata!", ADDRESS(INDEX($W$2:$W$1001,MATCH(ROWS($U$2:U38),$U$2:$U$1001,0),0), INDEX($AB$1004:$AQ$1004,1,MATCH(COLUMNS($AB$1006:AC1006),$AB$1006:$AQ$1006,0)))),"Fix")))</f>
        <v>0</v>
      </c>
      <c r="D38" s="4">
        <f>IF(OR(INDEX($V$2:$V$1001,MATCH(ROWS($U$2:U38),$U$2:$U$1001,0),1)&gt;=100000,INDEX($AB$1005:$AQ$1005,1,MATCH(COLUMNS($AB$1006:AD1006),$AB$1006:$AQ$1006,0))&gt;=100000), " ",IF(INDEX($AB$2:$AQ$1001,MATCH(ROWS($U$2:U38),$U$2:$U$1001,0),MATCH(COLUMNS($AB$1006:AD1006),$AB$1006:$AQ$1006,0)), HYPERLINK("#",""), HYPERLINK(CONCATENATE("#metadata!", ADDRESS(INDEX($W$2:$W$1001,MATCH(ROWS($U$2:U38),$U$2:$U$1001,0),0), INDEX($AB$1004:$AQ$1004,1,MATCH(COLUMNS($AB$1006:AD1006),$AB$1006:$AQ$1006,0)))),"Fix")))</f>
        <v>0</v>
      </c>
      <c r="E38" s="4">
        <f>IF(OR(INDEX($V$2:$V$1001,MATCH(ROWS($U$2:U38),$U$2:$U$1001,0),1)&gt;=100000,INDEX($AB$1005:$AQ$1005,1,MATCH(COLUMNS($AB$1006:AE1006),$AB$1006:$AQ$1006,0))&gt;=100000), " ",IF(INDEX($AB$2:$AQ$1001,MATCH(ROWS($U$2:U38),$U$2:$U$1001,0),MATCH(COLUMNS($AB$1006:AE1006),$AB$1006:$AQ$1006,0)), HYPERLINK("#",""), HYPERLINK(CONCATENATE("#metadata!", ADDRESS(INDEX($W$2:$W$1001,MATCH(ROWS($U$2:U38),$U$2:$U$1001,0),0), INDEX($AB$1004:$AQ$1004,1,MATCH(COLUMNS($AB$1006:AE1006),$AB$1006:$AQ$1006,0)))),"Fix")))</f>
        <v>0</v>
      </c>
      <c r="F38" s="4">
        <f>IF(OR(INDEX($V$2:$V$1001,MATCH(ROWS($U$2:U38),$U$2:$U$1001,0),1)&gt;=100000,INDEX($AB$1005:$AQ$1005,1,MATCH(COLUMNS($AB$1006:AF1006),$AB$1006:$AQ$1006,0))&gt;=100000), " ",IF(INDEX($AB$2:$AQ$1001,MATCH(ROWS($U$2:U38),$U$2:$U$1001,0),MATCH(COLUMNS($AB$1006:AF1006),$AB$1006:$AQ$1006,0)), HYPERLINK("#",""), HYPERLINK(CONCATENATE("#metadata!", ADDRESS(INDEX($W$2:$W$1001,MATCH(ROWS($U$2:U38),$U$2:$U$1001,0),0), INDEX($AB$1004:$AQ$1004,1,MATCH(COLUMNS($AB$1006:AF1006),$AB$1006:$AQ$1006,0)))),"Fix")))</f>
        <v>0</v>
      </c>
      <c r="G38" s="4">
        <f>IF(OR(INDEX($V$2:$V$1001,MATCH(ROWS($U$2:U38),$U$2:$U$1001,0),1)&gt;=100000,INDEX($AB$1005:$AQ$1005,1,MATCH(COLUMNS($AB$1006:AG1006),$AB$1006:$AQ$1006,0))&gt;=100000), " ",IF(INDEX($AB$2:$AQ$1001,MATCH(ROWS($U$2:U38),$U$2:$U$1001,0),MATCH(COLUMNS($AB$1006:AG1006),$AB$1006:$AQ$1006,0)), HYPERLINK("#",""), HYPERLINK(CONCATENATE("#metadata!", ADDRESS(INDEX($W$2:$W$1001,MATCH(ROWS($U$2:U38),$U$2:$U$1001,0),0), INDEX($AB$1004:$AQ$1004,1,MATCH(COLUMNS($AB$1006:AG1006),$AB$1006:$AQ$1006,0)))),"Fix")))</f>
        <v>0</v>
      </c>
      <c r="H38" s="4">
        <f>IF(OR(INDEX($V$2:$V$1001,MATCH(ROWS($U$2:U38),$U$2:$U$1001,0),1)&gt;=100000,INDEX($AB$1005:$AQ$1005,1,MATCH(COLUMNS($AB$1006:AH1006),$AB$1006:$AQ$1006,0))&gt;=100000), " ",IF(INDEX($AB$2:$AQ$1001,MATCH(ROWS($U$2:U38),$U$2:$U$1001,0),MATCH(COLUMNS($AB$1006:AH1006),$AB$1006:$AQ$1006,0)), HYPERLINK("#",""), HYPERLINK(CONCATENATE("#metadata!", ADDRESS(INDEX($W$2:$W$1001,MATCH(ROWS($U$2:U38),$U$2:$U$1001,0),0), INDEX($AB$1004:$AQ$1004,1,MATCH(COLUMNS($AB$1006:AH1006),$AB$1006:$AQ$1006,0)))),"Fix")))</f>
        <v>0</v>
      </c>
      <c r="I38" s="4">
        <f>IF(OR(INDEX($V$2:$V$1001,MATCH(ROWS($U$2:U38),$U$2:$U$1001,0),1)&gt;=100000,INDEX($AB$1005:$AQ$1005,1,MATCH(COLUMNS($AB$1006:AI1006),$AB$1006:$AQ$1006,0))&gt;=100000), " ",IF(INDEX($AB$2:$AQ$1001,MATCH(ROWS($U$2:U38),$U$2:$U$1001,0),MATCH(COLUMNS($AB$1006:AI1006),$AB$1006:$AQ$1006,0)), HYPERLINK("#",""), HYPERLINK(CONCATENATE("#metadata!", ADDRESS(INDEX($W$2:$W$1001,MATCH(ROWS($U$2:U38),$U$2:$U$1001,0),0), INDEX($AB$1004:$AQ$1004,1,MATCH(COLUMNS($AB$1006:AI1006),$AB$1006:$AQ$1006,0)))),"Fix")))</f>
        <v>0</v>
      </c>
      <c r="J38" s="4">
        <f>IF(OR(INDEX($V$2:$V$1001,MATCH(ROWS($U$2:U38),$U$2:$U$1001,0),1)&gt;=100000,INDEX($AB$1005:$AQ$1005,1,MATCH(COLUMNS($AB$1006:AJ1006),$AB$1006:$AQ$1006,0))&gt;=100000), " ",IF(INDEX($AB$2:$AQ$1001,MATCH(ROWS($U$2:U38),$U$2:$U$1001,0),MATCH(COLUMNS($AB$1006:AJ1006),$AB$1006:$AQ$1006,0)), HYPERLINK("#",""), HYPERLINK(CONCATENATE("#metadata!", ADDRESS(INDEX($W$2:$W$1001,MATCH(ROWS($U$2:U38),$U$2:$U$1001,0),0), INDEX($AB$1004:$AQ$1004,1,MATCH(COLUMNS($AB$1006:AJ1006),$AB$1006:$AQ$1006,0)))),"Fix")))</f>
        <v>0</v>
      </c>
      <c r="K38" s="4">
        <f>IF(OR(INDEX($V$2:$V$1001,MATCH(ROWS($U$2:U38),$U$2:$U$1001,0),1)&gt;=100000,INDEX($AB$1005:$AQ$1005,1,MATCH(COLUMNS($AB$1006:AK1006),$AB$1006:$AQ$1006,0))&gt;=100000), " ",IF(INDEX($AB$2:$AQ$1001,MATCH(ROWS($U$2:U38),$U$2:$U$1001,0),MATCH(COLUMNS($AB$1006:AK1006),$AB$1006:$AQ$1006,0)), HYPERLINK("#",""), HYPERLINK(CONCATENATE("#metadata!", ADDRESS(INDEX($W$2:$W$1001,MATCH(ROWS($U$2:U38),$U$2:$U$1001,0),0), INDEX($AB$1004:$AQ$1004,1,MATCH(COLUMNS($AB$1006:AK1006),$AB$1006:$AQ$1006,0)))),"Fix")))</f>
        <v>0</v>
      </c>
      <c r="L38" s="4">
        <f>IF(OR(INDEX($V$2:$V$1001,MATCH(ROWS($U$2:U38),$U$2:$U$1001,0),1)&gt;=100000,INDEX($AB$1005:$AQ$1005,1,MATCH(COLUMNS($AB$1006:AL1006),$AB$1006:$AQ$1006,0))&gt;=100000), " ",IF(INDEX($AB$2:$AQ$1001,MATCH(ROWS($U$2:U38),$U$2:$U$1001,0),MATCH(COLUMNS($AB$1006:AL1006),$AB$1006:$AQ$1006,0)), HYPERLINK("#",""), HYPERLINK(CONCATENATE("#metadata!", ADDRESS(INDEX($W$2:$W$1001,MATCH(ROWS($U$2:U38),$U$2:$U$1001,0),0), INDEX($AB$1004:$AQ$1004,1,MATCH(COLUMNS($AB$1006:AL1006),$AB$1006:$AQ$1006,0)))),"Fix")))</f>
        <v>0</v>
      </c>
      <c r="M38" s="4">
        <f>IF(OR(INDEX($V$2:$V$1001,MATCH(ROWS($U$2:U38),$U$2:$U$1001,0),1)&gt;=100000,INDEX($AB$1005:$AQ$1005,1,MATCH(COLUMNS($AB$1006:AM1006),$AB$1006:$AQ$1006,0))&gt;=100000), " ",IF(INDEX($AB$2:$AQ$1001,MATCH(ROWS($U$2:U38),$U$2:$U$1001,0),MATCH(COLUMNS($AB$1006:AM1006),$AB$1006:$AQ$1006,0)), HYPERLINK("#",""), HYPERLINK(CONCATENATE("#metadata!", ADDRESS(INDEX($W$2:$W$1001,MATCH(ROWS($U$2:U38),$U$2:$U$1001,0),0), INDEX($AB$1004:$AQ$1004,1,MATCH(COLUMNS($AB$1006:AM1006),$AB$1006:$AQ$1006,0)))),"Fix")))</f>
        <v>0</v>
      </c>
      <c r="N38" s="4">
        <f>IF(OR(INDEX($V$2:$V$1001,MATCH(ROWS($U$2:U38),$U$2:$U$1001,0),1)&gt;=100000,INDEX($AB$1005:$AQ$1005,1,MATCH(COLUMNS($AB$1006:AN1006),$AB$1006:$AQ$1006,0))&gt;=100000), " ",IF(INDEX($AB$2:$AQ$1001,MATCH(ROWS($U$2:U38),$U$2:$U$1001,0),MATCH(COLUMNS($AB$1006:AN1006),$AB$1006:$AQ$1006,0)), HYPERLINK("#",""), HYPERLINK(CONCATENATE("#metadata!", ADDRESS(INDEX($W$2:$W$1001,MATCH(ROWS($U$2:U38),$U$2:$U$1001,0),0), INDEX($AB$1004:$AQ$1004,1,MATCH(COLUMNS($AB$1006:AN1006),$AB$1006:$AQ$1006,0)))),"Fix")))</f>
        <v>0</v>
      </c>
      <c r="O38" s="4">
        <f>IF(OR(INDEX($V$2:$V$1001,MATCH(ROWS($U$2:U38),$U$2:$U$1001,0),1)&gt;=100000,INDEX($AB$1005:$AQ$1005,1,MATCH(COLUMNS($AB$1006:AO1006),$AB$1006:$AQ$1006,0))&gt;=100000), " ",IF(INDEX($AB$2:$AQ$1001,MATCH(ROWS($U$2:U38),$U$2:$U$1001,0),MATCH(COLUMNS($AB$1006:AO1006),$AB$1006:$AQ$1006,0)), HYPERLINK("#",""), HYPERLINK(CONCATENATE("#metadata!", ADDRESS(INDEX($W$2:$W$1001,MATCH(ROWS($U$2:U38),$U$2:$U$1001,0),0), INDEX($AB$1004:$AQ$1004,1,MATCH(COLUMNS($AB$1006:AO1006),$AB$1006:$AQ$1006,0)))),"Fix")))</f>
        <v>0</v>
      </c>
      <c r="P38" s="4">
        <f>IF(OR(INDEX($V$2:$V$1001,MATCH(ROWS($U$2:U38),$U$2:$U$1001,0),1)&gt;=100000,INDEX($AB$1005:$AQ$1005,1,MATCH(COLUMNS($AB$1006:AP1006),$AB$1006:$AQ$1006,0))&gt;=100000), " ",IF(INDEX($AB$2:$AQ$1001,MATCH(ROWS($U$2:U38),$U$2:$U$1001,0),MATCH(COLUMNS($AB$1006:AP1006),$AB$1006:$AQ$1006,0)), HYPERLINK("#",""), HYPERLINK(CONCATENATE("#metadata!", ADDRESS(INDEX($W$2:$W$1001,MATCH(ROWS($U$2:U38),$U$2:$U$1001,0),0), INDEX($AB$1004:$AQ$1004,1,MATCH(COLUMNS($AB$1006:AP1006),$AB$1006:$AQ$1006,0)))),"Fix")))</f>
        <v>0</v>
      </c>
      <c r="Q38" s="4">
        <f>IF(OR(INDEX($V$2:$V$1001,MATCH(ROWS($U$2:U38),$U$2:$U$1001,0),1)&gt;=100000,INDEX($AB$1005:$AQ$1005,1,MATCH(COLUMNS($AB$1006:AQ1006),$AB$1006:$AQ$1006,0))&gt;=100000), " ",IF(INDEX($AB$2:$AQ$1001,MATCH(ROWS($U$2:U38),$U$2:$U$1001,0),MATCH(COLUMNS($AB$1006:AQ1006),$AB$1006:$AQ$1006,0)), HYPERLINK("#",""), HYPERLINK(CONCATENATE("#metadata!", ADDRESS(INDEX($W$2:$W$1001,MATCH(ROWS($U$2:U38),$U$2:$U$1001,0),0), INDEX($AB$1004:$AQ$1004,1,MATCH(COLUMNS($AB$1006:AQ1006),$AB$1006:$AQ$1006,0)))),"Fix")))</f>
        <v>0</v>
      </c>
      <c r="U38">
        <v>0</v>
      </c>
      <c r="V38">
        <v>0</v>
      </c>
      <c r="W38">
        <v>0</v>
      </c>
      <c r="X38">
        <f>IF(Y38,TRUE,AND(AB38:AQ38))</f>
        <v>0</v>
      </c>
      <c r="Y38">
        <f>COUNTBLANK(metadata!B38:Q38)=COLUMNS(metadata!B38:Q38)</f>
        <v>0</v>
      </c>
      <c r="Z38">
        <v>0</v>
      </c>
      <c r="AB38">
        <f>AND(IF(metadata!B38="",FALSE,TRUE),COUNTIF(metadata!B:B, metadata!B38) = 1,NOT(ISERROR(SUMPRODUCT(SEARCH(MID(metadata!B38,ROW(INDIRECT("1:"&amp;LEN(metadata!B38))), 1),"0123456789abcdefghijklmnopqrstuvwxyzABCDEFGHIJKLMNOPQRSTUVWXYZ.")))))</f>
        <v>0</v>
      </c>
      <c r="AC38">
        <f>OR(AND(IF(metadata!C38="",FALSE,TRUE),OR(exact(metadata!C38,"missing: not collected"),exact(metadata!C38,"missing: not provided"),exact(metadata!C38,"missing: restricted access"))),AND(IF(metadata!C38="",FALSE,TRUE),AND(AND(IFERROR(INT(LEFT(metadata!C38,4))&gt;1900,FALSE),IFERROR(INT(LEFT(metadata!C38,4))&lt;=YEAR(NOW()),FALSE)), OR(MID(metadata!C38,5,1)="", AND(AND(MID(metadata!C38,5,1)="-",IFERROR(INT(MID(metadata!C38,6,1))&gt;=0,FALSE),IFERROR(INT(MID(metadata!C38,6,1))&lt;=1,FALSE),NOT(MID(metadata!C38,7,1)=""),IFERROR(INT(MID(metadata!C38,6,2))&gt;=1,FALSE),IFERROR(INT(MID(metadata!C38,6,2))&lt;=12,FALSE)), OR(MID(metadata!C38,8,1)="", AND(AND(MID(metadata!C38,8,1)="-",IFERROR(INT(MID(metadata!C38,9,1))&gt;=0,FALSE),IFERROR(INT(MID(metadata!C38,9,1))&lt;=3,FALSE),NOT(MID(metadata!C38,10,1)=""),IFERROR(INT(MID(metadata!C38,9,2))&gt;=1,FALSE),IFERROR(INT(MID(metadata!C38,9,2))&lt;=31,FALSE)), OR(MID(metadata!C38,11,1)="", AND(AND(MID(metadata!C38,11,1)=" ",IFERROR(INT(MID(metadata!C38,12,1))&gt;=0,FALSE),IFERROR(INT(MID(metadata!C38,12,1))&lt;=2,FALSE),NOT(MID(metadata!C38,13,1)=""),IFERROR(INT(MID(metadata!C38,12,2))&gt;=0,FALSE),IFERROR(INT(MID(metadata!C38,12,2))&lt;=23,FALSE)), OR(MID(metadata!C38,14,1)="", AND(AND(MID(metadata!C38,14,1)=":",IFERROR(INT(MID(metadata!C38,15,1))&gt;=0,FALSE),IFERROR(INT(MID(metadata!C38,15,1))&lt;=5,FALSE),NOT(MID(metadata!C38,16,1)=""),IFERROR(INT(MID(metadata!C38,15,2))&gt;=0,FALSE),IFERROR(INT(MID(metadata!C38,15,2))&lt;=59,FALSE)), OR(MID(metadata!C38,17,1)="", AND(AND(MID(metadata!C38,17,1)=":",IFERROR(INT(MID(metadata!C38,18,1))&gt;=0,FALSE),IFERROR(INT(MID(metadata!C38,18,1))&lt;=5,FALSE),NOT(MID(metadata!C38,19,1)=""),IFERROR(INT(MID(metadata!C38,18,2))&gt;=0,FALSE),IFERROR(INT(MID(metadata!C38,18,2))&lt;=59,FALSE)), LEN(metadata!C38)&lt;=19)))))))))))))</f>
        <v>0</v>
      </c>
      <c r="AD38">
        <f>IF(metadata!D38="",FALSE,TRUE)</f>
        <v>0</v>
      </c>
      <c r="AE38">
        <f>OR(AND(IF(metadata!E38="",FALSE,TRUE),OR(exact(metadata!E38,"missing: not collected"),exact(metadata!E38,"missing: not provided"))),AND(IF(metadata!E38="",FALSE,TRUE),OR(exact(metadata!E38,"TRUE"),exact(metadata!E38,"FALSE"))))</f>
        <v>0</v>
      </c>
      <c r="AF38">
        <f>IF(metadata!F38="",FALSE,TRUE)</f>
        <v>0</v>
      </c>
      <c r="AG38">
        <f>IF(metadata!G38="",FALSE,TRUE)</f>
        <v>0</v>
      </c>
      <c r="AH38">
        <f>IF(metadata!H38="",FALSE,TRUE)</f>
        <v>0</v>
      </c>
      <c r="AI38">
        <f>OR(AND(IF(metadata!I38="",FALSE,TRUE),OR(exact(metadata!I38,"missing: not collected"),exact(metadata!I38,"missing: not provided"),exact(metadata!I38,"missing: restricted access"))),AND(IF(metadata!I38="",FALSE,TRUE),OR(exact(metadata!I38,"air"),exact(metadata!I38,"built environment"),exact(metadata!I38,"host-associated"),exact(metadata!I38,"human-associated"),exact(metadata!I38,"human-skin"),exact(metadata!I38,"human-oral"),exact(metadata!I38,"human-gut"),exact(metadata!I38,"human-vaginal"),exact(metadata!I38,"microbial mat/biofilm"),exact(metadata!I38,"misc environment"),exact(metadata!I38,"plant-associated"),exact(metadata!I38,"sediment"),exact(metadata!I38,"soil"),exact(metadata!I38,"wastewater/sludge"),exact(metadata!I38,"water"))))</f>
        <v>0</v>
      </c>
      <c r="AJ38">
        <f>IF(metadata!J38="",FALSE,TRUE)</f>
        <v>0</v>
      </c>
      <c r="AK38">
        <f>OR(AND(IF(metadata!K38="",FALSE,TRUE),OR(exact(metadata!K38,"missing: not collected"),exact(metadata!K38,"missing: not provided"),exact(metadata!K38,"missing: restricted access"))),AND(IF(metadata!K38="",FALSE,ISNUMBER(VALUE(metadata!K38))),metadata!K38&gt;=-90.00,metadata!K38&lt;=90.00))</f>
        <v>0</v>
      </c>
      <c r="AL38">
        <f>OR(AND(IF(metadata!L38="",FALSE,TRUE),OR(exact(metadata!L38,"missing: not collected"),exact(metadata!L38,"missing: not provided"),exact(metadata!L38,"missing: restricted access"))),AND(IF(metadata!L38="",FALSE,ISNUMBER(VALUE(metadata!L38))),metadata!L38&gt;=-180.00,metadata!L38&lt;=180.00))</f>
        <v>0</v>
      </c>
      <c r="AM38">
        <f>IF(metadata!M38="",FALSE,TRUE)</f>
        <v>0</v>
      </c>
      <c r="AN38">
        <f>OR(AND(IF(metadata!N38="",FALSE,TRUE),OR(exact(metadata!N38,"missing: not collected"),exact(metadata!N38,"missing: not provided"),exact(metadata!N38,"missing: restricted access"))),AND(IF(metadata!N38="",FALSE,TRUE),OR(exact(metadata!N38,"TRUE"),exact(metadata!N38,"FALSE"))))</f>
        <v>0</v>
      </c>
      <c r="AO38">
        <f>IF(metadata!O38="",FALSE,TRUE)</f>
        <v>0</v>
      </c>
      <c r="AP38">
        <f>OR(AND(IF(metadata!P38="",FALSE,TRUE),OR(exact(metadata!P38,"missing: not collected"),exact(metadata!P38,"missing: not provided"))),AND(IF(metadata!P38="",FALSE,IF(ISERROR(INT(metadata!P38)),FALSE,INT(metadata!P38)=metadata!P38)),metadata!P38&gt;0))</f>
        <v>0</v>
      </c>
      <c r="AQ38">
        <f>IF(metadata!Q38="",FALSE,TRUE)</f>
        <v>0</v>
      </c>
    </row>
    <row r="39" spans="1:43">
      <c r="A39" s="5">
        <f>IF(B39=" "," ",HYPERLINK(CONCATENATE("#metadata!",ADDRESS(INDEX($W$2:$W$1001,MATCH(ROWS($U$2:U39),$U$2:$U$1001,0),0),1)),INDEX($Z$2:$Z$1001,MATCH(ROWS($U$2:U39),$U$2:$U$1001,0),0)))</f>
        <v>0</v>
      </c>
      <c r="B39" s="4">
        <f>IF(OR(INDEX($V$2:$V$1001,MATCH(ROWS($U$2:U39),$U$2:$U$1001,0),1)&gt;=100000,INDEX($AB$1005:$AQ$1005,1,MATCH(COLUMNS($AB$1006:AB1006),$AB$1006:$AQ$1006,0))&gt;=100000), " ",IF(INDEX($AB$2:$AQ$1001,MATCH(ROWS($U$2:U39),$U$2:$U$1001,0),MATCH(COLUMNS($AB$1006:AB1006),$AB$1006:$AQ$1006,0)), HYPERLINK("#",""), HYPERLINK(CONCATENATE("#metadata!", ADDRESS(INDEX($W$2:$W$1001,MATCH(ROWS($U$2:U39),$U$2:$U$1001,0),0), INDEX($AB$1004:$AQ$1004,1,MATCH(COLUMNS($AB$1006:AB1006),$AB$1006:$AQ$1006,0)))),"Fix")))</f>
        <v>0</v>
      </c>
      <c r="C39" s="4">
        <f>IF(OR(INDEX($V$2:$V$1001,MATCH(ROWS($U$2:U39),$U$2:$U$1001,0),1)&gt;=100000,INDEX($AB$1005:$AQ$1005,1,MATCH(COLUMNS($AB$1006:AC1006),$AB$1006:$AQ$1006,0))&gt;=100000), " ",IF(INDEX($AB$2:$AQ$1001,MATCH(ROWS($U$2:U39),$U$2:$U$1001,0),MATCH(COLUMNS($AB$1006:AC1006),$AB$1006:$AQ$1006,0)), HYPERLINK("#",""), HYPERLINK(CONCATENATE("#metadata!", ADDRESS(INDEX($W$2:$W$1001,MATCH(ROWS($U$2:U39),$U$2:$U$1001,0),0), INDEX($AB$1004:$AQ$1004,1,MATCH(COLUMNS($AB$1006:AC1006),$AB$1006:$AQ$1006,0)))),"Fix")))</f>
        <v>0</v>
      </c>
      <c r="D39" s="4">
        <f>IF(OR(INDEX($V$2:$V$1001,MATCH(ROWS($U$2:U39),$U$2:$U$1001,0),1)&gt;=100000,INDEX($AB$1005:$AQ$1005,1,MATCH(COLUMNS($AB$1006:AD1006),$AB$1006:$AQ$1006,0))&gt;=100000), " ",IF(INDEX($AB$2:$AQ$1001,MATCH(ROWS($U$2:U39),$U$2:$U$1001,0),MATCH(COLUMNS($AB$1006:AD1006),$AB$1006:$AQ$1006,0)), HYPERLINK("#",""), HYPERLINK(CONCATENATE("#metadata!", ADDRESS(INDEX($W$2:$W$1001,MATCH(ROWS($U$2:U39),$U$2:$U$1001,0),0), INDEX($AB$1004:$AQ$1004,1,MATCH(COLUMNS($AB$1006:AD1006),$AB$1006:$AQ$1006,0)))),"Fix")))</f>
        <v>0</v>
      </c>
      <c r="E39" s="4">
        <f>IF(OR(INDEX($V$2:$V$1001,MATCH(ROWS($U$2:U39),$U$2:$U$1001,0),1)&gt;=100000,INDEX($AB$1005:$AQ$1005,1,MATCH(COLUMNS($AB$1006:AE1006),$AB$1006:$AQ$1006,0))&gt;=100000), " ",IF(INDEX($AB$2:$AQ$1001,MATCH(ROWS($U$2:U39),$U$2:$U$1001,0),MATCH(COLUMNS($AB$1006:AE1006),$AB$1006:$AQ$1006,0)), HYPERLINK("#",""), HYPERLINK(CONCATENATE("#metadata!", ADDRESS(INDEX($W$2:$W$1001,MATCH(ROWS($U$2:U39),$U$2:$U$1001,0),0), INDEX($AB$1004:$AQ$1004,1,MATCH(COLUMNS($AB$1006:AE1006),$AB$1006:$AQ$1006,0)))),"Fix")))</f>
        <v>0</v>
      </c>
      <c r="F39" s="4">
        <f>IF(OR(INDEX($V$2:$V$1001,MATCH(ROWS($U$2:U39),$U$2:$U$1001,0),1)&gt;=100000,INDEX($AB$1005:$AQ$1005,1,MATCH(COLUMNS($AB$1006:AF1006),$AB$1006:$AQ$1006,0))&gt;=100000), " ",IF(INDEX($AB$2:$AQ$1001,MATCH(ROWS($U$2:U39),$U$2:$U$1001,0),MATCH(COLUMNS($AB$1006:AF1006),$AB$1006:$AQ$1006,0)), HYPERLINK("#",""), HYPERLINK(CONCATENATE("#metadata!", ADDRESS(INDEX($W$2:$W$1001,MATCH(ROWS($U$2:U39),$U$2:$U$1001,0),0), INDEX($AB$1004:$AQ$1004,1,MATCH(COLUMNS($AB$1006:AF1006),$AB$1006:$AQ$1006,0)))),"Fix")))</f>
        <v>0</v>
      </c>
      <c r="G39" s="4">
        <f>IF(OR(INDEX($V$2:$V$1001,MATCH(ROWS($U$2:U39),$U$2:$U$1001,0),1)&gt;=100000,INDEX($AB$1005:$AQ$1005,1,MATCH(COLUMNS($AB$1006:AG1006),$AB$1006:$AQ$1006,0))&gt;=100000), " ",IF(INDEX($AB$2:$AQ$1001,MATCH(ROWS($U$2:U39),$U$2:$U$1001,0),MATCH(COLUMNS($AB$1006:AG1006),$AB$1006:$AQ$1006,0)), HYPERLINK("#",""), HYPERLINK(CONCATENATE("#metadata!", ADDRESS(INDEX($W$2:$W$1001,MATCH(ROWS($U$2:U39),$U$2:$U$1001,0),0), INDEX($AB$1004:$AQ$1004,1,MATCH(COLUMNS($AB$1006:AG1006),$AB$1006:$AQ$1006,0)))),"Fix")))</f>
        <v>0</v>
      </c>
      <c r="H39" s="4">
        <f>IF(OR(INDEX($V$2:$V$1001,MATCH(ROWS($U$2:U39),$U$2:$U$1001,0),1)&gt;=100000,INDEX($AB$1005:$AQ$1005,1,MATCH(COLUMNS($AB$1006:AH1006),$AB$1006:$AQ$1006,0))&gt;=100000), " ",IF(INDEX($AB$2:$AQ$1001,MATCH(ROWS($U$2:U39),$U$2:$U$1001,0),MATCH(COLUMNS($AB$1006:AH1006),$AB$1006:$AQ$1006,0)), HYPERLINK("#",""), HYPERLINK(CONCATENATE("#metadata!", ADDRESS(INDEX($W$2:$W$1001,MATCH(ROWS($U$2:U39),$U$2:$U$1001,0),0), INDEX($AB$1004:$AQ$1004,1,MATCH(COLUMNS($AB$1006:AH1006),$AB$1006:$AQ$1006,0)))),"Fix")))</f>
        <v>0</v>
      </c>
      <c r="I39" s="4">
        <f>IF(OR(INDEX($V$2:$V$1001,MATCH(ROWS($U$2:U39),$U$2:$U$1001,0),1)&gt;=100000,INDEX($AB$1005:$AQ$1005,1,MATCH(COLUMNS($AB$1006:AI1006),$AB$1006:$AQ$1006,0))&gt;=100000), " ",IF(INDEX($AB$2:$AQ$1001,MATCH(ROWS($U$2:U39),$U$2:$U$1001,0),MATCH(COLUMNS($AB$1006:AI1006),$AB$1006:$AQ$1006,0)), HYPERLINK("#",""), HYPERLINK(CONCATENATE("#metadata!", ADDRESS(INDEX($W$2:$W$1001,MATCH(ROWS($U$2:U39),$U$2:$U$1001,0),0), INDEX($AB$1004:$AQ$1004,1,MATCH(COLUMNS($AB$1006:AI1006),$AB$1006:$AQ$1006,0)))),"Fix")))</f>
        <v>0</v>
      </c>
      <c r="J39" s="4">
        <f>IF(OR(INDEX($V$2:$V$1001,MATCH(ROWS($U$2:U39),$U$2:$U$1001,0),1)&gt;=100000,INDEX($AB$1005:$AQ$1005,1,MATCH(COLUMNS($AB$1006:AJ1006),$AB$1006:$AQ$1006,0))&gt;=100000), " ",IF(INDEX($AB$2:$AQ$1001,MATCH(ROWS($U$2:U39),$U$2:$U$1001,0),MATCH(COLUMNS($AB$1006:AJ1006),$AB$1006:$AQ$1006,0)), HYPERLINK("#",""), HYPERLINK(CONCATENATE("#metadata!", ADDRESS(INDEX($W$2:$W$1001,MATCH(ROWS($U$2:U39),$U$2:$U$1001,0),0), INDEX($AB$1004:$AQ$1004,1,MATCH(COLUMNS($AB$1006:AJ1006),$AB$1006:$AQ$1006,0)))),"Fix")))</f>
        <v>0</v>
      </c>
      <c r="K39" s="4">
        <f>IF(OR(INDEX($V$2:$V$1001,MATCH(ROWS($U$2:U39),$U$2:$U$1001,0),1)&gt;=100000,INDEX($AB$1005:$AQ$1005,1,MATCH(COLUMNS($AB$1006:AK1006),$AB$1006:$AQ$1006,0))&gt;=100000), " ",IF(INDEX($AB$2:$AQ$1001,MATCH(ROWS($U$2:U39),$U$2:$U$1001,0),MATCH(COLUMNS($AB$1006:AK1006),$AB$1006:$AQ$1006,0)), HYPERLINK("#",""), HYPERLINK(CONCATENATE("#metadata!", ADDRESS(INDEX($W$2:$W$1001,MATCH(ROWS($U$2:U39),$U$2:$U$1001,0),0), INDEX($AB$1004:$AQ$1004,1,MATCH(COLUMNS($AB$1006:AK1006),$AB$1006:$AQ$1006,0)))),"Fix")))</f>
        <v>0</v>
      </c>
      <c r="L39" s="4">
        <f>IF(OR(INDEX($V$2:$V$1001,MATCH(ROWS($U$2:U39),$U$2:$U$1001,0),1)&gt;=100000,INDEX($AB$1005:$AQ$1005,1,MATCH(COLUMNS($AB$1006:AL1006),$AB$1006:$AQ$1006,0))&gt;=100000), " ",IF(INDEX($AB$2:$AQ$1001,MATCH(ROWS($U$2:U39),$U$2:$U$1001,0),MATCH(COLUMNS($AB$1006:AL1006),$AB$1006:$AQ$1006,0)), HYPERLINK("#",""), HYPERLINK(CONCATENATE("#metadata!", ADDRESS(INDEX($W$2:$W$1001,MATCH(ROWS($U$2:U39),$U$2:$U$1001,0),0), INDEX($AB$1004:$AQ$1004,1,MATCH(COLUMNS($AB$1006:AL1006),$AB$1006:$AQ$1006,0)))),"Fix")))</f>
        <v>0</v>
      </c>
      <c r="M39" s="4">
        <f>IF(OR(INDEX($V$2:$V$1001,MATCH(ROWS($U$2:U39),$U$2:$U$1001,0),1)&gt;=100000,INDEX($AB$1005:$AQ$1005,1,MATCH(COLUMNS($AB$1006:AM1006),$AB$1006:$AQ$1006,0))&gt;=100000), " ",IF(INDEX($AB$2:$AQ$1001,MATCH(ROWS($U$2:U39),$U$2:$U$1001,0),MATCH(COLUMNS($AB$1006:AM1006),$AB$1006:$AQ$1006,0)), HYPERLINK("#",""), HYPERLINK(CONCATENATE("#metadata!", ADDRESS(INDEX($W$2:$W$1001,MATCH(ROWS($U$2:U39),$U$2:$U$1001,0),0), INDEX($AB$1004:$AQ$1004,1,MATCH(COLUMNS($AB$1006:AM1006),$AB$1006:$AQ$1006,0)))),"Fix")))</f>
        <v>0</v>
      </c>
      <c r="N39" s="4">
        <f>IF(OR(INDEX($V$2:$V$1001,MATCH(ROWS($U$2:U39),$U$2:$U$1001,0),1)&gt;=100000,INDEX($AB$1005:$AQ$1005,1,MATCH(COLUMNS($AB$1006:AN1006),$AB$1006:$AQ$1006,0))&gt;=100000), " ",IF(INDEX($AB$2:$AQ$1001,MATCH(ROWS($U$2:U39),$U$2:$U$1001,0),MATCH(COLUMNS($AB$1006:AN1006),$AB$1006:$AQ$1006,0)), HYPERLINK("#",""), HYPERLINK(CONCATENATE("#metadata!", ADDRESS(INDEX($W$2:$W$1001,MATCH(ROWS($U$2:U39),$U$2:$U$1001,0),0), INDEX($AB$1004:$AQ$1004,1,MATCH(COLUMNS($AB$1006:AN1006),$AB$1006:$AQ$1006,0)))),"Fix")))</f>
        <v>0</v>
      </c>
      <c r="O39" s="4">
        <f>IF(OR(INDEX($V$2:$V$1001,MATCH(ROWS($U$2:U39),$U$2:$U$1001,0),1)&gt;=100000,INDEX($AB$1005:$AQ$1005,1,MATCH(COLUMNS($AB$1006:AO1006),$AB$1006:$AQ$1006,0))&gt;=100000), " ",IF(INDEX($AB$2:$AQ$1001,MATCH(ROWS($U$2:U39),$U$2:$U$1001,0),MATCH(COLUMNS($AB$1006:AO1006),$AB$1006:$AQ$1006,0)), HYPERLINK("#",""), HYPERLINK(CONCATENATE("#metadata!", ADDRESS(INDEX($W$2:$W$1001,MATCH(ROWS($U$2:U39),$U$2:$U$1001,0),0), INDEX($AB$1004:$AQ$1004,1,MATCH(COLUMNS($AB$1006:AO1006),$AB$1006:$AQ$1006,0)))),"Fix")))</f>
        <v>0</v>
      </c>
      <c r="P39" s="4">
        <f>IF(OR(INDEX($V$2:$V$1001,MATCH(ROWS($U$2:U39),$U$2:$U$1001,0),1)&gt;=100000,INDEX($AB$1005:$AQ$1005,1,MATCH(COLUMNS($AB$1006:AP1006),$AB$1006:$AQ$1006,0))&gt;=100000), " ",IF(INDEX($AB$2:$AQ$1001,MATCH(ROWS($U$2:U39),$U$2:$U$1001,0),MATCH(COLUMNS($AB$1006:AP1006),$AB$1006:$AQ$1006,0)), HYPERLINK("#",""), HYPERLINK(CONCATENATE("#metadata!", ADDRESS(INDEX($W$2:$W$1001,MATCH(ROWS($U$2:U39),$U$2:$U$1001,0),0), INDEX($AB$1004:$AQ$1004,1,MATCH(COLUMNS($AB$1006:AP1006),$AB$1006:$AQ$1006,0)))),"Fix")))</f>
        <v>0</v>
      </c>
      <c r="Q39" s="4">
        <f>IF(OR(INDEX($V$2:$V$1001,MATCH(ROWS($U$2:U39),$U$2:$U$1001,0),1)&gt;=100000,INDEX($AB$1005:$AQ$1005,1,MATCH(COLUMNS($AB$1006:AQ1006),$AB$1006:$AQ$1006,0))&gt;=100000), " ",IF(INDEX($AB$2:$AQ$1001,MATCH(ROWS($U$2:U39),$U$2:$U$1001,0),MATCH(COLUMNS($AB$1006:AQ1006),$AB$1006:$AQ$1006,0)), HYPERLINK("#",""), HYPERLINK(CONCATENATE("#metadata!", ADDRESS(INDEX($W$2:$W$1001,MATCH(ROWS($U$2:U39),$U$2:$U$1001,0),0), INDEX($AB$1004:$AQ$1004,1,MATCH(COLUMNS($AB$1006:AQ1006),$AB$1006:$AQ$1006,0)))),"Fix")))</f>
        <v>0</v>
      </c>
      <c r="U39">
        <v>0</v>
      </c>
      <c r="V39">
        <v>0</v>
      </c>
      <c r="W39">
        <v>0</v>
      </c>
      <c r="X39">
        <f>IF(Y39,TRUE,AND(AB39:AQ39))</f>
        <v>0</v>
      </c>
      <c r="Y39">
        <f>COUNTBLANK(metadata!B39:Q39)=COLUMNS(metadata!B39:Q39)</f>
        <v>0</v>
      </c>
      <c r="Z39">
        <v>0</v>
      </c>
      <c r="AB39">
        <f>AND(IF(metadata!B39="",FALSE,TRUE),COUNTIF(metadata!B:B, metadata!B39) = 1,NOT(ISERROR(SUMPRODUCT(SEARCH(MID(metadata!B39,ROW(INDIRECT("1:"&amp;LEN(metadata!B39))), 1),"0123456789abcdefghijklmnopqrstuvwxyzABCDEFGHIJKLMNOPQRSTUVWXYZ.")))))</f>
        <v>0</v>
      </c>
      <c r="AC39">
        <f>OR(AND(IF(metadata!C39="",FALSE,TRUE),OR(exact(metadata!C39,"missing: not collected"),exact(metadata!C39,"missing: not provided"),exact(metadata!C39,"missing: restricted access"))),AND(IF(metadata!C39="",FALSE,TRUE),AND(AND(IFERROR(INT(LEFT(metadata!C39,4))&gt;1900,FALSE),IFERROR(INT(LEFT(metadata!C39,4))&lt;=YEAR(NOW()),FALSE)), OR(MID(metadata!C39,5,1)="", AND(AND(MID(metadata!C39,5,1)="-",IFERROR(INT(MID(metadata!C39,6,1))&gt;=0,FALSE),IFERROR(INT(MID(metadata!C39,6,1))&lt;=1,FALSE),NOT(MID(metadata!C39,7,1)=""),IFERROR(INT(MID(metadata!C39,6,2))&gt;=1,FALSE),IFERROR(INT(MID(metadata!C39,6,2))&lt;=12,FALSE)), OR(MID(metadata!C39,8,1)="", AND(AND(MID(metadata!C39,8,1)="-",IFERROR(INT(MID(metadata!C39,9,1))&gt;=0,FALSE),IFERROR(INT(MID(metadata!C39,9,1))&lt;=3,FALSE),NOT(MID(metadata!C39,10,1)=""),IFERROR(INT(MID(metadata!C39,9,2))&gt;=1,FALSE),IFERROR(INT(MID(metadata!C39,9,2))&lt;=31,FALSE)), OR(MID(metadata!C39,11,1)="", AND(AND(MID(metadata!C39,11,1)=" ",IFERROR(INT(MID(metadata!C39,12,1))&gt;=0,FALSE),IFERROR(INT(MID(metadata!C39,12,1))&lt;=2,FALSE),NOT(MID(metadata!C39,13,1)=""),IFERROR(INT(MID(metadata!C39,12,2))&gt;=0,FALSE),IFERROR(INT(MID(metadata!C39,12,2))&lt;=23,FALSE)), OR(MID(metadata!C39,14,1)="", AND(AND(MID(metadata!C39,14,1)=":",IFERROR(INT(MID(metadata!C39,15,1))&gt;=0,FALSE),IFERROR(INT(MID(metadata!C39,15,1))&lt;=5,FALSE),NOT(MID(metadata!C39,16,1)=""),IFERROR(INT(MID(metadata!C39,15,2))&gt;=0,FALSE),IFERROR(INT(MID(metadata!C39,15,2))&lt;=59,FALSE)), OR(MID(metadata!C39,17,1)="", AND(AND(MID(metadata!C39,17,1)=":",IFERROR(INT(MID(metadata!C39,18,1))&gt;=0,FALSE),IFERROR(INT(MID(metadata!C39,18,1))&lt;=5,FALSE),NOT(MID(metadata!C39,19,1)=""),IFERROR(INT(MID(metadata!C39,18,2))&gt;=0,FALSE),IFERROR(INT(MID(metadata!C39,18,2))&lt;=59,FALSE)), LEN(metadata!C39)&lt;=19)))))))))))))</f>
        <v>0</v>
      </c>
      <c r="AD39">
        <f>IF(metadata!D39="",FALSE,TRUE)</f>
        <v>0</v>
      </c>
      <c r="AE39">
        <f>OR(AND(IF(metadata!E39="",FALSE,TRUE),OR(exact(metadata!E39,"missing: not collected"),exact(metadata!E39,"missing: not provided"))),AND(IF(metadata!E39="",FALSE,TRUE),OR(exact(metadata!E39,"TRUE"),exact(metadata!E39,"FALSE"))))</f>
        <v>0</v>
      </c>
      <c r="AF39">
        <f>IF(metadata!F39="",FALSE,TRUE)</f>
        <v>0</v>
      </c>
      <c r="AG39">
        <f>IF(metadata!G39="",FALSE,TRUE)</f>
        <v>0</v>
      </c>
      <c r="AH39">
        <f>IF(metadata!H39="",FALSE,TRUE)</f>
        <v>0</v>
      </c>
      <c r="AI39">
        <f>OR(AND(IF(metadata!I39="",FALSE,TRUE),OR(exact(metadata!I39,"missing: not collected"),exact(metadata!I39,"missing: not provided"),exact(metadata!I39,"missing: restricted access"))),AND(IF(metadata!I39="",FALSE,TRUE),OR(exact(metadata!I39,"air"),exact(metadata!I39,"built environment"),exact(metadata!I39,"host-associated"),exact(metadata!I39,"human-associated"),exact(metadata!I39,"human-skin"),exact(metadata!I39,"human-oral"),exact(metadata!I39,"human-gut"),exact(metadata!I39,"human-vaginal"),exact(metadata!I39,"microbial mat/biofilm"),exact(metadata!I39,"misc environment"),exact(metadata!I39,"plant-associated"),exact(metadata!I39,"sediment"),exact(metadata!I39,"soil"),exact(metadata!I39,"wastewater/sludge"),exact(metadata!I39,"water"))))</f>
        <v>0</v>
      </c>
      <c r="AJ39">
        <f>IF(metadata!J39="",FALSE,TRUE)</f>
        <v>0</v>
      </c>
      <c r="AK39">
        <f>OR(AND(IF(metadata!K39="",FALSE,TRUE),OR(exact(metadata!K39,"missing: not collected"),exact(metadata!K39,"missing: not provided"),exact(metadata!K39,"missing: restricted access"))),AND(IF(metadata!K39="",FALSE,ISNUMBER(VALUE(metadata!K39))),metadata!K39&gt;=-90.00,metadata!K39&lt;=90.00))</f>
        <v>0</v>
      </c>
      <c r="AL39">
        <f>OR(AND(IF(metadata!L39="",FALSE,TRUE),OR(exact(metadata!L39,"missing: not collected"),exact(metadata!L39,"missing: not provided"),exact(metadata!L39,"missing: restricted access"))),AND(IF(metadata!L39="",FALSE,ISNUMBER(VALUE(metadata!L39))),metadata!L39&gt;=-180.00,metadata!L39&lt;=180.00))</f>
        <v>0</v>
      </c>
      <c r="AM39">
        <f>IF(metadata!M39="",FALSE,TRUE)</f>
        <v>0</v>
      </c>
      <c r="AN39">
        <f>OR(AND(IF(metadata!N39="",FALSE,TRUE),OR(exact(metadata!N39,"missing: not collected"),exact(metadata!N39,"missing: not provided"),exact(metadata!N39,"missing: restricted access"))),AND(IF(metadata!N39="",FALSE,TRUE),OR(exact(metadata!N39,"TRUE"),exact(metadata!N39,"FALSE"))))</f>
        <v>0</v>
      </c>
      <c r="AO39">
        <f>IF(metadata!O39="",FALSE,TRUE)</f>
        <v>0</v>
      </c>
      <c r="AP39">
        <f>OR(AND(IF(metadata!P39="",FALSE,TRUE),OR(exact(metadata!P39,"missing: not collected"),exact(metadata!P39,"missing: not provided"))),AND(IF(metadata!P39="",FALSE,IF(ISERROR(INT(metadata!P39)),FALSE,INT(metadata!P39)=metadata!P39)),metadata!P39&gt;0))</f>
        <v>0</v>
      </c>
      <c r="AQ39">
        <f>IF(metadata!Q39="",FALSE,TRUE)</f>
        <v>0</v>
      </c>
    </row>
    <row r="40" spans="1:43">
      <c r="A40" s="5">
        <f>IF(B40=" "," ",HYPERLINK(CONCATENATE("#metadata!",ADDRESS(INDEX($W$2:$W$1001,MATCH(ROWS($U$2:U40),$U$2:$U$1001,0),0),1)),INDEX($Z$2:$Z$1001,MATCH(ROWS($U$2:U40),$U$2:$U$1001,0),0)))</f>
        <v>0</v>
      </c>
      <c r="B40" s="4">
        <f>IF(OR(INDEX($V$2:$V$1001,MATCH(ROWS($U$2:U40),$U$2:$U$1001,0),1)&gt;=100000,INDEX($AB$1005:$AQ$1005,1,MATCH(COLUMNS($AB$1006:AB1006),$AB$1006:$AQ$1006,0))&gt;=100000), " ",IF(INDEX($AB$2:$AQ$1001,MATCH(ROWS($U$2:U40),$U$2:$U$1001,0),MATCH(COLUMNS($AB$1006:AB1006),$AB$1006:$AQ$1006,0)), HYPERLINK("#",""), HYPERLINK(CONCATENATE("#metadata!", ADDRESS(INDEX($W$2:$W$1001,MATCH(ROWS($U$2:U40),$U$2:$U$1001,0),0), INDEX($AB$1004:$AQ$1004,1,MATCH(COLUMNS($AB$1006:AB1006),$AB$1006:$AQ$1006,0)))),"Fix")))</f>
        <v>0</v>
      </c>
      <c r="C40" s="4">
        <f>IF(OR(INDEX($V$2:$V$1001,MATCH(ROWS($U$2:U40),$U$2:$U$1001,0),1)&gt;=100000,INDEX($AB$1005:$AQ$1005,1,MATCH(COLUMNS($AB$1006:AC1006),$AB$1006:$AQ$1006,0))&gt;=100000), " ",IF(INDEX($AB$2:$AQ$1001,MATCH(ROWS($U$2:U40),$U$2:$U$1001,0),MATCH(COLUMNS($AB$1006:AC1006),$AB$1006:$AQ$1006,0)), HYPERLINK("#",""), HYPERLINK(CONCATENATE("#metadata!", ADDRESS(INDEX($W$2:$W$1001,MATCH(ROWS($U$2:U40),$U$2:$U$1001,0),0), INDEX($AB$1004:$AQ$1004,1,MATCH(COLUMNS($AB$1006:AC1006),$AB$1006:$AQ$1006,0)))),"Fix")))</f>
        <v>0</v>
      </c>
      <c r="D40" s="4">
        <f>IF(OR(INDEX($V$2:$V$1001,MATCH(ROWS($U$2:U40),$U$2:$U$1001,0),1)&gt;=100000,INDEX($AB$1005:$AQ$1005,1,MATCH(COLUMNS($AB$1006:AD1006),$AB$1006:$AQ$1006,0))&gt;=100000), " ",IF(INDEX($AB$2:$AQ$1001,MATCH(ROWS($U$2:U40),$U$2:$U$1001,0),MATCH(COLUMNS($AB$1006:AD1006),$AB$1006:$AQ$1006,0)), HYPERLINK("#",""), HYPERLINK(CONCATENATE("#metadata!", ADDRESS(INDEX($W$2:$W$1001,MATCH(ROWS($U$2:U40),$U$2:$U$1001,0),0), INDEX($AB$1004:$AQ$1004,1,MATCH(COLUMNS($AB$1006:AD1006),$AB$1006:$AQ$1006,0)))),"Fix")))</f>
        <v>0</v>
      </c>
      <c r="E40" s="4">
        <f>IF(OR(INDEX($V$2:$V$1001,MATCH(ROWS($U$2:U40),$U$2:$U$1001,0),1)&gt;=100000,INDEX($AB$1005:$AQ$1005,1,MATCH(COLUMNS($AB$1006:AE1006),$AB$1006:$AQ$1006,0))&gt;=100000), " ",IF(INDEX($AB$2:$AQ$1001,MATCH(ROWS($U$2:U40),$U$2:$U$1001,0),MATCH(COLUMNS($AB$1006:AE1006),$AB$1006:$AQ$1006,0)), HYPERLINK("#",""), HYPERLINK(CONCATENATE("#metadata!", ADDRESS(INDEX($W$2:$W$1001,MATCH(ROWS($U$2:U40),$U$2:$U$1001,0),0), INDEX($AB$1004:$AQ$1004,1,MATCH(COLUMNS($AB$1006:AE1006),$AB$1006:$AQ$1006,0)))),"Fix")))</f>
        <v>0</v>
      </c>
      <c r="F40" s="4">
        <f>IF(OR(INDEX($V$2:$V$1001,MATCH(ROWS($U$2:U40),$U$2:$U$1001,0),1)&gt;=100000,INDEX($AB$1005:$AQ$1005,1,MATCH(COLUMNS($AB$1006:AF1006),$AB$1006:$AQ$1006,0))&gt;=100000), " ",IF(INDEX($AB$2:$AQ$1001,MATCH(ROWS($U$2:U40),$U$2:$U$1001,0),MATCH(COLUMNS($AB$1006:AF1006),$AB$1006:$AQ$1006,0)), HYPERLINK("#",""), HYPERLINK(CONCATENATE("#metadata!", ADDRESS(INDEX($W$2:$W$1001,MATCH(ROWS($U$2:U40),$U$2:$U$1001,0),0), INDEX($AB$1004:$AQ$1004,1,MATCH(COLUMNS($AB$1006:AF1006),$AB$1006:$AQ$1006,0)))),"Fix")))</f>
        <v>0</v>
      </c>
      <c r="G40" s="4">
        <f>IF(OR(INDEX($V$2:$V$1001,MATCH(ROWS($U$2:U40),$U$2:$U$1001,0),1)&gt;=100000,INDEX($AB$1005:$AQ$1005,1,MATCH(COLUMNS($AB$1006:AG1006),$AB$1006:$AQ$1006,0))&gt;=100000), " ",IF(INDEX($AB$2:$AQ$1001,MATCH(ROWS($U$2:U40),$U$2:$U$1001,0),MATCH(COLUMNS($AB$1006:AG1006),$AB$1006:$AQ$1006,0)), HYPERLINK("#",""), HYPERLINK(CONCATENATE("#metadata!", ADDRESS(INDEX($W$2:$W$1001,MATCH(ROWS($U$2:U40),$U$2:$U$1001,0),0), INDEX($AB$1004:$AQ$1004,1,MATCH(COLUMNS($AB$1006:AG1006),$AB$1006:$AQ$1006,0)))),"Fix")))</f>
        <v>0</v>
      </c>
      <c r="H40" s="4">
        <f>IF(OR(INDEX($V$2:$V$1001,MATCH(ROWS($U$2:U40),$U$2:$U$1001,0),1)&gt;=100000,INDEX($AB$1005:$AQ$1005,1,MATCH(COLUMNS($AB$1006:AH1006),$AB$1006:$AQ$1006,0))&gt;=100000), " ",IF(INDEX($AB$2:$AQ$1001,MATCH(ROWS($U$2:U40),$U$2:$U$1001,0),MATCH(COLUMNS($AB$1006:AH1006),$AB$1006:$AQ$1006,0)), HYPERLINK("#",""), HYPERLINK(CONCATENATE("#metadata!", ADDRESS(INDEX($W$2:$W$1001,MATCH(ROWS($U$2:U40),$U$2:$U$1001,0),0), INDEX($AB$1004:$AQ$1004,1,MATCH(COLUMNS($AB$1006:AH1006),$AB$1006:$AQ$1006,0)))),"Fix")))</f>
        <v>0</v>
      </c>
      <c r="I40" s="4">
        <f>IF(OR(INDEX($V$2:$V$1001,MATCH(ROWS($U$2:U40),$U$2:$U$1001,0),1)&gt;=100000,INDEX($AB$1005:$AQ$1005,1,MATCH(COLUMNS($AB$1006:AI1006),$AB$1006:$AQ$1006,0))&gt;=100000), " ",IF(INDEX($AB$2:$AQ$1001,MATCH(ROWS($U$2:U40),$U$2:$U$1001,0),MATCH(COLUMNS($AB$1006:AI1006),$AB$1006:$AQ$1006,0)), HYPERLINK("#",""), HYPERLINK(CONCATENATE("#metadata!", ADDRESS(INDEX($W$2:$W$1001,MATCH(ROWS($U$2:U40),$U$2:$U$1001,0),0), INDEX($AB$1004:$AQ$1004,1,MATCH(COLUMNS($AB$1006:AI1006),$AB$1006:$AQ$1006,0)))),"Fix")))</f>
        <v>0</v>
      </c>
      <c r="J40" s="4">
        <f>IF(OR(INDEX($V$2:$V$1001,MATCH(ROWS($U$2:U40),$U$2:$U$1001,0),1)&gt;=100000,INDEX($AB$1005:$AQ$1005,1,MATCH(COLUMNS($AB$1006:AJ1006),$AB$1006:$AQ$1006,0))&gt;=100000), " ",IF(INDEX($AB$2:$AQ$1001,MATCH(ROWS($U$2:U40),$U$2:$U$1001,0),MATCH(COLUMNS($AB$1006:AJ1006),$AB$1006:$AQ$1006,0)), HYPERLINK("#",""), HYPERLINK(CONCATENATE("#metadata!", ADDRESS(INDEX($W$2:$W$1001,MATCH(ROWS($U$2:U40),$U$2:$U$1001,0),0), INDEX($AB$1004:$AQ$1004,1,MATCH(COLUMNS($AB$1006:AJ1006),$AB$1006:$AQ$1006,0)))),"Fix")))</f>
        <v>0</v>
      </c>
      <c r="K40" s="4">
        <f>IF(OR(INDEX($V$2:$V$1001,MATCH(ROWS($U$2:U40),$U$2:$U$1001,0),1)&gt;=100000,INDEX($AB$1005:$AQ$1005,1,MATCH(COLUMNS($AB$1006:AK1006),$AB$1006:$AQ$1006,0))&gt;=100000), " ",IF(INDEX($AB$2:$AQ$1001,MATCH(ROWS($U$2:U40),$U$2:$U$1001,0),MATCH(COLUMNS($AB$1006:AK1006),$AB$1006:$AQ$1006,0)), HYPERLINK("#",""), HYPERLINK(CONCATENATE("#metadata!", ADDRESS(INDEX($W$2:$W$1001,MATCH(ROWS($U$2:U40),$U$2:$U$1001,0),0), INDEX($AB$1004:$AQ$1004,1,MATCH(COLUMNS($AB$1006:AK1006),$AB$1006:$AQ$1006,0)))),"Fix")))</f>
        <v>0</v>
      </c>
      <c r="L40" s="4">
        <f>IF(OR(INDEX($V$2:$V$1001,MATCH(ROWS($U$2:U40),$U$2:$U$1001,0),1)&gt;=100000,INDEX($AB$1005:$AQ$1005,1,MATCH(COLUMNS($AB$1006:AL1006),$AB$1006:$AQ$1006,0))&gt;=100000), " ",IF(INDEX($AB$2:$AQ$1001,MATCH(ROWS($U$2:U40),$U$2:$U$1001,0),MATCH(COLUMNS($AB$1006:AL1006),$AB$1006:$AQ$1006,0)), HYPERLINK("#",""), HYPERLINK(CONCATENATE("#metadata!", ADDRESS(INDEX($W$2:$W$1001,MATCH(ROWS($U$2:U40),$U$2:$U$1001,0),0), INDEX($AB$1004:$AQ$1004,1,MATCH(COLUMNS($AB$1006:AL1006),$AB$1006:$AQ$1006,0)))),"Fix")))</f>
        <v>0</v>
      </c>
      <c r="M40" s="4">
        <f>IF(OR(INDEX($V$2:$V$1001,MATCH(ROWS($U$2:U40),$U$2:$U$1001,0),1)&gt;=100000,INDEX($AB$1005:$AQ$1005,1,MATCH(COLUMNS($AB$1006:AM1006),$AB$1006:$AQ$1006,0))&gt;=100000), " ",IF(INDEX($AB$2:$AQ$1001,MATCH(ROWS($U$2:U40),$U$2:$U$1001,0),MATCH(COLUMNS($AB$1006:AM1006),$AB$1006:$AQ$1006,0)), HYPERLINK("#",""), HYPERLINK(CONCATENATE("#metadata!", ADDRESS(INDEX($W$2:$W$1001,MATCH(ROWS($U$2:U40),$U$2:$U$1001,0),0), INDEX($AB$1004:$AQ$1004,1,MATCH(COLUMNS($AB$1006:AM1006),$AB$1006:$AQ$1006,0)))),"Fix")))</f>
        <v>0</v>
      </c>
      <c r="N40" s="4">
        <f>IF(OR(INDEX($V$2:$V$1001,MATCH(ROWS($U$2:U40),$U$2:$U$1001,0),1)&gt;=100000,INDEX($AB$1005:$AQ$1005,1,MATCH(COLUMNS($AB$1006:AN1006),$AB$1006:$AQ$1006,0))&gt;=100000), " ",IF(INDEX($AB$2:$AQ$1001,MATCH(ROWS($U$2:U40),$U$2:$U$1001,0),MATCH(COLUMNS($AB$1006:AN1006),$AB$1006:$AQ$1006,0)), HYPERLINK("#",""), HYPERLINK(CONCATENATE("#metadata!", ADDRESS(INDEX($W$2:$W$1001,MATCH(ROWS($U$2:U40),$U$2:$U$1001,0),0), INDEX($AB$1004:$AQ$1004,1,MATCH(COLUMNS($AB$1006:AN1006),$AB$1006:$AQ$1006,0)))),"Fix")))</f>
        <v>0</v>
      </c>
      <c r="O40" s="4">
        <f>IF(OR(INDEX($V$2:$V$1001,MATCH(ROWS($U$2:U40),$U$2:$U$1001,0),1)&gt;=100000,INDEX($AB$1005:$AQ$1005,1,MATCH(COLUMNS($AB$1006:AO1006),$AB$1006:$AQ$1006,0))&gt;=100000), " ",IF(INDEX($AB$2:$AQ$1001,MATCH(ROWS($U$2:U40),$U$2:$U$1001,0),MATCH(COLUMNS($AB$1006:AO1006),$AB$1006:$AQ$1006,0)), HYPERLINK("#",""), HYPERLINK(CONCATENATE("#metadata!", ADDRESS(INDEX($W$2:$W$1001,MATCH(ROWS($U$2:U40),$U$2:$U$1001,0),0), INDEX($AB$1004:$AQ$1004,1,MATCH(COLUMNS($AB$1006:AO1006),$AB$1006:$AQ$1006,0)))),"Fix")))</f>
        <v>0</v>
      </c>
      <c r="P40" s="4">
        <f>IF(OR(INDEX($V$2:$V$1001,MATCH(ROWS($U$2:U40),$U$2:$U$1001,0),1)&gt;=100000,INDEX($AB$1005:$AQ$1005,1,MATCH(COLUMNS($AB$1006:AP1006),$AB$1006:$AQ$1006,0))&gt;=100000), " ",IF(INDEX($AB$2:$AQ$1001,MATCH(ROWS($U$2:U40),$U$2:$U$1001,0),MATCH(COLUMNS($AB$1006:AP1006),$AB$1006:$AQ$1006,0)), HYPERLINK("#",""), HYPERLINK(CONCATENATE("#metadata!", ADDRESS(INDEX($W$2:$W$1001,MATCH(ROWS($U$2:U40),$U$2:$U$1001,0),0), INDEX($AB$1004:$AQ$1004,1,MATCH(COLUMNS($AB$1006:AP1006),$AB$1006:$AQ$1006,0)))),"Fix")))</f>
        <v>0</v>
      </c>
      <c r="Q40" s="4">
        <f>IF(OR(INDEX($V$2:$V$1001,MATCH(ROWS($U$2:U40),$U$2:$U$1001,0),1)&gt;=100000,INDEX($AB$1005:$AQ$1005,1,MATCH(COLUMNS($AB$1006:AQ1006),$AB$1006:$AQ$1006,0))&gt;=100000), " ",IF(INDEX($AB$2:$AQ$1001,MATCH(ROWS($U$2:U40),$U$2:$U$1001,0),MATCH(COLUMNS($AB$1006:AQ1006),$AB$1006:$AQ$1006,0)), HYPERLINK("#",""), HYPERLINK(CONCATENATE("#metadata!", ADDRESS(INDEX($W$2:$W$1001,MATCH(ROWS($U$2:U40),$U$2:$U$1001,0),0), INDEX($AB$1004:$AQ$1004,1,MATCH(COLUMNS($AB$1006:AQ1006),$AB$1006:$AQ$1006,0)))),"Fix")))</f>
        <v>0</v>
      </c>
      <c r="U40">
        <v>0</v>
      </c>
      <c r="V40">
        <v>0</v>
      </c>
      <c r="W40">
        <v>0</v>
      </c>
      <c r="X40">
        <f>IF(Y40,TRUE,AND(AB40:AQ40))</f>
        <v>0</v>
      </c>
      <c r="Y40">
        <f>COUNTBLANK(metadata!B40:Q40)=COLUMNS(metadata!B40:Q40)</f>
        <v>0</v>
      </c>
      <c r="Z40">
        <v>0</v>
      </c>
      <c r="AB40">
        <f>AND(IF(metadata!B40="",FALSE,TRUE),COUNTIF(metadata!B:B, metadata!B40) = 1,NOT(ISERROR(SUMPRODUCT(SEARCH(MID(metadata!B40,ROW(INDIRECT("1:"&amp;LEN(metadata!B40))), 1),"0123456789abcdefghijklmnopqrstuvwxyzABCDEFGHIJKLMNOPQRSTUVWXYZ.")))))</f>
        <v>0</v>
      </c>
      <c r="AC40">
        <f>OR(AND(IF(metadata!C40="",FALSE,TRUE),OR(exact(metadata!C40,"missing: not collected"),exact(metadata!C40,"missing: not provided"),exact(metadata!C40,"missing: restricted access"))),AND(IF(metadata!C40="",FALSE,TRUE),AND(AND(IFERROR(INT(LEFT(metadata!C40,4))&gt;1900,FALSE),IFERROR(INT(LEFT(metadata!C40,4))&lt;=YEAR(NOW()),FALSE)), OR(MID(metadata!C40,5,1)="", AND(AND(MID(metadata!C40,5,1)="-",IFERROR(INT(MID(metadata!C40,6,1))&gt;=0,FALSE),IFERROR(INT(MID(metadata!C40,6,1))&lt;=1,FALSE),NOT(MID(metadata!C40,7,1)=""),IFERROR(INT(MID(metadata!C40,6,2))&gt;=1,FALSE),IFERROR(INT(MID(metadata!C40,6,2))&lt;=12,FALSE)), OR(MID(metadata!C40,8,1)="", AND(AND(MID(metadata!C40,8,1)="-",IFERROR(INT(MID(metadata!C40,9,1))&gt;=0,FALSE),IFERROR(INT(MID(metadata!C40,9,1))&lt;=3,FALSE),NOT(MID(metadata!C40,10,1)=""),IFERROR(INT(MID(metadata!C40,9,2))&gt;=1,FALSE),IFERROR(INT(MID(metadata!C40,9,2))&lt;=31,FALSE)), OR(MID(metadata!C40,11,1)="", AND(AND(MID(metadata!C40,11,1)=" ",IFERROR(INT(MID(metadata!C40,12,1))&gt;=0,FALSE),IFERROR(INT(MID(metadata!C40,12,1))&lt;=2,FALSE),NOT(MID(metadata!C40,13,1)=""),IFERROR(INT(MID(metadata!C40,12,2))&gt;=0,FALSE),IFERROR(INT(MID(metadata!C40,12,2))&lt;=23,FALSE)), OR(MID(metadata!C40,14,1)="", AND(AND(MID(metadata!C40,14,1)=":",IFERROR(INT(MID(metadata!C40,15,1))&gt;=0,FALSE),IFERROR(INT(MID(metadata!C40,15,1))&lt;=5,FALSE),NOT(MID(metadata!C40,16,1)=""),IFERROR(INT(MID(metadata!C40,15,2))&gt;=0,FALSE),IFERROR(INT(MID(metadata!C40,15,2))&lt;=59,FALSE)), OR(MID(metadata!C40,17,1)="", AND(AND(MID(metadata!C40,17,1)=":",IFERROR(INT(MID(metadata!C40,18,1))&gt;=0,FALSE),IFERROR(INT(MID(metadata!C40,18,1))&lt;=5,FALSE),NOT(MID(metadata!C40,19,1)=""),IFERROR(INT(MID(metadata!C40,18,2))&gt;=0,FALSE),IFERROR(INT(MID(metadata!C40,18,2))&lt;=59,FALSE)), LEN(metadata!C40)&lt;=19)))))))))))))</f>
        <v>0</v>
      </c>
      <c r="AD40">
        <f>IF(metadata!D40="",FALSE,TRUE)</f>
        <v>0</v>
      </c>
      <c r="AE40">
        <f>OR(AND(IF(metadata!E40="",FALSE,TRUE),OR(exact(metadata!E40,"missing: not collected"),exact(metadata!E40,"missing: not provided"))),AND(IF(metadata!E40="",FALSE,TRUE),OR(exact(metadata!E40,"TRUE"),exact(metadata!E40,"FALSE"))))</f>
        <v>0</v>
      </c>
      <c r="AF40">
        <f>IF(metadata!F40="",FALSE,TRUE)</f>
        <v>0</v>
      </c>
      <c r="AG40">
        <f>IF(metadata!G40="",FALSE,TRUE)</f>
        <v>0</v>
      </c>
      <c r="AH40">
        <f>IF(metadata!H40="",FALSE,TRUE)</f>
        <v>0</v>
      </c>
      <c r="AI40">
        <f>OR(AND(IF(metadata!I40="",FALSE,TRUE),OR(exact(metadata!I40,"missing: not collected"),exact(metadata!I40,"missing: not provided"),exact(metadata!I40,"missing: restricted access"))),AND(IF(metadata!I40="",FALSE,TRUE),OR(exact(metadata!I40,"air"),exact(metadata!I40,"built environment"),exact(metadata!I40,"host-associated"),exact(metadata!I40,"human-associated"),exact(metadata!I40,"human-skin"),exact(metadata!I40,"human-oral"),exact(metadata!I40,"human-gut"),exact(metadata!I40,"human-vaginal"),exact(metadata!I40,"microbial mat/biofilm"),exact(metadata!I40,"misc environment"),exact(metadata!I40,"plant-associated"),exact(metadata!I40,"sediment"),exact(metadata!I40,"soil"),exact(metadata!I40,"wastewater/sludge"),exact(metadata!I40,"water"))))</f>
        <v>0</v>
      </c>
      <c r="AJ40">
        <f>IF(metadata!J40="",FALSE,TRUE)</f>
        <v>0</v>
      </c>
      <c r="AK40">
        <f>OR(AND(IF(metadata!K40="",FALSE,TRUE),OR(exact(metadata!K40,"missing: not collected"),exact(metadata!K40,"missing: not provided"),exact(metadata!K40,"missing: restricted access"))),AND(IF(metadata!K40="",FALSE,ISNUMBER(VALUE(metadata!K40))),metadata!K40&gt;=-90.00,metadata!K40&lt;=90.00))</f>
        <v>0</v>
      </c>
      <c r="AL40">
        <f>OR(AND(IF(metadata!L40="",FALSE,TRUE),OR(exact(metadata!L40,"missing: not collected"),exact(metadata!L40,"missing: not provided"),exact(metadata!L40,"missing: restricted access"))),AND(IF(metadata!L40="",FALSE,ISNUMBER(VALUE(metadata!L40))),metadata!L40&gt;=-180.00,metadata!L40&lt;=180.00))</f>
        <v>0</v>
      </c>
      <c r="AM40">
        <f>IF(metadata!M40="",FALSE,TRUE)</f>
        <v>0</v>
      </c>
      <c r="AN40">
        <f>OR(AND(IF(metadata!N40="",FALSE,TRUE),OR(exact(metadata!N40,"missing: not collected"),exact(metadata!N40,"missing: not provided"),exact(metadata!N40,"missing: restricted access"))),AND(IF(metadata!N40="",FALSE,TRUE),OR(exact(metadata!N40,"TRUE"),exact(metadata!N40,"FALSE"))))</f>
        <v>0</v>
      </c>
      <c r="AO40">
        <f>IF(metadata!O40="",FALSE,TRUE)</f>
        <v>0</v>
      </c>
      <c r="AP40">
        <f>OR(AND(IF(metadata!P40="",FALSE,TRUE),OR(exact(metadata!P40,"missing: not collected"),exact(metadata!P40,"missing: not provided"))),AND(IF(metadata!P40="",FALSE,IF(ISERROR(INT(metadata!P40)),FALSE,INT(metadata!P40)=metadata!P40)),metadata!P40&gt;0))</f>
        <v>0</v>
      </c>
      <c r="AQ40">
        <f>IF(metadata!Q40="",FALSE,TRUE)</f>
        <v>0</v>
      </c>
    </row>
    <row r="41" spans="1:43">
      <c r="A41" s="5">
        <f>IF(B41=" "," ",HYPERLINK(CONCATENATE("#metadata!",ADDRESS(INDEX($W$2:$W$1001,MATCH(ROWS($U$2:U41),$U$2:$U$1001,0),0),1)),INDEX($Z$2:$Z$1001,MATCH(ROWS($U$2:U41),$U$2:$U$1001,0),0)))</f>
        <v>0</v>
      </c>
      <c r="B41" s="4">
        <f>IF(OR(INDEX($V$2:$V$1001,MATCH(ROWS($U$2:U41),$U$2:$U$1001,0),1)&gt;=100000,INDEX($AB$1005:$AQ$1005,1,MATCH(COLUMNS($AB$1006:AB1006),$AB$1006:$AQ$1006,0))&gt;=100000), " ",IF(INDEX($AB$2:$AQ$1001,MATCH(ROWS($U$2:U41),$U$2:$U$1001,0),MATCH(COLUMNS($AB$1006:AB1006),$AB$1006:$AQ$1006,0)), HYPERLINK("#",""), HYPERLINK(CONCATENATE("#metadata!", ADDRESS(INDEX($W$2:$W$1001,MATCH(ROWS($U$2:U41),$U$2:$U$1001,0),0), INDEX($AB$1004:$AQ$1004,1,MATCH(COLUMNS($AB$1006:AB1006),$AB$1006:$AQ$1006,0)))),"Fix")))</f>
        <v>0</v>
      </c>
      <c r="C41" s="4">
        <f>IF(OR(INDEX($V$2:$V$1001,MATCH(ROWS($U$2:U41),$U$2:$U$1001,0),1)&gt;=100000,INDEX($AB$1005:$AQ$1005,1,MATCH(COLUMNS($AB$1006:AC1006),$AB$1006:$AQ$1006,0))&gt;=100000), " ",IF(INDEX($AB$2:$AQ$1001,MATCH(ROWS($U$2:U41),$U$2:$U$1001,0),MATCH(COLUMNS($AB$1006:AC1006),$AB$1006:$AQ$1006,0)), HYPERLINK("#",""), HYPERLINK(CONCATENATE("#metadata!", ADDRESS(INDEX($W$2:$W$1001,MATCH(ROWS($U$2:U41),$U$2:$U$1001,0),0), INDEX($AB$1004:$AQ$1004,1,MATCH(COLUMNS($AB$1006:AC1006),$AB$1006:$AQ$1006,0)))),"Fix")))</f>
        <v>0</v>
      </c>
      <c r="D41" s="4">
        <f>IF(OR(INDEX($V$2:$V$1001,MATCH(ROWS($U$2:U41),$U$2:$U$1001,0),1)&gt;=100000,INDEX($AB$1005:$AQ$1005,1,MATCH(COLUMNS($AB$1006:AD1006),$AB$1006:$AQ$1006,0))&gt;=100000), " ",IF(INDEX($AB$2:$AQ$1001,MATCH(ROWS($U$2:U41),$U$2:$U$1001,0),MATCH(COLUMNS($AB$1006:AD1006),$AB$1006:$AQ$1006,0)), HYPERLINK("#",""), HYPERLINK(CONCATENATE("#metadata!", ADDRESS(INDEX($W$2:$W$1001,MATCH(ROWS($U$2:U41),$U$2:$U$1001,0),0), INDEX($AB$1004:$AQ$1004,1,MATCH(COLUMNS($AB$1006:AD1006),$AB$1006:$AQ$1006,0)))),"Fix")))</f>
        <v>0</v>
      </c>
      <c r="E41" s="4">
        <f>IF(OR(INDEX($V$2:$V$1001,MATCH(ROWS($U$2:U41),$U$2:$U$1001,0),1)&gt;=100000,INDEX($AB$1005:$AQ$1005,1,MATCH(COLUMNS($AB$1006:AE1006),$AB$1006:$AQ$1006,0))&gt;=100000), " ",IF(INDEX($AB$2:$AQ$1001,MATCH(ROWS($U$2:U41),$U$2:$U$1001,0),MATCH(COLUMNS($AB$1006:AE1006),$AB$1006:$AQ$1006,0)), HYPERLINK("#",""), HYPERLINK(CONCATENATE("#metadata!", ADDRESS(INDEX($W$2:$W$1001,MATCH(ROWS($U$2:U41),$U$2:$U$1001,0),0), INDEX($AB$1004:$AQ$1004,1,MATCH(COLUMNS($AB$1006:AE1006),$AB$1006:$AQ$1006,0)))),"Fix")))</f>
        <v>0</v>
      </c>
      <c r="F41" s="4">
        <f>IF(OR(INDEX($V$2:$V$1001,MATCH(ROWS($U$2:U41),$U$2:$U$1001,0),1)&gt;=100000,INDEX($AB$1005:$AQ$1005,1,MATCH(COLUMNS($AB$1006:AF1006),$AB$1006:$AQ$1006,0))&gt;=100000), " ",IF(INDEX($AB$2:$AQ$1001,MATCH(ROWS($U$2:U41),$U$2:$U$1001,0),MATCH(COLUMNS($AB$1006:AF1006),$AB$1006:$AQ$1006,0)), HYPERLINK("#",""), HYPERLINK(CONCATENATE("#metadata!", ADDRESS(INDEX($W$2:$W$1001,MATCH(ROWS($U$2:U41),$U$2:$U$1001,0),0), INDEX($AB$1004:$AQ$1004,1,MATCH(COLUMNS($AB$1006:AF1006),$AB$1006:$AQ$1006,0)))),"Fix")))</f>
        <v>0</v>
      </c>
      <c r="G41" s="4">
        <f>IF(OR(INDEX($V$2:$V$1001,MATCH(ROWS($U$2:U41),$U$2:$U$1001,0),1)&gt;=100000,INDEX($AB$1005:$AQ$1005,1,MATCH(COLUMNS($AB$1006:AG1006),$AB$1006:$AQ$1006,0))&gt;=100000), " ",IF(INDEX($AB$2:$AQ$1001,MATCH(ROWS($U$2:U41),$U$2:$U$1001,0),MATCH(COLUMNS($AB$1006:AG1006),$AB$1006:$AQ$1006,0)), HYPERLINK("#",""), HYPERLINK(CONCATENATE("#metadata!", ADDRESS(INDEX($W$2:$W$1001,MATCH(ROWS($U$2:U41),$U$2:$U$1001,0),0), INDEX($AB$1004:$AQ$1004,1,MATCH(COLUMNS($AB$1006:AG1006),$AB$1006:$AQ$1006,0)))),"Fix")))</f>
        <v>0</v>
      </c>
      <c r="H41" s="4">
        <f>IF(OR(INDEX($V$2:$V$1001,MATCH(ROWS($U$2:U41),$U$2:$U$1001,0),1)&gt;=100000,INDEX($AB$1005:$AQ$1005,1,MATCH(COLUMNS($AB$1006:AH1006),$AB$1006:$AQ$1006,0))&gt;=100000), " ",IF(INDEX($AB$2:$AQ$1001,MATCH(ROWS($U$2:U41),$U$2:$U$1001,0),MATCH(COLUMNS($AB$1006:AH1006),$AB$1006:$AQ$1006,0)), HYPERLINK("#",""), HYPERLINK(CONCATENATE("#metadata!", ADDRESS(INDEX($W$2:$W$1001,MATCH(ROWS($U$2:U41),$U$2:$U$1001,0),0), INDEX($AB$1004:$AQ$1004,1,MATCH(COLUMNS($AB$1006:AH1006),$AB$1006:$AQ$1006,0)))),"Fix")))</f>
        <v>0</v>
      </c>
      <c r="I41" s="4">
        <f>IF(OR(INDEX($V$2:$V$1001,MATCH(ROWS($U$2:U41),$U$2:$U$1001,0),1)&gt;=100000,INDEX($AB$1005:$AQ$1005,1,MATCH(COLUMNS($AB$1006:AI1006),$AB$1006:$AQ$1006,0))&gt;=100000), " ",IF(INDEX($AB$2:$AQ$1001,MATCH(ROWS($U$2:U41),$U$2:$U$1001,0),MATCH(COLUMNS($AB$1006:AI1006),$AB$1006:$AQ$1006,0)), HYPERLINK("#",""), HYPERLINK(CONCATENATE("#metadata!", ADDRESS(INDEX($W$2:$W$1001,MATCH(ROWS($U$2:U41),$U$2:$U$1001,0),0), INDEX($AB$1004:$AQ$1004,1,MATCH(COLUMNS($AB$1006:AI1006),$AB$1006:$AQ$1006,0)))),"Fix")))</f>
        <v>0</v>
      </c>
      <c r="J41" s="4">
        <f>IF(OR(INDEX($V$2:$V$1001,MATCH(ROWS($U$2:U41),$U$2:$U$1001,0),1)&gt;=100000,INDEX($AB$1005:$AQ$1005,1,MATCH(COLUMNS($AB$1006:AJ1006),$AB$1006:$AQ$1006,0))&gt;=100000), " ",IF(INDEX($AB$2:$AQ$1001,MATCH(ROWS($U$2:U41),$U$2:$U$1001,0),MATCH(COLUMNS($AB$1006:AJ1006),$AB$1006:$AQ$1006,0)), HYPERLINK("#",""), HYPERLINK(CONCATENATE("#metadata!", ADDRESS(INDEX($W$2:$W$1001,MATCH(ROWS($U$2:U41),$U$2:$U$1001,0),0), INDEX($AB$1004:$AQ$1004,1,MATCH(COLUMNS($AB$1006:AJ1006),$AB$1006:$AQ$1006,0)))),"Fix")))</f>
        <v>0</v>
      </c>
      <c r="K41" s="4">
        <f>IF(OR(INDEX($V$2:$V$1001,MATCH(ROWS($U$2:U41),$U$2:$U$1001,0),1)&gt;=100000,INDEX($AB$1005:$AQ$1005,1,MATCH(COLUMNS($AB$1006:AK1006),$AB$1006:$AQ$1006,0))&gt;=100000), " ",IF(INDEX($AB$2:$AQ$1001,MATCH(ROWS($U$2:U41),$U$2:$U$1001,0),MATCH(COLUMNS($AB$1006:AK1006),$AB$1006:$AQ$1006,0)), HYPERLINK("#",""), HYPERLINK(CONCATENATE("#metadata!", ADDRESS(INDEX($W$2:$W$1001,MATCH(ROWS($U$2:U41),$U$2:$U$1001,0),0), INDEX($AB$1004:$AQ$1004,1,MATCH(COLUMNS($AB$1006:AK1006),$AB$1006:$AQ$1006,0)))),"Fix")))</f>
        <v>0</v>
      </c>
      <c r="L41" s="4">
        <f>IF(OR(INDEX($V$2:$V$1001,MATCH(ROWS($U$2:U41),$U$2:$U$1001,0),1)&gt;=100000,INDEX($AB$1005:$AQ$1005,1,MATCH(COLUMNS($AB$1006:AL1006),$AB$1006:$AQ$1006,0))&gt;=100000), " ",IF(INDEX($AB$2:$AQ$1001,MATCH(ROWS($U$2:U41),$U$2:$U$1001,0),MATCH(COLUMNS($AB$1006:AL1006),$AB$1006:$AQ$1006,0)), HYPERLINK("#",""), HYPERLINK(CONCATENATE("#metadata!", ADDRESS(INDEX($W$2:$W$1001,MATCH(ROWS($U$2:U41),$U$2:$U$1001,0),0), INDEX($AB$1004:$AQ$1004,1,MATCH(COLUMNS($AB$1006:AL1006),$AB$1006:$AQ$1006,0)))),"Fix")))</f>
        <v>0</v>
      </c>
      <c r="M41" s="4">
        <f>IF(OR(INDEX($V$2:$V$1001,MATCH(ROWS($U$2:U41),$U$2:$U$1001,0),1)&gt;=100000,INDEX($AB$1005:$AQ$1005,1,MATCH(COLUMNS($AB$1006:AM1006),$AB$1006:$AQ$1006,0))&gt;=100000), " ",IF(INDEX($AB$2:$AQ$1001,MATCH(ROWS($U$2:U41),$U$2:$U$1001,0),MATCH(COLUMNS($AB$1006:AM1006),$AB$1006:$AQ$1006,0)), HYPERLINK("#",""), HYPERLINK(CONCATENATE("#metadata!", ADDRESS(INDEX($W$2:$W$1001,MATCH(ROWS($U$2:U41),$U$2:$U$1001,0),0), INDEX($AB$1004:$AQ$1004,1,MATCH(COLUMNS($AB$1006:AM1006),$AB$1006:$AQ$1006,0)))),"Fix")))</f>
        <v>0</v>
      </c>
      <c r="N41" s="4">
        <f>IF(OR(INDEX($V$2:$V$1001,MATCH(ROWS($U$2:U41),$U$2:$U$1001,0),1)&gt;=100000,INDEX($AB$1005:$AQ$1005,1,MATCH(COLUMNS($AB$1006:AN1006),$AB$1006:$AQ$1006,0))&gt;=100000), " ",IF(INDEX($AB$2:$AQ$1001,MATCH(ROWS($U$2:U41),$U$2:$U$1001,0),MATCH(COLUMNS($AB$1006:AN1006),$AB$1006:$AQ$1006,0)), HYPERLINK("#",""), HYPERLINK(CONCATENATE("#metadata!", ADDRESS(INDEX($W$2:$W$1001,MATCH(ROWS($U$2:U41),$U$2:$U$1001,0),0), INDEX($AB$1004:$AQ$1004,1,MATCH(COLUMNS($AB$1006:AN1006),$AB$1006:$AQ$1006,0)))),"Fix")))</f>
        <v>0</v>
      </c>
      <c r="O41" s="4">
        <f>IF(OR(INDEX($V$2:$V$1001,MATCH(ROWS($U$2:U41),$U$2:$U$1001,0),1)&gt;=100000,INDEX($AB$1005:$AQ$1005,1,MATCH(COLUMNS($AB$1006:AO1006),$AB$1006:$AQ$1006,0))&gt;=100000), " ",IF(INDEX($AB$2:$AQ$1001,MATCH(ROWS($U$2:U41),$U$2:$U$1001,0),MATCH(COLUMNS($AB$1006:AO1006),$AB$1006:$AQ$1006,0)), HYPERLINK("#",""), HYPERLINK(CONCATENATE("#metadata!", ADDRESS(INDEX($W$2:$W$1001,MATCH(ROWS($U$2:U41),$U$2:$U$1001,0),0), INDEX($AB$1004:$AQ$1004,1,MATCH(COLUMNS($AB$1006:AO1006),$AB$1006:$AQ$1006,0)))),"Fix")))</f>
        <v>0</v>
      </c>
      <c r="P41" s="4">
        <f>IF(OR(INDEX($V$2:$V$1001,MATCH(ROWS($U$2:U41),$U$2:$U$1001,0),1)&gt;=100000,INDEX($AB$1005:$AQ$1005,1,MATCH(COLUMNS($AB$1006:AP1006),$AB$1006:$AQ$1006,0))&gt;=100000), " ",IF(INDEX($AB$2:$AQ$1001,MATCH(ROWS($U$2:U41),$U$2:$U$1001,0),MATCH(COLUMNS($AB$1006:AP1006),$AB$1006:$AQ$1006,0)), HYPERLINK("#",""), HYPERLINK(CONCATENATE("#metadata!", ADDRESS(INDEX($W$2:$W$1001,MATCH(ROWS($U$2:U41),$U$2:$U$1001,0),0), INDEX($AB$1004:$AQ$1004,1,MATCH(COLUMNS($AB$1006:AP1006),$AB$1006:$AQ$1006,0)))),"Fix")))</f>
        <v>0</v>
      </c>
      <c r="Q41" s="4">
        <f>IF(OR(INDEX($V$2:$V$1001,MATCH(ROWS($U$2:U41),$U$2:$U$1001,0),1)&gt;=100000,INDEX($AB$1005:$AQ$1005,1,MATCH(COLUMNS($AB$1006:AQ1006),$AB$1006:$AQ$1006,0))&gt;=100000), " ",IF(INDEX($AB$2:$AQ$1001,MATCH(ROWS($U$2:U41),$U$2:$U$1001,0),MATCH(COLUMNS($AB$1006:AQ1006),$AB$1006:$AQ$1006,0)), HYPERLINK("#",""), HYPERLINK(CONCATENATE("#metadata!", ADDRESS(INDEX($W$2:$W$1001,MATCH(ROWS($U$2:U41),$U$2:$U$1001,0),0), INDEX($AB$1004:$AQ$1004,1,MATCH(COLUMNS($AB$1006:AQ1006),$AB$1006:$AQ$1006,0)))),"Fix")))</f>
        <v>0</v>
      </c>
      <c r="U41">
        <v>0</v>
      </c>
      <c r="V41">
        <v>0</v>
      </c>
      <c r="W41">
        <v>0</v>
      </c>
      <c r="X41">
        <f>IF(Y41,TRUE,AND(AB41:AQ41))</f>
        <v>0</v>
      </c>
      <c r="Y41">
        <f>COUNTBLANK(metadata!B41:Q41)=COLUMNS(metadata!B41:Q41)</f>
        <v>0</v>
      </c>
      <c r="Z41">
        <v>0</v>
      </c>
      <c r="AB41">
        <f>AND(IF(metadata!B41="",FALSE,TRUE),COUNTIF(metadata!B:B, metadata!B41) = 1,NOT(ISERROR(SUMPRODUCT(SEARCH(MID(metadata!B41,ROW(INDIRECT("1:"&amp;LEN(metadata!B41))), 1),"0123456789abcdefghijklmnopqrstuvwxyzABCDEFGHIJKLMNOPQRSTUVWXYZ.")))))</f>
        <v>0</v>
      </c>
      <c r="AC41">
        <f>OR(AND(IF(metadata!C41="",FALSE,TRUE),OR(exact(metadata!C41,"missing: not collected"),exact(metadata!C41,"missing: not provided"),exact(metadata!C41,"missing: restricted access"))),AND(IF(metadata!C41="",FALSE,TRUE),AND(AND(IFERROR(INT(LEFT(metadata!C41,4))&gt;1900,FALSE),IFERROR(INT(LEFT(metadata!C41,4))&lt;=YEAR(NOW()),FALSE)), OR(MID(metadata!C41,5,1)="", AND(AND(MID(metadata!C41,5,1)="-",IFERROR(INT(MID(metadata!C41,6,1))&gt;=0,FALSE),IFERROR(INT(MID(metadata!C41,6,1))&lt;=1,FALSE),NOT(MID(metadata!C41,7,1)=""),IFERROR(INT(MID(metadata!C41,6,2))&gt;=1,FALSE),IFERROR(INT(MID(metadata!C41,6,2))&lt;=12,FALSE)), OR(MID(metadata!C41,8,1)="", AND(AND(MID(metadata!C41,8,1)="-",IFERROR(INT(MID(metadata!C41,9,1))&gt;=0,FALSE),IFERROR(INT(MID(metadata!C41,9,1))&lt;=3,FALSE),NOT(MID(metadata!C41,10,1)=""),IFERROR(INT(MID(metadata!C41,9,2))&gt;=1,FALSE),IFERROR(INT(MID(metadata!C41,9,2))&lt;=31,FALSE)), OR(MID(metadata!C41,11,1)="", AND(AND(MID(metadata!C41,11,1)=" ",IFERROR(INT(MID(metadata!C41,12,1))&gt;=0,FALSE),IFERROR(INT(MID(metadata!C41,12,1))&lt;=2,FALSE),NOT(MID(metadata!C41,13,1)=""),IFERROR(INT(MID(metadata!C41,12,2))&gt;=0,FALSE),IFERROR(INT(MID(metadata!C41,12,2))&lt;=23,FALSE)), OR(MID(metadata!C41,14,1)="", AND(AND(MID(metadata!C41,14,1)=":",IFERROR(INT(MID(metadata!C41,15,1))&gt;=0,FALSE),IFERROR(INT(MID(metadata!C41,15,1))&lt;=5,FALSE),NOT(MID(metadata!C41,16,1)=""),IFERROR(INT(MID(metadata!C41,15,2))&gt;=0,FALSE),IFERROR(INT(MID(metadata!C41,15,2))&lt;=59,FALSE)), OR(MID(metadata!C41,17,1)="", AND(AND(MID(metadata!C41,17,1)=":",IFERROR(INT(MID(metadata!C41,18,1))&gt;=0,FALSE),IFERROR(INT(MID(metadata!C41,18,1))&lt;=5,FALSE),NOT(MID(metadata!C41,19,1)=""),IFERROR(INT(MID(metadata!C41,18,2))&gt;=0,FALSE),IFERROR(INT(MID(metadata!C41,18,2))&lt;=59,FALSE)), LEN(metadata!C41)&lt;=19)))))))))))))</f>
        <v>0</v>
      </c>
      <c r="AD41">
        <f>IF(metadata!D41="",FALSE,TRUE)</f>
        <v>0</v>
      </c>
      <c r="AE41">
        <f>OR(AND(IF(metadata!E41="",FALSE,TRUE),OR(exact(metadata!E41,"missing: not collected"),exact(metadata!E41,"missing: not provided"))),AND(IF(metadata!E41="",FALSE,TRUE),OR(exact(metadata!E41,"TRUE"),exact(metadata!E41,"FALSE"))))</f>
        <v>0</v>
      </c>
      <c r="AF41">
        <f>IF(metadata!F41="",FALSE,TRUE)</f>
        <v>0</v>
      </c>
      <c r="AG41">
        <f>IF(metadata!G41="",FALSE,TRUE)</f>
        <v>0</v>
      </c>
      <c r="AH41">
        <f>IF(metadata!H41="",FALSE,TRUE)</f>
        <v>0</v>
      </c>
      <c r="AI41">
        <f>OR(AND(IF(metadata!I41="",FALSE,TRUE),OR(exact(metadata!I41,"missing: not collected"),exact(metadata!I41,"missing: not provided"),exact(metadata!I41,"missing: restricted access"))),AND(IF(metadata!I41="",FALSE,TRUE),OR(exact(metadata!I41,"air"),exact(metadata!I41,"built environment"),exact(metadata!I41,"host-associated"),exact(metadata!I41,"human-associated"),exact(metadata!I41,"human-skin"),exact(metadata!I41,"human-oral"),exact(metadata!I41,"human-gut"),exact(metadata!I41,"human-vaginal"),exact(metadata!I41,"microbial mat/biofilm"),exact(metadata!I41,"misc environment"),exact(metadata!I41,"plant-associated"),exact(metadata!I41,"sediment"),exact(metadata!I41,"soil"),exact(metadata!I41,"wastewater/sludge"),exact(metadata!I41,"water"))))</f>
        <v>0</v>
      </c>
      <c r="AJ41">
        <f>IF(metadata!J41="",FALSE,TRUE)</f>
        <v>0</v>
      </c>
      <c r="AK41">
        <f>OR(AND(IF(metadata!K41="",FALSE,TRUE),OR(exact(metadata!K41,"missing: not collected"),exact(metadata!K41,"missing: not provided"),exact(metadata!K41,"missing: restricted access"))),AND(IF(metadata!K41="",FALSE,ISNUMBER(VALUE(metadata!K41))),metadata!K41&gt;=-90.00,metadata!K41&lt;=90.00))</f>
        <v>0</v>
      </c>
      <c r="AL41">
        <f>OR(AND(IF(metadata!L41="",FALSE,TRUE),OR(exact(metadata!L41,"missing: not collected"),exact(metadata!L41,"missing: not provided"),exact(metadata!L41,"missing: restricted access"))),AND(IF(metadata!L41="",FALSE,ISNUMBER(VALUE(metadata!L41))),metadata!L41&gt;=-180.00,metadata!L41&lt;=180.00))</f>
        <v>0</v>
      </c>
      <c r="AM41">
        <f>IF(metadata!M41="",FALSE,TRUE)</f>
        <v>0</v>
      </c>
      <c r="AN41">
        <f>OR(AND(IF(metadata!N41="",FALSE,TRUE),OR(exact(metadata!N41,"missing: not collected"),exact(metadata!N41,"missing: not provided"),exact(metadata!N41,"missing: restricted access"))),AND(IF(metadata!N41="",FALSE,TRUE),OR(exact(metadata!N41,"TRUE"),exact(metadata!N41,"FALSE"))))</f>
        <v>0</v>
      </c>
      <c r="AO41">
        <f>IF(metadata!O41="",FALSE,TRUE)</f>
        <v>0</v>
      </c>
      <c r="AP41">
        <f>OR(AND(IF(metadata!P41="",FALSE,TRUE),OR(exact(metadata!P41,"missing: not collected"),exact(metadata!P41,"missing: not provided"))),AND(IF(metadata!P41="",FALSE,IF(ISERROR(INT(metadata!P41)),FALSE,INT(metadata!P41)=metadata!P41)),metadata!P41&gt;0))</f>
        <v>0</v>
      </c>
      <c r="AQ41">
        <f>IF(metadata!Q41="",FALSE,TRUE)</f>
        <v>0</v>
      </c>
    </row>
    <row r="42" spans="1:43">
      <c r="A42" s="5">
        <f>IF(B42=" "," ",HYPERLINK(CONCATENATE("#metadata!",ADDRESS(INDEX($W$2:$W$1001,MATCH(ROWS($U$2:U42),$U$2:$U$1001,0),0),1)),INDEX($Z$2:$Z$1001,MATCH(ROWS($U$2:U42),$U$2:$U$1001,0),0)))</f>
        <v>0</v>
      </c>
      <c r="B42" s="4">
        <f>IF(OR(INDEX($V$2:$V$1001,MATCH(ROWS($U$2:U42),$U$2:$U$1001,0),1)&gt;=100000,INDEX($AB$1005:$AQ$1005,1,MATCH(COLUMNS($AB$1006:AB1006),$AB$1006:$AQ$1006,0))&gt;=100000), " ",IF(INDEX($AB$2:$AQ$1001,MATCH(ROWS($U$2:U42),$U$2:$U$1001,0),MATCH(COLUMNS($AB$1006:AB1006),$AB$1006:$AQ$1006,0)), HYPERLINK("#",""), HYPERLINK(CONCATENATE("#metadata!", ADDRESS(INDEX($W$2:$W$1001,MATCH(ROWS($U$2:U42),$U$2:$U$1001,0),0), INDEX($AB$1004:$AQ$1004,1,MATCH(COLUMNS($AB$1006:AB1006),$AB$1006:$AQ$1006,0)))),"Fix")))</f>
        <v>0</v>
      </c>
      <c r="C42" s="4">
        <f>IF(OR(INDEX($V$2:$V$1001,MATCH(ROWS($U$2:U42),$U$2:$U$1001,0),1)&gt;=100000,INDEX($AB$1005:$AQ$1005,1,MATCH(COLUMNS($AB$1006:AC1006),$AB$1006:$AQ$1006,0))&gt;=100000), " ",IF(INDEX($AB$2:$AQ$1001,MATCH(ROWS($U$2:U42),$U$2:$U$1001,0),MATCH(COLUMNS($AB$1006:AC1006),$AB$1006:$AQ$1006,0)), HYPERLINK("#",""), HYPERLINK(CONCATENATE("#metadata!", ADDRESS(INDEX($W$2:$W$1001,MATCH(ROWS($U$2:U42),$U$2:$U$1001,0),0), INDEX($AB$1004:$AQ$1004,1,MATCH(COLUMNS($AB$1006:AC1006),$AB$1006:$AQ$1006,0)))),"Fix")))</f>
        <v>0</v>
      </c>
      <c r="D42" s="4">
        <f>IF(OR(INDEX($V$2:$V$1001,MATCH(ROWS($U$2:U42),$U$2:$U$1001,0),1)&gt;=100000,INDEX($AB$1005:$AQ$1005,1,MATCH(COLUMNS($AB$1006:AD1006),$AB$1006:$AQ$1006,0))&gt;=100000), " ",IF(INDEX($AB$2:$AQ$1001,MATCH(ROWS($U$2:U42),$U$2:$U$1001,0),MATCH(COLUMNS($AB$1006:AD1006),$AB$1006:$AQ$1006,0)), HYPERLINK("#",""), HYPERLINK(CONCATENATE("#metadata!", ADDRESS(INDEX($W$2:$W$1001,MATCH(ROWS($U$2:U42),$U$2:$U$1001,0),0), INDEX($AB$1004:$AQ$1004,1,MATCH(COLUMNS($AB$1006:AD1006),$AB$1006:$AQ$1006,0)))),"Fix")))</f>
        <v>0</v>
      </c>
      <c r="E42" s="4">
        <f>IF(OR(INDEX($V$2:$V$1001,MATCH(ROWS($U$2:U42),$U$2:$U$1001,0),1)&gt;=100000,INDEX($AB$1005:$AQ$1005,1,MATCH(COLUMNS($AB$1006:AE1006),$AB$1006:$AQ$1006,0))&gt;=100000), " ",IF(INDEX($AB$2:$AQ$1001,MATCH(ROWS($U$2:U42),$U$2:$U$1001,0),MATCH(COLUMNS($AB$1006:AE1006),$AB$1006:$AQ$1006,0)), HYPERLINK("#",""), HYPERLINK(CONCATENATE("#metadata!", ADDRESS(INDEX($W$2:$W$1001,MATCH(ROWS($U$2:U42),$U$2:$U$1001,0),0), INDEX($AB$1004:$AQ$1004,1,MATCH(COLUMNS($AB$1006:AE1006),$AB$1006:$AQ$1006,0)))),"Fix")))</f>
        <v>0</v>
      </c>
      <c r="F42" s="4">
        <f>IF(OR(INDEX($V$2:$V$1001,MATCH(ROWS($U$2:U42),$U$2:$U$1001,0),1)&gt;=100000,INDEX($AB$1005:$AQ$1005,1,MATCH(COLUMNS($AB$1006:AF1006),$AB$1006:$AQ$1006,0))&gt;=100000), " ",IF(INDEX($AB$2:$AQ$1001,MATCH(ROWS($U$2:U42),$U$2:$U$1001,0),MATCH(COLUMNS($AB$1006:AF1006),$AB$1006:$AQ$1006,0)), HYPERLINK("#",""), HYPERLINK(CONCATENATE("#metadata!", ADDRESS(INDEX($W$2:$W$1001,MATCH(ROWS($U$2:U42),$U$2:$U$1001,0),0), INDEX($AB$1004:$AQ$1004,1,MATCH(COLUMNS($AB$1006:AF1006),$AB$1006:$AQ$1006,0)))),"Fix")))</f>
        <v>0</v>
      </c>
      <c r="G42" s="4">
        <f>IF(OR(INDEX($V$2:$V$1001,MATCH(ROWS($U$2:U42),$U$2:$U$1001,0),1)&gt;=100000,INDEX($AB$1005:$AQ$1005,1,MATCH(COLUMNS($AB$1006:AG1006),$AB$1006:$AQ$1006,0))&gt;=100000), " ",IF(INDEX($AB$2:$AQ$1001,MATCH(ROWS($U$2:U42),$U$2:$U$1001,0),MATCH(COLUMNS($AB$1006:AG1006),$AB$1006:$AQ$1006,0)), HYPERLINK("#",""), HYPERLINK(CONCATENATE("#metadata!", ADDRESS(INDEX($W$2:$W$1001,MATCH(ROWS($U$2:U42),$U$2:$U$1001,0),0), INDEX($AB$1004:$AQ$1004,1,MATCH(COLUMNS($AB$1006:AG1006),$AB$1006:$AQ$1006,0)))),"Fix")))</f>
        <v>0</v>
      </c>
      <c r="H42" s="4">
        <f>IF(OR(INDEX($V$2:$V$1001,MATCH(ROWS($U$2:U42),$U$2:$U$1001,0),1)&gt;=100000,INDEX($AB$1005:$AQ$1005,1,MATCH(COLUMNS($AB$1006:AH1006),$AB$1006:$AQ$1006,0))&gt;=100000), " ",IF(INDEX($AB$2:$AQ$1001,MATCH(ROWS($U$2:U42),$U$2:$U$1001,0),MATCH(COLUMNS($AB$1006:AH1006),$AB$1006:$AQ$1006,0)), HYPERLINK("#",""), HYPERLINK(CONCATENATE("#metadata!", ADDRESS(INDEX($W$2:$W$1001,MATCH(ROWS($U$2:U42),$U$2:$U$1001,0),0), INDEX($AB$1004:$AQ$1004,1,MATCH(COLUMNS($AB$1006:AH1006),$AB$1006:$AQ$1006,0)))),"Fix")))</f>
        <v>0</v>
      </c>
      <c r="I42" s="4">
        <f>IF(OR(INDEX($V$2:$V$1001,MATCH(ROWS($U$2:U42),$U$2:$U$1001,0),1)&gt;=100000,INDEX($AB$1005:$AQ$1005,1,MATCH(COLUMNS($AB$1006:AI1006),$AB$1006:$AQ$1006,0))&gt;=100000), " ",IF(INDEX($AB$2:$AQ$1001,MATCH(ROWS($U$2:U42),$U$2:$U$1001,0),MATCH(COLUMNS($AB$1006:AI1006),$AB$1006:$AQ$1006,0)), HYPERLINK("#",""), HYPERLINK(CONCATENATE("#metadata!", ADDRESS(INDEX($W$2:$W$1001,MATCH(ROWS($U$2:U42),$U$2:$U$1001,0),0), INDEX($AB$1004:$AQ$1004,1,MATCH(COLUMNS($AB$1006:AI1006),$AB$1006:$AQ$1006,0)))),"Fix")))</f>
        <v>0</v>
      </c>
      <c r="J42" s="4">
        <f>IF(OR(INDEX($V$2:$V$1001,MATCH(ROWS($U$2:U42),$U$2:$U$1001,0),1)&gt;=100000,INDEX($AB$1005:$AQ$1005,1,MATCH(COLUMNS($AB$1006:AJ1006),$AB$1006:$AQ$1006,0))&gt;=100000), " ",IF(INDEX($AB$2:$AQ$1001,MATCH(ROWS($U$2:U42),$U$2:$U$1001,0),MATCH(COLUMNS($AB$1006:AJ1006),$AB$1006:$AQ$1006,0)), HYPERLINK("#",""), HYPERLINK(CONCATENATE("#metadata!", ADDRESS(INDEX($W$2:$W$1001,MATCH(ROWS($U$2:U42),$U$2:$U$1001,0),0), INDEX($AB$1004:$AQ$1004,1,MATCH(COLUMNS($AB$1006:AJ1006),$AB$1006:$AQ$1006,0)))),"Fix")))</f>
        <v>0</v>
      </c>
      <c r="K42" s="4">
        <f>IF(OR(INDEX($V$2:$V$1001,MATCH(ROWS($U$2:U42),$U$2:$U$1001,0),1)&gt;=100000,INDEX($AB$1005:$AQ$1005,1,MATCH(COLUMNS($AB$1006:AK1006),$AB$1006:$AQ$1006,0))&gt;=100000), " ",IF(INDEX($AB$2:$AQ$1001,MATCH(ROWS($U$2:U42),$U$2:$U$1001,0),MATCH(COLUMNS($AB$1006:AK1006),$AB$1006:$AQ$1006,0)), HYPERLINK("#",""), HYPERLINK(CONCATENATE("#metadata!", ADDRESS(INDEX($W$2:$W$1001,MATCH(ROWS($U$2:U42),$U$2:$U$1001,0),0), INDEX($AB$1004:$AQ$1004,1,MATCH(COLUMNS($AB$1006:AK1006),$AB$1006:$AQ$1006,0)))),"Fix")))</f>
        <v>0</v>
      </c>
      <c r="L42" s="4">
        <f>IF(OR(INDEX($V$2:$V$1001,MATCH(ROWS($U$2:U42),$U$2:$U$1001,0),1)&gt;=100000,INDEX($AB$1005:$AQ$1005,1,MATCH(COLUMNS($AB$1006:AL1006),$AB$1006:$AQ$1006,0))&gt;=100000), " ",IF(INDEX($AB$2:$AQ$1001,MATCH(ROWS($U$2:U42),$U$2:$U$1001,0),MATCH(COLUMNS($AB$1006:AL1006),$AB$1006:$AQ$1006,0)), HYPERLINK("#",""), HYPERLINK(CONCATENATE("#metadata!", ADDRESS(INDEX($W$2:$W$1001,MATCH(ROWS($U$2:U42),$U$2:$U$1001,0),0), INDEX($AB$1004:$AQ$1004,1,MATCH(COLUMNS($AB$1006:AL1006),$AB$1006:$AQ$1006,0)))),"Fix")))</f>
        <v>0</v>
      </c>
      <c r="M42" s="4">
        <f>IF(OR(INDEX($V$2:$V$1001,MATCH(ROWS($U$2:U42),$U$2:$U$1001,0),1)&gt;=100000,INDEX($AB$1005:$AQ$1005,1,MATCH(COLUMNS($AB$1006:AM1006),$AB$1006:$AQ$1006,0))&gt;=100000), " ",IF(INDEX($AB$2:$AQ$1001,MATCH(ROWS($U$2:U42),$U$2:$U$1001,0),MATCH(COLUMNS($AB$1006:AM1006),$AB$1006:$AQ$1006,0)), HYPERLINK("#",""), HYPERLINK(CONCATENATE("#metadata!", ADDRESS(INDEX($W$2:$W$1001,MATCH(ROWS($U$2:U42),$U$2:$U$1001,0),0), INDEX($AB$1004:$AQ$1004,1,MATCH(COLUMNS($AB$1006:AM1006),$AB$1006:$AQ$1006,0)))),"Fix")))</f>
        <v>0</v>
      </c>
      <c r="N42" s="4">
        <f>IF(OR(INDEX($V$2:$V$1001,MATCH(ROWS($U$2:U42),$U$2:$U$1001,0),1)&gt;=100000,INDEX($AB$1005:$AQ$1005,1,MATCH(COLUMNS($AB$1006:AN1006),$AB$1006:$AQ$1006,0))&gt;=100000), " ",IF(INDEX($AB$2:$AQ$1001,MATCH(ROWS($U$2:U42),$U$2:$U$1001,0),MATCH(COLUMNS($AB$1006:AN1006),$AB$1006:$AQ$1006,0)), HYPERLINK("#",""), HYPERLINK(CONCATENATE("#metadata!", ADDRESS(INDEX($W$2:$W$1001,MATCH(ROWS($U$2:U42),$U$2:$U$1001,0),0), INDEX($AB$1004:$AQ$1004,1,MATCH(COLUMNS($AB$1006:AN1006),$AB$1006:$AQ$1006,0)))),"Fix")))</f>
        <v>0</v>
      </c>
      <c r="O42" s="4">
        <f>IF(OR(INDEX($V$2:$V$1001,MATCH(ROWS($U$2:U42),$U$2:$U$1001,0),1)&gt;=100000,INDEX($AB$1005:$AQ$1005,1,MATCH(COLUMNS($AB$1006:AO1006),$AB$1006:$AQ$1006,0))&gt;=100000), " ",IF(INDEX($AB$2:$AQ$1001,MATCH(ROWS($U$2:U42),$U$2:$U$1001,0),MATCH(COLUMNS($AB$1006:AO1006),$AB$1006:$AQ$1006,0)), HYPERLINK("#",""), HYPERLINK(CONCATENATE("#metadata!", ADDRESS(INDEX($W$2:$W$1001,MATCH(ROWS($U$2:U42),$U$2:$U$1001,0),0), INDEX($AB$1004:$AQ$1004,1,MATCH(COLUMNS($AB$1006:AO1006),$AB$1006:$AQ$1006,0)))),"Fix")))</f>
        <v>0</v>
      </c>
      <c r="P42" s="4">
        <f>IF(OR(INDEX($V$2:$V$1001,MATCH(ROWS($U$2:U42),$U$2:$U$1001,0),1)&gt;=100000,INDEX($AB$1005:$AQ$1005,1,MATCH(COLUMNS($AB$1006:AP1006),$AB$1006:$AQ$1006,0))&gt;=100000), " ",IF(INDEX($AB$2:$AQ$1001,MATCH(ROWS($U$2:U42),$U$2:$U$1001,0),MATCH(COLUMNS($AB$1006:AP1006),$AB$1006:$AQ$1006,0)), HYPERLINK("#",""), HYPERLINK(CONCATENATE("#metadata!", ADDRESS(INDEX($W$2:$W$1001,MATCH(ROWS($U$2:U42),$U$2:$U$1001,0),0), INDEX($AB$1004:$AQ$1004,1,MATCH(COLUMNS($AB$1006:AP1006),$AB$1006:$AQ$1006,0)))),"Fix")))</f>
        <v>0</v>
      </c>
      <c r="Q42" s="4">
        <f>IF(OR(INDEX($V$2:$V$1001,MATCH(ROWS($U$2:U42),$U$2:$U$1001,0),1)&gt;=100000,INDEX($AB$1005:$AQ$1005,1,MATCH(COLUMNS($AB$1006:AQ1006),$AB$1006:$AQ$1006,0))&gt;=100000), " ",IF(INDEX($AB$2:$AQ$1001,MATCH(ROWS($U$2:U42),$U$2:$U$1001,0),MATCH(COLUMNS($AB$1006:AQ1006),$AB$1006:$AQ$1006,0)), HYPERLINK("#",""), HYPERLINK(CONCATENATE("#metadata!", ADDRESS(INDEX($W$2:$W$1001,MATCH(ROWS($U$2:U42),$U$2:$U$1001,0),0), INDEX($AB$1004:$AQ$1004,1,MATCH(COLUMNS($AB$1006:AQ1006),$AB$1006:$AQ$1006,0)))),"Fix")))</f>
        <v>0</v>
      </c>
      <c r="U42">
        <v>0</v>
      </c>
      <c r="V42">
        <v>0</v>
      </c>
      <c r="W42">
        <v>0</v>
      </c>
      <c r="X42">
        <f>IF(Y42,TRUE,AND(AB42:AQ42))</f>
        <v>0</v>
      </c>
      <c r="Y42">
        <f>COUNTBLANK(metadata!B42:Q42)=COLUMNS(metadata!B42:Q42)</f>
        <v>0</v>
      </c>
      <c r="Z42">
        <v>0</v>
      </c>
      <c r="AB42">
        <f>AND(IF(metadata!B42="",FALSE,TRUE),COUNTIF(metadata!B:B, metadata!B42) = 1,NOT(ISERROR(SUMPRODUCT(SEARCH(MID(metadata!B42,ROW(INDIRECT("1:"&amp;LEN(metadata!B42))), 1),"0123456789abcdefghijklmnopqrstuvwxyzABCDEFGHIJKLMNOPQRSTUVWXYZ.")))))</f>
        <v>0</v>
      </c>
      <c r="AC42">
        <f>OR(AND(IF(metadata!C42="",FALSE,TRUE),OR(exact(metadata!C42,"missing: not collected"),exact(metadata!C42,"missing: not provided"),exact(metadata!C42,"missing: restricted access"))),AND(IF(metadata!C42="",FALSE,TRUE),AND(AND(IFERROR(INT(LEFT(metadata!C42,4))&gt;1900,FALSE),IFERROR(INT(LEFT(metadata!C42,4))&lt;=YEAR(NOW()),FALSE)), OR(MID(metadata!C42,5,1)="", AND(AND(MID(metadata!C42,5,1)="-",IFERROR(INT(MID(metadata!C42,6,1))&gt;=0,FALSE),IFERROR(INT(MID(metadata!C42,6,1))&lt;=1,FALSE),NOT(MID(metadata!C42,7,1)=""),IFERROR(INT(MID(metadata!C42,6,2))&gt;=1,FALSE),IFERROR(INT(MID(metadata!C42,6,2))&lt;=12,FALSE)), OR(MID(metadata!C42,8,1)="", AND(AND(MID(metadata!C42,8,1)="-",IFERROR(INT(MID(metadata!C42,9,1))&gt;=0,FALSE),IFERROR(INT(MID(metadata!C42,9,1))&lt;=3,FALSE),NOT(MID(metadata!C42,10,1)=""),IFERROR(INT(MID(metadata!C42,9,2))&gt;=1,FALSE),IFERROR(INT(MID(metadata!C42,9,2))&lt;=31,FALSE)), OR(MID(metadata!C42,11,1)="", AND(AND(MID(metadata!C42,11,1)=" ",IFERROR(INT(MID(metadata!C42,12,1))&gt;=0,FALSE),IFERROR(INT(MID(metadata!C42,12,1))&lt;=2,FALSE),NOT(MID(metadata!C42,13,1)=""),IFERROR(INT(MID(metadata!C42,12,2))&gt;=0,FALSE),IFERROR(INT(MID(metadata!C42,12,2))&lt;=23,FALSE)), OR(MID(metadata!C42,14,1)="", AND(AND(MID(metadata!C42,14,1)=":",IFERROR(INT(MID(metadata!C42,15,1))&gt;=0,FALSE),IFERROR(INT(MID(metadata!C42,15,1))&lt;=5,FALSE),NOT(MID(metadata!C42,16,1)=""),IFERROR(INT(MID(metadata!C42,15,2))&gt;=0,FALSE),IFERROR(INT(MID(metadata!C42,15,2))&lt;=59,FALSE)), OR(MID(metadata!C42,17,1)="", AND(AND(MID(metadata!C42,17,1)=":",IFERROR(INT(MID(metadata!C42,18,1))&gt;=0,FALSE),IFERROR(INT(MID(metadata!C42,18,1))&lt;=5,FALSE),NOT(MID(metadata!C42,19,1)=""),IFERROR(INT(MID(metadata!C42,18,2))&gt;=0,FALSE),IFERROR(INT(MID(metadata!C42,18,2))&lt;=59,FALSE)), LEN(metadata!C42)&lt;=19)))))))))))))</f>
        <v>0</v>
      </c>
      <c r="AD42">
        <f>IF(metadata!D42="",FALSE,TRUE)</f>
        <v>0</v>
      </c>
      <c r="AE42">
        <f>OR(AND(IF(metadata!E42="",FALSE,TRUE),OR(exact(metadata!E42,"missing: not collected"),exact(metadata!E42,"missing: not provided"))),AND(IF(metadata!E42="",FALSE,TRUE),OR(exact(metadata!E42,"TRUE"),exact(metadata!E42,"FALSE"))))</f>
        <v>0</v>
      </c>
      <c r="AF42">
        <f>IF(metadata!F42="",FALSE,TRUE)</f>
        <v>0</v>
      </c>
      <c r="AG42">
        <f>IF(metadata!G42="",FALSE,TRUE)</f>
        <v>0</v>
      </c>
      <c r="AH42">
        <f>IF(metadata!H42="",FALSE,TRUE)</f>
        <v>0</v>
      </c>
      <c r="AI42">
        <f>OR(AND(IF(metadata!I42="",FALSE,TRUE),OR(exact(metadata!I42,"missing: not collected"),exact(metadata!I42,"missing: not provided"),exact(metadata!I42,"missing: restricted access"))),AND(IF(metadata!I42="",FALSE,TRUE),OR(exact(metadata!I42,"air"),exact(metadata!I42,"built environment"),exact(metadata!I42,"host-associated"),exact(metadata!I42,"human-associated"),exact(metadata!I42,"human-skin"),exact(metadata!I42,"human-oral"),exact(metadata!I42,"human-gut"),exact(metadata!I42,"human-vaginal"),exact(metadata!I42,"microbial mat/biofilm"),exact(metadata!I42,"misc environment"),exact(metadata!I42,"plant-associated"),exact(metadata!I42,"sediment"),exact(metadata!I42,"soil"),exact(metadata!I42,"wastewater/sludge"),exact(metadata!I42,"water"))))</f>
        <v>0</v>
      </c>
      <c r="AJ42">
        <f>IF(metadata!J42="",FALSE,TRUE)</f>
        <v>0</v>
      </c>
      <c r="AK42">
        <f>OR(AND(IF(metadata!K42="",FALSE,TRUE),OR(exact(metadata!K42,"missing: not collected"),exact(metadata!K42,"missing: not provided"),exact(metadata!K42,"missing: restricted access"))),AND(IF(metadata!K42="",FALSE,ISNUMBER(VALUE(metadata!K42))),metadata!K42&gt;=-90.00,metadata!K42&lt;=90.00))</f>
        <v>0</v>
      </c>
      <c r="AL42">
        <f>OR(AND(IF(metadata!L42="",FALSE,TRUE),OR(exact(metadata!L42,"missing: not collected"),exact(metadata!L42,"missing: not provided"),exact(metadata!L42,"missing: restricted access"))),AND(IF(metadata!L42="",FALSE,ISNUMBER(VALUE(metadata!L42))),metadata!L42&gt;=-180.00,metadata!L42&lt;=180.00))</f>
        <v>0</v>
      </c>
      <c r="AM42">
        <f>IF(metadata!M42="",FALSE,TRUE)</f>
        <v>0</v>
      </c>
      <c r="AN42">
        <f>OR(AND(IF(metadata!N42="",FALSE,TRUE),OR(exact(metadata!N42,"missing: not collected"),exact(metadata!N42,"missing: not provided"),exact(metadata!N42,"missing: restricted access"))),AND(IF(metadata!N42="",FALSE,TRUE),OR(exact(metadata!N42,"TRUE"),exact(metadata!N42,"FALSE"))))</f>
        <v>0</v>
      </c>
      <c r="AO42">
        <f>IF(metadata!O42="",FALSE,TRUE)</f>
        <v>0</v>
      </c>
      <c r="AP42">
        <f>OR(AND(IF(metadata!P42="",FALSE,TRUE),OR(exact(metadata!P42,"missing: not collected"),exact(metadata!P42,"missing: not provided"))),AND(IF(metadata!P42="",FALSE,IF(ISERROR(INT(metadata!P42)),FALSE,INT(metadata!P42)=metadata!P42)),metadata!P42&gt;0))</f>
        <v>0</v>
      </c>
      <c r="AQ42">
        <f>IF(metadata!Q42="",FALSE,TRUE)</f>
        <v>0</v>
      </c>
    </row>
    <row r="43" spans="1:43">
      <c r="A43" s="5">
        <f>IF(B43=" "," ",HYPERLINK(CONCATENATE("#metadata!",ADDRESS(INDEX($W$2:$W$1001,MATCH(ROWS($U$2:U43),$U$2:$U$1001,0),0),1)),INDEX($Z$2:$Z$1001,MATCH(ROWS($U$2:U43),$U$2:$U$1001,0),0)))</f>
        <v>0</v>
      </c>
      <c r="B43" s="4">
        <f>IF(OR(INDEX($V$2:$V$1001,MATCH(ROWS($U$2:U43),$U$2:$U$1001,0),1)&gt;=100000,INDEX($AB$1005:$AQ$1005,1,MATCH(COLUMNS($AB$1006:AB1006),$AB$1006:$AQ$1006,0))&gt;=100000), " ",IF(INDEX($AB$2:$AQ$1001,MATCH(ROWS($U$2:U43),$U$2:$U$1001,0),MATCH(COLUMNS($AB$1006:AB1006),$AB$1006:$AQ$1006,0)), HYPERLINK("#",""), HYPERLINK(CONCATENATE("#metadata!", ADDRESS(INDEX($W$2:$W$1001,MATCH(ROWS($U$2:U43),$U$2:$U$1001,0),0), INDEX($AB$1004:$AQ$1004,1,MATCH(COLUMNS($AB$1006:AB1006),$AB$1006:$AQ$1006,0)))),"Fix")))</f>
        <v>0</v>
      </c>
      <c r="C43" s="4">
        <f>IF(OR(INDEX($V$2:$V$1001,MATCH(ROWS($U$2:U43),$U$2:$U$1001,0),1)&gt;=100000,INDEX($AB$1005:$AQ$1005,1,MATCH(COLUMNS($AB$1006:AC1006),$AB$1006:$AQ$1006,0))&gt;=100000), " ",IF(INDEX($AB$2:$AQ$1001,MATCH(ROWS($U$2:U43),$U$2:$U$1001,0),MATCH(COLUMNS($AB$1006:AC1006),$AB$1006:$AQ$1006,0)), HYPERLINK("#",""), HYPERLINK(CONCATENATE("#metadata!", ADDRESS(INDEX($W$2:$W$1001,MATCH(ROWS($U$2:U43),$U$2:$U$1001,0),0), INDEX($AB$1004:$AQ$1004,1,MATCH(COLUMNS($AB$1006:AC1006),$AB$1006:$AQ$1006,0)))),"Fix")))</f>
        <v>0</v>
      </c>
      <c r="D43" s="4">
        <f>IF(OR(INDEX($V$2:$V$1001,MATCH(ROWS($U$2:U43),$U$2:$U$1001,0),1)&gt;=100000,INDEX($AB$1005:$AQ$1005,1,MATCH(COLUMNS($AB$1006:AD1006),$AB$1006:$AQ$1006,0))&gt;=100000), " ",IF(INDEX($AB$2:$AQ$1001,MATCH(ROWS($U$2:U43),$U$2:$U$1001,0),MATCH(COLUMNS($AB$1006:AD1006),$AB$1006:$AQ$1006,0)), HYPERLINK("#",""), HYPERLINK(CONCATENATE("#metadata!", ADDRESS(INDEX($W$2:$W$1001,MATCH(ROWS($U$2:U43),$U$2:$U$1001,0),0), INDEX($AB$1004:$AQ$1004,1,MATCH(COLUMNS($AB$1006:AD1006),$AB$1006:$AQ$1006,0)))),"Fix")))</f>
        <v>0</v>
      </c>
      <c r="E43" s="4">
        <f>IF(OR(INDEX($V$2:$V$1001,MATCH(ROWS($U$2:U43),$U$2:$U$1001,0),1)&gt;=100000,INDEX($AB$1005:$AQ$1005,1,MATCH(COLUMNS($AB$1006:AE1006),$AB$1006:$AQ$1006,0))&gt;=100000), " ",IF(INDEX($AB$2:$AQ$1001,MATCH(ROWS($U$2:U43),$U$2:$U$1001,0),MATCH(COLUMNS($AB$1006:AE1006),$AB$1006:$AQ$1006,0)), HYPERLINK("#",""), HYPERLINK(CONCATENATE("#metadata!", ADDRESS(INDEX($W$2:$W$1001,MATCH(ROWS($U$2:U43),$U$2:$U$1001,0),0), INDEX($AB$1004:$AQ$1004,1,MATCH(COLUMNS($AB$1006:AE1006),$AB$1006:$AQ$1006,0)))),"Fix")))</f>
        <v>0</v>
      </c>
      <c r="F43" s="4">
        <f>IF(OR(INDEX($V$2:$V$1001,MATCH(ROWS($U$2:U43),$U$2:$U$1001,0),1)&gt;=100000,INDEX($AB$1005:$AQ$1005,1,MATCH(COLUMNS($AB$1006:AF1006),$AB$1006:$AQ$1006,0))&gt;=100000), " ",IF(INDEX($AB$2:$AQ$1001,MATCH(ROWS($U$2:U43),$U$2:$U$1001,0),MATCH(COLUMNS($AB$1006:AF1006),$AB$1006:$AQ$1006,0)), HYPERLINK("#",""), HYPERLINK(CONCATENATE("#metadata!", ADDRESS(INDEX($W$2:$W$1001,MATCH(ROWS($U$2:U43),$U$2:$U$1001,0),0), INDEX($AB$1004:$AQ$1004,1,MATCH(COLUMNS($AB$1006:AF1006),$AB$1006:$AQ$1006,0)))),"Fix")))</f>
        <v>0</v>
      </c>
      <c r="G43" s="4">
        <f>IF(OR(INDEX($V$2:$V$1001,MATCH(ROWS($U$2:U43),$U$2:$U$1001,0),1)&gt;=100000,INDEX($AB$1005:$AQ$1005,1,MATCH(COLUMNS($AB$1006:AG1006),$AB$1006:$AQ$1006,0))&gt;=100000), " ",IF(INDEX($AB$2:$AQ$1001,MATCH(ROWS($U$2:U43),$U$2:$U$1001,0),MATCH(COLUMNS($AB$1006:AG1006),$AB$1006:$AQ$1006,0)), HYPERLINK("#",""), HYPERLINK(CONCATENATE("#metadata!", ADDRESS(INDEX($W$2:$W$1001,MATCH(ROWS($U$2:U43),$U$2:$U$1001,0),0), INDEX($AB$1004:$AQ$1004,1,MATCH(COLUMNS($AB$1006:AG1006),$AB$1006:$AQ$1006,0)))),"Fix")))</f>
        <v>0</v>
      </c>
      <c r="H43" s="4">
        <f>IF(OR(INDEX($V$2:$V$1001,MATCH(ROWS($U$2:U43),$U$2:$U$1001,0),1)&gt;=100000,INDEX($AB$1005:$AQ$1005,1,MATCH(COLUMNS($AB$1006:AH1006),$AB$1006:$AQ$1006,0))&gt;=100000), " ",IF(INDEX($AB$2:$AQ$1001,MATCH(ROWS($U$2:U43),$U$2:$U$1001,0),MATCH(COLUMNS($AB$1006:AH1006),$AB$1006:$AQ$1006,0)), HYPERLINK("#",""), HYPERLINK(CONCATENATE("#metadata!", ADDRESS(INDEX($W$2:$W$1001,MATCH(ROWS($U$2:U43),$U$2:$U$1001,0),0), INDEX($AB$1004:$AQ$1004,1,MATCH(COLUMNS($AB$1006:AH1006),$AB$1006:$AQ$1006,0)))),"Fix")))</f>
        <v>0</v>
      </c>
      <c r="I43" s="4">
        <f>IF(OR(INDEX($V$2:$V$1001,MATCH(ROWS($U$2:U43),$U$2:$U$1001,0),1)&gt;=100000,INDEX($AB$1005:$AQ$1005,1,MATCH(COLUMNS($AB$1006:AI1006),$AB$1006:$AQ$1006,0))&gt;=100000), " ",IF(INDEX($AB$2:$AQ$1001,MATCH(ROWS($U$2:U43),$U$2:$U$1001,0),MATCH(COLUMNS($AB$1006:AI1006),$AB$1006:$AQ$1006,0)), HYPERLINK("#",""), HYPERLINK(CONCATENATE("#metadata!", ADDRESS(INDEX($W$2:$W$1001,MATCH(ROWS($U$2:U43),$U$2:$U$1001,0),0), INDEX($AB$1004:$AQ$1004,1,MATCH(COLUMNS($AB$1006:AI1006),$AB$1006:$AQ$1006,0)))),"Fix")))</f>
        <v>0</v>
      </c>
      <c r="J43" s="4">
        <f>IF(OR(INDEX($V$2:$V$1001,MATCH(ROWS($U$2:U43),$U$2:$U$1001,0),1)&gt;=100000,INDEX($AB$1005:$AQ$1005,1,MATCH(COLUMNS($AB$1006:AJ1006),$AB$1006:$AQ$1006,0))&gt;=100000), " ",IF(INDEX($AB$2:$AQ$1001,MATCH(ROWS($U$2:U43),$U$2:$U$1001,0),MATCH(COLUMNS($AB$1006:AJ1006),$AB$1006:$AQ$1006,0)), HYPERLINK("#",""), HYPERLINK(CONCATENATE("#metadata!", ADDRESS(INDEX($W$2:$W$1001,MATCH(ROWS($U$2:U43),$U$2:$U$1001,0),0), INDEX($AB$1004:$AQ$1004,1,MATCH(COLUMNS($AB$1006:AJ1006),$AB$1006:$AQ$1006,0)))),"Fix")))</f>
        <v>0</v>
      </c>
      <c r="K43" s="4">
        <f>IF(OR(INDEX($V$2:$V$1001,MATCH(ROWS($U$2:U43),$U$2:$U$1001,0),1)&gt;=100000,INDEX($AB$1005:$AQ$1005,1,MATCH(COLUMNS($AB$1006:AK1006),$AB$1006:$AQ$1006,0))&gt;=100000), " ",IF(INDEX($AB$2:$AQ$1001,MATCH(ROWS($U$2:U43),$U$2:$U$1001,0),MATCH(COLUMNS($AB$1006:AK1006),$AB$1006:$AQ$1006,0)), HYPERLINK("#",""), HYPERLINK(CONCATENATE("#metadata!", ADDRESS(INDEX($W$2:$W$1001,MATCH(ROWS($U$2:U43),$U$2:$U$1001,0),0), INDEX($AB$1004:$AQ$1004,1,MATCH(COLUMNS($AB$1006:AK1006),$AB$1006:$AQ$1006,0)))),"Fix")))</f>
        <v>0</v>
      </c>
      <c r="L43" s="4">
        <f>IF(OR(INDEX($V$2:$V$1001,MATCH(ROWS($U$2:U43),$U$2:$U$1001,0),1)&gt;=100000,INDEX($AB$1005:$AQ$1005,1,MATCH(COLUMNS($AB$1006:AL1006),$AB$1006:$AQ$1006,0))&gt;=100000), " ",IF(INDEX($AB$2:$AQ$1001,MATCH(ROWS($U$2:U43),$U$2:$U$1001,0),MATCH(COLUMNS($AB$1006:AL1006),$AB$1006:$AQ$1006,0)), HYPERLINK("#",""), HYPERLINK(CONCATENATE("#metadata!", ADDRESS(INDEX($W$2:$W$1001,MATCH(ROWS($U$2:U43),$U$2:$U$1001,0),0), INDEX($AB$1004:$AQ$1004,1,MATCH(COLUMNS($AB$1006:AL1006),$AB$1006:$AQ$1006,0)))),"Fix")))</f>
        <v>0</v>
      </c>
      <c r="M43" s="4">
        <f>IF(OR(INDEX($V$2:$V$1001,MATCH(ROWS($U$2:U43),$U$2:$U$1001,0),1)&gt;=100000,INDEX($AB$1005:$AQ$1005,1,MATCH(COLUMNS($AB$1006:AM1006),$AB$1006:$AQ$1006,0))&gt;=100000), " ",IF(INDEX($AB$2:$AQ$1001,MATCH(ROWS($U$2:U43),$U$2:$U$1001,0),MATCH(COLUMNS($AB$1006:AM1006),$AB$1006:$AQ$1006,0)), HYPERLINK("#",""), HYPERLINK(CONCATENATE("#metadata!", ADDRESS(INDEX($W$2:$W$1001,MATCH(ROWS($U$2:U43),$U$2:$U$1001,0),0), INDEX($AB$1004:$AQ$1004,1,MATCH(COLUMNS($AB$1006:AM1006),$AB$1006:$AQ$1006,0)))),"Fix")))</f>
        <v>0</v>
      </c>
      <c r="N43" s="4">
        <f>IF(OR(INDEX($V$2:$V$1001,MATCH(ROWS($U$2:U43),$U$2:$U$1001,0),1)&gt;=100000,INDEX($AB$1005:$AQ$1005,1,MATCH(COLUMNS($AB$1006:AN1006),$AB$1006:$AQ$1006,0))&gt;=100000), " ",IF(INDEX($AB$2:$AQ$1001,MATCH(ROWS($U$2:U43),$U$2:$U$1001,0),MATCH(COLUMNS($AB$1006:AN1006),$AB$1006:$AQ$1006,0)), HYPERLINK("#",""), HYPERLINK(CONCATENATE("#metadata!", ADDRESS(INDEX($W$2:$W$1001,MATCH(ROWS($U$2:U43),$U$2:$U$1001,0),0), INDEX($AB$1004:$AQ$1004,1,MATCH(COLUMNS($AB$1006:AN1006),$AB$1006:$AQ$1006,0)))),"Fix")))</f>
        <v>0</v>
      </c>
      <c r="O43" s="4">
        <f>IF(OR(INDEX($V$2:$V$1001,MATCH(ROWS($U$2:U43),$U$2:$U$1001,0),1)&gt;=100000,INDEX($AB$1005:$AQ$1005,1,MATCH(COLUMNS($AB$1006:AO1006),$AB$1006:$AQ$1006,0))&gt;=100000), " ",IF(INDEX($AB$2:$AQ$1001,MATCH(ROWS($U$2:U43),$U$2:$U$1001,0),MATCH(COLUMNS($AB$1006:AO1006),$AB$1006:$AQ$1006,0)), HYPERLINK("#",""), HYPERLINK(CONCATENATE("#metadata!", ADDRESS(INDEX($W$2:$W$1001,MATCH(ROWS($U$2:U43),$U$2:$U$1001,0),0), INDEX($AB$1004:$AQ$1004,1,MATCH(COLUMNS($AB$1006:AO1006),$AB$1006:$AQ$1006,0)))),"Fix")))</f>
        <v>0</v>
      </c>
      <c r="P43" s="4">
        <f>IF(OR(INDEX($V$2:$V$1001,MATCH(ROWS($U$2:U43),$U$2:$U$1001,0),1)&gt;=100000,INDEX($AB$1005:$AQ$1005,1,MATCH(COLUMNS($AB$1006:AP1006),$AB$1006:$AQ$1006,0))&gt;=100000), " ",IF(INDEX($AB$2:$AQ$1001,MATCH(ROWS($U$2:U43),$U$2:$U$1001,0),MATCH(COLUMNS($AB$1006:AP1006),$AB$1006:$AQ$1006,0)), HYPERLINK("#",""), HYPERLINK(CONCATENATE("#metadata!", ADDRESS(INDEX($W$2:$W$1001,MATCH(ROWS($U$2:U43),$U$2:$U$1001,0),0), INDEX($AB$1004:$AQ$1004,1,MATCH(COLUMNS($AB$1006:AP1006),$AB$1006:$AQ$1006,0)))),"Fix")))</f>
        <v>0</v>
      </c>
      <c r="Q43" s="4">
        <f>IF(OR(INDEX($V$2:$V$1001,MATCH(ROWS($U$2:U43),$U$2:$U$1001,0),1)&gt;=100000,INDEX($AB$1005:$AQ$1005,1,MATCH(COLUMNS($AB$1006:AQ1006),$AB$1006:$AQ$1006,0))&gt;=100000), " ",IF(INDEX($AB$2:$AQ$1001,MATCH(ROWS($U$2:U43),$U$2:$U$1001,0),MATCH(COLUMNS($AB$1006:AQ1006),$AB$1006:$AQ$1006,0)), HYPERLINK("#",""), HYPERLINK(CONCATENATE("#metadata!", ADDRESS(INDEX($W$2:$W$1001,MATCH(ROWS($U$2:U43),$U$2:$U$1001,0),0), INDEX($AB$1004:$AQ$1004,1,MATCH(COLUMNS($AB$1006:AQ1006),$AB$1006:$AQ$1006,0)))),"Fix")))</f>
        <v>0</v>
      </c>
      <c r="U43">
        <v>0</v>
      </c>
      <c r="V43">
        <v>0</v>
      </c>
      <c r="W43">
        <v>0</v>
      </c>
      <c r="X43">
        <f>IF(Y43,TRUE,AND(AB43:AQ43))</f>
        <v>0</v>
      </c>
      <c r="Y43">
        <f>COUNTBLANK(metadata!B43:Q43)=COLUMNS(metadata!B43:Q43)</f>
        <v>0</v>
      </c>
      <c r="Z43">
        <v>0</v>
      </c>
      <c r="AB43">
        <f>AND(IF(metadata!B43="",FALSE,TRUE),COUNTIF(metadata!B:B, metadata!B43) = 1,NOT(ISERROR(SUMPRODUCT(SEARCH(MID(metadata!B43,ROW(INDIRECT("1:"&amp;LEN(metadata!B43))), 1),"0123456789abcdefghijklmnopqrstuvwxyzABCDEFGHIJKLMNOPQRSTUVWXYZ.")))))</f>
        <v>0</v>
      </c>
      <c r="AC43">
        <f>OR(AND(IF(metadata!C43="",FALSE,TRUE),OR(exact(metadata!C43,"missing: not collected"),exact(metadata!C43,"missing: not provided"),exact(metadata!C43,"missing: restricted access"))),AND(IF(metadata!C43="",FALSE,TRUE),AND(AND(IFERROR(INT(LEFT(metadata!C43,4))&gt;1900,FALSE),IFERROR(INT(LEFT(metadata!C43,4))&lt;=YEAR(NOW()),FALSE)), OR(MID(metadata!C43,5,1)="", AND(AND(MID(metadata!C43,5,1)="-",IFERROR(INT(MID(metadata!C43,6,1))&gt;=0,FALSE),IFERROR(INT(MID(metadata!C43,6,1))&lt;=1,FALSE),NOT(MID(metadata!C43,7,1)=""),IFERROR(INT(MID(metadata!C43,6,2))&gt;=1,FALSE),IFERROR(INT(MID(metadata!C43,6,2))&lt;=12,FALSE)), OR(MID(metadata!C43,8,1)="", AND(AND(MID(metadata!C43,8,1)="-",IFERROR(INT(MID(metadata!C43,9,1))&gt;=0,FALSE),IFERROR(INT(MID(metadata!C43,9,1))&lt;=3,FALSE),NOT(MID(metadata!C43,10,1)=""),IFERROR(INT(MID(metadata!C43,9,2))&gt;=1,FALSE),IFERROR(INT(MID(metadata!C43,9,2))&lt;=31,FALSE)), OR(MID(metadata!C43,11,1)="", AND(AND(MID(metadata!C43,11,1)=" ",IFERROR(INT(MID(metadata!C43,12,1))&gt;=0,FALSE),IFERROR(INT(MID(metadata!C43,12,1))&lt;=2,FALSE),NOT(MID(metadata!C43,13,1)=""),IFERROR(INT(MID(metadata!C43,12,2))&gt;=0,FALSE),IFERROR(INT(MID(metadata!C43,12,2))&lt;=23,FALSE)), OR(MID(metadata!C43,14,1)="", AND(AND(MID(metadata!C43,14,1)=":",IFERROR(INT(MID(metadata!C43,15,1))&gt;=0,FALSE),IFERROR(INT(MID(metadata!C43,15,1))&lt;=5,FALSE),NOT(MID(metadata!C43,16,1)=""),IFERROR(INT(MID(metadata!C43,15,2))&gt;=0,FALSE),IFERROR(INT(MID(metadata!C43,15,2))&lt;=59,FALSE)), OR(MID(metadata!C43,17,1)="", AND(AND(MID(metadata!C43,17,1)=":",IFERROR(INT(MID(metadata!C43,18,1))&gt;=0,FALSE),IFERROR(INT(MID(metadata!C43,18,1))&lt;=5,FALSE),NOT(MID(metadata!C43,19,1)=""),IFERROR(INT(MID(metadata!C43,18,2))&gt;=0,FALSE),IFERROR(INT(MID(metadata!C43,18,2))&lt;=59,FALSE)), LEN(metadata!C43)&lt;=19)))))))))))))</f>
        <v>0</v>
      </c>
      <c r="AD43">
        <f>IF(metadata!D43="",FALSE,TRUE)</f>
        <v>0</v>
      </c>
      <c r="AE43">
        <f>OR(AND(IF(metadata!E43="",FALSE,TRUE),OR(exact(metadata!E43,"missing: not collected"),exact(metadata!E43,"missing: not provided"))),AND(IF(metadata!E43="",FALSE,TRUE),OR(exact(metadata!E43,"TRUE"),exact(metadata!E43,"FALSE"))))</f>
        <v>0</v>
      </c>
      <c r="AF43">
        <f>IF(metadata!F43="",FALSE,TRUE)</f>
        <v>0</v>
      </c>
      <c r="AG43">
        <f>IF(metadata!G43="",FALSE,TRUE)</f>
        <v>0</v>
      </c>
      <c r="AH43">
        <f>IF(metadata!H43="",FALSE,TRUE)</f>
        <v>0</v>
      </c>
      <c r="AI43">
        <f>OR(AND(IF(metadata!I43="",FALSE,TRUE),OR(exact(metadata!I43,"missing: not collected"),exact(metadata!I43,"missing: not provided"),exact(metadata!I43,"missing: restricted access"))),AND(IF(metadata!I43="",FALSE,TRUE),OR(exact(metadata!I43,"air"),exact(metadata!I43,"built environment"),exact(metadata!I43,"host-associated"),exact(metadata!I43,"human-associated"),exact(metadata!I43,"human-skin"),exact(metadata!I43,"human-oral"),exact(metadata!I43,"human-gut"),exact(metadata!I43,"human-vaginal"),exact(metadata!I43,"microbial mat/biofilm"),exact(metadata!I43,"misc environment"),exact(metadata!I43,"plant-associated"),exact(metadata!I43,"sediment"),exact(metadata!I43,"soil"),exact(metadata!I43,"wastewater/sludge"),exact(metadata!I43,"water"))))</f>
        <v>0</v>
      </c>
      <c r="AJ43">
        <f>IF(metadata!J43="",FALSE,TRUE)</f>
        <v>0</v>
      </c>
      <c r="AK43">
        <f>OR(AND(IF(metadata!K43="",FALSE,TRUE),OR(exact(metadata!K43,"missing: not collected"),exact(metadata!K43,"missing: not provided"),exact(metadata!K43,"missing: restricted access"))),AND(IF(metadata!K43="",FALSE,ISNUMBER(VALUE(metadata!K43))),metadata!K43&gt;=-90.00,metadata!K43&lt;=90.00))</f>
        <v>0</v>
      </c>
      <c r="AL43">
        <f>OR(AND(IF(metadata!L43="",FALSE,TRUE),OR(exact(metadata!L43,"missing: not collected"),exact(metadata!L43,"missing: not provided"),exact(metadata!L43,"missing: restricted access"))),AND(IF(metadata!L43="",FALSE,ISNUMBER(VALUE(metadata!L43))),metadata!L43&gt;=-180.00,metadata!L43&lt;=180.00))</f>
        <v>0</v>
      </c>
      <c r="AM43">
        <f>IF(metadata!M43="",FALSE,TRUE)</f>
        <v>0</v>
      </c>
      <c r="AN43">
        <f>OR(AND(IF(metadata!N43="",FALSE,TRUE),OR(exact(metadata!N43,"missing: not collected"),exact(metadata!N43,"missing: not provided"),exact(metadata!N43,"missing: restricted access"))),AND(IF(metadata!N43="",FALSE,TRUE),OR(exact(metadata!N43,"TRUE"),exact(metadata!N43,"FALSE"))))</f>
        <v>0</v>
      </c>
      <c r="AO43">
        <f>IF(metadata!O43="",FALSE,TRUE)</f>
        <v>0</v>
      </c>
      <c r="AP43">
        <f>OR(AND(IF(metadata!P43="",FALSE,TRUE),OR(exact(metadata!P43,"missing: not collected"),exact(metadata!P43,"missing: not provided"))),AND(IF(metadata!P43="",FALSE,IF(ISERROR(INT(metadata!P43)),FALSE,INT(metadata!P43)=metadata!P43)),metadata!P43&gt;0))</f>
        <v>0</v>
      </c>
      <c r="AQ43">
        <f>IF(metadata!Q43="",FALSE,TRUE)</f>
        <v>0</v>
      </c>
    </row>
    <row r="44" spans="1:43">
      <c r="A44" s="5">
        <f>IF(B44=" "," ",HYPERLINK(CONCATENATE("#metadata!",ADDRESS(INDEX($W$2:$W$1001,MATCH(ROWS($U$2:U44),$U$2:$U$1001,0),0),1)),INDEX($Z$2:$Z$1001,MATCH(ROWS($U$2:U44),$U$2:$U$1001,0),0)))</f>
        <v>0</v>
      </c>
      <c r="B44" s="4">
        <f>IF(OR(INDEX($V$2:$V$1001,MATCH(ROWS($U$2:U44),$U$2:$U$1001,0),1)&gt;=100000,INDEX($AB$1005:$AQ$1005,1,MATCH(COLUMNS($AB$1006:AB1006),$AB$1006:$AQ$1006,0))&gt;=100000), " ",IF(INDEX($AB$2:$AQ$1001,MATCH(ROWS($U$2:U44),$U$2:$U$1001,0),MATCH(COLUMNS($AB$1006:AB1006),$AB$1006:$AQ$1006,0)), HYPERLINK("#",""), HYPERLINK(CONCATENATE("#metadata!", ADDRESS(INDEX($W$2:$W$1001,MATCH(ROWS($U$2:U44),$U$2:$U$1001,0),0), INDEX($AB$1004:$AQ$1004,1,MATCH(COLUMNS($AB$1006:AB1006),$AB$1006:$AQ$1006,0)))),"Fix")))</f>
        <v>0</v>
      </c>
      <c r="C44" s="4">
        <f>IF(OR(INDEX($V$2:$V$1001,MATCH(ROWS($U$2:U44),$U$2:$U$1001,0),1)&gt;=100000,INDEX($AB$1005:$AQ$1005,1,MATCH(COLUMNS($AB$1006:AC1006),$AB$1006:$AQ$1006,0))&gt;=100000), " ",IF(INDEX($AB$2:$AQ$1001,MATCH(ROWS($U$2:U44),$U$2:$U$1001,0),MATCH(COLUMNS($AB$1006:AC1006),$AB$1006:$AQ$1006,0)), HYPERLINK("#",""), HYPERLINK(CONCATENATE("#metadata!", ADDRESS(INDEX($W$2:$W$1001,MATCH(ROWS($U$2:U44),$U$2:$U$1001,0),0), INDEX($AB$1004:$AQ$1004,1,MATCH(COLUMNS($AB$1006:AC1006),$AB$1006:$AQ$1006,0)))),"Fix")))</f>
        <v>0</v>
      </c>
      <c r="D44" s="4">
        <f>IF(OR(INDEX($V$2:$V$1001,MATCH(ROWS($U$2:U44),$U$2:$U$1001,0),1)&gt;=100000,INDEX($AB$1005:$AQ$1005,1,MATCH(COLUMNS($AB$1006:AD1006),$AB$1006:$AQ$1006,0))&gt;=100000), " ",IF(INDEX($AB$2:$AQ$1001,MATCH(ROWS($U$2:U44),$U$2:$U$1001,0),MATCH(COLUMNS($AB$1006:AD1006),$AB$1006:$AQ$1006,0)), HYPERLINK("#",""), HYPERLINK(CONCATENATE("#metadata!", ADDRESS(INDEX($W$2:$W$1001,MATCH(ROWS($U$2:U44),$U$2:$U$1001,0),0), INDEX($AB$1004:$AQ$1004,1,MATCH(COLUMNS($AB$1006:AD1006),$AB$1006:$AQ$1006,0)))),"Fix")))</f>
        <v>0</v>
      </c>
      <c r="E44" s="4">
        <f>IF(OR(INDEX($V$2:$V$1001,MATCH(ROWS($U$2:U44),$U$2:$U$1001,0),1)&gt;=100000,INDEX($AB$1005:$AQ$1005,1,MATCH(COLUMNS($AB$1006:AE1006),$AB$1006:$AQ$1006,0))&gt;=100000), " ",IF(INDEX($AB$2:$AQ$1001,MATCH(ROWS($U$2:U44),$U$2:$U$1001,0),MATCH(COLUMNS($AB$1006:AE1006),$AB$1006:$AQ$1006,0)), HYPERLINK("#",""), HYPERLINK(CONCATENATE("#metadata!", ADDRESS(INDEX($W$2:$W$1001,MATCH(ROWS($U$2:U44),$U$2:$U$1001,0),0), INDEX($AB$1004:$AQ$1004,1,MATCH(COLUMNS($AB$1006:AE1006),$AB$1006:$AQ$1006,0)))),"Fix")))</f>
        <v>0</v>
      </c>
      <c r="F44" s="4">
        <f>IF(OR(INDEX($V$2:$V$1001,MATCH(ROWS($U$2:U44),$U$2:$U$1001,0),1)&gt;=100000,INDEX($AB$1005:$AQ$1005,1,MATCH(COLUMNS($AB$1006:AF1006),$AB$1006:$AQ$1006,0))&gt;=100000), " ",IF(INDEX($AB$2:$AQ$1001,MATCH(ROWS($U$2:U44),$U$2:$U$1001,0),MATCH(COLUMNS($AB$1006:AF1006),$AB$1006:$AQ$1006,0)), HYPERLINK("#",""), HYPERLINK(CONCATENATE("#metadata!", ADDRESS(INDEX($W$2:$W$1001,MATCH(ROWS($U$2:U44),$U$2:$U$1001,0),0), INDEX($AB$1004:$AQ$1004,1,MATCH(COLUMNS($AB$1006:AF1006),$AB$1006:$AQ$1006,0)))),"Fix")))</f>
        <v>0</v>
      </c>
      <c r="G44" s="4">
        <f>IF(OR(INDEX($V$2:$V$1001,MATCH(ROWS($U$2:U44),$U$2:$U$1001,0),1)&gt;=100000,INDEX($AB$1005:$AQ$1005,1,MATCH(COLUMNS($AB$1006:AG1006),$AB$1006:$AQ$1006,0))&gt;=100000), " ",IF(INDEX($AB$2:$AQ$1001,MATCH(ROWS($U$2:U44),$U$2:$U$1001,0),MATCH(COLUMNS($AB$1006:AG1006),$AB$1006:$AQ$1006,0)), HYPERLINK("#",""), HYPERLINK(CONCATENATE("#metadata!", ADDRESS(INDEX($W$2:$W$1001,MATCH(ROWS($U$2:U44),$U$2:$U$1001,0),0), INDEX($AB$1004:$AQ$1004,1,MATCH(COLUMNS($AB$1006:AG1006),$AB$1006:$AQ$1006,0)))),"Fix")))</f>
        <v>0</v>
      </c>
      <c r="H44" s="4">
        <f>IF(OR(INDEX($V$2:$V$1001,MATCH(ROWS($U$2:U44),$U$2:$U$1001,0),1)&gt;=100000,INDEX($AB$1005:$AQ$1005,1,MATCH(COLUMNS($AB$1006:AH1006),$AB$1006:$AQ$1006,0))&gt;=100000), " ",IF(INDEX($AB$2:$AQ$1001,MATCH(ROWS($U$2:U44),$U$2:$U$1001,0),MATCH(COLUMNS($AB$1006:AH1006),$AB$1006:$AQ$1006,0)), HYPERLINK("#",""), HYPERLINK(CONCATENATE("#metadata!", ADDRESS(INDEX($W$2:$W$1001,MATCH(ROWS($U$2:U44),$U$2:$U$1001,0),0), INDEX($AB$1004:$AQ$1004,1,MATCH(COLUMNS($AB$1006:AH1006),$AB$1006:$AQ$1006,0)))),"Fix")))</f>
        <v>0</v>
      </c>
      <c r="I44" s="4">
        <f>IF(OR(INDEX($V$2:$V$1001,MATCH(ROWS($U$2:U44),$U$2:$U$1001,0),1)&gt;=100000,INDEX($AB$1005:$AQ$1005,1,MATCH(COLUMNS($AB$1006:AI1006),$AB$1006:$AQ$1006,0))&gt;=100000), " ",IF(INDEX($AB$2:$AQ$1001,MATCH(ROWS($U$2:U44),$U$2:$U$1001,0),MATCH(COLUMNS($AB$1006:AI1006),$AB$1006:$AQ$1006,0)), HYPERLINK("#",""), HYPERLINK(CONCATENATE("#metadata!", ADDRESS(INDEX($W$2:$W$1001,MATCH(ROWS($U$2:U44),$U$2:$U$1001,0),0), INDEX($AB$1004:$AQ$1004,1,MATCH(COLUMNS($AB$1006:AI1006),$AB$1006:$AQ$1006,0)))),"Fix")))</f>
        <v>0</v>
      </c>
      <c r="J44" s="4">
        <f>IF(OR(INDEX($V$2:$V$1001,MATCH(ROWS($U$2:U44),$U$2:$U$1001,0),1)&gt;=100000,INDEX($AB$1005:$AQ$1005,1,MATCH(COLUMNS($AB$1006:AJ1006),$AB$1006:$AQ$1006,0))&gt;=100000), " ",IF(INDEX($AB$2:$AQ$1001,MATCH(ROWS($U$2:U44),$U$2:$U$1001,0),MATCH(COLUMNS($AB$1006:AJ1006),$AB$1006:$AQ$1006,0)), HYPERLINK("#",""), HYPERLINK(CONCATENATE("#metadata!", ADDRESS(INDEX($W$2:$W$1001,MATCH(ROWS($U$2:U44),$U$2:$U$1001,0),0), INDEX($AB$1004:$AQ$1004,1,MATCH(COLUMNS($AB$1006:AJ1006),$AB$1006:$AQ$1006,0)))),"Fix")))</f>
        <v>0</v>
      </c>
      <c r="K44" s="4">
        <f>IF(OR(INDEX($V$2:$V$1001,MATCH(ROWS($U$2:U44),$U$2:$U$1001,0),1)&gt;=100000,INDEX($AB$1005:$AQ$1005,1,MATCH(COLUMNS($AB$1006:AK1006),$AB$1006:$AQ$1006,0))&gt;=100000), " ",IF(INDEX($AB$2:$AQ$1001,MATCH(ROWS($U$2:U44),$U$2:$U$1001,0),MATCH(COLUMNS($AB$1006:AK1006),$AB$1006:$AQ$1006,0)), HYPERLINK("#",""), HYPERLINK(CONCATENATE("#metadata!", ADDRESS(INDEX($W$2:$W$1001,MATCH(ROWS($U$2:U44),$U$2:$U$1001,0),0), INDEX($AB$1004:$AQ$1004,1,MATCH(COLUMNS($AB$1006:AK1006),$AB$1006:$AQ$1006,0)))),"Fix")))</f>
        <v>0</v>
      </c>
      <c r="L44" s="4">
        <f>IF(OR(INDEX($V$2:$V$1001,MATCH(ROWS($U$2:U44),$U$2:$U$1001,0),1)&gt;=100000,INDEX($AB$1005:$AQ$1005,1,MATCH(COLUMNS($AB$1006:AL1006),$AB$1006:$AQ$1006,0))&gt;=100000), " ",IF(INDEX($AB$2:$AQ$1001,MATCH(ROWS($U$2:U44),$U$2:$U$1001,0),MATCH(COLUMNS($AB$1006:AL1006),$AB$1006:$AQ$1006,0)), HYPERLINK("#",""), HYPERLINK(CONCATENATE("#metadata!", ADDRESS(INDEX($W$2:$W$1001,MATCH(ROWS($U$2:U44),$U$2:$U$1001,0),0), INDEX($AB$1004:$AQ$1004,1,MATCH(COLUMNS($AB$1006:AL1006),$AB$1006:$AQ$1006,0)))),"Fix")))</f>
        <v>0</v>
      </c>
      <c r="M44" s="4">
        <f>IF(OR(INDEX($V$2:$V$1001,MATCH(ROWS($U$2:U44),$U$2:$U$1001,0),1)&gt;=100000,INDEX($AB$1005:$AQ$1005,1,MATCH(COLUMNS($AB$1006:AM1006),$AB$1006:$AQ$1006,0))&gt;=100000), " ",IF(INDEX($AB$2:$AQ$1001,MATCH(ROWS($U$2:U44),$U$2:$U$1001,0),MATCH(COLUMNS($AB$1006:AM1006),$AB$1006:$AQ$1006,0)), HYPERLINK("#",""), HYPERLINK(CONCATENATE("#metadata!", ADDRESS(INDEX($W$2:$W$1001,MATCH(ROWS($U$2:U44),$U$2:$U$1001,0),0), INDEX($AB$1004:$AQ$1004,1,MATCH(COLUMNS($AB$1006:AM1006),$AB$1006:$AQ$1006,0)))),"Fix")))</f>
        <v>0</v>
      </c>
      <c r="N44" s="4">
        <f>IF(OR(INDEX($V$2:$V$1001,MATCH(ROWS($U$2:U44),$U$2:$U$1001,0),1)&gt;=100000,INDEX($AB$1005:$AQ$1005,1,MATCH(COLUMNS($AB$1006:AN1006),$AB$1006:$AQ$1006,0))&gt;=100000), " ",IF(INDEX($AB$2:$AQ$1001,MATCH(ROWS($U$2:U44),$U$2:$U$1001,0),MATCH(COLUMNS($AB$1006:AN1006),$AB$1006:$AQ$1006,0)), HYPERLINK("#",""), HYPERLINK(CONCATENATE("#metadata!", ADDRESS(INDEX($W$2:$W$1001,MATCH(ROWS($U$2:U44),$U$2:$U$1001,0),0), INDEX($AB$1004:$AQ$1004,1,MATCH(COLUMNS($AB$1006:AN1006),$AB$1006:$AQ$1006,0)))),"Fix")))</f>
        <v>0</v>
      </c>
      <c r="O44" s="4">
        <f>IF(OR(INDEX($V$2:$V$1001,MATCH(ROWS($U$2:U44),$U$2:$U$1001,0),1)&gt;=100000,INDEX($AB$1005:$AQ$1005,1,MATCH(COLUMNS($AB$1006:AO1006),$AB$1006:$AQ$1006,0))&gt;=100000), " ",IF(INDEX($AB$2:$AQ$1001,MATCH(ROWS($U$2:U44),$U$2:$U$1001,0),MATCH(COLUMNS($AB$1006:AO1006),$AB$1006:$AQ$1006,0)), HYPERLINK("#",""), HYPERLINK(CONCATENATE("#metadata!", ADDRESS(INDEX($W$2:$W$1001,MATCH(ROWS($U$2:U44),$U$2:$U$1001,0),0), INDEX($AB$1004:$AQ$1004,1,MATCH(COLUMNS($AB$1006:AO1006),$AB$1006:$AQ$1006,0)))),"Fix")))</f>
        <v>0</v>
      </c>
      <c r="P44" s="4">
        <f>IF(OR(INDEX($V$2:$V$1001,MATCH(ROWS($U$2:U44),$U$2:$U$1001,0),1)&gt;=100000,INDEX($AB$1005:$AQ$1005,1,MATCH(COLUMNS($AB$1006:AP1006),$AB$1006:$AQ$1006,0))&gt;=100000), " ",IF(INDEX($AB$2:$AQ$1001,MATCH(ROWS($U$2:U44),$U$2:$U$1001,0),MATCH(COLUMNS($AB$1006:AP1006),$AB$1006:$AQ$1006,0)), HYPERLINK("#",""), HYPERLINK(CONCATENATE("#metadata!", ADDRESS(INDEX($W$2:$W$1001,MATCH(ROWS($U$2:U44),$U$2:$U$1001,0),0), INDEX($AB$1004:$AQ$1004,1,MATCH(COLUMNS($AB$1006:AP1006),$AB$1006:$AQ$1006,0)))),"Fix")))</f>
        <v>0</v>
      </c>
      <c r="Q44" s="4">
        <f>IF(OR(INDEX($V$2:$V$1001,MATCH(ROWS($U$2:U44),$U$2:$U$1001,0),1)&gt;=100000,INDEX($AB$1005:$AQ$1005,1,MATCH(COLUMNS($AB$1006:AQ1006),$AB$1006:$AQ$1006,0))&gt;=100000), " ",IF(INDEX($AB$2:$AQ$1001,MATCH(ROWS($U$2:U44),$U$2:$U$1001,0),MATCH(COLUMNS($AB$1006:AQ1006),$AB$1006:$AQ$1006,0)), HYPERLINK("#",""), HYPERLINK(CONCATENATE("#metadata!", ADDRESS(INDEX($W$2:$W$1001,MATCH(ROWS($U$2:U44),$U$2:$U$1001,0),0), INDEX($AB$1004:$AQ$1004,1,MATCH(COLUMNS($AB$1006:AQ1006),$AB$1006:$AQ$1006,0)))),"Fix")))</f>
        <v>0</v>
      </c>
      <c r="U44">
        <v>0</v>
      </c>
      <c r="V44">
        <v>0</v>
      </c>
      <c r="W44">
        <v>0</v>
      </c>
      <c r="X44">
        <f>IF(Y44,TRUE,AND(AB44:AQ44))</f>
        <v>0</v>
      </c>
      <c r="Y44">
        <f>COUNTBLANK(metadata!B44:Q44)=COLUMNS(metadata!B44:Q44)</f>
        <v>0</v>
      </c>
      <c r="Z44">
        <v>0</v>
      </c>
      <c r="AB44">
        <f>AND(IF(metadata!B44="",FALSE,TRUE),COUNTIF(metadata!B:B, metadata!B44) = 1,NOT(ISERROR(SUMPRODUCT(SEARCH(MID(metadata!B44,ROW(INDIRECT("1:"&amp;LEN(metadata!B44))), 1),"0123456789abcdefghijklmnopqrstuvwxyzABCDEFGHIJKLMNOPQRSTUVWXYZ.")))))</f>
        <v>0</v>
      </c>
      <c r="AC44">
        <f>OR(AND(IF(metadata!C44="",FALSE,TRUE),OR(exact(metadata!C44,"missing: not collected"),exact(metadata!C44,"missing: not provided"),exact(metadata!C44,"missing: restricted access"))),AND(IF(metadata!C44="",FALSE,TRUE),AND(AND(IFERROR(INT(LEFT(metadata!C44,4))&gt;1900,FALSE),IFERROR(INT(LEFT(metadata!C44,4))&lt;=YEAR(NOW()),FALSE)), OR(MID(metadata!C44,5,1)="", AND(AND(MID(metadata!C44,5,1)="-",IFERROR(INT(MID(metadata!C44,6,1))&gt;=0,FALSE),IFERROR(INT(MID(metadata!C44,6,1))&lt;=1,FALSE),NOT(MID(metadata!C44,7,1)=""),IFERROR(INT(MID(metadata!C44,6,2))&gt;=1,FALSE),IFERROR(INT(MID(metadata!C44,6,2))&lt;=12,FALSE)), OR(MID(metadata!C44,8,1)="", AND(AND(MID(metadata!C44,8,1)="-",IFERROR(INT(MID(metadata!C44,9,1))&gt;=0,FALSE),IFERROR(INT(MID(metadata!C44,9,1))&lt;=3,FALSE),NOT(MID(metadata!C44,10,1)=""),IFERROR(INT(MID(metadata!C44,9,2))&gt;=1,FALSE),IFERROR(INT(MID(metadata!C44,9,2))&lt;=31,FALSE)), OR(MID(metadata!C44,11,1)="", AND(AND(MID(metadata!C44,11,1)=" ",IFERROR(INT(MID(metadata!C44,12,1))&gt;=0,FALSE),IFERROR(INT(MID(metadata!C44,12,1))&lt;=2,FALSE),NOT(MID(metadata!C44,13,1)=""),IFERROR(INT(MID(metadata!C44,12,2))&gt;=0,FALSE),IFERROR(INT(MID(metadata!C44,12,2))&lt;=23,FALSE)), OR(MID(metadata!C44,14,1)="", AND(AND(MID(metadata!C44,14,1)=":",IFERROR(INT(MID(metadata!C44,15,1))&gt;=0,FALSE),IFERROR(INT(MID(metadata!C44,15,1))&lt;=5,FALSE),NOT(MID(metadata!C44,16,1)=""),IFERROR(INT(MID(metadata!C44,15,2))&gt;=0,FALSE),IFERROR(INT(MID(metadata!C44,15,2))&lt;=59,FALSE)), OR(MID(metadata!C44,17,1)="", AND(AND(MID(metadata!C44,17,1)=":",IFERROR(INT(MID(metadata!C44,18,1))&gt;=0,FALSE),IFERROR(INT(MID(metadata!C44,18,1))&lt;=5,FALSE),NOT(MID(metadata!C44,19,1)=""),IFERROR(INT(MID(metadata!C44,18,2))&gt;=0,FALSE),IFERROR(INT(MID(metadata!C44,18,2))&lt;=59,FALSE)), LEN(metadata!C44)&lt;=19)))))))))))))</f>
        <v>0</v>
      </c>
      <c r="AD44">
        <f>IF(metadata!D44="",FALSE,TRUE)</f>
        <v>0</v>
      </c>
      <c r="AE44">
        <f>OR(AND(IF(metadata!E44="",FALSE,TRUE),OR(exact(metadata!E44,"missing: not collected"),exact(metadata!E44,"missing: not provided"))),AND(IF(metadata!E44="",FALSE,TRUE),OR(exact(metadata!E44,"TRUE"),exact(metadata!E44,"FALSE"))))</f>
        <v>0</v>
      </c>
      <c r="AF44">
        <f>IF(metadata!F44="",FALSE,TRUE)</f>
        <v>0</v>
      </c>
      <c r="AG44">
        <f>IF(metadata!G44="",FALSE,TRUE)</f>
        <v>0</v>
      </c>
      <c r="AH44">
        <f>IF(metadata!H44="",FALSE,TRUE)</f>
        <v>0</v>
      </c>
      <c r="AI44">
        <f>OR(AND(IF(metadata!I44="",FALSE,TRUE),OR(exact(metadata!I44,"missing: not collected"),exact(metadata!I44,"missing: not provided"),exact(metadata!I44,"missing: restricted access"))),AND(IF(metadata!I44="",FALSE,TRUE),OR(exact(metadata!I44,"air"),exact(metadata!I44,"built environment"),exact(metadata!I44,"host-associated"),exact(metadata!I44,"human-associated"),exact(metadata!I44,"human-skin"),exact(metadata!I44,"human-oral"),exact(metadata!I44,"human-gut"),exact(metadata!I44,"human-vaginal"),exact(metadata!I44,"microbial mat/biofilm"),exact(metadata!I44,"misc environment"),exact(metadata!I44,"plant-associated"),exact(metadata!I44,"sediment"),exact(metadata!I44,"soil"),exact(metadata!I44,"wastewater/sludge"),exact(metadata!I44,"water"))))</f>
        <v>0</v>
      </c>
      <c r="AJ44">
        <f>IF(metadata!J44="",FALSE,TRUE)</f>
        <v>0</v>
      </c>
      <c r="AK44">
        <f>OR(AND(IF(metadata!K44="",FALSE,TRUE),OR(exact(metadata!K44,"missing: not collected"),exact(metadata!K44,"missing: not provided"),exact(metadata!K44,"missing: restricted access"))),AND(IF(metadata!K44="",FALSE,ISNUMBER(VALUE(metadata!K44))),metadata!K44&gt;=-90.00,metadata!K44&lt;=90.00))</f>
        <v>0</v>
      </c>
      <c r="AL44">
        <f>OR(AND(IF(metadata!L44="",FALSE,TRUE),OR(exact(metadata!L44,"missing: not collected"),exact(metadata!L44,"missing: not provided"),exact(metadata!L44,"missing: restricted access"))),AND(IF(metadata!L44="",FALSE,ISNUMBER(VALUE(metadata!L44))),metadata!L44&gt;=-180.00,metadata!L44&lt;=180.00))</f>
        <v>0</v>
      </c>
      <c r="AM44">
        <f>IF(metadata!M44="",FALSE,TRUE)</f>
        <v>0</v>
      </c>
      <c r="AN44">
        <f>OR(AND(IF(metadata!N44="",FALSE,TRUE),OR(exact(metadata!N44,"missing: not collected"),exact(metadata!N44,"missing: not provided"),exact(metadata!N44,"missing: restricted access"))),AND(IF(metadata!N44="",FALSE,TRUE),OR(exact(metadata!N44,"TRUE"),exact(metadata!N44,"FALSE"))))</f>
        <v>0</v>
      </c>
      <c r="AO44">
        <f>IF(metadata!O44="",FALSE,TRUE)</f>
        <v>0</v>
      </c>
      <c r="AP44">
        <f>OR(AND(IF(metadata!P44="",FALSE,TRUE),OR(exact(metadata!P44,"missing: not collected"),exact(metadata!P44,"missing: not provided"))),AND(IF(metadata!P44="",FALSE,IF(ISERROR(INT(metadata!P44)),FALSE,INT(metadata!P44)=metadata!P44)),metadata!P44&gt;0))</f>
        <v>0</v>
      </c>
      <c r="AQ44">
        <f>IF(metadata!Q44="",FALSE,TRUE)</f>
        <v>0</v>
      </c>
    </row>
    <row r="45" spans="1:43">
      <c r="A45" s="5">
        <f>IF(B45=" "," ",HYPERLINK(CONCATENATE("#metadata!",ADDRESS(INDEX($W$2:$W$1001,MATCH(ROWS($U$2:U45),$U$2:$U$1001,0),0),1)),INDEX($Z$2:$Z$1001,MATCH(ROWS($U$2:U45),$U$2:$U$1001,0),0)))</f>
        <v>0</v>
      </c>
      <c r="B45" s="4">
        <f>IF(OR(INDEX($V$2:$V$1001,MATCH(ROWS($U$2:U45),$U$2:$U$1001,0),1)&gt;=100000,INDEX($AB$1005:$AQ$1005,1,MATCH(COLUMNS($AB$1006:AB1006),$AB$1006:$AQ$1006,0))&gt;=100000), " ",IF(INDEX($AB$2:$AQ$1001,MATCH(ROWS($U$2:U45),$U$2:$U$1001,0),MATCH(COLUMNS($AB$1006:AB1006),$AB$1006:$AQ$1006,0)), HYPERLINK("#",""), HYPERLINK(CONCATENATE("#metadata!", ADDRESS(INDEX($W$2:$W$1001,MATCH(ROWS($U$2:U45),$U$2:$U$1001,0),0), INDEX($AB$1004:$AQ$1004,1,MATCH(COLUMNS($AB$1006:AB1006),$AB$1006:$AQ$1006,0)))),"Fix")))</f>
        <v>0</v>
      </c>
      <c r="C45" s="4">
        <f>IF(OR(INDEX($V$2:$V$1001,MATCH(ROWS($U$2:U45),$U$2:$U$1001,0),1)&gt;=100000,INDEX($AB$1005:$AQ$1005,1,MATCH(COLUMNS($AB$1006:AC1006),$AB$1006:$AQ$1006,0))&gt;=100000), " ",IF(INDEX($AB$2:$AQ$1001,MATCH(ROWS($U$2:U45),$U$2:$U$1001,0),MATCH(COLUMNS($AB$1006:AC1006),$AB$1006:$AQ$1006,0)), HYPERLINK("#",""), HYPERLINK(CONCATENATE("#metadata!", ADDRESS(INDEX($W$2:$W$1001,MATCH(ROWS($U$2:U45),$U$2:$U$1001,0),0), INDEX($AB$1004:$AQ$1004,1,MATCH(COLUMNS($AB$1006:AC1006),$AB$1006:$AQ$1006,0)))),"Fix")))</f>
        <v>0</v>
      </c>
      <c r="D45" s="4">
        <f>IF(OR(INDEX($V$2:$V$1001,MATCH(ROWS($U$2:U45),$U$2:$U$1001,0),1)&gt;=100000,INDEX($AB$1005:$AQ$1005,1,MATCH(COLUMNS($AB$1006:AD1006),$AB$1006:$AQ$1006,0))&gt;=100000), " ",IF(INDEX($AB$2:$AQ$1001,MATCH(ROWS($U$2:U45),$U$2:$U$1001,0),MATCH(COLUMNS($AB$1006:AD1006),$AB$1006:$AQ$1006,0)), HYPERLINK("#",""), HYPERLINK(CONCATENATE("#metadata!", ADDRESS(INDEX($W$2:$W$1001,MATCH(ROWS($U$2:U45),$U$2:$U$1001,0),0), INDEX($AB$1004:$AQ$1004,1,MATCH(COLUMNS($AB$1006:AD1006),$AB$1006:$AQ$1006,0)))),"Fix")))</f>
        <v>0</v>
      </c>
      <c r="E45" s="4">
        <f>IF(OR(INDEX($V$2:$V$1001,MATCH(ROWS($U$2:U45),$U$2:$U$1001,0),1)&gt;=100000,INDEX($AB$1005:$AQ$1005,1,MATCH(COLUMNS($AB$1006:AE1006),$AB$1006:$AQ$1006,0))&gt;=100000), " ",IF(INDEX($AB$2:$AQ$1001,MATCH(ROWS($U$2:U45),$U$2:$U$1001,0),MATCH(COLUMNS($AB$1006:AE1006),$AB$1006:$AQ$1006,0)), HYPERLINK("#",""), HYPERLINK(CONCATENATE("#metadata!", ADDRESS(INDEX($W$2:$W$1001,MATCH(ROWS($U$2:U45),$U$2:$U$1001,0),0), INDEX($AB$1004:$AQ$1004,1,MATCH(COLUMNS($AB$1006:AE1006),$AB$1006:$AQ$1006,0)))),"Fix")))</f>
        <v>0</v>
      </c>
      <c r="F45" s="4">
        <f>IF(OR(INDEX($V$2:$V$1001,MATCH(ROWS($U$2:U45),$U$2:$U$1001,0),1)&gt;=100000,INDEX($AB$1005:$AQ$1005,1,MATCH(COLUMNS($AB$1006:AF1006),$AB$1006:$AQ$1006,0))&gt;=100000), " ",IF(INDEX($AB$2:$AQ$1001,MATCH(ROWS($U$2:U45),$U$2:$U$1001,0),MATCH(COLUMNS($AB$1006:AF1006),$AB$1006:$AQ$1006,0)), HYPERLINK("#",""), HYPERLINK(CONCATENATE("#metadata!", ADDRESS(INDEX($W$2:$W$1001,MATCH(ROWS($U$2:U45),$U$2:$U$1001,0),0), INDEX($AB$1004:$AQ$1004,1,MATCH(COLUMNS($AB$1006:AF1006),$AB$1006:$AQ$1006,0)))),"Fix")))</f>
        <v>0</v>
      </c>
      <c r="G45" s="4">
        <f>IF(OR(INDEX($V$2:$V$1001,MATCH(ROWS($U$2:U45),$U$2:$U$1001,0),1)&gt;=100000,INDEX($AB$1005:$AQ$1005,1,MATCH(COLUMNS($AB$1006:AG1006),$AB$1006:$AQ$1006,0))&gt;=100000), " ",IF(INDEX($AB$2:$AQ$1001,MATCH(ROWS($U$2:U45),$U$2:$U$1001,0),MATCH(COLUMNS($AB$1006:AG1006),$AB$1006:$AQ$1006,0)), HYPERLINK("#",""), HYPERLINK(CONCATENATE("#metadata!", ADDRESS(INDEX($W$2:$W$1001,MATCH(ROWS($U$2:U45),$U$2:$U$1001,0),0), INDEX($AB$1004:$AQ$1004,1,MATCH(COLUMNS($AB$1006:AG1006),$AB$1006:$AQ$1006,0)))),"Fix")))</f>
        <v>0</v>
      </c>
      <c r="H45" s="4">
        <f>IF(OR(INDEX($V$2:$V$1001,MATCH(ROWS($U$2:U45),$U$2:$U$1001,0),1)&gt;=100000,INDEX($AB$1005:$AQ$1005,1,MATCH(COLUMNS($AB$1006:AH1006),$AB$1006:$AQ$1006,0))&gt;=100000), " ",IF(INDEX($AB$2:$AQ$1001,MATCH(ROWS($U$2:U45),$U$2:$U$1001,0),MATCH(COLUMNS($AB$1006:AH1006),$AB$1006:$AQ$1006,0)), HYPERLINK("#",""), HYPERLINK(CONCATENATE("#metadata!", ADDRESS(INDEX($W$2:$W$1001,MATCH(ROWS($U$2:U45),$U$2:$U$1001,0),0), INDEX($AB$1004:$AQ$1004,1,MATCH(COLUMNS($AB$1006:AH1006),$AB$1006:$AQ$1006,0)))),"Fix")))</f>
        <v>0</v>
      </c>
      <c r="I45" s="4">
        <f>IF(OR(INDEX($V$2:$V$1001,MATCH(ROWS($U$2:U45),$U$2:$U$1001,0),1)&gt;=100000,INDEX($AB$1005:$AQ$1005,1,MATCH(COLUMNS($AB$1006:AI1006),$AB$1006:$AQ$1006,0))&gt;=100000), " ",IF(INDEX($AB$2:$AQ$1001,MATCH(ROWS($U$2:U45),$U$2:$U$1001,0),MATCH(COLUMNS($AB$1006:AI1006),$AB$1006:$AQ$1006,0)), HYPERLINK("#",""), HYPERLINK(CONCATENATE("#metadata!", ADDRESS(INDEX($W$2:$W$1001,MATCH(ROWS($U$2:U45),$U$2:$U$1001,0),0), INDEX($AB$1004:$AQ$1004,1,MATCH(COLUMNS($AB$1006:AI1006),$AB$1006:$AQ$1006,0)))),"Fix")))</f>
        <v>0</v>
      </c>
      <c r="J45" s="4">
        <f>IF(OR(INDEX($V$2:$V$1001,MATCH(ROWS($U$2:U45),$U$2:$U$1001,0),1)&gt;=100000,INDEX($AB$1005:$AQ$1005,1,MATCH(COLUMNS($AB$1006:AJ1006),$AB$1006:$AQ$1006,0))&gt;=100000), " ",IF(INDEX($AB$2:$AQ$1001,MATCH(ROWS($U$2:U45),$U$2:$U$1001,0),MATCH(COLUMNS($AB$1006:AJ1006),$AB$1006:$AQ$1006,0)), HYPERLINK("#",""), HYPERLINK(CONCATENATE("#metadata!", ADDRESS(INDEX($W$2:$W$1001,MATCH(ROWS($U$2:U45),$U$2:$U$1001,0),0), INDEX($AB$1004:$AQ$1004,1,MATCH(COLUMNS($AB$1006:AJ1006),$AB$1006:$AQ$1006,0)))),"Fix")))</f>
        <v>0</v>
      </c>
      <c r="K45" s="4">
        <f>IF(OR(INDEX($V$2:$V$1001,MATCH(ROWS($U$2:U45),$U$2:$U$1001,0),1)&gt;=100000,INDEX($AB$1005:$AQ$1005,1,MATCH(COLUMNS($AB$1006:AK1006),$AB$1006:$AQ$1006,0))&gt;=100000), " ",IF(INDEX($AB$2:$AQ$1001,MATCH(ROWS($U$2:U45),$U$2:$U$1001,0),MATCH(COLUMNS($AB$1006:AK1006),$AB$1006:$AQ$1006,0)), HYPERLINK("#",""), HYPERLINK(CONCATENATE("#metadata!", ADDRESS(INDEX($W$2:$W$1001,MATCH(ROWS($U$2:U45),$U$2:$U$1001,0),0), INDEX($AB$1004:$AQ$1004,1,MATCH(COLUMNS($AB$1006:AK1006),$AB$1006:$AQ$1006,0)))),"Fix")))</f>
        <v>0</v>
      </c>
      <c r="L45" s="4">
        <f>IF(OR(INDEX($V$2:$V$1001,MATCH(ROWS($U$2:U45),$U$2:$U$1001,0),1)&gt;=100000,INDEX($AB$1005:$AQ$1005,1,MATCH(COLUMNS($AB$1006:AL1006),$AB$1006:$AQ$1006,0))&gt;=100000), " ",IF(INDEX($AB$2:$AQ$1001,MATCH(ROWS($U$2:U45),$U$2:$U$1001,0),MATCH(COLUMNS($AB$1006:AL1006),$AB$1006:$AQ$1006,0)), HYPERLINK("#",""), HYPERLINK(CONCATENATE("#metadata!", ADDRESS(INDEX($W$2:$W$1001,MATCH(ROWS($U$2:U45),$U$2:$U$1001,0),0), INDEX($AB$1004:$AQ$1004,1,MATCH(COLUMNS($AB$1006:AL1006),$AB$1006:$AQ$1006,0)))),"Fix")))</f>
        <v>0</v>
      </c>
      <c r="M45" s="4">
        <f>IF(OR(INDEX($V$2:$V$1001,MATCH(ROWS($U$2:U45),$U$2:$U$1001,0),1)&gt;=100000,INDEX($AB$1005:$AQ$1005,1,MATCH(COLUMNS($AB$1006:AM1006),$AB$1006:$AQ$1006,0))&gt;=100000), " ",IF(INDEX($AB$2:$AQ$1001,MATCH(ROWS($U$2:U45),$U$2:$U$1001,0),MATCH(COLUMNS($AB$1006:AM1006),$AB$1006:$AQ$1006,0)), HYPERLINK("#",""), HYPERLINK(CONCATENATE("#metadata!", ADDRESS(INDEX($W$2:$W$1001,MATCH(ROWS($U$2:U45),$U$2:$U$1001,0),0), INDEX($AB$1004:$AQ$1004,1,MATCH(COLUMNS($AB$1006:AM1006),$AB$1006:$AQ$1006,0)))),"Fix")))</f>
        <v>0</v>
      </c>
      <c r="N45" s="4">
        <f>IF(OR(INDEX($V$2:$V$1001,MATCH(ROWS($U$2:U45),$U$2:$U$1001,0),1)&gt;=100000,INDEX($AB$1005:$AQ$1005,1,MATCH(COLUMNS($AB$1006:AN1006),$AB$1006:$AQ$1006,0))&gt;=100000), " ",IF(INDEX($AB$2:$AQ$1001,MATCH(ROWS($U$2:U45),$U$2:$U$1001,0),MATCH(COLUMNS($AB$1006:AN1006),$AB$1006:$AQ$1006,0)), HYPERLINK("#",""), HYPERLINK(CONCATENATE("#metadata!", ADDRESS(INDEX($W$2:$W$1001,MATCH(ROWS($U$2:U45),$U$2:$U$1001,0),0), INDEX($AB$1004:$AQ$1004,1,MATCH(COLUMNS($AB$1006:AN1006),$AB$1006:$AQ$1006,0)))),"Fix")))</f>
        <v>0</v>
      </c>
      <c r="O45" s="4">
        <f>IF(OR(INDEX($V$2:$V$1001,MATCH(ROWS($U$2:U45),$U$2:$U$1001,0),1)&gt;=100000,INDEX($AB$1005:$AQ$1005,1,MATCH(COLUMNS($AB$1006:AO1006),$AB$1006:$AQ$1006,0))&gt;=100000), " ",IF(INDEX($AB$2:$AQ$1001,MATCH(ROWS($U$2:U45),$U$2:$U$1001,0),MATCH(COLUMNS($AB$1006:AO1006),$AB$1006:$AQ$1006,0)), HYPERLINK("#",""), HYPERLINK(CONCATENATE("#metadata!", ADDRESS(INDEX($W$2:$W$1001,MATCH(ROWS($U$2:U45),$U$2:$U$1001,0),0), INDEX($AB$1004:$AQ$1004,1,MATCH(COLUMNS($AB$1006:AO1006),$AB$1006:$AQ$1006,0)))),"Fix")))</f>
        <v>0</v>
      </c>
      <c r="P45" s="4">
        <f>IF(OR(INDEX($V$2:$V$1001,MATCH(ROWS($U$2:U45),$U$2:$U$1001,0),1)&gt;=100000,INDEX($AB$1005:$AQ$1005,1,MATCH(COLUMNS($AB$1006:AP1006),$AB$1006:$AQ$1006,0))&gt;=100000), " ",IF(INDEX($AB$2:$AQ$1001,MATCH(ROWS($U$2:U45),$U$2:$U$1001,0),MATCH(COLUMNS($AB$1006:AP1006),$AB$1006:$AQ$1006,0)), HYPERLINK("#",""), HYPERLINK(CONCATENATE("#metadata!", ADDRESS(INDEX($W$2:$W$1001,MATCH(ROWS($U$2:U45),$U$2:$U$1001,0),0), INDEX($AB$1004:$AQ$1004,1,MATCH(COLUMNS($AB$1006:AP1006),$AB$1006:$AQ$1006,0)))),"Fix")))</f>
        <v>0</v>
      </c>
      <c r="Q45" s="4">
        <f>IF(OR(INDEX($V$2:$V$1001,MATCH(ROWS($U$2:U45),$U$2:$U$1001,0),1)&gt;=100000,INDEX($AB$1005:$AQ$1005,1,MATCH(COLUMNS($AB$1006:AQ1006),$AB$1006:$AQ$1006,0))&gt;=100000), " ",IF(INDEX($AB$2:$AQ$1001,MATCH(ROWS($U$2:U45),$U$2:$U$1001,0),MATCH(COLUMNS($AB$1006:AQ1006),$AB$1006:$AQ$1006,0)), HYPERLINK("#",""), HYPERLINK(CONCATENATE("#metadata!", ADDRESS(INDEX($W$2:$W$1001,MATCH(ROWS($U$2:U45),$U$2:$U$1001,0),0), INDEX($AB$1004:$AQ$1004,1,MATCH(COLUMNS($AB$1006:AQ1006),$AB$1006:$AQ$1006,0)))),"Fix")))</f>
        <v>0</v>
      </c>
      <c r="U45">
        <v>0</v>
      </c>
      <c r="V45">
        <v>0</v>
      </c>
      <c r="W45">
        <v>0</v>
      </c>
      <c r="X45">
        <f>IF(Y45,TRUE,AND(AB45:AQ45))</f>
        <v>0</v>
      </c>
      <c r="Y45">
        <f>COUNTBLANK(metadata!B45:Q45)=COLUMNS(metadata!B45:Q45)</f>
        <v>0</v>
      </c>
      <c r="Z45">
        <v>0</v>
      </c>
      <c r="AB45">
        <f>AND(IF(metadata!B45="",FALSE,TRUE),COUNTIF(metadata!B:B, metadata!B45) = 1,NOT(ISERROR(SUMPRODUCT(SEARCH(MID(metadata!B45,ROW(INDIRECT("1:"&amp;LEN(metadata!B45))), 1),"0123456789abcdefghijklmnopqrstuvwxyzABCDEFGHIJKLMNOPQRSTUVWXYZ.")))))</f>
        <v>0</v>
      </c>
      <c r="AC45">
        <f>OR(AND(IF(metadata!C45="",FALSE,TRUE),OR(exact(metadata!C45,"missing: not collected"),exact(metadata!C45,"missing: not provided"),exact(metadata!C45,"missing: restricted access"))),AND(IF(metadata!C45="",FALSE,TRUE),AND(AND(IFERROR(INT(LEFT(metadata!C45,4))&gt;1900,FALSE),IFERROR(INT(LEFT(metadata!C45,4))&lt;=YEAR(NOW()),FALSE)), OR(MID(metadata!C45,5,1)="", AND(AND(MID(metadata!C45,5,1)="-",IFERROR(INT(MID(metadata!C45,6,1))&gt;=0,FALSE),IFERROR(INT(MID(metadata!C45,6,1))&lt;=1,FALSE),NOT(MID(metadata!C45,7,1)=""),IFERROR(INT(MID(metadata!C45,6,2))&gt;=1,FALSE),IFERROR(INT(MID(metadata!C45,6,2))&lt;=12,FALSE)), OR(MID(metadata!C45,8,1)="", AND(AND(MID(metadata!C45,8,1)="-",IFERROR(INT(MID(metadata!C45,9,1))&gt;=0,FALSE),IFERROR(INT(MID(metadata!C45,9,1))&lt;=3,FALSE),NOT(MID(metadata!C45,10,1)=""),IFERROR(INT(MID(metadata!C45,9,2))&gt;=1,FALSE),IFERROR(INT(MID(metadata!C45,9,2))&lt;=31,FALSE)), OR(MID(metadata!C45,11,1)="", AND(AND(MID(metadata!C45,11,1)=" ",IFERROR(INT(MID(metadata!C45,12,1))&gt;=0,FALSE),IFERROR(INT(MID(metadata!C45,12,1))&lt;=2,FALSE),NOT(MID(metadata!C45,13,1)=""),IFERROR(INT(MID(metadata!C45,12,2))&gt;=0,FALSE),IFERROR(INT(MID(metadata!C45,12,2))&lt;=23,FALSE)), OR(MID(metadata!C45,14,1)="", AND(AND(MID(metadata!C45,14,1)=":",IFERROR(INT(MID(metadata!C45,15,1))&gt;=0,FALSE),IFERROR(INT(MID(metadata!C45,15,1))&lt;=5,FALSE),NOT(MID(metadata!C45,16,1)=""),IFERROR(INT(MID(metadata!C45,15,2))&gt;=0,FALSE),IFERROR(INT(MID(metadata!C45,15,2))&lt;=59,FALSE)), OR(MID(metadata!C45,17,1)="", AND(AND(MID(metadata!C45,17,1)=":",IFERROR(INT(MID(metadata!C45,18,1))&gt;=0,FALSE),IFERROR(INT(MID(metadata!C45,18,1))&lt;=5,FALSE),NOT(MID(metadata!C45,19,1)=""),IFERROR(INT(MID(metadata!C45,18,2))&gt;=0,FALSE),IFERROR(INT(MID(metadata!C45,18,2))&lt;=59,FALSE)), LEN(metadata!C45)&lt;=19)))))))))))))</f>
        <v>0</v>
      </c>
      <c r="AD45">
        <f>IF(metadata!D45="",FALSE,TRUE)</f>
        <v>0</v>
      </c>
      <c r="AE45">
        <f>OR(AND(IF(metadata!E45="",FALSE,TRUE),OR(exact(metadata!E45,"missing: not collected"),exact(metadata!E45,"missing: not provided"))),AND(IF(metadata!E45="",FALSE,TRUE),OR(exact(metadata!E45,"TRUE"),exact(metadata!E45,"FALSE"))))</f>
        <v>0</v>
      </c>
      <c r="AF45">
        <f>IF(metadata!F45="",FALSE,TRUE)</f>
        <v>0</v>
      </c>
      <c r="AG45">
        <f>IF(metadata!G45="",FALSE,TRUE)</f>
        <v>0</v>
      </c>
      <c r="AH45">
        <f>IF(metadata!H45="",FALSE,TRUE)</f>
        <v>0</v>
      </c>
      <c r="AI45">
        <f>OR(AND(IF(metadata!I45="",FALSE,TRUE),OR(exact(metadata!I45,"missing: not collected"),exact(metadata!I45,"missing: not provided"),exact(metadata!I45,"missing: restricted access"))),AND(IF(metadata!I45="",FALSE,TRUE),OR(exact(metadata!I45,"air"),exact(metadata!I45,"built environment"),exact(metadata!I45,"host-associated"),exact(metadata!I45,"human-associated"),exact(metadata!I45,"human-skin"),exact(metadata!I45,"human-oral"),exact(metadata!I45,"human-gut"),exact(metadata!I45,"human-vaginal"),exact(metadata!I45,"microbial mat/biofilm"),exact(metadata!I45,"misc environment"),exact(metadata!I45,"plant-associated"),exact(metadata!I45,"sediment"),exact(metadata!I45,"soil"),exact(metadata!I45,"wastewater/sludge"),exact(metadata!I45,"water"))))</f>
        <v>0</v>
      </c>
      <c r="AJ45">
        <f>IF(metadata!J45="",FALSE,TRUE)</f>
        <v>0</v>
      </c>
      <c r="AK45">
        <f>OR(AND(IF(metadata!K45="",FALSE,TRUE),OR(exact(metadata!K45,"missing: not collected"),exact(metadata!K45,"missing: not provided"),exact(metadata!K45,"missing: restricted access"))),AND(IF(metadata!K45="",FALSE,ISNUMBER(VALUE(metadata!K45))),metadata!K45&gt;=-90.00,metadata!K45&lt;=90.00))</f>
        <v>0</v>
      </c>
      <c r="AL45">
        <f>OR(AND(IF(metadata!L45="",FALSE,TRUE),OR(exact(metadata!L45,"missing: not collected"),exact(metadata!L45,"missing: not provided"),exact(metadata!L45,"missing: restricted access"))),AND(IF(metadata!L45="",FALSE,ISNUMBER(VALUE(metadata!L45))),metadata!L45&gt;=-180.00,metadata!L45&lt;=180.00))</f>
        <v>0</v>
      </c>
      <c r="AM45">
        <f>IF(metadata!M45="",FALSE,TRUE)</f>
        <v>0</v>
      </c>
      <c r="AN45">
        <f>OR(AND(IF(metadata!N45="",FALSE,TRUE),OR(exact(metadata!N45,"missing: not collected"),exact(metadata!N45,"missing: not provided"),exact(metadata!N45,"missing: restricted access"))),AND(IF(metadata!N45="",FALSE,TRUE),OR(exact(metadata!N45,"TRUE"),exact(metadata!N45,"FALSE"))))</f>
        <v>0</v>
      </c>
      <c r="AO45">
        <f>IF(metadata!O45="",FALSE,TRUE)</f>
        <v>0</v>
      </c>
      <c r="AP45">
        <f>OR(AND(IF(metadata!P45="",FALSE,TRUE),OR(exact(metadata!P45,"missing: not collected"),exact(metadata!P45,"missing: not provided"))),AND(IF(metadata!P45="",FALSE,IF(ISERROR(INT(metadata!P45)),FALSE,INT(metadata!P45)=metadata!P45)),metadata!P45&gt;0))</f>
        <v>0</v>
      </c>
      <c r="AQ45">
        <f>IF(metadata!Q45="",FALSE,TRUE)</f>
        <v>0</v>
      </c>
    </row>
    <row r="46" spans="1:43">
      <c r="A46" s="5">
        <f>IF(B46=" "," ",HYPERLINK(CONCATENATE("#metadata!",ADDRESS(INDEX($W$2:$W$1001,MATCH(ROWS($U$2:U46),$U$2:$U$1001,0),0),1)),INDEX($Z$2:$Z$1001,MATCH(ROWS($U$2:U46),$U$2:$U$1001,0),0)))</f>
        <v>0</v>
      </c>
      <c r="B46" s="4">
        <f>IF(OR(INDEX($V$2:$V$1001,MATCH(ROWS($U$2:U46),$U$2:$U$1001,0),1)&gt;=100000,INDEX($AB$1005:$AQ$1005,1,MATCH(COLUMNS($AB$1006:AB1006),$AB$1006:$AQ$1006,0))&gt;=100000), " ",IF(INDEX($AB$2:$AQ$1001,MATCH(ROWS($U$2:U46),$U$2:$U$1001,0),MATCH(COLUMNS($AB$1006:AB1006),$AB$1006:$AQ$1006,0)), HYPERLINK("#",""), HYPERLINK(CONCATENATE("#metadata!", ADDRESS(INDEX($W$2:$W$1001,MATCH(ROWS($U$2:U46),$U$2:$U$1001,0),0), INDEX($AB$1004:$AQ$1004,1,MATCH(COLUMNS($AB$1006:AB1006),$AB$1006:$AQ$1006,0)))),"Fix")))</f>
        <v>0</v>
      </c>
      <c r="C46" s="4">
        <f>IF(OR(INDEX($V$2:$V$1001,MATCH(ROWS($U$2:U46),$U$2:$U$1001,0),1)&gt;=100000,INDEX($AB$1005:$AQ$1005,1,MATCH(COLUMNS($AB$1006:AC1006),$AB$1006:$AQ$1006,0))&gt;=100000), " ",IF(INDEX($AB$2:$AQ$1001,MATCH(ROWS($U$2:U46),$U$2:$U$1001,0),MATCH(COLUMNS($AB$1006:AC1006),$AB$1006:$AQ$1006,0)), HYPERLINK("#",""), HYPERLINK(CONCATENATE("#metadata!", ADDRESS(INDEX($W$2:$W$1001,MATCH(ROWS($U$2:U46),$U$2:$U$1001,0),0), INDEX($AB$1004:$AQ$1004,1,MATCH(COLUMNS($AB$1006:AC1006),$AB$1006:$AQ$1006,0)))),"Fix")))</f>
        <v>0</v>
      </c>
      <c r="D46" s="4">
        <f>IF(OR(INDEX($V$2:$V$1001,MATCH(ROWS($U$2:U46),$U$2:$U$1001,0),1)&gt;=100000,INDEX($AB$1005:$AQ$1005,1,MATCH(COLUMNS($AB$1006:AD1006),$AB$1006:$AQ$1006,0))&gt;=100000), " ",IF(INDEX($AB$2:$AQ$1001,MATCH(ROWS($U$2:U46),$U$2:$U$1001,0),MATCH(COLUMNS($AB$1006:AD1006),$AB$1006:$AQ$1006,0)), HYPERLINK("#",""), HYPERLINK(CONCATENATE("#metadata!", ADDRESS(INDEX($W$2:$W$1001,MATCH(ROWS($U$2:U46),$U$2:$U$1001,0),0), INDEX($AB$1004:$AQ$1004,1,MATCH(COLUMNS($AB$1006:AD1006),$AB$1006:$AQ$1006,0)))),"Fix")))</f>
        <v>0</v>
      </c>
      <c r="E46" s="4">
        <f>IF(OR(INDEX($V$2:$V$1001,MATCH(ROWS($U$2:U46),$U$2:$U$1001,0),1)&gt;=100000,INDEX($AB$1005:$AQ$1005,1,MATCH(COLUMNS($AB$1006:AE1006),$AB$1006:$AQ$1006,0))&gt;=100000), " ",IF(INDEX($AB$2:$AQ$1001,MATCH(ROWS($U$2:U46),$U$2:$U$1001,0),MATCH(COLUMNS($AB$1006:AE1006),$AB$1006:$AQ$1006,0)), HYPERLINK("#",""), HYPERLINK(CONCATENATE("#metadata!", ADDRESS(INDEX($W$2:$W$1001,MATCH(ROWS($U$2:U46),$U$2:$U$1001,0),0), INDEX($AB$1004:$AQ$1004,1,MATCH(COLUMNS($AB$1006:AE1006),$AB$1006:$AQ$1006,0)))),"Fix")))</f>
        <v>0</v>
      </c>
      <c r="F46" s="4">
        <f>IF(OR(INDEX($V$2:$V$1001,MATCH(ROWS($U$2:U46),$U$2:$U$1001,0),1)&gt;=100000,INDEX($AB$1005:$AQ$1005,1,MATCH(COLUMNS($AB$1006:AF1006),$AB$1006:$AQ$1006,0))&gt;=100000), " ",IF(INDEX($AB$2:$AQ$1001,MATCH(ROWS($U$2:U46),$U$2:$U$1001,0),MATCH(COLUMNS($AB$1006:AF1006),$AB$1006:$AQ$1006,0)), HYPERLINK("#",""), HYPERLINK(CONCATENATE("#metadata!", ADDRESS(INDEX($W$2:$W$1001,MATCH(ROWS($U$2:U46),$U$2:$U$1001,0),0), INDEX($AB$1004:$AQ$1004,1,MATCH(COLUMNS($AB$1006:AF1006),$AB$1006:$AQ$1006,0)))),"Fix")))</f>
        <v>0</v>
      </c>
      <c r="G46" s="4">
        <f>IF(OR(INDEX($V$2:$V$1001,MATCH(ROWS($U$2:U46),$U$2:$U$1001,0),1)&gt;=100000,INDEX($AB$1005:$AQ$1005,1,MATCH(COLUMNS($AB$1006:AG1006),$AB$1006:$AQ$1006,0))&gt;=100000), " ",IF(INDEX($AB$2:$AQ$1001,MATCH(ROWS($U$2:U46),$U$2:$U$1001,0),MATCH(COLUMNS($AB$1006:AG1006),$AB$1006:$AQ$1006,0)), HYPERLINK("#",""), HYPERLINK(CONCATENATE("#metadata!", ADDRESS(INDEX($W$2:$W$1001,MATCH(ROWS($U$2:U46),$U$2:$U$1001,0),0), INDEX($AB$1004:$AQ$1004,1,MATCH(COLUMNS($AB$1006:AG1006),$AB$1006:$AQ$1006,0)))),"Fix")))</f>
        <v>0</v>
      </c>
      <c r="H46" s="4">
        <f>IF(OR(INDEX($V$2:$V$1001,MATCH(ROWS($U$2:U46),$U$2:$U$1001,0),1)&gt;=100000,INDEX($AB$1005:$AQ$1005,1,MATCH(COLUMNS($AB$1006:AH1006),$AB$1006:$AQ$1006,0))&gt;=100000), " ",IF(INDEX($AB$2:$AQ$1001,MATCH(ROWS($U$2:U46),$U$2:$U$1001,0),MATCH(COLUMNS($AB$1006:AH1006),$AB$1006:$AQ$1006,0)), HYPERLINK("#",""), HYPERLINK(CONCATENATE("#metadata!", ADDRESS(INDEX($W$2:$W$1001,MATCH(ROWS($U$2:U46),$U$2:$U$1001,0),0), INDEX($AB$1004:$AQ$1004,1,MATCH(COLUMNS($AB$1006:AH1006),$AB$1006:$AQ$1006,0)))),"Fix")))</f>
        <v>0</v>
      </c>
      <c r="I46" s="4">
        <f>IF(OR(INDEX($V$2:$V$1001,MATCH(ROWS($U$2:U46),$U$2:$U$1001,0),1)&gt;=100000,INDEX($AB$1005:$AQ$1005,1,MATCH(COLUMNS($AB$1006:AI1006),$AB$1006:$AQ$1006,0))&gt;=100000), " ",IF(INDEX($AB$2:$AQ$1001,MATCH(ROWS($U$2:U46),$U$2:$U$1001,0),MATCH(COLUMNS($AB$1006:AI1006),$AB$1006:$AQ$1006,0)), HYPERLINK("#",""), HYPERLINK(CONCATENATE("#metadata!", ADDRESS(INDEX($W$2:$W$1001,MATCH(ROWS($U$2:U46),$U$2:$U$1001,0),0), INDEX($AB$1004:$AQ$1004,1,MATCH(COLUMNS($AB$1006:AI1006),$AB$1006:$AQ$1006,0)))),"Fix")))</f>
        <v>0</v>
      </c>
      <c r="J46" s="4">
        <f>IF(OR(INDEX($V$2:$V$1001,MATCH(ROWS($U$2:U46),$U$2:$U$1001,0),1)&gt;=100000,INDEX($AB$1005:$AQ$1005,1,MATCH(COLUMNS($AB$1006:AJ1006),$AB$1006:$AQ$1006,0))&gt;=100000), " ",IF(INDEX($AB$2:$AQ$1001,MATCH(ROWS($U$2:U46),$U$2:$U$1001,0),MATCH(COLUMNS($AB$1006:AJ1006),$AB$1006:$AQ$1006,0)), HYPERLINK("#",""), HYPERLINK(CONCATENATE("#metadata!", ADDRESS(INDEX($W$2:$W$1001,MATCH(ROWS($U$2:U46),$U$2:$U$1001,0),0), INDEX($AB$1004:$AQ$1004,1,MATCH(COLUMNS($AB$1006:AJ1006),$AB$1006:$AQ$1006,0)))),"Fix")))</f>
        <v>0</v>
      </c>
      <c r="K46" s="4">
        <f>IF(OR(INDEX($V$2:$V$1001,MATCH(ROWS($U$2:U46),$U$2:$U$1001,0),1)&gt;=100000,INDEX($AB$1005:$AQ$1005,1,MATCH(COLUMNS($AB$1006:AK1006),$AB$1006:$AQ$1006,0))&gt;=100000), " ",IF(INDEX($AB$2:$AQ$1001,MATCH(ROWS($U$2:U46),$U$2:$U$1001,0),MATCH(COLUMNS($AB$1006:AK1006),$AB$1006:$AQ$1006,0)), HYPERLINK("#",""), HYPERLINK(CONCATENATE("#metadata!", ADDRESS(INDEX($W$2:$W$1001,MATCH(ROWS($U$2:U46),$U$2:$U$1001,0),0), INDEX($AB$1004:$AQ$1004,1,MATCH(COLUMNS($AB$1006:AK1006),$AB$1006:$AQ$1006,0)))),"Fix")))</f>
        <v>0</v>
      </c>
      <c r="L46" s="4">
        <f>IF(OR(INDEX($V$2:$V$1001,MATCH(ROWS($U$2:U46),$U$2:$U$1001,0),1)&gt;=100000,INDEX($AB$1005:$AQ$1005,1,MATCH(COLUMNS($AB$1006:AL1006),$AB$1006:$AQ$1006,0))&gt;=100000), " ",IF(INDEX($AB$2:$AQ$1001,MATCH(ROWS($U$2:U46),$U$2:$U$1001,0),MATCH(COLUMNS($AB$1006:AL1006),$AB$1006:$AQ$1006,0)), HYPERLINK("#",""), HYPERLINK(CONCATENATE("#metadata!", ADDRESS(INDEX($W$2:$W$1001,MATCH(ROWS($U$2:U46),$U$2:$U$1001,0),0), INDEX($AB$1004:$AQ$1004,1,MATCH(COLUMNS($AB$1006:AL1006),$AB$1006:$AQ$1006,0)))),"Fix")))</f>
        <v>0</v>
      </c>
      <c r="M46" s="4">
        <f>IF(OR(INDEX($V$2:$V$1001,MATCH(ROWS($U$2:U46),$U$2:$U$1001,0),1)&gt;=100000,INDEX($AB$1005:$AQ$1005,1,MATCH(COLUMNS($AB$1006:AM1006),$AB$1006:$AQ$1006,0))&gt;=100000), " ",IF(INDEX($AB$2:$AQ$1001,MATCH(ROWS($U$2:U46),$U$2:$U$1001,0),MATCH(COLUMNS($AB$1006:AM1006),$AB$1006:$AQ$1006,0)), HYPERLINK("#",""), HYPERLINK(CONCATENATE("#metadata!", ADDRESS(INDEX($W$2:$W$1001,MATCH(ROWS($U$2:U46),$U$2:$U$1001,0),0), INDEX($AB$1004:$AQ$1004,1,MATCH(COLUMNS($AB$1006:AM1006),$AB$1006:$AQ$1006,0)))),"Fix")))</f>
        <v>0</v>
      </c>
      <c r="N46" s="4">
        <f>IF(OR(INDEX($V$2:$V$1001,MATCH(ROWS($U$2:U46),$U$2:$U$1001,0),1)&gt;=100000,INDEX($AB$1005:$AQ$1005,1,MATCH(COLUMNS($AB$1006:AN1006),$AB$1006:$AQ$1006,0))&gt;=100000), " ",IF(INDEX($AB$2:$AQ$1001,MATCH(ROWS($U$2:U46),$U$2:$U$1001,0),MATCH(COLUMNS($AB$1006:AN1006),$AB$1006:$AQ$1006,0)), HYPERLINK("#",""), HYPERLINK(CONCATENATE("#metadata!", ADDRESS(INDEX($W$2:$W$1001,MATCH(ROWS($U$2:U46),$U$2:$U$1001,0),0), INDEX($AB$1004:$AQ$1004,1,MATCH(COLUMNS($AB$1006:AN1006),$AB$1006:$AQ$1006,0)))),"Fix")))</f>
        <v>0</v>
      </c>
      <c r="O46" s="4">
        <f>IF(OR(INDEX($V$2:$V$1001,MATCH(ROWS($U$2:U46),$U$2:$U$1001,0),1)&gt;=100000,INDEX($AB$1005:$AQ$1005,1,MATCH(COLUMNS($AB$1006:AO1006),$AB$1006:$AQ$1006,0))&gt;=100000), " ",IF(INDEX($AB$2:$AQ$1001,MATCH(ROWS($U$2:U46),$U$2:$U$1001,0),MATCH(COLUMNS($AB$1006:AO1006),$AB$1006:$AQ$1006,0)), HYPERLINK("#",""), HYPERLINK(CONCATENATE("#metadata!", ADDRESS(INDEX($W$2:$W$1001,MATCH(ROWS($U$2:U46),$U$2:$U$1001,0),0), INDEX($AB$1004:$AQ$1004,1,MATCH(COLUMNS($AB$1006:AO1006),$AB$1006:$AQ$1006,0)))),"Fix")))</f>
        <v>0</v>
      </c>
      <c r="P46" s="4">
        <f>IF(OR(INDEX($V$2:$V$1001,MATCH(ROWS($U$2:U46),$U$2:$U$1001,0),1)&gt;=100000,INDEX($AB$1005:$AQ$1005,1,MATCH(COLUMNS($AB$1006:AP1006),$AB$1006:$AQ$1006,0))&gt;=100000), " ",IF(INDEX($AB$2:$AQ$1001,MATCH(ROWS($U$2:U46),$U$2:$U$1001,0),MATCH(COLUMNS($AB$1006:AP1006),$AB$1006:$AQ$1006,0)), HYPERLINK("#",""), HYPERLINK(CONCATENATE("#metadata!", ADDRESS(INDEX($W$2:$W$1001,MATCH(ROWS($U$2:U46),$U$2:$U$1001,0),0), INDEX($AB$1004:$AQ$1004,1,MATCH(COLUMNS($AB$1006:AP1006),$AB$1006:$AQ$1006,0)))),"Fix")))</f>
        <v>0</v>
      </c>
      <c r="Q46" s="4">
        <f>IF(OR(INDEX($V$2:$V$1001,MATCH(ROWS($U$2:U46),$U$2:$U$1001,0),1)&gt;=100000,INDEX($AB$1005:$AQ$1005,1,MATCH(COLUMNS($AB$1006:AQ1006),$AB$1006:$AQ$1006,0))&gt;=100000), " ",IF(INDEX($AB$2:$AQ$1001,MATCH(ROWS($U$2:U46),$U$2:$U$1001,0),MATCH(COLUMNS($AB$1006:AQ1006),$AB$1006:$AQ$1006,0)), HYPERLINK("#",""), HYPERLINK(CONCATENATE("#metadata!", ADDRESS(INDEX($W$2:$W$1001,MATCH(ROWS($U$2:U46),$U$2:$U$1001,0),0), INDEX($AB$1004:$AQ$1004,1,MATCH(COLUMNS($AB$1006:AQ1006),$AB$1006:$AQ$1006,0)))),"Fix")))</f>
        <v>0</v>
      </c>
      <c r="U46">
        <v>0</v>
      </c>
      <c r="V46">
        <v>0</v>
      </c>
      <c r="W46">
        <v>0</v>
      </c>
      <c r="X46">
        <f>IF(Y46,TRUE,AND(AB46:AQ46))</f>
        <v>0</v>
      </c>
      <c r="Y46">
        <f>COUNTBLANK(metadata!B46:Q46)=COLUMNS(metadata!B46:Q46)</f>
        <v>0</v>
      </c>
      <c r="Z46">
        <v>0</v>
      </c>
      <c r="AB46">
        <f>AND(IF(metadata!B46="",FALSE,TRUE),COUNTIF(metadata!B:B, metadata!B46) = 1,NOT(ISERROR(SUMPRODUCT(SEARCH(MID(metadata!B46,ROW(INDIRECT("1:"&amp;LEN(metadata!B46))), 1),"0123456789abcdefghijklmnopqrstuvwxyzABCDEFGHIJKLMNOPQRSTUVWXYZ.")))))</f>
        <v>0</v>
      </c>
      <c r="AC46">
        <f>OR(AND(IF(metadata!C46="",FALSE,TRUE),OR(exact(metadata!C46,"missing: not collected"),exact(metadata!C46,"missing: not provided"),exact(metadata!C46,"missing: restricted access"))),AND(IF(metadata!C46="",FALSE,TRUE),AND(AND(IFERROR(INT(LEFT(metadata!C46,4))&gt;1900,FALSE),IFERROR(INT(LEFT(metadata!C46,4))&lt;=YEAR(NOW()),FALSE)), OR(MID(metadata!C46,5,1)="", AND(AND(MID(metadata!C46,5,1)="-",IFERROR(INT(MID(metadata!C46,6,1))&gt;=0,FALSE),IFERROR(INT(MID(metadata!C46,6,1))&lt;=1,FALSE),NOT(MID(metadata!C46,7,1)=""),IFERROR(INT(MID(metadata!C46,6,2))&gt;=1,FALSE),IFERROR(INT(MID(metadata!C46,6,2))&lt;=12,FALSE)), OR(MID(metadata!C46,8,1)="", AND(AND(MID(metadata!C46,8,1)="-",IFERROR(INT(MID(metadata!C46,9,1))&gt;=0,FALSE),IFERROR(INT(MID(metadata!C46,9,1))&lt;=3,FALSE),NOT(MID(metadata!C46,10,1)=""),IFERROR(INT(MID(metadata!C46,9,2))&gt;=1,FALSE),IFERROR(INT(MID(metadata!C46,9,2))&lt;=31,FALSE)), OR(MID(metadata!C46,11,1)="", AND(AND(MID(metadata!C46,11,1)=" ",IFERROR(INT(MID(metadata!C46,12,1))&gt;=0,FALSE),IFERROR(INT(MID(metadata!C46,12,1))&lt;=2,FALSE),NOT(MID(metadata!C46,13,1)=""),IFERROR(INT(MID(metadata!C46,12,2))&gt;=0,FALSE),IFERROR(INT(MID(metadata!C46,12,2))&lt;=23,FALSE)), OR(MID(metadata!C46,14,1)="", AND(AND(MID(metadata!C46,14,1)=":",IFERROR(INT(MID(metadata!C46,15,1))&gt;=0,FALSE),IFERROR(INT(MID(metadata!C46,15,1))&lt;=5,FALSE),NOT(MID(metadata!C46,16,1)=""),IFERROR(INT(MID(metadata!C46,15,2))&gt;=0,FALSE),IFERROR(INT(MID(metadata!C46,15,2))&lt;=59,FALSE)), OR(MID(metadata!C46,17,1)="", AND(AND(MID(metadata!C46,17,1)=":",IFERROR(INT(MID(metadata!C46,18,1))&gt;=0,FALSE),IFERROR(INT(MID(metadata!C46,18,1))&lt;=5,FALSE),NOT(MID(metadata!C46,19,1)=""),IFERROR(INT(MID(metadata!C46,18,2))&gt;=0,FALSE),IFERROR(INT(MID(metadata!C46,18,2))&lt;=59,FALSE)), LEN(metadata!C46)&lt;=19)))))))))))))</f>
        <v>0</v>
      </c>
      <c r="AD46">
        <f>IF(metadata!D46="",FALSE,TRUE)</f>
        <v>0</v>
      </c>
      <c r="AE46">
        <f>OR(AND(IF(metadata!E46="",FALSE,TRUE),OR(exact(metadata!E46,"missing: not collected"),exact(metadata!E46,"missing: not provided"))),AND(IF(metadata!E46="",FALSE,TRUE),OR(exact(metadata!E46,"TRUE"),exact(metadata!E46,"FALSE"))))</f>
        <v>0</v>
      </c>
      <c r="AF46">
        <f>IF(metadata!F46="",FALSE,TRUE)</f>
        <v>0</v>
      </c>
      <c r="AG46">
        <f>IF(metadata!G46="",FALSE,TRUE)</f>
        <v>0</v>
      </c>
      <c r="AH46">
        <f>IF(metadata!H46="",FALSE,TRUE)</f>
        <v>0</v>
      </c>
      <c r="AI46">
        <f>OR(AND(IF(metadata!I46="",FALSE,TRUE),OR(exact(metadata!I46,"missing: not collected"),exact(metadata!I46,"missing: not provided"),exact(metadata!I46,"missing: restricted access"))),AND(IF(metadata!I46="",FALSE,TRUE),OR(exact(metadata!I46,"air"),exact(metadata!I46,"built environment"),exact(metadata!I46,"host-associated"),exact(metadata!I46,"human-associated"),exact(metadata!I46,"human-skin"),exact(metadata!I46,"human-oral"),exact(metadata!I46,"human-gut"),exact(metadata!I46,"human-vaginal"),exact(metadata!I46,"microbial mat/biofilm"),exact(metadata!I46,"misc environment"),exact(metadata!I46,"plant-associated"),exact(metadata!I46,"sediment"),exact(metadata!I46,"soil"),exact(metadata!I46,"wastewater/sludge"),exact(metadata!I46,"water"))))</f>
        <v>0</v>
      </c>
      <c r="AJ46">
        <f>IF(metadata!J46="",FALSE,TRUE)</f>
        <v>0</v>
      </c>
      <c r="AK46">
        <f>OR(AND(IF(metadata!K46="",FALSE,TRUE),OR(exact(metadata!K46,"missing: not collected"),exact(metadata!K46,"missing: not provided"),exact(metadata!K46,"missing: restricted access"))),AND(IF(metadata!K46="",FALSE,ISNUMBER(VALUE(metadata!K46))),metadata!K46&gt;=-90.00,metadata!K46&lt;=90.00))</f>
        <v>0</v>
      </c>
      <c r="AL46">
        <f>OR(AND(IF(metadata!L46="",FALSE,TRUE),OR(exact(metadata!L46,"missing: not collected"),exact(metadata!L46,"missing: not provided"),exact(metadata!L46,"missing: restricted access"))),AND(IF(metadata!L46="",FALSE,ISNUMBER(VALUE(metadata!L46))),metadata!L46&gt;=-180.00,metadata!L46&lt;=180.00))</f>
        <v>0</v>
      </c>
      <c r="AM46">
        <f>IF(metadata!M46="",FALSE,TRUE)</f>
        <v>0</v>
      </c>
      <c r="AN46">
        <f>OR(AND(IF(metadata!N46="",FALSE,TRUE),OR(exact(metadata!N46,"missing: not collected"),exact(metadata!N46,"missing: not provided"),exact(metadata!N46,"missing: restricted access"))),AND(IF(metadata!N46="",FALSE,TRUE),OR(exact(metadata!N46,"TRUE"),exact(metadata!N46,"FALSE"))))</f>
        <v>0</v>
      </c>
      <c r="AO46">
        <f>IF(metadata!O46="",FALSE,TRUE)</f>
        <v>0</v>
      </c>
      <c r="AP46">
        <f>OR(AND(IF(metadata!P46="",FALSE,TRUE),OR(exact(metadata!P46,"missing: not collected"),exact(metadata!P46,"missing: not provided"))),AND(IF(metadata!P46="",FALSE,IF(ISERROR(INT(metadata!P46)),FALSE,INT(metadata!P46)=metadata!P46)),metadata!P46&gt;0))</f>
        <v>0</v>
      </c>
      <c r="AQ46">
        <f>IF(metadata!Q46="",FALSE,TRUE)</f>
        <v>0</v>
      </c>
    </row>
    <row r="47" spans="1:43">
      <c r="A47" s="5">
        <f>IF(B47=" "," ",HYPERLINK(CONCATENATE("#metadata!",ADDRESS(INDEX($W$2:$W$1001,MATCH(ROWS($U$2:U47),$U$2:$U$1001,0),0),1)),INDEX($Z$2:$Z$1001,MATCH(ROWS($U$2:U47),$U$2:$U$1001,0),0)))</f>
        <v>0</v>
      </c>
      <c r="B47" s="4">
        <f>IF(OR(INDEX($V$2:$V$1001,MATCH(ROWS($U$2:U47),$U$2:$U$1001,0),1)&gt;=100000,INDEX($AB$1005:$AQ$1005,1,MATCH(COLUMNS($AB$1006:AB1006),$AB$1006:$AQ$1006,0))&gt;=100000), " ",IF(INDEX($AB$2:$AQ$1001,MATCH(ROWS($U$2:U47),$U$2:$U$1001,0),MATCH(COLUMNS($AB$1006:AB1006),$AB$1006:$AQ$1006,0)), HYPERLINK("#",""), HYPERLINK(CONCATENATE("#metadata!", ADDRESS(INDEX($W$2:$W$1001,MATCH(ROWS($U$2:U47),$U$2:$U$1001,0),0), INDEX($AB$1004:$AQ$1004,1,MATCH(COLUMNS($AB$1006:AB1006),$AB$1006:$AQ$1006,0)))),"Fix")))</f>
        <v>0</v>
      </c>
      <c r="C47" s="4">
        <f>IF(OR(INDEX($V$2:$V$1001,MATCH(ROWS($U$2:U47),$U$2:$U$1001,0),1)&gt;=100000,INDEX($AB$1005:$AQ$1005,1,MATCH(COLUMNS($AB$1006:AC1006),$AB$1006:$AQ$1006,0))&gt;=100000), " ",IF(INDEX($AB$2:$AQ$1001,MATCH(ROWS($U$2:U47),$U$2:$U$1001,0),MATCH(COLUMNS($AB$1006:AC1006),$AB$1006:$AQ$1006,0)), HYPERLINK("#",""), HYPERLINK(CONCATENATE("#metadata!", ADDRESS(INDEX($W$2:$W$1001,MATCH(ROWS($U$2:U47),$U$2:$U$1001,0),0), INDEX($AB$1004:$AQ$1004,1,MATCH(COLUMNS($AB$1006:AC1006),$AB$1006:$AQ$1006,0)))),"Fix")))</f>
        <v>0</v>
      </c>
      <c r="D47" s="4">
        <f>IF(OR(INDEX($V$2:$V$1001,MATCH(ROWS($U$2:U47),$U$2:$U$1001,0),1)&gt;=100000,INDEX($AB$1005:$AQ$1005,1,MATCH(COLUMNS($AB$1006:AD1006),$AB$1006:$AQ$1006,0))&gt;=100000), " ",IF(INDEX($AB$2:$AQ$1001,MATCH(ROWS($U$2:U47),$U$2:$U$1001,0),MATCH(COLUMNS($AB$1006:AD1006),$AB$1006:$AQ$1006,0)), HYPERLINK("#",""), HYPERLINK(CONCATENATE("#metadata!", ADDRESS(INDEX($W$2:$W$1001,MATCH(ROWS($U$2:U47),$U$2:$U$1001,0),0), INDEX($AB$1004:$AQ$1004,1,MATCH(COLUMNS($AB$1006:AD1006),$AB$1006:$AQ$1006,0)))),"Fix")))</f>
        <v>0</v>
      </c>
      <c r="E47" s="4">
        <f>IF(OR(INDEX($V$2:$V$1001,MATCH(ROWS($U$2:U47),$U$2:$U$1001,0),1)&gt;=100000,INDEX($AB$1005:$AQ$1005,1,MATCH(COLUMNS($AB$1006:AE1006),$AB$1006:$AQ$1006,0))&gt;=100000), " ",IF(INDEX($AB$2:$AQ$1001,MATCH(ROWS($U$2:U47),$U$2:$U$1001,0),MATCH(COLUMNS($AB$1006:AE1006),$AB$1006:$AQ$1006,0)), HYPERLINK("#",""), HYPERLINK(CONCATENATE("#metadata!", ADDRESS(INDEX($W$2:$W$1001,MATCH(ROWS($U$2:U47),$U$2:$U$1001,0),0), INDEX($AB$1004:$AQ$1004,1,MATCH(COLUMNS($AB$1006:AE1006),$AB$1006:$AQ$1006,0)))),"Fix")))</f>
        <v>0</v>
      </c>
      <c r="F47" s="4">
        <f>IF(OR(INDEX($V$2:$V$1001,MATCH(ROWS($U$2:U47),$U$2:$U$1001,0),1)&gt;=100000,INDEX($AB$1005:$AQ$1005,1,MATCH(COLUMNS($AB$1006:AF1006),$AB$1006:$AQ$1006,0))&gt;=100000), " ",IF(INDEX($AB$2:$AQ$1001,MATCH(ROWS($U$2:U47),$U$2:$U$1001,0),MATCH(COLUMNS($AB$1006:AF1006),$AB$1006:$AQ$1006,0)), HYPERLINK("#",""), HYPERLINK(CONCATENATE("#metadata!", ADDRESS(INDEX($W$2:$W$1001,MATCH(ROWS($U$2:U47),$U$2:$U$1001,0),0), INDEX($AB$1004:$AQ$1004,1,MATCH(COLUMNS($AB$1006:AF1006),$AB$1006:$AQ$1006,0)))),"Fix")))</f>
        <v>0</v>
      </c>
      <c r="G47" s="4">
        <f>IF(OR(INDEX($V$2:$V$1001,MATCH(ROWS($U$2:U47),$U$2:$U$1001,0),1)&gt;=100000,INDEX($AB$1005:$AQ$1005,1,MATCH(COLUMNS($AB$1006:AG1006),$AB$1006:$AQ$1006,0))&gt;=100000), " ",IF(INDEX($AB$2:$AQ$1001,MATCH(ROWS($U$2:U47),$U$2:$U$1001,0),MATCH(COLUMNS($AB$1006:AG1006),$AB$1006:$AQ$1006,0)), HYPERLINK("#",""), HYPERLINK(CONCATENATE("#metadata!", ADDRESS(INDEX($W$2:$W$1001,MATCH(ROWS($U$2:U47),$U$2:$U$1001,0),0), INDEX($AB$1004:$AQ$1004,1,MATCH(COLUMNS($AB$1006:AG1006),$AB$1006:$AQ$1006,0)))),"Fix")))</f>
        <v>0</v>
      </c>
      <c r="H47" s="4">
        <f>IF(OR(INDEX($V$2:$V$1001,MATCH(ROWS($U$2:U47),$U$2:$U$1001,0),1)&gt;=100000,INDEX($AB$1005:$AQ$1005,1,MATCH(COLUMNS($AB$1006:AH1006),$AB$1006:$AQ$1006,0))&gt;=100000), " ",IF(INDEX($AB$2:$AQ$1001,MATCH(ROWS($U$2:U47),$U$2:$U$1001,0),MATCH(COLUMNS($AB$1006:AH1006),$AB$1006:$AQ$1006,0)), HYPERLINK("#",""), HYPERLINK(CONCATENATE("#metadata!", ADDRESS(INDEX($W$2:$W$1001,MATCH(ROWS($U$2:U47),$U$2:$U$1001,0),0), INDEX($AB$1004:$AQ$1004,1,MATCH(COLUMNS($AB$1006:AH1006),$AB$1006:$AQ$1006,0)))),"Fix")))</f>
        <v>0</v>
      </c>
      <c r="I47" s="4">
        <f>IF(OR(INDEX($V$2:$V$1001,MATCH(ROWS($U$2:U47),$U$2:$U$1001,0),1)&gt;=100000,INDEX($AB$1005:$AQ$1005,1,MATCH(COLUMNS($AB$1006:AI1006),$AB$1006:$AQ$1006,0))&gt;=100000), " ",IF(INDEX($AB$2:$AQ$1001,MATCH(ROWS($U$2:U47),$U$2:$U$1001,0),MATCH(COLUMNS($AB$1006:AI1006),$AB$1006:$AQ$1006,0)), HYPERLINK("#",""), HYPERLINK(CONCATENATE("#metadata!", ADDRESS(INDEX($W$2:$W$1001,MATCH(ROWS($U$2:U47),$U$2:$U$1001,0),0), INDEX($AB$1004:$AQ$1004,1,MATCH(COLUMNS($AB$1006:AI1006),$AB$1006:$AQ$1006,0)))),"Fix")))</f>
        <v>0</v>
      </c>
      <c r="J47" s="4">
        <f>IF(OR(INDEX($V$2:$V$1001,MATCH(ROWS($U$2:U47),$U$2:$U$1001,0),1)&gt;=100000,INDEX($AB$1005:$AQ$1005,1,MATCH(COLUMNS($AB$1006:AJ1006),$AB$1006:$AQ$1006,0))&gt;=100000), " ",IF(INDEX($AB$2:$AQ$1001,MATCH(ROWS($U$2:U47),$U$2:$U$1001,0),MATCH(COLUMNS($AB$1006:AJ1006),$AB$1006:$AQ$1006,0)), HYPERLINK("#",""), HYPERLINK(CONCATENATE("#metadata!", ADDRESS(INDEX($W$2:$W$1001,MATCH(ROWS($U$2:U47),$U$2:$U$1001,0),0), INDEX($AB$1004:$AQ$1004,1,MATCH(COLUMNS($AB$1006:AJ1006),$AB$1006:$AQ$1006,0)))),"Fix")))</f>
        <v>0</v>
      </c>
      <c r="K47" s="4">
        <f>IF(OR(INDEX($V$2:$V$1001,MATCH(ROWS($U$2:U47),$U$2:$U$1001,0),1)&gt;=100000,INDEX($AB$1005:$AQ$1005,1,MATCH(COLUMNS($AB$1006:AK1006),$AB$1006:$AQ$1006,0))&gt;=100000), " ",IF(INDEX($AB$2:$AQ$1001,MATCH(ROWS($U$2:U47),$U$2:$U$1001,0),MATCH(COLUMNS($AB$1006:AK1006),$AB$1006:$AQ$1006,0)), HYPERLINK("#",""), HYPERLINK(CONCATENATE("#metadata!", ADDRESS(INDEX($W$2:$W$1001,MATCH(ROWS($U$2:U47),$U$2:$U$1001,0),0), INDEX($AB$1004:$AQ$1004,1,MATCH(COLUMNS($AB$1006:AK1006),$AB$1006:$AQ$1006,0)))),"Fix")))</f>
        <v>0</v>
      </c>
      <c r="L47" s="4">
        <f>IF(OR(INDEX($V$2:$V$1001,MATCH(ROWS($U$2:U47),$U$2:$U$1001,0),1)&gt;=100000,INDEX($AB$1005:$AQ$1005,1,MATCH(COLUMNS($AB$1006:AL1006),$AB$1006:$AQ$1006,0))&gt;=100000), " ",IF(INDEX($AB$2:$AQ$1001,MATCH(ROWS($U$2:U47),$U$2:$U$1001,0),MATCH(COLUMNS($AB$1006:AL1006),$AB$1006:$AQ$1006,0)), HYPERLINK("#",""), HYPERLINK(CONCATENATE("#metadata!", ADDRESS(INDEX($W$2:$W$1001,MATCH(ROWS($U$2:U47),$U$2:$U$1001,0),0), INDEX($AB$1004:$AQ$1004,1,MATCH(COLUMNS($AB$1006:AL1006),$AB$1006:$AQ$1006,0)))),"Fix")))</f>
        <v>0</v>
      </c>
      <c r="M47" s="4">
        <f>IF(OR(INDEX($V$2:$V$1001,MATCH(ROWS($U$2:U47),$U$2:$U$1001,0),1)&gt;=100000,INDEX($AB$1005:$AQ$1005,1,MATCH(COLUMNS($AB$1006:AM1006),$AB$1006:$AQ$1006,0))&gt;=100000), " ",IF(INDEX($AB$2:$AQ$1001,MATCH(ROWS($U$2:U47),$U$2:$U$1001,0),MATCH(COLUMNS($AB$1006:AM1006),$AB$1006:$AQ$1006,0)), HYPERLINK("#",""), HYPERLINK(CONCATENATE("#metadata!", ADDRESS(INDEX($W$2:$W$1001,MATCH(ROWS($U$2:U47),$U$2:$U$1001,0),0), INDEX($AB$1004:$AQ$1004,1,MATCH(COLUMNS($AB$1006:AM1006),$AB$1006:$AQ$1006,0)))),"Fix")))</f>
        <v>0</v>
      </c>
      <c r="N47" s="4">
        <f>IF(OR(INDEX($V$2:$V$1001,MATCH(ROWS($U$2:U47),$U$2:$U$1001,0),1)&gt;=100000,INDEX($AB$1005:$AQ$1005,1,MATCH(COLUMNS($AB$1006:AN1006),$AB$1006:$AQ$1006,0))&gt;=100000), " ",IF(INDEX($AB$2:$AQ$1001,MATCH(ROWS($U$2:U47),$U$2:$U$1001,0),MATCH(COLUMNS($AB$1006:AN1006),$AB$1006:$AQ$1006,0)), HYPERLINK("#",""), HYPERLINK(CONCATENATE("#metadata!", ADDRESS(INDEX($W$2:$W$1001,MATCH(ROWS($U$2:U47),$U$2:$U$1001,0),0), INDEX($AB$1004:$AQ$1004,1,MATCH(COLUMNS($AB$1006:AN1006),$AB$1006:$AQ$1006,0)))),"Fix")))</f>
        <v>0</v>
      </c>
      <c r="O47" s="4">
        <f>IF(OR(INDEX($V$2:$V$1001,MATCH(ROWS($U$2:U47),$U$2:$U$1001,0),1)&gt;=100000,INDEX($AB$1005:$AQ$1005,1,MATCH(COLUMNS($AB$1006:AO1006),$AB$1006:$AQ$1006,0))&gt;=100000), " ",IF(INDEX($AB$2:$AQ$1001,MATCH(ROWS($U$2:U47),$U$2:$U$1001,0),MATCH(COLUMNS($AB$1006:AO1006),$AB$1006:$AQ$1006,0)), HYPERLINK("#",""), HYPERLINK(CONCATENATE("#metadata!", ADDRESS(INDEX($W$2:$W$1001,MATCH(ROWS($U$2:U47),$U$2:$U$1001,0),0), INDEX($AB$1004:$AQ$1004,1,MATCH(COLUMNS($AB$1006:AO1006),$AB$1006:$AQ$1006,0)))),"Fix")))</f>
        <v>0</v>
      </c>
      <c r="P47" s="4">
        <f>IF(OR(INDEX($V$2:$V$1001,MATCH(ROWS($U$2:U47),$U$2:$U$1001,0),1)&gt;=100000,INDEX($AB$1005:$AQ$1005,1,MATCH(COLUMNS($AB$1006:AP1006),$AB$1006:$AQ$1006,0))&gt;=100000), " ",IF(INDEX($AB$2:$AQ$1001,MATCH(ROWS($U$2:U47),$U$2:$U$1001,0),MATCH(COLUMNS($AB$1006:AP1006),$AB$1006:$AQ$1006,0)), HYPERLINK("#",""), HYPERLINK(CONCATENATE("#metadata!", ADDRESS(INDEX($W$2:$W$1001,MATCH(ROWS($U$2:U47),$U$2:$U$1001,0),0), INDEX($AB$1004:$AQ$1004,1,MATCH(COLUMNS($AB$1006:AP1006),$AB$1006:$AQ$1006,0)))),"Fix")))</f>
        <v>0</v>
      </c>
      <c r="Q47" s="4">
        <f>IF(OR(INDEX($V$2:$V$1001,MATCH(ROWS($U$2:U47),$U$2:$U$1001,0),1)&gt;=100000,INDEX($AB$1005:$AQ$1005,1,MATCH(COLUMNS($AB$1006:AQ1006),$AB$1006:$AQ$1006,0))&gt;=100000), " ",IF(INDEX($AB$2:$AQ$1001,MATCH(ROWS($U$2:U47),$U$2:$U$1001,0),MATCH(COLUMNS($AB$1006:AQ1006),$AB$1006:$AQ$1006,0)), HYPERLINK("#",""), HYPERLINK(CONCATENATE("#metadata!", ADDRESS(INDEX($W$2:$W$1001,MATCH(ROWS($U$2:U47),$U$2:$U$1001,0),0), INDEX($AB$1004:$AQ$1004,1,MATCH(COLUMNS($AB$1006:AQ1006),$AB$1006:$AQ$1006,0)))),"Fix")))</f>
        <v>0</v>
      </c>
      <c r="U47">
        <v>0</v>
      </c>
      <c r="V47">
        <v>0</v>
      </c>
      <c r="W47">
        <v>0</v>
      </c>
      <c r="X47">
        <f>IF(Y47,TRUE,AND(AB47:AQ47))</f>
        <v>0</v>
      </c>
      <c r="Y47">
        <f>COUNTBLANK(metadata!B47:Q47)=COLUMNS(metadata!B47:Q47)</f>
        <v>0</v>
      </c>
      <c r="Z47">
        <v>0</v>
      </c>
      <c r="AB47">
        <f>AND(IF(metadata!B47="",FALSE,TRUE),COUNTIF(metadata!B:B, metadata!B47) = 1,NOT(ISERROR(SUMPRODUCT(SEARCH(MID(metadata!B47,ROW(INDIRECT("1:"&amp;LEN(metadata!B47))), 1),"0123456789abcdefghijklmnopqrstuvwxyzABCDEFGHIJKLMNOPQRSTUVWXYZ.")))))</f>
        <v>0</v>
      </c>
      <c r="AC47">
        <f>OR(AND(IF(metadata!C47="",FALSE,TRUE),OR(exact(metadata!C47,"missing: not collected"),exact(metadata!C47,"missing: not provided"),exact(metadata!C47,"missing: restricted access"))),AND(IF(metadata!C47="",FALSE,TRUE),AND(AND(IFERROR(INT(LEFT(metadata!C47,4))&gt;1900,FALSE),IFERROR(INT(LEFT(metadata!C47,4))&lt;=YEAR(NOW()),FALSE)), OR(MID(metadata!C47,5,1)="", AND(AND(MID(metadata!C47,5,1)="-",IFERROR(INT(MID(metadata!C47,6,1))&gt;=0,FALSE),IFERROR(INT(MID(metadata!C47,6,1))&lt;=1,FALSE),NOT(MID(metadata!C47,7,1)=""),IFERROR(INT(MID(metadata!C47,6,2))&gt;=1,FALSE),IFERROR(INT(MID(metadata!C47,6,2))&lt;=12,FALSE)), OR(MID(metadata!C47,8,1)="", AND(AND(MID(metadata!C47,8,1)="-",IFERROR(INT(MID(metadata!C47,9,1))&gt;=0,FALSE),IFERROR(INT(MID(metadata!C47,9,1))&lt;=3,FALSE),NOT(MID(metadata!C47,10,1)=""),IFERROR(INT(MID(metadata!C47,9,2))&gt;=1,FALSE),IFERROR(INT(MID(metadata!C47,9,2))&lt;=31,FALSE)), OR(MID(metadata!C47,11,1)="", AND(AND(MID(metadata!C47,11,1)=" ",IFERROR(INT(MID(metadata!C47,12,1))&gt;=0,FALSE),IFERROR(INT(MID(metadata!C47,12,1))&lt;=2,FALSE),NOT(MID(metadata!C47,13,1)=""),IFERROR(INT(MID(metadata!C47,12,2))&gt;=0,FALSE),IFERROR(INT(MID(metadata!C47,12,2))&lt;=23,FALSE)), OR(MID(metadata!C47,14,1)="", AND(AND(MID(metadata!C47,14,1)=":",IFERROR(INT(MID(metadata!C47,15,1))&gt;=0,FALSE),IFERROR(INT(MID(metadata!C47,15,1))&lt;=5,FALSE),NOT(MID(metadata!C47,16,1)=""),IFERROR(INT(MID(metadata!C47,15,2))&gt;=0,FALSE),IFERROR(INT(MID(metadata!C47,15,2))&lt;=59,FALSE)), OR(MID(metadata!C47,17,1)="", AND(AND(MID(metadata!C47,17,1)=":",IFERROR(INT(MID(metadata!C47,18,1))&gt;=0,FALSE),IFERROR(INT(MID(metadata!C47,18,1))&lt;=5,FALSE),NOT(MID(metadata!C47,19,1)=""),IFERROR(INT(MID(metadata!C47,18,2))&gt;=0,FALSE),IFERROR(INT(MID(metadata!C47,18,2))&lt;=59,FALSE)), LEN(metadata!C47)&lt;=19)))))))))))))</f>
        <v>0</v>
      </c>
      <c r="AD47">
        <f>IF(metadata!D47="",FALSE,TRUE)</f>
        <v>0</v>
      </c>
      <c r="AE47">
        <f>OR(AND(IF(metadata!E47="",FALSE,TRUE),OR(exact(metadata!E47,"missing: not collected"),exact(metadata!E47,"missing: not provided"))),AND(IF(metadata!E47="",FALSE,TRUE),OR(exact(metadata!E47,"TRUE"),exact(metadata!E47,"FALSE"))))</f>
        <v>0</v>
      </c>
      <c r="AF47">
        <f>IF(metadata!F47="",FALSE,TRUE)</f>
        <v>0</v>
      </c>
      <c r="AG47">
        <f>IF(metadata!G47="",FALSE,TRUE)</f>
        <v>0</v>
      </c>
      <c r="AH47">
        <f>IF(metadata!H47="",FALSE,TRUE)</f>
        <v>0</v>
      </c>
      <c r="AI47">
        <f>OR(AND(IF(metadata!I47="",FALSE,TRUE),OR(exact(metadata!I47,"missing: not collected"),exact(metadata!I47,"missing: not provided"),exact(metadata!I47,"missing: restricted access"))),AND(IF(metadata!I47="",FALSE,TRUE),OR(exact(metadata!I47,"air"),exact(metadata!I47,"built environment"),exact(metadata!I47,"host-associated"),exact(metadata!I47,"human-associated"),exact(metadata!I47,"human-skin"),exact(metadata!I47,"human-oral"),exact(metadata!I47,"human-gut"),exact(metadata!I47,"human-vaginal"),exact(metadata!I47,"microbial mat/biofilm"),exact(metadata!I47,"misc environment"),exact(metadata!I47,"plant-associated"),exact(metadata!I47,"sediment"),exact(metadata!I47,"soil"),exact(metadata!I47,"wastewater/sludge"),exact(metadata!I47,"water"))))</f>
        <v>0</v>
      </c>
      <c r="AJ47">
        <f>IF(metadata!J47="",FALSE,TRUE)</f>
        <v>0</v>
      </c>
      <c r="AK47">
        <f>OR(AND(IF(metadata!K47="",FALSE,TRUE),OR(exact(metadata!K47,"missing: not collected"),exact(metadata!K47,"missing: not provided"),exact(metadata!K47,"missing: restricted access"))),AND(IF(metadata!K47="",FALSE,ISNUMBER(VALUE(metadata!K47))),metadata!K47&gt;=-90.00,metadata!K47&lt;=90.00))</f>
        <v>0</v>
      </c>
      <c r="AL47">
        <f>OR(AND(IF(metadata!L47="",FALSE,TRUE),OR(exact(metadata!L47,"missing: not collected"),exact(metadata!L47,"missing: not provided"),exact(metadata!L47,"missing: restricted access"))),AND(IF(metadata!L47="",FALSE,ISNUMBER(VALUE(metadata!L47))),metadata!L47&gt;=-180.00,metadata!L47&lt;=180.00))</f>
        <v>0</v>
      </c>
      <c r="AM47">
        <f>IF(metadata!M47="",FALSE,TRUE)</f>
        <v>0</v>
      </c>
      <c r="AN47">
        <f>OR(AND(IF(metadata!N47="",FALSE,TRUE),OR(exact(metadata!N47,"missing: not collected"),exact(metadata!N47,"missing: not provided"),exact(metadata!N47,"missing: restricted access"))),AND(IF(metadata!N47="",FALSE,TRUE),OR(exact(metadata!N47,"TRUE"),exact(metadata!N47,"FALSE"))))</f>
        <v>0</v>
      </c>
      <c r="AO47">
        <f>IF(metadata!O47="",FALSE,TRUE)</f>
        <v>0</v>
      </c>
      <c r="AP47">
        <f>OR(AND(IF(metadata!P47="",FALSE,TRUE),OR(exact(metadata!P47,"missing: not collected"),exact(metadata!P47,"missing: not provided"))),AND(IF(metadata!P47="",FALSE,IF(ISERROR(INT(metadata!P47)),FALSE,INT(metadata!P47)=metadata!P47)),metadata!P47&gt;0))</f>
        <v>0</v>
      </c>
      <c r="AQ47">
        <f>IF(metadata!Q47="",FALSE,TRUE)</f>
        <v>0</v>
      </c>
    </row>
    <row r="48" spans="1:43">
      <c r="A48" s="5">
        <f>IF(B48=" "," ",HYPERLINK(CONCATENATE("#metadata!",ADDRESS(INDEX($W$2:$W$1001,MATCH(ROWS($U$2:U48),$U$2:$U$1001,0),0),1)),INDEX($Z$2:$Z$1001,MATCH(ROWS($U$2:U48),$U$2:$U$1001,0),0)))</f>
        <v>0</v>
      </c>
      <c r="B48" s="4">
        <f>IF(OR(INDEX($V$2:$V$1001,MATCH(ROWS($U$2:U48),$U$2:$U$1001,0),1)&gt;=100000,INDEX($AB$1005:$AQ$1005,1,MATCH(COLUMNS($AB$1006:AB1006),$AB$1006:$AQ$1006,0))&gt;=100000), " ",IF(INDEX($AB$2:$AQ$1001,MATCH(ROWS($U$2:U48),$U$2:$U$1001,0),MATCH(COLUMNS($AB$1006:AB1006),$AB$1006:$AQ$1006,0)), HYPERLINK("#",""), HYPERLINK(CONCATENATE("#metadata!", ADDRESS(INDEX($W$2:$W$1001,MATCH(ROWS($U$2:U48),$U$2:$U$1001,0),0), INDEX($AB$1004:$AQ$1004,1,MATCH(COLUMNS($AB$1006:AB1006),$AB$1006:$AQ$1006,0)))),"Fix")))</f>
        <v>0</v>
      </c>
      <c r="C48" s="4">
        <f>IF(OR(INDEX($V$2:$V$1001,MATCH(ROWS($U$2:U48),$U$2:$U$1001,0),1)&gt;=100000,INDEX($AB$1005:$AQ$1005,1,MATCH(COLUMNS($AB$1006:AC1006),$AB$1006:$AQ$1006,0))&gt;=100000), " ",IF(INDEX($AB$2:$AQ$1001,MATCH(ROWS($U$2:U48),$U$2:$U$1001,0),MATCH(COLUMNS($AB$1006:AC1006),$AB$1006:$AQ$1006,0)), HYPERLINK("#",""), HYPERLINK(CONCATENATE("#metadata!", ADDRESS(INDEX($W$2:$W$1001,MATCH(ROWS($U$2:U48),$U$2:$U$1001,0),0), INDEX($AB$1004:$AQ$1004,1,MATCH(COLUMNS($AB$1006:AC1006),$AB$1006:$AQ$1006,0)))),"Fix")))</f>
        <v>0</v>
      </c>
      <c r="D48" s="4">
        <f>IF(OR(INDEX($V$2:$V$1001,MATCH(ROWS($U$2:U48),$U$2:$U$1001,0),1)&gt;=100000,INDEX($AB$1005:$AQ$1005,1,MATCH(COLUMNS($AB$1006:AD1006),$AB$1006:$AQ$1006,0))&gt;=100000), " ",IF(INDEX($AB$2:$AQ$1001,MATCH(ROWS($U$2:U48),$U$2:$U$1001,0),MATCH(COLUMNS($AB$1006:AD1006),$AB$1006:$AQ$1006,0)), HYPERLINK("#",""), HYPERLINK(CONCATENATE("#metadata!", ADDRESS(INDEX($W$2:$W$1001,MATCH(ROWS($U$2:U48),$U$2:$U$1001,0),0), INDEX($AB$1004:$AQ$1004,1,MATCH(COLUMNS($AB$1006:AD1006),$AB$1006:$AQ$1006,0)))),"Fix")))</f>
        <v>0</v>
      </c>
      <c r="E48" s="4">
        <f>IF(OR(INDEX($V$2:$V$1001,MATCH(ROWS($U$2:U48),$U$2:$U$1001,0),1)&gt;=100000,INDEX($AB$1005:$AQ$1005,1,MATCH(COLUMNS($AB$1006:AE1006),$AB$1006:$AQ$1006,0))&gt;=100000), " ",IF(INDEX($AB$2:$AQ$1001,MATCH(ROWS($U$2:U48),$U$2:$U$1001,0),MATCH(COLUMNS($AB$1006:AE1006),$AB$1006:$AQ$1006,0)), HYPERLINK("#",""), HYPERLINK(CONCATENATE("#metadata!", ADDRESS(INDEX($W$2:$W$1001,MATCH(ROWS($U$2:U48),$U$2:$U$1001,0),0), INDEX($AB$1004:$AQ$1004,1,MATCH(COLUMNS($AB$1006:AE1006),$AB$1006:$AQ$1006,0)))),"Fix")))</f>
        <v>0</v>
      </c>
      <c r="F48" s="4">
        <f>IF(OR(INDEX($V$2:$V$1001,MATCH(ROWS($U$2:U48),$U$2:$U$1001,0),1)&gt;=100000,INDEX($AB$1005:$AQ$1005,1,MATCH(COLUMNS($AB$1006:AF1006),$AB$1006:$AQ$1006,0))&gt;=100000), " ",IF(INDEX($AB$2:$AQ$1001,MATCH(ROWS($U$2:U48),$U$2:$U$1001,0),MATCH(COLUMNS($AB$1006:AF1006),$AB$1006:$AQ$1006,0)), HYPERLINK("#",""), HYPERLINK(CONCATENATE("#metadata!", ADDRESS(INDEX($W$2:$W$1001,MATCH(ROWS($U$2:U48),$U$2:$U$1001,0),0), INDEX($AB$1004:$AQ$1004,1,MATCH(COLUMNS($AB$1006:AF1006),$AB$1006:$AQ$1006,0)))),"Fix")))</f>
        <v>0</v>
      </c>
      <c r="G48" s="4">
        <f>IF(OR(INDEX($V$2:$V$1001,MATCH(ROWS($U$2:U48),$U$2:$U$1001,0),1)&gt;=100000,INDEX($AB$1005:$AQ$1005,1,MATCH(COLUMNS($AB$1006:AG1006),$AB$1006:$AQ$1006,0))&gt;=100000), " ",IF(INDEX($AB$2:$AQ$1001,MATCH(ROWS($U$2:U48),$U$2:$U$1001,0),MATCH(COLUMNS($AB$1006:AG1006),$AB$1006:$AQ$1006,0)), HYPERLINK("#",""), HYPERLINK(CONCATENATE("#metadata!", ADDRESS(INDEX($W$2:$W$1001,MATCH(ROWS($U$2:U48),$U$2:$U$1001,0),0), INDEX($AB$1004:$AQ$1004,1,MATCH(COLUMNS($AB$1006:AG1006),$AB$1006:$AQ$1006,0)))),"Fix")))</f>
        <v>0</v>
      </c>
      <c r="H48" s="4">
        <f>IF(OR(INDEX($V$2:$V$1001,MATCH(ROWS($U$2:U48),$U$2:$U$1001,0),1)&gt;=100000,INDEX($AB$1005:$AQ$1005,1,MATCH(COLUMNS($AB$1006:AH1006),$AB$1006:$AQ$1006,0))&gt;=100000), " ",IF(INDEX($AB$2:$AQ$1001,MATCH(ROWS($U$2:U48),$U$2:$U$1001,0),MATCH(COLUMNS($AB$1006:AH1006),$AB$1006:$AQ$1006,0)), HYPERLINK("#",""), HYPERLINK(CONCATENATE("#metadata!", ADDRESS(INDEX($W$2:$W$1001,MATCH(ROWS($U$2:U48),$U$2:$U$1001,0),0), INDEX($AB$1004:$AQ$1004,1,MATCH(COLUMNS($AB$1006:AH1006),$AB$1006:$AQ$1006,0)))),"Fix")))</f>
        <v>0</v>
      </c>
      <c r="I48" s="4">
        <f>IF(OR(INDEX($V$2:$V$1001,MATCH(ROWS($U$2:U48),$U$2:$U$1001,0),1)&gt;=100000,INDEX($AB$1005:$AQ$1005,1,MATCH(COLUMNS($AB$1006:AI1006),$AB$1006:$AQ$1006,0))&gt;=100000), " ",IF(INDEX($AB$2:$AQ$1001,MATCH(ROWS($U$2:U48),$U$2:$U$1001,0),MATCH(COLUMNS($AB$1006:AI1006),$AB$1006:$AQ$1006,0)), HYPERLINK("#",""), HYPERLINK(CONCATENATE("#metadata!", ADDRESS(INDEX($W$2:$W$1001,MATCH(ROWS($U$2:U48),$U$2:$U$1001,0),0), INDEX($AB$1004:$AQ$1004,1,MATCH(COLUMNS($AB$1006:AI1006),$AB$1006:$AQ$1006,0)))),"Fix")))</f>
        <v>0</v>
      </c>
      <c r="J48" s="4">
        <f>IF(OR(INDEX($V$2:$V$1001,MATCH(ROWS($U$2:U48),$U$2:$U$1001,0),1)&gt;=100000,INDEX($AB$1005:$AQ$1005,1,MATCH(COLUMNS($AB$1006:AJ1006),$AB$1006:$AQ$1006,0))&gt;=100000), " ",IF(INDEX($AB$2:$AQ$1001,MATCH(ROWS($U$2:U48),$U$2:$U$1001,0),MATCH(COLUMNS($AB$1006:AJ1006),$AB$1006:$AQ$1006,0)), HYPERLINK("#",""), HYPERLINK(CONCATENATE("#metadata!", ADDRESS(INDEX($W$2:$W$1001,MATCH(ROWS($U$2:U48),$U$2:$U$1001,0),0), INDEX($AB$1004:$AQ$1004,1,MATCH(COLUMNS($AB$1006:AJ1006),$AB$1006:$AQ$1006,0)))),"Fix")))</f>
        <v>0</v>
      </c>
      <c r="K48" s="4">
        <f>IF(OR(INDEX($V$2:$V$1001,MATCH(ROWS($U$2:U48),$U$2:$U$1001,0),1)&gt;=100000,INDEX($AB$1005:$AQ$1005,1,MATCH(COLUMNS($AB$1006:AK1006),$AB$1006:$AQ$1006,0))&gt;=100000), " ",IF(INDEX($AB$2:$AQ$1001,MATCH(ROWS($U$2:U48),$U$2:$U$1001,0),MATCH(COLUMNS($AB$1006:AK1006),$AB$1006:$AQ$1006,0)), HYPERLINK("#",""), HYPERLINK(CONCATENATE("#metadata!", ADDRESS(INDEX($W$2:$W$1001,MATCH(ROWS($U$2:U48),$U$2:$U$1001,0),0), INDEX($AB$1004:$AQ$1004,1,MATCH(COLUMNS($AB$1006:AK1006),$AB$1006:$AQ$1006,0)))),"Fix")))</f>
        <v>0</v>
      </c>
      <c r="L48" s="4">
        <f>IF(OR(INDEX($V$2:$V$1001,MATCH(ROWS($U$2:U48),$U$2:$U$1001,0),1)&gt;=100000,INDEX($AB$1005:$AQ$1005,1,MATCH(COLUMNS($AB$1006:AL1006),$AB$1006:$AQ$1006,0))&gt;=100000), " ",IF(INDEX($AB$2:$AQ$1001,MATCH(ROWS($U$2:U48),$U$2:$U$1001,0),MATCH(COLUMNS($AB$1006:AL1006),$AB$1006:$AQ$1006,0)), HYPERLINK("#",""), HYPERLINK(CONCATENATE("#metadata!", ADDRESS(INDEX($W$2:$W$1001,MATCH(ROWS($U$2:U48),$U$2:$U$1001,0),0), INDEX($AB$1004:$AQ$1004,1,MATCH(COLUMNS($AB$1006:AL1006),$AB$1006:$AQ$1006,0)))),"Fix")))</f>
        <v>0</v>
      </c>
      <c r="M48" s="4">
        <f>IF(OR(INDEX($V$2:$V$1001,MATCH(ROWS($U$2:U48),$U$2:$U$1001,0),1)&gt;=100000,INDEX($AB$1005:$AQ$1005,1,MATCH(COLUMNS($AB$1006:AM1006),$AB$1006:$AQ$1006,0))&gt;=100000), " ",IF(INDEX($AB$2:$AQ$1001,MATCH(ROWS($U$2:U48),$U$2:$U$1001,0),MATCH(COLUMNS($AB$1006:AM1006),$AB$1006:$AQ$1006,0)), HYPERLINK("#",""), HYPERLINK(CONCATENATE("#metadata!", ADDRESS(INDEX($W$2:$W$1001,MATCH(ROWS($U$2:U48),$U$2:$U$1001,0),0), INDEX($AB$1004:$AQ$1004,1,MATCH(COLUMNS($AB$1006:AM1006),$AB$1006:$AQ$1006,0)))),"Fix")))</f>
        <v>0</v>
      </c>
      <c r="N48" s="4">
        <f>IF(OR(INDEX($V$2:$V$1001,MATCH(ROWS($U$2:U48),$U$2:$U$1001,0),1)&gt;=100000,INDEX($AB$1005:$AQ$1005,1,MATCH(COLUMNS($AB$1006:AN1006),$AB$1006:$AQ$1006,0))&gt;=100000), " ",IF(INDEX($AB$2:$AQ$1001,MATCH(ROWS($U$2:U48),$U$2:$U$1001,0),MATCH(COLUMNS($AB$1006:AN1006),$AB$1006:$AQ$1006,0)), HYPERLINK("#",""), HYPERLINK(CONCATENATE("#metadata!", ADDRESS(INDEX($W$2:$W$1001,MATCH(ROWS($U$2:U48),$U$2:$U$1001,0),0), INDEX($AB$1004:$AQ$1004,1,MATCH(COLUMNS($AB$1006:AN1006),$AB$1006:$AQ$1006,0)))),"Fix")))</f>
        <v>0</v>
      </c>
      <c r="O48" s="4">
        <f>IF(OR(INDEX($V$2:$V$1001,MATCH(ROWS($U$2:U48),$U$2:$U$1001,0),1)&gt;=100000,INDEX($AB$1005:$AQ$1005,1,MATCH(COLUMNS($AB$1006:AO1006),$AB$1006:$AQ$1006,0))&gt;=100000), " ",IF(INDEX($AB$2:$AQ$1001,MATCH(ROWS($U$2:U48),$U$2:$U$1001,0),MATCH(COLUMNS($AB$1006:AO1006),$AB$1006:$AQ$1006,0)), HYPERLINK("#",""), HYPERLINK(CONCATENATE("#metadata!", ADDRESS(INDEX($W$2:$W$1001,MATCH(ROWS($U$2:U48),$U$2:$U$1001,0),0), INDEX($AB$1004:$AQ$1004,1,MATCH(COLUMNS($AB$1006:AO1006),$AB$1006:$AQ$1006,0)))),"Fix")))</f>
        <v>0</v>
      </c>
      <c r="P48" s="4">
        <f>IF(OR(INDEX($V$2:$V$1001,MATCH(ROWS($U$2:U48),$U$2:$U$1001,0),1)&gt;=100000,INDEX($AB$1005:$AQ$1005,1,MATCH(COLUMNS($AB$1006:AP1006),$AB$1006:$AQ$1006,0))&gt;=100000), " ",IF(INDEX($AB$2:$AQ$1001,MATCH(ROWS($U$2:U48),$U$2:$U$1001,0),MATCH(COLUMNS($AB$1006:AP1006),$AB$1006:$AQ$1006,0)), HYPERLINK("#",""), HYPERLINK(CONCATENATE("#metadata!", ADDRESS(INDEX($W$2:$W$1001,MATCH(ROWS($U$2:U48),$U$2:$U$1001,0),0), INDEX($AB$1004:$AQ$1004,1,MATCH(COLUMNS($AB$1006:AP1006),$AB$1006:$AQ$1006,0)))),"Fix")))</f>
        <v>0</v>
      </c>
      <c r="Q48" s="4">
        <f>IF(OR(INDEX($V$2:$V$1001,MATCH(ROWS($U$2:U48),$U$2:$U$1001,0),1)&gt;=100000,INDEX($AB$1005:$AQ$1005,1,MATCH(COLUMNS($AB$1006:AQ1006),$AB$1006:$AQ$1006,0))&gt;=100000), " ",IF(INDEX($AB$2:$AQ$1001,MATCH(ROWS($U$2:U48),$U$2:$U$1001,0),MATCH(COLUMNS($AB$1006:AQ1006),$AB$1006:$AQ$1006,0)), HYPERLINK("#",""), HYPERLINK(CONCATENATE("#metadata!", ADDRESS(INDEX($W$2:$W$1001,MATCH(ROWS($U$2:U48),$U$2:$U$1001,0),0), INDEX($AB$1004:$AQ$1004,1,MATCH(COLUMNS($AB$1006:AQ1006),$AB$1006:$AQ$1006,0)))),"Fix")))</f>
        <v>0</v>
      </c>
      <c r="U48">
        <v>0</v>
      </c>
      <c r="V48">
        <v>0</v>
      </c>
      <c r="W48">
        <v>0</v>
      </c>
      <c r="X48">
        <f>IF(Y48,TRUE,AND(AB48:AQ48))</f>
        <v>0</v>
      </c>
      <c r="Y48">
        <f>COUNTBLANK(metadata!B48:Q48)=COLUMNS(metadata!B48:Q48)</f>
        <v>0</v>
      </c>
      <c r="Z48">
        <v>0</v>
      </c>
      <c r="AB48">
        <f>AND(IF(metadata!B48="",FALSE,TRUE),COUNTIF(metadata!B:B, metadata!B48) = 1,NOT(ISERROR(SUMPRODUCT(SEARCH(MID(metadata!B48,ROW(INDIRECT("1:"&amp;LEN(metadata!B48))), 1),"0123456789abcdefghijklmnopqrstuvwxyzABCDEFGHIJKLMNOPQRSTUVWXYZ.")))))</f>
        <v>0</v>
      </c>
      <c r="AC48">
        <f>OR(AND(IF(metadata!C48="",FALSE,TRUE),OR(exact(metadata!C48,"missing: not collected"),exact(metadata!C48,"missing: not provided"),exact(metadata!C48,"missing: restricted access"))),AND(IF(metadata!C48="",FALSE,TRUE),AND(AND(IFERROR(INT(LEFT(metadata!C48,4))&gt;1900,FALSE),IFERROR(INT(LEFT(metadata!C48,4))&lt;=YEAR(NOW()),FALSE)), OR(MID(metadata!C48,5,1)="", AND(AND(MID(metadata!C48,5,1)="-",IFERROR(INT(MID(metadata!C48,6,1))&gt;=0,FALSE),IFERROR(INT(MID(metadata!C48,6,1))&lt;=1,FALSE),NOT(MID(metadata!C48,7,1)=""),IFERROR(INT(MID(metadata!C48,6,2))&gt;=1,FALSE),IFERROR(INT(MID(metadata!C48,6,2))&lt;=12,FALSE)), OR(MID(metadata!C48,8,1)="", AND(AND(MID(metadata!C48,8,1)="-",IFERROR(INT(MID(metadata!C48,9,1))&gt;=0,FALSE),IFERROR(INT(MID(metadata!C48,9,1))&lt;=3,FALSE),NOT(MID(metadata!C48,10,1)=""),IFERROR(INT(MID(metadata!C48,9,2))&gt;=1,FALSE),IFERROR(INT(MID(metadata!C48,9,2))&lt;=31,FALSE)), OR(MID(metadata!C48,11,1)="", AND(AND(MID(metadata!C48,11,1)=" ",IFERROR(INT(MID(metadata!C48,12,1))&gt;=0,FALSE),IFERROR(INT(MID(metadata!C48,12,1))&lt;=2,FALSE),NOT(MID(metadata!C48,13,1)=""),IFERROR(INT(MID(metadata!C48,12,2))&gt;=0,FALSE),IFERROR(INT(MID(metadata!C48,12,2))&lt;=23,FALSE)), OR(MID(metadata!C48,14,1)="", AND(AND(MID(metadata!C48,14,1)=":",IFERROR(INT(MID(metadata!C48,15,1))&gt;=0,FALSE),IFERROR(INT(MID(metadata!C48,15,1))&lt;=5,FALSE),NOT(MID(metadata!C48,16,1)=""),IFERROR(INT(MID(metadata!C48,15,2))&gt;=0,FALSE),IFERROR(INT(MID(metadata!C48,15,2))&lt;=59,FALSE)), OR(MID(metadata!C48,17,1)="", AND(AND(MID(metadata!C48,17,1)=":",IFERROR(INT(MID(metadata!C48,18,1))&gt;=0,FALSE),IFERROR(INT(MID(metadata!C48,18,1))&lt;=5,FALSE),NOT(MID(metadata!C48,19,1)=""),IFERROR(INT(MID(metadata!C48,18,2))&gt;=0,FALSE),IFERROR(INT(MID(metadata!C48,18,2))&lt;=59,FALSE)), LEN(metadata!C48)&lt;=19)))))))))))))</f>
        <v>0</v>
      </c>
      <c r="AD48">
        <f>IF(metadata!D48="",FALSE,TRUE)</f>
        <v>0</v>
      </c>
      <c r="AE48">
        <f>OR(AND(IF(metadata!E48="",FALSE,TRUE),OR(exact(metadata!E48,"missing: not collected"),exact(metadata!E48,"missing: not provided"))),AND(IF(metadata!E48="",FALSE,TRUE),OR(exact(metadata!E48,"TRUE"),exact(metadata!E48,"FALSE"))))</f>
        <v>0</v>
      </c>
      <c r="AF48">
        <f>IF(metadata!F48="",FALSE,TRUE)</f>
        <v>0</v>
      </c>
      <c r="AG48">
        <f>IF(metadata!G48="",FALSE,TRUE)</f>
        <v>0</v>
      </c>
      <c r="AH48">
        <f>IF(metadata!H48="",FALSE,TRUE)</f>
        <v>0</v>
      </c>
      <c r="AI48">
        <f>OR(AND(IF(metadata!I48="",FALSE,TRUE),OR(exact(metadata!I48,"missing: not collected"),exact(metadata!I48,"missing: not provided"),exact(metadata!I48,"missing: restricted access"))),AND(IF(metadata!I48="",FALSE,TRUE),OR(exact(metadata!I48,"air"),exact(metadata!I48,"built environment"),exact(metadata!I48,"host-associated"),exact(metadata!I48,"human-associated"),exact(metadata!I48,"human-skin"),exact(metadata!I48,"human-oral"),exact(metadata!I48,"human-gut"),exact(metadata!I48,"human-vaginal"),exact(metadata!I48,"microbial mat/biofilm"),exact(metadata!I48,"misc environment"),exact(metadata!I48,"plant-associated"),exact(metadata!I48,"sediment"),exact(metadata!I48,"soil"),exact(metadata!I48,"wastewater/sludge"),exact(metadata!I48,"water"))))</f>
        <v>0</v>
      </c>
      <c r="AJ48">
        <f>IF(metadata!J48="",FALSE,TRUE)</f>
        <v>0</v>
      </c>
      <c r="AK48">
        <f>OR(AND(IF(metadata!K48="",FALSE,TRUE),OR(exact(metadata!K48,"missing: not collected"),exact(metadata!K48,"missing: not provided"),exact(metadata!K48,"missing: restricted access"))),AND(IF(metadata!K48="",FALSE,ISNUMBER(VALUE(metadata!K48))),metadata!K48&gt;=-90.00,metadata!K48&lt;=90.00))</f>
        <v>0</v>
      </c>
      <c r="AL48">
        <f>OR(AND(IF(metadata!L48="",FALSE,TRUE),OR(exact(metadata!L48,"missing: not collected"),exact(metadata!L48,"missing: not provided"),exact(metadata!L48,"missing: restricted access"))),AND(IF(metadata!L48="",FALSE,ISNUMBER(VALUE(metadata!L48))),metadata!L48&gt;=-180.00,metadata!L48&lt;=180.00))</f>
        <v>0</v>
      </c>
      <c r="AM48">
        <f>IF(metadata!M48="",FALSE,TRUE)</f>
        <v>0</v>
      </c>
      <c r="AN48">
        <f>OR(AND(IF(metadata!N48="",FALSE,TRUE),OR(exact(metadata!N48,"missing: not collected"),exact(metadata!N48,"missing: not provided"),exact(metadata!N48,"missing: restricted access"))),AND(IF(metadata!N48="",FALSE,TRUE),OR(exact(metadata!N48,"TRUE"),exact(metadata!N48,"FALSE"))))</f>
        <v>0</v>
      </c>
      <c r="AO48">
        <f>IF(metadata!O48="",FALSE,TRUE)</f>
        <v>0</v>
      </c>
      <c r="AP48">
        <f>OR(AND(IF(metadata!P48="",FALSE,TRUE),OR(exact(metadata!P48,"missing: not collected"),exact(metadata!P48,"missing: not provided"))),AND(IF(metadata!P48="",FALSE,IF(ISERROR(INT(metadata!P48)),FALSE,INT(metadata!P48)=metadata!P48)),metadata!P48&gt;0))</f>
        <v>0</v>
      </c>
      <c r="AQ48">
        <f>IF(metadata!Q48="",FALSE,TRUE)</f>
        <v>0</v>
      </c>
    </row>
    <row r="49" spans="1:43">
      <c r="A49" s="5">
        <f>IF(B49=" "," ",HYPERLINK(CONCATENATE("#metadata!",ADDRESS(INDEX($W$2:$W$1001,MATCH(ROWS($U$2:U49),$U$2:$U$1001,0),0),1)),INDEX($Z$2:$Z$1001,MATCH(ROWS($U$2:U49),$U$2:$U$1001,0),0)))</f>
        <v>0</v>
      </c>
      <c r="B49" s="4">
        <f>IF(OR(INDEX($V$2:$V$1001,MATCH(ROWS($U$2:U49),$U$2:$U$1001,0),1)&gt;=100000,INDEX($AB$1005:$AQ$1005,1,MATCH(COLUMNS($AB$1006:AB1006),$AB$1006:$AQ$1006,0))&gt;=100000), " ",IF(INDEX($AB$2:$AQ$1001,MATCH(ROWS($U$2:U49),$U$2:$U$1001,0),MATCH(COLUMNS($AB$1006:AB1006),$AB$1006:$AQ$1006,0)), HYPERLINK("#",""), HYPERLINK(CONCATENATE("#metadata!", ADDRESS(INDEX($W$2:$W$1001,MATCH(ROWS($U$2:U49),$U$2:$U$1001,0),0), INDEX($AB$1004:$AQ$1004,1,MATCH(COLUMNS($AB$1006:AB1006),$AB$1006:$AQ$1006,0)))),"Fix")))</f>
        <v>0</v>
      </c>
      <c r="C49" s="4">
        <f>IF(OR(INDEX($V$2:$V$1001,MATCH(ROWS($U$2:U49),$U$2:$U$1001,0),1)&gt;=100000,INDEX($AB$1005:$AQ$1005,1,MATCH(COLUMNS($AB$1006:AC1006),$AB$1006:$AQ$1006,0))&gt;=100000), " ",IF(INDEX($AB$2:$AQ$1001,MATCH(ROWS($U$2:U49),$U$2:$U$1001,0),MATCH(COLUMNS($AB$1006:AC1006),$AB$1006:$AQ$1006,0)), HYPERLINK("#",""), HYPERLINK(CONCATENATE("#metadata!", ADDRESS(INDEX($W$2:$W$1001,MATCH(ROWS($U$2:U49),$U$2:$U$1001,0),0), INDEX($AB$1004:$AQ$1004,1,MATCH(COLUMNS($AB$1006:AC1006),$AB$1006:$AQ$1006,0)))),"Fix")))</f>
        <v>0</v>
      </c>
      <c r="D49" s="4">
        <f>IF(OR(INDEX($V$2:$V$1001,MATCH(ROWS($U$2:U49),$U$2:$U$1001,0),1)&gt;=100000,INDEX($AB$1005:$AQ$1005,1,MATCH(COLUMNS($AB$1006:AD1006),$AB$1006:$AQ$1006,0))&gt;=100000), " ",IF(INDEX($AB$2:$AQ$1001,MATCH(ROWS($U$2:U49),$U$2:$U$1001,0),MATCH(COLUMNS($AB$1006:AD1006),$AB$1006:$AQ$1006,0)), HYPERLINK("#",""), HYPERLINK(CONCATENATE("#metadata!", ADDRESS(INDEX($W$2:$W$1001,MATCH(ROWS($U$2:U49),$U$2:$U$1001,0),0), INDEX($AB$1004:$AQ$1004,1,MATCH(COLUMNS($AB$1006:AD1006),$AB$1006:$AQ$1006,0)))),"Fix")))</f>
        <v>0</v>
      </c>
      <c r="E49" s="4">
        <f>IF(OR(INDEX($V$2:$V$1001,MATCH(ROWS($U$2:U49),$U$2:$U$1001,0),1)&gt;=100000,INDEX($AB$1005:$AQ$1005,1,MATCH(COLUMNS($AB$1006:AE1006),$AB$1006:$AQ$1006,0))&gt;=100000), " ",IF(INDEX($AB$2:$AQ$1001,MATCH(ROWS($U$2:U49),$U$2:$U$1001,0),MATCH(COLUMNS($AB$1006:AE1006),$AB$1006:$AQ$1006,0)), HYPERLINK("#",""), HYPERLINK(CONCATENATE("#metadata!", ADDRESS(INDEX($W$2:$W$1001,MATCH(ROWS($U$2:U49),$U$2:$U$1001,0),0), INDEX($AB$1004:$AQ$1004,1,MATCH(COLUMNS($AB$1006:AE1006),$AB$1006:$AQ$1006,0)))),"Fix")))</f>
        <v>0</v>
      </c>
      <c r="F49" s="4">
        <f>IF(OR(INDEX($V$2:$V$1001,MATCH(ROWS($U$2:U49),$U$2:$U$1001,0),1)&gt;=100000,INDEX($AB$1005:$AQ$1005,1,MATCH(COLUMNS($AB$1006:AF1006),$AB$1006:$AQ$1006,0))&gt;=100000), " ",IF(INDEX($AB$2:$AQ$1001,MATCH(ROWS($U$2:U49),$U$2:$U$1001,0),MATCH(COLUMNS($AB$1006:AF1006),$AB$1006:$AQ$1006,0)), HYPERLINK("#",""), HYPERLINK(CONCATENATE("#metadata!", ADDRESS(INDEX($W$2:$W$1001,MATCH(ROWS($U$2:U49),$U$2:$U$1001,0),0), INDEX($AB$1004:$AQ$1004,1,MATCH(COLUMNS($AB$1006:AF1006),$AB$1006:$AQ$1006,0)))),"Fix")))</f>
        <v>0</v>
      </c>
      <c r="G49" s="4">
        <f>IF(OR(INDEX($V$2:$V$1001,MATCH(ROWS($U$2:U49),$U$2:$U$1001,0),1)&gt;=100000,INDEX($AB$1005:$AQ$1005,1,MATCH(COLUMNS($AB$1006:AG1006),$AB$1006:$AQ$1006,0))&gt;=100000), " ",IF(INDEX($AB$2:$AQ$1001,MATCH(ROWS($U$2:U49),$U$2:$U$1001,0),MATCH(COLUMNS($AB$1006:AG1006),$AB$1006:$AQ$1006,0)), HYPERLINK("#",""), HYPERLINK(CONCATENATE("#metadata!", ADDRESS(INDEX($W$2:$W$1001,MATCH(ROWS($U$2:U49),$U$2:$U$1001,0),0), INDEX($AB$1004:$AQ$1004,1,MATCH(COLUMNS($AB$1006:AG1006),$AB$1006:$AQ$1006,0)))),"Fix")))</f>
        <v>0</v>
      </c>
      <c r="H49" s="4">
        <f>IF(OR(INDEX($V$2:$V$1001,MATCH(ROWS($U$2:U49),$U$2:$U$1001,0),1)&gt;=100000,INDEX($AB$1005:$AQ$1005,1,MATCH(COLUMNS($AB$1006:AH1006),$AB$1006:$AQ$1006,0))&gt;=100000), " ",IF(INDEX($AB$2:$AQ$1001,MATCH(ROWS($U$2:U49),$U$2:$U$1001,0),MATCH(COLUMNS($AB$1006:AH1006),$AB$1006:$AQ$1006,0)), HYPERLINK("#",""), HYPERLINK(CONCATENATE("#metadata!", ADDRESS(INDEX($W$2:$W$1001,MATCH(ROWS($U$2:U49),$U$2:$U$1001,0),0), INDEX($AB$1004:$AQ$1004,1,MATCH(COLUMNS($AB$1006:AH1006),$AB$1006:$AQ$1006,0)))),"Fix")))</f>
        <v>0</v>
      </c>
      <c r="I49" s="4">
        <f>IF(OR(INDEX($V$2:$V$1001,MATCH(ROWS($U$2:U49),$U$2:$U$1001,0),1)&gt;=100000,INDEX($AB$1005:$AQ$1005,1,MATCH(COLUMNS($AB$1006:AI1006),$AB$1006:$AQ$1006,0))&gt;=100000), " ",IF(INDEX($AB$2:$AQ$1001,MATCH(ROWS($U$2:U49),$U$2:$U$1001,0),MATCH(COLUMNS($AB$1006:AI1006),$AB$1006:$AQ$1006,0)), HYPERLINK("#",""), HYPERLINK(CONCATENATE("#metadata!", ADDRESS(INDEX($W$2:$W$1001,MATCH(ROWS($U$2:U49),$U$2:$U$1001,0),0), INDEX($AB$1004:$AQ$1004,1,MATCH(COLUMNS($AB$1006:AI1006),$AB$1006:$AQ$1006,0)))),"Fix")))</f>
        <v>0</v>
      </c>
      <c r="J49" s="4">
        <f>IF(OR(INDEX($V$2:$V$1001,MATCH(ROWS($U$2:U49),$U$2:$U$1001,0),1)&gt;=100000,INDEX($AB$1005:$AQ$1005,1,MATCH(COLUMNS($AB$1006:AJ1006),$AB$1006:$AQ$1006,0))&gt;=100000), " ",IF(INDEX($AB$2:$AQ$1001,MATCH(ROWS($U$2:U49),$U$2:$U$1001,0),MATCH(COLUMNS($AB$1006:AJ1006),$AB$1006:$AQ$1006,0)), HYPERLINK("#",""), HYPERLINK(CONCATENATE("#metadata!", ADDRESS(INDEX($W$2:$W$1001,MATCH(ROWS($U$2:U49),$U$2:$U$1001,0),0), INDEX($AB$1004:$AQ$1004,1,MATCH(COLUMNS($AB$1006:AJ1006),$AB$1006:$AQ$1006,0)))),"Fix")))</f>
        <v>0</v>
      </c>
      <c r="K49" s="4">
        <f>IF(OR(INDEX($V$2:$V$1001,MATCH(ROWS($U$2:U49),$U$2:$U$1001,0),1)&gt;=100000,INDEX($AB$1005:$AQ$1005,1,MATCH(COLUMNS($AB$1006:AK1006),$AB$1006:$AQ$1006,0))&gt;=100000), " ",IF(INDEX($AB$2:$AQ$1001,MATCH(ROWS($U$2:U49),$U$2:$U$1001,0),MATCH(COLUMNS($AB$1006:AK1006),$AB$1006:$AQ$1006,0)), HYPERLINK("#",""), HYPERLINK(CONCATENATE("#metadata!", ADDRESS(INDEX($W$2:$W$1001,MATCH(ROWS($U$2:U49),$U$2:$U$1001,0),0), INDEX($AB$1004:$AQ$1004,1,MATCH(COLUMNS($AB$1006:AK1006),$AB$1006:$AQ$1006,0)))),"Fix")))</f>
        <v>0</v>
      </c>
      <c r="L49" s="4">
        <f>IF(OR(INDEX($V$2:$V$1001,MATCH(ROWS($U$2:U49),$U$2:$U$1001,0),1)&gt;=100000,INDEX($AB$1005:$AQ$1005,1,MATCH(COLUMNS($AB$1006:AL1006),$AB$1006:$AQ$1006,0))&gt;=100000), " ",IF(INDEX($AB$2:$AQ$1001,MATCH(ROWS($U$2:U49),$U$2:$U$1001,0),MATCH(COLUMNS($AB$1006:AL1006),$AB$1006:$AQ$1006,0)), HYPERLINK("#",""), HYPERLINK(CONCATENATE("#metadata!", ADDRESS(INDEX($W$2:$W$1001,MATCH(ROWS($U$2:U49),$U$2:$U$1001,0),0), INDEX($AB$1004:$AQ$1004,1,MATCH(COLUMNS($AB$1006:AL1006),$AB$1006:$AQ$1006,0)))),"Fix")))</f>
        <v>0</v>
      </c>
      <c r="M49" s="4">
        <f>IF(OR(INDEX($V$2:$V$1001,MATCH(ROWS($U$2:U49),$U$2:$U$1001,0),1)&gt;=100000,INDEX($AB$1005:$AQ$1005,1,MATCH(COLUMNS($AB$1006:AM1006),$AB$1006:$AQ$1006,0))&gt;=100000), " ",IF(INDEX($AB$2:$AQ$1001,MATCH(ROWS($U$2:U49),$U$2:$U$1001,0),MATCH(COLUMNS($AB$1006:AM1006),$AB$1006:$AQ$1006,0)), HYPERLINK("#",""), HYPERLINK(CONCATENATE("#metadata!", ADDRESS(INDEX($W$2:$W$1001,MATCH(ROWS($U$2:U49),$U$2:$U$1001,0),0), INDEX($AB$1004:$AQ$1004,1,MATCH(COLUMNS($AB$1006:AM1006),$AB$1006:$AQ$1006,0)))),"Fix")))</f>
        <v>0</v>
      </c>
      <c r="N49" s="4">
        <f>IF(OR(INDEX($V$2:$V$1001,MATCH(ROWS($U$2:U49),$U$2:$U$1001,0),1)&gt;=100000,INDEX($AB$1005:$AQ$1005,1,MATCH(COLUMNS($AB$1006:AN1006),$AB$1006:$AQ$1006,0))&gt;=100000), " ",IF(INDEX($AB$2:$AQ$1001,MATCH(ROWS($U$2:U49),$U$2:$U$1001,0),MATCH(COLUMNS($AB$1006:AN1006),$AB$1006:$AQ$1006,0)), HYPERLINK("#",""), HYPERLINK(CONCATENATE("#metadata!", ADDRESS(INDEX($W$2:$W$1001,MATCH(ROWS($U$2:U49),$U$2:$U$1001,0),0), INDEX($AB$1004:$AQ$1004,1,MATCH(COLUMNS($AB$1006:AN1006),$AB$1006:$AQ$1006,0)))),"Fix")))</f>
        <v>0</v>
      </c>
      <c r="O49" s="4">
        <f>IF(OR(INDEX($V$2:$V$1001,MATCH(ROWS($U$2:U49),$U$2:$U$1001,0),1)&gt;=100000,INDEX($AB$1005:$AQ$1005,1,MATCH(COLUMNS($AB$1006:AO1006),$AB$1006:$AQ$1006,0))&gt;=100000), " ",IF(INDEX($AB$2:$AQ$1001,MATCH(ROWS($U$2:U49),$U$2:$U$1001,0),MATCH(COLUMNS($AB$1006:AO1006),$AB$1006:$AQ$1006,0)), HYPERLINK("#",""), HYPERLINK(CONCATENATE("#metadata!", ADDRESS(INDEX($W$2:$W$1001,MATCH(ROWS($U$2:U49),$U$2:$U$1001,0),0), INDEX($AB$1004:$AQ$1004,1,MATCH(COLUMNS($AB$1006:AO1006),$AB$1006:$AQ$1006,0)))),"Fix")))</f>
        <v>0</v>
      </c>
      <c r="P49" s="4">
        <f>IF(OR(INDEX($V$2:$V$1001,MATCH(ROWS($U$2:U49),$U$2:$U$1001,0),1)&gt;=100000,INDEX($AB$1005:$AQ$1005,1,MATCH(COLUMNS($AB$1006:AP1006),$AB$1006:$AQ$1006,0))&gt;=100000), " ",IF(INDEX($AB$2:$AQ$1001,MATCH(ROWS($U$2:U49),$U$2:$U$1001,0),MATCH(COLUMNS($AB$1006:AP1006),$AB$1006:$AQ$1006,0)), HYPERLINK("#",""), HYPERLINK(CONCATENATE("#metadata!", ADDRESS(INDEX($W$2:$W$1001,MATCH(ROWS($U$2:U49),$U$2:$U$1001,0),0), INDEX($AB$1004:$AQ$1004,1,MATCH(COLUMNS($AB$1006:AP1006),$AB$1006:$AQ$1006,0)))),"Fix")))</f>
        <v>0</v>
      </c>
      <c r="Q49" s="4">
        <f>IF(OR(INDEX($V$2:$V$1001,MATCH(ROWS($U$2:U49),$U$2:$U$1001,0),1)&gt;=100000,INDEX($AB$1005:$AQ$1005,1,MATCH(COLUMNS($AB$1006:AQ1006),$AB$1006:$AQ$1006,0))&gt;=100000), " ",IF(INDEX($AB$2:$AQ$1001,MATCH(ROWS($U$2:U49),$U$2:$U$1001,0),MATCH(COLUMNS($AB$1006:AQ1006),$AB$1006:$AQ$1006,0)), HYPERLINK("#",""), HYPERLINK(CONCATENATE("#metadata!", ADDRESS(INDEX($W$2:$W$1001,MATCH(ROWS($U$2:U49),$U$2:$U$1001,0),0), INDEX($AB$1004:$AQ$1004,1,MATCH(COLUMNS($AB$1006:AQ1006),$AB$1006:$AQ$1006,0)))),"Fix")))</f>
        <v>0</v>
      </c>
      <c r="U49">
        <v>0</v>
      </c>
      <c r="V49">
        <v>0</v>
      </c>
      <c r="W49">
        <v>0</v>
      </c>
      <c r="X49">
        <f>IF(Y49,TRUE,AND(AB49:AQ49))</f>
        <v>0</v>
      </c>
      <c r="Y49">
        <f>COUNTBLANK(metadata!B49:Q49)=COLUMNS(metadata!B49:Q49)</f>
        <v>0</v>
      </c>
      <c r="Z49">
        <v>0</v>
      </c>
      <c r="AB49">
        <f>AND(IF(metadata!B49="",FALSE,TRUE),COUNTIF(metadata!B:B, metadata!B49) = 1,NOT(ISERROR(SUMPRODUCT(SEARCH(MID(metadata!B49,ROW(INDIRECT("1:"&amp;LEN(metadata!B49))), 1),"0123456789abcdefghijklmnopqrstuvwxyzABCDEFGHIJKLMNOPQRSTUVWXYZ.")))))</f>
        <v>0</v>
      </c>
      <c r="AC49">
        <f>OR(AND(IF(metadata!C49="",FALSE,TRUE),OR(exact(metadata!C49,"missing: not collected"),exact(metadata!C49,"missing: not provided"),exact(metadata!C49,"missing: restricted access"))),AND(IF(metadata!C49="",FALSE,TRUE),AND(AND(IFERROR(INT(LEFT(metadata!C49,4))&gt;1900,FALSE),IFERROR(INT(LEFT(metadata!C49,4))&lt;=YEAR(NOW()),FALSE)), OR(MID(metadata!C49,5,1)="", AND(AND(MID(metadata!C49,5,1)="-",IFERROR(INT(MID(metadata!C49,6,1))&gt;=0,FALSE),IFERROR(INT(MID(metadata!C49,6,1))&lt;=1,FALSE),NOT(MID(metadata!C49,7,1)=""),IFERROR(INT(MID(metadata!C49,6,2))&gt;=1,FALSE),IFERROR(INT(MID(metadata!C49,6,2))&lt;=12,FALSE)), OR(MID(metadata!C49,8,1)="", AND(AND(MID(metadata!C49,8,1)="-",IFERROR(INT(MID(metadata!C49,9,1))&gt;=0,FALSE),IFERROR(INT(MID(metadata!C49,9,1))&lt;=3,FALSE),NOT(MID(metadata!C49,10,1)=""),IFERROR(INT(MID(metadata!C49,9,2))&gt;=1,FALSE),IFERROR(INT(MID(metadata!C49,9,2))&lt;=31,FALSE)), OR(MID(metadata!C49,11,1)="", AND(AND(MID(metadata!C49,11,1)=" ",IFERROR(INT(MID(metadata!C49,12,1))&gt;=0,FALSE),IFERROR(INT(MID(metadata!C49,12,1))&lt;=2,FALSE),NOT(MID(metadata!C49,13,1)=""),IFERROR(INT(MID(metadata!C49,12,2))&gt;=0,FALSE),IFERROR(INT(MID(metadata!C49,12,2))&lt;=23,FALSE)), OR(MID(metadata!C49,14,1)="", AND(AND(MID(metadata!C49,14,1)=":",IFERROR(INT(MID(metadata!C49,15,1))&gt;=0,FALSE),IFERROR(INT(MID(metadata!C49,15,1))&lt;=5,FALSE),NOT(MID(metadata!C49,16,1)=""),IFERROR(INT(MID(metadata!C49,15,2))&gt;=0,FALSE),IFERROR(INT(MID(metadata!C49,15,2))&lt;=59,FALSE)), OR(MID(metadata!C49,17,1)="", AND(AND(MID(metadata!C49,17,1)=":",IFERROR(INT(MID(metadata!C49,18,1))&gt;=0,FALSE),IFERROR(INT(MID(metadata!C49,18,1))&lt;=5,FALSE),NOT(MID(metadata!C49,19,1)=""),IFERROR(INT(MID(metadata!C49,18,2))&gt;=0,FALSE),IFERROR(INT(MID(metadata!C49,18,2))&lt;=59,FALSE)), LEN(metadata!C49)&lt;=19)))))))))))))</f>
        <v>0</v>
      </c>
      <c r="AD49">
        <f>IF(metadata!D49="",FALSE,TRUE)</f>
        <v>0</v>
      </c>
      <c r="AE49">
        <f>OR(AND(IF(metadata!E49="",FALSE,TRUE),OR(exact(metadata!E49,"missing: not collected"),exact(metadata!E49,"missing: not provided"))),AND(IF(metadata!E49="",FALSE,TRUE),OR(exact(metadata!E49,"TRUE"),exact(metadata!E49,"FALSE"))))</f>
        <v>0</v>
      </c>
      <c r="AF49">
        <f>IF(metadata!F49="",FALSE,TRUE)</f>
        <v>0</v>
      </c>
      <c r="AG49">
        <f>IF(metadata!G49="",FALSE,TRUE)</f>
        <v>0</v>
      </c>
      <c r="AH49">
        <f>IF(metadata!H49="",FALSE,TRUE)</f>
        <v>0</v>
      </c>
      <c r="AI49">
        <f>OR(AND(IF(metadata!I49="",FALSE,TRUE),OR(exact(metadata!I49,"missing: not collected"),exact(metadata!I49,"missing: not provided"),exact(metadata!I49,"missing: restricted access"))),AND(IF(metadata!I49="",FALSE,TRUE),OR(exact(metadata!I49,"air"),exact(metadata!I49,"built environment"),exact(metadata!I49,"host-associated"),exact(metadata!I49,"human-associated"),exact(metadata!I49,"human-skin"),exact(metadata!I49,"human-oral"),exact(metadata!I49,"human-gut"),exact(metadata!I49,"human-vaginal"),exact(metadata!I49,"microbial mat/biofilm"),exact(metadata!I49,"misc environment"),exact(metadata!I49,"plant-associated"),exact(metadata!I49,"sediment"),exact(metadata!I49,"soil"),exact(metadata!I49,"wastewater/sludge"),exact(metadata!I49,"water"))))</f>
        <v>0</v>
      </c>
      <c r="AJ49">
        <f>IF(metadata!J49="",FALSE,TRUE)</f>
        <v>0</v>
      </c>
      <c r="AK49">
        <f>OR(AND(IF(metadata!K49="",FALSE,TRUE),OR(exact(metadata!K49,"missing: not collected"),exact(metadata!K49,"missing: not provided"),exact(metadata!K49,"missing: restricted access"))),AND(IF(metadata!K49="",FALSE,ISNUMBER(VALUE(metadata!K49))),metadata!K49&gt;=-90.00,metadata!K49&lt;=90.00))</f>
        <v>0</v>
      </c>
      <c r="AL49">
        <f>OR(AND(IF(metadata!L49="",FALSE,TRUE),OR(exact(metadata!L49,"missing: not collected"),exact(metadata!L49,"missing: not provided"),exact(metadata!L49,"missing: restricted access"))),AND(IF(metadata!L49="",FALSE,ISNUMBER(VALUE(metadata!L49))),metadata!L49&gt;=-180.00,metadata!L49&lt;=180.00))</f>
        <v>0</v>
      </c>
      <c r="AM49">
        <f>IF(metadata!M49="",FALSE,TRUE)</f>
        <v>0</v>
      </c>
      <c r="AN49">
        <f>OR(AND(IF(metadata!N49="",FALSE,TRUE),OR(exact(metadata!N49,"missing: not collected"),exact(metadata!N49,"missing: not provided"),exact(metadata!N49,"missing: restricted access"))),AND(IF(metadata!N49="",FALSE,TRUE),OR(exact(metadata!N49,"TRUE"),exact(metadata!N49,"FALSE"))))</f>
        <v>0</v>
      </c>
      <c r="AO49">
        <f>IF(metadata!O49="",FALSE,TRUE)</f>
        <v>0</v>
      </c>
      <c r="AP49">
        <f>OR(AND(IF(metadata!P49="",FALSE,TRUE),OR(exact(metadata!P49,"missing: not collected"),exact(metadata!P49,"missing: not provided"))),AND(IF(metadata!P49="",FALSE,IF(ISERROR(INT(metadata!P49)),FALSE,INT(metadata!P49)=metadata!P49)),metadata!P49&gt;0))</f>
        <v>0</v>
      </c>
      <c r="AQ49">
        <f>IF(metadata!Q49="",FALSE,TRUE)</f>
        <v>0</v>
      </c>
    </row>
    <row r="50" spans="1:43">
      <c r="A50" s="5">
        <f>IF(B50=" "," ",HYPERLINK(CONCATENATE("#metadata!",ADDRESS(INDEX($W$2:$W$1001,MATCH(ROWS($U$2:U50),$U$2:$U$1001,0),0),1)),INDEX($Z$2:$Z$1001,MATCH(ROWS($U$2:U50),$U$2:$U$1001,0),0)))</f>
        <v>0</v>
      </c>
      <c r="B50" s="4">
        <f>IF(OR(INDEX($V$2:$V$1001,MATCH(ROWS($U$2:U50),$U$2:$U$1001,0),1)&gt;=100000,INDEX($AB$1005:$AQ$1005,1,MATCH(COLUMNS($AB$1006:AB1006),$AB$1006:$AQ$1006,0))&gt;=100000), " ",IF(INDEX($AB$2:$AQ$1001,MATCH(ROWS($U$2:U50),$U$2:$U$1001,0),MATCH(COLUMNS($AB$1006:AB1006),$AB$1006:$AQ$1006,0)), HYPERLINK("#",""), HYPERLINK(CONCATENATE("#metadata!", ADDRESS(INDEX($W$2:$W$1001,MATCH(ROWS($U$2:U50),$U$2:$U$1001,0),0), INDEX($AB$1004:$AQ$1004,1,MATCH(COLUMNS($AB$1006:AB1006),$AB$1006:$AQ$1006,0)))),"Fix")))</f>
        <v>0</v>
      </c>
      <c r="C50" s="4">
        <f>IF(OR(INDEX($V$2:$V$1001,MATCH(ROWS($U$2:U50),$U$2:$U$1001,0),1)&gt;=100000,INDEX($AB$1005:$AQ$1005,1,MATCH(COLUMNS($AB$1006:AC1006),$AB$1006:$AQ$1006,0))&gt;=100000), " ",IF(INDEX($AB$2:$AQ$1001,MATCH(ROWS($U$2:U50),$U$2:$U$1001,0),MATCH(COLUMNS($AB$1006:AC1006),$AB$1006:$AQ$1006,0)), HYPERLINK("#",""), HYPERLINK(CONCATENATE("#metadata!", ADDRESS(INDEX($W$2:$W$1001,MATCH(ROWS($U$2:U50),$U$2:$U$1001,0),0), INDEX($AB$1004:$AQ$1004,1,MATCH(COLUMNS($AB$1006:AC1006),$AB$1006:$AQ$1006,0)))),"Fix")))</f>
        <v>0</v>
      </c>
      <c r="D50" s="4">
        <f>IF(OR(INDEX($V$2:$V$1001,MATCH(ROWS($U$2:U50),$U$2:$U$1001,0),1)&gt;=100000,INDEX($AB$1005:$AQ$1005,1,MATCH(COLUMNS($AB$1006:AD1006),$AB$1006:$AQ$1006,0))&gt;=100000), " ",IF(INDEX($AB$2:$AQ$1001,MATCH(ROWS($U$2:U50),$U$2:$U$1001,0),MATCH(COLUMNS($AB$1006:AD1006),$AB$1006:$AQ$1006,0)), HYPERLINK("#",""), HYPERLINK(CONCATENATE("#metadata!", ADDRESS(INDEX($W$2:$W$1001,MATCH(ROWS($U$2:U50),$U$2:$U$1001,0),0), INDEX($AB$1004:$AQ$1004,1,MATCH(COLUMNS($AB$1006:AD1006),$AB$1006:$AQ$1006,0)))),"Fix")))</f>
        <v>0</v>
      </c>
      <c r="E50" s="4">
        <f>IF(OR(INDEX($V$2:$V$1001,MATCH(ROWS($U$2:U50),$U$2:$U$1001,0),1)&gt;=100000,INDEX($AB$1005:$AQ$1005,1,MATCH(COLUMNS($AB$1006:AE1006),$AB$1006:$AQ$1006,0))&gt;=100000), " ",IF(INDEX($AB$2:$AQ$1001,MATCH(ROWS($U$2:U50),$U$2:$U$1001,0),MATCH(COLUMNS($AB$1006:AE1006),$AB$1006:$AQ$1006,0)), HYPERLINK("#",""), HYPERLINK(CONCATENATE("#metadata!", ADDRESS(INDEX($W$2:$W$1001,MATCH(ROWS($U$2:U50),$U$2:$U$1001,0),0), INDEX($AB$1004:$AQ$1004,1,MATCH(COLUMNS($AB$1006:AE1006),$AB$1006:$AQ$1006,0)))),"Fix")))</f>
        <v>0</v>
      </c>
      <c r="F50" s="4">
        <f>IF(OR(INDEX($V$2:$V$1001,MATCH(ROWS($U$2:U50),$U$2:$U$1001,0),1)&gt;=100000,INDEX($AB$1005:$AQ$1005,1,MATCH(COLUMNS($AB$1006:AF1006),$AB$1006:$AQ$1006,0))&gt;=100000), " ",IF(INDEX($AB$2:$AQ$1001,MATCH(ROWS($U$2:U50),$U$2:$U$1001,0),MATCH(COLUMNS($AB$1006:AF1006),$AB$1006:$AQ$1006,0)), HYPERLINK("#",""), HYPERLINK(CONCATENATE("#metadata!", ADDRESS(INDEX($W$2:$W$1001,MATCH(ROWS($U$2:U50),$U$2:$U$1001,0),0), INDEX($AB$1004:$AQ$1004,1,MATCH(COLUMNS($AB$1006:AF1006),$AB$1006:$AQ$1006,0)))),"Fix")))</f>
        <v>0</v>
      </c>
      <c r="G50" s="4">
        <f>IF(OR(INDEX($V$2:$V$1001,MATCH(ROWS($U$2:U50),$U$2:$U$1001,0),1)&gt;=100000,INDEX($AB$1005:$AQ$1005,1,MATCH(COLUMNS($AB$1006:AG1006),$AB$1006:$AQ$1006,0))&gt;=100000), " ",IF(INDEX($AB$2:$AQ$1001,MATCH(ROWS($U$2:U50),$U$2:$U$1001,0),MATCH(COLUMNS($AB$1006:AG1006),$AB$1006:$AQ$1006,0)), HYPERLINK("#",""), HYPERLINK(CONCATENATE("#metadata!", ADDRESS(INDEX($W$2:$W$1001,MATCH(ROWS($U$2:U50),$U$2:$U$1001,0),0), INDEX($AB$1004:$AQ$1004,1,MATCH(COLUMNS($AB$1006:AG1006),$AB$1006:$AQ$1006,0)))),"Fix")))</f>
        <v>0</v>
      </c>
      <c r="H50" s="4">
        <f>IF(OR(INDEX($V$2:$V$1001,MATCH(ROWS($U$2:U50),$U$2:$U$1001,0),1)&gt;=100000,INDEX($AB$1005:$AQ$1005,1,MATCH(COLUMNS($AB$1006:AH1006),$AB$1006:$AQ$1006,0))&gt;=100000), " ",IF(INDEX($AB$2:$AQ$1001,MATCH(ROWS($U$2:U50),$U$2:$U$1001,0),MATCH(COLUMNS($AB$1006:AH1006),$AB$1006:$AQ$1006,0)), HYPERLINK("#",""), HYPERLINK(CONCATENATE("#metadata!", ADDRESS(INDEX($W$2:$W$1001,MATCH(ROWS($U$2:U50),$U$2:$U$1001,0),0), INDEX($AB$1004:$AQ$1004,1,MATCH(COLUMNS($AB$1006:AH1006),$AB$1006:$AQ$1006,0)))),"Fix")))</f>
        <v>0</v>
      </c>
      <c r="I50" s="4">
        <f>IF(OR(INDEX($V$2:$V$1001,MATCH(ROWS($U$2:U50),$U$2:$U$1001,0),1)&gt;=100000,INDEX($AB$1005:$AQ$1005,1,MATCH(COLUMNS($AB$1006:AI1006),$AB$1006:$AQ$1006,0))&gt;=100000), " ",IF(INDEX($AB$2:$AQ$1001,MATCH(ROWS($U$2:U50),$U$2:$U$1001,0),MATCH(COLUMNS($AB$1006:AI1006),$AB$1006:$AQ$1006,0)), HYPERLINK("#",""), HYPERLINK(CONCATENATE("#metadata!", ADDRESS(INDEX($W$2:$W$1001,MATCH(ROWS($U$2:U50),$U$2:$U$1001,0),0), INDEX($AB$1004:$AQ$1004,1,MATCH(COLUMNS($AB$1006:AI1006),$AB$1006:$AQ$1006,0)))),"Fix")))</f>
        <v>0</v>
      </c>
      <c r="J50" s="4">
        <f>IF(OR(INDEX($V$2:$V$1001,MATCH(ROWS($U$2:U50),$U$2:$U$1001,0),1)&gt;=100000,INDEX($AB$1005:$AQ$1005,1,MATCH(COLUMNS($AB$1006:AJ1006),$AB$1006:$AQ$1006,0))&gt;=100000), " ",IF(INDEX($AB$2:$AQ$1001,MATCH(ROWS($U$2:U50),$U$2:$U$1001,0),MATCH(COLUMNS($AB$1006:AJ1006),$AB$1006:$AQ$1006,0)), HYPERLINK("#",""), HYPERLINK(CONCATENATE("#metadata!", ADDRESS(INDEX($W$2:$W$1001,MATCH(ROWS($U$2:U50),$U$2:$U$1001,0),0), INDEX($AB$1004:$AQ$1004,1,MATCH(COLUMNS($AB$1006:AJ1006),$AB$1006:$AQ$1006,0)))),"Fix")))</f>
        <v>0</v>
      </c>
      <c r="K50" s="4">
        <f>IF(OR(INDEX($V$2:$V$1001,MATCH(ROWS($U$2:U50),$U$2:$U$1001,0),1)&gt;=100000,INDEX($AB$1005:$AQ$1005,1,MATCH(COLUMNS($AB$1006:AK1006),$AB$1006:$AQ$1006,0))&gt;=100000), " ",IF(INDEX($AB$2:$AQ$1001,MATCH(ROWS($U$2:U50),$U$2:$U$1001,0),MATCH(COLUMNS($AB$1006:AK1006),$AB$1006:$AQ$1006,0)), HYPERLINK("#",""), HYPERLINK(CONCATENATE("#metadata!", ADDRESS(INDEX($W$2:$W$1001,MATCH(ROWS($U$2:U50),$U$2:$U$1001,0),0), INDEX($AB$1004:$AQ$1004,1,MATCH(COLUMNS($AB$1006:AK1006),$AB$1006:$AQ$1006,0)))),"Fix")))</f>
        <v>0</v>
      </c>
      <c r="L50" s="4">
        <f>IF(OR(INDEX($V$2:$V$1001,MATCH(ROWS($U$2:U50),$U$2:$U$1001,0),1)&gt;=100000,INDEX($AB$1005:$AQ$1005,1,MATCH(COLUMNS($AB$1006:AL1006),$AB$1006:$AQ$1006,0))&gt;=100000), " ",IF(INDEX($AB$2:$AQ$1001,MATCH(ROWS($U$2:U50),$U$2:$U$1001,0),MATCH(COLUMNS($AB$1006:AL1006),$AB$1006:$AQ$1006,0)), HYPERLINK("#",""), HYPERLINK(CONCATENATE("#metadata!", ADDRESS(INDEX($W$2:$W$1001,MATCH(ROWS($U$2:U50),$U$2:$U$1001,0),0), INDEX($AB$1004:$AQ$1004,1,MATCH(COLUMNS($AB$1006:AL1006),$AB$1006:$AQ$1006,0)))),"Fix")))</f>
        <v>0</v>
      </c>
      <c r="M50" s="4">
        <f>IF(OR(INDEX($V$2:$V$1001,MATCH(ROWS($U$2:U50),$U$2:$U$1001,0),1)&gt;=100000,INDEX($AB$1005:$AQ$1005,1,MATCH(COLUMNS($AB$1006:AM1006),$AB$1006:$AQ$1006,0))&gt;=100000), " ",IF(INDEX($AB$2:$AQ$1001,MATCH(ROWS($U$2:U50),$U$2:$U$1001,0),MATCH(COLUMNS($AB$1006:AM1006),$AB$1006:$AQ$1006,0)), HYPERLINK("#",""), HYPERLINK(CONCATENATE("#metadata!", ADDRESS(INDEX($W$2:$W$1001,MATCH(ROWS($U$2:U50),$U$2:$U$1001,0),0), INDEX($AB$1004:$AQ$1004,1,MATCH(COLUMNS($AB$1006:AM1006),$AB$1006:$AQ$1006,0)))),"Fix")))</f>
        <v>0</v>
      </c>
      <c r="N50" s="4">
        <f>IF(OR(INDEX($V$2:$V$1001,MATCH(ROWS($U$2:U50),$U$2:$U$1001,0),1)&gt;=100000,INDEX($AB$1005:$AQ$1005,1,MATCH(COLUMNS($AB$1006:AN1006),$AB$1006:$AQ$1006,0))&gt;=100000), " ",IF(INDEX($AB$2:$AQ$1001,MATCH(ROWS($U$2:U50),$U$2:$U$1001,0),MATCH(COLUMNS($AB$1006:AN1006),$AB$1006:$AQ$1006,0)), HYPERLINK("#",""), HYPERLINK(CONCATENATE("#metadata!", ADDRESS(INDEX($W$2:$W$1001,MATCH(ROWS($U$2:U50),$U$2:$U$1001,0),0), INDEX($AB$1004:$AQ$1004,1,MATCH(COLUMNS($AB$1006:AN1006),$AB$1006:$AQ$1006,0)))),"Fix")))</f>
        <v>0</v>
      </c>
      <c r="O50" s="4">
        <f>IF(OR(INDEX($V$2:$V$1001,MATCH(ROWS($U$2:U50),$U$2:$U$1001,0),1)&gt;=100000,INDEX($AB$1005:$AQ$1005,1,MATCH(COLUMNS($AB$1006:AO1006),$AB$1006:$AQ$1006,0))&gt;=100000), " ",IF(INDEX($AB$2:$AQ$1001,MATCH(ROWS($U$2:U50),$U$2:$U$1001,0),MATCH(COLUMNS($AB$1006:AO1006),$AB$1006:$AQ$1006,0)), HYPERLINK("#",""), HYPERLINK(CONCATENATE("#metadata!", ADDRESS(INDEX($W$2:$W$1001,MATCH(ROWS($U$2:U50),$U$2:$U$1001,0),0), INDEX($AB$1004:$AQ$1004,1,MATCH(COLUMNS($AB$1006:AO1006),$AB$1006:$AQ$1006,0)))),"Fix")))</f>
        <v>0</v>
      </c>
      <c r="P50" s="4">
        <f>IF(OR(INDEX($V$2:$V$1001,MATCH(ROWS($U$2:U50),$U$2:$U$1001,0),1)&gt;=100000,INDEX($AB$1005:$AQ$1005,1,MATCH(COLUMNS($AB$1006:AP1006),$AB$1006:$AQ$1006,0))&gt;=100000), " ",IF(INDEX($AB$2:$AQ$1001,MATCH(ROWS($U$2:U50),$U$2:$U$1001,0),MATCH(COLUMNS($AB$1006:AP1006),$AB$1006:$AQ$1006,0)), HYPERLINK("#",""), HYPERLINK(CONCATENATE("#metadata!", ADDRESS(INDEX($W$2:$W$1001,MATCH(ROWS($U$2:U50),$U$2:$U$1001,0),0), INDEX($AB$1004:$AQ$1004,1,MATCH(COLUMNS($AB$1006:AP1006),$AB$1006:$AQ$1006,0)))),"Fix")))</f>
        <v>0</v>
      </c>
      <c r="Q50" s="4">
        <f>IF(OR(INDEX($V$2:$V$1001,MATCH(ROWS($U$2:U50),$U$2:$U$1001,0),1)&gt;=100000,INDEX($AB$1005:$AQ$1005,1,MATCH(COLUMNS($AB$1006:AQ1006),$AB$1006:$AQ$1006,0))&gt;=100000), " ",IF(INDEX($AB$2:$AQ$1001,MATCH(ROWS($U$2:U50),$U$2:$U$1001,0),MATCH(COLUMNS($AB$1006:AQ1006),$AB$1006:$AQ$1006,0)), HYPERLINK("#",""), HYPERLINK(CONCATENATE("#metadata!", ADDRESS(INDEX($W$2:$W$1001,MATCH(ROWS($U$2:U50),$U$2:$U$1001,0),0), INDEX($AB$1004:$AQ$1004,1,MATCH(COLUMNS($AB$1006:AQ1006),$AB$1006:$AQ$1006,0)))),"Fix")))</f>
        <v>0</v>
      </c>
      <c r="U50">
        <v>0</v>
      </c>
      <c r="V50">
        <v>0</v>
      </c>
      <c r="W50">
        <v>0</v>
      </c>
      <c r="X50">
        <f>IF(Y50,TRUE,AND(AB50:AQ50))</f>
        <v>0</v>
      </c>
      <c r="Y50">
        <f>COUNTBLANK(metadata!B50:Q50)=COLUMNS(metadata!B50:Q50)</f>
        <v>0</v>
      </c>
      <c r="Z50">
        <v>0</v>
      </c>
      <c r="AB50">
        <f>AND(IF(metadata!B50="",FALSE,TRUE),COUNTIF(metadata!B:B, metadata!B50) = 1,NOT(ISERROR(SUMPRODUCT(SEARCH(MID(metadata!B50,ROW(INDIRECT("1:"&amp;LEN(metadata!B50))), 1),"0123456789abcdefghijklmnopqrstuvwxyzABCDEFGHIJKLMNOPQRSTUVWXYZ.")))))</f>
        <v>0</v>
      </c>
      <c r="AC50">
        <f>OR(AND(IF(metadata!C50="",FALSE,TRUE),OR(exact(metadata!C50,"missing: not collected"),exact(metadata!C50,"missing: not provided"),exact(metadata!C50,"missing: restricted access"))),AND(IF(metadata!C50="",FALSE,TRUE),AND(AND(IFERROR(INT(LEFT(metadata!C50,4))&gt;1900,FALSE),IFERROR(INT(LEFT(metadata!C50,4))&lt;=YEAR(NOW()),FALSE)), OR(MID(metadata!C50,5,1)="", AND(AND(MID(metadata!C50,5,1)="-",IFERROR(INT(MID(metadata!C50,6,1))&gt;=0,FALSE),IFERROR(INT(MID(metadata!C50,6,1))&lt;=1,FALSE),NOT(MID(metadata!C50,7,1)=""),IFERROR(INT(MID(metadata!C50,6,2))&gt;=1,FALSE),IFERROR(INT(MID(metadata!C50,6,2))&lt;=12,FALSE)), OR(MID(metadata!C50,8,1)="", AND(AND(MID(metadata!C50,8,1)="-",IFERROR(INT(MID(metadata!C50,9,1))&gt;=0,FALSE),IFERROR(INT(MID(metadata!C50,9,1))&lt;=3,FALSE),NOT(MID(metadata!C50,10,1)=""),IFERROR(INT(MID(metadata!C50,9,2))&gt;=1,FALSE),IFERROR(INT(MID(metadata!C50,9,2))&lt;=31,FALSE)), OR(MID(metadata!C50,11,1)="", AND(AND(MID(metadata!C50,11,1)=" ",IFERROR(INT(MID(metadata!C50,12,1))&gt;=0,FALSE),IFERROR(INT(MID(metadata!C50,12,1))&lt;=2,FALSE),NOT(MID(metadata!C50,13,1)=""),IFERROR(INT(MID(metadata!C50,12,2))&gt;=0,FALSE),IFERROR(INT(MID(metadata!C50,12,2))&lt;=23,FALSE)), OR(MID(metadata!C50,14,1)="", AND(AND(MID(metadata!C50,14,1)=":",IFERROR(INT(MID(metadata!C50,15,1))&gt;=0,FALSE),IFERROR(INT(MID(metadata!C50,15,1))&lt;=5,FALSE),NOT(MID(metadata!C50,16,1)=""),IFERROR(INT(MID(metadata!C50,15,2))&gt;=0,FALSE),IFERROR(INT(MID(metadata!C50,15,2))&lt;=59,FALSE)), OR(MID(metadata!C50,17,1)="", AND(AND(MID(metadata!C50,17,1)=":",IFERROR(INT(MID(metadata!C50,18,1))&gt;=0,FALSE),IFERROR(INT(MID(metadata!C50,18,1))&lt;=5,FALSE),NOT(MID(metadata!C50,19,1)=""),IFERROR(INT(MID(metadata!C50,18,2))&gt;=0,FALSE),IFERROR(INT(MID(metadata!C50,18,2))&lt;=59,FALSE)), LEN(metadata!C50)&lt;=19)))))))))))))</f>
        <v>0</v>
      </c>
      <c r="AD50">
        <f>IF(metadata!D50="",FALSE,TRUE)</f>
        <v>0</v>
      </c>
      <c r="AE50">
        <f>OR(AND(IF(metadata!E50="",FALSE,TRUE),OR(exact(metadata!E50,"missing: not collected"),exact(metadata!E50,"missing: not provided"))),AND(IF(metadata!E50="",FALSE,TRUE),OR(exact(metadata!E50,"TRUE"),exact(metadata!E50,"FALSE"))))</f>
        <v>0</v>
      </c>
      <c r="AF50">
        <f>IF(metadata!F50="",FALSE,TRUE)</f>
        <v>0</v>
      </c>
      <c r="AG50">
        <f>IF(metadata!G50="",FALSE,TRUE)</f>
        <v>0</v>
      </c>
      <c r="AH50">
        <f>IF(metadata!H50="",FALSE,TRUE)</f>
        <v>0</v>
      </c>
      <c r="AI50">
        <f>OR(AND(IF(metadata!I50="",FALSE,TRUE),OR(exact(metadata!I50,"missing: not collected"),exact(metadata!I50,"missing: not provided"),exact(metadata!I50,"missing: restricted access"))),AND(IF(metadata!I50="",FALSE,TRUE),OR(exact(metadata!I50,"air"),exact(metadata!I50,"built environment"),exact(metadata!I50,"host-associated"),exact(metadata!I50,"human-associated"),exact(metadata!I50,"human-skin"),exact(metadata!I50,"human-oral"),exact(metadata!I50,"human-gut"),exact(metadata!I50,"human-vaginal"),exact(metadata!I50,"microbial mat/biofilm"),exact(metadata!I50,"misc environment"),exact(metadata!I50,"plant-associated"),exact(metadata!I50,"sediment"),exact(metadata!I50,"soil"),exact(metadata!I50,"wastewater/sludge"),exact(metadata!I50,"water"))))</f>
        <v>0</v>
      </c>
      <c r="AJ50">
        <f>IF(metadata!J50="",FALSE,TRUE)</f>
        <v>0</v>
      </c>
      <c r="AK50">
        <f>OR(AND(IF(metadata!K50="",FALSE,TRUE),OR(exact(metadata!K50,"missing: not collected"),exact(metadata!K50,"missing: not provided"),exact(metadata!K50,"missing: restricted access"))),AND(IF(metadata!K50="",FALSE,ISNUMBER(VALUE(metadata!K50))),metadata!K50&gt;=-90.00,metadata!K50&lt;=90.00))</f>
        <v>0</v>
      </c>
      <c r="AL50">
        <f>OR(AND(IF(metadata!L50="",FALSE,TRUE),OR(exact(metadata!L50,"missing: not collected"),exact(metadata!L50,"missing: not provided"),exact(metadata!L50,"missing: restricted access"))),AND(IF(metadata!L50="",FALSE,ISNUMBER(VALUE(metadata!L50))),metadata!L50&gt;=-180.00,metadata!L50&lt;=180.00))</f>
        <v>0</v>
      </c>
      <c r="AM50">
        <f>IF(metadata!M50="",FALSE,TRUE)</f>
        <v>0</v>
      </c>
      <c r="AN50">
        <f>OR(AND(IF(metadata!N50="",FALSE,TRUE),OR(exact(metadata!N50,"missing: not collected"),exact(metadata!N50,"missing: not provided"),exact(metadata!N50,"missing: restricted access"))),AND(IF(metadata!N50="",FALSE,TRUE),OR(exact(metadata!N50,"TRUE"),exact(metadata!N50,"FALSE"))))</f>
        <v>0</v>
      </c>
      <c r="AO50">
        <f>IF(metadata!O50="",FALSE,TRUE)</f>
        <v>0</v>
      </c>
      <c r="AP50">
        <f>OR(AND(IF(metadata!P50="",FALSE,TRUE),OR(exact(metadata!P50,"missing: not collected"),exact(metadata!P50,"missing: not provided"))),AND(IF(metadata!P50="",FALSE,IF(ISERROR(INT(metadata!P50)),FALSE,INT(metadata!P50)=metadata!P50)),metadata!P50&gt;0))</f>
        <v>0</v>
      </c>
      <c r="AQ50">
        <f>IF(metadata!Q50="",FALSE,TRUE)</f>
        <v>0</v>
      </c>
    </row>
    <row r="51" spans="1:43">
      <c r="A51" s="5">
        <f>IF(B51=" "," ",HYPERLINK(CONCATENATE("#metadata!",ADDRESS(INDEX($W$2:$W$1001,MATCH(ROWS($U$2:U51),$U$2:$U$1001,0),0),1)),INDEX($Z$2:$Z$1001,MATCH(ROWS($U$2:U51),$U$2:$U$1001,0),0)))</f>
        <v>0</v>
      </c>
      <c r="B51" s="4">
        <f>IF(OR(INDEX($V$2:$V$1001,MATCH(ROWS($U$2:U51),$U$2:$U$1001,0),1)&gt;=100000,INDEX($AB$1005:$AQ$1005,1,MATCH(COLUMNS($AB$1006:AB1006),$AB$1006:$AQ$1006,0))&gt;=100000), " ",IF(INDEX($AB$2:$AQ$1001,MATCH(ROWS($U$2:U51),$U$2:$U$1001,0),MATCH(COLUMNS($AB$1006:AB1006),$AB$1006:$AQ$1006,0)), HYPERLINK("#",""), HYPERLINK(CONCATENATE("#metadata!", ADDRESS(INDEX($W$2:$W$1001,MATCH(ROWS($U$2:U51),$U$2:$U$1001,0),0), INDEX($AB$1004:$AQ$1004,1,MATCH(COLUMNS($AB$1006:AB1006),$AB$1006:$AQ$1006,0)))),"Fix")))</f>
        <v>0</v>
      </c>
      <c r="C51" s="4">
        <f>IF(OR(INDEX($V$2:$V$1001,MATCH(ROWS($U$2:U51),$U$2:$U$1001,0),1)&gt;=100000,INDEX($AB$1005:$AQ$1005,1,MATCH(COLUMNS($AB$1006:AC1006),$AB$1006:$AQ$1006,0))&gt;=100000), " ",IF(INDEX($AB$2:$AQ$1001,MATCH(ROWS($U$2:U51),$U$2:$U$1001,0),MATCH(COLUMNS($AB$1006:AC1006),$AB$1006:$AQ$1006,0)), HYPERLINK("#",""), HYPERLINK(CONCATENATE("#metadata!", ADDRESS(INDEX($W$2:$W$1001,MATCH(ROWS($U$2:U51),$U$2:$U$1001,0),0), INDEX($AB$1004:$AQ$1004,1,MATCH(COLUMNS($AB$1006:AC1006),$AB$1006:$AQ$1006,0)))),"Fix")))</f>
        <v>0</v>
      </c>
      <c r="D51" s="4">
        <f>IF(OR(INDEX($V$2:$V$1001,MATCH(ROWS($U$2:U51),$U$2:$U$1001,0),1)&gt;=100000,INDEX($AB$1005:$AQ$1005,1,MATCH(COLUMNS($AB$1006:AD1006),$AB$1006:$AQ$1006,0))&gt;=100000), " ",IF(INDEX($AB$2:$AQ$1001,MATCH(ROWS($U$2:U51),$U$2:$U$1001,0),MATCH(COLUMNS($AB$1006:AD1006),$AB$1006:$AQ$1006,0)), HYPERLINK("#",""), HYPERLINK(CONCATENATE("#metadata!", ADDRESS(INDEX($W$2:$W$1001,MATCH(ROWS($U$2:U51),$U$2:$U$1001,0),0), INDEX($AB$1004:$AQ$1004,1,MATCH(COLUMNS($AB$1006:AD1006),$AB$1006:$AQ$1006,0)))),"Fix")))</f>
        <v>0</v>
      </c>
      <c r="E51" s="4">
        <f>IF(OR(INDEX($V$2:$V$1001,MATCH(ROWS($U$2:U51),$U$2:$U$1001,0),1)&gt;=100000,INDEX($AB$1005:$AQ$1005,1,MATCH(COLUMNS($AB$1006:AE1006),$AB$1006:$AQ$1006,0))&gt;=100000), " ",IF(INDEX($AB$2:$AQ$1001,MATCH(ROWS($U$2:U51),$U$2:$U$1001,0),MATCH(COLUMNS($AB$1006:AE1006),$AB$1006:$AQ$1006,0)), HYPERLINK("#",""), HYPERLINK(CONCATENATE("#metadata!", ADDRESS(INDEX($W$2:$W$1001,MATCH(ROWS($U$2:U51),$U$2:$U$1001,0),0), INDEX($AB$1004:$AQ$1004,1,MATCH(COLUMNS($AB$1006:AE1006),$AB$1006:$AQ$1006,0)))),"Fix")))</f>
        <v>0</v>
      </c>
      <c r="F51" s="4">
        <f>IF(OR(INDEX($V$2:$V$1001,MATCH(ROWS($U$2:U51),$U$2:$U$1001,0),1)&gt;=100000,INDEX($AB$1005:$AQ$1005,1,MATCH(COLUMNS($AB$1006:AF1006),$AB$1006:$AQ$1006,0))&gt;=100000), " ",IF(INDEX($AB$2:$AQ$1001,MATCH(ROWS($U$2:U51),$U$2:$U$1001,0),MATCH(COLUMNS($AB$1006:AF1006),$AB$1006:$AQ$1006,0)), HYPERLINK("#",""), HYPERLINK(CONCATENATE("#metadata!", ADDRESS(INDEX($W$2:$W$1001,MATCH(ROWS($U$2:U51),$U$2:$U$1001,0),0), INDEX($AB$1004:$AQ$1004,1,MATCH(COLUMNS($AB$1006:AF1006),$AB$1006:$AQ$1006,0)))),"Fix")))</f>
        <v>0</v>
      </c>
      <c r="G51" s="4">
        <f>IF(OR(INDEX($V$2:$V$1001,MATCH(ROWS($U$2:U51),$U$2:$U$1001,0),1)&gt;=100000,INDEX($AB$1005:$AQ$1005,1,MATCH(COLUMNS($AB$1006:AG1006),$AB$1006:$AQ$1006,0))&gt;=100000), " ",IF(INDEX($AB$2:$AQ$1001,MATCH(ROWS($U$2:U51),$U$2:$U$1001,0),MATCH(COLUMNS($AB$1006:AG1006),$AB$1006:$AQ$1006,0)), HYPERLINK("#",""), HYPERLINK(CONCATENATE("#metadata!", ADDRESS(INDEX($W$2:$W$1001,MATCH(ROWS($U$2:U51),$U$2:$U$1001,0),0), INDEX($AB$1004:$AQ$1004,1,MATCH(COLUMNS($AB$1006:AG1006),$AB$1006:$AQ$1006,0)))),"Fix")))</f>
        <v>0</v>
      </c>
      <c r="H51" s="4">
        <f>IF(OR(INDEX($V$2:$V$1001,MATCH(ROWS($U$2:U51),$U$2:$U$1001,0),1)&gt;=100000,INDEX($AB$1005:$AQ$1005,1,MATCH(COLUMNS($AB$1006:AH1006),$AB$1006:$AQ$1006,0))&gt;=100000), " ",IF(INDEX($AB$2:$AQ$1001,MATCH(ROWS($U$2:U51),$U$2:$U$1001,0),MATCH(COLUMNS($AB$1006:AH1006),$AB$1006:$AQ$1006,0)), HYPERLINK("#",""), HYPERLINK(CONCATENATE("#metadata!", ADDRESS(INDEX($W$2:$W$1001,MATCH(ROWS($U$2:U51),$U$2:$U$1001,0),0), INDEX($AB$1004:$AQ$1004,1,MATCH(COLUMNS($AB$1006:AH1006),$AB$1006:$AQ$1006,0)))),"Fix")))</f>
        <v>0</v>
      </c>
      <c r="I51" s="4">
        <f>IF(OR(INDEX($V$2:$V$1001,MATCH(ROWS($U$2:U51),$U$2:$U$1001,0),1)&gt;=100000,INDEX($AB$1005:$AQ$1005,1,MATCH(COLUMNS($AB$1006:AI1006),$AB$1006:$AQ$1006,0))&gt;=100000), " ",IF(INDEX($AB$2:$AQ$1001,MATCH(ROWS($U$2:U51),$U$2:$U$1001,0),MATCH(COLUMNS($AB$1006:AI1006),$AB$1006:$AQ$1006,0)), HYPERLINK("#",""), HYPERLINK(CONCATENATE("#metadata!", ADDRESS(INDEX($W$2:$W$1001,MATCH(ROWS($U$2:U51),$U$2:$U$1001,0),0), INDEX($AB$1004:$AQ$1004,1,MATCH(COLUMNS($AB$1006:AI1006),$AB$1006:$AQ$1006,0)))),"Fix")))</f>
        <v>0</v>
      </c>
      <c r="J51" s="4">
        <f>IF(OR(INDEX($V$2:$V$1001,MATCH(ROWS($U$2:U51),$U$2:$U$1001,0),1)&gt;=100000,INDEX($AB$1005:$AQ$1005,1,MATCH(COLUMNS($AB$1006:AJ1006),$AB$1006:$AQ$1006,0))&gt;=100000), " ",IF(INDEX($AB$2:$AQ$1001,MATCH(ROWS($U$2:U51),$U$2:$U$1001,0),MATCH(COLUMNS($AB$1006:AJ1006),$AB$1006:$AQ$1006,0)), HYPERLINK("#",""), HYPERLINK(CONCATENATE("#metadata!", ADDRESS(INDEX($W$2:$W$1001,MATCH(ROWS($U$2:U51),$U$2:$U$1001,0),0), INDEX($AB$1004:$AQ$1004,1,MATCH(COLUMNS($AB$1006:AJ1006),$AB$1006:$AQ$1006,0)))),"Fix")))</f>
        <v>0</v>
      </c>
      <c r="K51" s="4">
        <f>IF(OR(INDEX($V$2:$V$1001,MATCH(ROWS($U$2:U51),$U$2:$U$1001,0),1)&gt;=100000,INDEX($AB$1005:$AQ$1005,1,MATCH(COLUMNS($AB$1006:AK1006),$AB$1006:$AQ$1006,0))&gt;=100000), " ",IF(INDEX($AB$2:$AQ$1001,MATCH(ROWS($U$2:U51),$U$2:$U$1001,0),MATCH(COLUMNS($AB$1006:AK1006),$AB$1006:$AQ$1006,0)), HYPERLINK("#",""), HYPERLINK(CONCATENATE("#metadata!", ADDRESS(INDEX($W$2:$W$1001,MATCH(ROWS($U$2:U51),$U$2:$U$1001,0),0), INDEX($AB$1004:$AQ$1004,1,MATCH(COLUMNS($AB$1006:AK1006),$AB$1006:$AQ$1006,0)))),"Fix")))</f>
        <v>0</v>
      </c>
      <c r="L51" s="4">
        <f>IF(OR(INDEX($V$2:$V$1001,MATCH(ROWS($U$2:U51),$U$2:$U$1001,0),1)&gt;=100000,INDEX($AB$1005:$AQ$1005,1,MATCH(COLUMNS($AB$1006:AL1006),$AB$1006:$AQ$1006,0))&gt;=100000), " ",IF(INDEX($AB$2:$AQ$1001,MATCH(ROWS($U$2:U51),$U$2:$U$1001,0),MATCH(COLUMNS($AB$1006:AL1006),$AB$1006:$AQ$1006,0)), HYPERLINK("#",""), HYPERLINK(CONCATENATE("#metadata!", ADDRESS(INDEX($W$2:$W$1001,MATCH(ROWS($U$2:U51),$U$2:$U$1001,0),0), INDEX($AB$1004:$AQ$1004,1,MATCH(COLUMNS($AB$1006:AL1006),$AB$1006:$AQ$1006,0)))),"Fix")))</f>
        <v>0</v>
      </c>
      <c r="M51" s="4">
        <f>IF(OR(INDEX($V$2:$V$1001,MATCH(ROWS($U$2:U51),$U$2:$U$1001,0),1)&gt;=100000,INDEX($AB$1005:$AQ$1005,1,MATCH(COLUMNS($AB$1006:AM1006),$AB$1006:$AQ$1006,0))&gt;=100000), " ",IF(INDEX($AB$2:$AQ$1001,MATCH(ROWS($U$2:U51),$U$2:$U$1001,0),MATCH(COLUMNS($AB$1006:AM1006),$AB$1006:$AQ$1006,0)), HYPERLINK("#",""), HYPERLINK(CONCATENATE("#metadata!", ADDRESS(INDEX($W$2:$W$1001,MATCH(ROWS($U$2:U51),$U$2:$U$1001,0),0), INDEX($AB$1004:$AQ$1004,1,MATCH(COLUMNS($AB$1006:AM1006),$AB$1006:$AQ$1006,0)))),"Fix")))</f>
        <v>0</v>
      </c>
      <c r="N51" s="4">
        <f>IF(OR(INDEX($V$2:$V$1001,MATCH(ROWS($U$2:U51),$U$2:$U$1001,0),1)&gt;=100000,INDEX($AB$1005:$AQ$1005,1,MATCH(COLUMNS($AB$1006:AN1006),$AB$1006:$AQ$1006,0))&gt;=100000), " ",IF(INDEX($AB$2:$AQ$1001,MATCH(ROWS($U$2:U51),$U$2:$U$1001,0),MATCH(COLUMNS($AB$1006:AN1006),$AB$1006:$AQ$1006,0)), HYPERLINK("#",""), HYPERLINK(CONCATENATE("#metadata!", ADDRESS(INDEX($W$2:$W$1001,MATCH(ROWS($U$2:U51),$U$2:$U$1001,0),0), INDEX($AB$1004:$AQ$1004,1,MATCH(COLUMNS($AB$1006:AN1006),$AB$1006:$AQ$1006,0)))),"Fix")))</f>
        <v>0</v>
      </c>
      <c r="O51" s="4">
        <f>IF(OR(INDEX($V$2:$V$1001,MATCH(ROWS($U$2:U51),$U$2:$U$1001,0),1)&gt;=100000,INDEX($AB$1005:$AQ$1005,1,MATCH(COLUMNS($AB$1006:AO1006),$AB$1006:$AQ$1006,0))&gt;=100000), " ",IF(INDEX($AB$2:$AQ$1001,MATCH(ROWS($U$2:U51),$U$2:$U$1001,0),MATCH(COLUMNS($AB$1006:AO1006),$AB$1006:$AQ$1006,0)), HYPERLINK("#",""), HYPERLINK(CONCATENATE("#metadata!", ADDRESS(INDEX($W$2:$W$1001,MATCH(ROWS($U$2:U51),$U$2:$U$1001,0),0), INDEX($AB$1004:$AQ$1004,1,MATCH(COLUMNS($AB$1006:AO1006),$AB$1006:$AQ$1006,0)))),"Fix")))</f>
        <v>0</v>
      </c>
      <c r="P51" s="4">
        <f>IF(OR(INDEX($V$2:$V$1001,MATCH(ROWS($U$2:U51),$U$2:$U$1001,0),1)&gt;=100000,INDEX($AB$1005:$AQ$1005,1,MATCH(COLUMNS($AB$1006:AP1006),$AB$1006:$AQ$1006,0))&gt;=100000), " ",IF(INDEX($AB$2:$AQ$1001,MATCH(ROWS($U$2:U51),$U$2:$U$1001,0),MATCH(COLUMNS($AB$1006:AP1006),$AB$1006:$AQ$1006,0)), HYPERLINK("#",""), HYPERLINK(CONCATENATE("#metadata!", ADDRESS(INDEX($W$2:$W$1001,MATCH(ROWS($U$2:U51),$U$2:$U$1001,0),0), INDEX($AB$1004:$AQ$1004,1,MATCH(COLUMNS($AB$1006:AP1006),$AB$1006:$AQ$1006,0)))),"Fix")))</f>
        <v>0</v>
      </c>
      <c r="Q51" s="4">
        <f>IF(OR(INDEX($V$2:$V$1001,MATCH(ROWS($U$2:U51),$U$2:$U$1001,0),1)&gt;=100000,INDEX($AB$1005:$AQ$1005,1,MATCH(COLUMNS($AB$1006:AQ1006),$AB$1006:$AQ$1006,0))&gt;=100000), " ",IF(INDEX($AB$2:$AQ$1001,MATCH(ROWS($U$2:U51),$U$2:$U$1001,0),MATCH(COLUMNS($AB$1006:AQ1006),$AB$1006:$AQ$1006,0)), HYPERLINK("#",""), HYPERLINK(CONCATENATE("#metadata!", ADDRESS(INDEX($W$2:$W$1001,MATCH(ROWS($U$2:U51),$U$2:$U$1001,0),0), INDEX($AB$1004:$AQ$1004,1,MATCH(COLUMNS($AB$1006:AQ1006),$AB$1006:$AQ$1006,0)))),"Fix")))</f>
        <v>0</v>
      </c>
      <c r="U51">
        <v>0</v>
      </c>
      <c r="V51">
        <v>0</v>
      </c>
      <c r="W51">
        <v>0</v>
      </c>
      <c r="X51">
        <f>IF(Y51,TRUE,AND(AB51:AQ51))</f>
        <v>0</v>
      </c>
      <c r="Y51">
        <f>COUNTBLANK(metadata!B51:Q51)=COLUMNS(metadata!B51:Q51)</f>
        <v>0</v>
      </c>
      <c r="Z51">
        <v>0</v>
      </c>
      <c r="AB51">
        <f>AND(IF(metadata!B51="",FALSE,TRUE),COUNTIF(metadata!B:B, metadata!B51) = 1,NOT(ISERROR(SUMPRODUCT(SEARCH(MID(metadata!B51,ROW(INDIRECT("1:"&amp;LEN(metadata!B51))), 1),"0123456789abcdefghijklmnopqrstuvwxyzABCDEFGHIJKLMNOPQRSTUVWXYZ.")))))</f>
        <v>0</v>
      </c>
      <c r="AC51">
        <f>OR(AND(IF(metadata!C51="",FALSE,TRUE),OR(exact(metadata!C51,"missing: not collected"),exact(metadata!C51,"missing: not provided"),exact(metadata!C51,"missing: restricted access"))),AND(IF(metadata!C51="",FALSE,TRUE),AND(AND(IFERROR(INT(LEFT(metadata!C51,4))&gt;1900,FALSE),IFERROR(INT(LEFT(metadata!C51,4))&lt;=YEAR(NOW()),FALSE)), OR(MID(metadata!C51,5,1)="", AND(AND(MID(metadata!C51,5,1)="-",IFERROR(INT(MID(metadata!C51,6,1))&gt;=0,FALSE),IFERROR(INT(MID(metadata!C51,6,1))&lt;=1,FALSE),NOT(MID(metadata!C51,7,1)=""),IFERROR(INT(MID(metadata!C51,6,2))&gt;=1,FALSE),IFERROR(INT(MID(metadata!C51,6,2))&lt;=12,FALSE)), OR(MID(metadata!C51,8,1)="", AND(AND(MID(metadata!C51,8,1)="-",IFERROR(INT(MID(metadata!C51,9,1))&gt;=0,FALSE),IFERROR(INT(MID(metadata!C51,9,1))&lt;=3,FALSE),NOT(MID(metadata!C51,10,1)=""),IFERROR(INT(MID(metadata!C51,9,2))&gt;=1,FALSE),IFERROR(INT(MID(metadata!C51,9,2))&lt;=31,FALSE)), OR(MID(metadata!C51,11,1)="", AND(AND(MID(metadata!C51,11,1)=" ",IFERROR(INT(MID(metadata!C51,12,1))&gt;=0,FALSE),IFERROR(INT(MID(metadata!C51,12,1))&lt;=2,FALSE),NOT(MID(metadata!C51,13,1)=""),IFERROR(INT(MID(metadata!C51,12,2))&gt;=0,FALSE),IFERROR(INT(MID(metadata!C51,12,2))&lt;=23,FALSE)), OR(MID(metadata!C51,14,1)="", AND(AND(MID(metadata!C51,14,1)=":",IFERROR(INT(MID(metadata!C51,15,1))&gt;=0,FALSE),IFERROR(INT(MID(metadata!C51,15,1))&lt;=5,FALSE),NOT(MID(metadata!C51,16,1)=""),IFERROR(INT(MID(metadata!C51,15,2))&gt;=0,FALSE),IFERROR(INT(MID(metadata!C51,15,2))&lt;=59,FALSE)), OR(MID(metadata!C51,17,1)="", AND(AND(MID(metadata!C51,17,1)=":",IFERROR(INT(MID(metadata!C51,18,1))&gt;=0,FALSE),IFERROR(INT(MID(metadata!C51,18,1))&lt;=5,FALSE),NOT(MID(metadata!C51,19,1)=""),IFERROR(INT(MID(metadata!C51,18,2))&gt;=0,FALSE),IFERROR(INT(MID(metadata!C51,18,2))&lt;=59,FALSE)), LEN(metadata!C51)&lt;=19)))))))))))))</f>
        <v>0</v>
      </c>
      <c r="AD51">
        <f>IF(metadata!D51="",FALSE,TRUE)</f>
        <v>0</v>
      </c>
      <c r="AE51">
        <f>OR(AND(IF(metadata!E51="",FALSE,TRUE),OR(exact(metadata!E51,"missing: not collected"),exact(metadata!E51,"missing: not provided"))),AND(IF(metadata!E51="",FALSE,TRUE),OR(exact(metadata!E51,"TRUE"),exact(metadata!E51,"FALSE"))))</f>
        <v>0</v>
      </c>
      <c r="AF51">
        <f>IF(metadata!F51="",FALSE,TRUE)</f>
        <v>0</v>
      </c>
      <c r="AG51">
        <f>IF(metadata!G51="",FALSE,TRUE)</f>
        <v>0</v>
      </c>
      <c r="AH51">
        <f>IF(metadata!H51="",FALSE,TRUE)</f>
        <v>0</v>
      </c>
      <c r="AI51">
        <f>OR(AND(IF(metadata!I51="",FALSE,TRUE),OR(exact(metadata!I51,"missing: not collected"),exact(metadata!I51,"missing: not provided"),exact(metadata!I51,"missing: restricted access"))),AND(IF(metadata!I51="",FALSE,TRUE),OR(exact(metadata!I51,"air"),exact(metadata!I51,"built environment"),exact(metadata!I51,"host-associated"),exact(metadata!I51,"human-associated"),exact(metadata!I51,"human-skin"),exact(metadata!I51,"human-oral"),exact(metadata!I51,"human-gut"),exact(metadata!I51,"human-vaginal"),exact(metadata!I51,"microbial mat/biofilm"),exact(metadata!I51,"misc environment"),exact(metadata!I51,"plant-associated"),exact(metadata!I51,"sediment"),exact(metadata!I51,"soil"),exact(metadata!I51,"wastewater/sludge"),exact(metadata!I51,"water"))))</f>
        <v>0</v>
      </c>
      <c r="AJ51">
        <f>IF(metadata!J51="",FALSE,TRUE)</f>
        <v>0</v>
      </c>
      <c r="AK51">
        <f>OR(AND(IF(metadata!K51="",FALSE,TRUE),OR(exact(metadata!K51,"missing: not collected"),exact(metadata!K51,"missing: not provided"),exact(metadata!K51,"missing: restricted access"))),AND(IF(metadata!K51="",FALSE,ISNUMBER(VALUE(metadata!K51))),metadata!K51&gt;=-90.00,metadata!K51&lt;=90.00))</f>
        <v>0</v>
      </c>
      <c r="AL51">
        <f>OR(AND(IF(metadata!L51="",FALSE,TRUE),OR(exact(metadata!L51,"missing: not collected"),exact(metadata!L51,"missing: not provided"),exact(metadata!L51,"missing: restricted access"))),AND(IF(metadata!L51="",FALSE,ISNUMBER(VALUE(metadata!L51))),metadata!L51&gt;=-180.00,metadata!L51&lt;=180.00))</f>
        <v>0</v>
      </c>
      <c r="AM51">
        <f>IF(metadata!M51="",FALSE,TRUE)</f>
        <v>0</v>
      </c>
      <c r="AN51">
        <f>OR(AND(IF(metadata!N51="",FALSE,TRUE),OR(exact(metadata!N51,"missing: not collected"),exact(metadata!N51,"missing: not provided"),exact(metadata!N51,"missing: restricted access"))),AND(IF(metadata!N51="",FALSE,TRUE),OR(exact(metadata!N51,"TRUE"),exact(metadata!N51,"FALSE"))))</f>
        <v>0</v>
      </c>
      <c r="AO51">
        <f>IF(metadata!O51="",FALSE,TRUE)</f>
        <v>0</v>
      </c>
      <c r="AP51">
        <f>OR(AND(IF(metadata!P51="",FALSE,TRUE),OR(exact(metadata!P51,"missing: not collected"),exact(metadata!P51,"missing: not provided"))),AND(IF(metadata!P51="",FALSE,IF(ISERROR(INT(metadata!P51)),FALSE,INT(metadata!P51)=metadata!P51)),metadata!P51&gt;0))</f>
        <v>0</v>
      </c>
      <c r="AQ51">
        <f>IF(metadata!Q51="",FALSE,TRUE)</f>
        <v>0</v>
      </c>
    </row>
    <row r="52" spans="1:43">
      <c r="A52" s="5">
        <f>IF(B52=" "," ",HYPERLINK(CONCATENATE("#metadata!",ADDRESS(INDEX($W$2:$W$1001,MATCH(ROWS($U$2:U52),$U$2:$U$1001,0),0),1)),INDEX($Z$2:$Z$1001,MATCH(ROWS($U$2:U52),$U$2:$U$1001,0),0)))</f>
        <v>0</v>
      </c>
      <c r="B52" s="4">
        <f>IF(OR(INDEX($V$2:$V$1001,MATCH(ROWS($U$2:U52),$U$2:$U$1001,0),1)&gt;=100000,INDEX($AB$1005:$AQ$1005,1,MATCH(COLUMNS($AB$1006:AB1006),$AB$1006:$AQ$1006,0))&gt;=100000), " ",IF(INDEX($AB$2:$AQ$1001,MATCH(ROWS($U$2:U52),$U$2:$U$1001,0),MATCH(COLUMNS($AB$1006:AB1006),$AB$1006:$AQ$1006,0)), HYPERLINK("#",""), HYPERLINK(CONCATENATE("#metadata!", ADDRESS(INDEX($W$2:$W$1001,MATCH(ROWS($U$2:U52),$U$2:$U$1001,0),0), INDEX($AB$1004:$AQ$1004,1,MATCH(COLUMNS($AB$1006:AB1006),$AB$1006:$AQ$1006,0)))),"Fix")))</f>
        <v>0</v>
      </c>
      <c r="C52" s="4">
        <f>IF(OR(INDEX($V$2:$V$1001,MATCH(ROWS($U$2:U52),$U$2:$U$1001,0),1)&gt;=100000,INDEX($AB$1005:$AQ$1005,1,MATCH(COLUMNS($AB$1006:AC1006),$AB$1006:$AQ$1006,0))&gt;=100000), " ",IF(INDEX($AB$2:$AQ$1001,MATCH(ROWS($U$2:U52),$U$2:$U$1001,0),MATCH(COLUMNS($AB$1006:AC1006),$AB$1006:$AQ$1006,0)), HYPERLINK("#",""), HYPERLINK(CONCATENATE("#metadata!", ADDRESS(INDEX($W$2:$W$1001,MATCH(ROWS($U$2:U52),$U$2:$U$1001,0),0), INDEX($AB$1004:$AQ$1004,1,MATCH(COLUMNS($AB$1006:AC1006),$AB$1006:$AQ$1006,0)))),"Fix")))</f>
        <v>0</v>
      </c>
      <c r="D52" s="4">
        <f>IF(OR(INDEX($V$2:$V$1001,MATCH(ROWS($U$2:U52),$U$2:$U$1001,0),1)&gt;=100000,INDEX($AB$1005:$AQ$1005,1,MATCH(COLUMNS($AB$1006:AD1006),$AB$1006:$AQ$1006,0))&gt;=100000), " ",IF(INDEX($AB$2:$AQ$1001,MATCH(ROWS($U$2:U52),$U$2:$U$1001,0),MATCH(COLUMNS($AB$1006:AD1006),$AB$1006:$AQ$1006,0)), HYPERLINK("#",""), HYPERLINK(CONCATENATE("#metadata!", ADDRESS(INDEX($W$2:$W$1001,MATCH(ROWS($U$2:U52),$U$2:$U$1001,0),0), INDEX($AB$1004:$AQ$1004,1,MATCH(COLUMNS($AB$1006:AD1006),$AB$1006:$AQ$1006,0)))),"Fix")))</f>
        <v>0</v>
      </c>
      <c r="E52" s="4">
        <f>IF(OR(INDEX($V$2:$V$1001,MATCH(ROWS($U$2:U52),$U$2:$U$1001,0),1)&gt;=100000,INDEX($AB$1005:$AQ$1005,1,MATCH(COLUMNS($AB$1006:AE1006),$AB$1006:$AQ$1006,0))&gt;=100000), " ",IF(INDEX($AB$2:$AQ$1001,MATCH(ROWS($U$2:U52),$U$2:$U$1001,0),MATCH(COLUMNS($AB$1006:AE1006),$AB$1006:$AQ$1006,0)), HYPERLINK("#",""), HYPERLINK(CONCATENATE("#metadata!", ADDRESS(INDEX($W$2:$W$1001,MATCH(ROWS($U$2:U52),$U$2:$U$1001,0),0), INDEX($AB$1004:$AQ$1004,1,MATCH(COLUMNS($AB$1006:AE1006),$AB$1006:$AQ$1006,0)))),"Fix")))</f>
        <v>0</v>
      </c>
      <c r="F52" s="4">
        <f>IF(OR(INDEX($V$2:$V$1001,MATCH(ROWS($U$2:U52),$U$2:$U$1001,0),1)&gt;=100000,INDEX($AB$1005:$AQ$1005,1,MATCH(COLUMNS($AB$1006:AF1006),$AB$1006:$AQ$1006,0))&gt;=100000), " ",IF(INDEX($AB$2:$AQ$1001,MATCH(ROWS($U$2:U52),$U$2:$U$1001,0),MATCH(COLUMNS($AB$1006:AF1006),$AB$1006:$AQ$1006,0)), HYPERLINK("#",""), HYPERLINK(CONCATENATE("#metadata!", ADDRESS(INDEX($W$2:$W$1001,MATCH(ROWS($U$2:U52),$U$2:$U$1001,0),0), INDEX($AB$1004:$AQ$1004,1,MATCH(COLUMNS($AB$1006:AF1006),$AB$1006:$AQ$1006,0)))),"Fix")))</f>
        <v>0</v>
      </c>
      <c r="G52" s="4">
        <f>IF(OR(INDEX($V$2:$V$1001,MATCH(ROWS($U$2:U52),$U$2:$U$1001,0),1)&gt;=100000,INDEX($AB$1005:$AQ$1005,1,MATCH(COLUMNS($AB$1006:AG1006),$AB$1006:$AQ$1006,0))&gt;=100000), " ",IF(INDEX($AB$2:$AQ$1001,MATCH(ROWS($U$2:U52),$U$2:$U$1001,0),MATCH(COLUMNS($AB$1006:AG1006),$AB$1006:$AQ$1006,0)), HYPERLINK("#",""), HYPERLINK(CONCATENATE("#metadata!", ADDRESS(INDEX($W$2:$W$1001,MATCH(ROWS($U$2:U52),$U$2:$U$1001,0),0), INDEX($AB$1004:$AQ$1004,1,MATCH(COLUMNS($AB$1006:AG1006),$AB$1006:$AQ$1006,0)))),"Fix")))</f>
        <v>0</v>
      </c>
      <c r="H52" s="4">
        <f>IF(OR(INDEX($V$2:$V$1001,MATCH(ROWS($U$2:U52),$U$2:$U$1001,0),1)&gt;=100000,INDEX($AB$1005:$AQ$1005,1,MATCH(COLUMNS($AB$1006:AH1006),$AB$1006:$AQ$1006,0))&gt;=100000), " ",IF(INDEX($AB$2:$AQ$1001,MATCH(ROWS($U$2:U52),$U$2:$U$1001,0),MATCH(COLUMNS($AB$1006:AH1006),$AB$1006:$AQ$1006,0)), HYPERLINK("#",""), HYPERLINK(CONCATENATE("#metadata!", ADDRESS(INDEX($W$2:$W$1001,MATCH(ROWS($U$2:U52),$U$2:$U$1001,0),0), INDEX($AB$1004:$AQ$1004,1,MATCH(COLUMNS($AB$1006:AH1006),$AB$1006:$AQ$1006,0)))),"Fix")))</f>
        <v>0</v>
      </c>
      <c r="I52" s="4">
        <f>IF(OR(INDEX($V$2:$V$1001,MATCH(ROWS($U$2:U52),$U$2:$U$1001,0),1)&gt;=100000,INDEX($AB$1005:$AQ$1005,1,MATCH(COLUMNS($AB$1006:AI1006),$AB$1006:$AQ$1006,0))&gt;=100000), " ",IF(INDEX($AB$2:$AQ$1001,MATCH(ROWS($U$2:U52),$U$2:$U$1001,0),MATCH(COLUMNS($AB$1006:AI1006),$AB$1006:$AQ$1006,0)), HYPERLINK("#",""), HYPERLINK(CONCATENATE("#metadata!", ADDRESS(INDEX($W$2:$W$1001,MATCH(ROWS($U$2:U52),$U$2:$U$1001,0),0), INDEX($AB$1004:$AQ$1004,1,MATCH(COLUMNS($AB$1006:AI1006),$AB$1006:$AQ$1006,0)))),"Fix")))</f>
        <v>0</v>
      </c>
      <c r="J52" s="4">
        <f>IF(OR(INDEX($V$2:$V$1001,MATCH(ROWS($U$2:U52),$U$2:$U$1001,0),1)&gt;=100000,INDEX($AB$1005:$AQ$1005,1,MATCH(COLUMNS($AB$1006:AJ1006),$AB$1006:$AQ$1006,0))&gt;=100000), " ",IF(INDEX($AB$2:$AQ$1001,MATCH(ROWS($U$2:U52),$U$2:$U$1001,0),MATCH(COLUMNS($AB$1006:AJ1006),$AB$1006:$AQ$1006,0)), HYPERLINK("#",""), HYPERLINK(CONCATENATE("#metadata!", ADDRESS(INDEX($W$2:$W$1001,MATCH(ROWS($U$2:U52),$U$2:$U$1001,0),0), INDEX($AB$1004:$AQ$1004,1,MATCH(COLUMNS($AB$1006:AJ1006),$AB$1006:$AQ$1006,0)))),"Fix")))</f>
        <v>0</v>
      </c>
      <c r="K52" s="4">
        <f>IF(OR(INDEX($V$2:$V$1001,MATCH(ROWS($U$2:U52),$U$2:$U$1001,0),1)&gt;=100000,INDEX($AB$1005:$AQ$1005,1,MATCH(COLUMNS($AB$1006:AK1006),$AB$1006:$AQ$1006,0))&gt;=100000), " ",IF(INDEX($AB$2:$AQ$1001,MATCH(ROWS($U$2:U52),$U$2:$U$1001,0),MATCH(COLUMNS($AB$1006:AK1006),$AB$1006:$AQ$1006,0)), HYPERLINK("#",""), HYPERLINK(CONCATENATE("#metadata!", ADDRESS(INDEX($W$2:$W$1001,MATCH(ROWS($U$2:U52),$U$2:$U$1001,0),0), INDEX($AB$1004:$AQ$1004,1,MATCH(COLUMNS($AB$1006:AK1006),$AB$1006:$AQ$1006,0)))),"Fix")))</f>
        <v>0</v>
      </c>
      <c r="L52" s="4">
        <f>IF(OR(INDEX($V$2:$V$1001,MATCH(ROWS($U$2:U52),$U$2:$U$1001,0),1)&gt;=100000,INDEX($AB$1005:$AQ$1005,1,MATCH(COLUMNS($AB$1006:AL1006),$AB$1006:$AQ$1006,0))&gt;=100000), " ",IF(INDEX($AB$2:$AQ$1001,MATCH(ROWS($U$2:U52),$U$2:$U$1001,0),MATCH(COLUMNS($AB$1006:AL1006),$AB$1006:$AQ$1006,0)), HYPERLINK("#",""), HYPERLINK(CONCATENATE("#metadata!", ADDRESS(INDEX($W$2:$W$1001,MATCH(ROWS($U$2:U52),$U$2:$U$1001,0),0), INDEX($AB$1004:$AQ$1004,1,MATCH(COLUMNS($AB$1006:AL1006),$AB$1006:$AQ$1006,0)))),"Fix")))</f>
        <v>0</v>
      </c>
      <c r="M52" s="4">
        <f>IF(OR(INDEX($V$2:$V$1001,MATCH(ROWS($U$2:U52),$U$2:$U$1001,0),1)&gt;=100000,INDEX($AB$1005:$AQ$1005,1,MATCH(COLUMNS($AB$1006:AM1006),$AB$1006:$AQ$1006,0))&gt;=100000), " ",IF(INDEX($AB$2:$AQ$1001,MATCH(ROWS($U$2:U52),$U$2:$U$1001,0),MATCH(COLUMNS($AB$1006:AM1006),$AB$1006:$AQ$1006,0)), HYPERLINK("#",""), HYPERLINK(CONCATENATE("#metadata!", ADDRESS(INDEX($W$2:$W$1001,MATCH(ROWS($U$2:U52),$U$2:$U$1001,0),0), INDEX($AB$1004:$AQ$1004,1,MATCH(COLUMNS($AB$1006:AM1006),$AB$1006:$AQ$1006,0)))),"Fix")))</f>
        <v>0</v>
      </c>
      <c r="N52" s="4">
        <f>IF(OR(INDEX($V$2:$V$1001,MATCH(ROWS($U$2:U52),$U$2:$U$1001,0),1)&gt;=100000,INDEX($AB$1005:$AQ$1005,1,MATCH(COLUMNS($AB$1006:AN1006),$AB$1006:$AQ$1006,0))&gt;=100000), " ",IF(INDEX($AB$2:$AQ$1001,MATCH(ROWS($U$2:U52),$U$2:$U$1001,0),MATCH(COLUMNS($AB$1006:AN1006),$AB$1006:$AQ$1006,0)), HYPERLINK("#",""), HYPERLINK(CONCATENATE("#metadata!", ADDRESS(INDEX($W$2:$W$1001,MATCH(ROWS($U$2:U52),$U$2:$U$1001,0),0), INDEX($AB$1004:$AQ$1004,1,MATCH(COLUMNS($AB$1006:AN1006),$AB$1006:$AQ$1006,0)))),"Fix")))</f>
        <v>0</v>
      </c>
      <c r="O52" s="4">
        <f>IF(OR(INDEX($V$2:$V$1001,MATCH(ROWS($U$2:U52),$U$2:$U$1001,0),1)&gt;=100000,INDEX($AB$1005:$AQ$1005,1,MATCH(COLUMNS($AB$1006:AO1006),$AB$1006:$AQ$1006,0))&gt;=100000), " ",IF(INDEX($AB$2:$AQ$1001,MATCH(ROWS($U$2:U52),$U$2:$U$1001,0),MATCH(COLUMNS($AB$1006:AO1006),$AB$1006:$AQ$1006,0)), HYPERLINK("#",""), HYPERLINK(CONCATENATE("#metadata!", ADDRESS(INDEX($W$2:$W$1001,MATCH(ROWS($U$2:U52),$U$2:$U$1001,0),0), INDEX($AB$1004:$AQ$1004,1,MATCH(COLUMNS($AB$1006:AO1006),$AB$1006:$AQ$1006,0)))),"Fix")))</f>
        <v>0</v>
      </c>
      <c r="P52" s="4">
        <f>IF(OR(INDEX($V$2:$V$1001,MATCH(ROWS($U$2:U52),$U$2:$U$1001,0),1)&gt;=100000,INDEX($AB$1005:$AQ$1005,1,MATCH(COLUMNS($AB$1006:AP1006),$AB$1006:$AQ$1006,0))&gt;=100000), " ",IF(INDEX($AB$2:$AQ$1001,MATCH(ROWS($U$2:U52),$U$2:$U$1001,0),MATCH(COLUMNS($AB$1006:AP1006),$AB$1006:$AQ$1006,0)), HYPERLINK("#",""), HYPERLINK(CONCATENATE("#metadata!", ADDRESS(INDEX($W$2:$W$1001,MATCH(ROWS($U$2:U52),$U$2:$U$1001,0),0), INDEX($AB$1004:$AQ$1004,1,MATCH(COLUMNS($AB$1006:AP1006),$AB$1006:$AQ$1006,0)))),"Fix")))</f>
        <v>0</v>
      </c>
      <c r="Q52" s="4">
        <f>IF(OR(INDEX($V$2:$V$1001,MATCH(ROWS($U$2:U52),$U$2:$U$1001,0),1)&gt;=100000,INDEX($AB$1005:$AQ$1005,1,MATCH(COLUMNS($AB$1006:AQ1006),$AB$1006:$AQ$1006,0))&gt;=100000), " ",IF(INDEX($AB$2:$AQ$1001,MATCH(ROWS($U$2:U52),$U$2:$U$1001,0),MATCH(COLUMNS($AB$1006:AQ1006),$AB$1006:$AQ$1006,0)), HYPERLINK("#",""), HYPERLINK(CONCATENATE("#metadata!", ADDRESS(INDEX($W$2:$W$1001,MATCH(ROWS($U$2:U52),$U$2:$U$1001,0),0), INDEX($AB$1004:$AQ$1004,1,MATCH(COLUMNS($AB$1006:AQ1006),$AB$1006:$AQ$1006,0)))),"Fix")))</f>
        <v>0</v>
      </c>
      <c r="U52">
        <v>0</v>
      </c>
      <c r="V52">
        <v>0</v>
      </c>
      <c r="W52">
        <v>0</v>
      </c>
      <c r="X52">
        <f>IF(Y52,TRUE,AND(AB52:AQ52))</f>
        <v>0</v>
      </c>
      <c r="Y52">
        <f>COUNTBLANK(metadata!B52:Q52)=COLUMNS(metadata!B52:Q52)</f>
        <v>0</v>
      </c>
      <c r="Z52">
        <v>0</v>
      </c>
      <c r="AB52">
        <f>AND(IF(metadata!B52="",FALSE,TRUE),COUNTIF(metadata!B:B, metadata!B52) = 1,NOT(ISERROR(SUMPRODUCT(SEARCH(MID(metadata!B52,ROW(INDIRECT("1:"&amp;LEN(metadata!B52))), 1),"0123456789abcdefghijklmnopqrstuvwxyzABCDEFGHIJKLMNOPQRSTUVWXYZ.")))))</f>
        <v>0</v>
      </c>
      <c r="AC52">
        <f>OR(AND(IF(metadata!C52="",FALSE,TRUE),OR(exact(metadata!C52,"missing: not collected"),exact(metadata!C52,"missing: not provided"),exact(metadata!C52,"missing: restricted access"))),AND(IF(metadata!C52="",FALSE,TRUE),AND(AND(IFERROR(INT(LEFT(metadata!C52,4))&gt;1900,FALSE),IFERROR(INT(LEFT(metadata!C52,4))&lt;=YEAR(NOW()),FALSE)), OR(MID(metadata!C52,5,1)="", AND(AND(MID(metadata!C52,5,1)="-",IFERROR(INT(MID(metadata!C52,6,1))&gt;=0,FALSE),IFERROR(INT(MID(metadata!C52,6,1))&lt;=1,FALSE),NOT(MID(metadata!C52,7,1)=""),IFERROR(INT(MID(metadata!C52,6,2))&gt;=1,FALSE),IFERROR(INT(MID(metadata!C52,6,2))&lt;=12,FALSE)), OR(MID(metadata!C52,8,1)="", AND(AND(MID(metadata!C52,8,1)="-",IFERROR(INT(MID(metadata!C52,9,1))&gt;=0,FALSE),IFERROR(INT(MID(metadata!C52,9,1))&lt;=3,FALSE),NOT(MID(metadata!C52,10,1)=""),IFERROR(INT(MID(metadata!C52,9,2))&gt;=1,FALSE),IFERROR(INT(MID(metadata!C52,9,2))&lt;=31,FALSE)), OR(MID(metadata!C52,11,1)="", AND(AND(MID(metadata!C52,11,1)=" ",IFERROR(INT(MID(metadata!C52,12,1))&gt;=0,FALSE),IFERROR(INT(MID(metadata!C52,12,1))&lt;=2,FALSE),NOT(MID(metadata!C52,13,1)=""),IFERROR(INT(MID(metadata!C52,12,2))&gt;=0,FALSE),IFERROR(INT(MID(metadata!C52,12,2))&lt;=23,FALSE)), OR(MID(metadata!C52,14,1)="", AND(AND(MID(metadata!C52,14,1)=":",IFERROR(INT(MID(metadata!C52,15,1))&gt;=0,FALSE),IFERROR(INT(MID(metadata!C52,15,1))&lt;=5,FALSE),NOT(MID(metadata!C52,16,1)=""),IFERROR(INT(MID(metadata!C52,15,2))&gt;=0,FALSE),IFERROR(INT(MID(metadata!C52,15,2))&lt;=59,FALSE)), OR(MID(metadata!C52,17,1)="", AND(AND(MID(metadata!C52,17,1)=":",IFERROR(INT(MID(metadata!C52,18,1))&gt;=0,FALSE),IFERROR(INT(MID(metadata!C52,18,1))&lt;=5,FALSE),NOT(MID(metadata!C52,19,1)=""),IFERROR(INT(MID(metadata!C52,18,2))&gt;=0,FALSE),IFERROR(INT(MID(metadata!C52,18,2))&lt;=59,FALSE)), LEN(metadata!C52)&lt;=19)))))))))))))</f>
        <v>0</v>
      </c>
      <c r="AD52">
        <f>IF(metadata!D52="",FALSE,TRUE)</f>
        <v>0</v>
      </c>
      <c r="AE52">
        <f>OR(AND(IF(metadata!E52="",FALSE,TRUE),OR(exact(metadata!E52,"missing: not collected"),exact(metadata!E52,"missing: not provided"))),AND(IF(metadata!E52="",FALSE,TRUE),OR(exact(metadata!E52,"TRUE"),exact(metadata!E52,"FALSE"))))</f>
        <v>0</v>
      </c>
      <c r="AF52">
        <f>IF(metadata!F52="",FALSE,TRUE)</f>
        <v>0</v>
      </c>
      <c r="AG52">
        <f>IF(metadata!G52="",FALSE,TRUE)</f>
        <v>0</v>
      </c>
      <c r="AH52">
        <f>IF(metadata!H52="",FALSE,TRUE)</f>
        <v>0</v>
      </c>
      <c r="AI52">
        <f>OR(AND(IF(metadata!I52="",FALSE,TRUE),OR(exact(metadata!I52,"missing: not collected"),exact(metadata!I52,"missing: not provided"),exact(metadata!I52,"missing: restricted access"))),AND(IF(metadata!I52="",FALSE,TRUE),OR(exact(metadata!I52,"air"),exact(metadata!I52,"built environment"),exact(metadata!I52,"host-associated"),exact(metadata!I52,"human-associated"),exact(metadata!I52,"human-skin"),exact(metadata!I52,"human-oral"),exact(metadata!I52,"human-gut"),exact(metadata!I52,"human-vaginal"),exact(metadata!I52,"microbial mat/biofilm"),exact(metadata!I52,"misc environment"),exact(metadata!I52,"plant-associated"),exact(metadata!I52,"sediment"),exact(metadata!I52,"soil"),exact(metadata!I52,"wastewater/sludge"),exact(metadata!I52,"water"))))</f>
        <v>0</v>
      </c>
      <c r="AJ52">
        <f>IF(metadata!J52="",FALSE,TRUE)</f>
        <v>0</v>
      </c>
      <c r="AK52">
        <f>OR(AND(IF(metadata!K52="",FALSE,TRUE),OR(exact(metadata!K52,"missing: not collected"),exact(metadata!K52,"missing: not provided"),exact(metadata!K52,"missing: restricted access"))),AND(IF(metadata!K52="",FALSE,ISNUMBER(VALUE(metadata!K52))),metadata!K52&gt;=-90.00,metadata!K52&lt;=90.00))</f>
        <v>0</v>
      </c>
      <c r="AL52">
        <f>OR(AND(IF(metadata!L52="",FALSE,TRUE),OR(exact(metadata!L52,"missing: not collected"),exact(metadata!L52,"missing: not provided"),exact(metadata!L52,"missing: restricted access"))),AND(IF(metadata!L52="",FALSE,ISNUMBER(VALUE(metadata!L52))),metadata!L52&gt;=-180.00,metadata!L52&lt;=180.00))</f>
        <v>0</v>
      </c>
      <c r="AM52">
        <f>IF(metadata!M52="",FALSE,TRUE)</f>
        <v>0</v>
      </c>
      <c r="AN52">
        <f>OR(AND(IF(metadata!N52="",FALSE,TRUE),OR(exact(metadata!N52,"missing: not collected"),exact(metadata!N52,"missing: not provided"),exact(metadata!N52,"missing: restricted access"))),AND(IF(metadata!N52="",FALSE,TRUE),OR(exact(metadata!N52,"TRUE"),exact(metadata!N52,"FALSE"))))</f>
        <v>0</v>
      </c>
      <c r="AO52">
        <f>IF(metadata!O52="",FALSE,TRUE)</f>
        <v>0</v>
      </c>
      <c r="AP52">
        <f>OR(AND(IF(metadata!P52="",FALSE,TRUE),OR(exact(metadata!P52,"missing: not collected"),exact(metadata!P52,"missing: not provided"))),AND(IF(metadata!P52="",FALSE,IF(ISERROR(INT(metadata!P52)),FALSE,INT(metadata!P52)=metadata!P52)),metadata!P52&gt;0))</f>
        <v>0</v>
      </c>
      <c r="AQ52">
        <f>IF(metadata!Q52="",FALSE,TRUE)</f>
        <v>0</v>
      </c>
    </row>
    <row r="53" spans="1:43">
      <c r="A53" s="5">
        <f>IF(B53=" "," ",HYPERLINK(CONCATENATE("#metadata!",ADDRESS(INDEX($W$2:$W$1001,MATCH(ROWS($U$2:U53),$U$2:$U$1001,0),0),1)),INDEX($Z$2:$Z$1001,MATCH(ROWS($U$2:U53),$U$2:$U$1001,0),0)))</f>
        <v>0</v>
      </c>
      <c r="B53" s="4">
        <f>IF(OR(INDEX($V$2:$V$1001,MATCH(ROWS($U$2:U53),$U$2:$U$1001,0),1)&gt;=100000,INDEX($AB$1005:$AQ$1005,1,MATCH(COLUMNS($AB$1006:AB1006),$AB$1006:$AQ$1006,0))&gt;=100000), " ",IF(INDEX($AB$2:$AQ$1001,MATCH(ROWS($U$2:U53),$U$2:$U$1001,0),MATCH(COLUMNS($AB$1006:AB1006),$AB$1006:$AQ$1006,0)), HYPERLINK("#",""), HYPERLINK(CONCATENATE("#metadata!", ADDRESS(INDEX($W$2:$W$1001,MATCH(ROWS($U$2:U53),$U$2:$U$1001,0),0), INDEX($AB$1004:$AQ$1004,1,MATCH(COLUMNS($AB$1006:AB1006),$AB$1006:$AQ$1006,0)))),"Fix")))</f>
        <v>0</v>
      </c>
      <c r="C53" s="4">
        <f>IF(OR(INDEX($V$2:$V$1001,MATCH(ROWS($U$2:U53),$U$2:$U$1001,0),1)&gt;=100000,INDEX($AB$1005:$AQ$1005,1,MATCH(COLUMNS($AB$1006:AC1006),$AB$1006:$AQ$1006,0))&gt;=100000), " ",IF(INDEX($AB$2:$AQ$1001,MATCH(ROWS($U$2:U53),$U$2:$U$1001,0),MATCH(COLUMNS($AB$1006:AC1006),$AB$1006:$AQ$1006,0)), HYPERLINK("#",""), HYPERLINK(CONCATENATE("#metadata!", ADDRESS(INDEX($W$2:$W$1001,MATCH(ROWS($U$2:U53),$U$2:$U$1001,0),0), INDEX($AB$1004:$AQ$1004,1,MATCH(COLUMNS($AB$1006:AC1006),$AB$1006:$AQ$1006,0)))),"Fix")))</f>
        <v>0</v>
      </c>
      <c r="D53" s="4">
        <f>IF(OR(INDEX($V$2:$V$1001,MATCH(ROWS($U$2:U53),$U$2:$U$1001,0),1)&gt;=100000,INDEX($AB$1005:$AQ$1005,1,MATCH(COLUMNS($AB$1006:AD1006),$AB$1006:$AQ$1006,0))&gt;=100000), " ",IF(INDEX($AB$2:$AQ$1001,MATCH(ROWS($U$2:U53),$U$2:$U$1001,0),MATCH(COLUMNS($AB$1006:AD1006),$AB$1006:$AQ$1006,0)), HYPERLINK("#",""), HYPERLINK(CONCATENATE("#metadata!", ADDRESS(INDEX($W$2:$W$1001,MATCH(ROWS($U$2:U53),$U$2:$U$1001,0),0), INDEX($AB$1004:$AQ$1004,1,MATCH(COLUMNS($AB$1006:AD1006),$AB$1006:$AQ$1006,0)))),"Fix")))</f>
        <v>0</v>
      </c>
      <c r="E53" s="4">
        <f>IF(OR(INDEX($V$2:$V$1001,MATCH(ROWS($U$2:U53),$U$2:$U$1001,0),1)&gt;=100000,INDEX($AB$1005:$AQ$1005,1,MATCH(COLUMNS($AB$1006:AE1006),$AB$1006:$AQ$1006,0))&gt;=100000), " ",IF(INDEX($AB$2:$AQ$1001,MATCH(ROWS($U$2:U53),$U$2:$U$1001,0),MATCH(COLUMNS($AB$1006:AE1006),$AB$1006:$AQ$1006,0)), HYPERLINK("#",""), HYPERLINK(CONCATENATE("#metadata!", ADDRESS(INDEX($W$2:$W$1001,MATCH(ROWS($U$2:U53),$U$2:$U$1001,0),0), INDEX($AB$1004:$AQ$1004,1,MATCH(COLUMNS($AB$1006:AE1006),$AB$1006:$AQ$1006,0)))),"Fix")))</f>
        <v>0</v>
      </c>
      <c r="F53" s="4">
        <f>IF(OR(INDEX($V$2:$V$1001,MATCH(ROWS($U$2:U53),$U$2:$U$1001,0),1)&gt;=100000,INDEX($AB$1005:$AQ$1005,1,MATCH(COLUMNS($AB$1006:AF1006),$AB$1006:$AQ$1006,0))&gt;=100000), " ",IF(INDEX($AB$2:$AQ$1001,MATCH(ROWS($U$2:U53),$U$2:$U$1001,0),MATCH(COLUMNS($AB$1006:AF1006),$AB$1006:$AQ$1006,0)), HYPERLINK("#",""), HYPERLINK(CONCATENATE("#metadata!", ADDRESS(INDEX($W$2:$W$1001,MATCH(ROWS($U$2:U53),$U$2:$U$1001,0),0), INDEX($AB$1004:$AQ$1004,1,MATCH(COLUMNS($AB$1006:AF1006),$AB$1006:$AQ$1006,0)))),"Fix")))</f>
        <v>0</v>
      </c>
      <c r="G53" s="4">
        <f>IF(OR(INDEX($V$2:$V$1001,MATCH(ROWS($U$2:U53),$U$2:$U$1001,0),1)&gt;=100000,INDEX($AB$1005:$AQ$1005,1,MATCH(COLUMNS($AB$1006:AG1006),$AB$1006:$AQ$1006,0))&gt;=100000), " ",IF(INDEX($AB$2:$AQ$1001,MATCH(ROWS($U$2:U53),$U$2:$U$1001,0),MATCH(COLUMNS($AB$1006:AG1006),$AB$1006:$AQ$1006,0)), HYPERLINK("#",""), HYPERLINK(CONCATENATE("#metadata!", ADDRESS(INDEX($W$2:$W$1001,MATCH(ROWS($U$2:U53),$U$2:$U$1001,0),0), INDEX($AB$1004:$AQ$1004,1,MATCH(COLUMNS($AB$1006:AG1006),$AB$1006:$AQ$1006,0)))),"Fix")))</f>
        <v>0</v>
      </c>
      <c r="H53" s="4">
        <f>IF(OR(INDEX($V$2:$V$1001,MATCH(ROWS($U$2:U53),$U$2:$U$1001,0),1)&gt;=100000,INDEX($AB$1005:$AQ$1005,1,MATCH(COLUMNS($AB$1006:AH1006),$AB$1006:$AQ$1006,0))&gt;=100000), " ",IF(INDEX($AB$2:$AQ$1001,MATCH(ROWS($U$2:U53),$U$2:$U$1001,0),MATCH(COLUMNS($AB$1006:AH1006),$AB$1006:$AQ$1006,0)), HYPERLINK("#",""), HYPERLINK(CONCATENATE("#metadata!", ADDRESS(INDEX($W$2:$W$1001,MATCH(ROWS($U$2:U53),$U$2:$U$1001,0),0), INDEX($AB$1004:$AQ$1004,1,MATCH(COLUMNS($AB$1006:AH1006),$AB$1006:$AQ$1006,0)))),"Fix")))</f>
        <v>0</v>
      </c>
      <c r="I53" s="4">
        <f>IF(OR(INDEX($V$2:$V$1001,MATCH(ROWS($U$2:U53),$U$2:$U$1001,0),1)&gt;=100000,INDEX($AB$1005:$AQ$1005,1,MATCH(COLUMNS($AB$1006:AI1006),$AB$1006:$AQ$1006,0))&gt;=100000), " ",IF(INDEX($AB$2:$AQ$1001,MATCH(ROWS($U$2:U53),$U$2:$U$1001,0),MATCH(COLUMNS($AB$1006:AI1006),$AB$1006:$AQ$1006,0)), HYPERLINK("#",""), HYPERLINK(CONCATENATE("#metadata!", ADDRESS(INDEX($W$2:$W$1001,MATCH(ROWS($U$2:U53),$U$2:$U$1001,0),0), INDEX($AB$1004:$AQ$1004,1,MATCH(COLUMNS($AB$1006:AI1006),$AB$1006:$AQ$1006,0)))),"Fix")))</f>
        <v>0</v>
      </c>
      <c r="J53" s="4">
        <f>IF(OR(INDEX($V$2:$V$1001,MATCH(ROWS($U$2:U53),$U$2:$U$1001,0),1)&gt;=100000,INDEX($AB$1005:$AQ$1005,1,MATCH(COLUMNS($AB$1006:AJ1006),$AB$1006:$AQ$1006,0))&gt;=100000), " ",IF(INDEX($AB$2:$AQ$1001,MATCH(ROWS($U$2:U53),$U$2:$U$1001,0),MATCH(COLUMNS($AB$1006:AJ1006),$AB$1006:$AQ$1006,0)), HYPERLINK("#",""), HYPERLINK(CONCATENATE("#metadata!", ADDRESS(INDEX($W$2:$W$1001,MATCH(ROWS($U$2:U53),$U$2:$U$1001,0),0), INDEX($AB$1004:$AQ$1004,1,MATCH(COLUMNS($AB$1006:AJ1006),$AB$1006:$AQ$1006,0)))),"Fix")))</f>
        <v>0</v>
      </c>
      <c r="K53" s="4">
        <f>IF(OR(INDEX($V$2:$V$1001,MATCH(ROWS($U$2:U53),$U$2:$U$1001,0),1)&gt;=100000,INDEX($AB$1005:$AQ$1005,1,MATCH(COLUMNS($AB$1006:AK1006),$AB$1006:$AQ$1006,0))&gt;=100000), " ",IF(INDEX($AB$2:$AQ$1001,MATCH(ROWS($U$2:U53),$U$2:$U$1001,0),MATCH(COLUMNS($AB$1006:AK1006),$AB$1006:$AQ$1006,0)), HYPERLINK("#",""), HYPERLINK(CONCATENATE("#metadata!", ADDRESS(INDEX($W$2:$W$1001,MATCH(ROWS($U$2:U53),$U$2:$U$1001,0),0), INDEX($AB$1004:$AQ$1004,1,MATCH(COLUMNS($AB$1006:AK1006),$AB$1006:$AQ$1006,0)))),"Fix")))</f>
        <v>0</v>
      </c>
      <c r="L53" s="4">
        <f>IF(OR(INDEX($V$2:$V$1001,MATCH(ROWS($U$2:U53),$U$2:$U$1001,0),1)&gt;=100000,INDEX($AB$1005:$AQ$1005,1,MATCH(COLUMNS($AB$1006:AL1006),$AB$1006:$AQ$1006,0))&gt;=100000), " ",IF(INDEX($AB$2:$AQ$1001,MATCH(ROWS($U$2:U53),$U$2:$U$1001,0),MATCH(COLUMNS($AB$1006:AL1006),$AB$1006:$AQ$1006,0)), HYPERLINK("#",""), HYPERLINK(CONCATENATE("#metadata!", ADDRESS(INDEX($W$2:$W$1001,MATCH(ROWS($U$2:U53),$U$2:$U$1001,0),0), INDEX($AB$1004:$AQ$1004,1,MATCH(COLUMNS($AB$1006:AL1006),$AB$1006:$AQ$1006,0)))),"Fix")))</f>
        <v>0</v>
      </c>
      <c r="M53" s="4">
        <f>IF(OR(INDEX($V$2:$V$1001,MATCH(ROWS($U$2:U53),$U$2:$U$1001,0),1)&gt;=100000,INDEX($AB$1005:$AQ$1005,1,MATCH(COLUMNS($AB$1006:AM1006),$AB$1006:$AQ$1006,0))&gt;=100000), " ",IF(INDEX($AB$2:$AQ$1001,MATCH(ROWS($U$2:U53),$U$2:$U$1001,0),MATCH(COLUMNS($AB$1006:AM1006),$AB$1006:$AQ$1006,0)), HYPERLINK("#",""), HYPERLINK(CONCATENATE("#metadata!", ADDRESS(INDEX($W$2:$W$1001,MATCH(ROWS($U$2:U53),$U$2:$U$1001,0),0), INDEX($AB$1004:$AQ$1004,1,MATCH(COLUMNS($AB$1006:AM1006),$AB$1006:$AQ$1006,0)))),"Fix")))</f>
        <v>0</v>
      </c>
      <c r="N53" s="4">
        <f>IF(OR(INDEX($V$2:$V$1001,MATCH(ROWS($U$2:U53),$U$2:$U$1001,0),1)&gt;=100000,INDEX($AB$1005:$AQ$1005,1,MATCH(COLUMNS($AB$1006:AN1006),$AB$1006:$AQ$1006,0))&gt;=100000), " ",IF(INDEX($AB$2:$AQ$1001,MATCH(ROWS($U$2:U53),$U$2:$U$1001,0),MATCH(COLUMNS($AB$1006:AN1006),$AB$1006:$AQ$1006,0)), HYPERLINK("#",""), HYPERLINK(CONCATENATE("#metadata!", ADDRESS(INDEX($W$2:$W$1001,MATCH(ROWS($U$2:U53),$U$2:$U$1001,0),0), INDEX($AB$1004:$AQ$1004,1,MATCH(COLUMNS($AB$1006:AN1006),$AB$1006:$AQ$1006,0)))),"Fix")))</f>
        <v>0</v>
      </c>
      <c r="O53" s="4">
        <f>IF(OR(INDEX($V$2:$V$1001,MATCH(ROWS($U$2:U53),$U$2:$U$1001,0),1)&gt;=100000,INDEX($AB$1005:$AQ$1005,1,MATCH(COLUMNS($AB$1006:AO1006),$AB$1006:$AQ$1006,0))&gt;=100000), " ",IF(INDEX($AB$2:$AQ$1001,MATCH(ROWS($U$2:U53),$U$2:$U$1001,0),MATCH(COLUMNS($AB$1006:AO1006),$AB$1006:$AQ$1006,0)), HYPERLINK("#",""), HYPERLINK(CONCATENATE("#metadata!", ADDRESS(INDEX($W$2:$W$1001,MATCH(ROWS($U$2:U53),$U$2:$U$1001,0),0), INDEX($AB$1004:$AQ$1004,1,MATCH(COLUMNS($AB$1006:AO1006),$AB$1006:$AQ$1006,0)))),"Fix")))</f>
        <v>0</v>
      </c>
      <c r="P53" s="4">
        <f>IF(OR(INDEX($V$2:$V$1001,MATCH(ROWS($U$2:U53),$U$2:$U$1001,0),1)&gt;=100000,INDEX($AB$1005:$AQ$1005,1,MATCH(COLUMNS($AB$1006:AP1006),$AB$1006:$AQ$1006,0))&gt;=100000), " ",IF(INDEX($AB$2:$AQ$1001,MATCH(ROWS($U$2:U53),$U$2:$U$1001,0),MATCH(COLUMNS($AB$1006:AP1006),$AB$1006:$AQ$1006,0)), HYPERLINK("#",""), HYPERLINK(CONCATENATE("#metadata!", ADDRESS(INDEX($W$2:$W$1001,MATCH(ROWS($U$2:U53),$U$2:$U$1001,0),0), INDEX($AB$1004:$AQ$1004,1,MATCH(COLUMNS($AB$1006:AP1006),$AB$1006:$AQ$1006,0)))),"Fix")))</f>
        <v>0</v>
      </c>
      <c r="Q53" s="4">
        <f>IF(OR(INDEX($V$2:$V$1001,MATCH(ROWS($U$2:U53),$U$2:$U$1001,0),1)&gt;=100000,INDEX($AB$1005:$AQ$1005,1,MATCH(COLUMNS($AB$1006:AQ1006),$AB$1006:$AQ$1006,0))&gt;=100000), " ",IF(INDEX($AB$2:$AQ$1001,MATCH(ROWS($U$2:U53),$U$2:$U$1001,0),MATCH(COLUMNS($AB$1006:AQ1006),$AB$1006:$AQ$1006,0)), HYPERLINK("#",""), HYPERLINK(CONCATENATE("#metadata!", ADDRESS(INDEX($W$2:$W$1001,MATCH(ROWS($U$2:U53),$U$2:$U$1001,0),0), INDEX($AB$1004:$AQ$1004,1,MATCH(COLUMNS($AB$1006:AQ1006),$AB$1006:$AQ$1006,0)))),"Fix")))</f>
        <v>0</v>
      </c>
      <c r="U53">
        <v>0</v>
      </c>
      <c r="V53">
        <v>0</v>
      </c>
      <c r="W53">
        <v>0</v>
      </c>
      <c r="X53">
        <f>IF(Y53,TRUE,AND(AB53:AQ53))</f>
        <v>0</v>
      </c>
      <c r="Y53">
        <f>COUNTBLANK(metadata!B53:Q53)=COLUMNS(metadata!B53:Q53)</f>
        <v>0</v>
      </c>
      <c r="Z53">
        <v>0</v>
      </c>
      <c r="AB53">
        <f>AND(IF(metadata!B53="",FALSE,TRUE),COUNTIF(metadata!B:B, metadata!B53) = 1,NOT(ISERROR(SUMPRODUCT(SEARCH(MID(metadata!B53,ROW(INDIRECT("1:"&amp;LEN(metadata!B53))), 1),"0123456789abcdefghijklmnopqrstuvwxyzABCDEFGHIJKLMNOPQRSTUVWXYZ.")))))</f>
        <v>0</v>
      </c>
      <c r="AC53">
        <f>OR(AND(IF(metadata!C53="",FALSE,TRUE),OR(exact(metadata!C53,"missing: not collected"),exact(metadata!C53,"missing: not provided"),exact(metadata!C53,"missing: restricted access"))),AND(IF(metadata!C53="",FALSE,TRUE),AND(AND(IFERROR(INT(LEFT(metadata!C53,4))&gt;1900,FALSE),IFERROR(INT(LEFT(metadata!C53,4))&lt;=YEAR(NOW()),FALSE)), OR(MID(metadata!C53,5,1)="", AND(AND(MID(metadata!C53,5,1)="-",IFERROR(INT(MID(metadata!C53,6,1))&gt;=0,FALSE),IFERROR(INT(MID(metadata!C53,6,1))&lt;=1,FALSE),NOT(MID(metadata!C53,7,1)=""),IFERROR(INT(MID(metadata!C53,6,2))&gt;=1,FALSE),IFERROR(INT(MID(metadata!C53,6,2))&lt;=12,FALSE)), OR(MID(metadata!C53,8,1)="", AND(AND(MID(metadata!C53,8,1)="-",IFERROR(INT(MID(metadata!C53,9,1))&gt;=0,FALSE),IFERROR(INT(MID(metadata!C53,9,1))&lt;=3,FALSE),NOT(MID(metadata!C53,10,1)=""),IFERROR(INT(MID(metadata!C53,9,2))&gt;=1,FALSE),IFERROR(INT(MID(metadata!C53,9,2))&lt;=31,FALSE)), OR(MID(metadata!C53,11,1)="", AND(AND(MID(metadata!C53,11,1)=" ",IFERROR(INT(MID(metadata!C53,12,1))&gt;=0,FALSE),IFERROR(INT(MID(metadata!C53,12,1))&lt;=2,FALSE),NOT(MID(metadata!C53,13,1)=""),IFERROR(INT(MID(metadata!C53,12,2))&gt;=0,FALSE),IFERROR(INT(MID(metadata!C53,12,2))&lt;=23,FALSE)), OR(MID(metadata!C53,14,1)="", AND(AND(MID(metadata!C53,14,1)=":",IFERROR(INT(MID(metadata!C53,15,1))&gt;=0,FALSE),IFERROR(INT(MID(metadata!C53,15,1))&lt;=5,FALSE),NOT(MID(metadata!C53,16,1)=""),IFERROR(INT(MID(metadata!C53,15,2))&gt;=0,FALSE),IFERROR(INT(MID(metadata!C53,15,2))&lt;=59,FALSE)), OR(MID(metadata!C53,17,1)="", AND(AND(MID(metadata!C53,17,1)=":",IFERROR(INT(MID(metadata!C53,18,1))&gt;=0,FALSE),IFERROR(INT(MID(metadata!C53,18,1))&lt;=5,FALSE),NOT(MID(metadata!C53,19,1)=""),IFERROR(INT(MID(metadata!C53,18,2))&gt;=0,FALSE),IFERROR(INT(MID(metadata!C53,18,2))&lt;=59,FALSE)), LEN(metadata!C53)&lt;=19)))))))))))))</f>
        <v>0</v>
      </c>
      <c r="AD53">
        <f>IF(metadata!D53="",FALSE,TRUE)</f>
        <v>0</v>
      </c>
      <c r="AE53">
        <f>OR(AND(IF(metadata!E53="",FALSE,TRUE),OR(exact(metadata!E53,"missing: not collected"),exact(metadata!E53,"missing: not provided"))),AND(IF(metadata!E53="",FALSE,TRUE),OR(exact(metadata!E53,"TRUE"),exact(metadata!E53,"FALSE"))))</f>
        <v>0</v>
      </c>
      <c r="AF53">
        <f>IF(metadata!F53="",FALSE,TRUE)</f>
        <v>0</v>
      </c>
      <c r="AG53">
        <f>IF(metadata!G53="",FALSE,TRUE)</f>
        <v>0</v>
      </c>
      <c r="AH53">
        <f>IF(metadata!H53="",FALSE,TRUE)</f>
        <v>0</v>
      </c>
      <c r="AI53">
        <f>OR(AND(IF(metadata!I53="",FALSE,TRUE),OR(exact(metadata!I53,"missing: not collected"),exact(metadata!I53,"missing: not provided"),exact(metadata!I53,"missing: restricted access"))),AND(IF(metadata!I53="",FALSE,TRUE),OR(exact(metadata!I53,"air"),exact(metadata!I53,"built environment"),exact(metadata!I53,"host-associated"),exact(metadata!I53,"human-associated"),exact(metadata!I53,"human-skin"),exact(metadata!I53,"human-oral"),exact(metadata!I53,"human-gut"),exact(metadata!I53,"human-vaginal"),exact(metadata!I53,"microbial mat/biofilm"),exact(metadata!I53,"misc environment"),exact(metadata!I53,"plant-associated"),exact(metadata!I53,"sediment"),exact(metadata!I53,"soil"),exact(metadata!I53,"wastewater/sludge"),exact(metadata!I53,"water"))))</f>
        <v>0</v>
      </c>
      <c r="AJ53">
        <f>IF(metadata!J53="",FALSE,TRUE)</f>
        <v>0</v>
      </c>
      <c r="AK53">
        <f>OR(AND(IF(metadata!K53="",FALSE,TRUE),OR(exact(metadata!K53,"missing: not collected"),exact(metadata!K53,"missing: not provided"),exact(metadata!K53,"missing: restricted access"))),AND(IF(metadata!K53="",FALSE,ISNUMBER(VALUE(metadata!K53))),metadata!K53&gt;=-90.00,metadata!K53&lt;=90.00))</f>
        <v>0</v>
      </c>
      <c r="AL53">
        <f>OR(AND(IF(metadata!L53="",FALSE,TRUE),OR(exact(metadata!L53,"missing: not collected"),exact(metadata!L53,"missing: not provided"),exact(metadata!L53,"missing: restricted access"))),AND(IF(metadata!L53="",FALSE,ISNUMBER(VALUE(metadata!L53))),metadata!L53&gt;=-180.00,metadata!L53&lt;=180.00))</f>
        <v>0</v>
      </c>
      <c r="AM53">
        <f>IF(metadata!M53="",FALSE,TRUE)</f>
        <v>0</v>
      </c>
      <c r="AN53">
        <f>OR(AND(IF(metadata!N53="",FALSE,TRUE),OR(exact(metadata!N53,"missing: not collected"),exact(metadata!N53,"missing: not provided"),exact(metadata!N53,"missing: restricted access"))),AND(IF(metadata!N53="",FALSE,TRUE),OR(exact(metadata!N53,"TRUE"),exact(metadata!N53,"FALSE"))))</f>
        <v>0</v>
      </c>
      <c r="AO53">
        <f>IF(metadata!O53="",FALSE,TRUE)</f>
        <v>0</v>
      </c>
      <c r="AP53">
        <f>OR(AND(IF(metadata!P53="",FALSE,TRUE),OR(exact(metadata!P53,"missing: not collected"),exact(metadata!P53,"missing: not provided"))),AND(IF(metadata!P53="",FALSE,IF(ISERROR(INT(metadata!P53)),FALSE,INT(metadata!P53)=metadata!P53)),metadata!P53&gt;0))</f>
        <v>0</v>
      </c>
      <c r="AQ53">
        <f>IF(metadata!Q53="",FALSE,TRUE)</f>
        <v>0</v>
      </c>
    </row>
    <row r="54" spans="1:43">
      <c r="A54" s="5">
        <f>IF(B54=" "," ",HYPERLINK(CONCATENATE("#metadata!",ADDRESS(INDEX($W$2:$W$1001,MATCH(ROWS($U$2:U54),$U$2:$U$1001,0),0),1)),INDEX($Z$2:$Z$1001,MATCH(ROWS($U$2:U54),$U$2:$U$1001,0),0)))</f>
        <v>0</v>
      </c>
      <c r="B54" s="4">
        <f>IF(OR(INDEX($V$2:$V$1001,MATCH(ROWS($U$2:U54),$U$2:$U$1001,0),1)&gt;=100000,INDEX($AB$1005:$AQ$1005,1,MATCH(COLUMNS($AB$1006:AB1006),$AB$1006:$AQ$1006,0))&gt;=100000), " ",IF(INDEX($AB$2:$AQ$1001,MATCH(ROWS($U$2:U54),$U$2:$U$1001,0),MATCH(COLUMNS($AB$1006:AB1006),$AB$1006:$AQ$1006,0)), HYPERLINK("#",""), HYPERLINK(CONCATENATE("#metadata!", ADDRESS(INDEX($W$2:$W$1001,MATCH(ROWS($U$2:U54),$U$2:$U$1001,0),0), INDEX($AB$1004:$AQ$1004,1,MATCH(COLUMNS($AB$1006:AB1006),$AB$1006:$AQ$1006,0)))),"Fix")))</f>
        <v>0</v>
      </c>
      <c r="C54" s="4">
        <f>IF(OR(INDEX($V$2:$V$1001,MATCH(ROWS($U$2:U54),$U$2:$U$1001,0),1)&gt;=100000,INDEX($AB$1005:$AQ$1005,1,MATCH(COLUMNS($AB$1006:AC1006),$AB$1006:$AQ$1006,0))&gt;=100000), " ",IF(INDEX($AB$2:$AQ$1001,MATCH(ROWS($U$2:U54),$U$2:$U$1001,0),MATCH(COLUMNS($AB$1006:AC1006),$AB$1006:$AQ$1006,0)), HYPERLINK("#",""), HYPERLINK(CONCATENATE("#metadata!", ADDRESS(INDEX($W$2:$W$1001,MATCH(ROWS($U$2:U54),$U$2:$U$1001,0),0), INDEX($AB$1004:$AQ$1004,1,MATCH(COLUMNS($AB$1006:AC1006),$AB$1006:$AQ$1006,0)))),"Fix")))</f>
        <v>0</v>
      </c>
      <c r="D54" s="4">
        <f>IF(OR(INDEX($V$2:$V$1001,MATCH(ROWS($U$2:U54),$U$2:$U$1001,0),1)&gt;=100000,INDEX($AB$1005:$AQ$1005,1,MATCH(COLUMNS($AB$1006:AD1006),$AB$1006:$AQ$1006,0))&gt;=100000), " ",IF(INDEX($AB$2:$AQ$1001,MATCH(ROWS($U$2:U54),$U$2:$U$1001,0),MATCH(COLUMNS($AB$1006:AD1006),$AB$1006:$AQ$1006,0)), HYPERLINK("#",""), HYPERLINK(CONCATENATE("#metadata!", ADDRESS(INDEX($W$2:$W$1001,MATCH(ROWS($U$2:U54),$U$2:$U$1001,0),0), INDEX($AB$1004:$AQ$1004,1,MATCH(COLUMNS($AB$1006:AD1006),$AB$1006:$AQ$1006,0)))),"Fix")))</f>
        <v>0</v>
      </c>
      <c r="E54" s="4">
        <f>IF(OR(INDEX($V$2:$V$1001,MATCH(ROWS($U$2:U54),$U$2:$U$1001,0),1)&gt;=100000,INDEX($AB$1005:$AQ$1005,1,MATCH(COLUMNS($AB$1006:AE1006),$AB$1006:$AQ$1006,0))&gt;=100000), " ",IF(INDEX($AB$2:$AQ$1001,MATCH(ROWS($U$2:U54),$U$2:$U$1001,0),MATCH(COLUMNS($AB$1006:AE1006),$AB$1006:$AQ$1006,0)), HYPERLINK("#",""), HYPERLINK(CONCATENATE("#metadata!", ADDRESS(INDEX($W$2:$W$1001,MATCH(ROWS($U$2:U54),$U$2:$U$1001,0),0), INDEX($AB$1004:$AQ$1004,1,MATCH(COLUMNS($AB$1006:AE1006),$AB$1006:$AQ$1006,0)))),"Fix")))</f>
        <v>0</v>
      </c>
      <c r="F54" s="4">
        <f>IF(OR(INDEX($V$2:$V$1001,MATCH(ROWS($U$2:U54),$U$2:$U$1001,0),1)&gt;=100000,INDEX($AB$1005:$AQ$1005,1,MATCH(COLUMNS($AB$1006:AF1006),$AB$1006:$AQ$1006,0))&gt;=100000), " ",IF(INDEX($AB$2:$AQ$1001,MATCH(ROWS($U$2:U54),$U$2:$U$1001,0),MATCH(COLUMNS($AB$1006:AF1006),$AB$1006:$AQ$1006,0)), HYPERLINK("#",""), HYPERLINK(CONCATENATE("#metadata!", ADDRESS(INDEX($W$2:$W$1001,MATCH(ROWS($U$2:U54),$U$2:$U$1001,0),0), INDEX($AB$1004:$AQ$1004,1,MATCH(COLUMNS($AB$1006:AF1006),$AB$1006:$AQ$1006,0)))),"Fix")))</f>
        <v>0</v>
      </c>
      <c r="G54" s="4">
        <f>IF(OR(INDEX($V$2:$V$1001,MATCH(ROWS($U$2:U54),$U$2:$U$1001,0),1)&gt;=100000,INDEX($AB$1005:$AQ$1005,1,MATCH(COLUMNS($AB$1006:AG1006),$AB$1006:$AQ$1006,0))&gt;=100000), " ",IF(INDEX($AB$2:$AQ$1001,MATCH(ROWS($U$2:U54),$U$2:$U$1001,0),MATCH(COLUMNS($AB$1006:AG1006),$AB$1006:$AQ$1006,0)), HYPERLINK("#",""), HYPERLINK(CONCATENATE("#metadata!", ADDRESS(INDEX($W$2:$W$1001,MATCH(ROWS($U$2:U54),$U$2:$U$1001,0),0), INDEX($AB$1004:$AQ$1004,1,MATCH(COLUMNS($AB$1006:AG1006),$AB$1006:$AQ$1006,0)))),"Fix")))</f>
        <v>0</v>
      </c>
      <c r="H54" s="4">
        <f>IF(OR(INDEX($V$2:$V$1001,MATCH(ROWS($U$2:U54),$U$2:$U$1001,0),1)&gt;=100000,INDEX($AB$1005:$AQ$1005,1,MATCH(COLUMNS($AB$1006:AH1006),$AB$1006:$AQ$1006,0))&gt;=100000), " ",IF(INDEX($AB$2:$AQ$1001,MATCH(ROWS($U$2:U54),$U$2:$U$1001,0),MATCH(COLUMNS($AB$1006:AH1006),$AB$1006:$AQ$1006,0)), HYPERLINK("#",""), HYPERLINK(CONCATENATE("#metadata!", ADDRESS(INDEX($W$2:$W$1001,MATCH(ROWS($U$2:U54),$U$2:$U$1001,0),0), INDEX($AB$1004:$AQ$1004,1,MATCH(COLUMNS($AB$1006:AH1006),$AB$1006:$AQ$1006,0)))),"Fix")))</f>
        <v>0</v>
      </c>
      <c r="I54" s="4">
        <f>IF(OR(INDEX($V$2:$V$1001,MATCH(ROWS($U$2:U54),$U$2:$U$1001,0),1)&gt;=100000,INDEX($AB$1005:$AQ$1005,1,MATCH(COLUMNS($AB$1006:AI1006),$AB$1006:$AQ$1006,0))&gt;=100000), " ",IF(INDEX($AB$2:$AQ$1001,MATCH(ROWS($U$2:U54),$U$2:$U$1001,0),MATCH(COLUMNS($AB$1006:AI1006),$AB$1006:$AQ$1006,0)), HYPERLINK("#",""), HYPERLINK(CONCATENATE("#metadata!", ADDRESS(INDEX($W$2:$W$1001,MATCH(ROWS($U$2:U54),$U$2:$U$1001,0),0), INDEX($AB$1004:$AQ$1004,1,MATCH(COLUMNS($AB$1006:AI1006),$AB$1006:$AQ$1006,0)))),"Fix")))</f>
        <v>0</v>
      </c>
      <c r="J54" s="4">
        <f>IF(OR(INDEX($V$2:$V$1001,MATCH(ROWS($U$2:U54),$U$2:$U$1001,0),1)&gt;=100000,INDEX($AB$1005:$AQ$1005,1,MATCH(COLUMNS($AB$1006:AJ1006),$AB$1006:$AQ$1006,0))&gt;=100000), " ",IF(INDEX($AB$2:$AQ$1001,MATCH(ROWS($U$2:U54),$U$2:$U$1001,0),MATCH(COLUMNS($AB$1006:AJ1006),$AB$1006:$AQ$1006,0)), HYPERLINK("#",""), HYPERLINK(CONCATENATE("#metadata!", ADDRESS(INDEX($W$2:$W$1001,MATCH(ROWS($U$2:U54),$U$2:$U$1001,0),0), INDEX($AB$1004:$AQ$1004,1,MATCH(COLUMNS($AB$1006:AJ1006),$AB$1006:$AQ$1006,0)))),"Fix")))</f>
        <v>0</v>
      </c>
      <c r="K54" s="4">
        <f>IF(OR(INDEX($V$2:$V$1001,MATCH(ROWS($U$2:U54),$U$2:$U$1001,0),1)&gt;=100000,INDEX($AB$1005:$AQ$1005,1,MATCH(COLUMNS($AB$1006:AK1006),$AB$1006:$AQ$1006,0))&gt;=100000), " ",IF(INDEX($AB$2:$AQ$1001,MATCH(ROWS($U$2:U54),$U$2:$U$1001,0),MATCH(COLUMNS($AB$1006:AK1006),$AB$1006:$AQ$1006,0)), HYPERLINK("#",""), HYPERLINK(CONCATENATE("#metadata!", ADDRESS(INDEX($W$2:$W$1001,MATCH(ROWS($U$2:U54),$U$2:$U$1001,0),0), INDEX($AB$1004:$AQ$1004,1,MATCH(COLUMNS($AB$1006:AK1006),$AB$1006:$AQ$1006,0)))),"Fix")))</f>
        <v>0</v>
      </c>
      <c r="L54" s="4">
        <f>IF(OR(INDEX($V$2:$V$1001,MATCH(ROWS($U$2:U54),$U$2:$U$1001,0),1)&gt;=100000,INDEX($AB$1005:$AQ$1005,1,MATCH(COLUMNS($AB$1006:AL1006),$AB$1006:$AQ$1006,0))&gt;=100000), " ",IF(INDEX($AB$2:$AQ$1001,MATCH(ROWS($U$2:U54),$U$2:$U$1001,0),MATCH(COLUMNS($AB$1006:AL1006),$AB$1006:$AQ$1006,0)), HYPERLINK("#",""), HYPERLINK(CONCATENATE("#metadata!", ADDRESS(INDEX($W$2:$W$1001,MATCH(ROWS($U$2:U54),$U$2:$U$1001,0),0), INDEX($AB$1004:$AQ$1004,1,MATCH(COLUMNS($AB$1006:AL1006),$AB$1006:$AQ$1006,0)))),"Fix")))</f>
        <v>0</v>
      </c>
      <c r="M54" s="4">
        <f>IF(OR(INDEX($V$2:$V$1001,MATCH(ROWS($U$2:U54),$U$2:$U$1001,0),1)&gt;=100000,INDEX($AB$1005:$AQ$1005,1,MATCH(COLUMNS($AB$1006:AM1006),$AB$1006:$AQ$1006,0))&gt;=100000), " ",IF(INDEX($AB$2:$AQ$1001,MATCH(ROWS($U$2:U54),$U$2:$U$1001,0),MATCH(COLUMNS($AB$1006:AM1006),$AB$1006:$AQ$1006,0)), HYPERLINK("#",""), HYPERLINK(CONCATENATE("#metadata!", ADDRESS(INDEX($W$2:$W$1001,MATCH(ROWS($U$2:U54),$U$2:$U$1001,0),0), INDEX($AB$1004:$AQ$1004,1,MATCH(COLUMNS($AB$1006:AM1006),$AB$1006:$AQ$1006,0)))),"Fix")))</f>
        <v>0</v>
      </c>
      <c r="N54" s="4">
        <f>IF(OR(INDEX($V$2:$V$1001,MATCH(ROWS($U$2:U54),$U$2:$U$1001,0),1)&gt;=100000,INDEX($AB$1005:$AQ$1005,1,MATCH(COLUMNS($AB$1006:AN1006),$AB$1006:$AQ$1006,0))&gt;=100000), " ",IF(INDEX($AB$2:$AQ$1001,MATCH(ROWS($U$2:U54),$U$2:$U$1001,0),MATCH(COLUMNS($AB$1006:AN1006),$AB$1006:$AQ$1006,0)), HYPERLINK("#",""), HYPERLINK(CONCATENATE("#metadata!", ADDRESS(INDEX($W$2:$W$1001,MATCH(ROWS($U$2:U54),$U$2:$U$1001,0),0), INDEX($AB$1004:$AQ$1004,1,MATCH(COLUMNS($AB$1006:AN1006),$AB$1006:$AQ$1006,0)))),"Fix")))</f>
        <v>0</v>
      </c>
      <c r="O54" s="4">
        <f>IF(OR(INDEX($V$2:$V$1001,MATCH(ROWS($U$2:U54),$U$2:$U$1001,0),1)&gt;=100000,INDEX($AB$1005:$AQ$1005,1,MATCH(COLUMNS($AB$1006:AO1006),$AB$1006:$AQ$1006,0))&gt;=100000), " ",IF(INDEX($AB$2:$AQ$1001,MATCH(ROWS($U$2:U54),$U$2:$U$1001,0),MATCH(COLUMNS($AB$1006:AO1006),$AB$1006:$AQ$1006,0)), HYPERLINK("#",""), HYPERLINK(CONCATENATE("#metadata!", ADDRESS(INDEX($W$2:$W$1001,MATCH(ROWS($U$2:U54),$U$2:$U$1001,0),0), INDEX($AB$1004:$AQ$1004,1,MATCH(COLUMNS($AB$1006:AO1006),$AB$1006:$AQ$1006,0)))),"Fix")))</f>
        <v>0</v>
      </c>
      <c r="P54" s="4">
        <f>IF(OR(INDEX($V$2:$V$1001,MATCH(ROWS($U$2:U54),$U$2:$U$1001,0),1)&gt;=100000,INDEX($AB$1005:$AQ$1005,1,MATCH(COLUMNS($AB$1006:AP1006),$AB$1006:$AQ$1006,0))&gt;=100000), " ",IF(INDEX($AB$2:$AQ$1001,MATCH(ROWS($U$2:U54),$U$2:$U$1001,0),MATCH(COLUMNS($AB$1006:AP1006),$AB$1006:$AQ$1006,0)), HYPERLINK("#",""), HYPERLINK(CONCATENATE("#metadata!", ADDRESS(INDEX($W$2:$W$1001,MATCH(ROWS($U$2:U54),$U$2:$U$1001,0),0), INDEX($AB$1004:$AQ$1004,1,MATCH(COLUMNS($AB$1006:AP1006),$AB$1006:$AQ$1006,0)))),"Fix")))</f>
        <v>0</v>
      </c>
      <c r="Q54" s="4">
        <f>IF(OR(INDEX($V$2:$V$1001,MATCH(ROWS($U$2:U54),$U$2:$U$1001,0),1)&gt;=100000,INDEX($AB$1005:$AQ$1005,1,MATCH(COLUMNS($AB$1006:AQ1006),$AB$1006:$AQ$1006,0))&gt;=100000), " ",IF(INDEX($AB$2:$AQ$1001,MATCH(ROWS($U$2:U54),$U$2:$U$1001,0),MATCH(COLUMNS($AB$1006:AQ1006),$AB$1006:$AQ$1006,0)), HYPERLINK("#",""), HYPERLINK(CONCATENATE("#metadata!", ADDRESS(INDEX($W$2:$W$1001,MATCH(ROWS($U$2:U54),$U$2:$U$1001,0),0), INDEX($AB$1004:$AQ$1004,1,MATCH(COLUMNS($AB$1006:AQ1006),$AB$1006:$AQ$1006,0)))),"Fix")))</f>
        <v>0</v>
      </c>
      <c r="U54">
        <v>0</v>
      </c>
      <c r="V54">
        <v>0</v>
      </c>
      <c r="W54">
        <v>0</v>
      </c>
      <c r="X54">
        <f>IF(Y54,TRUE,AND(AB54:AQ54))</f>
        <v>0</v>
      </c>
      <c r="Y54">
        <f>COUNTBLANK(metadata!B54:Q54)=COLUMNS(metadata!B54:Q54)</f>
        <v>0</v>
      </c>
      <c r="Z54">
        <v>0</v>
      </c>
      <c r="AB54">
        <f>AND(IF(metadata!B54="",FALSE,TRUE),COUNTIF(metadata!B:B, metadata!B54) = 1,NOT(ISERROR(SUMPRODUCT(SEARCH(MID(metadata!B54,ROW(INDIRECT("1:"&amp;LEN(metadata!B54))), 1),"0123456789abcdefghijklmnopqrstuvwxyzABCDEFGHIJKLMNOPQRSTUVWXYZ.")))))</f>
        <v>0</v>
      </c>
      <c r="AC54">
        <f>OR(AND(IF(metadata!C54="",FALSE,TRUE),OR(exact(metadata!C54,"missing: not collected"),exact(metadata!C54,"missing: not provided"),exact(metadata!C54,"missing: restricted access"))),AND(IF(metadata!C54="",FALSE,TRUE),AND(AND(IFERROR(INT(LEFT(metadata!C54,4))&gt;1900,FALSE),IFERROR(INT(LEFT(metadata!C54,4))&lt;=YEAR(NOW()),FALSE)), OR(MID(metadata!C54,5,1)="", AND(AND(MID(metadata!C54,5,1)="-",IFERROR(INT(MID(metadata!C54,6,1))&gt;=0,FALSE),IFERROR(INT(MID(metadata!C54,6,1))&lt;=1,FALSE),NOT(MID(metadata!C54,7,1)=""),IFERROR(INT(MID(metadata!C54,6,2))&gt;=1,FALSE),IFERROR(INT(MID(metadata!C54,6,2))&lt;=12,FALSE)), OR(MID(metadata!C54,8,1)="", AND(AND(MID(metadata!C54,8,1)="-",IFERROR(INT(MID(metadata!C54,9,1))&gt;=0,FALSE),IFERROR(INT(MID(metadata!C54,9,1))&lt;=3,FALSE),NOT(MID(metadata!C54,10,1)=""),IFERROR(INT(MID(metadata!C54,9,2))&gt;=1,FALSE),IFERROR(INT(MID(metadata!C54,9,2))&lt;=31,FALSE)), OR(MID(metadata!C54,11,1)="", AND(AND(MID(metadata!C54,11,1)=" ",IFERROR(INT(MID(metadata!C54,12,1))&gt;=0,FALSE),IFERROR(INT(MID(metadata!C54,12,1))&lt;=2,FALSE),NOT(MID(metadata!C54,13,1)=""),IFERROR(INT(MID(metadata!C54,12,2))&gt;=0,FALSE),IFERROR(INT(MID(metadata!C54,12,2))&lt;=23,FALSE)), OR(MID(metadata!C54,14,1)="", AND(AND(MID(metadata!C54,14,1)=":",IFERROR(INT(MID(metadata!C54,15,1))&gt;=0,FALSE),IFERROR(INT(MID(metadata!C54,15,1))&lt;=5,FALSE),NOT(MID(metadata!C54,16,1)=""),IFERROR(INT(MID(metadata!C54,15,2))&gt;=0,FALSE),IFERROR(INT(MID(metadata!C54,15,2))&lt;=59,FALSE)), OR(MID(metadata!C54,17,1)="", AND(AND(MID(metadata!C54,17,1)=":",IFERROR(INT(MID(metadata!C54,18,1))&gt;=0,FALSE),IFERROR(INT(MID(metadata!C54,18,1))&lt;=5,FALSE),NOT(MID(metadata!C54,19,1)=""),IFERROR(INT(MID(metadata!C54,18,2))&gt;=0,FALSE),IFERROR(INT(MID(metadata!C54,18,2))&lt;=59,FALSE)), LEN(metadata!C54)&lt;=19)))))))))))))</f>
        <v>0</v>
      </c>
      <c r="AD54">
        <f>IF(metadata!D54="",FALSE,TRUE)</f>
        <v>0</v>
      </c>
      <c r="AE54">
        <f>OR(AND(IF(metadata!E54="",FALSE,TRUE),OR(exact(metadata!E54,"missing: not collected"),exact(metadata!E54,"missing: not provided"))),AND(IF(metadata!E54="",FALSE,TRUE),OR(exact(metadata!E54,"TRUE"),exact(metadata!E54,"FALSE"))))</f>
        <v>0</v>
      </c>
      <c r="AF54">
        <f>IF(metadata!F54="",FALSE,TRUE)</f>
        <v>0</v>
      </c>
      <c r="AG54">
        <f>IF(metadata!G54="",FALSE,TRUE)</f>
        <v>0</v>
      </c>
      <c r="AH54">
        <f>IF(metadata!H54="",FALSE,TRUE)</f>
        <v>0</v>
      </c>
      <c r="AI54">
        <f>OR(AND(IF(metadata!I54="",FALSE,TRUE),OR(exact(metadata!I54,"missing: not collected"),exact(metadata!I54,"missing: not provided"),exact(metadata!I54,"missing: restricted access"))),AND(IF(metadata!I54="",FALSE,TRUE),OR(exact(metadata!I54,"air"),exact(metadata!I54,"built environment"),exact(metadata!I54,"host-associated"),exact(metadata!I54,"human-associated"),exact(metadata!I54,"human-skin"),exact(metadata!I54,"human-oral"),exact(metadata!I54,"human-gut"),exact(metadata!I54,"human-vaginal"),exact(metadata!I54,"microbial mat/biofilm"),exact(metadata!I54,"misc environment"),exact(metadata!I54,"plant-associated"),exact(metadata!I54,"sediment"),exact(metadata!I54,"soil"),exact(metadata!I54,"wastewater/sludge"),exact(metadata!I54,"water"))))</f>
        <v>0</v>
      </c>
      <c r="AJ54">
        <f>IF(metadata!J54="",FALSE,TRUE)</f>
        <v>0</v>
      </c>
      <c r="AK54">
        <f>OR(AND(IF(metadata!K54="",FALSE,TRUE),OR(exact(metadata!K54,"missing: not collected"),exact(metadata!K54,"missing: not provided"),exact(metadata!K54,"missing: restricted access"))),AND(IF(metadata!K54="",FALSE,ISNUMBER(VALUE(metadata!K54))),metadata!K54&gt;=-90.00,metadata!K54&lt;=90.00))</f>
        <v>0</v>
      </c>
      <c r="AL54">
        <f>OR(AND(IF(metadata!L54="",FALSE,TRUE),OR(exact(metadata!L54,"missing: not collected"),exact(metadata!L54,"missing: not provided"),exact(metadata!L54,"missing: restricted access"))),AND(IF(metadata!L54="",FALSE,ISNUMBER(VALUE(metadata!L54))),metadata!L54&gt;=-180.00,metadata!L54&lt;=180.00))</f>
        <v>0</v>
      </c>
      <c r="AM54">
        <f>IF(metadata!M54="",FALSE,TRUE)</f>
        <v>0</v>
      </c>
      <c r="AN54">
        <f>OR(AND(IF(metadata!N54="",FALSE,TRUE),OR(exact(metadata!N54,"missing: not collected"),exact(metadata!N54,"missing: not provided"),exact(metadata!N54,"missing: restricted access"))),AND(IF(metadata!N54="",FALSE,TRUE),OR(exact(metadata!N54,"TRUE"),exact(metadata!N54,"FALSE"))))</f>
        <v>0</v>
      </c>
      <c r="AO54">
        <f>IF(metadata!O54="",FALSE,TRUE)</f>
        <v>0</v>
      </c>
      <c r="AP54">
        <f>OR(AND(IF(metadata!P54="",FALSE,TRUE),OR(exact(metadata!P54,"missing: not collected"),exact(metadata!P54,"missing: not provided"))),AND(IF(metadata!P54="",FALSE,IF(ISERROR(INT(metadata!P54)),FALSE,INT(metadata!P54)=metadata!P54)),metadata!P54&gt;0))</f>
        <v>0</v>
      </c>
      <c r="AQ54">
        <f>IF(metadata!Q54="",FALSE,TRUE)</f>
        <v>0</v>
      </c>
    </row>
    <row r="55" spans="1:43">
      <c r="A55" s="5">
        <f>IF(B55=" "," ",HYPERLINK(CONCATENATE("#metadata!",ADDRESS(INDEX($W$2:$W$1001,MATCH(ROWS($U$2:U55),$U$2:$U$1001,0),0),1)),INDEX($Z$2:$Z$1001,MATCH(ROWS($U$2:U55),$U$2:$U$1001,0),0)))</f>
        <v>0</v>
      </c>
      <c r="B55" s="4">
        <f>IF(OR(INDEX($V$2:$V$1001,MATCH(ROWS($U$2:U55),$U$2:$U$1001,0),1)&gt;=100000,INDEX($AB$1005:$AQ$1005,1,MATCH(COLUMNS($AB$1006:AB1006),$AB$1006:$AQ$1006,0))&gt;=100000), " ",IF(INDEX($AB$2:$AQ$1001,MATCH(ROWS($U$2:U55),$U$2:$U$1001,0),MATCH(COLUMNS($AB$1006:AB1006),$AB$1006:$AQ$1006,0)), HYPERLINK("#",""), HYPERLINK(CONCATENATE("#metadata!", ADDRESS(INDEX($W$2:$W$1001,MATCH(ROWS($U$2:U55),$U$2:$U$1001,0),0), INDEX($AB$1004:$AQ$1004,1,MATCH(COLUMNS($AB$1006:AB1006),$AB$1006:$AQ$1006,0)))),"Fix")))</f>
        <v>0</v>
      </c>
      <c r="C55" s="4">
        <f>IF(OR(INDEX($V$2:$V$1001,MATCH(ROWS($U$2:U55),$U$2:$U$1001,0),1)&gt;=100000,INDEX($AB$1005:$AQ$1005,1,MATCH(COLUMNS($AB$1006:AC1006),$AB$1006:$AQ$1006,0))&gt;=100000), " ",IF(INDEX($AB$2:$AQ$1001,MATCH(ROWS($U$2:U55),$U$2:$U$1001,0),MATCH(COLUMNS($AB$1006:AC1006),$AB$1006:$AQ$1006,0)), HYPERLINK("#",""), HYPERLINK(CONCATENATE("#metadata!", ADDRESS(INDEX($W$2:$W$1001,MATCH(ROWS($U$2:U55),$U$2:$U$1001,0),0), INDEX($AB$1004:$AQ$1004,1,MATCH(COLUMNS($AB$1006:AC1006),$AB$1006:$AQ$1006,0)))),"Fix")))</f>
        <v>0</v>
      </c>
      <c r="D55" s="4">
        <f>IF(OR(INDEX($V$2:$V$1001,MATCH(ROWS($U$2:U55),$U$2:$U$1001,0),1)&gt;=100000,INDEX($AB$1005:$AQ$1005,1,MATCH(COLUMNS($AB$1006:AD1006),$AB$1006:$AQ$1006,0))&gt;=100000), " ",IF(INDEX($AB$2:$AQ$1001,MATCH(ROWS($U$2:U55),$U$2:$U$1001,0),MATCH(COLUMNS($AB$1006:AD1006),$AB$1006:$AQ$1006,0)), HYPERLINK("#",""), HYPERLINK(CONCATENATE("#metadata!", ADDRESS(INDEX($W$2:$W$1001,MATCH(ROWS($U$2:U55),$U$2:$U$1001,0),0), INDEX($AB$1004:$AQ$1004,1,MATCH(COLUMNS($AB$1006:AD1006),$AB$1006:$AQ$1006,0)))),"Fix")))</f>
        <v>0</v>
      </c>
      <c r="E55" s="4">
        <f>IF(OR(INDEX($V$2:$V$1001,MATCH(ROWS($U$2:U55),$U$2:$U$1001,0),1)&gt;=100000,INDEX($AB$1005:$AQ$1005,1,MATCH(COLUMNS($AB$1006:AE1006),$AB$1006:$AQ$1006,0))&gt;=100000), " ",IF(INDEX($AB$2:$AQ$1001,MATCH(ROWS($U$2:U55),$U$2:$U$1001,0),MATCH(COLUMNS($AB$1006:AE1006),$AB$1006:$AQ$1006,0)), HYPERLINK("#",""), HYPERLINK(CONCATENATE("#metadata!", ADDRESS(INDEX($W$2:$W$1001,MATCH(ROWS($U$2:U55),$U$2:$U$1001,0),0), INDEX($AB$1004:$AQ$1004,1,MATCH(COLUMNS($AB$1006:AE1006),$AB$1006:$AQ$1006,0)))),"Fix")))</f>
        <v>0</v>
      </c>
      <c r="F55" s="4">
        <f>IF(OR(INDEX($V$2:$V$1001,MATCH(ROWS($U$2:U55),$U$2:$U$1001,0),1)&gt;=100000,INDEX($AB$1005:$AQ$1005,1,MATCH(COLUMNS($AB$1006:AF1006),$AB$1006:$AQ$1006,0))&gt;=100000), " ",IF(INDEX($AB$2:$AQ$1001,MATCH(ROWS($U$2:U55),$U$2:$U$1001,0),MATCH(COLUMNS($AB$1006:AF1006),$AB$1006:$AQ$1006,0)), HYPERLINK("#",""), HYPERLINK(CONCATENATE("#metadata!", ADDRESS(INDEX($W$2:$W$1001,MATCH(ROWS($U$2:U55),$U$2:$U$1001,0),0), INDEX($AB$1004:$AQ$1004,1,MATCH(COLUMNS($AB$1006:AF1006),$AB$1006:$AQ$1006,0)))),"Fix")))</f>
        <v>0</v>
      </c>
      <c r="G55" s="4">
        <f>IF(OR(INDEX($V$2:$V$1001,MATCH(ROWS($U$2:U55),$U$2:$U$1001,0),1)&gt;=100000,INDEX($AB$1005:$AQ$1005,1,MATCH(COLUMNS($AB$1006:AG1006),$AB$1006:$AQ$1006,0))&gt;=100000), " ",IF(INDEX($AB$2:$AQ$1001,MATCH(ROWS($U$2:U55),$U$2:$U$1001,0),MATCH(COLUMNS($AB$1006:AG1006),$AB$1006:$AQ$1006,0)), HYPERLINK("#",""), HYPERLINK(CONCATENATE("#metadata!", ADDRESS(INDEX($W$2:$W$1001,MATCH(ROWS($U$2:U55),$U$2:$U$1001,0),0), INDEX($AB$1004:$AQ$1004,1,MATCH(COLUMNS($AB$1006:AG1006),$AB$1006:$AQ$1006,0)))),"Fix")))</f>
        <v>0</v>
      </c>
      <c r="H55" s="4">
        <f>IF(OR(INDEX($V$2:$V$1001,MATCH(ROWS($U$2:U55),$U$2:$U$1001,0),1)&gt;=100000,INDEX($AB$1005:$AQ$1005,1,MATCH(COLUMNS($AB$1006:AH1006),$AB$1006:$AQ$1006,0))&gt;=100000), " ",IF(INDEX($AB$2:$AQ$1001,MATCH(ROWS($U$2:U55),$U$2:$U$1001,0),MATCH(COLUMNS($AB$1006:AH1006),$AB$1006:$AQ$1006,0)), HYPERLINK("#",""), HYPERLINK(CONCATENATE("#metadata!", ADDRESS(INDEX($W$2:$W$1001,MATCH(ROWS($U$2:U55),$U$2:$U$1001,0),0), INDEX($AB$1004:$AQ$1004,1,MATCH(COLUMNS($AB$1006:AH1006),$AB$1006:$AQ$1006,0)))),"Fix")))</f>
        <v>0</v>
      </c>
      <c r="I55" s="4">
        <f>IF(OR(INDEX($V$2:$V$1001,MATCH(ROWS($U$2:U55),$U$2:$U$1001,0),1)&gt;=100000,INDEX($AB$1005:$AQ$1005,1,MATCH(COLUMNS($AB$1006:AI1006),$AB$1006:$AQ$1006,0))&gt;=100000), " ",IF(INDEX($AB$2:$AQ$1001,MATCH(ROWS($U$2:U55),$U$2:$U$1001,0),MATCH(COLUMNS($AB$1006:AI1006),$AB$1006:$AQ$1006,0)), HYPERLINK("#",""), HYPERLINK(CONCATENATE("#metadata!", ADDRESS(INDEX($W$2:$W$1001,MATCH(ROWS($U$2:U55),$U$2:$U$1001,0),0), INDEX($AB$1004:$AQ$1004,1,MATCH(COLUMNS($AB$1006:AI1006),$AB$1006:$AQ$1006,0)))),"Fix")))</f>
        <v>0</v>
      </c>
      <c r="J55" s="4">
        <f>IF(OR(INDEX($V$2:$V$1001,MATCH(ROWS($U$2:U55),$U$2:$U$1001,0),1)&gt;=100000,INDEX($AB$1005:$AQ$1005,1,MATCH(COLUMNS($AB$1006:AJ1006),$AB$1006:$AQ$1006,0))&gt;=100000), " ",IF(INDEX($AB$2:$AQ$1001,MATCH(ROWS($U$2:U55),$U$2:$U$1001,0),MATCH(COLUMNS($AB$1006:AJ1006),$AB$1006:$AQ$1006,0)), HYPERLINK("#",""), HYPERLINK(CONCATENATE("#metadata!", ADDRESS(INDEX($W$2:$W$1001,MATCH(ROWS($U$2:U55),$U$2:$U$1001,0),0), INDEX($AB$1004:$AQ$1004,1,MATCH(COLUMNS($AB$1006:AJ1006),$AB$1006:$AQ$1006,0)))),"Fix")))</f>
        <v>0</v>
      </c>
      <c r="K55" s="4">
        <f>IF(OR(INDEX($V$2:$V$1001,MATCH(ROWS($U$2:U55),$U$2:$U$1001,0),1)&gt;=100000,INDEX($AB$1005:$AQ$1005,1,MATCH(COLUMNS($AB$1006:AK1006),$AB$1006:$AQ$1006,0))&gt;=100000), " ",IF(INDEX($AB$2:$AQ$1001,MATCH(ROWS($U$2:U55),$U$2:$U$1001,0),MATCH(COLUMNS($AB$1006:AK1006),$AB$1006:$AQ$1006,0)), HYPERLINK("#",""), HYPERLINK(CONCATENATE("#metadata!", ADDRESS(INDEX($W$2:$W$1001,MATCH(ROWS($U$2:U55),$U$2:$U$1001,0),0), INDEX($AB$1004:$AQ$1004,1,MATCH(COLUMNS($AB$1006:AK1006),$AB$1006:$AQ$1006,0)))),"Fix")))</f>
        <v>0</v>
      </c>
      <c r="L55" s="4">
        <f>IF(OR(INDEX($V$2:$V$1001,MATCH(ROWS($U$2:U55),$U$2:$U$1001,0),1)&gt;=100000,INDEX($AB$1005:$AQ$1005,1,MATCH(COLUMNS($AB$1006:AL1006),$AB$1006:$AQ$1006,0))&gt;=100000), " ",IF(INDEX($AB$2:$AQ$1001,MATCH(ROWS($U$2:U55),$U$2:$U$1001,0),MATCH(COLUMNS($AB$1006:AL1006),$AB$1006:$AQ$1006,0)), HYPERLINK("#",""), HYPERLINK(CONCATENATE("#metadata!", ADDRESS(INDEX($W$2:$W$1001,MATCH(ROWS($U$2:U55),$U$2:$U$1001,0),0), INDEX($AB$1004:$AQ$1004,1,MATCH(COLUMNS($AB$1006:AL1006),$AB$1006:$AQ$1006,0)))),"Fix")))</f>
        <v>0</v>
      </c>
      <c r="M55" s="4">
        <f>IF(OR(INDEX($V$2:$V$1001,MATCH(ROWS($U$2:U55),$U$2:$U$1001,0),1)&gt;=100000,INDEX($AB$1005:$AQ$1005,1,MATCH(COLUMNS($AB$1006:AM1006),$AB$1006:$AQ$1006,0))&gt;=100000), " ",IF(INDEX($AB$2:$AQ$1001,MATCH(ROWS($U$2:U55),$U$2:$U$1001,0),MATCH(COLUMNS($AB$1006:AM1006),$AB$1006:$AQ$1006,0)), HYPERLINK("#",""), HYPERLINK(CONCATENATE("#metadata!", ADDRESS(INDEX($W$2:$W$1001,MATCH(ROWS($U$2:U55),$U$2:$U$1001,0),0), INDEX($AB$1004:$AQ$1004,1,MATCH(COLUMNS($AB$1006:AM1006),$AB$1006:$AQ$1006,0)))),"Fix")))</f>
        <v>0</v>
      </c>
      <c r="N55" s="4">
        <f>IF(OR(INDEX($V$2:$V$1001,MATCH(ROWS($U$2:U55),$U$2:$U$1001,0),1)&gt;=100000,INDEX($AB$1005:$AQ$1005,1,MATCH(COLUMNS($AB$1006:AN1006),$AB$1006:$AQ$1006,0))&gt;=100000), " ",IF(INDEX($AB$2:$AQ$1001,MATCH(ROWS($U$2:U55),$U$2:$U$1001,0),MATCH(COLUMNS($AB$1006:AN1006),$AB$1006:$AQ$1006,0)), HYPERLINK("#",""), HYPERLINK(CONCATENATE("#metadata!", ADDRESS(INDEX($W$2:$W$1001,MATCH(ROWS($U$2:U55),$U$2:$U$1001,0),0), INDEX($AB$1004:$AQ$1004,1,MATCH(COLUMNS($AB$1006:AN1006),$AB$1006:$AQ$1006,0)))),"Fix")))</f>
        <v>0</v>
      </c>
      <c r="O55" s="4">
        <f>IF(OR(INDEX($V$2:$V$1001,MATCH(ROWS($U$2:U55),$U$2:$U$1001,0),1)&gt;=100000,INDEX($AB$1005:$AQ$1005,1,MATCH(COLUMNS($AB$1006:AO1006),$AB$1006:$AQ$1006,0))&gt;=100000), " ",IF(INDEX($AB$2:$AQ$1001,MATCH(ROWS($U$2:U55),$U$2:$U$1001,0),MATCH(COLUMNS($AB$1006:AO1006),$AB$1006:$AQ$1006,0)), HYPERLINK("#",""), HYPERLINK(CONCATENATE("#metadata!", ADDRESS(INDEX($W$2:$W$1001,MATCH(ROWS($U$2:U55),$U$2:$U$1001,0),0), INDEX($AB$1004:$AQ$1004,1,MATCH(COLUMNS($AB$1006:AO1006),$AB$1006:$AQ$1006,0)))),"Fix")))</f>
        <v>0</v>
      </c>
      <c r="P55" s="4">
        <f>IF(OR(INDEX($V$2:$V$1001,MATCH(ROWS($U$2:U55),$U$2:$U$1001,0),1)&gt;=100000,INDEX($AB$1005:$AQ$1005,1,MATCH(COLUMNS($AB$1006:AP1006),$AB$1006:$AQ$1006,0))&gt;=100000), " ",IF(INDEX($AB$2:$AQ$1001,MATCH(ROWS($U$2:U55),$U$2:$U$1001,0),MATCH(COLUMNS($AB$1006:AP1006),$AB$1006:$AQ$1006,0)), HYPERLINK("#",""), HYPERLINK(CONCATENATE("#metadata!", ADDRESS(INDEX($W$2:$W$1001,MATCH(ROWS($U$2:U55),$U$2:$U$1001,0),0), INDEX($AB$1004:$AQ$1004,1,MATCH(COLUMNS($AB$1006:AP1006),$AB$1006:$AQ$1006,0)))),"Fix")))</f>
        <v>0</v>
      </c>
      <c r="Q55" s="4">
        <f>IF(OR(INDEX($V$2:$V$1001,MATCH(ROWS($U$2:U55),$U$2:$U$1001,0),1)&gt;=100000,INDEX($AB$1005:$AQ$1005,1,MATCH(COLUMNS($AB$1006:AQ1006),$AB$1006:$AQ$1006,0))&gt;=100000), " ",IF(INDEX($AB$2:$AQ$1001,MATCH(ROWS($U$2:U55),$U$2:$U$1001,0),MATCH(COLUMNS($AB$1006:AQ1006),$AB$1006:$AQ$1006,0)), HYPERLINK("#",""), HYPERLINK(CONCATENATE("#metadata!", ADDRESS(INDEX($W$2:$W$1001,MATCH(ROWS($U$2:U55),$U$2:$U$1001,0),0), INDEX($AB$1004:$AQ$1004,1,MATCH(COLUMNS($AB$1006:AQ1006),$AB$1006:$AQ$1006,0)))),"Fix")))</f>
        <v>0</v>
      </c>
      <c r="U55">
        <v>0</v>
      </c>
      <c r="V55">
        <v>0</v>
      </c>
      <c r="W55">
        <v>0</v>
      </c>
      <c r="X55">
        <f>IF(Y55,TRUE,AND(AB55:AQ55))</f>
        <v>0</v>
      </c>
      <c r="Y55">
        <f>COUNTBLANK(metadata!B55:Q55)=COLUMNS(metadata!B55:Q55)</f>
        <v>0</v>
      </c>
      <c r="Z55">
        <v>0</v>
      </c>
      <c r="AB55">
        <f>AND(IF(metadata!B55="",FALSE,TRUE),COUNTIF(metadata!B:B, metadata!B55) = 1,NOT(ISERROR(SUMPRODUCT(SEARCH(MID(metadata!B55,ROW(INDIRECT("1:"&amp;LEN(metadata!B55))), 1),"0123456789abcdefghijklmnopqrstuvwxyzABCDEFGHIJKLMNOPQRSTUVWXYZ.")))))</f>
        <v>0</v>
      </c>
      <c r="AC55">
        <f>OR(AND(IF(metadata!C55="",FALSE,TRUE),OR(exact(metadata!C55,"missing: not collected"),exact(metadata!C55,"missing: not provided"),exact(metadata!C55,"missing: restricted access"))),AND(IF(metadata!C55="",FALSE,TRUE),AND(AND(IFERROR(INT(LEFT(metadata!C55,4))&gt;1900,FALSE),IFERROR(INT(LEFT(metadata!C55,4))&lt;=YEAR(NOW()),FALSE)), OR(MID(metadata!C55,5,1)="", AND(AND(MID(metadata!C55,5,1)="-",IFERROR(INT(MID(metadata!C55,6,1))&gt;=0,FALSE),IFERROR(INT(MID(metadata!C55,6,1))&lt;=1,FALSE),NOT(MID(metadata!C55,7,1)=""),IFERROR(INT(MID(metadata!C55,6,2))&gt;=1,FALSE),IFERROR(INT(MID(metadata!C55,6,2))&lt;=12,FALSE)), OR(MID(metadata!C55,8,1)="", AND(AND(MID(metadata!C55,8,1)="-",IFERROR(INT(MID(metadata!C55,9,1))&gt;=0,FALSE),IFERROR(INT(MID(metadata!C55,9,1))&lt;=3,FALSE),NOT(MID(metadata!C55,10,1)=""),IFERROR(INT(MID(metadata!C55,9,2))&gt;=1,FALSE),IFERROR(INT(MID(metadata!C55,9,2))&lt;=31,FALSE)), OR(MID(metadata!C55,11,1)="", AND(AND(MID(metadata!C55,11,1)=" ",IFERROR(INT(MID(metadata!C55,12,1))&gt;=0,FALSE),IFERROR(INT(MID(metadata!C55,12,1))&lt;=2,FALSE),NOT(MID(metadata!C55,13,1)=""),IFERROR(INT(MID(metadata!C55,12,2))&gt;=0,FALSE),IFERROR(INT(MID(metadata!C55,12,2))&lt;=23,FALSE)), OR(MID(metadata!C55,14,1)="", AND(AND(MID(metadata!C55,14,1)=":",IFERROR(INT(MID(metadata!C55,15,1))&gt;=0,FALSE),IFERROR(INT(MID(metadata!C55,15,1))&lt;=5,FALSE),NOT(MID(metadata!C55,16,1)=""),IFERROR(INT(MID(metadata!C55,15,2))&gt;=0,FALSE),IFERROR(INT(MID(metadata!C55,15,2))&lt;=59,FALSE)), OR(MID(metadata!C55,17,1)="", AND(AND(MID(metadata!C55,17,1)=":",IFERROR(INT(MID(metadata!C55,18,1))&gt;=0,FALSE),IFERROR(INT(MID(metadata!C55,18,1))&lt;=5,FALSE),NOT(MID(metadata!C55,19,1)=""),IFERROR(INT(MID(metadata!C55,18,2))&gt;=0,FALSE),IFERROR(INT(MID(metadata!C55,18,2))&lt;=59,FALSE)), LEN(metadata!C55)&lt;=19)))))))))))))</f>
        <v>0</v>
      </c>
      <c r="AD55">
        <f>IF(metadata!D55="",FALSE,TRUE)</f>
        <v>0</v>
      </c>
      <c r="AE55">
        <f>OR(AND(IF(metadata!E55="",FALSE,TRUE),OR(exact(metadata!E55,"missing: not collected"),exact(metadata!E55,"missing: not provided"))),AND(IF(metadata!E55="",FALSE,TRUE),OR(exact(metadata!E55,"TRUE"),exact(metadata!E55,"FALSE"))))</f>
        <v>0</v>
      </c>
      <c r="AF55">
        <f>IF(metadata!F55="",FALSE,TRUE)</f>
        <v>0</v>
      </c>
      <c r="AG55">
        <f>IF(metadata!G55="",FALSE,TRUE)</f>
        <v>0</v>
      </c>
      <c r="AH55">
        <f>IF(metadata!H55="",FALSE,TRUE)</f>
        <v>0</v>
      </c>
      <c r="AI55">
        <f>OR(AND(IF(metadata!I55="",FALSE,TRUE),OR(exact(metadata!I55,"missing: not collected"),exact(metadata!I55,"missing: not provided"),exact(metadata!I55,"missing: restricted access"))),AND(IF(metadata!I55="",FALSE,TRUE),OR(exact(metadata!I55,"air"),exact(metadata!I55,"built environment"),exact(metadata!I55,"host-associated"),exact(metadata!I55,"human-associated"),exact(metadata!I55,"human-skin"),exact(metadata!I55,"human-oral"),exact(metadata!I55,"human-gut"),exact(metadata!I55,"human-vaginal"),exact(metadata!I55,"microbial mat/biofilm"),exact(metadata!I55,"misc environment"),exact(metadata!I55,"plant-associated"),exact(metadata!I55,"sediment"),exact(metadata!I55,"soil"),exact(metadata!I55,"wastewater/sludge"),exact(metadata!I55,"water"))))</f>
        <v>0</v>
      </c>
      <c r="AJ55">
        <f>IF(metadata!J55="",FALSE,TRUE)</f>
        <v>0</v>
      </c>
      <c r="AK55">
        <f>OR(AND(IF(metadata!K55="",FALSE,TRUE),OR(exact(metadata!K55,"missing: not collected"),exact(metadata!K55,"missing: not provided"),exact(metadata!K55,"missing: restricted access"))),AND(IF(metadata!K55="",FALSE,ISNUMBER(VALUE(metadata!K55))),metadata!K55&gt;=-90.00,metadata!K55&lt;=90.00))</f>
        <v>0</v>
      </c>
      <c r="AL55">
        <f>OR(AND(IF(metadata!L55="",FALSE,TRUE),OR(exact(metadata!L55,"missing: not collected"),exact(metadata!L55,"missing: not provided"),exact(metadata!L55,"missing: restricted access"))),AND(IF(metadata!L55="",FALSE,ISNUMBER(VALUE(metadata!L55))),metadata!L55&gt;=-180.00,metadata!L55&lt;=180.00))</f>
        <v>0</v>
      </c>
      <c r="AM55">
        <f>IF(metadata!M55="",FALSE,TRUE)</f>
        <v>0</v>
      </c>
      <c r="AN55">
        <f>OR(AND(IF(metadata!N55="",FALSE,TRUE),OR(exact(metadata!N55,"missing: not collected"),exact(metadata!N55,"missing: not provided"),exact(metadata!N55,"missing: restricted access"))),AND(IF(metadata!N55="",FALSE,TRUE),OR(exact(metadata!N55,"TRUE"),exact(metadata!N55,"FALSE"))))</f>
        <v>0</v>
      </c>
      <c r="AO55">
        <f>IF(metadata!O55="",FALSE,TRUE)</f>
        <v>0</v>
      </c>
      <c r="AP55">
        <f>OR(AND(IF(metadata!P55="",FALSE,TRUE),OR(exact(metadata!P55,"missing: not collected"),exact(metadata!P55,"missing: not provided"))),AND(IF(metadata!P55="",FALSE,IF(ISERROR(INT(metadata!P55)),FALSE,INT(metadata!P55)=metadata!P55)),metadata!P55&gt;0))</f>
        <v>0</v>
      </c>
      <c r="AQ55">
        <f>IF(metadata!Q55="",FALSE,TRUE)</f>
        <v>0</v>
      </c>
    </row>
    <row r="56" spans="1:43">
      <c r="A56" s="5">
        <f>IF(B56=" "," ",HYPERLINK(CONCATENATE("#metadata!",ADDRESS(INDEX($W$2:$W$1001,MATCH(ROWS($U$2:U56),$U$2:$U$1001,0),0),1)),INDEX($Z$2:$Z$1001,MATCH(ROWS($U$2:U56),$U$2:$U$1001,0),0)))</f>
        <v>0</v>
      </c>
      <c r="B56" s="4">
        <f>IF(OR(INDEX($V$2:$V$1001,MATCH(ROWS($U$2:U56),$U$2:$U$1001,0),1)&gt;=100000,INDEX($AB$1005:$AQ$1005,1,MATCH(COLUMNS($AB$1006:AB1006),$AB$1006:$AQ$1006,0))&gt;=100000), " ",IF(INDEX($AB$2:$AQ$1001,MATCH(ROWS($U$2:U56),$U$2:$U$1001,0),MATCH(COLUMNS($AB$1006:AB1006),$AB$1006:$AQ$1006,0)), HYPERLINK("#",""), HYPERLINK(CONCATENATE("#metadata!", ADDRESS(INDEX($W$2:$W$1001,MATCH(ROWS($U$2:U56),$U$2:$U$1001,0),0), INDEX($AB$1004:$AQ$1004,1,MATCH(COLUMNS($AB$1006:AB1006),$AB$1006:$AQ$1006,0)))),"Fix")))</f>
        <v>0</v>
      </c>
      <c r="C56" s="4">
        <f>IF(OR(INDEX($V$2:$V$1001,MATCH(ROWS($U$2:U56),$U$2:$U$1001,0),1)&gt;=100000,INDEX($AB$1005:$AQ$1005,1,MATCH(COLUMNS($AB$1006:AC1006),$AB$1006:$AQ$1006,0))&gt;=100000), " ",IF(INDEX($AB$2:$AQ$1001,MATCH(ROWS($U$2:U56),$U$2:$U$1001,0),MATCH(COLUMNS($AB$1006:AC1006),$AB$1006:$AQ$1006,0)), HYPERLINK("#",""), HYPERLINK(CONCATENATE("#metadata!", ADDRESS(INDEX($W$2:$W$1001,MATCH(ROWS($U$2:U56),$U$2:$U$1001,0),0), INDEX($AB$1004:$AQ$1004,1,MATCH(COLUMNS($AB$1006:AC1006),$AB$1006:$AQ$1006,0)))),"Fix")))</f>
        <v>0</v>
      </c>
      <c r="D56" s="4">
        <f>IF(OR(INDEX($V$2:$V$1001,MATCH(ROWS($U$2:U56),$U$2:$U$1001,0),1)&gt;=100000,INDEX($AB$1005:$AQ$1005,1,MATCH(COLUMNS($AB$1006:AD1006),$AB$1006:$AQ$1006,0))&gt;=100000), " ",IF(INDEX($AB$2:$AQ$1001,MATCH(ROWS($U$2:U56),$U$2:$U$1001,0),MATCH(COLUMNS($AB$1006:AD1006),$AB$1006:$AQ$1006,0)), HYPERLINK("#",""), HYPERLINK(CONCATENATE("#metadata!", ADDRESS(INDEX($W$2:$W$1001,MATCH(ROWS($U$2:U56),$U$2:$U$1001,0),0), INDEX($AB$1004:$AQ$1004,1,MATCH(COLUMNS($AB$1006:AD1006),$AB$1006:$AQ$1006,0)))),"Fix")))</f>
        <v>0</v>
      </c>
      <c r="E56" s="4">
        <f>IF(OR(INDEX($V$2:$V$1001,MATCH(ROWS($U$2:U56),$U$2:$U$1001,0),1)&gt;=100000,INDEX($AB$1005:$AQ$1005,1,MATCH(COLUMNS($AB$1006:AE1006),$AB$1006:$AQ$1006,0))&gt;=100000), " ",IF(INDEX($AB$2:$AQ$1001,MATCH(ROWS($U$2:U56),$U$2:$U$1001,0),MATCH(COLUMNS($AB$1006:AE1006),$AB$1006:$AQ$1006,0)), HYPERLINK("#",""), HYPERLINK(CONCATENATE("#metadata!", ADDRESS(INDEX($W$2:$W$1001,MATCH(ROWS($U$2:U56),$U$2:$U$1001,0),0), INDEX($AB$1004:$AQ$1004,1,MATCH(COLUMNS($AB$1006:AE1006),$AB$1006:$AQ$1006,0)))),"Fix")))</f>
        <v>0</v>
      </c>
      <c r="F56" s="4">
        <f>IF(OR(INDEX($V$2:$V$1001,MATCH(ROWS($U$2:U56),$U$2:$U$1001,0),1)&gt;=100000,INDEX($AB$1005:$AQ$1005,1,MATCH(COLUMNS($AB$1006:AF1006),$AB$1006:$AQ$1006,0))&gt;=100000), " ",IF(INDEX($AB$2:$AQ$1001,MATCH(ROWS($U$2:U56),$U$2:$U$1001,0),MATCH(COLUMNS($AB$1006:AF1006),$AB$1006:$AQ$1006,0)), HYPERLINK("#",""), HYPERLINK(CONCATENATE("#metadata!", ADDRESS(INDEX($W$2:$W$1001,MATCH(ROWS($U$2:U56),$U$2:$U$1001,0),0), INDEX($AB$1004:$AQ$1004,1,MATCH(COLUMNS($AB$1006:AF1006),$AB$1006:$AQ$1006,0)))),"Fix")))</f>
        <v>0</v>
      </c>
      <c r="G56" s="4">
        <f>IF(OR(INDEX($V$2:$V$1001,MATCH(ROWS($U$2:U56),$U$2:$U$1001,0),1)&gt;=100000,INDEX($AB$1005:$AQ$1005,1,MATCH(COLUMNS($AB$1006:AG1006),$AB$1006:$AQ$1006,0))&gt;=100000), " ",IF(INDEX($AB$2:$AQ$1001,MATCH(ROWS($U$2:U56),$U$2:$U$1001,0),MATCH(COLUMNS($AB$1006:AG1006),$AB$1006:$AQ$1006,0)), HYPERLINK("#",""), HYPERLINK(CONCATENATE("#metadata!", ADDRESS(INDEX($W$2:$W$1001,MATCH(ROWS($U$2:U56),$U$2:$U$1001,0),0), INDEX($AB$1004:$AQ$1004,1,MATCH(COLUMNS($AB$1006:AG1006),$AB$1006:$AQ$1006,0)))),"Fix")))</f>
        <v>0</v>
      </c>
      <c r="H56" s="4">
        <f>IF(OR(INDEX($V$2:$V$1001,MATCH(ROWS($U$2:U56),$U$2:$U$1001,0),1)&gt;=100000,INDEX($AB$1005:$AQ$1005,1,MATCH(COLUMNS($AB$1006:AH1006),$AB$1006:$AQ$1006,0))&gt;=100000), " ",IF(INDEX($AB$2:$AQ$1001,MATCH(ROWS($U$2:U56),$U$2:$U$1001,0),MATCH(COLUMNS($AB$1006:AH1006),$AB$1006:$AQ$1006,0)), HYPERLINK("#",""), HYPERLINK(CONCATENATE("#metadata!", ADDRESS(INDEX($W$2:$W$1001,MATCH(ROWS($U$2:U56),$U$2:$U$1001,0),0), INDEX($AB$1004:$AQ$1004,1,MATCH(COLUMNS($AB$1006:AH1006),$AB$1006:$AQ$1006,0)))),"Fix")))</f>
        <v>0</v>
      </c>
      <c r="I56" s="4">
        <f>IF(OR(INDEX($V$2:$V$1001,MATCH(ROWS($U$2:U56),$U$2:$U$1001,0),1)&gt;=100000,INDEX($AB$1005:$AQ$1005,1,MATCH(COLUMNS($AB$1006:AI1006),$AB$1006:$AQ$1006,0))&gt;=100000), " ",IF(INDEX($AB$2:$AQ$1001,MATCH(ROWS($U$2:U56),$U$2:$U$1001,0),MATCH(COLUMNS($AB$1006:AI1006),$AB$1006:$AQ$1006,0)), HYPERLINK("#",""), HYPERLINK(CONCATENATE("#metadata!", ADDRESS(INDEX($W$2:$W$1001,MATCH(ROWS($U$2:U56),$U$2:$U$1001,0),0), INDEX($AB$1004:$AQ$1004,1,MATCH(COLUMNS($AB$1006:AI1006),$AB$1006:$AQ$1006,0)))),"Fix")))</f>
        <v>0</v>
      </c>
      <c r="J56" s="4">
        <f>IF(OR(INDEX($V$2:$V$1001,MATCH(ROWS($U$2:U56),$U$2:$U$1001,0),1)&gt;=100000,INDEX($AB$1005:$AQ$1005,1,MATCH(COLUMNS($AB$1006:AJ1006),$AB$1006:$AQ$1006,0))&gt;=100000), " ",IF(INDEX($AB$2:$AQ$1001,MATCH(ROWS($U$2:U56),$U$2:$U$1001,0),MATCH(COLUMNS($AB$1006:AJ1006),$AB$1006:$AQ$1006,0)), HYPERLINK("#",""), HYPERLINK(CONCATENATE("#metadata!", ADDRESS(INDEX($W$2:$W$1001,MATCH(ROWS($U$2:U56),$U$2:$U$1001,0),0), INDEX($AB$1004:$AQ$1004,1,MATCH(COLUMNS($AB$1006:AJ1006),$AB$1006:$AQ$1006,0)))),"Fix")))</f>
        <v>0</v>
      </c>
      <c r="K56" s="4">
        <f>IF(OR(INDEX($V$2:$V$1001,MATCH(ROWS($U$2:U56),$U$2:$U$1001,0),1)&gt;=100000,INDEX($AB$1005:$AQ$1005,1,MATCH(COLUMNS($AB$1006:AK1006),$AB$1006:$AQ$1006,0))&gt;=100000), " ",IF(INDEX($AB$2:$AQ$1001,MATCH(ROWS($U$2:U56),$U$2:$U$1001,0),MATCH(COLUMNS($AB$1006:AK1006),$AB$1006:$AQ$1006,0)), HYPERLINK("#",""), HYPERLINK(CONCATENATE("#metadata!", ADDRESS(INDEX($W$2:$W$1001,MATCH(ROWS($U$2:U56),$U$2:$U$1001,0),0), INDEX($AB$1004:$AQ$1004,1,MATCH(COLUMNS($AB$1006:AK1006),$AB$1006:$AQ$1006,0)))),"Fix")))</f>
        <v>0</v>
      </c>
      <c r="L56" s="4">
        <f>IF(OR(INDEX($V$2:$V$1001,MATCH(ROWS($U$2:U56),$U$2:$U$1001,0),1)&gt;=100000,INDEX($AB$1005:$AQ$1005,1,MATCH(COLUMNS($AB$1006:AL1006),$AB$1006:$AQ$1006,0))&gt;=100000), " ",IF(INDEX($AB$2:$AQ$1001,MATCH(ROWS($U$2:U56),$U$2:$U$1001,0),MATCH(COLUMNS($AB$1006:AL1006),$AB$1006:$AQ$1006,0)), HYPERLINK("#",""), HYPERLINK(CONCATENATE("#metadata!", ADDRESS(INDEX($W$2:$W$1001,MATCH(ROWS($U$2:U56),$U$2:$U$1001,0),0), INDEX($AB$1004:$AQ$1004,1,MATCH(COLUMNS($AB$1006:AL1006),$AB$1006:$AQ$1006,0)))),"Fix")))</f>
        <v>0</v>
      </c>
      <c r="M56" s="4">
        <f>IF(OR(INDEX($V$2:$V$1001,MATCH(ROWS($U$2:U56),$U$2:$U$1001,0),1)&gt;=100000,INDEX($AB$1005:$AQ$1005,1,MATCH(COLUMNS($AB$1006:AM1006),$AB$1006:$AQ$1006,0))&gt;=100000), " ",IF(INDEX($AB$2:$AQ$1001,MATCH(ROWS($U$2:U56),$U$2:$U$1001,0),MATCH(COLUMNS($AB$1006:AM1006),$AB$1006:$AQ$1006,0)), HYPERLINK("#",""), HYPERLINK(CONCATENATE("#metadata!", ADDRESS(INDEX($W$2:$W$1001,MATCH(ROWS($U$2:U56),$U$2:$U$1001,0),0), INDEX($AB$1004:$AQ$1004,1,MATCH(COLUMNS($AB$1006:AM1006),$AB$1006:$AQ$1006,0)))),"Fix")))</f>
        <v>0</v>
      </c>
      <c r="N56" s="4">
        <f>IF(OR(INDEX($V$2:$V$1001,MATCH(ROWS($U$2:U56),$U$2:$U$1001,0),1)&gt;=100000,INDEX($AB$1005:$AQ$1005,1,MATCH(COLUMNS($AB$1006:AN1006),$AB$1006:$AQ$1006,0))&gt;=100000), " ",IF(INDEX($AB$2:$AQ$1001,MATCH(ROWS($U$2:U56),$U$2:$U$1001,0),MATCH(COLUMNS($AB$1006:AN1006),$AB$1006:$AQ$1006,0)), HYPERLINK("#",""), HYPERLINK(CONCATENATE("#metadata!", ADDRESS(INDEX($W$2:$W$1001,MATCH(ROWS($U$2:U56),$U$2:$U$1001,0),0), INDEX($AB$1004:$AQ$1004,1,MATCH(COLUMNS($AB$1006:AN1006),$AB$1006:$AQ$1006,0)))),"Fix")))</f>
        <v>0</v>
      </c>
      <c r="O56" s="4">
        <f>IF(OR(INDEX($V$2:$V$1001,MATCH(ROWS($U$2:U56),$U$2:$U$1001,0),1)&gt;=100000,INDEX($AB$1005:$AQ$1005,1,MATCH(COLUMNS($AB$1006:AO1006),$AB$1006:$AQ$1006,0))&gt;=100000), " ",IF(INDEX($AB$2:$AQ$1001,MATCH(ROWS($U$2:U56),$U$2:$U$1001,0),MATCH(COLUMNS($AB$1006:AO1006),$AB$1006:$AQ$1006,0)), HYPERLINK("#",""), HYPERLINK(CONCATENATE("#metadata!", ADDRESS(INDEX($W$2:$W$1001,MATCH(ROWS($U$2:U56),$U$2:$U$1001,0),0), INDEX($AB$1004:$AQ$1004,1,MATCH(COLUMNS($AB$1006:AO1006),$AB$1006:$AQ$1006,0)))),"Fix")))</f>
        <v>0</v>
      </c>
      <c r="P56" s="4">
        <f>IF(OR(INDEX($V$2:$V$1001,MATCH(ROWS($U$2:U56),$U$2:$U$1001,0),1)&gt;=100000,INDEX($AB$1005:$AQ$1005,1,MATCH(COLUMNS($AB$1006:AP1006),$AB$1006:$AQ$1006,0))&gt;=100000), " ",IF(INDEX($AB$2:$AQ$1001,MATCH(ROWS($U$2:U56),$U$2:$U$1001,0),MATCH(COLUMNS($AB$1006:AP1006),$AB$1006:$AQ$1006,0)), HYPERLINK("#",""), HYPERLINK(CONCATENATE("#metadata!", ADDRESS(INDEX($W$2:$W$1001,MATCH(ROWS($U$2:U56),$U$2:$U$1001,0),0), INDEX($AB$1004:$AQ$1004,1,MATCH(COLUMNS($AB$1006:AP1006),$AB$1006:$AQ$1006,0)))),"Fix")))</f>
        <v>0</v>
      </c>
      <c r="Q56" s="4">
        <f>IF(OR(INDEX($V$2:$V$1001,MATCH(ROWS($U$2:U56),$U$2:$U$1001,0),1)&gt;=100000,INDEX($AB$1005:$AQ$1005,1,MATCH(COLUMNS($AB$1006:AQ1006),$AB$1006:$AQ$1006,0))&gt;=100000), " ",IF(INDEX($AB$2:$AQ$1001,MATCH(ROWS($U$2:U56),$U$2:$U$1001,0),MATCH(COLUMNS($AB$1006:AQ1006),$AB$1006:$AQ$1006,0)), HYPERLINK("#",""), HYPERLINK(CONCATENATE("#metadata!", ADDRESS(INDEX($W$2:$W$1001,MATCH(ROWS($U$2:U56),$U$2:$U$1001,0),0), INDEX($AB$1004:$AQ$1004,1,MATCH(COLUMNS($AB$1006:AQ1006),$AB$1006:$AQ$1006,0)))),"Fix")))</f>
        <v>0</v>
      </c>
      <c r="U56">
        <v>0</v>
      </c>
      <c r="V56">
        <v>0</v>
      </c>
      <c r="W56">
        <v>0</v>
      </c>
      <c r="X56">
        <f>IF(Y56,TRUE,AND(AB56:AQ56))</f>
        <v>0</v>
      </c>
      <c r="Y56">
        <f>COUNTBLANK(metadata!B56:Q56)=COLUMNS(metadata!B56:Q56)</f>
        <v>0</v>
      </c>
      <c r="Z56">
        <v>0</v>
      </c>
      <c r="AB56">
        <f>AND(IF(metadata!B56="",FALSE,TRUE),COUNTIF(metadata!B:B, metadata!B56) = 1,NOT(ISERROR(SUMPRODUCT(SEARCH(MID(metadata!B56,ROW(INDIRECT("1:"&amp;LEN(metadata!B56))), 1),"0123456789abcdefghijklmnopqrstuvwxyzABCDEFGHIJKLMNOPQRSTUVWXYZ.")))))</f>
        <v>0</v>
      </c>
      <c r="AC56">
        <f>OR(AND(IF(metadata!C56="",FALSE,TRUE),OR(exact(metadata!C56,"missing: not collected"),exact(metadata!C56,"missing: not provided"),exact(metadata!C56,"missing: restricted access"))),AND(IF(metadata!C56="",FALSE,TRUE),AND(AND(IFERROR(INT(LEFT(metadata!C56,4))&gt;1900,FALSE),IFERROR(INT(LEFT(metadata!C56,4))&lt;=YEAR(NOW()),FALSE)), OR(MID(metadata!C56,5,1)="", AND(AND(MID(metadata!C56,5,1)="-",IFERROR(INT(MID(metadata!C56,6,1))&gt;=0,FALSE),IFERROR(INT(MID(metadata!C56,6,1))&lt;=1,FALSE),NOT(MID(metadata!C56,7,1)=""),IFERROR(INT(MID(metadata!C56,6,2))&gt;=1,FALSE),IFERROR(INT(MID(metadata!C56,6,2))&lt;=12,FALSE)), OR(MID(metadata!C56,8,1)="", AND(AND(MID(metadata!C56,8,1)="-",IFERROR(INT(MID(metadata!C56,9,1))&gt;=0,FALSE),IFERROR(INT(MID(metadata!C56,9,1))&lt;=3,FALSE),NOT(MID(metadata!C56,10,1)=""),IFERROR(INT(MID(metadata!C56,9,2))&gt;=1,FALSE),IFERROR(INT(MID(metadata!C56,9,2))&lt;=31,FALSE)), OR(MID(metadata!C56,11,1)="", AND(AND(MID(metadata!C56,11,1)=" ",IFERROR(INT(MID(metadata!C56,12,1))&gt;=0,FALSE),IFERROR(INT(MID(metadata!C56,12,1))&lt;=2,FALSE),NOT(MID(metadata!C56,13,1)=""),IFERROR(INT(MID(metadata!C56,12,2))&gt;=0,FALSE),IFERROR(INT(MID(metadata!C56,12,2))&lt;=23,FALSE)), OR(MID(metadata!C56,14,1)="", AND(AND(MID(metadata!C56,14,1)=":",IFERROR(INT(MID(metadata!C56,15,1))&gt;=0,FALSE),IFERROR(INT(MID(metadata!C56,15,1))&lt;=5,FALSE),NOT(MID(metadata!C56,16,1)=""),IFERROR(INT(MID(metadata!C56,15,2))&gt;=0,FALSE),IFERROR(INT(MID(metadata!C56,15,2))&lt;=59,FALSE)), OR(MID(metadata!C56,17,1)="", AND(AND(MID(metadata!C56,17,1)=":",IFERROR(INT(MID(metadata!C56,18,1))&gt;=0,FALSE),IFERROR(INT(MID(metadata!C56,18,1))&lt;=5,FALSE),NOT(MID(metadata!C56,19,1)=""),IFERROR(INT(MID(metadata!C56,18,2))&gt;=0,FALSE),IFERROR(INT(MID(metadata!C56,18,2))&lt;=59,FALSE)), LEN(metadata!C56)&lt;=19)))))))))))))</f>
        <v>0</v>
      </c>
      <c r="AD56">
        <f>IF(metadata!D56="",FALSE,TRUE)</f>
        <v>0</v>
      </c>
      <c r="AE56">
        <f>OR(AND(IF(metadata!E56="",FALSE,TRUE),OR(exact(metadata!E56,"missing: not collected"),exact(metadata!E56,"missing: not provided"))),AND(IF(metadata!E56="",FALSE,TRUE),OR(exact(metadata!E56,"TRUE"),exact(metadata!E56,"FALSE"))))</f>
        <v>0</v>
      </c>
      <c r="AF56">
        <f>IF(metadata!F56="",FALSE,TRUE)</f>
        <v>0</v>
      </c>
      <c r="AG56">
        <f>IF(metadata!G56="",FALSE,TRUE)</f>
        <v>0</v>
      </c>
      <c r="AH56">
        <f>IF(metadata!H56="",FALSE,TRUE)</f>
        <v>0</v>
      </c>
      <c r="AI56">
        <f>OR(AND(IF(metadata!I56="",FALSE,TRUE),OR(exact(metadata!I56,"missing: not collected"),exact(metadata!I56,"missing: not provided"),exact(metadata!I56,"missing: restricted access"))),AND(IF(metadata!I56="",FALSE,TRUE),OR(exact(metadata!I56,"air"),exact(metadata!I56,"built environment"),exact(metadata!I56,"host-associated"),exact(metadata!I56,"human-associated"),exact(metadata!I56,"human-skin"),exact(metadata!I56,"human-oral"),exact(metadata!I56,"human-gut"),exact(metadata!I56,"human-vaginal"),exact(metadata!I56,"microbial mat/biofilm"),exact(metadata!I56,"misc environment"),exact(metadata!I56,"plant-associated"),exact(metadata!I56,"sediment"),exact(metadata!I56,"soil"),exact(metadata!I56,"wastewater/sludge"),exact(metadata!I56,"water"))))</f>
        <v>0</v>
      </c>
      <c r="AJ56">
        <f>IF(metadata!J56="",FALSE,TRUE)</f>
        <v>0</v>
      </c>
      <c r="AK56">
        <f>OR(AND(IF(metadata!K56="",FALSE,TRUE),OR(exact(metadata!K56,"missing: not collected"),exact(metadata!K56,"missing: not provided"),exact(metadata!K56,"missing: restricted access"))),AND(IF(metadata!K56="",FALSE,ISNUMBER(VALUE(metadata!K56))),metadata!K56&gt;=-90.00,metadata!K56&lt;=90.00))</f>
        <v>0</v>
      </c>
      <c r="AL56">
        <f>OR(AND(IF(metadata!L56="",FALSE,TRUE),OR(exact(metadata!L56,"missing: not collected"),exact(metadata!L56,"missing: not provided"),exact(metadata!L56,"missing: restricted access"))),AND(IF(metadata!L56="",FALSE,ISNUMBER(VALUE(metadata!L56))),metadata!L56&gt;=-180.00,metadata!L56&lt;=180.00))</f>
        <v>0</v>
      </c>
      <c r="AM56">
        <f>IF(metadata!M56="",FALSE,TRUE)</f>
        <v>0</v>
      </c>
      <c r="AN56">
        <f>OR(AND(IF(metadata!N56="",FALSE,TRUE),OR(exact(metadata!N56,"missing: not collected"),exact(metadata!N56,"missing: not provided"),exact(metadata!N56,"missing: restricted access"))),AND(IF(metadata!N56="",FALSE,TRUE),OR(exact(metadata!N56,"TRUE"),exact(metadata!N56,"FALSE"))))</f>
        <v>0</v>
      </c>
      <c r="AO56">
        <f>IF(metadata!O56="",FALSE,TRUE)</f>
        <v>0</v>
      </c>
      <c r="AP56">
        <f>OR(AND(IF(metadata!P56="",FALSE,TRUE),OR(exact(metadata!P56,"missing: not collected"),exact(metadata!P56,"missing: not provided"))),AND(IF(metadata!P56="",FALSE,IF(ISERROR(INT(metadata!P56)),FALSE,INT(metadata!P56)=metadata!P56)),metadata!P56&gt;0))</f>
        <v>0</v>
      </c>
      <c r="AQ56">
        <f>IF(metadata!Q56="",FALSE,TRUE)</f>
        <v>0</v>
      </c>
    </row>
    <row r="57" spans="1:43">
      <c r="A57" s="5">
        <f>IF(B57=" "," ",HYPERLINK(CONCATENATE("#metadata!",ADDRESS(INDEX($W$2:$W$1001,MATCH(ROWS($U$2:U57),$U$2:$U$1001,0),0),1)),INDEX($Z$2:$Z$1001,MATCH(ROWS($U$2:U57),$U$2:$U$1001,0),0)))</f>
        <v>0</v>
      </c>
      <c r="B57" s="4">
        <f>IF(OR(INDEX($V$2:$V$1001,MATCH(ROWS($U$2:U57),$U$2:$U$1001,0),1)&gt;=100000,INDEX($AB$1005:$AQ$1005,1,MATCH(COLUMNS($AB$1006:AB1006),$AB$1006:$AQ$1006,0))&gt;=100000), " ",IF(INDEX($AB$2:$AQ$1001,MATCH(ROWS($U$2:U57),$U$2:$U$1001,0),MATCH(COLUMNS($AB$1006:AB1006),$AB$1006:$AQ$1006,0)), HYPERLINK("#",""), HYPERLINK(CONCATENATE("#metadata!", ADDRESS(INDEX($W$2:$W$1001,MATCH(ROWS($U$2:U57),$U$2:$U$1001,0),0), INDEX($AB$1004:$AQ$1004,1,MATCH(COLUMNS($AB$1006:AB1006),$AB$1006:$AQ$1006,0)))),"Fix")))</f>
        <v>0</v>
      </c>
      <c r="C57" s="4">
        <f>IF(OR(INDEX($V$2:$V$1001,MATCH(ROWS($U$2:U57),$U$2:$U$1001,0),1)&gt;=100000,INDEX($AB$1005:$AQ$1005,1,MATCH(COLUMNS($AB$1006:AC1006),$AB$1006:$AQ$1006,0))&gt;=100000), " ",IF(INDEX($AB$2:$AQ$1001,MATCH(ROWS($U$2:U57),$U$2:$U$1001,0),MATCH(COLUMNS($AB$1006:AC1006),$AB$1006:$AQ$1006,0)), HYPERLINK("#",""), HYPERLINK(CONCATENATE("#metadata!", ADDRESS(INDEX($W$2:$W$1001,MATCH(ROWS($U$2:U57),$U$2:$U$1001,0),0), INDEX($AB$1004:$AQ$1004,1,MATCH(COLUMNS($AB$1006:AC1006),$AB$1006:$AQ$1006,0)))),"Fix")))</f>
        <v>0</v>
      </c>
      <c r="D57" s="4">
        <f>IF(OR(INDEX($V$2:$V$1001,MATCH(ROWS($U$2:U57),$U$2:$U$1001,0),1)&gt;=100000,INDEX($AB$1005:$AQ$1005,1,MATCH(COLUMNS($AB$1006:AD1006),$AB$1006:$AQ$1006,0))&gt;=100000), " ",IF(INDEX($AB$2:$AQ$1001,MATCH(ROWS($U$2:U57),$U$2:$U$1001,0),MATCH(COLUMNS($AB$1006:AD1006),$AB$1006:$AQ$1006,0)), HYPERLINK("#",""), HYPERLINK(CONCATENATE("#metadata!", ADDRESS(INDEX($W$2:$W$1001,MATCH(ROWS($U$2:U57),$U$2:$U$1001,0),0), INDEX($AB$1004:$AQ$1004,1,MATCH(COLUMNS($AB$1006:AD1006),$AB$1006:$AQ$1006,0)))),"Fix")))</f>
        <v>0</v>
      </c>
      <c r="E57" s="4">
        <f>IF(OR(INDEX($V$2:$V$1001,MATCH(ROWS($U$2:U57),$U$2:$U$1001,0),1)&gt;=100000,INDEX($AB$1005:$AQ$1005,1,MATCH(COLUMNS($AB$1006:AE1006),$AB$1006:$AQ$1006,0))&gt;=100000), " ",IF(INDEX($AB$2:$AQ$1001,MATCH(ROWS($U$2:U57),$U$2:$U$1001,0),MATCH(COLUMNS($AB$1006:AE1006),$AB$1006:$AQ$1006,0)), HYPERLINK("#",""), HYPERLINK(CONCATENATE("#metadata!", ADDRESS(INDEX($W$2:$W$1001,MATCH(ROWS($U$2:U57),$U$2:$U$1001,0),0), INDEX($AB$1004:$AQ$1004,1,MATCH(COLUMNS($AB$1006:AE1006),$AB$1006:$AQ$1006,0)))),"Fix")))</f>
        <v>0</v>
      </c>
      <c r="F57" s="4">
        <f>IF(OR(INDEX($V$2:$V$1001,MATCH(ROWS($U$2:U57),$U$2:$U$1001,0),1)&gt;=100000,INDEX($AB$1005:$AQ$1005,1,MATCH(COLUMNS($AB$1006:AF1006),$AB$1006:$AQ$1006,0))&gt;=100000), " ",IF(INDEX($AB$2:$AQ$1001,MATCH(ROWS($U$2:U57),$U$2:$U$1001,0),MATCH(COLUMNS($AB$1006:AF1006),$AB$1006:$AQ$1006,0)), HYPERLINK("#",""), HYPERLINK(CONCATENATE("#metadata!", ADDRESS(INDEX($W$2:$W$1001,MATCH(ROWS($U$2:U57),$U$2:$U$1001,0),0), INDEX($AB$1004:$AQ$1004,1,MATCH(COLUMNS($AB$1006:AF1006),$AB$1006:$AQ$1006,0)))),"Fix")))</f>
        <v>0</v>
      </c>
      <c r="G57" s="4">
        <f>IF(OR(INDEX($V$2:$V$1001,MATCH(ROWS($U$2:U57),$U$2:$U$1001,0),1)&gt;=100000,INDEX($AB$1005:$AQ$1005,1,MATCH(COLUMNS($AB$1006:AG1006),$AB$1006:$AQ$1006,0))&gt;=100000), " ",IF(INDEX($AB$2:$AQ$1001,MATCH(ROWS($U$2:U57),$U$2:$U$1001,0),MATCH(COLUMNS($AB$1006:AG1006),$AB$1006:$AQ$1006,0)), HYPERLINK("#",""), HYPERLINK(CONCATENATE("#metadata!", ADDRESS(INDEX($W$2:$W$1001,MATCH(ROWS($U$2:U57),$U$2:$U$1001,0),0), INDEX($AB$1004:$AQ$1004,1,MATCH(COLUMNS($AB$1006:AG1006),$AB$1006:$AQ$1006,0)))),"Fix")))</f>
        <v>0</v>
      </c>
      <c r="H57" s="4">
        <f>IF(OR(INDEX($V$2:$V$1001,MATCH(ROWS($U$2:U57),$U$2:$U$1001,0),1)&gt;=100000,INDEX($AB$1005:$AQ$1005,1,MATCH(COLUMNS($AB$1006:AH1006),$AB$1006:$AQ$1006,0))&gt;=100000), " ",IF(INDEX($AB$2:$AQ$1001,MATCH(ROWS($U$2:U57),$U$2:$U$1001,0),MATCH(COLUMNS($AB$1006:AH1006),$AB$1006:$AQ$1006,0)), HYPERLINK("#",""), HYPERLINK(CONCATENATE("#metadata!", ADDRESS(INDEX($W$2:$W$1001,MATCH(ROWS($U$2:U57),$U$2:$U$1001,0),0), INDEX($AB$1004:$AQ$1004,1,MATCH(COLUMNS($AB$1006:AH1006),$AB$1006:$AQ$1006,0)))),"Fix")))</f>
        <v>0</v>
      </c>
      <c r="I57" s="4">
        <f>IF(OR(INDEX($V$2:$V$1001,MATCH(ROWS($U$2:U57),$U$2:$U$1001,0),1)&gt;=100000,INDEX($AB$1005:$AQ$1005,1,MATCH(COLUMNS($AB$1006:AI1006),$AB$1006:$AQ$1006,0))&gt;=100000), " ",IF(INDEX($AB$2:$AQ$1001,MATCH(ROWS($U$2:U57),$U$2:$U$1001,0),MATCH(COLUMNS($AB$1006:AI1006),$AB$1006:$AQ$1006,0)), HYPERLINK("#",""), HYPERLINK(CONCATENATE("#metadata!", ADDRESS(INDEX($W$2:$W$1001,MATCH(ROWS($U$2:U57),$U$2:$U$1001,0),0), INDEX($AB$1004:$AQ$1004,1,MATCH(COLUMNS($AB$1006:AI1006),$AB$1006:$AQ$1006,0)))),"Fix")))</f>
        <v>0</v>
      </c>
      <c r="J57" s="4">
        <f>IF(OR(INDEX($V$2:$V$1001,MATCH(ROWS($U$2:U57),$U$2:$U$1001,0),1)&gt;=100000,INDEX($AB$1005:$AQ$1005,1,MATCH(COLUMNS($AB$1006:AJ1006),$AB$1006:$AQ$1006,0))&gt;=100000), " ",IF(INDEX($AB$2:$AQ$1001,MATCH(ROWS($U$2:U57),$U$2:$U$1001,0),MATCH(COLUMNS($AB$1006:AJ1006),$AB$1006:$AQ$1006,0)), HYPERLINK("#",""), HYPERLINK(CONCATENATE("#metadata!", ADDRESS(INDEX($W$2:$W$1001,MATCH(ROWS($U$2:U57),$U$2:$U$1001,0),0), INDEX($AB$1004:$AQ$1004,1,MATCH(COLUMNS($AB$1006:AJ1006),$AB$1006:$AQ$1006,0)))),"Fix")))</f>
        <v>0</v>
      </c>
      <c r="K57" s="4">
        <f>IF(OR(INDEX($V$2:$V$1001,MATCH(ROWS($U$2:U57),$U$2:$U$1001,0),1)&gt;=100000,INDEX($AB$1005:$AQ$1005,1,MATCH(COLUMNS($AB$1006:AK1006),$AB$1006:$AQ$1006,0))&gt;=100000), " ",IF(INDEX($AB$2:$AQ$1001,MATCH(ROWS($U$2:U57),$U$2:$U$1001,0),MATCH(COLUMNS($AB$1006:AK1006),$AB$1006:$AQ$1006,0)), HYPERLINK("#",""), HYPERLINK(CONCATENATE("#metadata!", ADDRESS(INDEX($W$2:$W$1001,MATCH(ROWS($U$2:U57),$U$2:$U$1001,0),0), INDEX($AB$1004:$AQ$1004,1,MATCH(COLUMNS($AB$1006:AK1006),$AB$1006:$AQ$1006,0)))),"Fix")))</f>
        <v>0</v>
      </c>
      <c r="L57" s="4">
        <f>IF(OR(INDEX($V$2:$V$1001,MATCH(ROWS($U$2:U57),$U$2:$U$1001,0),1)&gt;=100000,INDEX($AB$1005:$AQ$1005,1,MATCH(COLUMNS($AB$1006:AL1006),$AB$1006:$AQ$1006,0))&gt;=100000), " ",IF(INDEX($AB$2:$AQ$1001,MATCH(ROWS($U$2:U57),$U$2:$U$1001,0),MATCH(COLUMNS($AB$1006:AL1006),$AB$1006:$AQ$1006,0)), HYPERLINK("#",""), HYPERLINK(CONCATENATE("#metadata!", ADDRESS(INDEX($W$2:$W$1001,MATCH(ROWS($U$2:U57),$U$2:$U$1001,0),0), INDEX($AB$1004:$AQ$1004,1,MATCH(COLUMNS($AB$1006:AL1006),$AB$1006:$AQ$1006,0)))),"Fix")))</f>
        <v>0</v>
      </c>
      <c r="M57" s="4">
        <f>IF(OR(INDEX($V$2:$V$1001,MATCH(ROWS($U$2:U57),$U$2:$U$1001,0),1)&gt;=100000,INDEX($AB$1005:$AQ$1005,1,MATCH(COLUMNS($AB$1006:AM1006),$AB$1006:$AQ$1006,0))&gt;=100000), " ",IF(INDEX($AB$2:$AQ$1001,MATCH(ROWS($U$2:U57),$U$2:$U$1001,0),MATCH(COLUMNS($AB$1006:AM1006),$AB$1006:$AQ$1006,0)), HYPERLINK("#",""), HYPERLINK(CONCATENATE("#metadata!", ADDRESS(INDEX($W$2:$W$1001,MATCH(ROWS($U$2:U57),$U$2:$U$1001,0),0), INDEX($AB$1004:$AQ$1004,1,MATCH(COLUMNS($AB$1006:AM1006),$AB$1006:$AQ$1006,0)))),"Fix")))</f>
        <v>0</v>
      </c>
      <c r="N57" s="4">
        <f>IF(OR(INDEX($V$2:$V$1001,MATCH(ROWS($U$2:U57),$U$2:$U$1001,0),1)&gt;=100000,INDEX($AB$1005:$AQ$1005,1,MATCH(COLUMNS($AB$1006:AN1006),$AB$1006:$AQ$1006,0))&gt;=100000), " ",IF(INDEX($AB$2:$AQ$1001,MATCH(ROWS($U$2:U57),$U$2:$U$1001,0),MATCH(COLUMNS($AB$1006:AN1006),$AB$1006:$AQ$1006,0)), HYPERLINK("#",""), HYPERLINK(CONCATENATE("#metadata!", ADDRESS(INDEX($W$2:$W$1001,MATCH(ROWS($U$2:U57),$U$2:$U$1001,0),0), INDEX($AB$1004:$AQ$1004,1,MATCH(COLUMNS($AB$1006:AN1006),$AB$1006:$AQ$1006,0)))),"Fix")))</f>
        <v>0</v>
      </c>
      <c r="O57" s="4">
        <f>IF(OR(INDEX($V$2:$V$1001,MATCH(ROWS($U$2:U57),$U$2:$U$1001,0),1)&gt;=100000,INDEX($AB$1005:$AQ$1005,1,MATCH(COLUMNS($AB$1006:AO1006),$AB$1006:$AQ$1006,0))&gt;=100000), " ",IF(INDEX($AB$2:$AQ$1001,MATCH(ROWS($U$2:U57),$U$2:$U$1001,0),MATCH(COLUMNS($AB$1006:AO1006),$AB$1006:$AQ$1006,0)), HYPERLINK("#",""), HYPERLINK(CONCATENATE("#metadata!", ADDRESS(INDEX($W$2:$W$1001,MATCH(ROWS($U$2:U57),$U$2:$U$1001,0),0), INDEX($AB$1004:$AQ$1004,1,MATCH(COLUMNS($AB$1006:AO1006),$AB$1006:$AQ$1006,0)))),"Fix")))</f>
        <v>0</v>
      </c>
      <c r="P57" s="4">
        <f>IF(OR(INDEX($V$2:$V$1001,MATCH(ROWS($U$2:U57),$U$2:$U$1001,0),1)&gt;=100000,INDEX($AB$1005:$AQ$1005,1,MATCH(COLUMNS($AB$1006:AP1006),$AB$1006:$AQ$1006,0))&gt;=100000), " ",IF(INDEX($AB$2:$AQ$1001,MATCH(ROWS($U$2:U57),$U$2:$U$1001,0),MATCH(COLUMNS($AB$1006:AP1006),$AB$1006:$AQ$1006,0)), HYPERLINK("#",""), HYPERLINK(CONCATENATE("#metadata!", ADDRESS(INDEX($W$2:$W$1001,MATCH(ROWS($U$2:U57),$U$2:$U$1001,0),0), INDEX($AB$1004:$AQ$1004,1,MATCH(COLUMNS($AB$1006:AP1006),$AB$1006:$AQ$1006,0)))),"Fix")))</f>
        <v>0</v>
      </c>
      <c r="Q57" s="4">
        <f>IF(OR(INDEX($V$2:$V$1001,MATCH(ROWS($U$2:U57),$U$2:$U$1001,0),1)&gt;=100000,INDEX($AB$1005:$AQ$1005,1,MATCH(COLUMNS($AB$1006:AQ1006),$AB$1006:$AQ$1006,0))&gt;=100000), " ",IF(INDEX($AB$2:$AQ$1001,MATCH(ROWS($U$2:U57),$U$2:$U$1001,0),MATCH(COLUMNS($AB$1006:AQ1006),$AB$1006:$AQ$1006,0)), HYPERLINK("#",""), HYPERLINK(CONCATENATE("#metadata!", ADDRESS(INDEX($W$2:$W$1001,MATCH(ROWS($U$2:U57),$U$2:$U$1001,0),0), INDEX($AB$1004:$AQ$1004,1,MATCH(COLUMNS($AB$1006:AQ1006),$AB$1006:$AQ$1006,0)))),"Fix")))</f>
        <v>0</v>
      </c>
      <c r="U57">
        <v>0</v>
      </c>
      <c r="V57">
        <v>0</v>
      </c>
      <c r="W57">
        <v>0</v>
      </c>
      <c r="X57">
        <f>IF(Y57,TRUE,AND(AB57:AQ57))</f>
        <v>0</v>
      </c>
      <c r="Y57">
        <f>COUNTBLANK(metadata!B57:Q57)=COLUMNS(metadata!B57:Q57)</f>
        <v>0</v>
      </c>
      <c r="Z57">
        <v>0</v>
      </c>
      <c r="AB57">
        <f>AND(IF(metadata!B57="",FALSE,TRUE),COUNTIF(metadata!B:B, metadata!B57) = 1,NOT(ISERROR(SUMPRODUCT(SEARCH(MID(metadata!B57,ROW(INDIRECT("1:"&amp;LEN(metadata!B57))), 1),"0123456789abcdefghijklmnopqrstuvwxyzABCDEFGHIJKLMNOPQRSTUVWXYZ.")))))</f>
        <v>0</v>
      </c>
      <c r="AC57">
        <f>OR(AND(IF(metadata!C57="",FALSE,TRUE),OR(exact(metadata!C57,"missing: not collected"),exact(metadata!C57,"missing: not provided"),exact(metadata!C57,"missing: restricted access"))),AND(IF(metadata!C57="",FALSE,TRUE),AND(AND(IFERROR(INT(LEFT(metadata!C57,4))&gt;1900,FALSE),IFERROR(INT(LEFT(metadata!C57,4))&lt;=YEAR(NOW()),FALSE)), OR(MID(metadata!C57,5,1)="", AND(AND(MID(metadata!C57,5,1)="-",IFERROR(INT(MID(metadata!C57,6,1))&gt;=0,FALSE),IFERROR(INT(MID(metadata!C57,6,1))&lt;=1,FALSE),NOT(MID(metadata!C57,7,1)=""),IFERROR(INT(MID(metadata!C57,6,2))&gt;=1,FALSE),IFERROR(INT(MID(metadata!C57,6,2))&lt;=12,FALSE)), OR(MID(metadata!C57,8,1)="", AND(AND(MID(metadata!C57,8,1)="-",IFERROR(INT(MID(metadata!C57,9,1))&gt;=0,FALSE),IFERROR(INT(MID(metadata!C57,9,1))&lt;=3,FALSE),NOT(MID(metadata!C57,10,1)=""),IFERROR(INT(MID(metadata!C57,9,2))&gt;=1,FALSE),IFERROR(INT(MID(metadata!C57,9,2))&lt;=31,FALSE)), OR(MID(metadata!C57,11,1)="", AND(AND(MID(metadata!C57,11,1)=" ",IFERROR(INT(MID(metadata!C57,12,1))&gt;=0,FALSE),IFERROR(INT(MID(metadata!C57,12,1))&lt;=2,FALSE),NOT(MID(metadata!C57,13,1)=""),IFERROR(INT(MID(metadata!C57,12,2))&gt;=0,FALSE),IFERROR(INT(MID(metadata!C57,12,2))&lt;=23,FALSE)), OR(MID(metadata!C57,14,1)="", AND(AND(MID(metadata!C57,14,1)=":",IFERROR(INT(MID(metadata!C57,15,1))&gt;=0,FALSE),IFERROR(INT(MID(metadata!C57,15,1))&lt;=5,FALSE),NOT(MID(metadata!C57,16,1)=""),IFERROR(INT(MID(metadata!C57,15,2))&gt;=0,FALSE),IFERROR(INT(MID(metadata!C57,15,2))&lt;=59,FALSE)), OR(MID(metadata!C57,17,1)="", AND(AND(MID(metadata!C57,17,1)=":",IFERROR(INT(MID(metadata!C57,18,1))&gt;=0,FALSE),IFERROR(INT(MID(metadata!C57,18,1))&lt;=5,FALSE),NOT(MID(metadata!C57,19,1)=""),IFERROR(INT(MID(metadata!C57,18,2))&gt;=0,FALSE),IFERROR(INT(MID(metadata!C57,18,2))&lt;=59,FALSE)), LEN(metadata!C57)&lt;=19)))))))))))))</f>
        <v>0</v>
      </c>
      <c r="AD57">
        <f>IF(metadata!D57="",FALSE,TRUE)</f>
        <v>0</v>
      </c>
      <c r="AE57">
        <f>OR(AND(IF(metadata!E57="",FALSE,TRUE),OR(exact(metadata!E57,"missing: not collected"),exact(metadata!E57,"missing: not provided"))),AND(IF(metadata!E57="",FALSE,TRUE),OR(exact(metadata!E57,"TRUE"),exact(metadata!E57,"FALSE"))))</f>
        <v>0</v>
      </c>
      <c r="AF57">
        <f>IF(metadata!F57="",FALSE,TRUE)</f>
        <v>0</v>
      </c>
      <c r="AG57">
        <f>IF(metadata!G57="",FALSE,TRUE)</f>
        <v>0</v>
      </c>
      <c r="AH57">
        <f>IF(metadata!H57="",FALSE,TRUE)</f>
        <v>0</v>
      </c>
      <c r="AI57">
        <f>OR(AND(IF(metadata!I57="",FALSE,TRUE),OR(exact(metadata!I57,"missing: not collected"),exact(metadata!I57,"missing: not provided"),exact(metadata!I57,"missing: restricted access"))),AND(IF(metadata!I57="",FALSE,TRUE),OR(exact(metadata!I57,"air"),exact(metadata!I57,"built environment"),exact(metadata!I57,"host-associated"),exact(metadata!I57,"human-associated"),exact(metadata!I57,"human-skin"),exact(metadata!I57,"human-oral"),exact(metadata!I57,"human-gut"),exact(metadata!I57,"human-vaginal"),exact(metadata!I57,"microbial mat/biofilm"),exact(metadata!I57,"misc environment"),exact(metadata!I57,"plant-associated"),exact(metadata!I57,"sediment"),exact(metadata!I57,"soil"),exact(metadata!I57,"wastewater/sludge"),exact(metadata!I57,"water"))))</f>
        <v>0</v>
      </c>
      <c r="AJ57">
        <f>IF(metadata!J57="",FALSE,TRUE)</f>
        <v>0</v>
      </c>
      <c r="AK57">
        <f>OR(AND(IF(metadata!K57="",FALSE,TRUE),OR(exact(metadata!K57,"missing: not collected"),exact(metadata!K57,"missing: not provided"),exact(metadata!K57,"missing: restricted access"))),AND(IF(metadata!K57="",FALSE,ISNUMBER(VALUE(metadata!K57))),metadata!K57&gt;=-90.00,metadata!K57&lt;=90.00))</f>
        <v>0</v>
      </c>
      <c r="AL57">
        <f>OR(AND(IF(metadata!L57="",FALSE,TRUE),OR(exact(metadata!L57,"missing: not collected"),exact(metadata!L57,"missing: not provided"),exact(metadata!L57,"missing: restricted access"))),AND(IF(metadata!L57="",FALSE,ISNUMBER(VALUE(metadata!L57))),metadata!L57&gt;=-180.00,metadata!L57&lt;=180.00))</f>
        <v>0</v>
      </c>
      <c r="AM57">
        <f>IF(metadata!M57="",FALSE,TRUE)</f>
        <v>0</v>
      </c>
      <c r="AN57">
        <f>OR(AND(IF(metadata!N57="",FALSE,TRUE),OR(exact(metadata!N57,"missing: not collected"),exact(metadata!N57,"missing: not provided"),exact(metadata!N57,"missing: restricted access"))),AND(IF(metadata!N57="",FALSE,TRUE),OR(exact(metadata!N57,"TRUE"),exact(metadata!N57,"FALSE"))))</f>
        <v>0</v>
      </c>
      <c r="AO57">
        <f>IF(metadata!O57="",FALSE,TRUE)</f>
        <v>0</v>
      </c>
      <c r="AP57">
        <f>OR(AND(IF(metadata!P57="",FALSE,TRUE),OR(exact(metadata!P57,"missing: not collected"),exact(metadata!P57,"missing: not provided"))),AND(IF(metadata!P57="",FALSE,IF(ISERROR(INT(metadata!P57)),FALSE,INT(metadata!P57)=metadata!P57)),metadata!P57&gt;0))</f>
        <v>0</v>
      </c>
      <c r="AQ57">
        <f>IF(metadata!Q57="",FALSE,TRUE)</f>
        <v>0</v>
      </c>
    </row>
    <row r="58" spans="1:43">
      <c r="A58" s="5">
        <f>IF(B58=" "," ",HYPERLINK(CONCATENATE("#metadata!",ADDRESS(INDEX($W$2:$W$1001,MATCH(ROWS($U$2:U58),$U$2:$U$1001,0),0),1)),INDEX($Z$2:$Z$1001,MATCH(ROWS($U$2:U58),$U$2:$U$1001,0),0)))</f>
        <v>0</v>
      </c>
      <c r="B58" s="4">
        <f>IF(OR(INDEX($V$2:$V$1001,MATCH(ROWS($U$2:U58),$U$2:$U$1001,0),1)&gt;=100000,INDEX($AB$1005:$AQ$1005,1,MATCH(COLUMNS($AB$1006:AB1006),$AB$1006:$AQ$1006,0))&gt;=100000), " ",IF(INDEX($AB$2:$AQ$1001,MATCH(ROWS($U$2:U58),$U$2:$U$1001,0),MATCH(COLUMNS($AB$1006:AB1006),$AB$1006:$AQ$1006,0)), HYPERLINK("#",""), HYPERLINK(CONCATENATE("#metadata!", ADDRESS(INDEX($W$2:$W$1001,MATCH(ROWS($U$2:U58),$U$2:$U$1001,0),0), INDEX($AB$1004:$AQ$1004,1,MATCH(COLUMNS($AB$1006:AB1006),$AB$1006:$AQ$1006,0)))),"Fix")))</f>
        <v>0</v>
      </c>
      <c r="C58" s="4">
        <f>IF(OR(INDEX($V$2:$V$1001,MATCH(ROWS($U$2:U58),$U$2:$U$1001,0),1)&gt;=100000,INDEX($AB$1005:$AQ$1005,1,MATCH(COLUMNS($AB$1006:AC1006),$AB$1006:$AQ$1006,0))&gt;=100000), " ",IF(INDEX($AB$2:$AQ$1001,MATCH(ROWS($U$2:U58),$U$2:$U$1001,0),MATCH(COLUMNS($AB$1006:AC1006),$AB$1006:$AQ$1006,0)), HYPERLINK("#",""), HYPERLINK(CONCATENATE("#metadata!", ADDRESS(INDEX($W$2:$W$1001,MATCH(ROWS($U$2:U58),$U$2:$U$1001,0),0), INDEX($AB$1004:$AQ$1004,1,MATCH(COLUMNS($AB$1006:AC1006),$AB$1006:$AQ$1006,0)))),"Fix")))</f>
        <v>0</v>
      </c>
      <c r="D58" s="4">
        <f>IF(OR(INDEX($V$2:$V$1001,MATCH(ROWS($U$2:U58),$U$2:$U$1001,0),1)&gt;=100000,INDEX($AB$1005:$AQ$1005,1,MATCH(COLUMNS($AB$1006:AD1006),$AB$1006:$AQ$1006,0))&gt;=100000), " ",IF(INDEX($AB$2:$AQ$1001,MATCH(ROWS($U$2:U58),$U$2:$U$1001,0),MATCH(COLUMNS($AB$1006:AD1006),$AB$1006:$AQ$1006,0)), HYPERLINK("#",""), HYPERLINK(CONCATENATE("#metadata!", ADDRESS(INDEX($W$2:$W$1001,MATCH(ROWS($U$2:U58),$U$2:$U$1001,0),0), INDEX($AB$1004:$AQ$1004,1,MATCH(COLUMNS($AB$1006:AD1006),$AB$1006:$AQ$1006,0)))),"Fix")))</f>
        <v>0</v>
      </c>
      <c r="E58" s="4">
        <f>IF(OR(INDEX($V$2:$V$1001,MATCH(ROWS($U$2:U58),$U$2:$U$1001,0),1)&gt;=100000,INDEX($AB$1005:$AQ$1005,1,MATCH(COLUMNS($AB$1006:AE1006),$AB$1006:$AQ$1006,0))&gt;=100000), " ",IF(INDEX($AB$2:$AQ$1001,MATCH(ROWS($U$2:U58),$U$2:$U$1001,0),MATCH(COLUMNS($AB$1006:AE1006),$AB$1006:$AQ$1006,0)), HYPERLINK("#",""), HYPERLINK(CONCATENATE("#metadata!", ADDRESS(INDEX($W$2:$W$1001,MATCH(ROWS($U$2:U58),$U$2:$U$1001,0),0), INDEX($AB$1004:$AQ$1004,1,MATCH(COLUMNS($AB$1006:AE1006),$AB$1006:$AQ$1006,0)))),"Fix")))</f>
        <v>0</v>
      </c>
      <c r="F58" s="4">
        <f>IF(OR(INDEX($V$2:$V$1001,MATCH(ROWS($U$2:U58),$U$2:$U$1001,0),1)&gt;=100000,INDEX($AB$1005:$AQ$1005,1,MATCH(COLUMNS($AB$1006:AF1006),$AB$1006:$AQ$1006,0))&gt;=100000), " ",IF(INDEX($AB$2:$AQ$1001,MATCH(ROWS($U$2:U58),$U$2:$U$1001,0),MATCH(COLUMNS($AB$1006:AF1006),$AB$1006:$AQ$1006,0)), HYPERLINK("#",""), HYPERLINK(CONCATENATE("#metadata!", ADDRESS(INDEX($W$2:$W$1001,MATCH(ROWS($U$2:U58),$U$2:$U$1001,0),0), INDEX($AB$1004:$AQ$1004,1,MATCH(COLUMNS($AB$1006:AF1006),$AB$1006:$AQ$1006,0)))),"Fix")))</f>
        <v>0</v>
      </c>
      <c r="G58" s="4">
        <f>IF(OR(INDEX($V$2:$V$1001,MATCH(ROWS($U$2:U58),$U$2:$U$1001,0),1)&gt;=100000,INDEX($AB$1005:$AQ$1005,1,MATCH(COLUMNS($AB$1006:AG1006),$AB$1006:$AQ$1006,0))&gt;=100000), " ",IF(INDEX($AB$2:$AQ$1001,MATCH(ROWS($U$2:U58),$U$2:$U$1001,0),MATCH(COLUMNS($AB$1006:AG1006),$AB$1006:$AQ$1006,0)), HYPERLINK("#",""), HYPERLINK(CONCATENATE("#metadata!", ADDRESS(INDEX($W$2:$W$1001,MATCH(ROWS($U$2:U58),$U$2:$U$1001,0),0), INDEX($AB$1004:$AQ$1004,1,MATCH(COLUMNS($AB$1006:AG1006),$AB$1006:$AQ$1006,0)))),"Fix")))</f>
        <v>0</v>
      </c>
      <c r="H58" s="4">
        <f>IF(OR(INDEX($V$2:$V$1001,MATCH(ROWS($U$2:U58),$U$2:$U$1001,0),1)&gt;=100000,INDEX($AB$1005:$AQ$1005,1,MATCH(COLUMNS($AB$1006:AH1006),$AB$1006:$AQ$1006,0))&gt;=100000), " ",IF(INDEX($AB$2:$AQ$1001,MATCH(ROWS($U$2:U58),$U$2:$U$1001,0),MATCH(COLUMNS($AB$1006:AH1006),$AB$1006:$AQ$1006,0)), HYPERLINK("#",""), HYPERLINK(CONCATENATE("#metadata!", ADDRESS(INDEX($W$2:$W$1001,MATCH(ROWS($U$2:U58),$U$2:$U$1001,0),0), INDEX($AB$1004:$AQ$1004,1,MATCH(COLUMNS($AB$1006:AH1006),$AB$1006:$AQ$1006,0)))),"Fix")))</f>
        <v>0</v>
      </c>
      <c r="I58" s="4">
        <f>IF(OR(INDEX($V$2:$V$1001,MATCH(ROWS($U$2:U58),$U$2:$U$1001,0),1)&gt;=100000,INDEX($AB$1005:$AQ$1005,1,MATCH(COLUMNS($AB$1006:AI1006),$AB$1006:$AQ$1006,0))&gt;=100000), " ",IF(INDEX($AB$2:$AQ$1001,MATCH(ROWS($U$2:U58),$U$2:$U$1001,0),MATCH(COLUMNS($AB$1006:AI1006),$AB$1006:$AQ$1006,0)), HYPERLINK("#",""), HYPERLINK(CONCATENATE("#metadata!", ADDRESS(INDEX($W$2:$W$1001,MATCH(ROWS($U$2:U58),$U$2:$U$1001,0),0), INDEX($AB$1004:$AQ$1004,1,MATCH(COLUMNS($AB$1006:AI1006),$AB$1006:$AQ$1006,0)))),"Fix")))</f>
        <v>0</v>
      </c>
      <c r="J58" s="4">
        <f>IF(OR(INDEX($V$2:$V$1001,MATCH(ROWS($U$2:U58),$U$2:$U$1001,0),1)&gt;=100000,INDEX($AB$1005:$AQ$1005,1,MATCH(COLUMNS($AB$1006:AJ1006),$AB$1006:$AQ$1006,0))&gt;=100000), " ",IF(INDEX($AB$2:$AQ$1001,MATCH(ROWS($U$2:U58),$U$2:$U$1001,0),MATCH(COLUMNS($AB$1006:AJ1006),$AB$1006:$AQ$1006,0)), HYPERLINK("#",""), HYPERLINK(CONCATENATE("#metadata!", ADDRESS(INDEX($W$2:$W$1001,MATCH(ROWS($U$2:U58),$U$2:$U$1001,0),0), INDEX($AB$1004:$AQ$1004,1,MATCH(COLUMNS($AB$1006:AJ1006),$AB$1006:$AQ$1006,0)))),"Fix")))</f>
        <v>0</v>
      </c>
      <c r="K58" s="4">
        <f>IF(OR(INDEX($V$2:$V$1001,MATCH(ROWS($U$2:U58),$U$2:$U$1001,0),1)&gt;=100000,INDEX($AB$1005:$AQ$1005,1,MATCH(COLUMNS($AB$1006:AK1006),$AB$1006:$AQ$1006,0))&gt;=100000), " ",IF(INDEX($AB$2:$AQ$1001,MATCH(ROWS($U$2:U58),$U$2:$U$1001,0),MATCH(COLUMNS($AB$1006:AK1006),$AB$1006:$AQ$1006,0)), HYPERLINK("#",""), HYPERLINK(CONCATENATE("#metadata!", ADDRESS(INDEX($W$2:$W$1001,MATCH(ROWS($U$2:U58),$U$2:$U$1001,0),0), INDEX($AB$1004:$AQ$1004,1,MATCH(COLUMNS($AB$1006:AK1006),$AB$1006:$AQ$1006,0)))),"Fix")))</f>
        <v>0</v>
      </c>
      <c r="L58" s="4">
        <f>IF(OR(INDEX($V$2:$V$1001,MATCH(ROWS($U$2:U58),$U$2:$U$1001,0),1)&gt;=100000,INDEX($AB$1005:$AQ$1005,1,MATCH(COLUMNS($AB$1006:AL1006),$AB$1006:$AQ$1006,0))&gt;=100000), " ",IF(INDEX($AB$2:$AQ$1001,MATCH(ROWS($U$2:U58),$U$2:$U$1001,0),MATCH(COLUMNS($AB$1006:AL1006),$AB$1006:$AQ$1006,0)), HYPERLINK("#",""), HYPERLINK(CONCATENATE("#metadata!", ADDRESS(INDEX($W$2:$W$1001,MATCH(ROWS($U$2:U58),$U$2:$U$1001,0),0), INDEX($AB$1004:$AQ$1004,1,MATCH(COLUMNS($AB$1006:AL1006),$AB$1006:$AQ$1006,0)))),"Fix")))</f>
        <v>0</v>
      </c>
      <c r="M58" s="4">
        <f>IF(OR(INDEX($V$2:$V$1001,MATCH(ROWS($U$2:U58),$U$2:$U$1001,0),1)&gt;=100000,INDEX($AB$1005:$AQ$1005,1,MATCH(COLUMNS($AB$1006:AM1006),$AB$1006:$AQ$1006,0))&gt;=100000), " ",IF(INDEX($AB$2:$AQ$1001,MATCH(ROWS($U$2:U58),$U$2:$U$1001,0),MATCH(COLUMNS($AB$1006:AM1006),$AB$1006:$AQ$1006,0)), HYPERLINK("#",""), HYPERLINK(CONCATENATE("#metadata!", ADDRESS(INDEX($W$2:$W$1001,MATCH(ROWS($U$2:U58),$U$2:$U$1001,0),0), INDEX($AB$1004:$AQ$1004,1,MATCH(COLUMNS($AB$1006:AM1006),$AB$1006:$AQ$1006,0)))),"Fix")))</f>
        <v>0</v>
      </c>
      <c r="N58" s="4">
        <f>IF(OR(INDEX($V$2:$V$1001,MATCH(ROWS($U$2:U58),$U$2:$U$1001,0),1)&gt;=100000,INDEX($AB$1005:$AQ$1005,1,MATCH(COLUMNS($AB$1006:AN1006),$AB$1006:$AQ$1006,0))&gt;=100000), " ",IF(INDEX($AB$2:$AQ$1001,MATCH(ROWS($U$2:U58),$U$2:$U$1001,0),MATCH(COLUMNS($AB$1006:AN1006),$AB$1006:$AQ$1006,0)), HYPERLINK("#",""), HYPERLINK(CONCATENATE("#metadata!", ADDRESS(INDEX($W$2:$W$1001,MATCH(ROWS($U$2:U58),$U$2:$U$1001,0),0), INDEX($AB$1004:$AQ$1004,1,MATCH(COLUMNS($AB$1006:AN1006),$AB$1006:$AQ$1006,0)))),"Fix")))</f>
        <v>0</v>
      </c>
      <c r="O58" s="4">
        <f>IF(OR(INDEX($V$2:$V$1001,MATCH(ROWS($U$2:U58),$U$2:$U$1001,0),1)&gt;=100000,INDEX($AB$1005:$AQ$1005,1,MATCH(COLUMNS($AB$1006:AO1006),$AB$1006:$AQ$1006,0))&gt;=100000), " ",IF(INDEX($AB$2:$AQ$1001,MATCH(ROWS($U$2:U58),$U$2:$U$1001,0),MATCH(COLUMNS($AB$1006:AO1006),$AB$1006:$AQ$1006,0)), HYPERLINK("#",""), HYPERLINK(CONCATENATE("#metadata!", ADDRESS(INDEX($W$2:$W$1001,MATCH(ROWS($U$2:U58),$U$2:$U$1001,0),0), INDEX($AB$1004:$AQ$1004,1,MATCH(COLUMNS($AB$1006:AO1006),$AB$1006:$AQ$1006,0)))),"Fix")))</f>
        <v>0</v>
      </c>
      <c r="P58" s="4">
        <f>IF(OR(INDEX($V$2:$V$1001,MATCH(ROWS($U$2:U58),$U$2:$U$1001,0),1)&gt;=100000,INDEX($AB$1005:$AQ$1005,1,MATCH(COLUMNS($AB$1006:AP1006),$AB$1006:$AQ$1006,0))&gt;=100000), " ",IF(INDEX($AB$2:$AQ$1001,MATCH(ROWS($U$2:U58),$U$2:$U$1001,0),MATCH(COLUMNS($AB$1006:AP1006),$AB$1006:$AQ$1006,0)), HYPERLINK("#",""), HYPERLINK(CONCATENATE("#metadata!", ADDRESS(INDEX($W$2:$W$1001,MATCH(ROWS($U$2:U58),$U$2:$U$1001,0),0), INDEX($AB$1004:$AQ$1004,1,MATCH(COLUMNS($AB$1006:AP1006),$AB$1006:$AQ$1006,0)))),"Fix")))</f>
        <v>0</v>
      </c>
      <c r="Q58" s="4">
        <f>IF(OR(INDEX($V$2:$V$1001,MATCH(ROWS($U$2:U58),$U$2:$U$1001,0),1)&gt;=100000,INDEX($AB$1005:$AQ$1005,1,MATCH(COLUMNS($AB$1006:AQ1006),$AB$1006:$AQ$1006,0))&gt;=100000), " ",IF(INDEX($AB$2:$AQ$1001,MATCH(ROWS($U$2:U58),$U$2:$U$1001,0),MATCH(COLUMNS($AB$1006:AQ1006),$AB$1006:$AQ$1006,0)), HYPERLINK("#",""), HYPERLINK(CONCATENATE("#metadata!", ADDRESS(INDEX($W$2:$W$1001,MATCH(ROWS($U$2:U58),$U$2:$U$1001,0),0), INDEX($AB$1004:$AQ$1004,1,MATCH(COLUMNS($AB$1006:AQ1006),$AB$1006:$AQ$1006,0)))),"Fix")))</f>
        <v>0</v>
      </c>
      <c r="U58">
        <v>0</v>
      </c>
      <c r="V58">
        <v>0</v>
      </c>
      <c r="W58">
        <v>0</v>
      </c>
      <c r="X58">
        <f>IF(Y58,TRUE,AND(AB58:AQ58))</f>
        <v>0</v>
      </c>
      <c r="Y58">
        <f>COUNTBLANK(metadata!B58:Q58)=COLUMNS(metadata!B58:Q58)</f>
        <v>0</v>
      </c>
      <c r="Z58">
        <v>0</v>
      </c>
      <c r="AB58">
        <f>AND(IF(metadata!B58="",FALSE,TRUE),COUNTIF(metadata!B:B, metadata!B58) = 1,NOT(ISERROR(SUMPRODUCT(SEARCH(MID(metadata!B58,ROW(INDIRECT("1:"&amp;LEN(metadata!B58))), 1),"0123456789abcdefghijklmnopqrstuvwxyzABCDEFGHIJKLMNOPQRSTUVWXYZ.")))))</f>
        <v>0</v>
      </c>
      <c r="AC58">
        <f>OR(AND(IF(metadata!C58="",FALSE,TRUE),OR(exact(metadata!C58,"missing: not collected"),exact(metadata!C58,"missing: not provided"),exact(metadata!C58,"missing: restricted access"))),AND(IF(metadata!C58="",FALSE,TRUE),AND(AND(IFERROR(INT(LEFT(metadata!C58,4))&gt;1900,FALSE),IFERROR(INT(LEFT(metadata!C58,4))&lt;=YEAR(NOW()),FALSE)), OR(MID(metadata!C58,5,1)="", AND(AND(MID(metadata!C58,5,1)="-",IFERROR(INT(MID(metadata!C58,6,1))&gt;=0,FALSE),IFERROR(INT(MID(metadata!C58,6,1))&lt;=1,FALSE),NOT(MID(metadata!C58,7,1)=""),IFERROR(INT(MID(metadata!C58,6,2))&gt;=1,FALSE),IFERROR(INT(MID(metadata!C58,6,2))&lt;=12,FALSE)), OR(MID(metadata!C58,8,1)="", AND(AND(MID(metadata!C58,8,1)="-",IFERROR(INT(MID(metadata!C58,9,1))&gt;=0,FALSE),IFERROR(INT(MID(metadata!C58,9,1))&lt;=3,FALSE),NOT(MID(metadata!C58,10,1)=""),IFERROR(INT(MID(metadata!C58,9,2))&gt;=1,FALSE),IFERROR(INT(MID(metadata!C58,9,2))&lt;=31,FALSE)), OR(MID(metadata!C58,11,1)="", AND(AND(MID(metadata!C58,11,1)=" ",IFERROR(INT(MID(metadata!C58,12,1))&gt;=0,FALSE),IFERROR(INT(MID(metadata!C58,12,1))&lt;=2,FALSE),NOT(MID(metadata!C58,13,1)=""),IFERROR(INT(MID(metadata!C58,12,2))&gt;=0,FALSE),IFERROR(INT(MID(metadata!C58,12,2))&lt;=23,FALSE)), OR(MID(metadata!C58,14,1)="", AND(AND(MID(metadata!C58,14,1)=":",IFERROR(INT(MID(metadata!C58,15,1))&gt;=0,FALSE),IFERROR(INT(MID(metadata!C58,15,1))&lt;=5,FALSE),NOT(MID(metadata!C58,16,1)=""),IFERROR(INT(MID(metadata!C58,15,2))&gt;=0,FALSE),IFERROR(INT(MID(metadata!C58,15,2))&lt;=59,FALSE)), OR(MID(metadata!C58,17,1)="", AND(AND(MID(metadata!C58,17,1)=":",IFERROR(INT(MID(metadata!C58,18,1))&gt;=0,FALSE),IFERROR(INT(MID(metadata!C58,18,1))&lt;=5,FALSE),NOT(MID(metadata!C58,19,1)=""),IFERROR(INT(MID(metadata!C58,18,2))&gt;=0,FALSE),IFERROR(INT(MID(metadata!C58,18,2))&lt;=59,FALSE)), LEN(metadata!C58)&lt;=19)))))))))))))</f>
        <v>0</v>
      </c>
      <c r="AD58">
        <f>IF(metadata!D58="",FALSE,TRUE)</f>
        <v>0</v>
      </c>
      <c r="AE58">
        <f>OR(AND(IF(metadata!E58="",FALSE,TRUE),OR(exact(metadata!E58,"missing: not collected"),exact(metadata!E58,"missing: not provided"))),AND(IF(metadata!E58="",FALSE,TRUE),OR(exact(metadata!E58,"TRUE"),exact(metadata!E58,"FALSE"))))</f>
        <v>0</v>
      </c>
      <c r="AF58">
        <f>IF(metadata!F58="",FALSE,TRUE)</f>
        <v>0</v>
      </c>
      <c r="AG58">
        <f>IF(metadata!G58="",FALSE,TRUE)</f>
        <v>0</v>
      </c>
      <c r="AH58">
        <f>IF(metadata!H58="",FALSE,TRUE)</f>
        <v>0</v>
      </c>
      <c r="AI58">
        <f>OR(AND(IF(metadata!I58="",FALSE,TRUE),OR(exact(metadata!I58,"missing: not collected"),exact(metadata!I58,"missing: not provided"),exact(metadata!I58,"missing: restricted access"))),AND(IF(metadata!I58="",FALSE,TRUE),OR(exact(metadata!I58,"air"),exact(metadata!I58,"built environment"),exact(metadata!I58,"host-associated"),exact(metadata!I58,"human-associated"),exact(metadata!I58,"human-skin"),exact(metadata!I58,"human-oral"),exact(metadata!I58,"human-gut"),exact(metadata!I58,"human-vaginal"),exact(metadata!I58,"microbial mat/biofilm"),exact(metadata!I58,"misc environment"),exact(metadata!I58,"plant-associated"),exact(metadata!I58,"sediment"),exact(metadata!I58,"soil"),exact(metadata!I58,"wastewater/sludge"),exact(metadata!I58,"water"))))</f>
        <v>0</v>
      </c>
      <c r="AJ58">
        <f>IF(metadata!J58="",FALSE,TRUE)</f>
        <v>0</v>
      </c>
      <c r="AK58">
        <f>OR(AND(IF(metadata!K58="",FALSE,TRUE),OR(exact(metadata!K58,"missing: not collected"),exact(metadata!K58,"missing: not provided"),exact(metadata!K58,"missing: restricted access"))),AND(IF(metadata!K58="",FALSE,ISNUMBER(VALUE(metadata!K58))),metadata!K58&gt;=-90.00,metadata!K58&lt;=90.00))</f>
        <v>0</v>
      </c>
      <c r="AL58">
        <f>OR(AND(IF(metadata!L58="",FALSE,TRUE),OR(exact(metadata!L58,"missing: not collected"),exact(metadata!L58,"missing: not provided"),exact(metadata!L58,"missing: restricted access"))),AND(IF(metadata!L58="",FALSE,ISNUMBER(VALUE(metadata!L58))),metadata!L58&gt;=-180.00,metadata!L58&lt;=180.00))</f>
        <v>0</v>
      </c>
      <c r="AM58">
        <f>IF(metadata!M58="",FALSE,TRUE)</f>
        <v>0</v>
      </c>
      <c r="AN58">
        <f>OR(AND(IF(metadata!N58="",FALSE,TRUE),OR(exact(metadata!N58,"missing: not collected"),exact(metadata!N58,"missing: not provided"),exact(metadata!N58,"missing: restricted access"))),AND(IF(metadata!N58="",FALSE,TRUE),OR(exact(metadata!N58,"TRUE"),exact(metadata!N58,"FALSE"))))</f>
        <v>0</v>
      </c>
      <c r="AO58">
        <f>IF(metadata!O58="",FALSE,TRUE)</f>
        <v>0</v>
      </c>
      <c r="AP58">
        <f>OR(AND(IF(metadata!P58="",FALSE,TRUE),OR(exact(metadata!P58,"missing: not collected"),exact(metadata!P58,"missing: not provided"))),AND(IF(metadata!P58="",FALSE,IF(ISERROR(INT(metadata!P58)),FALSE,INT(metadata!P58)=metadata!P58)),metadata!P58&gt;0))</f>
        <v>0</v>
      </c>
      <c r="AQ58">
        <f>IF(metadata!Q58="",FALSE,TRUE)</f>
        <v>0</v>
      </c>
    </row>
    <row r="59" spans="1:43">
      <c r="A59" s="5">
        <f>IF(B59=" "," ",HYPERLINK(CONCATENATE("#metadata!",ADDRESS(INDEX($W$2:$W$1001,MATCH(ROWS($U$2:U59),$U$2:$U$1001,0),0),1)),INDEX($Z$2:$Z$1001,MATCH(ROWS($U$2:U59),$U$2:$U$1001,0),0)))</f>
        <v>0</v>
      </c>
      <c r="B59" s="4">
        <f>IF(OR(INDEX($V$2:$V$1001,MATCH(ROWS($U$2:U59),$U$2:$U$1001,0),1)&gt;=100000,INDEX($AB$1005:$AQ$1005,1,MATCH(COLUMNS($AB$1006:AB1006),$AB$1006:$AQ$1006,0))&gt;=100000), " ",IF(INDEX($AB$2:$AQ$1001,MATCH(ROWS($U$2:U59),$U$2:$U$1001,0),MATCH(COLUMNS($AB$1006:AB1006),$AB$1006:$AQ$1006,0)), HYPERLINK("#",""), HYPERLINK(CONCATENATE("#metadata!", ADDRESS(INDEX($W$2:$W$1001,MATCH(ROWS($U$2:U59),$U$2:$U$1001,0),0), INDEX($AB$1004:$AQ$1004,1,MATCH(COLUMNS($AB$1006:AB1006),$AB$1006:$AQ$1006,0)))),"Fix")))</f>
        <v>0</v>
      </c>
      <c r="C59" s="4">
        <f>IF(OR(INDEX($V$2:$V$1001,MATCH(ROWS($U$2:U59),$U$2:$U$1001,0),1)&gt;=100000,INDEX($AB$1005:$AQ$1005,1,MATCH(COLUMNS($AB$1006:AC1006),$AB$1006:$AQ$1006,0))&gt;=100000), " ",IF(INDEX($AB$2:$AQ$1001,MATCH(ROWS($U$2:U59),$U$2:$U$1001,0),MATCH(COLUMNS($AB$1006:AC1006),$AB$1006:$AQ$1006,0)), HYPERLINK("#",""), HYPERLINK(CONCATENATE("#metadata!", ADDRESS(INDEX($W$2:$W$1001,MATCH(ROWS($U$2:U59),$U$2:$U$1001,0),0), INDEX($AB$1004:$AQ$1004,1,MATCH(COLUMNS($AB$1006:AC1006),$AB$1006:$AQ$1006,0)))),"Fix")))</f>
        <v>0</v>
      </c>
      <c r="D59" s="4">
        <f>IF(OR(INDEX($V$2:$V$1001,MATCH(ROWS($U$2:U59),$U$2:$U$1001,0),1)&gt;=100000,INDEX($AB$1005:$AQ$1005,1,MATCH(COLUMNS($AB$1006:AD1006),$AB$1006:$AQ$1006,0))&gt;=100000), " ",IF(INDEX($AB$2:$AQ$1001,MATCH(ROWS($U$2:U59),$U$2:$U$1001,0),MATCH(COLUMNS($AB$1006:AD1006),$AB$1006:$AQ$1006,0)), HYPERLINK("#",""), HYPERLINK(CONCATENATE("#metadata!", ADDRESS(INDEX($W$2:$W$1001,MATCH(ROWS($U$2:U59),$U$2:$U$1001,0),0), INDEX($AB$1004:$AQ$1004,1,MATCH(COLUMNS($AB$1006:AD1006),$AB$1006:$AQ$1006,0)))),"Fix")))</f>
        <v>0</v>
      </c>
      <c r="E59" s="4">
        <f>IF(OR(INDEX($V$2:$V$1001,MATCH(ROWS($U$2:U59),$U$2:$U$1001,0),1)&gt;=100000,INDEX($AB$1005:$AQ$1005,1,MATCH(COLUMNS($AB$1006:AE1006),$AB$1006:$AQ$1006,0))&gt;=100000), " ",IF(INDEX($AB$2:$AQ$1001,MATCH(ROWS($U$2:U59),$U$2:$U$1001,0),MATCH(COLUMNS($AB$1006:AE1006),$AB$1006:$AQ$1006,0)), HYPERLINK("#",""), HYPERLINK(CONCATENATE("#metadata!", ADDRESS(INDEX($W$2:$W$1001,MATCH(ROWS($U$2:U59),$U$2:$U$1001,0),0), INDEX($AB$1004:$AQ$1004,1,MATCH(COLUMNS($AB$1006:AE1006),$AB$1006:$AQ$1006,0)))),"Fix")))</f>
        <v>0</v>
      </c>
      <c r="F59" s="4">
        <f>IF(OR(INDEX($V$2:$V$1001,MATCH(ROWS($U$2:U59),$U$2:$U$1001,0),1)&gt;=100000,INDEX($AB$1005:$AQ$1005,1,MATCH(COLUMNS($AB$1006:AF1006),$AB$1006:$AQ$1006,0))&gt;=100000), " ",IF(INDEX($AB$2:$AQ$1001,MATCH(ROWS($U$2:U59),$U$2:$U$1001,0),MATCH(COLUMNS($AB$1006:AF1006),$AB$1006:$AQ$1006,0)), HYPERLINK("#",""), HYPERLINK(CONCATENATE("#metadata!", ADDRESS(INDEX($W$2:$W$1001,MATCH(ROWS($U$2:U59),$U$2:$U$1001,0),0), INDEX($AB$1004:$AQ$1004,1,MATCH(COLUMNS($AB$1006:AF1006),$AB$1006:$AQ$1006,0)))),"Fix")))</f>
        <v>0</v>
      </c>
      <c r="G59" s="4">
        <f>IF(OR(INDEX($V$2:$V$1001,MATCH(ROWS($U$2:U59),$U$2:$U$1001,0),1)&gt;=100000,INDEX($AB$1005:$AQ$1005,1,MATCH(COLUMNS($AB$1006:AG1006),$AB$1006:$AQ$1006,0))&gt;=100000), " ",IF(INDEX($AB$2:$AQ$1001,MATCH(ROWS($U$2:U59),$U$2:$U$1001,0),MATCH(COLUMNS($AB$1006:AG1006),$AB$1006:$AQ$1006,0)), HYPERLINK("#",""), HYPERLINK(CONCATENATE("#metadata!", ADDRESS(INDEX($W$2:$W$1001,MATCH(ROWS($U$2:U59),$U$2:$U$1001,0),0), INDEX($AB$1004:$AQ$1004,1,MATCH(COLUMNS($AB$1006:AG1006),$AB$1006:$AQ$1006,0)))),"Fix")))</f>
        <v>0</v>
      </c>
      <c r="H59" s="4">
        <f>IF(OR(INDEX($V$2:$V$1001,MATCH(ROWS($U$2:U59),$U$2:$U$1001,0),1)&gt;=100000,INDEX($AB$1005:$AQ$1005,1,MATCH(COLUMNS($AB$1006:AH1006),$AB$1006:$AQ$1006,0))&gt;=100000), " ",IF(INDEX($AB$2:$AQ$1001,MATCH(ROWS($U$2:U59),$U$2:$U$1001,0),MATCH(COLUMNS($AB$1006:AH1006),$AB$1006:$AQ$1006,0)), HYPERLINK("#",""), HYPERLINK(CONCATENATE("#metadata!", ADDRESS(INDEX($W$2:$W$1001,MATCH(ROWS($U$2:U59),$U$2:$U$1001,0),0), INDEX($AB$1004:$AQ$1004,1,MATCH(COLUMNS($AB$1006:AH1006),$AB$1006:$AQ$1006,0)))),"Fix")))</f>
        <v>0</v>
      </c>
      <c r="I59" s="4">
        <f>IF(OR(INDEX($V$2:$V$1001,MATCH(ROWS($U$2:U59),$U$2:$U$1001,0),1)&gt;=100000,INDEX($AB$1005:$AQ$1005,1,MATCH(COLUMNS($AB$1006:AI1006),$AB$1006:$AQ$1006,0))&gt;=100000), " ",IF(INDEX($AB$2:$AQ$1001,MATCH(ROWS($U$2:U59),$U$2:$U$1001,0),MATCH(COLUMNS($AB$1006:AI1006),$AB$1006:$AQ$1006,0)), HYPERLINK("#",""), HYPERLINK(CONCATENATE("#metadata!", ADDRESS(INDEX($W$2:$W$1001,MATCH(ROWS($U$2:U59),$U$2:$U$1001,0),0), INDEX($AB$1004:$AQ$1004,1,MATCH(COLUMNS($AB$1006:AI1006),$AB$1006:$AQ$1006,0)))),"Fix")))</f>
        <v>0</v>
      </c>
      <c r="J59" s="4">
        <f>IF(OR(INDEX($V$2:$V$1001,MATCH(ROWS($U$2:U59),$U$2:$U$1001,0),1)&gt;=100000,INDEX($AB$1005:$AQ$1005,1,MATCH(COLUMNS($AB$1006:AJ1006),$AB$1006:$AQ$1006,0))&gt;=100000), " ",IF(INDEX($AB$2:$AQ$1001,MATCH(ROWS($U$2:U59),$U$2:$U$1001,0),MATCH(COLUMNS($AB$1006:AJ1006),$AB$1006:$AQ$1006,0)), HYPERLINK("#",""), HYPERLINK(CONCATENATE("#metadata!", ADDRESS(INDEX($W$2:$W$1001,MATCH(ROWS($U$2:U59),$U$2:$U$1001,0),0), INDEX($AB$1004:$AQ$1004,1,MATCH(COLUMNS($AB$1006:AJ1006),$AB$1006:$AQ$1006,0)))),"Fix")))</f>
        <v>0</v>
      </c>
      <c r="K59" s="4">
        <f>IF(OR(INDEX($V$2:$V$1001,MATCH(ROWS($U$2:U59),$U$2:$U$1001,0),1)&gt;=100000,INDEX($AB$1005:$AQ$1005,1,MATCH(COLUMNS($AB$1006:AK1006),$AB$1006:$AQ$1006,0))&gt;=100000), " ",IF(INDEX($AB$2:$AQ$1001,MATCH(ROWS($U$2:U59),$U$2:$U$1001,0),MATCH(COLUMNS($AB$1006:AK1006),$AB$1006:$AQ$1006,0)), HYPERLINK("#",""), HYPERLINK(CONCATENATE("#metadata!", ADDRESS(INDEX($W$2:$W$1001,MATCH(ROWS($U$2:U59),$U$2:$U$1001,0),0), INDEX($AB$1004:$AQ$1004,1,MATCH(COLUMNS($AB$1006:AK1006),$AB$1006:$AQ$1006,0)))),"Fix")))</f>
        <v>0</v>
      </c>
      <c r="L59" s="4">
        <f>IF(OR(INDEX($V$2:$V$1001,MATCH(ROWS($U$2:U59),$U$2:$U$1001,0),1)&gt;=100000,INDEX($AB$1005:$AQ$1005,1,MATCH(COLUMNS($AB$1006:AL1006),$AB$1006:$AQ$1006,0))&gt;=100000), " ",IF(INDEX($AB$2:$AQ$1001,MATCH(ROWS($U$2:U59),$U$2:$U$1001,0),MATCH(COLUMNS($AB$1006:AL1006),$AB$1006:$AQ$1006,0)), HYPERLINK("#",""), HYPERLINK(CONCATENATE("#metadata!", ADDRESS(INDEX($W$2:$W$1001,MATCH(ROWS($U$2:U59),$U$2:$U$1001,0),0), INDEX($AB$1004:$AQ$1004,1,MATCH(COLUMNS($AB$1006:AL1006),$AB$1006:$AQ$1006,0)))),"Fix")))</f>
        <v>0</v>
      </c>
      <c r="M59" s="4">
        <f>IF(OR(INDEX($V$2:$V$1001,MATCH(ROWS($U$2:U59),$U$2:$U$1001,0),1)&gt;=100000,INDEX($AB$1005:$AQ$1005,1,MATCH(COLUMNS($AB$1006:AM1006),$AB$1006:$AQ$1006,0))&gt;=100000), " ",IF(INDEX($AB$2:$AQ$1001,MATCH(ROWS($U$2:U59),$U$2:$U$1001,0),MATCH(COLUMNS($AB$1006:AM1006),$AB$1006:$AQ$1006,0)), HYPERLINK("#",""), HYPERLINK(CONCATENATE("#metadata!", ADDRESS(INDEX($W$2:$W$1001,MATCH(ROWS($U$2:U59),$U$2:$U$1001,0),0), INDEX($AB$1004:$AQ$1004,1,MATCH(COLUMNS($AB$1006:AM1006),$AB$1006:$AQ$1006,0)))),"Fix")))</f>
        <v>0</v>
      </c>
      <c r="N59" s="4">
        <f>IF(OR(INDEX($V$2:$V$1001,MATCH(ROWS($U$2:U59),$U$2:$U$1001,0),1)&gt;=100000,INDEX($AB$1005:$AQ$1005,1,MATCH(COLUMNS($AB$1006:AN1006),$AB$1006:$AQ$1006,0))&gt;=100000), " ",IF(INDEX($AB$2:$AQ$1001,MATCH(ROWS($U$2:U59),$U$2:$U$1001,0),MATCH(COLUMNS($AB$1006:AN1006),$AB$1006:$AQ$1006,0)), HYPERLINK("#",""), HYPERLINK(CONCATENATE("#metadata!", ADDRESS(INDEX($W$2:$W$1001,MATCH(ROWS($U$2:U59),$U$2:$U$1001,0),0), INDEX($AB$1004:$AQ$1004,1,MATCH(COLUMNS($AB$1006:AN1006),$AB$1006:$AQ$1006,0)))),"Fix")))</f>
        <v>0</v>
      </c>
      <c r="O59" s="4">
        <f>IF(OR(INDEX($V$2:$V$1001,MATCH(ROWS($U$2:U59),$U$2:$U$1001,0),1)&gt;=100000,INDEX($AB$1005:$AQ$1005,1,MATCH(COLUMNS($AB$1006:AO1006),$AB$1006:$AQ$1006,0))&gt;=100000), " ",IF(INDEX($AB$2:$AQ$1001,MATCH(ROWS($U$2:U59),$U$2:$U$1001,0),MATCH(COLUMNS($AB$1006:AO1006),$AB$1006:$AQ$1006,0)), HYPERLINK("#",""), HYPERLINK(CONCATENATE("#metadata!", ADDRESS(INDEX($W$2:$W$1001,MATCH(ROWS($U$2:U59),$U$2:$U$1001,0),0), INDEX($AB$1004:$AQ$1004,1,MATCH(COLUMNS($AB$1006:AO1006),$AB$1006:$AQ$1006,0)))),"Fix")))</f>
        <v>0</v>
      </c>
      <c r="P59" s="4">
        <f>IF(OR(INDEX($V$2:$V$1001,MATCH(ROWS($U$2:U59),$U$2:$U$1001,0),1)&gt;=100000,INDEX($AB$1005:$AQ$1005,1,MATCH(COLUMNS($AB$1006:AP1006),$AB$1006:$AQ$1006,0))&gt;=100000), " ",IF(INDEX($AB$2:$AQ$1001,MATCH(ROWS($U$2:U59),$U$2:$U$1001,0),MATCH(COLUMNS($AB$1006:AP1006),$AB$1006:$AQ$1006,0)), HYPERLINK("#",""), HYPERLINK(CONCATENATE("#metadata!", ADDRESS(INDEX($W$2:$W$1001,MATCH(ROWS($U$2:U59),$U$2:$U$1001,0),0), INDEX($AB$1004:$AQ$1004,1,MATCH(COLUMNS($AB$1006:AP1006),$AB$1006:$AQ$1006,0)))),"Fix")))</f>
        <v>0</v>
      </c>
      <c r="Q59" s="4">
        <f>IF(OR(INDEX($V$2:$V$1001,MATCH(ROWS($U$2:U59),$U$2:$U$1001,0),1)&gt;=100000,INDEX($AB$1005:$AQ$1005,1,MATCH(COLUMNS($AB$1006:AQ1006),$AB$1006:$AQ$1006,0))&gt;=100000), " ",IF(INDEX($AB$2:$AQ$1001,MATCH(ROWS($U$2:U59),$U$2:$U$1001,0),MATCH(COLUMNS($AB$1006:AQ1006),$AB$1006:$AQ$1006,0)), HYPERLINK("#",""), HYPERLINK(CONCATENATE("#metadata!", ADDRESS(INDEX($W$2:$W$1001,MATCH(ROWS($U$2:U59),$U$2:$U$1001,0),0), INDEX($AB$1004:$AQ$1004,1,MATCH(COLUMNS($AB$1006:AQ1006),$AB$1006:$AQ$1006,0)))),"Fix")))</f>
        <v>0</v>
      </c>
      <c r="U59">
        <v>0</v>
      </c>
      <c r="V59">
        <v>0</v>
      </c>
      <c r="W59">
        <v>0</v>
      </c>
      <c r="X59">
        <f>IF(Y59,TRUE,AND(AB59:AQ59))</f>
        <v>0</v>
      </c>
      <c r="Y59">
        <f>COUNTBLANK(metadata!B59:Q59)=COLUMNS(metadata!B59:Q59)</f>
        <v>0</v>
      </c>
      <c r="Z59">
        <v>0</v>
      </c>
      <c r="AB59">
        <f>AND(IF(metadata!B59="",FALSE,TRUE),COUNTIF(metadata!B:B, metadata!B59) = 1,NOT(ISERROR(SUMPRODUCT(SEARCH(MID(metadata!B59,ROW(INDIRECT("1:"&amp;LEN(metadata!B59))), 1),"0123456789abcdefghijklmnopqrstuvwxyzABCDEFGHIJKLMNOPQRSTUVWXYZ.")))))</f>
        <v>0</v>
      </c>
      <c r="AC59">
        <f>OR(AND(IF(metadata!C59="",FALSE,TRUE),OR(exact(metadata!C59,"missing: not collected"),exact(metadata!C59,"missing: not provided"),exact(metadata!C59,"missing: restricted access"))),AND(IF(metadata!C59="",FALSE,TRUE),AND(AND(IFERROR(INT(LEFT(metadata!C59,4))&gt;1900,FALSE),IFERROR(INT(LEFT(metadata!C59,4))&lt;=YEAR(NOW()),FALSE)), OR(MID(metadata!C59,5,1)="", AND(AND(MID(metadata!C59,5,1)="-",IFERROR(INT(MID(metadata!C59,6,1))&gt;=0,FALSE),IFERROR(INT(MID(metadata!C59,6,1))&lt;=1,FALSE),NOT(MID(metadata!C59,7,1)=""),IFERROR(INT(MID(metadata!C59,6,2))&gt;=1,FALSE),IFERROR(INT(MID(metadata!C59,6,2))&lt;=12,FALSE)), OR(MID(metadata!C59,8,1)="", AND(AND(MID(metadata!C59,8,1)="-",IFERROR(INT(MID(metadata!C59,9,1))&gt;=0,FALSE),IFERROR(INT(MID(metadata!C59,9,1))&lt;=3,FALSE),NOT(MID(metadata!C59,10,1)=""),IFERROR(INT(MID(metadata!C59,9,2))&gt;=1,FALSE),IFERROR(INT(MID(metadata!C59,9,2))&lt;=31,FALSE)), OR(MID(metadata!C59,11,1)="", AND(AND(MID(metadata!C59,11,1)=" ",IFERROR(INT(MID(metadata!C59,12,1))&gt;=0,FALSE),IFERROR(INT(MID(metadata!C59,12,1))&lt;=2,FALSE),NOT(MID(metadata!C59,13,1)=""),IFERROR(INT(MID(metadata!C59,12,2))&gt;=0,FALSE),IFERROR(INT(MID(metadata!C59,12,2))&lt;=23,FALSE)), OR(MID(metadata!C59,14,1)="", AND(AND(MID(metadata!C59,14,1)=":",IFERROR(INT(MID(metadata!C59,15,1))&gt;=0,FALSE),IFERROR(INT(MID(metadata!C59,15,1))&lt;=5,FALSE),NOT(MID(metadata!C59,16,1)=""),IFERROR(INT(MID(metadata!C59,15,2))&gt;=0,FALSE),IFERROR(INT(MID(metadata!C59,15,2))&lt;=59,FALSE)), OR(MID(metadata!C59,17,1)="", AND(AND(MID(metadata!C59,17,1)=":",IFERROR(INT(MID(metadata!C59,18,1))&gt;=0,FALSE),IFERROR(INT(MID(metadata!C59,18,1))&lt;=5,FALSE),NOT(MID(metadata!C59,19,1)=""),IFERROR(INT(MID(metadata!C59,18,2))&gt;=0,FALSE),IFERROR(INT(MID(metadata!C59,18,2))&lt;=59,FALSE)), LEN(metadata!C59)&lt;=19)))))))))))))</f>
        <v>0</v>
      </c>
      <c r="AD59">
        <f>IF(metadata!D59="",FALSE,TRUE)</f>
        <v>0</v>
      </c>
      <c r="AE59">
        <f>OR(AND(IF(metadata!E59="",FALSE,TRUE),OR(exact(metadata!E59,"missing: not collected"),exact(metadata!E59,"missing: not provided"))),AND(IF(metadata!E59="",FALSE,TRUE),OR(exact(metadata!E59,"TRUE"),exact(metadata!E59,"FALSE"))))</f>
        <v>0</v>
      </c>
      <c r="AF59">
        <f>IF(metadata!F59="",FALSE,TRUE)</f>
        <v>0</v>
      </c>
      <c r="AG59">
        <f>IF(metadata!G59="",FALSE,TRUE)</f>
        <v>0</v>
      </c>
      <c r="AH59">
        <f>IF(metadata!H59="",FALSE,TRUE)</f>
        <v>0</v>
      </c>
      <c r="AI59">
        <f>OR(AND(IF(metadata!I59="",FALSE,TRUE),OR(exact(metadata!I59,"missing: not collected"),exact(metadata!I59,"missing: not provided"),exact(metadata!I59,"missing: restricted access"))),AND(IF(metadata!I59="",FALSE,TRUE),OR(exact(metadata!I59,"air"),exact(metadata!I59,"built environment"),exact(metadata!I59,"host-associated"),exact(metadata!I59,"human-associated"),exact(metadata!I59,"human-skin"),exact(metadata!I59,"human-oral"),exact(metadata!I59,"human-gut"),exact(metadata!I59,"human-vaginal"),exact(metadata!I59,"microbial mat/biofilm"),exact(metadata!I59,"misc environment"),exact(metadata!I59,"plant-associated"),exact(metadata!I59,"sediment"),exact(metadata!I59,"soil"),exact(metadata!I59,"wastewater/sludge"),exact(metadata!I59,"water"))))</f>
        <v>0</v>
      </c>
      <c r="AJ59">
        <f>IF(metadata!J59="",FALSE,TRUE)</f>
        <v>0</v>
      </c>
      <c r="AK59">
        <f>OR(AND(IF(metadata!K59="",FALSE,TRUE),OR(exact(metadata!K59,"missing: not collected"),exact(metadata!K59,"missing: not provided"),exact(metadata!K59,"missing: restricted access"))),AND(IF(metadata!K59="",FALSE,ISNUMBER(VALUE(metadata!K59))),metadata!K59&gt;=-90.00,metadata!K59&lt;=90.00))</f>
        <v>0</v>
      </c>
      <c r="AL59">
        <f>OR(AND(IF(metadata!L59="",FALSE,TRUE),OR(exact(metadata!L59,"missing: not collected"),exact(metadata!L59,"missing: not provided"),exact(metadata!L59,"missing: restricted access"))),AND(IF(metadata!L59="",FALSE,ISNUMBER(VALUE(metadata!L59))),metadata!L59&gt;=-180.00,metadata!L59&lt;=180.00))</f>
        <v>0</v>
      </c>
      <c r="AM59">
        <f>IF(metadata!M59="",FALSE,TRUE)</f>
        <v>0</v>
      </c>
      <c r="AN59">
        <f>OR(AND(IF(metadata!N59="",FALSE,TRUE),OR(exact(metadata!N59,"missing: not collected"),exact(metadata!N59,"missing: not provided"),exact(metadata!N59,"missing: restricted access"))),AND(IF(metadata!N59="",FALSE,TRUE),OR(exact(metadata!N59,"TRUE"),exact(metadata!N59,"FALSE"))))</f>
        <v>0</v>
      </c>
      <c r="AO59">
        <f>IF(metadata!O59="",FALSE,TRUE)</f>
        <v>0</v>
      </c>
      <c r="AP59">
        <f>OR(AND(IF(metadata!P59="",FALSE,TRUE),OR(exact(metadata!P59,"missing: not collected"),exact(metadata!P59,"missing: not provided"))),AND(IF(metadata!P59="",FALSE,IF(ISERROR(INT(metadata!P59)),FALSE,INT(metadata!P59)=metadata!P59)),metadata!P59&gt;0))</f>
        <v>0</v>
      </c>
      <c r="AQ59">
        <f>IF(metadata!Q59="",FALSE,TRUE)</f>
        <v>0</v>
      </c>
    </row>
    <row r="60" spans="1:43">
      <c r="A60" s="5">
        <f>IF(B60=" "," ",HYPERLINK(CONCATENATE("#metadata!",ADDRESS(INDEX($W$2:$W$1001,MATCH(ROWS($U$2:U60),$U$2:$U$1001,0),0),1)),INDEX($Z$2:$Z$1001,MATCH(ROWS($U$2:U60),$U$2:$U$1001,0),0)))</f>
        <v>0</v>
      </c>
      <c r="B60" s="4">
        <f>IF(OR(INDEX($V$2:$V$1001,MATCH(ROWS($U$2:U60),$U$2:$U$1001,0),1)&gt;=100000,INDEX($AB$1005:$AQ$1005,1,MATCH(COLUMNS($AB$1006:AB1006),$AB$1006:$AQ$1006,0))&gt;=100000), " ",IF(INDEX($AB$2:$AQ$1001,MATCH(ROWS($U$2:U60),$U$2:$U$1001,0),MATCH(COLUMNS($AB$1006:AB1006),$AB$1006:$AQ$1006,0)), HYPERLINK("#",""), HYPERLINK(CONCATENATE("#metadata!", ADDRESS(INDEX($W$2:$W$1001,MATCH(ROWS($U$2:U60),$U$2:$U$1001,0),0), INDEX($AB$1004:$AQ$1004,1,MATCH(COLUMNS($AB$1006:AB1006),$AB$1006:$AQ$1006,0)))),"Fix")))</f>
        <v>0</v>
      </c>
      <c r="C60" s="4">
        <f>IF(OR(INDEX($V$2:$V$1001,MATCH(ROWS($U$2:U60),$U$2:$U$1001,0),1)&gt;=100000,INDEX($AB$1005:$AQ$1005,1,MATCH(COLUMNS($AB$1006:AC1006),$AB$1006:$AQ$1006,0))&gt;=100000), " ",IF(INDEX($AB$2:$AQ$1001,MATCH(ROWS($U$2:U60),$U$2:$U$1001,0),MATCH(COLUMNS($AB$1006:AC1006),$AB$1006:$AQ$1006,0)), HYPERLINK("#",""), HYPERLINK(CONCATENATE("#metadata!", ADDRESS(INDEX($W$2:$W$1001,MATCH(ROWS($U$2:U60),$U$2:$U$1001,0),0), INDEX($AB$1004:$AQ$1004,1,MATCH(COLUMNS($AB$1006:AC1006),$AB$1006:$AQ$1006,0)))),"Fix")))</f>
        <v>0</v>
      </c>
      <c r="D60" s="4">
        <f>IF(OR(INDEX($V$2:$V$1001,MATCH(ROWS($U$2:U60),$U$2:$U$1001,0),1)&gt;=100000,INDEX($AB$1005:$AQ$1005,1,MATCH(COLUMNS($AB$1006:AD1006),$AB$1006:$AQ$1006,0))&gt;=100000), " ",IF(INDEX($AB$2:$AQ$1001,MATCH(ROWS($U$2:U60),$U$2:$U$1001,0),MATCH(COLUMNS($AB$1006:AD1006),$AB$1006:$AQ$1006,0)), HYPERLINK("#",""), HYPERLINK(CONCATENATE("#metadata!", ADDRESS(INDEX($W$2:$W$1001,MATCH(ROWS($U$2:U60),$U$2:$U$1001,0),0), INDEX($AB$1004:$AQ$1004,1,MATCH(COLUMNS($AB$1006:AD1006),$AB$1006:$AQ$1006,0)))),"Fix")))</f>
        <v>0</v>
      </c>
      <c r="E60" s="4">
        <f>IF(OR(INDEX($V$2:$V$1001,MATCH(ROWS($U$2:U60),$U$2:$U$1001,0),1)&gt;=100000,INDEX($AB$1005:$AQ$1005,1,MATCH(COLUMNS($AB$1006:AE1006),$AB$1006:$AQ$1006,0))&gt;=100000), " ",IF(INDEX($AB$2:$AQ$1001,MATCH(ROWS($U$2:U60),$U$2:$U$1001,0),MATCH(COLUMNS($AB$1006:AE1006),$AB$1006:$AQ$1006,0)), HYPERLINK("#",""), HYPERLINK(CONCATENATE("#metadata!", ADDRESS(INDEX($W$2:$W$1001,MATCH(ROWS($U$2:U60),$U$2:$U$1001,0),0), INDEX($AB$1004:$AQ$1004,1,MATCH(COLUMNS($AB$1006:AE1006),$AB$1006:$AQ$1006,0)))),"Fix")))</f>
        <v>0</v>
      </c>
      <c r="F60" s="4">
        <f>IF(OR(INDEX($V$2:$V$1001,MATCH(ROWS($U$2:U60),$U$2:$U$1001,0),1)&gt;=100000,INDEX($AB$1005:$AQ$1005,1,MATCH(COLUMNS($AB$1006:AF1006),$AB$1006:$AQ$1006,0))&gt;=100000), " ",IF(INDEX($AB$2:$AQ$1001,MATCH(ROWS($U$2:U60),$U$2:$U$1001,0),MATCH(COLUMNS($AB$1006:AF1006),$AB$1006:$AQ$1006,0)), HYPERLINK("#",""), HYPERLINK(CONCATENATE("#metadata!", ADDRESS(INDEX($W$2:$W$1001,MATCH(ROWS($U$2:U60),$U$2:$U$1001,0),0), INDEX($AB$1004:$AQ$1004,1,MATCH(COLUMNS($AB$1006:AF1006),$AB$1006:$AQ$1006,0)))),"Fix")))</f>
        <v>0</v>
      </c>
      <c r="G60" s="4">
        <f>IF(OR(INDEX($V$2:$V$1001,MATCH(ROWS($U$2:U60),$U$2:$U$1001,0),1)&gt;=100000,INDEX($AB$1005:$AQ$1005,1,MATCH(COLUMNS($AB$1006:AG1006),$AB$1006:$AQ$1006,0))&gt;=100000), " ",IF(INDEX($AB$2:$AQ$1001,MATCH(ROWS($U$2:U60),$U$2:$U$1001,0),MATCH(COLUMNS($AB$1006:AG1006),$AB$1006:$AQ$1006,0)), HYPERLINK("#",""), HYPERLINK(CONCATENATE("#metadata!", ADDRESS(INDEX($W$2:$W$1001,MATCH(ROWS($U$2:U60),$U$2:$U$1001,0),0), INDEX($AB$1004:$AQ$1004,1,MATCH(COLUMNS($AB$1006:AG1006),$AB$1006:$AQ$1006,0)))),"Fix")))</f>
        <v>0</v>
      </c>
      <c r="H60" s="4">
        <f>IF(OR(INDEX($V$2:$V$1001,MATCH(ROWS($U$2:U60),$U$2:$U$1001,0),1)&gt;=100000,INDEX($AB$1005:$AQ$1005,1,MATCH(COLUMNS($AB$1006:AH1006),$AB$1006:$AQ$1006,0))&gt;=100000), " ",IF(INDEX($AB$2:$AQ$1001,MATCH(ROWS($U$2:U60),$U$2:$U$1001,0),MATCH(COLUMNS($AB$1006:AH1006),$AB$1006:$AQ$1006,0)), HYPERLINK("#",""), HYPERLINK(CONCATENATE("#metadata!", ADDRESS(INDEX($W$2:$W$1001,MATCH(ROWS($U$2:U60),$U$2:$U$1001,0),0), INDEX($AB$1004:$AQ$1004,1,MATCH(COLUMNS($AB$1006:AH1006),$AB$1006:$AQ$1006,0)))),"Fix")))</f>
        <v>0</v>
      </c>
      <c r="I60" s="4">
        <f>IF(OR(INDEX($V$2:$V$1001,MATCH(ROWS($U$2:U60),$U$2:$U$1001,0),1)&gt;=100000,INDEX($AB$1005:$AQ$1005,1,MATCH(COLUMNS($AB$1006:AI1006),$AB$1006:$AQ$1006,0))&gt;=100000), " ",IF(INDEX($AB$2:$AQ$1001,MATCH(ROWS($U$2:U60),$U$2:$U$1001,0),MATCH(COLUMNS($AB$1006:AI1006),$AB$1006:$AQ$1006,0)), HYPERLINK("#",""), HYPERLINK(CONCATENATE("#metadata!", ADDRESS(INDEX($W$2:$W$1001,MATCH(ROWS($U$2:U60),$U$2:$U$1001,0),0), INDEX($AB$1004:$AQ$1004,1,MATCH(COLUMNS($AB$1006:AI1006),$AB$1006:$AQ$1006,0)))),"Fix")))</f>
        <v>0</v>
      </c>
      <c r="J60" s="4">
        <f>IF(OR(INDEX($V$2:$V$1001,MATCH(ROWS($U$2:U60),$U$2:$U$1001,0),1)&gt;=100000,INDEX($AB$1005:$AQ$1005,1,MATCH(COLUMNS($AB$1006:AJ1006),$AB$1006:$AQ$1006,0))&gt;=100000), " ",IF(INDEX($AB$2:$AQ$1001,MATCH(ROWS($U$2:U60),$U$2:$U$1001,0),MATCH(COLUMNS($AB$1006:AJ1006),$AB$1006:$AQ$1006,0)), HYPERLINK("#",""), HYPERLINK(CONCATENATE("#metadata!", ADDRESS(INDEX($W$2:$W$1001,MATCH(ROWS($U$2:U60),$U$2:$U$1001,0),0), INDEX($AB$1004:$AQ$1004,1,MATCH(COLUMNS($AB$1006:AJ1006),$AB$1006:$AQ$1006,0)))),"Fix")))</f>
        <v>0</v>
      </c>
      <c r="K60" s="4">
        <f>IF(OR(INDEX($V$2:$V$1001,MATCH(ROWS($U$2:U60),$U$2:$U$1001,0),1)&gt;=100000,INDEX($AB$1005:$AQ$1005,1,MATCH(COLUMNS($AB$1006:AK1006),$AB$1006:$AQ$1006,0))&gt;=100000), " ",IF(INDEX($AB$2:$AQ$1001,MATCH(ROWS($U$2:U60),$U$2:$U$1001,0),MATCH(COLUMNS($AB$1006:AK1006),$AB$1006:$AQ$1006,0)), HYPERLINK("#",""), HYPERLINK(CONCATENATE("#metadata!", ADDRESS(INDEX($W$2:$W$1001,MATCH(ROWS($U$2:U60),$U$2:$U$1001,0),0), INDEX($AB$1004:$AQ$1004,1,MATCH(COLUMNS($AB$1006:AK1006),$AB$1006:$AQ$1006,0)))),"Fix")))</f>
        <v>0</v>
      </c>
      <c r="L60" s="4">
        <f>IF(OR(INDEX($V$2:$V$1001,MATCH(ROWS($U$2:U60),$U$2:$U$1001,0),1)&gt;=100000,INDEX($AB$1005:$AQ$1005,1,MATCH(COLUMNS($AB$1006:AL1006),$AB$1006:$AQ$1006,0))&gt;=100000), " ",IF(INDEX($AB$2:$AQ$1001,MATCH(ROWS($U$2:U60),$U$2:$U$1001,0),MATCH(COLUMNS($AB$1006:AL1006),$AB$1006:$AQ$1006,0)), HYPERLINK("#",""), HYPERLINK(CONCATENATE("#metadata!", ADDRESS(INDEX($W$2:$W$1001,MATCH(ROWS($U$2:U60),$U$2:$U$1001,0),0), INDEX($AB$1004:$AQ$1004,1,MATCH(COLUMNS($AB$1006:AL1006),$AB$1006:$AQ$1006,0)))),"Fix")))</f>
        <v>0</v>
      </c>
      <c r="M60" s="4">
        <f>IF(OR(INDEX($V$2:$V$1001,MATCH(ROWS($U$2:U60),$U$2:$U$1001,0),1)&gt;=100000,INDEX($AB$1005:$AQ$1005,1,MATCH(COLUMNS($AB$1006:AM1006),$AB$1006:$AQ$1006,0))&gt;=100000), " ",IF(INDEX($AB$2:$AQ$1001,MATCH(ROWS($U$2:U60),$U$2:$U$1001,0),MATCH(COLUMNS($AB$1006:AM1006),$AB$1006:$AQ$1006,0)), HYPERLINK("#",""), HYPERLINK(CONCATENATE("#metadata!", ADDRESS(INDEX($W$2:$W$1001,MATCH(ROWS($U$2:U60),$U$2:$U$1001,0),0), INDEX($AB$1004:$AQ$1004,1,MATCH(COLUMNS($AB$1006:AM1006),$AB$1006:$AQ$1006,0)))),"Fix")))</f>
        <v>0</v>
      </c>
      <c r="N60" s="4">
        <f>IF(OR(INDEX($V$2:$V$1001,MATCH(ROWS($U$2:U60),$U$2:$U$1001,0),1)&gt;=100000,INDEX($AB$1005:$AQ$1005,1,MATCH(COLUMNS($AB$1006:AN1006),$AB$1006:$AQ$1006,0))&gt;=100000), " ",IF(INDEX($AB$2:$AQ$1001,MATCH(ROWS($U$2:U60),$U$2:$U$1001,0),MATCH(COLUMNS($AB$1006:AN1006),$AB$1006:$AQ$1006,0)), HYPERLINK("#",""), HYPERLINK(CONCATENATE("#metadata!", ADDRESS(INDEX($W$2:$W$1001,MATCH(ROWS($U$2:U60),$U$2:$U$1001,0),0), INDEX($AB$1004:$AQ$1004,1,MATCH(COLUMNS($AB$1006:AN1006),$AB$1006:$AQ$1006,0)))),"Fix")))</f>
        <v>0</v>
      </c>
      <c r="O60" s="4">
        <f>IF(OR(INDEX($V$2:$V$1001,MATCH(ROWS($U$2:U60),$U$2:$U$1001,0),1)&gt;=100000,INDEX($AB$1005:$AQ$1005,1,MATCH(COLUMNS($AB$1006:AO1006),$AB$1006:$AQ$1006,0))&gt;=100000), " ",IF(INDEX($AB$2:$AQ$1001,MATCH(ROWS($U$2:U60),$U$2:$U$1001,0),MATCH(COLUMNS($AB$1006:AO1006),$AB$1006:$AQ$1006,0)), HYPERLINK("#",""), HYPERLINK(CONCATENATE("#metadata!", ADDRESS(INDEX($W$2:$W$1001,MATCH(ROWS($U$2:U60),$U$2:$U$1001,0),0), INDEX($AB$1004:$AQ$1004,1,MATCH(COLUMNS($AB$1006:AO1006),$AB$1006:$AQ$1006,0)))),"Fix")))</f>
        <v>0</v>
      </c>
      <c r="P60" s="4">
        <f>IF(OR(INDEX($V$2:$V$1001,MATCH(ROWS($U$2:U60),$U$2:$U$1001,0),1)&gt;=100000,INDEX($AB$1005:$AQ$1005,1,MATCH(COLUMNS($AB$1006:AP1006),$AB$1006:$AQ$1006,0))&gt;=100000), " ",IF(INDEX($AB$2:$AQ$1001,MATCH(ROWS($U$2:U60),$U$2:$U$1001,0),MATCH(COLUMNS($AB$1006:AP1006),$AB$1006:$AQ$1006,0)), HYPERLINK("#",""), HYPERLINK(CONCATENATE("#metadata!", ADDRESS(INDEX($W$2:$W$1001,MATCH(ROWS($U$2:U60),$U$2:$U$1001,0),0), INDEX($AB$1004:$AQ$1004,1,MATCH(COLUMNS($AB$1006:AP1006),$AB$1006:$AQ$1006,0)))),"Fix")))</f>
        <v>0</v>
      </c>
      <c r="Q60" s="4">
        <f>IF(OR(INDEX($V$2:$V$1001,MATCH(ROWS($U$2:U60),$U$2:$U$1001,0),1)&gt;=100000,INDEX($AB$1005:$AQ$1005,1,MATCH(COLUMNS($AB$1006:AQ1006),$AB$1006:$AQ$1006,0))&gt;=100000), " ",IF(INDEX($AB$2:$AQ$1001,MATCH(ROWS($U$2:U60),$U$2:$U$1001,0),MATCH(COLUMNS($AB$1006:AQ1006),$AB$1006:$AQ$1006,0)), HYPERLINK("#",""), HYPERLINK(CONCATENATE("#metadata!", ADDRESS(INDEX($W$2:$W$1001,MATCH(ROWS($U$2:U60),$U$2:$U$1001,0),0), INDEX($AB$1004:$AQ$1004,1,MATCH(COLUMNS($AB$1006:AQ1006),$AB$1006:$AQ$1006,0)))),"Fix")))</f>
        <v>0</v>
      </c>
      <c r="U60">
        <v>0</v>
      </c>
      <c r="V60">
        <v>0</v>
      </c>
      <c r="W60">
        <v>0</v>
      </c>
      <c r="X60">
        <f>IF(Y60,TRUE,AND(AB60:AQ60))</f>
        <v>0</v>
      </c>
      <c r="Y60">
        <f>COUNTBLANK(metadata!B60:Q60)=COLUMNS(metadata!B60:Q60)</f>
        <v>0</v>
      </c>
      <c r="Z60">
        <v>0</v>
      </c>
      <c r="AB60">
        <f>AND(IF(metadata!B60="",FALSE,TRUE),COUNTIF(metadata!B:B, metadata!B60) = 1,NOT(ISERROR(SUMPRODUCT(SEARCH(MID(metadata!B60,ROW(INDIRECT("1:"&amp;LEN(metadata!B60))), 1),"0123456789abcdefghijklmnopqrstuvwxyzABCDEFGHIJKLMNOPQRSTUVWXYZ.")))))</f>
        <v>0</v>
      </c>
      <c r="AC60">
        <f>OR(AND(IF(metadata!C60="",FALSE,TRUE),OR(exact(metadata!C60,"missing: not collected"),exact(metadata!C60,"missing: not provided"),exact(metadata!C60,"missing: restricted access"))),AND(IF(metadata!C60="",FALSE,TRUE),AND(AND(IFERROR(INT(LEFT(metadata!C60,4))&gt;1900,FALSE),IFERROR(INT(LEFT(metadata!C60,4))&lt;=YEAR(NOW()),FALSE)), OR(MID(metadata!C60,5,1)="", AND(AND(MID(metadata!C60,5,1)="-",IFERROR(INT(MID(metadata!C60,6,1))&gt;=0,FALSE),IFERROR(INT(MID(metadata!C60,6,1))&lt;=1,FALSE),NOT(MID(metadata!C60,7,1)=""),IFERROR(INT(MID(metadata!C60,6,2))&gt;=1,FALSE),IFERROR(INT(MID(metadata!C60,6,2))&lt;=12,FALSE)), OR(MID(metadata!C60,8,1)="", AND(AND(MID(metadata!C60,8,1)="-",IFERROR(INT(MID(metadata!C60,9,1))&gt;=0,FALSE),IFERROR(INT(MID(metadata!C60,9,1))&lt;=3,FALSE),NOT(MID(metadata!C60,10,1)=""),IFERROR(INT(MID(metadata!C60,9,2))&gt;=1,FALSE),IFERROR(INT(MID(metadata!C60,9,2))&lt;=31,FALSE)), OR(MID(metadata!C60,11,1)="", AND(AND(MID(metadata!C60,11,1)=" ",IFERROR(INT(MID(metadata!C60,12,1))&gt;=0,FALSE),IFERROR(INT(MID(metadata!C60,12,1))&lt;=2,FALSE),NOT(MID(metadata!C60,13,1)=""),IFERROR(INT(MID(metadata!C60,12,2))&gt;=0,FALSE),IFERROR(INT(MID(metadata!C60,12,2))&lt;=23,FALSE)), OR(MID(metadata!C60,14,1)="", AND(AND(MID(metadata!C60,14,1)=":",IFERROR(INT(MID(metadata!C60,15,1))&gt;=0,FALSE),IFERROR(INT(MID(metadata!C60,15,1))&lt;=5,FALSE),NOT(MID(metadata!C60,16,1)=""),IFERROR(INT(MID(metadata!C60,15,2))&gt;=0,FALSE),IFERROR(INT(MID(metadata!C60,15,2))&lt;=59,FALSE)), OR(MID(metadata!C60,17,1)="", AND(AND(MID(metadata!C60,17,1)=":",IFERROR(INT(MID(metadata!C60,18,1))&gt;=0,FALSE),IFERROR(INT(MID(metadata!C60,18,1))&lt;=5,FALSE),NOT(MID(metadata!C60,19,1)=""),IFERROR(INT(MID(metadata!C60,18,2))&gt;=0,FALSE),IFERROR(INT(MID(metadata!C60,18,2))&lt;=59,FALSE)), LEN(metadata!C60)&lt;=19)))))))))))))</f>
        <v>0</v>
      </c>
      <c r="AD60">
        <f>IF(metadata!D60="",FALSE,TRUE)</f>
        <v>0</v>
      </c>
      <c r="AE60">
        <f>OR(AND(IF(metadata!E60="",FALSE,TRUE),OR(exact(metadata!E60,"missing: not collected"),exact(metadata!E60,"missing: not provided"))),AND(IF(metadata!E60="",FALSE,TRUE),OR(exact(metadata!E60,"TRUE"),exact(metadata!E60,"FALSE"))))</f>
        <v>0</v>
      </c>
      <c r="AF60">
        <f>IF(metadata!F60="",FALSE,TRUE)</f>
        <v>0</v>
      </c>
      <c r="AG60">
        <f>IF(metadata!G60="",FALSE,TRUE)</f>
        <v>0</v>
      </c>
      <c r="AH60">
        <f>IF(metadata!H60="",FALSE,TRUE)</f>
        <v>0</v>
      </c>
      <c r="AI60">
        <f>OR(AND(IF(metadata!I60="",FALSE,TRUE),OR(exact(metadata!I60,"missing: not collected"),exact(metadata!I60,"missing: not provided"),exact(metadata!I60,"missing: restricted access"))),AND(IF(metadata!I60="",FALSE,TRUE),OR(exact(metadata!I60,"air"),exact(metadata!I60,"built environment"),exact(metadata!I60,"host-associated"),exact(metadata!I60,"human-associated"),exact(metadata!I60,"human-skin"),exact(metadata!I60,"human-oral"),exact(metadata!I60,"human-gut"),exact(metadata!I60,"human-vaginal"),exact(metadata!I60,"microbial mat/biofilm"),exact(metadata!I60,"misc environment"),exact(metadata!I60,"plant-associated"),exact(metadata!I60,"sediment"),exact(metadata!I60,"soil"),exact(metadata!I60,"wastewater/sludge"),exact(metadata!I60,"water"))))</f>
        <v>0</v>
      </c>
      <c r="AJ60">
        <f>IF(metadata!J60="",FALSE,TRUE)</f>
        <v>0</v>
      </c>
      <c r="AK60">
        <f>OR(AND(IF(metadata!K60="",FALSE,TRUE),OR(exact(metadata!K60,"missing: not collected"),exact(metadata!K60,"missing: not provided"),exact(metadata!K60,"missing: restricted access"))),AND(IF(metadata!K60="",FALSE,ISNUMBER(VALUE(metadata!K60))),metadata!K60&gt;=-90.00,metadata!K60&lt;=90.00))</f>
        <v>0</v>
      </c>
      <c r="AL60">
        <f>OR(AND(IF(metadata!L60="",FALSE,TRUE),OR(exact(metadata!L60,"missing: not collected"),exact(metadata!L60,"missing: not provided"),exact(metadata!L60,"missing: restricted access"))),AND(IF(metadata!L60="",FALSE,ISNUMBER(VALUE(metadata!L60))),metadata!L60&gt;=-180.00,metadata!L60&lt;=180.00))</f>
        <v>0</v>
      </c>
      <c r="AM60">
        <f>IF(metadata!M60="",FALSE,TRUE)</f>
        <v>0</v>
      </c>
      <c r="AN60">
        <f>OR(AND(IF(metadata!N60="",FALSE,TRUE),OR(exact(metadata!N60,"missing: not collected"),exact(metadata!N60,"missing: not provided"),exact(metadata!N60,"missing: restricted access"))),AND(IF(metadata!N60="",FALSE,TRUE),OR(exact(metadata!N60,"TRUE"),exact(metadata!N60,"FALSE"))))</f>
        <v>0</v>
      </c>
      <c r="AO60">
        <f>IF(metadata!O60="",FALSE,TRUE)</f>
        <v>0</v>
      </c>
      <c r="AP60">
        <f>OR(AND(IF(metadata!P60="",FALSE,TRUE),OR(exact(metadata!P60,"missing: not collected"),exact(metadata!P60,"missing: not provided"))),AND(IF(metadata!P60="",FALSE,IF(ISERROR(INT(metadata!P60)),FALSE,INT(metadata!P60)=metadata!P60)),metadata!P60&gt;0))</f>
        <v>0</v>
      </c>
      <c r="AQ60">
        <f>IF(metadata!Q60="",FALSE,TRUE)</f>
        <v>0</v>
      </c>
    </row>
    <row r="61" spans="1:43">
      <c r="A61" s="5">
        <f>IF(B61=" "," ",HYPERLINK(CONCATENATE("#metadata!",ADDRESS(INDEX($W$2:$W$1001,MATCH(ROWS($U$2:U61),$U$2:$U$1001,0),0),1)),INDEX($Z$2:$Z$1001,MATCH(ROWS($U$2:U61),$U$2:$U$1001,0),0)))</f>
        <v>0</v>
      </c>
      <c r="B61" s="4">
        <f>IF(OR(INDEX($V$2:$V$1001,MATCH(ROWS($U$2:U61),$U$2:$U$1001,0),1)&gt;=100000,INDEX($AB$1005:$AQ$1005,1,MATCH(COLUMNS($AB$1006:AB1006),$AB$1006:$AQ$1006,0))&gt;=100000), " ",IF(INDEX($AB$2:$AQ$1001,MATCH(ROWS($U$2:U61),$U$2:$U$1001,0),MATCH(COLUMNS($AB$1006:AB1006),$AB$1006:$AQ$1006,0)), HYPERLINK("#",""), HYPERLINK(CONCATENATE("#metadata!", ADDRESS(INDEX($W$2:$W$1001,MATCH(ROWS($U$2:U61),$U$2:$U$1001,0),0), INDEX($AB$1004:$AQ$1004,1,MATCH(COLUMNS($AB$1006:AB1006),$AB$1006:$AQ$1006,0)))),"Fix")))</f>
        <v>0</v>
      </c>
      <c r="C61" s="4">
        <f>IF(OR(INDEX($V$2:$V$1001,MATCH(ROWS($U$2:U61),$U$2:$U$1001,0),1)&gt;=100000,INDEX($AB$1005:$AQ$1005,1,MATCH(COLUMNS($AB$1006:AC1006),$AB$1006:$AQ$1006,0))&gt;=100000), " ",IF(INDEX($AB$2:$AQ$1001,MATCH(ROWS($U$2:U61),$U$2:$U$1001,0),MATCH(COLUMNS($AB$1006:AC1006),$AB$1006:$AQ$1006,0)), HYPERLINK("#",""), HYPERLINK(CONCATENATE("#metadata!", ADDRESS(INDEX($W$2:$W$1001,MATCH(ROWS($U$2:U61),$U$2:$U$1001,0),0), INDEX($AB$1004:$AQ$1004,1,MATCH(COLUMNS($AB$1006:AC1006),$AB$1006:$AQ$1006,0)))),"Fix")))</f>
        <v>0</v>
      </c>
      <c r="D61" s="4">
        <f>IF(OR(INDEX($V$2:$V$1001,MATCH(ROWS($U$2:U61),$U$2:$U$1001,0),1)&gt;=100000,INDEX($AB$1005:$AQ$1005,1,MATCH(COLUMNS($AB$1006:AD1006),$AB$1006:$AQ$1006,0))&gt;=100000), " ",IF(INDEX($AB$2:$AQ$1001,MATCH(ROWS($U$2:U61),$U$2:$U$1001,0),MATCH(COLUMNS($AB$1006:AD1006),$AB$1006:$AQ$1006,0)), HYPERLINK("#",""), HYPERLINK(CONCATENATE("#metadata!", ADDRESS(INDEX($W$2:$W$1001,MATCH(ROWS($U$2:U61),$U$2:$U$1001,0),0), INDEX($AB$1004:$AQ$1004,1,MATCH(COLUMNS($AB$1006:AD1006),$AB$1006:$AQ$1006,0)))),"Fix")))</f>
        <v>0</v>
      </c>
      <c r="E61" s="4">
        <f>IF(OR(INDEX($V$2:$V$1001,MATCH(ROWS($U$2:U61),$U$2:$U$1001,0),1)&gt;=100000,INDEX($AB$1005:$AQ$1005,1,MATCH(COLUMNS($AB$1006:AE1006),$AB$1006:$AQ$1006,0))&gt;=100000), " ",IF(INDEX($AB$2:$AQ$1001,MATCH(ROWS($U$2:U61),$U$2:$U$1001,0),MATCH(COLUMNS($AB$1006:AE1006),$AB$1006:$AQ$1006,0)), HYPERLINK("#",""), HYPERLINK(CONCATENATE("#metadata!", ADDRESS(INDEX($W$2:$W$1001,MATCH(ROWS($U$2:U61),$U$2:$U$1001,0),0), INDEX($AB$1004:$AQ$1004,1,MATCH(COLUMNS($AB$1006:AE1006),$AB$1006:$AQ$1006,0)))),"Fix")))</f>
        <v>0</v>
      </c>
      <c r="F61" s="4">
        <f>IF(OR(INDEX($V$2:$V$1001,MATCH(ROWS($U$2:U61),$U$2:$U$1001,0),1)&gt;=100000,INDEX($AB$1005:$AQ$1005,1,MATCH(COLUMNS($AB$1006:AF1006),$AB$1006:$AQ$1006,0))&gt;=100000), " ",IF(INDEX($AB$2:$AQ$1001,MATCH(ROWS($U$2:U61),$U$2:$U$1001,0),MATCH(COLUMNS($AB$1006:AF1006),$AB$1006:$AQ$1006,0)), HYPERLINK("#",""), HYPERLINK(CONCATENATE("#metadata!", ADDRESS(INDEX($W$2:$W$1001,MATCH(ROWS($U$2:U61),$U$2:$U$1001,0),0), INDEX($AB$1004:$AQ$1004,1,MATCH(COLUMNS($AB$1006:AF1006),$AB$1006:$AQ$1006,0)))),"Fix")))</f>
        <v>0</v>
      </c>
      <c r="G61" s="4">
        <f>IF(OR(INDEX($V$2:$V$1001,MATCH(ROWS($U$2:U61),$U$2:$U$1001,0),1)&gt;=100000,INDEX($AB$1005:$AQ$1005,1,MATCH(COLUMNS($AB$1006:AG1006),$AB$1006:$AQ$1006,0))&gt;=100000), " ",IF(INDEX($AB$2:$AQ$1001,MATCH(ROWS($U$2:U61),$U$2:$U$1001,0),MATCH(COLUMNS($AB$1006:AG1006),$AB$1006:$AQ$1006,0)), HYPERLINK("#",""), HYPERLINK(CONCATENATE("#metadata!", ADDRESS(INDEX($W$2:$W$1001,MATCH(ROWS($U$2:U61),$U$2:$U$1001,0),0), INDEX($AB$1004:$AQ$1004,1,MATCH(COLUMNS($AB$1006:AG1006),$AB$1006:$AQ$1006,0)))),"Fix")))</f>
        <v>0</v>
      </c>
      <c r="H61" s="4">
        <f>IF(OR(INDEX($V$2:$V$1001,MATCH(ROWS($U$2:U61),$U$2:$U$1001,0),1)&gt;=100000,INDEX($AB$1005:$AQ$1005,1,MATCH(COLUMNS($AB$1006:AH1006),$AB$1006:$AQ$1006,0))&gt;=100000), " ",IF(INDEX($AB$2:$AQ$1001,MATCH(ROWS($U$2:U61),$U$2:$U$1001,0),MATCH(COLUMNS($AB$1006:AH1006),$AB$1006:$AQ$1006,0)), HYPERLINK("#",""), HYPERLINK(CONCATENATE("#metadata!", ADDRESS(INDEX($W$2:$W$1001,MATCH(ROWS($U$2:U61),$U$2:$U$1001,0),0), INDEX($AB$1004:$AQ$1004,1,MATCH(COLUMNS($AB$1006:AH1006),$AB$1006:$AQ$1006,0)))),"Fix")))</f>
        <v>0</v>
      </c>
      <c r="I61" s="4">
        <f>IF(OR(INDEX($V$2:$V$1001,MATCH(ROWS($U$2:U61),$U$2:$U$1001,0),1)&gt;=100000,INDEX($AB$1005:$AQ$1005,1,MATCH(COLUMNS($AB$1006:AI1006),$AB$1006:$AQ$1006,0))&gt;=100000), " ",IF(INDEX($AB$2:$AQ$1001,MATCH(ROWS($U$2:U61),$U$2:$U$1001,0),MATCH(COLUMNS($AB$1006:AI1006),$AB$1006:$AQ$1006,0)), HYPERLINK("#",""), HYPERLINK(CONCATENATE("#metadata!", ADDRESS(INDEX($W$2:$W$1001,MATCH(ROWS($U$2:U61),$U$2:$U$1001,0),0), INDEX($AB$1004:$AQ$1004,1,MATCH(COLUMNS($AB$1006:AI1006),$AB$1006:$AQ$1006,0)))),"Fix")))</f>
        <v>0</v>
      </c>
      <c r="J61" s="4">
        <f>IF(OR(INDEX($V$2:$V$1001,MATCH(ROWS($U$2:U61),$U$2:$U$1001,0),1)&gt;=100000,INDEX($AB$1005:$AQ$1005,1,MATCH(COLUMNS($AB$1006:AJ1006),$AB$1006:$AQ$1006,0))&gt;=100000), " ",IF(INDEX($AB$2:$AQ$1001,MATCH(ROWS($U$2:U61),$U$2:$U$1001,0),MATCH(COLUMNS($AB$1006:AJ1006),$AB$1006:$AQ$1006,0)), HYPERLINK("#",""), HYPERLINK(CONCATENATE("#metadata!", ADDRESS(INDEX($W$2:$W$1001,MATCH(ROWS($U$2:U61),$U$2:$U$1001,0),0), INDEX($AB$1004:$AQ$1004,1,MATCH(COLUMNS($AB$1006:AJ1006),$AB$1006:$AQ$1006,0)))),"Fix")))</f>
        <v>0</v>
      </c>
      <c r="K61" s="4">
        <f>IF(OR(INDEX($V$2:$V$1001,MATCH(ROWS($U$2:U61),$U$2:$U$1001,0),1)&gt;=100000,INDEX($AB$1005:$AQ$1005,1,MATCH(COLUMNS($AB$1006:AK1006),$AB$1006:$AQ$1006,0))&gt;=100000), " ",IF(INDEX($AB$2:$AQ$1001,MATCH(ROWS($U$2:U61),$U$2:$U$1001,0),MATCH(COLUMNS($AB$1006:AK1006),$AB$1006:$AQ$1006,0)), HYPERLINK("#",""), HYPERLINK(CONCATENATE("#metadata!", ADDRESS(INDEX($W$2:$W$1001,MATCH(ROWS($U$2:U61),$U$2:$U$1001,0),0), INDEX($AB$1004:$AQ$1004,1,MATCH(COLUMNS($AB$1006:AK1006),$AB$1006:$AQ$1006,0)))),"Fix")))</f>
        <v>0</v>
      </c>
      <c r="L61" s="4">
        <f>IF(OR(INDEX($V$2:$V$1001,MATCH(ROWS($U$2:U61),$U$2:$U$1001,0),1)&gt;=100000,INDEX($AB$1005:$AQ$1005,1,MATCH(COLUMNS($AB$1006:AL1006),$AB$1006:$AQ$1006,0))&gt;=100000), " ",IF(INDEX($AB$2:$AQ$1001,MATCH(ROWS($U$2:U61),$U$2:$U$1001,0),MATCH(COLUMNS($AB$1006:AL1006),$AB$1006:$AQ$1006,0)), HYPERLINK("#",""), HYPERLINK(CONCATENATE("#metadata!", ADDRESS(INDEX($W$2:$W$1001,MATCH(ROWS($U$2:U61),$U$2:$U$1001,0),0), INDEX($AB$1004:$AQ$1004,1,MATCH(COLUMNS($AB$1006:AL1006),$AB$1006:$AQ$1006,0)))),"Fix")))</f>
        <v>0</v>
      </c>
      <c r="M61" s="4">
        <f>IF(OR(INDEX($V$2:$V$1001,MATCH(ROWS($U$2:U61),$U$2:$U$1001,0),1)&gt;=100000,INDEX($AB$1005:$AQ$1005,1,MATCH(COLUMNS($AB$1006:AM1006),$AB$1006:$AQ$1006,0))&gt;=100000), " ",IF(INDEX($AB$2:$AQ$1001,MATCH(ROWS($U$2:U61),$U$2:$U$1001,0),MATCH(COLUMNS($AB$1006:AM1006),$AB$1006:$AQ$1006,0)), HYPERLINK("#",""), HYPERLINK(CONCATENATE("#metadata!", ADDRESS(INDEX($W$2:$W$1001,MATCH(ROWS($U$2:U61),$U$2:$U$1001,0),0), INDEX($AB$1004:$AQ$1004,1,MATCH(COLUMNS($AB$1006:AM1006),$AB$1006:$AQ$1006,0)))),"Fix")))</f>
        <v>0</v>
      </c>
      <c r="N61" s="4">
        <f>IF(OR(INDEX($V$2:$V$1001,MATCH(ROWS($U$2:U61),$U$2:$U$1001,0),1)&gt;=100000,INDEX($AB$1005:$AQ$1005,1,MATCH(COLUMNS($AB$1006:AN1006),$AB$1006:$AQ$1006,0))&gt;=100000), " ",IF(INDEX($AB$2:$AQ$1001,MATCH(ROWS($U$2:U61),$U$2:$U$1001,0),MATCH(COLUMNS($AB$1006:AN1006),$AB$1006:$AQ$1006,0)), HYPERLINK("#",""), HYPERLINK(CONCATENATE("#metadata!", ADDRESS(INDEX($W$2:$W$1001,MATCH(ROWS($U$2:U61),$U$2:$U$1001,0),0), INDEX($AB$1004:$AQ$1004,1,MATCH(COLUMNS($AB$1006:AN1006),$AB$1006:$AQ$1006,0)))),"Fix")))</f>
        <v>0</v>
      </c>
      <c r="O61" s="4">
        <f>IF(OR(INDEX($V$2:$V$1001,MATCH(ROWS($U$2:U61),$U$2:$U$1001,0),1)&gt;=100000,INDEX($AB$1005:$AQ$1005,1,MATCH(COLUMNS($AB$1006:AO1006),$AB$1006:$AQ$1006,0))&gt;=100000), " ",IF(INDEX($AB$2:$AQ$1001,MATCH(ROWS($U$2:U61),$U$2:$U$1001,0),MATCH(COLUMNS($AB$1006:AO1006),$AB$1006:$AQ$1006,0)), HYPERLINK("#",""), HYPERLINK(CONCATENATE("#metadata!", ADDRESS(INDEX($W$2:$W$1001,MATCH(ROWS($U$2:U61),$U$2:$U$1001,0),0), INDEX($AB$1004:$AQ$1004,1,MATCH(COLUMNS($AB$1006:AO1006),$AB$1006:$AQ$1006,0)))),"Fix")))</f>
        <v>0</v>
      </c>
      <c r="P61" s="4">
        <f>IF(OR(INDEX($V$2:$V$1001,MATCH(ROWS($U$2:U61),$U$2:$U$1001,0),1)&gt;=100000,INDEX($AB$1005:$AQ$1005,1,MATCH(COLUMNS($AB$1006:AP1006),$AB$1006:$AQ$1006,0))&gt;=100000), " ",IF(INDEX($AB$2:$AQ$1001,MATCH(ROWS($U$2:U61),$U$2:$U$1001,0),MATCH(COLUMNS($AB$1006:AP1006),$AB$1006:$AQ$1006,0)), HYPERLINK("#",""), HYPERLINK(CONCATENATE("#metadata!", ADDRESS(INDEX($W$2:$W$1001,MATCH(ROWS($U$2:U61),$U$2:$U$1001,0),0), INDEX($AB$1004:$AQ$1004,1,MATCH(COLUMNS($AB$1006:AP1006),$AB$1006:$AQ$1006,0)))),"Fix")))</f>
        <v>0</v>
      </c>
      <c r="Q61" s="4">
        <f>IF(OR(INDEX($V$2:$V$1001,MATCH(ROWS($U$2:U61),$U$2:$U$1001,0),1)&gt;=100000,INDEX($AB$1005:$AQ$1005,1,MATCH(COLUMNS($AB$1006:AQ1006),$AB$1006:$AQ$1006,0))&gt;=100000), " ",IF(INDEX($AB$2:$AQ$1001,MATCH(ROWS($U$2:U61),$U$2:$U$1001,0),MATCH(COLUMNS($AB$1006:AQ1006),$AB$1006:$AQ$1006,0)), HYPERLINK("#",""), HYPERLINK(CONCATENATE("#metadata!", ADDRESS(INDEX($W$2:$W$1001,MATCH(ROWS($U$2:U61),$U$2:$U$1001,0),0), INDEX($AB$1004:$AQ$1004,1,MATCH(COLUMNS($AB$1006:AQ1006),$AB$1006:$AQ$1006,0)))),"Fix")))</f>
        <v>0</v>
      </c>
      <c r="U61">
        <v>0</v>
      </c>
      <c r="V61">
        <v>0</v>
      </c>
      <c r="W61">
        <v>0</v>
      </c>
      <c r="X61">
        <f>IF(Y61,TRUE,AND(AB61:AQ61))</f>
        <v>0</v>
      </c>
      <c r="Y61">
        <f>COUNTBLANK(metadata!B61:Q61)=COLUMNS(metadata!B61:Q61)</f>
        <v>0</v>
      </c>
      <c r="Z61">
        <v>0</v>
      </c>
      <c r="AB61">
        <f>AND(IF(metadata!B61="",FALSE,TRUE),COUNTIF(metadata!B:B, metadata!B61) = 1,NOT(ISERROR(SUMPRODUCT(SEARCH(MID(metadata!B61,ROW(INDIRECT("1:"&amp;LEN(metadata!B61))), 1),"0123456789abcdefghijklmnopqrstuvwxyzABCDEFGHIJKLMNOPQRSTUVWXYZ.")))))</f>
        <v>0</v>
      </c>
      <c r="AC61">
        <f>OR(AND(IF(metadata!C61="",FALSE,TRUE),OR(exact(metadata!C61,"missing: not collected"),exact(metadata!C61,"missing: not provided"),exact(metadata!C61,"missing: restricted access"))),AND(IF(metadata!C61="",FALSE,TRUE),AND(AND(IFERROR(INT(LEFT(metadata!C61,4))&gt;1900,FALSE),IFERROR(INT(LEFT(metadata!C61,4))&lt;=YEAR(NOW()),FALSE)), OR(MID(metadata!C61,5,1)="", AND(AND(MID(metadata!C61,5,1)="-",IFERROR(INT(MID(metadata!C61,6,1))&gt;=0,FALSE),IFERROR(INT(MID(metadata!C61,6,1))&lt;=1,FALSE),NOT(MID(metadata!C61,7,1)=""),IFERROR(INT(MID(metadata!C61,6,2))&gt;=1,FALSE),IFERROR(INT(MID(metadata!C61,6,2))&lt;=12,FALSE)), OR(MID(metadata!C61,8,1)="", AND(AND(MID(metadata!C61,8,1)="-",IFERROR(INT(MID(metadata!C61,9,1))&gt;=0,FALSE),IFERROR(INT(MID(metadata!C61,9,1))&lt;=3,FALSE),NOT(MID(metadata!C61,10,1)=""),IFERROR(INT(MID(metadata!C61,9,2))&gt;=1,FALSE),IFERROR(INT(MID(metadata!C61,9,2))&lt;=31,FALSE)), OR(MID(metadata!C61,11,1)="", AND(AND(MID(metadata!C61,11,1)=" ",IFERROR(INT(MID(metadata!C61,12,1))&gt;=0,FALSE),IFERROR(INT(MID(metadata!C61,12,1))&lt;=2,FALSE),NOT(MID(metadata!C61,13,1)=""),IFERROR(INT(MID(metadata!C61,12,2))&gt;=0,FALSE),IFERROR(INT(MID(metadata!C61,12,2))&lt;=23,FALSE)), OR(MID(metadata!C61,14,1)="", AND(AND(MID(metadata!C61,14,1)=":",IFERROR(INT(MID(metadata!C61,15,1))&gt;=0,FALSE),IFERROR(INT(MID(metadata!C61,15,1))&lt;=5,FALSE),NOT(MID(metadata!C61,16,1)=""),IFERROR(INT(MID(metadata!C61,15,2))&gt;=0,FALSE),IFERROR(INT(MID(metadata!C61,15,2))&lt;=59,FALSE)), OR(MID(metadata!C61,17,1)="", AND(AND(MID(metadata!C61,17,1)=":",IFERROR(INT(MID(metadata!C61,18,1))&gt;=0,FALSE),IFERROR(INT(MID(metadata!C61,18,1))&lt;=5,FALSE),NOT(MID(metadata!C61,19,1)=""),IFERROR(INT(MID(metadata!C61,18,2))&gt;=0,FALSE),IFERROR(INT(MID(metadata!C61,18,2))&lt;=59,FALSE)), LEN(metadata!C61)&lt;=19)))))))))))))</f>
        <v>0</v>
      </c>
      <c r="AD61">
        <f>IF(metadata!D61="",FALSE,TRUE)</f>
        <v>0</v>
      </c>
      <c r="AE61">
        <f>OR(AND(IF(metadata!E61="",FALSE,TRUE),OR(exact(metadata!E61,"missing: not collected"),exact(metadata!E61,"missing: not provided"))),AND(IF(metadata!E61="",FALSE,TRUE),OR(exact(metadata!E61,"TRUE"),exact(metadata!E61,"FALSE"))))</f>
        <v>0</v>
      </c>
      <c r="AF61">
        <f>IF(metadata!F61="",FALSE,TRUE)</f>
        <v>0</v>
      </c>
      <c r="AG61">
        <f>IF(metadata!G61="",FALSE,TRUE)</f>
        <v>0</v>
      </c>
      <c r="AH61">
        <f>IF(metadata!H61="",FALSE,TRUE)</f>
        <v>0</v>
      </c>
      <c r="AI61">
        <f>OR(AND(IF(metadata!I61="",FALSE,TRUE),OR(exact(metadata!I61,"missing: not collected"),exact(metadata!I61,"missing: not provided"),exact(metadata!I61,"missing: restricted access"))),AND(IF(metadata!I61="",FALSE,TRUE),OR(exact(metadata!I61,"air"),exact(metadata!I61,"built environment"),exact(metadata!I61,"host-associated"),exact(metadata!I61,"human-associated"),exact(metadata!I61,"human-skin"),exact(metadata!I61,"human-oral"),exact(metadata!I61,"human-gut"),exact(metadata!I61,"human-vaginal"),exact(metadata!I61,"microbial mat/biofilm"),exact(metadata!I61,"misc environment"),exact(metadata!I61,"plant-associated"),exact(metadata!I61,"sediment"),exact(metadata!I61,"soil"),exact(metadata!I61,"wastewater/sludge"),exact(metadata!I61,"water"))))</f>
        <v>0</v>
      </c>
      <c r="AJ61">
        <f>IF(metadata!J61="",FALSE,TRUE)</f>
        <v>0</v>
      </c>
      <c r="AK61">
        <f>OR(AND(IF(metadata!K61="",FALSE,TRUE),OR(exact(metadata!K61,"missing: not collected"),exact(metadata!K61,"missing: not provided"),exact(metadata!K61,"missing: restricted access"))),AND(IF(metadata!K61="",FALSE,ISNUMBER(VALUE(metadata!K61))),metadata!K61&gt;=-90.00,metadata!K61&lt;=90.00))</f>
        <v>0</v>
      </c>
      <c r="AL61">
        <f>OR(AND(IF(metadata!L61="",FALSE,TRUE),OR(exact(metadata!L61,"missing: not collected"),exact(metadata!L61,"missing: not provided"),exact(metadata!L61,"missing: restricted access"))),AND(IF(metadata!L61="",FALSE,ISNUMBER(VALUE(metadata!L61))),metadata!L61&gt;=-180.00,metadata!L61&lt;=180.00))</f>
        <v>0</v>
      </c>
      <c r="AM61">
        <f>IF(metadata!M61="",FALSE,TRUE)</f>
        <v>0</v>
      </c>
      <c r="AN61">
        <f>OR(AND(IF(metadata!N61="",FALSE,TRUE),OR(exact(metadata!N61,"missing: not collected"),exact(metadata!N61,"missing: not provided"),exact(metadata!N61,"missing: restricted access"))),AND(IF(metadata!N61="",FALSE,TRUE),OR(exact(metadata!N61,"TRUE"),exact(metadata!N61,"FALSE"))))</f>
        <v>0</v>
      </c>
      <c r="AO61">
        <f>IF(metadata!O61="",FALSE,TRUE)</f>
        <v>0</v>
      </c>
      <c r="AP61">
        <f>OR(AND(IF(metadata!P61="",FALSE,TRUE),OR(exact(metadata!P61,"missing: not collected"),exact(metadata!P61,"missing: not provided"))),AND(IF(metadata!P61="",FALSE,IF(ISERROR(INT(metadata!P61)),FALSE,INT(metadata!P61)=metadata!P61)),metadata!P61&gt;0))</f>
        <v>0</v>
      </c>
      <c r="AQ61">
        <f>IF(metadata!Q61="",FALSE,TRUE)</f>
        <v>0</v>
      </c>
    </row>
    <row r="62" spans="1:43">
      <c r="A62" s="5">
        <f>IF(B62=" "," ",HYPERLINK(CONCATENATE("#metadata!",ADDRESS(INDEX($W$2:$W$1001,MATCH(ROWS($U$2:U62),$U$2:$U$1001,0),0),1)),INDEX($Z$2:$Z$1001,MATCH(ROWS($U$2:U62),$U$2:$U$1001,0),0)))</f>
        <v>0</v>
      </c>
      <c r="B62" s="4">
        <f>IF(OR(INDEX($V$2:$V$1001,MATCH(ROWS($U$2:U62),$U$2:$U$1001,0),1)&gt;=100000,INDEX($AB$1005:$AQ$1005,1,MATCH(COLUMNS($AB$1006:AB1006),$AB$1006:$AQ$1006,0))&gt;=100000), " ",IF(INDEX($AB$2:$AQ$1001,MATCH(ROWS($U$2:U62),$U$2:$U$1001,0),MATCH(COLUMNS($AB$1006:AB1006),$AB$1006:$AQ$1006,0)), HYPERLINK("#",""), HYPERLINK(CONCATENATE("#metadata!", ADDRESS(INDEX($W$2:$W$1001,MATCH(ROWS($U$2:U62),$U$2:$U$1001,0),0), INDEX($AB$1004:$AQ$1004,1,MATCH(COLUMNS($AB$1006:AB1006),$AB$1006:$AQ$1006,0)))),"Fix")))</f>
        <v>0</v>
      </c>
      <c r="C62" s="4">
        <f>IF(OR(INDEX($V$2:$V$1001,MATCH(ROWS($U$2:U62),$U$2:$U$1001,0),1)&gt;=100000,INDEX($AB$1005:$AQ$1005,1,MATCH(COLUMNS($AB$1006:AC1006),$AB$1006:$AQ$1006,0))&gt;=100000), " ",IF(INDEX($AB$2:$AQ$1001,MATCH(ROWS($U$2:U62),$U$2:$U$1001,0),MATCH(COLUMNS($AB$1006:AC1006),$AB$1006:$AQ$1006,0)), HYPERLINK("#",""), HYPERLINK(CONCATENATE("#metadata!", ADDRESS(INDEX($W$2:$W$1001,MATCH(ROWS($U$2:U62),$U$2:$U$1001,0),0), INDEX($AB$1004:$AQ$1004,1,MATCH(COLUMNS($AB$1006:AC1006),$AB$1006:$AQ$1006,0)))),"Fix")))</f>
        <v>0</v>
      </c>
      <c r="D62" s="4">
        <f>IF(OR(INDEX($V$2:$V$1001,MATCH(ROWS($U$2:U62),$U$2:$U$1001,0),1)&gt;=100000,INDEX($AB$1005:$AQ$1005,1,MATCH(COLUMNS($AB$1006:AD1006),$AB$1006:$AQ$1006,0))&gt;=100000), " ",IF(INDEX($AB$2:$AQ$1001,MATCH(ROWS($U$2:U62),$U$2:$U$1001,0),MATCH(COLUMNS($AB$1006:AD1006),$AB$1006:$AQ$1006,0)), HYPERLINK("#",""), HYPERLINK(CONCATENATE("#metadata!", ADDRESS(INDEX($W$2:$W$1001,MATCH(ROWS($U$2:U62),$U$2:$U$1001,0),0), INDEX($AB$1004:$AQ$1004,1,MATCH(COLUMNS($AB$1006:AD1006),$AB$1006:$AQ$1006,0)))),"Fix")))</f>
        <v>0</v>
      </c>
      <c r="E62" s="4">
        <f>IF(OR(INDEX($V$2:$V$1001,MATCH(ROWS($U$2:U62),$U$2:$U$1001,0),1)&gt;=100000,INDEX($AB$1005:$AQ$1005,1,MATCH(COLUMNS($AB$1006:AE1006),$AB$1006:$AQ$1006,0))&gt;=100000), " ",IF(INDEX($AB$2:$AQ$1001,MATCH(ROWS($U$2:U62),$U$2:$U$1001,0),MATCH(COLUMNS($AB$1006:AE1006),$AB$1006:$AQ$1006,0)), HYPERLINK("#",""), HYPERLINK(CONCATENATE("#metadata!", ADDRESS(INDEX($W$2:$W$1001,MATCH(ROWS($U$2:U62),$U$2:$U$1001,0),0), INDEX($AB$1004:$AQ$1004,1,MATCH(COLUMNS($AB$1006:AE1006),$AB$1006:$AQ$1006,0)))),"Fix")))</f>
        <v>0</v>
      </c>
      <c r="F62" s="4">
        <f>IF(OR(INDEX($V$2:$V$1001,MATCH(ROWS($U$2:U62),$U$2:$U$1001,0),1)&gt;=100000,INDEX($AB$1005:$AQ$1005,1,MATCH(COLUMNS($AB$1006:AF1006),$AB$1006:$AQ$1006,0))&gt;=100000), " ",IF(INDEX($AB$2:$AQ$1001,MATCH(ROWS($U$2:U62),$U$2:$U$1001,0),MATCH(COLUMNS($AB$1006:AF1006),$AB$1006:$AQ$1006,0)), HYPERLINK("#",""), HYPERLINK(CONCATENATE("#metadata!", ADDRESS(INDEX($W$2:$W$1001,MATCH(ROWS($U$2:U62),$U$2:$U$1001,0),0), INDEX($AB$1004:$AQ$1004,1,MATCH(COLUMNS($AB$1006:AF1006),$AB$1006:$AQ$1006,0)))),"Fix")))</f>
        <v>0</v>
      </c>
      <c r="G62" s="4">
        <f>IF(OR(INDEX($V$2:$V$1001,MATCH(ROWS($U$2:U62),$U$2:$U$1001,0),1)&gt;=100000,INDEX($AB$1005:$AQ$1005,1,MATCH(COLUMNS($AB$1006:AG1006),$AB$1006:$AQ$1006,0))&gt;=100000), " ",IF(INDEX($AB$2:$AQ$1001,MATCH(ROWS($U$2:U62),$U$2:$U$1001,0),MATCH(COLUMNS($AB$1006:AG1006),$AB$1006:$AQ$1006,0)), HYPERLINK("#",""), HYPERLINK(CONCATENATE("#metadata!", ADDRESS(INDEX($W$2:$W$1001,MATCH(ROWS($U$2:U62),$U$2:$U$1001,0),0), INDEX($AB$1004:$AQ$1004,1,MATCH(COLUMNS($AB$1006:AG1006),$AB$1006:$AQ$1006,0)))),"Fix")))</f>
        <v>0</v>
      </c>
      <c r="H62" s="4">
        <f>IF(OR(INDEX($V$2:$V$1001,MATCH(ROWS($U$2:U62),$U$2:$U$1001,0),1)&gt;=100000,INDEX($AB$1005:$AQ$1005,1,MATCH(COLUMNS($AB$1006:AH1006),$AB$1006:$AQ$1006,0))&gt;=100000), " ",IF(INDEX($AB$2:$AQ$1001,MATCH(ROWS($U$2:U62),$U$2:$U$1001,0),MATCH(COLUMNS($AB$1006:AH1006),$AB$1006:$AQ$1006,0)), HYPERLINK("#",""), HYPERLINK(CONCATENATE("#metadata!", ADDRESS(INDEX($W$2:$W$1001,MATCH(ROWS($U$2:U62),$U$2:$U$1001,0),0), INDEX($AB$1004:$AQ$1004,1,MATCH(COLUMNS($AB$1006:AH1006),$AB$1006:$AQ$1006,0)))),"Fix")))</f>
        <v>0</v>
      </c>
      <c r="I62" s="4">
        <f>IF(OR(INDEX($V$2:$V$1001,MATCH(ROWS($U$2:U62),$U$2:$U$1001,0),1)&gt;=100000,INDEX($AB$1005:$AQ$1005,1,MATCH(COLUMNS($AB$1006:AI1006),$AB$1006:$AQ$1006,0))&gt;=100000), " ",IF(INDEX($AB$2:$AQ$1001,MATCH(ROWS($U$2:U62),$U$2:$U$1001,0),MATCH(COLUMNS($AB$1006:AI1006),$AB$1006:$AQ$1006,0)), HYPERLINK("#",""), HYPERLINK(CONCATENATE("#metadata!", ADDRESS(INDEX($W$2:$W$1001,MATCH(ROWS($U$2:U62),$U$2:$U$1001,0),0), INDEX($AB$1004:$AQ$1004,1,MATCH(COLUMNS($AB$1006:AI1006),$AB$1006:$AQ$1006,0)))),"Fix")))</f>
        <v>0</v>
      </c>
      <c r="J62" s="4">
        <f>IF(OR(INDEX($V$2:$V$1001,MATCH(ROWS($U$2:U62),$U$2:$U$1001,0),1)&gt;=100000,INDEX($AB$1005:$AQ$1005,1,MATCH(COLUMNS($AB$1006:AJ1006),$AB$1006:$AQ$1006,0))&gt;=100000), " ",IF(INDEX($AB$2:$AQ$1001,MATCH(ROWS($U$2:U62),$U$2:$U$1001,0),MATCH(COLUMNS($AB$1006:AJ1006),$AB$1006:$AQ$1006,0)), HYPERLINK("#",""), HYPERLINK(CONCATENATE("#metadata!", ADDRESS(INDEX($W$2:$W$1001,MATCH(ROWS($U$2:U62),$U$2:$U$1001,0),0), INDEX($AB$1004:$AQ$1004,1,MATCH(COLUMNS($AB$1006:AJ1006),$AB$1006:$AQ$1006,0)))),"Fix")))</f>
        <v>0</v>
      </c>
      <c r="K62" s="4">
        <f>IF(OR(INDEX($V$2:$V$1001,MATCH(ROWS($U$2:U62),$U$2:$U$1001,0),1)&gt;=100000,INDEX($AB$1005:$AQ$1005,1,MATCH(COLUMNS($AB$1006:AK1006),$AB$1006:$AQ$1006,0))&gt;=100000), " ",IF(INDEX($AB$2:$AQ$1001,MATCH(ROWS($U$2:U62),$U$2:$U$1001,0),MATCH(COLUMNS($AB$1006:AK1006),$AB$1006:$AQ$1006,0)), HYPERLINK("#",""), HYPERLINK(CONCATENATE("#metadata!", ADDRESS(INDEX($W$2:$W$1001,MATCH(ROWS($U$2:U62),$U$2:$U$1001,0),0), INDEX($AB$1004:$AQ$1004,1,MATCH(COLUMNS($AB$1006:AK1006),$AB$1006:$AQ$1006,0)))),"Fix")))</f>
        <v>0</v>
      </c>
      <c r="L62" s="4">
        <f>IF(OR(INDEX($V$2:$V$1001,MATCH(ROWS($U$2:U62),$U$2:$U$1001,0),1)&gt;=100000,INDEX($AB$1005:$AQ$1005,1,MATCH(COLUMNS($AB$1006:AL1006),$AB$1006:$AQ$1006,0))&gt;=100000), " ",IF(INDEX($AB$2:$AQ$1001,MATCH(ROWS($U$2:U62),$U$2:$U$1001,0),MATCH(COLUMNS($AB$1006:AL1006),$AB$1006:$AQ$1006,0)), HYPERLINK("#",""), HYPERLINK(CONCATENATE("#metadata!", ADDRESS(INDEX($W$2:$W$1001,MATCH(ROWS($U$2:U62),$U$2:$U$1001,0),0), INDEX($AB$1004:$AQ$1004,1,MATCH(COLUMNS($AB$1006:AL1006),$AB$1006:$AQ$1006,0)))),"Fix")))</f>
        <v>0</v>
      </c>
      <c r="M62" s="4">
        <f>IF(OR(INDEX($V$2:$V$1001,MATCH(ROWS($U$2:U62),$U$2:$U$1001,0),1)&gt;=100000,INDEX($AB$1005:$AQ$1005,1,MATCH(COLUMNS($AB$1006:AM1006),$AB$1006:$AQ$1006,0))&gt;=100000), " ",IF(INDEX($AB$2:$AQ$1001,MATCH(ROWS($U$2:U62),$U$2:$U$1001,0),MATCH(COLUMNS($AB$1006:AM1006),$AB$1006:$AQ$1006,0)), HYPERLINK("#",""), HYPERLINK(CONCATENATE("#metadata!", ADDRESS(INDEX($W$2:$W$1001,MATCH(ROWS($U$2:U62),$U$2:$U$1001,0),0), INDEX($AB$1004:$AQ$1004,1,MATCH(COLUMNS($AB$1006:AM1006),$AB$1006:$AQ$1006,0)))),"Fix")))</f>
        <v>0</v>
      </c>
      <c r="N62" s="4">
        <f>IF(OR(INDEX($V$2:$V$1001,MATCH(ROWS($U$2:U62),$U$2:$U$1001,0),1)&gt;=100000,INDEX($AB$1005:$AQ$1005,1,MATCH(COLUMNS($AB$1006:AN1006),$AB$1006:$AQ$1006,0))&gt;=100000), " ",IF(INDEX($AB$2:$AQ$1001,MATCH(ROWS($U$2:U62),$U$2:$U$1001,0),MATCH(COLUMNS($AB$1006:AN1006),$AB$1006:$AQ$1006,0)), HYPERLINK("#",""), HYPERLINK(CONCATENATE("#metadata!", ADDRESS(INDEX($W$2:$W$1001,MATCH(ROWS($U$2:U62),$U$2:$U$1001,0),0), INDEX($AB$1004:$AQ$1004,1,MATCH(COLUMNS($AB$1006:AN1006),$AB$1006:$AQ$1006,0)))),"Fix")))</f>
        <v>0</v>
      </c>
      <c r="O62" s="4">
        <f>IF(OR(INDEX($V$2:$V$1001,MATCH(ROWS($U$2:U62),$U$2:$U$1001,0),1)&gt;=100000,INDEX($AB$1005:$AQ$1005,1,MATCH(COLUMNS($AB$1006:AO1006),$AB$1006:$AQ$1006,0))&gt;=100000), " ",IF(INDEX($AB$2:$AQ$1001,MATCH(ROWS($U$2:U62),$U$2:$U$1001,0),MATCH(COLUMNS($AB$1006:AO1006),$AB$1006:$AQ$1006,0)), HYPERLINK("#",""), HYPERLINK(CONCATENATE("#metadata!", ADDRESS(INDEX($W$2:$W$1001,MATCH(ROWS($U$2:U62),$U$2:$U$1001,0),0), INDEX($AB$1004:$AQ$1004,1,MATCH(COLUMNS($AB$1006:AO1006),$AB$1006:$AQ$1006,0)))),"Fix")))</f>
        <v>0</v>
      </c>
      <c r="P62" s="4">
        <f>IF(OR(INDEX($V$2:$V$1001,MATCH(ROWS($U$2:U62),$U$2:$U$1001,0),1)&gt;=100000,INDEX($AB$1005:$AQ$1005,1,MATCH(COLUMNS($AB$1006:AP1006),$AB$1006:$AQ$1006,0))&gt;=100000), " ",IF(INDEX($AB$2:$AQ$1001,MATCH(ROWS($U$2:U62),$U$2:$U$1001,0),MATCH(COLUMNS($AB$1006:AP1006),$AB$1006:$AQ$1006,0)), HYPERLINK("#",""), HYPERLINK(CONCATENATE("#metadata!", ADDRESS(INDEX($W$2:$W$1001,MATCH(ROWS($U$2:U62),$U$2:$U$1001,0),0), INDEX($AB$1004:$AQ$1004,1,MATCH(COLUMNS($AB$1006:AP1006),$AB$1006:$AQ$1006,0)))),"Fix")))</f>
        <v>0</v>
      </c>
      <c r="Q62" s="4">
        <f>IF(OR(INDEX($V$2:$V$1001,MATCH(ROWS($U$2:U62),$U$2:$U$1001,0),1)&gt;=100000,INDEX($AB$1005:$AQ$1005,1,MATCH(COLUMNS($AB$1006:AQ1006),$AB$1006:$AQ$1006,0))&gt;=100000), " ",IF(INDEX($AB$2:$AQ$1001,MATCH(ROWS($U$2:U62),$U$2:$U$1001,0),MATCH(COLUMNS($AB$1006:AQ1006),$AB$1006:$AQ$1006,0)), HYPERLINK("#",""), HYPERLINK(CONCATENATE("#metadata!", ADDRESS(INDEX($W$2:$W$1001,MATCH(ROWS($U$2:U62),$U$2:$U$1001,0),0), INDEX($AB$1004:$AQ$1004,1,MATCH(COLUMNS($AB$1006:AQ1006),$AB$1006:$AQ$1006,0)))),"Fix")))</f>
        <v>0</v>
      </c>
      <c r="U62">
        <v>0</v>
      </c>
      <c r="V62">
        <v>0</v>
      </c>
      <c r="W62">
        <v>0</v>
      </c>
      <c r="X62">
        <f>IF(Y62,TRUE,AND(AB62:AQ62))</f>
        <v>0</v>
      </c>
      <c r="Y62">
        <f>COUNTBLANK(metadata!B62:Q62)=COLUMNS(metadata!B62:Q62)</f>
        <v>0</v>
      </c>
      <c r="Z62">
        <v>0</v>
      </c>
      <c r="AB62">
        <f>AND(IF(metadata!B62="",FALSE,TRUE),COUNTIF(metadata!B:B, metadata!B62) = 1,NOT(ISERROR(SUMPRODUCT(SEARCH(MID(metadata!B62,ROW(INDIRECT("1:"&amp;LEN(metadata!B62))), 1),"0123456789abcdefghijklmnopqrstuvwxyzABCDEFGHIJKLMNOPQRSTUVWXYZ.")))))</f>
        <v>0</v>
      </c>
      <c r="AC62">
        <f>OR(AND(IF(metadata!C62="",FALSE,TRUE),OR(exact(metadata!C62,"missing: not collected"),exact(metadata!C62,"missing: not provided"),exact(metadata!C62,"missing: restricted access"))),AND(IF(metadata!C62="",FALSE,TRUE),AND(AND(IFERROR(INT(LEFT(metadata!C62,4))&gt;1900,FALSE),IFERROR(INT(LEFT(metadata!C62,4))&lt;=YEAR(NOW()),FALSE)), OR(MID(metadata!C62,5,1)="", AND(AND(MID(metadata!C62,5,1)="-",IFERROR(INT(MID(metadata!C62,6,1))&gt;=0,FALSE),IFERROR(INT(MID(metadata!C62,6,1))&lt;=1,FALSE),NOT(MID(metadata!C62,7,1)=""),IFERROR(INT(MID(metadata!C62,6,2))&gt;=1,FALSE),IFERROR(INT(MID(metadata!C62,6,2))&lt;=12,FALSE)), OR(MID(metadata!C62,8,1)="", AND(AND(MID(metadata!C62,8,1)="-",IFERROR(INT(MID(metadata!C62,9,1))&gt;=0,FALSE),IFERROR(INT(MID(metadata!C62,9,1))&lt;=3,FALSE),NOT(MID(metadata!C62,10,1)=""),IFERROR(INT(MID(metadata!C62,9,2))&gt;=1,FALSE),IFERROR(INT(MID(metadata!C62,9,2))&lt;=31,FALSE)), OR(MID(metadata!C62,11,1)="", AND(AND(MID(metadata!C62,11,1)=" ",IFERROR(INT(MID(metadata!C62,12,1))&gt;=0,FALSE),IFERROR(INT(MID(metadata!C62,12,1))&lt;=2,FALSE),NOT(MID(metadata!C62,13,1)=""),IFERROR(INT(MID(metadata!C62,12,2))&gt;=0,FALSE),IFERROR(INT(MID(metadata!C62,12,2))&lt;=23,FALSE)), OR(MID(metadata!C62,14,1)="", AND(AND(MID(metadata!C62,14,1)=":",IFERROR(INT(MID(metadata!C62,15,1))&gt;=0,FALSE),IFERROR(INT(MID(metadata!C62,15,1))&lt;=5,FALSE),NOT(MID(metadata!C62,16,1)=""),IFERROR(INT(MID(metadata!C62,15,2))&gt;=0,FALSE),IFERROR(INT(MID(metadata!C62,15,2))&lt;=59,FALSE)), OR(MID(metadata!C62,17,1)="", AND(AND(MID(metadata!C62,17,1)=":",IFERROR(INT(MID(metadata!C62,18,1))&gt;=0,FALSE),IFERROR(INT(MID(metadata!C62,18,1))&lt;=5,FALSE),NOT(MID(metadata!C62,19,1)=""),IFERROR(INT(MID(metadata!C62,18,2))&gt;=0,FALSE),IFERROR(INT(MID(metadata!C62,18,2))&lt;=59,FALSE)), LEN(metadata!C62)&lt;=19)))))))))))))</f>
        <v>0</v>
      </c>
      <c r="AD62">
        <f>IF(metadata!D62="",FALSE,TRUE)</f>
        <v>0</v>
      </c>
      <c r="AE62">
        <f>OR(AND(IF(metadata!E62="",FALSE,TRUE),OR(exact(metadata!E62,"missing: not collected"),exact(metadata!E62,"missing: not provided"))),AND(IF(metadata!E62="",FALSE,TRUE),OR(exact(metadata!E62,"TRUE"),exact(metadata!E62,"FALSE"))))</f>
        <v>0</v>
      </c>
      <c r="AF62">
        <f>IF(metadata!F62="",FALSE,TRUE)</f>
        <v>0</v>
      </c>
      <c r="AG62">
        <f>IF(metadata!G62="",FALSE,TRUE)</f>
        <v>0</v>
      </c>
      <c r="AH62">
        <f>IF(metadata!H62="",FALSE,TRUE)</f>
        <v>0</v>
      </c>
      <c r="AI62">
        <f>OR(AND(IF(metadata!I62="",FALSE,TRUE),OR(exact(metadata!I62,"missing: not collected"),exact(metadata!I62,"missing: not provided"),exact(metadata!I62,"missing: restricted access"))),AND(IF(metadata!I62="",FALSE,TRUE),OR(exact(metadata!I62,"air"),exact(metadata!I62,"built environment"),exact(metadata!I62,"host-associated"),exact(metadata!I62,"human-associated"),exact(metadata!I62,"human-skin"),exact(metadata!I62,"human-oral"),exact(metadata!I62,"human-gut"),exact(metadata!I62,"human-vaginal"),exact(metadata!I62,"microbial mat/biofilm"),exact(metadata!I62,"misc environment"),exact(metadata!I62,"plant-associated"),exact(metadata!I62,"sediment"),exact(metadata!I62,"soil"),exact(metadata!I62,"wastewater/sludge"),exact(metadata!I62,"water"))))</f>
        <v>0</v>
      </c>
      <c r="AJ62">
        <f>IF(metadata!J62="",FALSE,TRUE)</f>
        <v>0</v>
      </c>
      <c r="AK62">
        <f>OR(AND(IF(metadata!K62="",FALSE,TRUE),OR(exact(metadata!K62,"missing: not collected"),exact(metadata!K62,"missing: not provided"),exact(metadata!K62,"missing: restricted access"))),AND(IF(metadata!K62="",FALSE,ISNUMBER(VALUE(metadata!K62))),metadata!K62&gt;=-90.00,metadata!K62&lt;=90.00))</f>
        <v>0</v>
      </c>
      <c r="AL62">
        <f>OR(AND(IF(metadata!L62="",FALSE,TRUE),OR(exact(metadata!L62,"missing: not collected"),exact(metadata!L62,"missing: not provided"),exact(metadata!L62,"missing: restricted access"))),AND(IF(metadata!L62="",FALSE,ISNUMBER(VALUE(metadata!L62))),metadata!L62&gt;=-180.00,metadata!L62&lt;=180.00))</f>
        <v>0</v>
      </c>
      <c r="AM62">
        <f>IF(metadata!M62="",FALSE,TRUE)</f>
        <v>0</v>
      </c>
      <c r="AN62">
        <f>OR(AND(IF(metadata!N62="",FALSE,TRUE),OR(exact(metadata!N62,"missing: not collected"),exact(metadata!N62,"missing: not provided"),exact(metadata!N62,"missing: restricted access"))),AND(IF(metadata!N62="",FALSE,TRUE),OR(exact(metadata!N62,"TRUE"),exact(metadata!N62,"FALSE"))))</f>
        <v>0</v>
      </c>
      <c r="AO62">
        <f>IF(metadata!O62="",FALSE,TRUE)</f>
        <v>0</v>
      </c>
      <c r="AP62">
        <f>OR(AND(IF(metadata!P62="",FALSE,TRUE),OR(exact(metadata!P62,"missing: not collected"),exact(metadata!P62,"missing: not provided"))),AND(IF(metadata!P62="",FALSE,IF(ISERROR(INT(metadata!P62)),FALSE,INT(metadata!P62)=metadata!P62)),metadata!P62&gt;0))</f>
        <v>0</v>
      </c>
      <c r="AQ62">
        <f>IF(metadata!Q62="",FALSE,TRUE)</f>
        <v>0</v>
      </c>
    </row>
    <row r="63" spans="1:43">
      <c r="A63" s="5">
        <f>IF(B63=" "," ",HYPERLINK(CONCATENATE("#metadata!",ADDRESS(INDEX($W$2:$W$1001,MATCH(ROWS($U$2:U63),$U$2:$U$1001,0),0),1)),INDEX($Z$2:$Z$1001,MATCH(ROWS($U$2:U63),$U$2:$U$1001,0),0)))</f>
        <v>0</v>
      </c>
      <c r="B63" s="4">
        <f>IF(OR(INDEX($V$2:$V$1001,MATCH(ROWS($U$2:U63),$U$2:$U$1001,0),1)&gt;=100000,INDEX($AB$1005:$AQ$1005,1,MATCH(COLUMNS($AB$1006:AB1006),$AB$1006:$AQ$1006,0))&gt;=100000), " ",IF(INDEX($AB$2:$AQ$1001,MATCH(ROWS($U$2:U63),$U$2:$U$1001,0),MATCH(COLUMNS($AB$1006:AB1006),$AB$1006:$AQ$1006,0)), HYPERLINK("#",""), HYPERLINK(CONCATENATE("#metadata!", ADDRESS(INDEX($W$2:$W$1001,MATCH(ROWS($U$2:U63),$U$2:$U$1001,0),0), INDEX($AB$1004:$AQ$1004,1,MATCH(COLUMNS($AB$1006:AB1006),$AB$1006:$AQ$1006,0)))),"Fix")))</f>
        <v>0</v>
      </c>
      <c r="C63" s="4">
        <f>IF(OR(INDEX($V$2:$V$1001,MATCH(ROWS($U$2:U63),$U$2:$U$1001,0),1)&gt;=100000,INDEX($AB$1005:$AQ$1005,1,MATCH(COLUMNS($AB$1006:AC1006),$AB$1006:$AQ$1006,0))&gt;=100000), " ",IF(INDEX($AB$2:$AQ$1001,MATCH(ROWS($U$2:U63),$U$2:$U$1001,0),MATCH(COLUMNS($AB$1006:AC1006),$AB$1006:$AQ$1006,0)), HYPERLINK("#",""), HYPERLINK(CONCATENATE("#metadata!", ADDRESS(INDEX($W$2:$W$1001,MATCH(ROWS($U$2:U63),$U$2:$U$1001,0),0), INDEX($AB$1004:$AQ$1004,1,MATCH(COLUMNS($AB$1006:AC1006),$AB$1006:$AQ$1006,0)))),"Fix")))</f>
        <v>0</v>
      </c>
      <c r="D63" s="4">
        <f>IF(OR(INDEX($V$2:$V$1001,MATCH(ROWS($U$2:U63),$U$2:$U$1001,0),1)&gt;=100000,INDEX($AB$1005:$AQ$1005,1,MATCH(COLUMNS($AB$1006:AD1006),$AB$1006:$AQ$1006,0))&gt;=100000), " ",IF(INDEX($AB$2:$AQ$1001,MATCH(ROWS($U$2:U63),$U$2:$U$1001,0),MATCH(COLUMNS($AB$1006:AD1006),$AB$1006:$AQ$1006,0)), HYPERLINK("#",""), HYPERLINK(CONCATENATE("#metadata!", ADDRESS(INDEX($W$2:$W$1001,MATCH(ROWS($U$2:U63),$U$2:$U$1001,0),0), INDEX($AB$1004:$AQ$1004,1,MATCH(COLUMNS($AB$1006:AD1006),$AB$1006:$AQ$1006,0)))),"Fix")))</f>
        <v>0</v>
      </c>
      <c r="E63" s="4">
        <f>IF(OR(INDEX($V$2:$V$1001,MATCH(ROWS($U$2:U63),$U$2:$U$1001,0),1)&gt;=100000,INDEX($AB$1005:$AQ$1005,1,MATCH(COLUMNS($AB$1006:AE1006),$AB$1006:$AQ$1006,0))&gt;=100000), " ",IF(INDEX($AB$2:$AQ$1001,MATCH(ROWS($U$2:U63),$U$2:$U$1001,0),MATCH(COLUMNS($AB$1006:AE1006),$AB$1006:$AQ$1006,0)), HYPERLINK("#",""), HYPERLINK(CONCATENATE("#metadata!", ADDRESS(INDEX($W$2:$W$1001,MATCH(ROWS($U$2:U63),$U$2:$U$1001,0),0), INDEX($AB$1004:$AQ$1004,1,MATCH(COLUMNS($AB$1006:AE1006),$AB$1006:$AQ$1006,0)))),"Fix")))</f>
        <v>0</v>
      </c>
      <c r="F63" s="4">
        <f>IF(OR(INDEX($V$2:$V$1001,MATCH(ROWS($U$2:U63),$U$2:$U$1001,0),1)&gt;=100000,INDEX($AB$1005:$AQ$1005,1,MATCH(COLUMNS($AB$1006:AF1006),$AB$1006:$AQ$1006,0))&gt;=100000), " ",IF(INDEX($AB$2:$AQ$1001,MATCH(ROWS($U$2:U63),$U$2:$U$1001,0),MATCH(COLUMNS($AB$1006:AF1006),$AB$1006:$AQ$1006,0)), HYPERLINK("#",""), HYPERLINK(CONCATENATE("#metadata!", ADDRESS(INDEX($W$2:$W$1001,MATCH(ROWS($U$2:U63),$U$2:$U$1001,0),0), INDEX($AB$1004:$AQ$1004,1,MATCH(COLUMNS($AB$1006:AF1006),$AB$1006:$AQ$1006,0)))),"Fix")))</f>
        <v>0</v>
      </c>
      <c r="G63" s="4">
        <f>IF(OR(INDEX($V$2:$V$1001,MATCH(ROWS($U$2:U63),$U$2:$U$1001,0),1)&gt;=100000,INDEX($AB$1005:$AQ$1005,1,MATCH(COLUMNS($AB$1006:AG1006),$AB$1006:$AQ$1006,0))&gt;=100000), " ",IF(INDEX($AB$2:$AQ$1001,MATCH(ROWS($U$2:U63),$U$2:$U$1001,0),MATCH(COLUMNS($AB$1006:AG1006),$AB$1006:$AQ$1006,0)), HYPERLINK("#",""), HYPERLINK(CONCATENATE("#metadata!", ADDRESS(INDEX($W$2:$W$1001,MATCH(ROWS($U$2:U63),$U$2:$U$1001,0),0), INDEX($AB$1004:$AQ$1004,1,MATCH(COLUMNS($AB$1006:AG1006),$AB$1006:$AQ$1006,0)))),"Fix")))</f>
        <v>0</v>
      </c>
      <c r="H63" s="4">
        <f>IF(OR(INDEX($V$2:$V$1001,MATCH(ROWS($U$2:U63),$U$2:$U$1001,0),1)&gt;=100000,INDEX($AB$1005:$AQ$1005,1,MATCH(COLUMNS($AB$1006:AH1006),$AB$1006:$AQ$1006,0))&gt;=100000), " ",IF(INDEX($AB$2:$AQ$1001,MATCH(ROWS($U$2:U63),$U$2:$U$1001,0),MATCH(COLUMNS($AB$1006:AH1006),$AB$1006:$AQ$1006,0)), HYPERLINK("#",""), HYPERLINK(CONCATENATE("#metadata!", ADDRESS(INDEX($W$2:$W$1001,MATCH(ROWS($U$2:U63),$U$2:$U$1001,0),0), INDEX($AB$1004:$AQ$1004,1,MATCH(COLUMNS($AB$1006:AH1006),$AB$1006:$AQ$1006,0)))),"Fix")))</f>
        <v>0</v>
      </c>
      <c r="I63" s="4">
        <f>IF(OR(INDEX($V$2:$V$1001,MATCH(ROWS($U$2:U63),$U$2:$U$1001,0),1)&gt;=100000,INDEX($AB$1005:$AQ$1005,1,MATCH(COLUMNS($AB$1006:AI1006),$AB$1006:$AQ$1006,0))&gt;=100000), " ",IF(INDEX($AB$2:$AQ$1001,MATCH(ROWS($U$2:U63),$U$2:$U$1001,0),MATCH(COLUMNS($AB$1006:AI1006),$AB$1006:$AQ$1006,0)), HYPERLINK("#",""), HYPERLINK(CONCATENATE("#metadata!", ADDRESS(INDEX($W$2:$W$1001,MATCH(ROWS($U$2:U63),$U$2:$U$1001,0),0), INDEX($AB$1004:$AQ$1004,1,MATCH(COLUMNS($AB$1006:AI1006),$AB$1006:$AQ$1006,0)))),"Fix")))</f>
        <v>0</v>
      </c>
      <c r="J63" s="4">
        <f>IF(OR(INDEX($V$2:$V$1001,MATCH(ROWS($U$2:U63),$U$2:$U$1001,0),1)&gt;=100000,INDEX($AB$1005:$AQ$1005,1,MATCH(COLUMNS($AB$1006:AJ1006),$AB$1006:$AQ$1006,0))&gt;=100000), " ",IF(INDEX($AB$2:$AQ$1001,MATCH(ROWS($U$2:U63),$U$2:$U$1001,0),MATCH(COLUMNS($AB$1006:AJ1006),$AB$1006:$AQ$1006,0)), HYPERLINK("#",""), HYPERLINK(CONCATENATE("#metadata!", ADDRESS(INDEX($W$2:$W$1001,MATCH(ROWS($U$2:U63),$U$2:$U$1001,0),0), INDEX($AB$1004:$AQ$1004,1,MATCH(COLUMNS($AB$1006:AJ1006),$AB$1006:$AQ$1006,0)))),"Fix")))</f>
        <v>0</v>
      </c>
      <c r="K63" s="4">
        <f>IF(OR(INDEX($V$2:$V$1001,MATCH(ROWS($U$2:U63),$U$2:$U$1001,0),1)&gt;=100000,INDEX($AB$1005:$AQ$1005,1,MATCH(COLUMNS($AB$1006:AK1006),$AB$1006:$AQ$1006,0))&gt;=100000), " ",IF(INDEX($AB$2:$AQ$1001,MATCH(ROWS($U$2:U63),$U$2:$U$1001,0),MATCH(COLUMNS($AB$1006:AK1006),$AB$1006:$AQ$1006,0)), HYPERLINK("#",""), HYPERLINK(CONCATENATE("#metadata!", ADDRESS(INDEX($W$2:$W$1001,MATCH(ROWS($U$2:U63),$U$2:$U$1001,0),0), INDEX($AB$1004:$AQ$1004,1,MATCH(COLUMNS($AB$1006:AK1006),$AB$1006:$AQ$1006,0)))),"Fix")))</f>
        <v>0</v>
      </c>
      <c r="L63" s="4">
        <f>IF(OR(INDEX($V$2:$V$1001,MATCH(ROWS($U$2:U63),$U$2:$U$1001,0),1)&gt;=100000,INDEX($AB$1005:$AQ$1005,1,MATCH(COLUMNS($AB$1006:AL1006),$AB$1006:$AQ$1006,0))&gt;=100000), " ",IF(INDEX($AB$2:$AQ$1001,MATCH(ROWS($U$2:U63),$U$2:$U$1001,0),MATCH(COLUMNS($AB$1006:AL1006),$AB$1006:$AQ$1006,0)), HYPERLINK("#",""), HYPERLINK(CONCATENATE("#metadata!", ADDRESS(INDEX($W$2:$W$1001,MATCH(ROWS($U$2:U63),$U$2:$U$1001,0),0), INDEX($AB$1004:$AQ$1004,1,MATCH(COLUMNS($AB$1006:AL1006),$AB$1006:$AQ$1006,0)))),"Fix")))</f>
        <v>0</v>
      </c>
      <c r="M63" s="4">
        <f>IF(OR(INDEX($V$2:$V$1001,MATCH(ROWS($U$2:U63),$U$2:$U$1001,0),1)&gt;=100000,INDEX($AB$1005:$AQ$1005,1,MATCH(COLUMNS($AB$1006:AM1006),$AB$1006:$AQ$1006,0))&gt;=100000), " ",IF(INDEX($AB$2:$AQ$1001,MATCH(ROWS($U$2:U63),$U$2:$U$1001,0),MATCH(COLUMNS($AB$1006:AM1006),$AB$1006:$AQ$1006,0)), HYPERLINK("#",""), HYPERLINK(CONCATENATE("#metadata!", ADDRESS(INDEX($W$2:$W$1001,MATCH(ROWS($U$2:U63),$U$2:$U$1001,0),0), INDEX($AB$1004:$AQ$1004,1,MATCH(COLUMNS($AB$1006:AM1006),$AB$1006:$AQ$1006,0)))),"Fix")))</f>
        <v>0</v>
      </c>
      <c r="N63" s="4">
        <f>IF(OR(INDEX($V$2:$V$1001,MATCH(ROWS($U$2:U63),$U$2:$U$1001,0),1)&gt;=100000,INDEX($AB$1005:$AQ$1005,1,MATCH(COLUMNS($AB$1006:AN1006),$AB$1006:$AQ$1006,0))&gt;=100000), " ",IF(INDEX($AB$2:$AQ$1001,MATCH(ROWS($U$2:U63),$U$2:$U$1001,0),MATCH(COLUMNS($AB$1006:AN1006),$AB$1006:$AQ$1006,0)), HYPERLINK("#",""), HYPERLINK(CONCATENATE("#metadata!", ADDRESS(INDEX($W$2:$W$1001,MATCH(ROWS($U$2:U63),$U$2:$U$1001,0),0), INDEX($AB$1004:$AQ$1004,1,MATCH(COLUMNS($AB$1006:AN1006),$AB$1006:$AQ$1006,0)))),"Fix")))</f>
        <v>0</v>
      </c>
      <c r="O63" s="4">
        <f>IF(OR(INDEX($V$2:$V$1001,MATCH(ROWS($U$2:U63),$U$2:$U$1001,0),1)&gt;=100000,INDEX($AB$1005:$AQ$1005,1,MATCH(COLUMNS($AB$1006:AO1006),$AB$1006:$AQ$1006,0))&gt;=100000), " ",IF(INDEX($AB$2:$AQ$1001,MATCH(ROWS($U$2:U63),$U$2:$U$1001,0),MATCH(COLUMNS($AB$1006:AO1006),$AB$1006:$AQ$1006,0)), HYPERLINK("#",""), HYPERLINK(CONCATENATE("#metadata!", ADDRESS(INDEX($W$2:$W$1001,MATCH(ROWS($U$2:U63),$U$2:$U$1001,0),0), INDEX($AB$1004:$AQ$1004,1,MATCH(COLUMNS($AB$1006:AO1006),$AB$1006:$AQ$1006,0)))),"Fix")))</f>
        <v>0</v>
      </c>
      <c r="P63" s="4">
        <f>IF(OR(INDEX($V$2:$V$1001,MATCH(ROWS($U$2:U63),$U$2:$U$1001,0),1)&gt;=100000,INDEX($AB$1005:$AQ$1005,1,MATCH(COLUMNS($AB$1006:AP1006),$AB$1006:$AQ$1006,0))&gt;=100000), " ",IF(INDEX($AB$2:$AQ$1001,MATCH(ROWS($U$2:U63),$U$2:$U$1001,0),MATCH(COLUMNS($AB$1006:AP1006),$AB$1006:$AQ$1006,0)), HYPERLINK("#",""), HYPERLINK(CONCATENATE("#metadata!", ADDRESS(INDEX($W$2:$W$1001,MATCH(ROWS($U$2:U63),$U$2:$U$1001,0),0), INDEX($AB$1004:$AQ$1004,1,MATCH(COLUMNS($AB$1006:AP1006),$AB$1006:$AQ$1006,0)))),"Fix")))</f>
        <v>0</v>
      </c>
      <c r="Q63" s="4">
        <f>IF(OR(INDEX($V$2:$V$1001,MATCH(ROWS($U$2:U63),$U$2:$U$1001,0),1)&gt;=100000,INDEX($AB$1005:$AQ$1005,1,MATCH(COLUMNS($AB$1006:AQ1006),$AB$1006:$AQ$1006,0))&gt;=100000), " ",IF(INDEX($AB$2:$AQ$1001,MATCH(ROWS($U$2:U63),$U$2:$U$1001,0),MATCH(COLUMNS($AB$1006:AQ1006),$AB$1006:$AQ$1006,0)), HYPERLINK("#",""), HYPERLINK(CONCATENATE("#metadata!", ADDRESS(INDEX($W$2:$W$1001,MATCH(ROWS($U$2:U63),$U$2:$U$1001,0),0), INDEX($AB$1004:$AQ$1004,1,MATCH(COLUMNS($AB$1006:AQ1006),$AB$1006:$AQ$1006,0)))),"Fix")))</f>
        <v>0</v>
      </c>
      <c r="U63">
        <v>0</v>
      </c>
      <c r="V63">
        <v>0</v>
      </c>
      <c r="W63">
        <v>0</v>
      </c>
      <c r="X63">
        <f>IF(Y63,TRUE,AND(AB63:AQ63))</f>
        <v>0</v>
      </c>
      <c r="Y63">
        <f>COUNTBLANK(metadata!B63:Q63)=COLUMNS(metadata!B63:Q63)</f>
        <v>0</v>
      </c>
      <c r="Z63">
        <v>0</v>
      </c>
      <c r="AB63">
        <f>AND(IF(metadata!B63="",FALSE,TRUE),COUNTIF(metadata!B:B, metadata!B63) = 1,NOT(ISERROR(SUMPRODUCT(SEARCH(MID(metadata!B63,ROW(INDIRECT("1:"&amp;LEN(metadata!B63))), 1),"0123456789abcdefghijklmnopqrstuvwxyzABCDEFGHIJKLMNOPQRSTUVWXYZ.")))))</f>
        <v>0</v>
      </c>
      <c r="AC63">
        <f>OR(AND(IF(metadata!C63="",FALSE,TRUE),OR(exact(metadata!C63,"missing: not collected"),exact(metadata!C63,"missing: not provided"),exact(metadata!C63,"missing: restricted access"))),AND(IF(metadata!C63="",FALSE,TRUE),AND(AND(IFERROR(INT(LEFT(metadata!C63,4))&gt;1900,FALSE),IFERROR(INT(LEFT(metadata!C63,4))&lt;=YEAR(NOW()),FALSE)), OR(MID(metadata!C63,5,1)="", AND(AND(MID(metadata!C63,5,1)="-",IFERROR(INT(MID(metadata!C63,6,1))&gt;=0,FALSE),IFERROR(INT(MID(metadata!C63,6,1))&lt;=1,FALSE),NOT(MID(metadata!C63,7,1)=""),IFERROR(INT(MID(metadata!C63,6,2))&gt;=1,FALSE),IFERROR(INT(MID(metadata!C63,6,2))&lt;=12,FALSE)), OR(MID(metadata!C63,8,1)="", AND(AND(MID(metadata!C63,8,1)="-",IFERROR(INT(MID(metadata!C63,9,1))&gt;=0,FALSE),IFERROR(INT(MID(metadata!C63,9,1))&lt;=3,FALSE),NOT(MID(metadata!C63,10,1)=""),IFERROR(INT(MID(metadata!C63,9,2))&gt;=1,FALSE),IFERROR(INT(MID(metadata!C63,9,2))&lt;=31,FALSE)), OR(MID(metadata!C63,11,1)="", AND(AND(MID(metadata!C63,11,1)=" ",IFERROR(INT(MID(metadata!C63,12,1))&gt;=0,FALSE),IFERROR(INT(MID(metadata!C63,12,1))&lt;=2,FALSE),NOT(MID(metadata!C63,13,1)=""),IFERROR(INT(MID(metadata!C63,12,2))&gt;=0,FALSE),IFERROR(INT(MID(metadata!C63,12,2))&lt;=23,FALSE)), OR(MID(metadata!C63,14,1)="", AND(AND(MID(metadata!C63,14,1)=":",IFERROR(INT(MID(metadata!C63,15,1))&gt;=0,FALSE),IFERROR(INT(MID(metadata!C63,15,1))&lt;=5,FALSE),NOT(MID(metadata!C63,16,1)=""),IFERROR(INT(MID(metadata!C63,15,2))&gt;=0,FALSE),IFERROR(INT(MID(metadata!C63,15,2))&lt;=59,FALSE)), OR(MID(metadata!C63,17,1)="", AND(AND(MID(metadata!C63,17,1)=":",IFERROR(INT(MID(metadata!C63,18,1))&gt;=0,FALSE),IFERROR(INT(MID(metadata!C63,18,1))&lt;=5,FALSE),NOT(MID(metadata!C63,19,1)=""),IFERROR(INT(MID(metadata!C63,18,2))&gt;=0,FALSE),IFERROR(INT(MID(metadata!C63,18,2))&lt;=59,FALSE)), LEN(metadata!C63)&lt;=19)))))))))))))</f>
        <v>0</v>
      </c>
      <c r="AD63">
        <f>IF(metadata!D63="",FALSE,TRUE)</f>
        <v>0</v>
      </c>
      <c r="AE63">
        <f>OR(AND(IF(metadata!E63="",FALSE,TRUE),OR(exact(metadata!E63,"missing: not collected"),exact(metadata!E63,"missing: not provided"))),AND(IF(metadata!E63="",FALSE,TRUE),OR(exact(metadata!E63,"TRUE"),exact(metadata!E63,"FALSE"))))</f>
        <v>0</v>
      </c>
      <c r="AF63">
        <f>IF(metadata!F63="",FALSE,TRUE)</f>
        <v>0</v>
      </c>
      <c r="AG63">
        <f>IF(metadata!G63="",FALSE,TRUE)</f>
        <v>0</v>
      </c>
      <c r="AH63">
        <f>IF(metadata!H63="",FALSE,TRUE)</f>
        <v>0</v>
      </c>
      <c r="AI63">
        <f>OR(AND(IF(metadata!I63="",FALSE,TRUE),OR(exact(metadata!I63,"missing: not collected"),exact(metadata!I63,"missing: not provided"),exact(metadata!I63,"missing: restricted access"))),AND(IF(metadata!I63="",FALSE,TRUE),OR(exact(metadata!I63,"air"),exact(metadata!I63,"built environment"),exact(metadata!I63,"host-associated"),exact(metadata!I63,"human-associated"),exact(metadata!I63,"human-skin"),exact(metadata!I63,"human-oral"),exact(metadata!I63,"human-gut"),exact(metadata!I63,"human-vaginal"),exact(metadata!I63,"microbial mat/biofilm"),exact(metadata!I63,"misc environment"),exact(metadata!I63,"plant-associated"),exact(metadata!I63,"sediment"),exact(metadata!I63,"soil"),exact(metadata!I63,"wastewater/sludge"),exact(metadata!I63,"water"))))</f>
        <v>0</v>
      </c>
      <c r="AJ63">
        <f>IF(metadata!J63="",FALSE,TRUE)</f>
        <v>0</v>
      </c>
      <c r="AK63">
        <f>OR(AND(IF(metadata!K63="",FALSE,TRUE),OR(exact(metadata!K63,"missing: not collected"),exact(metadata!K63,"missing: not provided"),exact(metadata!K63,"missing: restricted access"))),AND(IF(metadata!K63="",FALSE,ISNUMBER(VALUE(metadata!K63))),metadata!K63&gt;=-90.00,metadata!K63&lt;=90.00))</f>
        <v>0</v>
      </c>
      <c r="AL63">
        <f>OR(AND(IF(metadata!L63="",FALSE,TRUE),OR(exact(metadata!L63,"missing: not collected"),exact(metadata!L63,"missing: not provided"),exact(metadata!L63,"missing: restricted access"))),AND(IF(metadata!L63="",FALSE,ISNUMBER(VALUE(metadata!L63))),metadata!L63&gt;=-180.00,metadata!L63&lt;=180.00))</f>
        <v>0</v>
      </c>
      <c r="AM63">
        <f>IF(metadata!M63="",FALSE,TRUE)</f>
        <v>0</v>
      </c>
      <c r="AN63">
        <f>OR(AND(IF(metadata!N63="",FALSE,TRUE),OR(exact(metadata!N63,"missing: not collected"),exact(metadata!N63,"missing: not provided"),exact(metadata!N63,"missing: restricted access"))),AND(IF(metadata!N63="",FALSE,TRUE),OR(exact(metadata!N63,"TRUE"),exact(metadata!N63,"FALSE"))))</f>
        <v>0</v>
      </c>
      <c r="AO63">
        <f>IF(metadata!O63="",FALSE,TRUE)</f>
        <v>0</v>
      </c>
      <c r="AP63">
        <f>OR(AND(IF(metadata!P63="",FALSE,TRUE),OR(exact(metadata!P63,"missing: not collected"),exact(metadata!P63,"missing: not provided"))),AND(IF(metadata!P63="",FALSE,IF(ISERROR(INT(metadata!P63)),FALSE,INT(metadata!P63)=metadata!P63)),metadata!P63&gt;0))</f>
        <v>0</v>
      </c>
      <c r="AQ63">
        <f>IF(metadata!Q63="",FALSE,TRUE)</f>
        <v>0</v>
      </c>
    </row>
    <row r="64" spans="1:43">
      <c r="A64" s="5">
        <f>IF(B64=" "," ",HYPERLINK(CONCATENATE("#metadata!",ADDRESS(INDEX($W$2:$W$1001,MATCH(ROWS($U$2:U64),$U$2:$U$1001,0),0),1)),INDEX($Z$2:$Z$1001,MATCH(ROWS($U$2:U64),$U$2:$U$1001,0),0)))</f>
        <v>0</v>
      </c>
      <c r="B64" s="4">
        <f>IF(OR(INDEX($V$2:$V$1001,MATCH(ROWS($U$2:U64),$U$2:$U$1001,0),1)&gt;=100000,INDEX($AB$1005:$AQ$1005,1,MATCH(COLUMNS($AB$1006:AB1006),$AB$1006:$AQ$1006,0))&gt;=100000), " ",IF(INDEX($AB$2:$AQ$1001,MATCH(ROWS($U$2:U64),$U$2:$U$1001,0),MATCH(COLUMNS($AB$1006:AB1006),$AB$1006:$AQ$1006,0)), HYPERLINK("#",""), HYPERLINK(CONCATENATE("#metadata!", ADDRESS(INDEX($W$2:$W$1001,MATCH(ROWS($U$2:U64),$U$2:$U$1001,0),0), INDEX($AB$1004:$AQ$1004,1,MATCH(COLUMNS($AB$1006:AB1006),$AB$1006:$AQ$1006,0)))),"Fix")))</f>
        <v>0</v>
      </c>
      <c r="C64" s="4">
        <f>IF(OR(INDEX($V$2:$V$1001,MATCH(ROWS($U$2:U64),$U$2:$U$1001,0),1)&gt;=100000,INDEX($AB$1005:$AQ$1005,1,MATCH(COLUMNS($AB$1006:AC1006),$AB$1006:$AQ$1006,0))&gt;=100000), " ",IF(INDEX($AB$2:$AQ$1001,MATCH(ROWS($U$2:U64),$U$2:$U$1001,0),MATCH(COLUMNS($AB$1006:AC1006),$AB$1006:$AQ$1006,0)), HYPERLINK("#",""), HYPERLINK(CONCATENATE("#metadata!", ADDRESS(INDEX($W$2:$W$1001,MATCH(ROWS($U$2:U64),$U$2:$U$1001,0),0), INDEX($AB$1004:$AQ$1004,1,MATCH(COLUMNS($AB$1006:AC1006),$AB$1006:$AQ$1006,0)))),"Fix")))</f>
        <v>0</v>
      </c>
      <c r="D64" s="4">
        <f>IF(OR(INDEX($V$2:$V$1001,MATCH(ROWS($U$2:U64),$U$2:$U$1001,0),1)&gt;=100000,INDEX($AB$1005:$AQ$1005,1,MATCH(COLUMNS($AB$1006:AD1006),$AB$1006:$AQ$1006,0))&gt;=100000), " ",IF(INDEX($AB$2:$AQ$1001,MATCH(ROWS($U$2:U64),$U$2:$U$1001,0),MATCH(COLUMNS($AB$1006:AD1006),$AB$1006:$AQ$1006,0)), HYPERLINK("#",""), HYPERLINK(CONCATENATE("#metadata!", ADDRESS(INDEX($W$2:$W$1001,MATCH(ROWS($U$2:U64),$U$2:$U$1001,0),0), INDEX($AB$1004:$AQ$1004,1,MATCH(COLUMNS($AB$1006:AD1006),$AB$1006:$AQ$1006,0)))),"Fix")))</f>
        <v>0</v>
      </c>
      <c r="E64" s="4">
        <f>IF(OR(INDEX($V$2:$V$1001,MATCH(ROWS($U$2:U64),$U$2:$U$1001,0),1)&gt;=100000,INDEX($AB$1005:$AQ$1005,1,MATCH(COLUMNS($AB$1006:AE1006),$AB$1006:$AQ$1006,0))&gt;=100000), " ",IF(INDEX($AB$2:$AQ$1001,MATCH(ROWS($U$2:U64),$U$2:$U$1001,0),MATCH(COLUMNS($AB$1006:AE1006),$AB$1006:$AQ$1006,0)), HYPERLINK("#",""), HYPERLINK(CONCATENATE("#metadata!", ADDRESS(INDEX($W$2:$W$1001,MATCH(ROWS($U$2:U64),$U$2:$U$1001,0),0), INDEX($AB$1004:$AQ$1004,1,MATCH(COLUMNS($AB$1006:AE1006),$AB$1006:$AQ$1006,0)))),"Fix")))</f>
        <v>0</v>
      </c>
      <c r="F64" s="4">
        <f>IF(OR(INDEX($V$2:$V$1001,MATCH(ROWS($U$2:U64),$U$2:$U$1001,0),1)&gt;=100000,INDEX($AB$1005:$AQ$1005,1,MATCH(COLUMNS($AB$1006:AF1006),$AB$1006:$AQ$1006,0))&gt;=100000), " ",IF(INDEX($AB$2:$AQ$1001,MATCH(ROWS($U$2:U64),$U$2:$U$1001,0),MATCH(COLUMNS($AB$1006:AF1006),$AB$1006:$AQ$1006,0)), HYPERLINK("#",""), HYPERLINK(CONCATENATE("#metadata!", ADDRESS(INDEX($W$2:$W$1001,MATCH(ROWS($U$2:U64),$U$2:$U$1001,0),0), INDEX($AB$1004:$AQ$1004,1,MATCH(COLUMNS($AB$1006:AF1006),$AB$1006:$AQ$1006,0)))),"Fix")))</f>
        <v>0</v>
      </c>
      <c r="G64" s="4">
        <f>IF(OR(INDEX($V$2:$V$1001,MATCH(ROWS($U$2:U64),$U$2:$U$1001,0),1)&gt;=100000,INDEX($AB$1005:$AQ$1005,1,MATCH(COLUMNS($AB$1006:AG1006),$AB$1006:$AQ$1006,0))&gt;=100000), " ",IF(INDEX($AB$2:$AQ$1001,MATCH(ROWS($U$2:U64),$U$2:$U$1001,0),MATCH(COLUMNS($AB$1006:AG1006),$AB$1006:$AQ$1006,0)), HYPERLINK("#",""), HYPERLINK(CONCATENATE("#metadata!", ADDRESS(INDEX($W$2:$W$1001,MATCH(ROWS($U$2:U64),$U$2:$U$1001,0),0), INDEX($AB$1004:$AQ$1004,1,MATCH(COLUMNS($AB$1006:AG1006),$AB$1006:$AQ$1006,0)))),"Fix")))</f>
        <v>0</v>
      </c>
      <c r="H64" s="4">
        <f>IF(OR(INDEX($V$2:$V$1001,MATCH(ROWS($U$2:U64),$U$2:$U$1001,0),1)&gt;=100000,INDEX($AB$1005:$AQ$1005,1,MATCH(COLUMNS($AB$1006:AH1006),$AB$1006:$AQ$1006,0))&gt;=100000), " ",IF(INDEX($AB$2:$AQ$1001,MATCH(ROWS($U$2:U64),$U$2:$U$1001,0),MATCH(COLUMNS($AB$1006:AH1006),$AB$1006:$AQ$1006,0)), HYPERLINK("#",""), HYPERLINK(CONCATENATE("#metadata!", ADDRESS(INDEX($W$2:$W$1001,MATCH(ROWS($U$2:U64),$U$2:$U$1001,0),0), INDEX($AB$1004:$AQ$1004,1,MATCH(COLUMNS($AB$1006:AH1006),$AB$1006:$AQ$1006,0)))),"Fix")))</f>
        <v>0</v>
      </c>
      <c r="I64" s="4">
        <f>IF(OR(INDEX($V$2:$V$1001,MATCH(ROWS($U$2:U64),$U$2:$U$1001,0),1)&gt;=100000,INDEX($AB$1005:$AQ$1005,1,MATCH(COLUMNS($AB$1006:AI1006),$AB$1006:$AQ$1006,0))&gt;=100000), " ",IF(INDEX($AB$2:$AQ$1001,MATCH(ROWS($U$2:U64),$U$2:$U$1001,0),MATCH(COLUMNS($AB$1006:AI1006),$AB$1006:$AQ$1006,0)), HYPERLINK("#",""), HYPERLINK(CONCATENATE("#metadata!", ADDRESS(INDEX($W$2:$W$1001,MATCH(ROWS($U$2:U64),$U$2:$U$1001,0),0), INDEX($AB$1004:$AQ$1004,1,MATCH(COLUMNS($AB$1006:AI1006),$AB$1006:$AQ$1006,0)))),"Fix")))</f>
        <v>0</v>
      </c>
      <c r="J64" s="4">
        <f>IF(OR(INDEX($V$2:$V$1001,MATCH(ROWS($U$2:U64),$U$2:$U$1001,0),1)&gt;=100000,INDEX($AB$1005:$AQ$1005,1,MATCH(COLUMNS($AB$1006:AJ1006),$AB$1006:$AQ$1006,0))&gt;=100000), " ",IF(INDEX($AB$2:$AQ$1001,MATCH(ROWS($U$2:U64),$U$2:$U$1001,0),MATCH(COLUMNS($AB$1006:AJ1006),$AB$1006:$AQ$1006,0)), HYPERLINK("#",""), HYPERLINK(CONCATENATE("#metadata!", ADDRESS(INDEX($W$2:$W$1001,MATCH(ROWS($U$2:U64),$U$2:$U$1001,0),0), INDEX($AB$1004:$AQ$1004,1,MATCH(COLUMNS($AB$1006:AJ1006),$AB$1006:$AQ$1006,0)))),"Fix")))</f>
        <v>0</v>
      </c>
      <c r="K64" s="4">
        <f>IF(OR(INDEX($V$2:$V$1001,MATCH(ROWS($U$2:U64),$U$2:$U$1001,0),1)&gt;=100000,INDEX($AB$1005:$AQ$1005,1,MATCH(COLUMNS($AB$1006:AK1006),$AB$1006:$AQ$1006,0))&gt;=100000), " ",IF(INDEX($AB$2:$AQ$1001,MATCH(ROWS($U$2:U64),$U$2:$U$1001,0),MATCH(COLUMNS($AB$1006:AK1006),$AB$1006:$AQ$1006,0)), HYPERLINK("#",""), HYPERLINK(CONCATENATE("#metadata!", ADDRESS(INDEX($W$2:$W$1001,MATCH(ROWS($U$2:U64),$U$2:$U$1001,0),0), INDEX($AB$1004:$AQ$1004,1,MATCH(COLUMNS($AB$1006:AK1006),$AB$1006:$AQ$1006,0)))),"Fix")))</f>
        <v>0</v>
      </c>
      <c r="L64" s="4">
        <f>IF(OR(INDEX($V$2:$V$1001,MATCH(ROWS($U$2:U64),$U$2:$U$1001,0),1)&gt;=100000,INDEX($AB$1005:$AQ$1005,1,MATCH(COLUMNS($AB$1006:AL1006),$AB$1006:$AQ$1006,0))&gt;=100000), " ",IF(INDEX($AB$2:$AQ$1001,MATCH(ROWS($U$2:U64),$U$2:$U$1001,0),MATCH(COLUMNS($AB$1006:AL1006),$AB$1006:$AQ$1006,0)), HYPERLINK("#",""), HYPERLINK(CONCATENATE("#metadata!", ADDRESS(INDEX($W$2:$W$1001,MATCH(ROWS($U$2:U64),$U$2:$U$1001,0),0), INDEX($AB$1004:$AQ$1004,1,MATCH(COLUMNS($AB$1006:AL1006),$AB$1006:$AQ$1006,0)))),"Fix")))</f>
        <v>0</v>
      </c>
      <c r="M64" s="4">
        <f>IF(OR(INDEX($V$2:$V$1001,MATCH(ROWS($U$2:U64),$U$2:$U$1001,0),1)&gt;=100000,INDEX($AB$1005:$AQ$1005,1,MATCH(COLUMNS($AB$1006:AM1006),$AB$1006:$AQ$1006,0))&gt;=100000), " ",IF(INDEX($AB$2:$AQ$1001,MATCH(ROWS($U$2:U64),$U$2:$U$1001,0),MATCH(COLUMNS($AB$1006:AM1006),$AB$1006:$AQ$1006,0)), HYPERLINK("#",""), HYPERLINK(CONCATENATE("#metadata!", ADDRESS(INDEX($W$2:$W$1001,MATCH(ROWS($U$2:U64),$U$2:$U$1001,0),0), INDEX($AB$1004:$AQ$1004,1,MATCH(COLUMNS($AB$1006:AM1006),$AB$1006:$AQ$1006,0)))),"Fix")))</f>
        <v>0</v>
      </c>
      <c r="N64" s="4">
        <f>IF(OR(INDEX($V$2:$V$1001,MATCH(ROWS($U$2:U64),$U$2:$U$1001,0),1)&gt;=100000,INDEX($AB$1005:$AQ$1005,1,MATCH(COLUMNS($AB$1006:AN1006),$AB$1006:$AQ$1006,0))&gt;=100000), " ",IF(INDEX($AB$2:$AQ$1001,MATCH(ROWS($U$2:U64),$U$2:$U$1001,0),MATCH(COLUMNS($AB$1006:AN1006),$AB$1006:$AQ$1006,0)), HYPERLINK("#",""), HYPERLINK(CONCATENATE("#metadata!", ADDRESS(INDEX($W$2:$W$1001,MATCH(ROWS($U$2:U64),$U$2:$U$1001,0),0), INDEX($AB$1004:$AQ$1004,1,MATCH(COLUMNS($AB$1006:AN1006),$AB$1006:$AQ$1006,0)))),"Fix")))</f>
        <v>0</v>
      </c>
      <c r="O64" s="4">
        <f>IF(OR(INDEX($V$2:$V$1001,MATCH(ROWS($U$2:U64),$U$2:$U$1001,0),1)&gt;=100000,INDEX($AB$1005:$AQ$1005,1,MATCH(COLUMNS($AB$1006:AO1006),$AB$1006:$AQ$1006,0))&gt;=100000), " ",IF(INDEX($AB$2:$AQ$1001,MATCH(ROWS($U$2:U64),$U$2:$U$1001,0),MATCH(COLUMNS($AB$1006:AO1006),$AB$1006:$AQ$1006,0)), HYPERLINK("#",""), HYPERLINK(CONCATENATE("#metadata!", ADDRESS(INDEX($W$2:$W$1001,MATCH(ROWS($U$2:U64),$U$2:$U$1001,0),0), INDEX($AB$1004:$AQ$1004,1,MATCH(COLUMNS($AB$1006:AO1006),$AB$1006:$AQ$1006,0)))),"Fix")))</f>
        <v>0</v>
      </c>
      <c r="P64" s="4">
        <f>IF(OR(INDEX($V$2:$V$1001,MATCH(ROWS($U$2:U64),$U$2:$U$1001,0),1)&gt;=100000,INDEX($AB$1005:$AQ$1005,1,MATCH(COLUMNS($AB$1006:AP1006),$AB$1006:$AQ$1006,0))&gt;=100000), " ",IF(INDEX($AB$2:$AQ$1001,MATCH(ROWS($U$2:U64),$U$2:$U$1001,0),MATCH(COLUMNS($AB$1006:AP1006),$AB$1006:$AQ$1006,0)), HYPERLINK("#",""), HYPERLINK(CONCATENATE("#metadata!", ADDRESS(INDEX($W$2:$W$1001,MATCH(ROWS($U$2:U64),$U$2:$U$1001,0),0), INDEX($AB$1004:$AQ$1004,1,MATCH(COLUMNS($AB$1006:AP1006),$AB$1006:$AQ$1006,0)))),"Fix")))</f>
        <v>0</v>
      </c>
      <c r="Q64" s="4">
        <f>IF(OR(INDEX($V$2:$V$1001,MATCH(ROWS($U$2:U64),$U$2:$U$1001,0),1)&gt;=100000,INDEX($AB$1005:$AQ$1005,1,MATCH(COLUMNS($AB$1006:AQ1006),$AB$1006:$AQ$1006,0))&gt;=100000), " ",IF(INDEX($AB$2:$AQ$1001,MATCH(ROWS($U$2:U64),$U$2:$U$1001,0),MATCH(COLUMNS($AB$1006:AQ1006),$AB$1006:$AQ$1006,0)), HYPERLINK("#",""), HYPERLINK(CONCATENATE("#metadata!", ADDRESS(INDEX($W$2:$W$1001,MATCH(ROWS($U$2:U64),$U$2:$U$1001,0),0), INDEX($AB$1004:$AQ$1004,1,MATCH(COLUMNS($AB$1006:AQ1006),$AB$1006:$AQ$1006,0)))),"Fix")))</f>
        <v>0</v>
      </c>
      <c r="U64">
        <v>0</v>
      </c>
      <c r="V64">
        <v>0</v>
      </c>
      <c r="W64">
        <v>0</v>
      </c>
      <c r="X64">
        <f>IF(Y64,TRUE,AND(AB64:AQ64))</f>
        <v>0</v>
      </c>
      <c r="Y64">
        <f>COUNTBLANK(metadata!B64:Q64)=COLUMNS(metadata!B64:Q64)</f>
        <v>0</v>
      </c>
      <c r="Z64">
        <v>0</v>
      </c>
      <c r="AB64">
        <f>AND(IF(metadata!B64="",FALSE,TRUE),COUNTIF(metadata!B:B, metadata!B64) = 1,NOT(ISERROR(SUMPRODUCT(SEARCH(MID(metadata!B64,ROW(INDIRECT("1:"&amp;LEN(metadata!B64))), 1),"0123456789abcdefghijklmnopqrstuvwxyzABCDEFGHIJKLMNOPQRSTUVWXYZ.")))))</f>
        <v>0</v>
      </c>
      <c r="AC64">
        <f>OR(AND(IF(metadata!C64="",FALSE,TRUE),OR(exact(metadata!C64,"missing: not collected"),exact(metadata!C64,"missing: not provided"),exact(metadata!C64,"missing: restricted access"))),AND(IF(metadata!C64="",FALSE,TRUE),AND(AND(IFERROR(INT(LEFT(metadata!C64,4))&gt;1900,FALSE),IFERROR(INT(LEFT(metadata!C64,4))&lt;=YEAR(NOW()),FALSE)), OR(MID(metadata!C64,5,1)="", AND(AND(MID(metadata!C64,5,1)="-",IFERROR(INT(MID(metadata!C64,6,1))&gt;=0,FALSE),IFERROR(INT(MID(metadata!C64,6,1))&lt;=1,FALSE),NOT(MID(metadata!C64,7,1)=""),IFERROR(INT(MID(metadata!C64,6,2))&gt;=1,FALSE),IFERROR(INT(MID(metadata!C64,6,2))&lt;=12,FALSE)), OR(MID(metadata!C64,8,1)="", AND(AND(MID(metadata!C64,8,1)="-",IFERROR(INT(MID(metadata!C64,9,1))&gt;=0,FALSE),IFERROR(INT(MID(metadata!C64,9,1))&lt;=3,FALSE),NOT(MID(metadata!C64,10,1)=""),IFERROR(INT(MID(metadata!C64,9,2))&gt;=1,FALSE),IFERROR(INT(MID(metadata!C64,9,2))&lt;=31,FALSE)), OR(MID(metadata!C64,11,1)="", AND(AND(MID(metadata!C64,11,1)=" ",IFERROR(INT(MID(metadata!C64,12,1))&gt;=0,FALSE),IFERROR(INT(MID(metadata!C64,12,1))&lt;=2,FALSE),NOT(MID(metadata!C64,13,1)=""),IFERROR(INT(MID(metadata!C64,12,2))&gt;=0,FALSE),IFERROR(INT(MID(metadata!C64,12,2))&lt;=23,FALSE)), OR(MID(metadata!C64,14,1)="", AND(AND(MID(metadata!C64,14,1)=":",IFERROR(INT(MID(metadata!C64,15,1))&gt;=0,FALSE),IFERROR(INT(MID(metadata!C64,15,1))&lt;=5,FALSE),NOT(MID(metadata!C64,16,1)=""),IFERROR(INT(MID(metadata!C64,15,2))&gt;=0,FALSE),IFERROR(INT(MID(metadata!C64,15,2))&lt;=59,FALSE)), OR(MID(metadata!C64,17,1)="", AND(AND(MID(metadata!C64,17,1)=":",IFERROR(INT(MID(metadata!C64,18,1))&gt;=0,FALSE),IFERROR(INT(MID(metadata!C64,18,1))&lt;=5,FALSE),NOT(MID(metadata!C64,19,1)=""),IFERROR(INT(MID(metadata!C64,18,2))&gt;=0,FALSE),IFERROR(INT(MID(metadata!C64,18,2))&lt;=59,FALSE)), LEN(metadata!C64)&lt;=19)))))))))))))</f>
        <v>0</v>
      </c>
      <c r="AD64">
        <f>IF(metadata!D64="",FALSE,TRUE)</f>
        <v>0</v>
      </c>
      <c r="AE64">
        <f>OR(AND(IF(metadata!E64="",FALSE,TRUE),OR(exact(metadata!E64,"missing: not collected"),exact(metadata!E64,"missing: not provided"))),AND(IF(metadata!E64="",FALSE,TRUE),OR(exact(metadata!E64,"TRUE"),exact(metadata!E64,"FALSE"))))</f>
        <v>0</v>
      </c>
      <c r="AF64">
        <f>IF(metadata!F64="",FALSE,TRUE)</f>
        <v>0</v>
      </c>
      <c r="AG64">
        <f>IF(metadata!G64="",FALSE,TRUE)</f>
        <v>0</v>
      </c>
      <c r="AH64">
        <f>IF(metadata!H64="",FALSE,TRUE)</f>
        <v>0</v>
      </c>
      <c r="AI64">
        <f>OR(AND(IF(metadata!I64="",FALSE,TRUE),OR(exact(metadata!I64,"missing: not collected"),exact(metadata!I64,"missing: not provided"),exact(metadata!I64,"missing: restricted access"))),AND(IF(metadata!I64="",FALSE,TRUE),OR(exact(metadata!I64,"air"),exact(metadata!I64,"built environment"),exact(metadata!I64,"host-associated"),exact(metadata!I64,"human-associated"),exact(metadata!I64,"human-skin"),exact(metadata!I64,"human-oral"),exact(metadata!I64,"human-gut"),exact(metadata!I64,"human-vaginal"),exact(metadata!I64,"microbial mat/biofilm"),exact(metadata!I64,"misc environment"),exact(metadata!I64,"plant-associated"),exact(metadata!I64,"sediment"),exact(metadata!I64,"soil"),exact(metadata!I64,"wastewater/sludge"),exact(metadata!I64,"water"))))</f>
        <v>0</v>
      </c>
      <c r="AJ64">
        <f>IF(metadata!J64="",FALSE,TRUE)</f>
        <v>0</v>
      </c>
      <c r="AK64">
        <f>OR(AND(IF(metadata!K64="",FALSE,TRUE),OR(exact(metadata!K64,"missing: not collected"),exact(metadata!K64,"missing: not provided"),exact(metadata!K64,"missing: restricted access"))),AND(IF(metadata!K64="",FALSE,ISNUMBER(VALUE(metadata!K64))),metadata!K64&gt;=-90.00,metadata!K64&lt;=90.00))</f>
        <v>0</v>
      </c>
      <c r="AL64">
        <f>OR(AND(IF(metadata!L64="",FALSE,TRUE),OR(exact(metadata!L64,"missing: not collected"),exact(metadata!L64,"missing: not provided"),exact(metadata!L64,"missing: restricted access"))),AND(IF(metadata!L64="",FALSE,ISNUMBER(VALUE(metadata!L64))),metadata!L64&gt;=-180.00,metadata!L64&lt;=180.00))</f>
        <v>0</v>
      </c>
      <c r="AM64">
        <f>IF(metadata!M64="",FALSE,TRUE)</f>
        <v>0</v>
      </c>
      <c r="AN64">
        <f>OR(AND(IF(metadata!N64="",FALSE,TRUE),OR(exact(metadata!N64,"missing: not collected"),exact(metadata!N64,"missing: not provided"),exact(metadata!N64,"missing: restricted access"))),AND(IF(metadata!N64="",FALSE,TRUE),OR(exact(metadata!N64,"TRUE"),exact(metadata!N64,"FALSE"))))</f>
        <v>0</v>
      </c>
      <c r="AO64">
        <f>IF(metadata!O64="",FALSE,TRUE)</f>
        <v>0</v>
      </c>
      <c r="AP64">
        <f>OR(AND(IF(metadata!P64="",FALSE,TRUE),OR(exact(metadata!P64,"missing: not collected"),exact(metadata!P64,"missing: not provided"))),AND(IF(metadata!P64="",FALSE,IF(ISERROR(INT(metadata!P64)),FALSE,INT(metadata!P64)=metadata!P64)),metadata!P64&gt;0))</f>
        <v>0</v>
      </c>
      <c r="AQ64">
        <f>IF(metadata!Q64="",FALSE,TRUE)</f>
        <v>0</v>
      </c>
    </row>
    <row r="65" spans="1:43">
      <c r="A65" s="5">
        <f>IF(B65=" "," ",HYPERLINK(CONCATENATE("#metadata!",ADDRESS(INDEX($W$2:$W$1001,MATCH(ROWS($U$2:U65),$U$2:$U$1001,0),0),1)),INDEX($Z$2:$Z$1001,MATCH(ROWS($U$2:U65),$U$2:$U$1001,0),0)))</f>
        <v>0</v>
      </c>
      <c r="B65" s="4">
        <f>IF(OR(INDEX($V$2:$V$1001,MATCH(ROWS($U$2:U65),$U$2:$U$1001,0),1)&gt;=100000,INDEX($AB$1005:$AQ$1005,1,MATCH(COLUMNS($AB$1006:AB1006),$AB$1006:$AQ$1006,0))&gt;=100000), " ",IF(INDEX($AB$2:$AQ$1001,MATCH(ROWS($U$2:U65),$U$2:$U$1001,0),MATCH(COLUMNS($AB$1006:AB1006),$AB$1006:$AQ$1006,0)), HYPERLINK("#",""), HYPERLINK(CONCATENATE("#metadata!", ADDRESS(INDEX($W$2:$W$1001,MATCH(ROWS($U$2:U65),$U$2:$U$1001,0),0), INDEX($AB$1004:$AQ$1004,1,MATCH(COLUMNS($AB$1006:AB1006),$AB$1006:$AQ$1006,0)))),"Fix")))</f>
        <v>0</v>
      </c>
      <c r="C65" s="4">
        <f>IF(OR(INDEX($V$2:$V$1001,MATCH(ROWS($U$2:U65),$U$2:$U$1001,0),1)&gt;=100000,INDEX($AB$1005:$AQ$1005,1,MATCH(COLUMNS($AB$1006:AC1006),$AB$1006:$AQ$1006,0))&gt;=100000), " ",IF(INDEX($AB$2:$AQ$1001,MATCH(ROWS($U$2:U65),$U$2:$U$1001,0),MATCH(COLUMNS($AB$1006:AC1006),$AB$1006:$AQ$1006,0)), HYPERLINK("#",""), HYPERLINK(CONCATENATE("#metadata!", ADDRESS(INDEX($W$2:$W$1001,MATCH(ROWS($U$2:U65),$U$2:$U$1001,0),0), INDEX($AB$1004:$AQ$1004,1,MATCH(COLUMNS($AB$1006:AC1006),$AB$1006:$AQ$1006,0)))),"Fix")))</f>
        <v>0</v>
      </c>
      <c r="D65" s="4">
        <f>IF(OR(INDEX($V$2:$V$1001,MATCH(ROWS($U$2:U65),$U$2:$U$1001,0),1)&gt;=100000,INDEX($AB$1005:$AQ$1005,1,MATCH(COLUMNS($AB$1006:AD1006),$AB$1006:$AQ$1006,0))&gt;=100000), " ",IF(INDEX($AB$2:$AQ$1001,MATCH(ROWS($U$2:U65),$U$2:$U$1001,0),MATCH(COLUMNS($AB$1006:AD1006),$AB$1006:$AQ$1006,0)), HYPERLINK("#",""), HYPERLINK(CONCATENATE("#metadata!", ADDRESS(INDEX($W$2:$W$1001,MATCH(ROWS($U$2:U65),$U$2:$U$1001,0),0), INDEX($AB$1004:$AQ$1004,1,MATCH(COLUMNS($AB$1006:AD1006),$AB$1006:$AQ$1006,0)))),"Fix")))</f>
        <v>0</v>
      </c>
      <c r="E65" s="4">
        <f>IF(OR(INDEX($V$2:$V$1001,MATCH(ROWS($U$2:U65),$U$2:$U$1001,0),1)&gt;=100000,INDEX($AB$1005:$AQ$1005,1,MATCH(COLUMNS($AB$1006:AE1006),$AB$1006:$AQ$1006,0))&gt;=100000), " ",IF(INDEX($AB$2:$AQ$1001,MATCH(ROWS($U$2:U65),$U$2:$U$1001,0),MATCH(COLUMNS($AB$1006:AE1006),$AB$1006:$AQ$1006,0)), HYPERLINK("#",""), HYPERLINK(CONCATENATE("#metadata!", ADDRESS(INDEX($W$2:$W$1001,MATCH(ROWS($U$2:U65),$U$2:$U$1001,0),0), INDEX($AB$1004:$AQ$1004,1,MATCH(COLUMNS($AB$1006:AE1006),$AB$1006:$AQ$1006,0)))),"Fix")))</f>
        <v>0</v>
      </c>
      <c r="F65" s="4">
        <f>IF(OR(INDEX($V$2:$V$1001,MATCH(ROWS($U$2:U65),$U$2:$U$1001,0),1)&gt;=100000,INDEX($AB$1005:$AQ$1005,1,MATCH(COLUMNS($AB$1006:AF1006),$AB$1006:$AQ$1006,0))&gt;=100000), " ",IF(INDEX($AB$2:$AQ$1001,MATCH(ROWS($U$2:U65),$U$2:$U$1001,0),MATCH(COLUMNS($AB$1006:AF1006),$AB$1006:$AQ$1006,0)), HYPERLINK("#",""), HYPERLINK(CONCATENATE("#metadata!", ADDRESS(INDEX($W$2:$W$1001,MATCH(ROWS($U$2:U65),$U$2:$U$1001,0),0), INDEX($AB$1004:$AQ$1004,1,MATCH(COLUMNS($AB$1006:AF1006),$AB$1006:$AQ$1006,0)))),"Fix")))</f>
        <v>0</v>
      </c>
      <c r="G65" s="4">
        <f>IF(OR(INDEX($V$2:$V$1001,MATCH(ROWS($U$2:U65),$U$2:$U$1001,0),1)&gt;=100000,INDEX($AB$1005:$AQ$1005,1,MATCH(COLUMNS($AB$1006:AG1006),$AB$1006:$AQ$1006,0))&gt;=100000), " ",IF(INDEX($AB$2:$AQ$1001,MATCH(ROWS($U$2:U65),$U$2:$U$1001,0),MATCH(COLUMNS($AB$1006:AG1006),$AB$1006:$AQ$1006,0)), HYPERLINK("#",""), HYPERLINK(CONCATENATE("#metadata!", ADDRESS(INDEX($W$2:$W$1001,MATCH(ROWS($U$2:U65),$U$2:$U$1001,0),0), INDEX($AB$1004:$AQ$1004,1,MATCH(COLUMNS($AB$1006:AG1006),$AB$1006:$AQ$1006,0)))),"Fix")))</f>
        <v>0</v>
      </c>
      <c r="H65" s="4">
        <f>IF(OR(INDEX($V$2:$V$1001,MATCH(ROWS($U$2:U65),$U$2:$U$1001,0),1)&gt;=100000,INDEX($AB$1005:$AQ$1005,1,MATCH(COLUMNS($AB$1006:AH1006),$AB$1006:$AQ$1006,0))&gt;=100000), " ",IF(INDEX($AB$2:$AQ$1001,MATCH(ROWS($U$2:U65),$U$2:$U$1001,0),MATCH(COLUMNS($AB$1006:AH1006),$AB$1006:$AQ$1006,0)), HYPERLINK("#",""), HYPERLINK(CONCATENATE("#metadata!", ADDRESS(INDEX($W$2:$W$1001,MATCH(ROWS($U$2:U65),$U$2:$U$1001,0),0), INDEX($AB$1004:$AQ$1004,1,MATCH(COLUMNS($AB$1006:AH1006),$AB$1006:$AQ$1006,0)))),"Fix")))</f>
        <v>0</v>
      </c>
      <c r="I65" s="4">
        <f>IF(OR(INDEX($V$2:$V$1001,MATCH(ROWS($U$2:U65),$U$2:$U$1001,0),1)&gt;=100000,INDEX($AB$1005:$AQ$1005,1,MATCH(COLUMNS($AB$1006:AI1006),$AB$1006:$AQ$1006,0))&gt;=100000), " ",IF(INDEX($AB$2:$AQ$1001,MATCH(ROWS($U$2:U65),$U$2:$U$1001,0),MATCH(COLUMNS($AB$1006:AI1006),$AB$1006:$AQ$1006,0)), HYPERLINK("#",""), HYPERLINK(CONCATENATE("#metadata!", ADDRESS(INDEX($W$2:$W$1001,MATCH(ROWS($U$2:U65),$U$2:$U$1001,0),0), INDEX($AB$1004:$AQ$1004,1,MATCH(COLUMNS($AB$1006:AI1006),$AB$1006:$AQ$1006,0)))),"Fix")))</f>
        <v>0</v>
      </c>
      <c r="J65" s="4">
        <f>IF(OR(INDEX($V$2:$V$1001,MATCH(ROWS($U$2:U65),$U$2:$U$1001,0),1)&gt;=100000,INDEX($AB$1005:$AQ$1005,1,MATCH(COLUMNS($AB$1006:AJ1006),$AB$1006:$AQ$1006,0))&gt;=100000), " ",IF(INDEX($AB$2:$AQ$1001,MATCH(ROWS($U$2:U65),$U$2:$U$1001,0),MATCH(COLUMNS($AB$1006:AJ1006),$AB$1006:$AQ$1006,0)), HYPERLINK("#",""), HYPERLINK(CONCATENATE("#metadata!", ADDRESS(INDEX($W$2:$W$1001,MATCH(ROWS($U$2:U65),$U$2:$U$1001,0),0), INDEX($AB$1004:$AQ$1004,1,MATCH(COLUMNS($AB$1006:AJ1006),$AB$1006:$AQ$1006,0)))),"Fix")))</f>
        <v>0</v>
      </c>
      <c r="K65" s="4">
        <f>IF(OR(INDEX($V$2:$V$1001,MATCH(ROWS($U$2:U65),$U$2:$U$1001,0),1)&gt;=100000,INDEX($AB$1005:$AQ$1005,1,MATCH(COLUMNS($AB$1006:AK1006),$AB$1006:$AQ$1006,0))&gt;=100000), " ",IF(INDEX($AB$2:$AQ$1001,MATCH(ROWS($U$2:U65),$U$2:$U$1001,0),MATCH(COLUMNS($AB$1006:AK1006),$AB$1006:$AQ$1006,0)), HYPERLINK("#",""), HYPERLINK(CONCATENATE("#metadata!", ADDRESS(INDEX($W$2:$W$1001,MATCH(ROWS($U$2:U65),$U$2:$U$1001,0),0), INDEX($AB$1004:$AQ$1004,1,MATCH(COLUMNS($AB$1006:AK1006),$AB$1006:$AQ$1006,0)))),"Fix")))</f>
        <v>0</v>
      </c>
      <c r="L65" s="4">
        <f>IF(OR(INDEX($V$2:$V$1001,MATCH(ROWS($U$2:U65),$U$2:$U$1001,0),1)&gt;=100000,INDEX($AB$1005:$AQ$1005,1,MATCH(COLUMNS($AB$1006:AL1006),$AB$1006:$AQ$1006,0))&gt;=100000), " ",IF(INDEX($AB$2:$AQ$1001,MATCH(ROWS($U$2:U65),$U$2:$U$1001,0),MATCH(COLUMNS($AB$1006:AL1006),$AB$1006:$AQ$1006,0)), HYPERLINK("#",""), HYPERLINK(CONCATENATE("#metadata!", ADDRESS(INDEX($W$2:$W$1001,MATCH(ROWS($U$2:U65),$U$2:$U$1001,0),0), INDEX($AB$1004:$AQ$1004,1,MATCH(COLUMNS($AB$1006:AL1006),$AB$1006:$AQ$1006,0)))),"Fix")))</f>
        <v>0</v>
      </c>
      <c r="M65" s="4">
        <f>IF(OR(INDEX($V$2:$V$1001,MATCH(ROWS($U$2:U65),$U$2:$U$1001,0),1)&gt;=100000,INDEX($AB$1005:$AQ$1005,1,MATCH(COLUMNS($AB$1006:AM1006),$AB$1006:$AQ$1006,0))&gt;=100000), " ",IF(INDEX($AB$2:$AQ$1001,MATCH(ROWS($U$2:U65),$U$2:$U$1001,0),MATCH(COLUMNS($AB$1006:AM1006),$AB$1006:$AQ$1006,0)), HYPERLINK("#",""), HYPERLINK(CONCATENATE("#metadata!", ADDRESS(INDEX($W$2:$W$1001,MATCH(ROWS($U$2:U65),$U$2:$U$1001,0),0), INDEX($AB$1004:$AQ$1004,1,MATCH(COLUMNS($AB$1006:AM1006),$AB$1006:$AQ$1006,0)))),"Fix")))</f>
        <v>0</v>
      </c>
      <c r="N65" s="4">
        <f>IF(OR(INDEX($V$2:$V$1001,MATCH(ROWS($U$2:U65),$U$2:$U$1001,0),1)&gt;=100000,INDEX($AB$1005:$AQ$1005,1,MATCH(COLUMNS($AB$1006:AN1006),$AB$1006:$AQ$1006,0))&gt;=100000), " ",IF(INDEX($AB$2:$AQ$1001,MATCH(ROWS($U$2:U65),$U$2:$U$1001,0),MATCH(COLUMNS($AB$1006:AN1006),$AB$1006:$AQ$1006,0)), HYPERLINK("#",""), HYPERLINK(CONCATENATE("#metadata!", ADDRESS(INDEX($W$2:$W$1001,MATCH(ROWS($U$2:U65),$U$2:$U$1001,0),0), INDEX($AB$1004:$AQ$1004,1,MATCH(COLUMNS($AB$1006:AN1006),$AB$1006:$AQ$1006,0)))),"Fix")))</f>
        <v>0</v>
      </c>
      <c r="O65" s="4">
        <f>IF(OR(INDEX($V$2:$V$1001,MATCH(ROWS($U$2:U65),$U$2:$U$1001,0),1)&gt;=100000,INDEX($AB$1005:$AQ$1005,1,MATCH(COLUMNS($AB$1006:AO1006),$AB$1006:$AQ$1006,0))&gt;=100000), " ",IF(INDEX($AB$2:$AQ$1001,MATCH(ROWS($U$2:U65),$U$2:$U$1001,0),MATCH(COLUMNS($AB$1006:AO1006),$AB$1006:$AQ$1006,0)), HYPERLINK("#",""), HYPERLINK(CONCATENATE("#metadata!", ADDRESS(INDEX($W$2:$W$1001,MATCH(ROWS($U$2:U65),$U$2:$U$1001,0),0), INDEX($AB$1004:$AQ$1004,1,MATCH(COLUMNS($AB$1006:AO1006),$AB$1006:$AQ$1006,0)))),"Fix")))</f>
        <v>0</v>
      </c>
      <c r="P65" s="4">
        <f>IF(OR(INDEX($V$2:$V$1001,MATCH(ROWS($U$2:U65),$U$2:$U$1001,0),1)&gt;=100000,INDEX($AB$1005:$AQ$1005,1,MATCH(COLUMNS($AB$1006:AP1006),$AB$1006:$AQ$1006,0))&gt;=100000), " ",IF(INDEX($AB$2:$AQ$1001,MATCH(ROWS($U$2:U65),$U$2:$U$1001,0),MATCH(COLUMNS($AB$1006:AP1006),$AB$1006:$AQ$1006,0)), HYPERLINK("#",""), HYPERLINK(CONCATENATE("#metadata!", ADDRESS(INDEX($W$2:$W$1001,MATCH(ROWS($U$2:U65),$U$2:$U$1001,0),0), INDEX($AB$1004:$AQ$1004,1,MATCH(COLUMNS($AB$1006:AP1006),$AB$1006:$AQ$1006,0)))),"Fix")))</f>
        <v>0</v>
      </c>
      <c r="Q65" s="4">
        <f>IF(OR(INDEX($V$2:$V$1001,MATCH(ROWS($U$2:U65),$U$2:$U$1001,0),1)&gt;=100000,INDEX($AB$1005:$AQ$1005,1,MATCH(COLUMNS($AB$1006:AQ1006),$AB$1006:$AQ$1006,0))&gt;=100000), " ",IF(INDEX($AB$2:$AQ$1001,MATCH(ROWS($U$2:U65),$U$2:$U$1001,0),MATCH(COLUMNS($AB$1006:AQ1006),$AB$1006:$AQ$1006,0)), HYPERLINK("#",""), HYPERLINK(CONCATENATE("#metadata!", ADDRESS(INDEX($W$2:$W$1001,MATCH(ROWS($U$2:U65),$U$2:$U$1001,0),0), INDEX($AB$1004:$AQ$1004,1,MATCH(COLUMNS($AB$1006:AQ1006),$AB$1006:$AQ$1006,0)))),"Fix")))</f>
        <v>0</v>
      </c>
      <c r="U65">
        <v>0</v>
      </c>
      <c r="V65">
        <v>0</v>
      </c>
      <c r="W65">
        <v>0</v>
      </c>
      <c r="X65">
        <f>IF(Y65,TRUE,AND(AB65:AQ65))</f>
        <v>0</v>
      </c>
      <c r="Y65">
        <f>COUNTBLANK(metadata!B65:Q65)=COLUMNS(metadata!B65:Q65)</f>
        <v>0</v>
      </c>
      <c r="Z65">
        <v>0</v>
      </c>
      <c r="AB65">
        <f>AND(IF(metadata!B65="",FALSE,TRUE),COUNTIF(metadata!B:B, metadata!B65) = 1,NOT(ISERROR(SUMPRODUCT(SEARCH(MID(metadata!B65,ROW(INDIRECT("1:"&amp;LEN(metadata!B65))), 1),"0123456789abcdefghijklmnopqrstuvwxyzABCDEFGHIJKLMNOPQRSTUVWXYZ.")))))</f>
        <v>0</v>
      </c>
      <c r="AC65">
        <f>OR(AND(IF(metadata!C65="",FALSE,TRUE),OR(exact(metadata!C65,"missing: not collected"),exact(metadata!C65,"missing: not provided"),exact(metadata!C65,"missing: restricted access"))),AND(IF(metadata!C65="",FALSE,TRUE),AND(AND(IFERROR(INT(LEFT(metadata!C65,4))&gt;1900,FALSE),IFERROR(INT(LEFT(metadata!C65,4))&lt;=YEAR(NOW()),FALSE)), OR(MID(metadata!C65,5,1)="", AND(AND(MID(metadata!C65,5,1)="-",IFERROR(INT(MID(metadata!C65,6,1))&gt;=0,FALSE),IFERROR(INT(MID(metadata!C65,6,1))&lt;=1,FALSE),NOT(MID(metadata!C65,7,1)=""),IFERROR(INT(MID(metadata!C65,6,2))&gt;=1,FALSE),IFERROR(INT(MID(metadata!C65,6,2))&lt;=12,FALSE)), OR(MID(metadata!C65,8,1)="", AND(AND(MID(metadata!C65,8,1)="-",IFERROR(INT(MID(metadata!C65,9,1))&gt;=0,FALSE),IFERROR(INT(MID(metadata!C65,9,1))&lt;=3,FALSE),NOT(MID(metadata!C65,10,1)=""),IFERROR(INT(MID(metadata!C65,9,2))&gt;=1,FALSE),IFERROR(INT(MID(metadata!C65,9,2))&lt;=31,FALSE)), OR(MID(metadata!C65,11,1)="", AND(AND(MID(metadata!C65,11,1)=" ",IFERROR(INT(MID(metadata!C65,12,1))&gt;=0,FALSE),IFERROR(INT(MID(metadata!C65,12,1))&lt;=2,FALSE),NOT(MID(metadata!C65,13,1)=""),IFERROR(INT(MID(metadata!C65,12,2))&gt;=0,FALSE),IFERROR(INT(MID(metadata!C65,12,2))&lt;=23,FALSE)), OR(MID(metadata!C65,14,1)="", AND(AND(MID(metadata!C65,14,1)=":",IFERROR(INT(MID(metadata!C65,15,1))&gt;=0,FALSE),IFERROR(INT(MID(metadata!C65,15,1))&lt;=5,FALSE),NOT(MID(metadata!C65,16,1)=""),IFERROR(INT(MID(metadata!C65,15,2))&gt;=0,FALSE),IFERROR(INT(MID(metadata!C65,15,2))&lt;=59,FALSE)), OR(MID(metadata!C65,17,1)="", AND(AND(MID(metadata!C65,17,1)=":",IFERROR(INT(MID(metadata!C65,18,1))&gt;=0,FALSE),IFERROR(INT(MID(metadata!C65,18,1))&lt;=5,FALSE),NOT(MID(metadata!C65,19,1)=""),IFERROR(INT(MID(metadata!C65,18,2))&gt;=0,FALSE),IFERROR(INT(MID(metadata!C65,18,2))&lt;=59,FALSE)), LEN(metadata!C65)&lt;=19)))))))))))))</f>
        <v>0</v>
      </c>
      <c r="AD65">
        <f>IF(metadata!D65="",FALSE,TRUE)</f>
        <v>0</v>
      </c>
      <c r="AE65">
        <f>OR(AND(IF(metadata!E65="",FALSE,TRUE),OR(exact(metadata!E65,"missing: not collected"),exact(metadata!E65,"missing: not provided"))),AND(IF(metadata!E65="",FALSE,TRUE),OR(exact(metadata!E65,"TRUE"),exact(metadata!E65,"FALSE"))))</f>
        <v>0</v>
      </c>
      <c r="AF65">
        <f>IF(metadata!F65="",FALSE,TRUE)</f>
        <v>0</v>
      </c>
      <c r="AG65">
        <f>IF(metadata!G65="",FALSE,TRUE)</f>
        <v>0</v>
      </c>
      <c r="AH65">
        <f>IF(metadata!H65="",FALSE,TRUE)</f>
        <v>0</v>
      </c>
      <c r="AI65">
        <f>OR(AND(IF(metadata!I65="",FALSE,TRUE),OR(exact(metadata!I65,"missing: not collected"),exact(metadata!I65,"missing: not provided"),exact(metadata!I65,"missing: restricted access"))),AND(IF(metadata!I65="",FALSE,TRUE),OR(exact(metadata!I65,"air"),exact(metadata!I65,"built environment"),exact(metadata!I65,"host-associated"),exact(metadata!I65,"human-associated"),exact(metadata!I65,"human-skin"),exact(metadata!I65,"human-oral"),exact(metadata!I65,"human-gut"),exact(metadata!I65,"human-vaginal"),exact(metadata!I65,"microbial mat/biofilm"),exact(metadata!I65,"misc environment"),exact(metadata!I65,"plant-associated"),exact(metadata!I65,"sediment"),exact(metadata!I65,"soil"),exact(metadata!I65,"wastewater/sludge"),exact(metadata!I65,"water"))))</f>
        <v>0</v>
      </c>
      <c r="AJ65">
        <f>IF(metadata!J65="",FALSE,TRUE)</f>
        <v>0</v>
      </c>
      <c r="AK65">
        <f>OR(AND(IF(metadata!K65="",FALSE,TRUE),OR(exact(metadata!K65,"missing: not collected"),exact(metadata!K65,"missing: not provided"),exact(metadata!K65,"missing: restricted access"))),AND(IF(metadata!K65="",FALSE,ISNUMBER(VALUE(metadata!K65))),metadata!K65&gt;=-90.00,metadata!K65&lt;=90.00))</f>
        <v>0</v>
      </c>
      <c r="AL65">
        <f>OR(AND(IF(metadata!L65="",FALSE,TRUE),OR(exact(metadata!L65,"missing: not collected"),exact(metadata!L65,"missing: not provided"),exact(metadata!L65,"missing: restricted access"))),AND(IF(metadata!L65="",FALSE,ISNUMBER(VALUE(metadata!L65))),metadata!L65&gt;=-180.00,metadata!L65&lt;=180.00))</f>
        <v>0</v>
      </c>
      <c r="AM65">
        <f>IF(metadata!M65="",FALSE,TRUE)</f>
        <v>0</v>
      </c>
      <c r="AN65">
        <f>OR(AND(IF(metadata!N65="",FALSE,TRUE),OR(exact(metadata!N65,"missing: not collected"),exact(metadata!N65,"missing: not provided"),exact(metadata!N65,"missing: restricted access"))),AND(IF(metadata!N65="",FALSE,TRUE),OR(exact(metadata!N65,"TRUE"),exact(metadata!N65,"FALSE"))))</f>
        <v>0</v>
      </c>
      <c r="AO65">
        <f>IF(metadata!O65="",FALSE,TRUE)</f>
        <v>0</v>
      </c>
      <c r="AP65">
        <f>OR(AND(IF(metadata!P65="",FALSE,TRUE),OR(exact(metadata!P65,"missing: not collected"),exact(metadata!P65,"missing: not provided"))),AND(IF(metadata!P65="",FALSE,IF(ISERROR(INT(metadata!P65)),FALSE,INT(metadata!P65)=metadata!P65)),metadata!P65&gt;0))</f>
        <v>0</v>
      </c>
      <c r="AQ65">
        <f>IF(metadata!Q65="",FALSE,TRUE)</f>
        <v>0</v>
      </c>
    </row>
    <row r="66" spans="1:43">
      <c r="A66" s="5">
        <f>IF(B66=" "," ",HYPERLINK(CONCATENATE("#metadata!",ADDRESS(INDEX($W$2:$W$1001,MATCH(ROWS($U$2:U66),$U$2:$U$1001,0),0),1)),INDEX($Z$2:$Z$1001,MATCH(ROWS($U$2:U66),$U$2:$U$1001,0),0)))</f>
        <v>0</v>
      </c>
      <c r="B66" s="4">
        <f>IF(OR(INDEX($V$2:$V$1001,MATCH(ROWS($U$2:U66),$U$2:$U$1001,0),1)&gt;=100000,INDEX($AB$1005:$AQ$1005,1,MATCH(COLUMNS($AB$1006:AB1006),$AB$1006:$AQ$1006,0))&gt;=100000), " ",IF(INDEX($AB$2:$AQ$1001,MATCH(ROWS($U$2:U66),$U$2:$U$1001,0),MATCH(COLUMNS($AB$1006:AB1006),$AB$1006:$AQ$1006,0)), HYPERLINK("#",""), HYPERLINK(CONCATENATE("#metadata!", ADDRESS(INDEX($W$2:$W$1001,MATCH(ROWS($U$2:U66),$U$2:$U$1001,0),0), INDEX($AB$1004:$AQ$1004,1,MATCH(COLUMNS($AB$1006:AB1006),$AB$1006:$AQ$1006,0)))),"Fix")))</f>
        <v>0</v>
      </c>
      <c r="C66" s="4">
        <f>IF(OR(INDEX($V$2:$V$1001,MATCH(ROWS($U$2:U66),$U$2:$U$1001,0),1)&gt;=100000,INDEX($AB$1005:$AQ$1005,1,MATCH(COLUMNS($AB$1006:AC1006),$AB$1006:$AQ$1006,0))&gt;=100000), " ",IF(INDEX($AB$2:$AQ$1001,MATCH(ROWS($U$2:U66),$U$2:$U$1001,0),MATCH(COLUMNS($AB$1006:AC1006),$AB$1006:$AQ$1006,0)), HYPERLINK("#",""), HYPERLINK(CONCATENATE("#metadata!", ADDRESS(INDEX($W$2:$W$1001,MATCH(ROWS($U$2:U66),$U$2:$U$1001,0),0), INDEX($AB$1004:$AQ$1004,1,MATCH(COLUMNS($AB$1006:AC1006),$AB$1006:$AQ$1006,0)))),"Fix")))</f>
        <v>0</v>
      </c>
      <c r="D66" s="4">
        <f>IF(OR(INDEX($V$2:$V$1001,MATCH(ROWS($U$2:U66),$U$2:$U$1001,0),1)&gt;=100000,INDEX($AB$1005:$AQ$1005,1,MATCH(COLUMNS($AB$1006:AD1006),$AB$1006:$AQ$1006,0))&gt;=100000), " ",IF(INDEX($AB$2:$AQ$1001,MATCH(ROWS($U$2:U66),$U$2:$U$1001,0),MATCH(COLUMNS($AB$1006:AD1006),$AB$1006:$AQ$1006,0)), HYPERLINK("#",""), HYPERLINK(CONCATENATE("#metadata!", ADDRESS(INDEX($W$2:$W$1001,MATCH(ROWS($U$2:U66),$U$2:$U$1001,0),0), INDEX($AB$1004:$AQ$1004,1,MATCH(COLUMNS($AB$1006:AD1006),$AB$1006:$AQ$1006,0)))),"Fix")))</f>
        <v>0</v>
      </c>
      <c r="E66" s="4">
        <f>IF(OR(INDEX($V$2:$V$1001,MATCH(ROWS($U$2:U66),$U$2:$U$1001,0),1)&gt;=100000,INDEX($AB$1005:$AQ$1005,1,MATCH(COLUMNS($AB$1006:AE1006),$AB$1006:$AQ$1006,0))&gt;=100000), " ",IF(INDEX($AB$2:$AQ$1001,MATCH(ROWS($U$2:U66),$U$2:$U$1001,0),MATCH(COLUMNS($AB$1006:AE1006),$AB$1006:$AQ$1006,0)), HYPERLINK("#",""), HYPERLINK(CONCATENATE("#metadata!", ADDRESS(INDEX($W$2:$W$1001,MATCH(ROWS($U$2:U66),$U$2:$U$1001,0),0), INDEX($AB$1004:$AQ$1004,1,MATCH(COLUMNS($AB$1006:AE1006),$AB$1006:$AQ$1006,0)))),"Fix")))</f>
        <v>0</v>
      </c>
      <c r="F66" s="4">
        <f>IF(OR(INDEX($V$2:$V$1001,MATCH(ROWS($U$2:U66),$U$2:$U$1001,0),1)&gt;=100000,INDEX($AB$1005:$AQ$1005,1,MATCH(COLUMNS($AB$1006:AF1006),$AB$1006:$AQ$1006,0))&gt;=100000), " ",IF(INDEX($AB$2:$AQ$1001,MATCH(ROWS($U$2:U66),$U$2:$U$1001,0),MATCH(COLUMNS($AB$1006:AF1006),$AB$1006:$AQ$1006,0)), HYPERLINK("#",""), HYPERLINK(CONCATENATE("#metadata!", ADDRESS(INDEX($W$2:$W$1001,MATCH(ROWS($U$2:U66),$U$2:$U$1001,0),0), INDEX($AB$1004:$AQ$1004,1,MATCH(COLUMNS($AB$1006:AF1006),$AB$1006:$AQ$1006,0)))),"Fix")))</f>
        <v>0</v>
      </c>
      <c r="G66" s="4">
        <f>IF(OR(INDEX($V$2:$V$1001,MATCH(ROWS($U$2:U66),$U$2:$U$1001,0),1)&gt;=100000,INDEX($AB$1005:$AQ$1005,1,MATCH(COLUMNS($AB$1006:AG1006),$AB$1006:$AQ$1006,0))&gt;=100000), " ",IF(INDEX($AB$2:$AQ$1001,MATCH(ROWS($U$2:U66),$U$2:$U$1001,0),MATCH(COLUMNS($AB$1006:AG1006),$AB$1006:$AQ$1006,0)), HYPERLINK("#",""), HYPERLINK(CONCATENATE("#metadata!", ADDRESS(INDEX($W$2:$W$1001,MATCH(ROWS($U$2:U66),$U$2:$U$1001,0),0), INDEX($AB$1004:$AQ$1004,1,MATCH(COLUMNS($AB$1006:AG1006),$AB$1006:$AQ$1006,0)))),"Fix")))</f>
        <v>0</v>
      </c>
      <c r="H66" s="4">
        <f>IF(OR(INDEX($V$2:$V$1001,MATCH(ROWS($U$2:U66),$U$2:$U$1001,0),1)&gt;=100000,INDEX($AB$1005:$AQ$1005,1,MATCH(COLUMNS($AB$1006:AH1006),$AB$1006:$AQ$1006,0))&gt;=100000), " ",IF(INDEX($AB$2:$AQ$1001,MATCH(ROWS($U$2:U66),$U$2:$U$1001,0),MATCH(COLUMNS($AB$1006:AH1006),$AB$1006:$AQ$1006,0)), HYPERLINK("#",""), HYPERLINK(CONCATENATE("#metadata!", ADDRESS(INDEX($W$2:$W$1001,MATCH(ROWS($U$2:U66),$U$2:$U$1001,0),0), INDEX($AB$1004:$AQ$1004,1,MATCH(COLUMNS($AB$1006:AH1006),$AB$1006:$AQ$1006,0)))),"Fix")))</f>
        <v>0</v>
      </c>
      <c r="I66" s="4">
        <f>IF(OR(INDEX($V$2:$V$1001,MATCH(ROWS($U$2:U66),$U$2:$U$1001,0),1)&gt;=100000,INDEX($AB$1005:$AQ$1005,1,MATCH(COLUMNS($AB$1006:AI1006),$AB$1006:$AQ$1006,0))&gt;=100000), " ",IF(INDEX($AB$2:$AQ$1001,MATCH(ROWS($U$2:U66),$U$2:$U$1001,0),MATCH(COLUMNS($AB$1006:AI1006),$AB$1006:$AQ$1006,0)), HYPERLINK("#",""), HYPERLINK(CONCATENATE("#metadata!", ADDRESS(INDEX($W$2:$W$1001,MATCH(ROWS($U$2:U66),$U$2:$U$1001,0),0), INDEX($AB$1004:$AQ$1004,1,MATCH(COLUMNS($AB$1006:AI1006),$AB$1006:$AQ$1006,0)))),"Fix")))</f>
        <v>0</v>
      </c>
      <c r="J66" s="4">
        <f>IF(OR(INDEX($V$2:$V$1001,MATCH(ROWS($U$2:U66),$U$2:$U$1001,0),1)&gt;=100000,INDEX($AB$1005:$AQ$1005,1,MATCH(COLUMNS($AB$1006:AJ1006),$AB$1006:$AQ$1006,0))&gt;=100000), " ",IF(INDEX($AB$2:$AQ$1001,MATCH(ROWS($U$2:U66),$U$2:$U$1001,0),MATCH(COLUMNS($AB$1006:AJ1006),$AB$1006:$AQ$1006,0)), HYPERLINK("#",""), HYPERLINK(CONCATENATE("#metadata!", ADDRESS(INDEX($W$2:$W$1001,MATCH(ROWS($U$2:U66),$U$2:$U$1001,0),0), INDEX($AB$1004:$AQ$1004,1,MATCH(COLUMNS($AB$1006:AJ1006),$AB$1006:$AQ$1006,0)))),"Fix")))</f>
        <v>0</v>
      </c>
      <c r="K66" s="4">
        <f>IF(OR(INDEX($V$2:$V$1001,MATCH(ROWS($U$2:U66),$U$2:$U$1001,0),1)&gt;=100000,INDEX($AB$1005:$AQ$1005,1,MATCH(COLUMNS($AB$1006:AK1006),$AB$1006:$AQ$1006,0))&gt;=100000), " ",IF(INDEX($AB$2:$AQ$1001,MATCH(ROWS($U$2:U66),$U$2:$U$1001,0),MATCH(COLUMNS($AB$1006:AK1006),$AB$1006:$AQ$1006,0)), HYPERLINK("#",""), HYPERLINK(CONCATENATE("#metadata!", ADDRESS(INDEX($W$2:$W$1001,MATCH(ROWS($U$2:U66),$U$2:$U$1001,0),0), INDEX($AB$1004:$AQ$1004,1,MATCH(COLUMNS($AB$1006:AK1006),$AB$1006:$AQ$1006,0)))),"Fix")))</f>
        <v>0</v>
      </c>
      <c r="L66" s="4">
        <f>IF(OR(INDEX($V$2:$V$1001,MATCH(ROWS($U$2:U66),$U$2:$U$1001,0),1)&gt;=100000,INDEX($AB$1005:$AQ$1005,1,MATCH(COLUMNS($AB$1006:AL1006),$AB$1006:$AQ$1006,0))&gt;=100000), " ",IF(INDEX($AB$2:$AQ$1001,MATCH(ROWS($U$2:U66),$U$2:$U$1001,0),MATCH(COLUMNS($AB$1006:AL1006),$AB$1006:$AQ$1006,0)), HYPERLINK("#",""), HYPERLINK(CONCATENATE("#metadata!", ADDRESS(INDEX($W$2:$W$1001,MATCH(ROWS($U$2:U66),$U$2:$U$1001,0),0), INDEX($AB$1004:$AQ$1004,1,MATCH(COLUMNS($AB$1006:AL1006),$AB$1006:$AQ$1006,0)))),"Fix")))</f>
        <v>0</v>
      </c>
      <c r="M66" s="4">
        <f>IF(OR(INDEX($V$2:$V$1001,MATCH(ROWS($U$2:U66),$U$2:$U$1001,0),1)&gt;=100000,INDEX($AB$1005:$AQ$1005,1,MATCH(COLUMNS($AB$1006:AM1006),$AB$1006:$AQ$1006,0))&gt;=100000), " ",IF(INDEX($AB$2:$AQ$1001,MATCH(ROWS($U$2:U66),$U$2:$U$1001,0),MATCH(COLUMNS($AB$1006:AM1006),$AB$1006:$AQ$1006,0)), HYPERLINK("#",""), HYPERLINK(CONCATENATE("#metadata!", ADDRESS(INDEX($W$2:$W$1001,MATCH(ROWS($U$2:U66),$U$2:$U$1001,0),0), INDEX($AB$1004:$AQ$1004,1,MATCH(COLUMNS($AB$1006:AM1006),$AB$1006:$AQ$1006,0)))),"Fix")))</f>
        <v>0</v>
      </c>
      <c r="N66" s="4">
        <f>IF(OR(INDEX($V$2:$V$1001,MATCH(ROWS($U$2:U66),$U$2:$U$1001,0),1)&gt;=100000,INDEX($AB$1005:$AQ$1005,1,MATCH(COLUMNS($AB$1006:AN1006),$AB$1006:$AQ$1006,0))&gt;=100000), " ",IF(INDEX($AB$2:$AQ$1001,MATCH(ROWS($U$2:U66),$U$2:$U$1001,0),MATCH(COLUMNS($AB$1006:AN1006),$AB$1006:$AQ$1006,0)), HYPERLINK("#",""), HYPERLINK(CONCATENATE("#metadata!", ADDRESS(INDEX($W$2:$W$1001,MATCH(ROWS($U$2:U66),$U$2:$U$1001,0),0), INDEX($AB$1004:$AQ$1004,1,MATCH(COLUMNS($AB$1006:AN1006),$AB$1006:$AQ$1006,0)))),"Fix")))</f>
        <v>0</v>
      </c>
      <c r="O66" s="4">
        <f>IF(OR(INDEX($V$2:$V$1001,MATCH(ROWS($U$2:U66),$U$2:$U$1001,0),1)&gt;=100000,INDEX($AB$1005:$AQ$1005,1,MATCH(COLUMNS($AB$1006:AO1006),$AB$1006:$AQ$1006,0))&gt;=100000), " ",IF(INDEX($AB$2:$AQ$1001,MATCH(ROWS($U$2:U66),$U$2:$U$1001,0),MATCH(COLUMNS($AB$1006:AO1006),$AB$1006:$AQ$1006,0)), HYPERLINK("#",""), HYPERLINK(CONCATENATE("#metadata!", ADDRESS(INDEX($W$2:$W$1001,MATCH(ROWS($U$2:U66),$U$2:$U$1001,0),0), INDEX($AB$1004:$AQ$1004,1,MATCH(COLUMNS($AB$1006:AO1006),$AB$1006:$AQ$1006,0)))),"Fix")))</f>
        <v>0</v>
      </c>
      <c r="P66" s="4">
        <f>IF(OR(INDEX($V$2:$V$1001,MATCH(ROWS($U$2:U66),$U$2:$U$1001,0),1)&gt;=100000,INDEX($AB$1005:$AQ$1005,1,MATCH(COLUMNS($AB$1006:AP1006),$AB$1006:$AQ$1006,0))&gt;=100000), " ",IF(INDEX($AB$2:$AQ$1001,MATCH(ROWS($U$2:U66),$U$2:$U$1001,0),MATCH(COLUMNS($AB$1006:AP1006),$AB$1006:$AQ$1006,0)), HYPERLINK("#",""), HYPERLINK(CONCATENATE("#metadata!", ADDRESS(INDEX($W$2:$W$1001,MATCH(ROWS($U$2:U66),$U$2:$U$1001,0),0), INDEX($AB$1004:$AQ$1004,1,MATCH(COLUMNS($AB$1006:AP1006),$AB$1006:$AQ$1006,0)))),"Fix")))</f>
        <v>0</v>
      </c>
      <c r="Q66" s="4">
        <f>IF(OR(INDEX($V$2:$V$1001,MATCH(ROWS($U$2:U66),$U$2:$U$1001,0),1)&gt;=100000,INDEX($AB$1005:$AQ$1005,1,MATCH(COLUMNS($AB$1006:AQ1006),$AB$1006:$AQ$1006,0))&gt;=100000), " ",IF(INDEX($AB$2:$AQ$1001,MATCH(ROWS($U$2:U66),$U$2:$U$1001,0),MATCH(COLUMNS($AB$1006:AQ1006),$AB$1006:$AQ$1006,0)), HYPERLINK("#",""), HYPERLINK(CONCATENATE("#metadata!", ADDRESS(INDEX($W$2:$W$1001,MATCH(ROWS($U$2:U66),$U$2:$U$1001,0),0), INDEX($AB$1004:$AQ$1004,1,MATCH(COLUMNS($AB$1006:AQ1006),$AB$1006:$AQ$1006,0)))),"Fix")))</f>
        <v>0</v>
      </c>
      <c r="U66">
        <v>0</v>
      </c>
      <c r="V66">
        <v>0</v>
      </c>
      <c r="W66">
        <v>0</v>
      </c>
      <c r="X66">
        <f>IF(Y66,TRUE,AND(AB66:AQ66))</f>
        <v>0</v>
      </c>
      <c r="Y66">
        <f>COUNTBLANK(metadata!B66:Q66)=COLUMNS(metadata!B66:Q66)</f>
        <v>0</v>
      </c>
      <c r="Z66">
        <v>0</v>
      </c>
      <c r="AB66">
        <f>AND(IF(metadata!B66="",FALSE,TRUE),COUNTIF(metadata!B:B, metadata!B66) = 1,NOT(ISERROR(SUMPRODUCT(SEARCH(MID(metadata!B66,ROW(INDIRECT("1:"&amp;LEN(metadata!B66))), 1),"0123456789abcdefghijklmnopqrstuvwxyzABCDEFGHIJKLMNOPQRSTUVWXYZ.")))))</f>
        <v>0</v>
      </c>
      <c r="AC66">
        <f>OR(AND(IF(metadata!C66="",FALSE,TRUE),OR(exact(metadata!C66,"missing: not collected"),exact(metadata!C66,"missing: not provided"),exact(metadata!C66,"missing: restricted access"))),AND(IF(metadata!C66="",FALSE,TRUE),AND(AND(IFERROR(INT(LEFT(metadata!C66,4))&gt;1900,FALSE),IFERROR(INT(LEFT(metadata!C66,4))&lt;=YEAR(NOW()),FALSE)), OR(MID(metadata!C66,5,1)="", AND(AND(MID(metadata!C66,5,1)="-",IFERROR(INT(MID(metadata!C66,6,1))&gt;=0,FALSE),IFERROR(INT(MID(metadata!C66,6,1))&lt;=1,FALSE),NOT(MID(metadata!C66,7,1)=""),IFERROR(INT(MID(metadata!C66,6,2))&gt;=1,FALSE),IFERROR(INT(MID(metadata!C66,6,2))&lt;=12,FALSE)), OR(MID(metadata!C66,8,1)="", AND(AND(MID(metadata!C66,8,1)="-",IFERROR(INT(MID(metadata!C66,9,1))&gt;=0,FALSE),IFERROR(INT(MID(metadata!C66,9,1))&lt;=3,FALSE),NOT(MID(metadata!C66,10,1)=""),IFERROR(INT(MID(metadata!C66,9,2))&gt;=1,FALSE),IFERROR(INT(MID(metadata!C66,9,2))&lt;=31,FALSE)), OR(MID(metadata!C66,11,1)="", AND(AND(MID(metadata!C66,11,1)=" ",IFERROR(INT(MID(metadata!C66,12,1))&gt;=0,FALSE),IFERROR(INT(MID(metadata!C66,12,1))&lt;=2,FALSE),NOT(MID(metadata!C66,13,1)=""),IFERROR(INT(MID(metadata!C66,12,2))&gt;=0,FALSE),IFERROR(INT(MID(metadata!C66,12,2))&lt;=23,FALSE)), OR(MID(metadata!C66,14,1)="", AND(AND(MID(metadata!C66,14,1)=":",IFERROR(INT(MID(metadata!C66,15,1))&gt;=0,FALSE),IFERROR(INT(MID(metadata!C66,15,1))&lt;=5,FALSE),NOT(MID(metadata!C66,16,1)=""),IFERROR(INT(MID(metadata!C66,15,2))&gt;=0,FALSE),IFERROR(INT(MID(metadata!C66,15,2))&lt;=59,FALSE)), OR(MID(metadata!C66,17,1)="", AND(AND(MID(metadata!C66,17,1)=":",IFERROR(INT(MID(metadata!C66,18,1))&gt;=0,FALSE),IFERROR(INT(MID(metadata!C66,18,1))&lt;=5,FALSE),NOT(MID(metadata!C66,19,1)=""),IFERROR(INT(MID(metadata!C66,18,2))&gt;=0,FALSE),IFERROR(INT(MID(metadata!C66,18,2))&lt;=59,FALSE)), LEN(metadata!C66)&lt;=19)))))))))))))</f>
        <v>0</v>
      </c>
      <c r="AD66">
        <f>IF(metadata!D66="",FALSE,TRUE)</f>
        <v>0</v>
      </c>
      <c r="AE66">
        <f>OR(AND(IF(metadata!E66="",FALSE,TRUE),OR(exact(metadata!E66,"missing: not collected"),exact(metadata!E66,"missing: not provided"))),AND(IF(metadata!E66="",FALSE,TRUE),OR(exact(metadata!E66,"TRUE"),exact(metadata!E66,"FALSE"))))</f>
        <v>0</v>
      </c>
      <c r="AF66">
        <f>IF(metadata!F66="",FALSE,TRUE)</f>
        <v>0</v>
      </c>
      <c r="AG66">
        <f>IF(metadata!G66="",FALSE,TRUE)</f>
        <v>0</v>
      </c>
      <c r="AH66">
        <f>IF(metadata!H66="",FALSE,TRUE)</f>
        <v>0</v>
      </c>
      <c r="AI66">
        <f>OR(AND(IF(metadata!I66="",FALSE,TRUE),OR(exact(metadata!I66,"missing: not collected"),exact(metadata!I66,"missing: not provided"),exact(metadata!I66,"missing: restricted access"))),AND(IF(metadata!I66="",FALSE,TRUE),OR(exact(metadata!I66,"air"),exact(metadata!I66,"built environment"),exact(metadata!I66,"host-associated"),exact(metadata!I66,"human-associated"),exact(metadata!I66,"human-skin"),exact(metadata!I66,"human-oral"),exact(metadata!I66,"human-gut"),exact(metadata!I66,"human-vaginal"),exact(metadata!I66,"microbial mat/biofilm"),exact(metadata!I66,"misc environment"),exact(metadata!I66,"plant-associated"),exact(metadata!I66,"sediment"),exact(metadata!I66,"soil"),exact(metadata!I66,"wastewater/sludge"),exact(metadata!I66,"water"))))</f>
        <v>0</v>
      </c>
      <c r="AJ66">
        <f>IF(metadata!J66="",FALSE,TRUE)</f>
        <v>0</v>
      </c>
      <c r="AK66">
        <f>OR(AND(IF(metadata!K66="",FALSE,TRUE),OR(exact(metadata!K66,"missing: not collected"),exact(metadata!K66,"missing: not provided"),exact(metadata!K66,"missing: restricted access"))),AND(IF(metadata!K66="",FALSE,ISNUMBER(VALUE(metadata!K66))),metadata!K66&gt;=-90.00,metadata!K66&lt;=90.00))</f>
        <v>0</v>
      </c>
      <c r="AL66">
        <f>OR(AND(IF(metadata!L66="",FALSE,TRUE),OR(exact(metadata!L66,"missing: not collected"),exact(metadata!L66,"missing: not provided"),exact(metadata!L66,"missing: restricted access"))),AND(IF(metadata!L66="",FALSE,ISNUMBER(VALUE(metadata!L66))),metadata!L66&gt;=-180.00,metadata!L66&lt;=180.00))</f>
        <v>0</v>
      </c>
      <c r="AM66">
        <f>IF(metadata!M66="",FALSE,TRUE)</f>
        <v>0</v>
      </c>
      <c r="AN66">
        <f>OR(AND(IF(metadata!N66="",FALSE,TRUE),OR(exact(metadata!N66,"missing: not collected"),exact(metadata!N66,"missing: not provided"),exact(metadata!N66,"missing: restricted access"))),AND(IF(metadata!N66="",FALSE,TRUE),OR(exact(metadata!N66,"TRUE"),exact(metadata!N66,"FALSE"))))</f>
        <v>0</v>
      </c>
      <c r="AO66">
        <f>IF(metadata!O66="",FALSE,TRUE)</f>
        <v>0</v>
      </c>
      <c r="AP66">
        <f>OR(AND(IF(metadata!P66="",FALSE,TRUE),OR(exact(metadata!P66,"missing: not collected"),exact(metadata!P66,"missing: not provided"))),AND(IF(metadata!P66="",FALSE,IF(ISERROR(INT(metadata!P66)),FALSE,INT(metadata!P66)=metadata!P66)),metadata!P66&gt;0))</f>
        <v>0</v>
      </c>
      <c r="AQ66">
        <f>IF(metadata!Q66="",FALSE,TRUE)</f>
        <v>0</v>
      </c>
    </row>
    <row r="67" spans="1:43">
      <c r="A67" s="5">
        <f>IF(B67=" "," ",HYPERLINK(CONCATENATE("#metadata!",ADDRESS(INDEX($W$2:$W$1001,MATCH(ROWS($U$2:U67),$U$2:$U$1001,0),0),1)),INDEX($Z$2:$Z$1001,MATCH(ROWS($U$2:U67),$U$2:$U$1001,0),0)))</f>
        <v>0</v>
      </c>
      <c r="B67" s="4">
        <f>IF(OR(INDEX($V$2:$V$1001,MATCH(ROWS($U$2:U67),$U$2:$U$1001,0),1)&gt;=100000,INDEX($AB$1005:$AQ$1005,1,MATCH(COLUMNS($AB$1006:AB1006),$AB$1006:$AQ$1006,0))&gt;=100000), " ",IF(INDEX($AB$2:$AQ$1001,MATCH(ROWS($U$2:U67),$U$2:$U$1001,0),MATCH(COLUMNS($AB$1006:AB1006),$AB$1006:$AQ$1006,0)), HYPERLINK("#",""), HYPERLINK(CONCATENATE("#metadata!", ADDRESS(INDEX($W$2:$W$1001,MATCH(ROWS($U$2:U67),$U$2:$U$1001,0),0), INDEX($AB$1004:$AQ$1004,1,MATCH(COLUMNS($AB$1006:AB1006),$AB$1006:$AQ$1006,0)))),"Fix")))</f>
        <v>0</v>
      </c>
      <c r="C67" s="4">
        <f>IF(OR(INDEX($V$2:$V$1001,MATCH(ROWS($U$2:U67),$U$2:$U$1001,0),1)&gt;=100000,INDEX($AB$1005:$AQ$1005,1,MATCH(COLUMNS($AB$1006:AC1006),$AB$1006:$AQ$1006,0))&gt;=100000), " ",IF(INDEX($AB$2:$AQ$1001,MATCH(ROWS($U$2:U67),$U$2:$U$1001,0),MATCH(COLUMNS($AB$1006:AC1006),$AB$1006:$AQ$1006,0)), HYPERLINK("#",""), HYPERLINK(CONCATENATE("#metadata!", ADDRESS(INDEX($W$2:$W$1001,MATCH(ROWS($U$2:U67),$U$2:$U$1001,0),0), INDEX($AB$1004:$AQ$1004,1,MATCH(COLUMNS($AB$1006:AC1006),$AB$1006:$AQ$1006,0)))),"Fix")))</f>
        <v>0</v>
      </c>
      <c r="D67" s="4">
        <f>IF(OR(INDEX($V$2:$V$1001,MATCH(ROWS($U$2:U67),$U$2:$U$1001,0),1)&gt;=100000,INDEX($AB$1005:$AQ$1005,1,MATCH(COLUMNS($AB$1006:AD1006),$AB$1006:$AQ$1006,0))&gt;=100000), " ",IF(INDEX($AB$2:$AQ$1001,MATCH(ROWS($U$2:U67),$U$2:$U$1001,0),MATCH(COLUMNS($AB$1006:AD1006),$AB$1006:$AQ$1006,0)), HYPERLINK("#",""), HYPERLINK(CONCATENATE("#metadata!", ADDRESS(INDEX($W$2:$W$1001,MATCH(ROWS($U$2:U67),$U$2:$U$1001,0),0), INDEX($AB$1004:$AQ$1004,1,MATCH(COLUMNS($AB$1006:AD1006),$AB$1006:$AQ$1006,0)))),"Fix")))</f>
        <v>0</v>
      </c>
      <c r="E67" s="4">
        <f>IF(OR(INDEX($V$2:$V$1001,MATCH(ROWS($U$2:U67),$U$2:$U$1001,0),1)&gt;=100000,INDEX($AB$1005:$AQ$1005,1,MATCH(COLUMNS($AB$1006:AE1006),$AB$1006:$AQ$1006,0))&gt;=100000), " ",IF(INDEX($AB$2:$AQ$1001,MATCH(ROWS($U$2:U67),$U$2:$U$1001,0),MATCH(COLUMNS($AB$1006:AE1006),$AB$1006:$AQ$1006,0)), HYPERLINK("#",""), HYPERLINK(CONCATENATE("#metadata!", ADDRESS(INDEX($W$2:$W$1001,MATCH(ROWS($U$2:U67),$U$2:$U$1001,0),0), INDEX($AB$1004:$AQ$1004,1,MATCH(COLUMNS($AB$1006:AE1006),$AB$1006:$AQ$1006,0)))),"Fix")))</f>
        <v>0</v>
      </c>
      <c r="F67" s="4">
        <f>IF(OR(INDEX($V$2:$V$1001,MATCH(ROWS($U$2:U67),$U$2:$U$1001,0),1)&gt;=100000,INDEX($AB$1005:$AQ$1005,1,MATCH(COLUMNS($AB$1006:AF1006),$AB$1006:$AQ$1006,0))&gt;=100000), " ",IF(INDEX($AB$2:$AQ$1001,MATCH(ROWS($U$2:U67),$U$2:$U$1001,0),MATCH(COLUMNS($AB$1006:AF1006),$AB$1006:$AQ$1006,0)), HYPERLINK("#",""), HYPERLINK(CONCATENATE("#metadata!", ADDRESS(INDEX($W$2:$W$1001,MATCH(ROWS($U$2:U67),$U$2:$U$1001,0),0), INDEX($AB$1004:$AQ$1004,1,MATCH(COLUMNS($AB$1006:AF1006),$AB$1006:$AQ$1006,0)))),"Fix")))</f>
        <v>0</v>
      </c>
      <c r="G67" s="4">
        <f>IF(OR(INDEX($V$2:$V$1001,MATCH(ROWS($U$2:U67),$U$2:$U$1001,0),1)&gt;=100000,INDEX($AB$1005:$AQ$1005,1,MATCH(COLUMNS($AB$1006:AG1006),$AB$1006:$AQ$1006,0))&gt;=100000), " ",IF(INDEX($AB$2:$AQ$1001,MATCH(ROWS($U$2:U67),$U$2:$U$1001,0),MATCH(COLUMNS($AB$1006:AG1006),$AB$1006:$AQ$1006,0)), HYPERLINK("#",""), HYPERLINK(CONCATENATE("#metadata!", ADDRESS(INDEX($W$2:$W$1001,MATCH(ROWS($U$2:U67),$U$2:$U$1001,0),0), INDEX($AB$1004:$AQ$1004,1,MATCH(COLUMNS($AB$1006:AG1006),$AB$1006:$AQ$1006,0)))),"Fix")))</f>
        <v>0</v>
      </c>
      <c r="H67" s="4">
        <f>IF(OR(INDEX($V$2:$V$1001,MATCH(ROWS($U$2:U67),$U$2:$U$1001,0),1)&gt;=100000,INDEX($AB$1005:$AQ$1005,1,MATCH(COLUMNS($AB$1006:AH1006),$AB$1006:$AQ$1006,0))&gt;=100000), " ",IF(INDEX($AB$2:$AQ$1001,MATCH(ROWS($U$2:U67),$U$2:$U$1001,0),MATCH(COLUMNS($AB$1006:AH1006),$AB$1006:$AQ$1006,0)), HYPERLINK("#",""), HYPERLINK(CONCATENATE("#metadata!", ADDRESS(INDEX($W$2:$W$1001,MATCH(ROWS($U$2:U67),$U$2:$U$1001,0),0), INDEX($AB$1004:$AQ$1004,1,MATCH(COLUMNS($AB$1006:AH1006),$AB$1006:$AQ$1006,0)))),"Fix")))</f>
        <v>0</v>
      </c>
      <c r="I67" s="4">
        <f>IF(OR(INDEX($V$2:$V$1001,MATCH(ROWS($U$2:U67),$U$2:$U$1001,0),1)&gt;=100000,INDEX($AB$1005:$AQ$1005,1,MATCH(COLUMNS($AB$1006:AI1006),$AB$1006:$AQ$1006,0))&gt;=100000), " ",IF(INDEX($AB$2:$AQ$1001,MATCH(ROWS($U$2:U67),$U$2:$U$1001,0),MATCH(COLUMNS($AB$1006:AI1006),$AB$1006:$AQ$1006,0)), HYPERLINK("#",""), HYPERLINK(CONCATENATE("#metadata!", ADDRESS(INDEX($W$2:$W$1001,MATCH(ROWS($U$2:U67),$U$2:$U$1001,0),0), INDEX($AB$1004:$AQ$1004,1,MATCH(COLUMNS($AB$1006:AI1006),$AB$1006:$AQ$1006,0)))),"Fix")))</f>
        <v>0</v>
      </c>
      <c r="J67" s="4">
        <f>IF(OR(INDEX($V$2:$V$1001,MATCH(ROWS($U$2:U67),$U$2:$U$1001,0),1)&gt;=100000,INDEX($AB$1005:$AQ$1005,1,MATCH(COLUMNS($AB$1006:AJ1006),$AB$1006:$AQ$1006,0))&gt;=100000), " ",IF(INDEX($AB$2:$AQ$1001,MATCH(ROWS($U$2:U67),$U$2:$U$1001,0),MATCH(COLUMNS($AB$1006:AJ1006),$AB$1006:$AQ$1006,0)), HYPERLINK("#",""), HYPERLINK(CONCATENATE("#metadata!", ADDRESS(INDEX($W$2:$W$1001,MATCH(ROWS($U$2:U67),$U$2:$U$1001,0),0), INDEX($AB$1004:$AQ$1004,1,MATCH(COLUMNS($AB$1006:AJ1006),$AB$1006:$AQ$1006,0)))),"Fix")))</f>
        <v>0</v>
      </c>
      <c r="K67" s="4">
        <f>IF(OR(INDEX($V$2:$V$1001,MATCH(ROWS($U$2:U67),$U$2:$U$1001,0),1)&gt;=100000,INDEX($AB$1005:$AQ$1005,1,MATCH(COLUMNS($AB$1006:AK1006),$AB$1006:$AQ$1006,0))&gt;=100000), " ",IF(INDEX($AB$2:$AQ$1001,MATCH(ROWS($U$2:U67),$U$2:$U$1001,0),MATCH(COLUMNS($AB$1006:AK1006),$AB$1006:$AQ$1006,0)), HYPERLINK("#",""), HYPERLINK(CONCATENATE("#metadata!", ADDRESS(INDEX($W$2:$W$1001,MATCH(ROWS($U$2:U67),$U$2:$U$1001,0),0), INDEX($AB$1004:$AQ$1004,1,MATCH(COLUMNS($AB$1006:AK1006),$AB$1006:$AQ$1006,0)))),"Fix")))</f>
        <v>0</v>
      </c>
      <c r="L67" s="4">
        <f>IF(OR(INDEX($V$2:$V$1001,MATCH(ROWS($U$2:U67),$U$2:$U$1001,0),1)&gt;=100000,INDEX($AB$1005:$AQ$1005,1,MATCH(COLUMNS($AB$1006:AL1006),$AB$1006:$AQ$1006,0))&gt;=100000), " ",IF(INDEX($AB$2:$AQ$1001,MATCH(ROWS($U$2:U67),$U$2:$U$1001,0),MATCH(COLUMNS($AB$1006:AL1006),$AB$1006:$AQ$1006,0)), HYPERLINK("#",""), HYPERLINK(CONCATENATE("#metadata!", ADDRESS(INDEX($W$2:$W$1001,MATCH(ROWS($U$2:U67),$U$2:$U$1001,0),0), INDEX($AB$1004:$AQ$1004,1,MATCH(COLUMNS($AB$1006:AL1006),$AB$1006:$AQ$1006,0)))),"Fix")))</f>
        <v>0</v>
      </c>
      <c r="M67" s="4">
        <f>IF(OR(INDEX($V$2:$V$1001,MATCH(ROWS($U$2:U67),$U$2:$U$1001,0),1)&gt;=100000,INDEX($AB$1005:$AQ$1005,1,MATCH(COLUMNS($AB$1006:AM1006),$AB$1006:$AQ$1006,0))&gt;=100000), " ",IF(INDEX($AB$2:$AQ$1001,MATCH(ROWS($U$2:U67),$U$2:$U$1001,0),MATCH(COLUMNS($AB$1006:AM1006),$AB$1006:$AQ$1006,0)), HYPERLINK("#",""), HYPERLINK(CONCATENATE("#metadata!", ADDRESS(INDEX($W$2:$W$1001,MATCH(ROWS($U$2:U67),$U$2:$U$1001,0),0), INDEX($AB$1004:$AQ$1004,1,MATCH(COLUMNS($AB$1006:AM1006),$AB$1006:$AQ$1006,0)))),"Fix")))</f>
        <v>0</v>
      </c>
      <c r="N67" s="4">
        <f>IF(OR(INDEX($V$2:$V$1001,MATCH(ROWS($U$2:U67),$U$2:$U$1001,0),1)&gt;=100000,INDEX($AB$1005:$AQ$1005,1,MATCH(COLUMNS($AB$1006:AN1006),$AB$1006:$AQ$1006,0))&gt;=100000), " ",IF(INDEX($AB$2:$AQ$1001,MATCH(ROWS($U$2:U67),$U$2:$U$1001,0),MATCH(COLUMNS($AB$1006:AN1006),$AB$1006:$AQ$1006,0)), HYPERLINK("#",""), HYPERLINK(CONCATENATE("#metadata!", ADDRESS(INDEX($W$2:$W$1001,MATCH(ROWS($U$2:U67),$U$2:$U$1001,0),0), INDEX($AB$1004:$AQ$1004,1,MATCH(COLUMNS($AB$1006:AN1006),$AB$1006:$AQ$1006,0)))),"Fix")))</f>
        <v>0</v>
      </c>
      <c r="O67" s="4">
        <f>IF(OR(INDEX($V$2:$V$1001,MATCH(ROWS($U$2:U67),$U$2:$U$1001,0),1)&gt;=100000,INDEX($AB$1005:$AQ$1005,1,MATCH(COLUMNS($AB$1006:AO1006),$AB$1006:$AQ$1006,0))&gt;=100000), " ",IF(INDEX($AB$2:$AQ$1001,MATCH(ROWS($U$2:U67),$U$2:$U$1001,0),MATCH(COLUMNS($AB$1006:AO1006),$AB$1006:$AQ$1006,0)), HYPERLINK("#",""), HYPERLINK(CONCATENATE("#metadata!", ADDRESS(INDEX($W$2:$W$1001,MATCH(ROWS($U$2:U67),$U$2:$U$1001,0),0), INDEX($AB$1004:$AQ$1004,1,MATCH(COLUMNS($AB$1006:AO1006),$AB$1006:$AQ$1006,0)))),"Fix")))</f>
        <v>0</v>
      </c>
      <c r="P67" s="4">
        <f>IF(OR(INDEX($V$2:$V$1001,MATCH(ROWS($U$2:U67),$U$2:$U$1001,0),1)&gt;=100000,INDEX($AB$1005:$AQ$1005,1,MATCH(COLUMNS($AB$1006:AP1006),$AB$1006:$AQ$1006,0))&gt;=100000), " ",IF(INDEX($AB$2:$AQ$1001,MATCH(ROWS($U$2:U67),$U$2:$U$1001,0),MATCH(COLUMNS($AB$1006:AP1006),$AB$1006:$AQ$1006,0)), HYPERLINK("#",""), HYPERLINK(CONCATENATE("#metadata!", ADDRESS(INDEX($W$2:$W$1001,MATCH(ROWS($U$2:U67),$U$2:$U$1001,0),0), INDEX($AB$1004:$AQ$1004,1,MATCH(COLUMNS($AB$1006:AP1006),$AB$1006:$AQ$1006,0)))),"Fix")))</f>
        <v>0</v>
      </c>
      <c r="Q67" s="4">
        <f>IF(OR(INDEX($V$2:$V$1001,MATCH(ROWS($U$2:U67),$U$2:$U$1001,0),1)&gt;=100000,INDEX($AB$1005:$AQ$1005,1,MATCH(COLUMNS($AB$1006:AQ1006),$AB$1006:$AQ$1006,0))&gt;=100000), " ",IF(INDEX($AB$2:$AQ$1001,MATCH(ROWS($U$2:U67),$U$2:$U$1001,0),MATCH(COLUMNS($AB$1006:AQ1006),$AB$1006:$AQ$1006,0)), HYPERLINK("#",""), HYPERLINK(CONCATENATE("#metadata!", ADDRESS(INDEX($W$2:$W$1001,MATCH(ROWS($U$2:U67),$U$2:$U$1001,0),0), INDEX($AB$1004:$AQ$1004,1,MATCH(COLUMNS($AB$1006:AQ1006),$AB$1006:$AQ$1006,0)))),"Fix")))</f>
        <v>0</v>
      </c>
      <c r="U67">
        <v>0</v>
      </c>
      <c r="V67">
        <v>0</v>
      </c>
      <c r="W67">
        <v>0</v>
      </c>
      <c r="X67">
        <f>IF(Y67,TRUE,AND(AB67:AQ67))</f>
        <v>0</v>
      </c>
      <c r="Y67">
        <f>COUNTBLANK(metadata!B67:Q67)=COLUMNS(metadata!B67:Q67)</f>
        <v>0</v>
      </c>
      <c r="Z67">
        <v>0</v>
      </c>
      <c r="AB67">
        <f>AND(IF(metadata!B67="",FALSE,TRUE),COUNTIF(metadata!B:B, metadata!B67) = 1,NOT(ISERROR(SUMPRODUCT(SEARCH(MID(metadata!B67,ROW(INDIRECT("1:"&amp;LEN(metadata!B67))), 1),"0123456789abcdefghijklmnopqrstuvwxyzABCDEFGHIJKLMNOPQRSTUVWXYZ.")))))</f>
        <v>0</v>
      </c>
      <c r="AC67">
        <f>OR(AND(IF(metadata!C67="",FALSE,TRUE),OR(exact(metadata!C67,"missing: not collected"),exact(metadata!C67,"missing: not provided"),exact(metadata!C67,"missing: restricted access"))),AND(IF(metadata!C67="",FALSE,TRUE),AND(AND(IFERROR(INT(LEFT(metadata!C67,4))&gt;1900,FALSE),IFERROR(INT(LEFT(metadata!C67,4))&lt;=YEAR(NOW()),FALSE)), OR(MID(metadata!C67,5,1)="", AND(AND(MID(metadata!C67,5,1)="-",IFERROR(INT(MID(metadata!C67,6,1))&gt;=0,FALSE),IFERROR(INT(MID(metadata!C67,6,1))&lt;=1,FALSE),NOT(MID(metadata!C67,7,1)=""),IFERROR(INT(MID(metadata!C67,6,2))&gt;=1,FALSE),IFERROR(INT(MID(metadata!C67,6,2))&lt;=12,FALSE)), OR(MID(metadata!C67,8,1)="", AND(AND(MID(metadata!C67,8,1)="-",IFERROR(INT(MID(metadata!C67,9,1))&gt;=0,FALSE),IFERROR(INT(MID(metadata!C67,9,1))&lt;=3,FALSE),NOT(MID(metadata!C67,10,1)=""),IFERROR(INT(MID(metadata!C67,9,2))&gt;=1,FALSE),IFERROR(INT(MID(metadata!C67,9,2))&lt;=31,FALSE)), OR(MID(metadata!C67,11,1)="", AND(AND(MID(metadata!C67,11,1)=" ",IFERROR(INT(MID(metadata!C67,12,1))&gt;=0,FALSE),IFERROR(INT(MID(metadata!C67,12,1))&lt;=2,FALSE),NOT(MID(metadata!C67,13,1)=""),IFERROR(INT(MID(metadata!C67,12,2))&gt;=0,FALSE),IFERROR(INT(MID(metadata!C67,12,2))&lt;=23,FALSE)), OR(MID(metadata!C67,14,1)="", AND(AND(MID(metadata!C67,14,1)=":",IFERROR(INT(MID(metadata!C67,15,1))&gt;=0,FALSE),IFERROR(INT(MID(metadata!C67,15,1))&lt;=5,FALSE),NOT(MID(metadata!C67,16,1)=""),IFERROR(INT(MID(metadata!C67,15,2))&gt;=0,FALSE),IFERROR(INT(MID(metadata!C67,15,2))&lt;=59,FALSE)), OR(MID(metadata!C67,17,1)="", AND(AND(MID(metadata!C67,17,1)=":",IFERROR(INT(MID(metadata!C67,18,1))&gt;=0,FALSE),IFERROR(INT(MID(metadata!C67,18,1))&lt;=5,FALSE),NOT(MID(metadata!C67,19,1)=""),IFERROR(INT(MID(metadata!C67,18,2))&gt;=0,FALSE),IFERROR(INT(MID(metadata!C67,18,2))&lt;=59,FALSE)), LEN(metadata!C67)&lt;=19)))))))))))))</f>
        <v>0</v>
      </c>
      <c r="AD67">
        <f>IF(metadata!D67="",FALSE,TRUE)</f>
        <v>0</v>
      </c>
      <c r="AE67">
        <f>OR(AND(IF(metadata!E67="",FALSE,TRUE),OR(exact(metadata!E67,"missing: not collected"),exact(metadata!E67,"missing: not provided"))),AND(IF(metadata!E67="",FALSE,TRUE),OR(exact(metadata!E67,"TRUE"),exact(metadata!E67,"FALSE"))))</f>
        <v>0</v>
      </c>
      <c r="AF67">
        <f>IF(metadata!F67="",FALSE,TRUE)</f>
        <v>0</v>
      </c>
      <c r="AG67">
        <f>IF(metadata!G67="",FALSE,TRUE)</f>
        <v>0</v>
      </c>
      <c r="AH67">
        <f>IF(metadata!H67="",FALSE,TRUE)</f>
        <v>0</v>
      </c>
      <c r="AI67">
        <f>OR(AND(IF(metadata!I67="",FALSE,TRUE),OR(exact(metadata!I67,"missing: not collected"),exact(metadata!I67,"missing: not provided"),exact(metadata!I67,"missing: restricted access"))),AND(IF(metadata!I67="",FALSE,TRUE),OR(exact(metadata!I67,"air"),exact(metadata!I67,"built environment"),exact(metadata!I67,"host-associated"),exact(metadata!I67,"human-associated"),exact(metadata!I67,"human-skin"),exact(metadata!I67,"human-oral"),exact(metadata!I67,"human-gut"),exact(metadata!I67,"human-vaginal"),exact(metadata!I67,"microbial mat/biofilm"),exact(metadata!I67,"misc environment"),exact(metadata!I67,"plant-associated"),exact(metadata!I67,"sediment"),exact(metadata!I67,"soil"),exact(metadata!I67,"wastewater/sludge"),exact(metadata!I67,"water"))))</f>
        <v>0</v>
      </c>
      <c r="AJ67">
        <f>IF(metadata!J67="",FALSE,TRUE)</f>
        <v>0</v>
      </c>
      <c r="AK67">
        <f>OR(AND(IF(metadata!K67="",FALSE,TRUE),OR(exact(metadata!K67,"missing: not collected"),exact(metadata!K67,"missing: not provided"),exact(metadata!K67,"missing: restricted access"))),AND(IF(metadata!K67="",FALSE,ISNUMBER(VALUE(metadata!K67))),metadata!K67&gt;=-90.00,metadata!K67&lt;=90.00))</f>
        <v>0</v>
      </c>
      <c r="AL67">
        <f>OR(AND(IF(metadata!L67="",FALSE,TRUE),OR(exact(metadata!L67,"missing: not collected"),exact(metadata!L67,"missing: not provided"),exact(metadata!L67,"missing: restricted access"))),AND(IF(metadata!L67="",FALSE,ISNUMBER(VALUE(metadata!L67))),metadata!L67&gt;=-180.00,metadata!L67&lt;=180.00))</f>
        <v>0</v>
      </c>
      <c r="AM67">
        <f>IF(metadata!M67="",FALSE,TRUE)</f>
        <v>0</v>
      </c>
      <c r="AN67">
        <f>OR(AND(IF(metadata!N67="",FALSE,TRUE),OR(exact(metadata!N67,"missing: not collected"),exact(metadata!N67,"missing: not provided"),exact(metadata!N67,"missing: restricted access"))),AND(IF(metadata!N67="",FALSE,TRUE),OR(exact(metadata!N67,"TRUE"),exact(metadata!N67,"FALSE"))))</f>
        <v>0</v>
      </c>
      <c r="AO67">
        <f>IF(metadata!O67="",FALSE,TRUE)</f>
        <v>0</v>
      </c>
      <c r="AP67">
        <f>OR(AND(IF(metadata!P67="",FALSE,TRUE),OR(exact(metadata!P67,"missing: not collected"),exact(metadata!P67,"missing: not provided"))),AND(IF(metadata!P67="",FALSE,IF(ISERROR(INT(metadata!P67)),FALSE,INT(metadata!P67)=metadata!P67)),metadata!P67&gt;0))</f>
        <v>0</v>
      </c>
      <c r="AQ67">
        <f>IF(metadata!Q67="",FALSE,TRUE)</f>
        <v>0</v>
      </c>
    </row>
    <row r="68" spans="1:43">
      <c r="A68" s="5">
        <f>IF(B68=" "," ",HYPERLINK(CONCATENATE("#metadata!",ADDRESS(INDEX($W$2:$W$1001,MATCH(ROWS($U$2:U68),$U$2:$U$1001,0),0),1)),INDEX($Z$2:$Z$1001,MATCH(ROWS($U$2:U68),$U$2:$U$1001,0),0)))</f>
        <v>0</v>
      </c>
      <c r="B68" s="4">
        <f>IF(OR(INDEX($V$2:$V$1001,MATCH(ROWS($U$2:U68),$U$2:$U$1001,0),1)&gt;=100000,INDEX($AB$1005:$AQ$1005,1,MATCH(COLUMNS($AB$1006:AB1006),$AB$1006:$AQ$1006,0))&gt;=100000), " ",IF(INDEX($AB$2:$AQ$1001,MATCH(ROWS($U$2:U68),$U$2:$U$1001,0),MATCH(COLUMNS($AB$1006:AB1006),$AB$1006:$AQ$1006,0)), HYPERLINK("#",""), HYPERLINK(CONCATENATE("#metadata!", ADDRESS(INDEX($W$2:$W$1001,MATCH(ROWS($U$2:U68),$U$2:$U$1001,0),0), INDEX($AB$1004:$AQ$1004,1,MATCH(COLUMNS($AB$1006:AB1006),$AB$1006:$AQ$1006,0)))),"Fix")))</f>
        <v>0</v>
      </c>
      <c r="C68" s="4">
        <f>IF(OR(INDEX($V$2:$V$1001,MATCH(ROWS($U$2:U68),$U$2:$U$1001,0),1)&gt;=100000,INDEX($AB$1005:$AQ$1005,1,MATCH(COLUMNS($AB$1006:AC1006),$AB$1006:$AQ$1006,0))&gt;=100000), " ",IF(INDEX($AB$2:$AQ$1001,MATCH(ROWS($U$2:U68),$U$2:$U$1001,0),MATCH(COLUMNS($AB$1006:AC1006),$AB$1006:$AQ$1006,0)), HYPERLINK("#",""), HYPERLINK(CONCATENATE("#metadata!", ADDRESS(INDEX($W$2:$W$1001,MATCH(ROWS($U$2:U68),$U$2:$U$1001,0),0), INDEX($AB$1004:$AQ$1004,1,MATCH(COLUMNS($AB$1006:AC1006),$AB$1006:$AQ$1006,0)))),"Fix")))</f>
        <v>0</v>
      </c>
      <c r="D68" s="4">
        <f>IF(OR(INDEX($V$2:$V$1001,MATCH(ROWS($U$2:U68),$U$2:$U$1001,0),1)&gt;=100000,INDEX($AB$1005:$AQ$1005,1,MATCH(COLUMNS($AB$1006:AD1006),$AB$1006:$AQ$1006,0))&gt;=100000), " ",IF(INDEX($AB$2:$AQ$1001,MATCH(ROWS($U$2:U68),$U$2:$U$1001,0),MATCH(COLUMNS($AB$1006:AD1006),$AB$1006:$AQ$1006,0)), HYPERLINK("#",""), HYPERLINK(CONCATENATE("#metadata!", ADDRESS(INDEX($W$2:$W$1001,MATCH(ROWS($U$2:U68),$U$2:$U$1001,0),0), INDEX($AB$1004:$AQ$1004,1,MATCH(COLUMNS($AB$1006:AD1006),$AB$1006:$AQ$1006,0)))),"Fix")))</f>
        <v>0</v>
      </c>
      <c r="E68" s="4">
        <f>IF(OR(INDEX($V$2:$V$1001,MATCH(ROWS($U$2:U68),$U$2:$U$1001,0),1)&gt;=100000,INDEX($AB$1005:$AQ$1005,1,MATCH(COLUMNS($AB$1006:AE1006),$AB$1006:$AQ$1006,0))&gt;=100000), " ",IF(INDEX($AB$2:$AQ$1001,MATCH(ROWS($U$2:U68),$U$2:$U$1001,0),MATCH(COLUMNS($AB$1006:AE1006),$AB$1006:$AQ$1006,0)), HYPERLINK("#",""), HYPERLINK(CONCATENATE("#metadata!", ADDRESS(INDEX($W$2:$W$1001,MATCH(ROWS($U$2:U68),$U$2:$U$1001,0),0), INDEX($AB$1004:$AQ$1004,1,MATCH(COLUMNS($AB$1006:AE1006),$AB$1006:$AQ$1006,0)))),"Fix")))</f>
        <v>0</v>
      </c>
      <c r="F68" s="4">
        <f>IF(OR(INDEX($V$2:$V$1001,MATCH(ROWS($U$2:U68),$U$2:$U$1001,0),1)&gt;=100000,INDEX($AB$1005:$AQ$1005,1,MATCH(COLUMNS($AB$1006:AF1006),$AB$1006:$AQ$1006,0))&gt;=100000), " ",IF(INDEX($AB$2:$AQ$1001,MATCH(ROWS($U$2:U68),$U$2:$U$1001,0),MATCH(COLUMNS($AB$1006:AF1006),$AB$1006:$AQ$1006,0)), HYPERLINK("#",""), HYPERLINK(CONCATENATE("#metadata!", ADDRESS(INDEX($W$2:$W$1001,MATCH(ROWS($U$2:U68),$U$2:$U$1001,0),0), INDEX($AB$1004:$AQ$1004,1,MATCH(COLUMNS($AB$1006:AF1006),$AB$1006:$AQ$1006,0)))),"Fix")))</f>
        <v>0</v>
      </c>
      <c r="G68" s="4">
        <f>IF(OR(INDEX($V$2:$V$1001,MATCH(ROWS($U$2:U68),$U$2:$U$1001,0),1)&gt;=100000,INDEX($AB$1005:$AQ$1005,1,MATCH(COLUMNS($AB$1006:AG1006),$AB$1006:$AQ$1006,0))&gt;=100000), " ",IF(INDEX($AB$2:$AQ$1001,MATCH(ROWS($U$2:U68),$U$2:$U$1001,0),MATCH(COLUMNS($AB$1006:AG1006),$AB$1006:$AQ$1006,0)), HYPERLINK("#",""), HYPERLINK(CONCATENATE("#metadata!", ADDRESS(INDEX($W$2:$W$1001,MATCH(ROWS($U$2:U68),$U$2:$U$1001,0),0), INDEX($AB$1004:$AQ$1004,1,MATCH(COLUMNS($AB$1006:AG1006),$AB$1006:$AQ$1006,0)))),"Fix")))</f>
        <v>0</v>
      </c>
      <c r="H68" s="4">
        <f>IF(OR(INDEX($V$2:$V$1001,MATCH(ROWS($U$2:U68),$U$2:$U$1001,0),1)&gt;=100000,INDEX($AB$1005:$AQ$1005,1,MATCH(COLUMNS($AB$1006:AH1006),$AB$1006:$AQ$1006,0))&gt;=100000), " ",IF(INDEX($AB$2:$AQ$1001,MATCH(ROWS($U$2:U68),$U$2:$U$1001,0),MATCH(COLUMNS($AB$1006:AH1006),$AB$1006:$AQ$1006,0)), HYPERLINK("#",""), HYPERLINK(CONCATENATE("#metadata!", ADDRESS(INDEX($W$2:$W$1001,MATCH(ROWS($U$2:U68),$U$2:$U$1001,0),0), INDEX($AB$1004:$AQ$1004,1,MATCH(COLUMNS($AB$1006:AH1006),$AB$1006:$AQ$1006,0)))),"Fix")))</f>
        <v>0</v>
      </c>
      <c r="I68" s="4">
        <f>IF(OR(INDEX($V$2:$V$1001,MATCH(ROWS($U$2:U68),$U$2:$U$1001,0),1)&gt;=100000,INDEX($AB$1005:$AQ$1005,1,MATCH(COLUMNS($AB$1006:AI1006),$AB$1006:$AQ$1006,0))&gt;=100000), " ",IF(INDEX($AB$2:$AQ$1001,MATCH(ROWS($U$2:U68),$U$2:$U$1001,0),MATCH(COLUMNS($AB$1006:AI1006),$AB$1006:$AQ$1006,0)), HYPERLINK("#",""), HYPERLINK(CONCATENATE("#metadata!", ADDRESS(INDEX($W$2:$W$1001,MATCH(ROWS($U$2:U68),$U$2:$U$1001,0),0), INDEX($AB$1004:$AQ$1004,1,MATCH(COLUMNS($AB$1006:AI1006),$AB$1006:$AQ$1006,0)))),"Fix")))</f>
        <v>0</v>
      </c>
      <c r="J68" s="4">
        <f>IF(OR(INDEX($V$2:$V$1001,MATCH(ROWS($U$2:U68),$U$2:$U$1001,0),1)&gt;=100000,INDEX($AB$1005:$AQ$1005,1,MATCH(COLUMNS($AB$1006:AJ1006),$AB$1006:$AQ$1006,0))&gt;=100000), " ",IF(INDEX($AB$2:$AQ$1001,MATCH(ROWS($U$2:U68),$U$2:$U$1001,0),MATCH(COLUMNS($AB$1006:AJ1006),$AB$1006:$AQ$1006,0)), HYPERLINK("#",""), HYPERLINK(CONCATENATE("#metadata!", ADDRESS(INDEX($W$2:$W$1001,MATCH(ROWS($U$2:U68),$U$2:$U$1001,0),0), INDEX($AB$1004:$AQ$1004,1,MATCH(COLUMNS($AB$1006:AJ1006),$AB$1006:$AQ$1006,0)))),"Fix")))</f>
        <v>0</v>
      </c>
      <c r="K68" s="4">
        <f>IF(OR(INDEX($V$2:$V$1001,MATCH(ROWS($U$2:U68),$U$2:$U$1001,0),1)&gt;=100000,INDEX($AB$1005:$AQ$1005,1,MATCH(COLUMNS($AB$1006:AK1006),$AB$1006:$AQ$1006,0))&gt;=100000), " ",IF(INDEX($AB$2:$AQ$1001,MATCH(ROWS($U$2:U68),$U$2:$U$1001,0),MATCH(COLUMNS($AB$1006:AK1006),$AB$1006:$AQ$1006,0)), HYPERLINK("#",""), HYPERLINK(CONCATENATE("#metadata!", ADDRESS(INDEX($W$2:$W$1001,MATCH(ROWS($U$2:U68),$U$2:$U$1001,0),0), INDEX($AB$1004:$AQ$1004,1,MATCH(COLUMNS($AB$1006:AK1006),$AB$1006:$AQ$1006,0)))),"Fix")))</f>
        <v>0</v>
      </c>
      <c r="L68" s="4">
        <f>IF(OR(INDEX($V$2:$V$1001,MATCH(ROWS($U$2:U68),$U$2:$U$1001,0),1)&gt;=100000,INDEX($AB$1005:$AQ$1005,1,MATCH(COLUMNS($AB$1006:AL1006),$AB$1006:$AQ$1006,0))&gt;=100000), " ",IF(INDEX($AB$2:$AQ$1001,MATCH(ROWS($U$2:U68),$U$2:$U$1001,0),MATCH(COLUMNS($AB$1006:AL1006),$AB$1006:$AQ$1006,0)), HYPERLINK("#",""), HYPERLINK(CONCATENATE("#metadata!", ADDRESS(INDEX($W$2:$W$1001,MATCH(ROWS($U$2:U68),$U$2:$U$1001,0),0), INDEX($AB$1004:$AQ$1004,1,MATCH(COLUMNS($AB$1006:AL1006),$AB$1006:$AQ$1006,0)))),"Fix")))</f>
        <v>0</v>
      </c>
      <c r="M68" s="4">
        <f>IF(OR(INDEX($V$2:$V$1001,MATCH(ROWS($U$2:U68),$U$2:$U$1001,0),1)&gt;=100000,INDEX($AB$1005:$AQ$1005,1,MATCH(COLUMNS($AB$1006:AM1006),$AB$1006:$AQ$1006,0))&gt;=100000), " ",IF(INDEX($AB$2:$AQ$1001,MATCH(ROWS($U$2:U68),$U$2:$U$1001,0),MATCH(COLUMNS($AB$1006:AM1006),$AB$1006:$AQ$1006,0)), HYPERLINK("#",""), HYPERLINK(CONCATENATE("#metadata!", ADDRESS(INDEX($W$2:$W$1001,MATCH(ROWS($U$2:U68),$U$2:$U$1001,0),0), INDEX($AB$1004:$AQ$1004,1,MATCH(COLUMNS($AB$1006:AM1006),$AB$1006:$AQ$1006,0)))),"Fix")))</f>
        <v>0</v>
      </c>
      <c r="N68" s="4">
        <f>IF(OR(INDEX($V$2:$V$1001,MATCH(ROWS($U$2:U68),$U$2:$U$1001,0),1)&gt;=100000,INDEX($AB$1005:$AQ$1005,1,MATCH(COLUMNS($AB$1006:AN1006),$AB$1006:$AQ$1006,0))&gt;=100000), " ",IF(INDEX($AB$2:$AQ$1001,MATCH(ROWS($U$2:U68),$U$2:$U$1001,0),MATCH(COLUMNS($AB$1006:AN1006),$AB$1006:$AQ$1006,0)), HYPERLINK("#",""), HYPERLINK(CONCATENATE("#metadata!", ADDRESS(INDEX($W$2:$W$1001,MATCH(ROWS($U$2:U68),$U$2:$U$1001,0),0), INDEX($AB$1004:$AQ$1004,1,MATCH(COLUMNS($AB$1006:AN1006),$AB$1006:$AQ$1006,0)))),"Fix")))</f>
        <v>0</v>
      </c>
      <c r="O68" s="4">
        <f>IF(OR(INDEX($V$2:$V$1001,MATCH(ROWS($U$2:U68),$U$2:$U$1001,0),1)&gt;=100000,INDEX($AB$1005:$AQ$1005,1,MATCH(COLUMNS($AB$1006:AO1006),$AB$1006:$AQ$1006,0))&gt;=100000), " ",IF(INDEX($AB$2:$AQ$1001,MATCH(ROWS($U$2:U68),$U$2:$U$1001,0),MATCH(COLUMNS($AB$1006:AO1006),$AB$1006:$AQ$1006,0)), HYPERLINK("#",""), HYPERLINK(CONCATENATE("#metadata!", ADDRESS(INDEX($W$2:$W$1001,MATCH(ROWS($U$2:U68),$U$2:$U$1001,0),0), INDEX($AB$1004:$AQ$1004,1,MATCH(COLUMNS($AB$1006:AO1006),$AB$1006:$AQ$1006,0)))),"Fix")))</f>
        <v>0</v>
      </c>
      <c r="P68" s="4">
        <f>IF(OR(INDEX($V$2:$V$1001,MATCH(ROWS($U$2:U68),$U$2:$U$1001,0),1)&gt;=100000,INDEX($AB$1005:$AQ$1005,1,MATCH(COLUMNS($AB$1006:AP1006),$AB$1006:$AQ$1006,0))&gt;=100000), " ",IF(INDEX($AB$2:$AQ$1001,MATCH(ROWS($U$2:U68),$U$2:$U$1001,0),MATCH(COLUMNS($AB$1006:AP1006),$AB$1006:$AQ$1006,0)), HYPERLINK("#",""), HYPERLINK(CONCATENATE("#metadata!", ADDRESS(INDEX($W$2:$W$1001,MATCH(ROWS($U$2:U68),$U$2:$U$1001,0),0), INDEX($AB$1004:$AQ$1004,1,MATCH(COLUMNS($AB$1006:AP1006),$AB$1006:$AQ$1006,0)))),"Fix")))</f>
        <v>0</v>
      </c>
      <c r="Q68" s="4">
        <f>IF(OR(INDEX($V$2:$V$1001,MATCH(ROWS($U$2:U68),$U$2:$U$1001,0),1)&gt;=100000,INDEX($AB$1005:$AQ$1005,1,MATCH(COLUMNS($AB$1006:AQ1006),$AB$1006:$AQ$1006,0))&gt;=100000), " ",IF(INDEX($AB$2:$AQ$1001,MATCH(ROWS($U$2:U68),$U$2:$U$1001,0),MATCH(COLUMNS($AB$1006:AQ1006),$AB$1006:$AQ$1006,0)), HYPERLINK("#",""), HYPERLINK(CONCATENATE("#metadata!", ADDRESS(INDEX($W$2:$W$1001,MATCH(ROWS($U$2:U68),$U$2:$U$1001,0),0), INDEX($AB$1004:$AQ$1004,1,MATCH(COLUMNS($AB$1006:AQ1006),$AB$1006:$AQ$1006,0)))),"Fix")))</f>
        <v>0</v>
      </c>
      <c r="U68">
        <v>0</v>
      </c>
      <c r="V68">
        <v>0</v>
      </c>
      <c r="W68">
        <v>0</v>
      </c>
      <c r="X68">
        <f>IF(Y68,TRUE,AND(AB68:AQ68))</f>
        <v>0</v>
      </c>
      <c r="Y68">
        <f>COUNTBLANK(metadata!B68:Q68)=COLUMNS(metadata!B68:Q68)</f>
        <v>0</v>
      </c>
      <c r="Z68">
        <v>0</v>
      </c>
      <c r="AB68">
        <f>AND(IF(metadata!B68="",FALSE,TRUE),COUNTIF(metadata!B:B, metadata!B68) = 1,NOT(ISERROR(SUMPRODUCT(SEARCH(MID(metadata!B68,ROW(INDIRECT("1:"&amp;LEN(metadata!B68))), 1),"0123456789abcdefghijklmnopqrstuvwxyzABCDEFGHIJKLMNOPQRSTUVWXYZ.")))))</f>
        <v>0</v>
      </c>
      <c r="AC68">
        <f>OR(AND(IF(metadata!C68="",FALSE,TRUE),OR(exact(metadata!C68,"missing: not collected"),exact(metadata!C68,"missing: not provided"),exact(metadata!C68,"missing: restricted access"))),AND(IF(metadata!C68="",FALSE,TRUE),AND(AND(IFERROR(INT(LEFT(metadata!C68,4))&gt;1900,FALSE),IFERROR(INT(LEFT(metadata!C68,4))&lt;=YEAR(NOW()),FALSE)), OR(MID(metadata!C68,5,1)="", AND(AND(MID(metadata!C68,5,1)="-",IFERROR(INT(MID(metadata!C68,6,1))&gt;=0,FALSE),IFERROR(INT(MID(metadata!C68,6,1))&lt;=1,FALSE),NOT(MID(metadata!C68,7,1)=""),IFERROR(INT(MID(metadata!C68,6,2))&gt;=1,FALSE),IFERROR(INT(MID(metadata!C68,6,2))&lt;=12,FALSE)), OR(MID(metadata!C68,8,1)="", AND(AND(MID(metadata!C68,8,1)="-",IFERROR(INT(MID(metadata!C68,9,1))&gt;=0,FALSE),IFERROR(INT(MID(metadata!C68,9,1))&lt;=3,FALSE),NOT(MID(metadata!C68,10,1)=""),IFERROR(INT(MID(metadata!C68,9,2))&gt;=1,FALSE),IFERROR(INT(MID(metadata!C68,9,2))&lt;=31,FALSE)), OR(MID(metadata!C68,11,1)="", AND(AND(MID(metadata!C68,11,1)=" ",IFERROR(INT(MID(metadata!C68,12,1))&gt;=0,FALSE),IFERROR(INT(MID(metadata!C68,12,1))&lt;=2,FALSE),NOT(MID(metadata!C68,13,1)=""),IFERROR(INT(MID(metadata!C68,12,2))&gt;=0,FALSE),IFERROR(INT(MID(metadata!C68,12,2))&lt;=23,FALSE)), OR(MID(metadata!C68,14,1)="", AND(AND(MID(metadata!C68,14,1)=":",IFERROR(INT(MID(metadata!C68,15,1))&gt;=0,FALSE),IFERROR(INT(MID(metadata!C68,15,1))&lt;=5,FALSE),NOT(MID(metadata!C68,16,1)=""),IFERROR(INT(MID(metadata!C68,15,2))&gt;=0,FALSE),IFERROR(INT(MID(metadata!C68,15,2))&lt;=59,FALSE)), OR(MID(metadata!C68,17,1)="", AND(AND(MID(metadata!C68,17,1)=":",IFERROR(INT(MID(metadata!C68,18,1))&gt;=0,FALSE),IFERROR(INT(MID(metadata!C68,18,1))&lt;=5,FALSE),NOT(MID(metadata!C68,19,1)=""),IFERROR(INT(MID(metadata!C68,18,2))&gt;=0,FALSE),IFERROR(INT(MID(metadata!C68,18,2))&lt;=59,FALSE)), LEN(metadata!C68)&lt;=19)))))))))))))</f>
        <v>0</v>
      </c>
      <c r="AD68">
        <f>IF(metadata!D68="",FALSE,TRUE)</f>
        <v>0</v>
      </c>
      <c r="AE68">
        <f>OR(AND(IF(metadata!E68="",FALSE,TRUE),OR(exact(metadata!E68,"missing: not collected"),exact(metadata!E68,"missing: not provided"))),AND(IF(metadata!E68="",FALSE,TRUE),OR(exact(metadata!E68,"TRUE"),exact(metadata!E68,"FALSE"))))</f>
        <v>0</v>
      </c>
      <c r="AF68">
        <f>IF(metadata!F68="",FALSE,TRUE)</f>
        <v>0</v>
      </c>
      <c r="AG68">
        <f>IF(metadata!G68="",FALSE,TRUE)</f>
        <v>0</v>
      </c>
      <c r="AH68">
        <f>IF(metadata!H68="",FALSE,TRUE)</f>
        <v>0</v>
      </c>
      <c r="AI68">
        <f>OR(AND(IF(metadata!I68="",FALSE,TRUE),OR(exact(metadata!I68,"missing: not collected"),exact(metadata!I68,"missing: not provided"),exact(metadata!I68,"missing: restricted access"))),AND(IF(metadata!I68="",FALSE,TRUE),OR(exact(metadata!I68,"air"),exact(metadata!I68,"built environment"),exact(metadata!I68,"host-associated"),exact(metadata!I68,"human-associated"),exact(metadata!I68,"human-skin"),exact(metadata!I68,"human-oral"),exact(metadata!I68,"human-gut"),exact(metadata!I68,"human-vaginal"),exact(metadata!I68,"microbial mat/biofilm"),exact(metadata!I68,"misc environment"),exact(metadata!I68,"plant-associated"),exact(metadata!I68,"sediment"),exact(metadata!I68,"soil"),exact(metadata!I68,"wastewater/sludge"),exact(metadata!I68,"water"))))</f>
        <v>0</v>
      </c>
      <c r="AJ68">
        <f>IF(metadata!J68="",FALSE,TRUE)</f>
        <v>0</v>
      </c>
      <c r="AK68">
        <f>OR(AND(IF(metadata!K68="",FALSE,TRUE),OR(exact(metadata!K68,"missing: not collected"),exact(metadata!K68,"missing: not provided"),exact(metadata!K68,"missing: restricted access"))),AND(IF(metadata!K68="",FALSE,ISNUMBER(VALUE(metadata!K68))),metadata!K68&gt;=-90.00,metadata!K68&lt;=90.00))</f>
        <v>0</v>
      </c>
      <c r="AL68">
        <f>OR(AND(IF(metadata!L68="",FALSE,TRUE),OR(exact(metadata!L68,"missing: not collected"),exact(metadata!L68,"missing: not provided"),exact(metadata!L68,"missing: restricted access"))),AND(IF(metadata!L68="",FALSE,ISNUMBER(VALUE(metadata!L68))),metadata!L68&gt;=-180.00,metadata!L68&lt;=180.00))</f>
        <v>0</v>
      </c>
      <c r="AM68">
        <f>IF(metadata!M68="",FALSE,TRUE)</f>
        <v>0</v>
      </c>
      <c r="AN68">
        <f>OR(AND(IF(metadata!N68="",FALSE,TRUE),OR(exact(metadata!N68,"missing: not collected"),exact(metadata!N68,"missing: not provided"),exact(metadata!N68,"missing: restricted access"))),AND(IF(metadata!N68="",FALSE,TRUE),OR(exact(metadata!N68,"TRUE"),exact(metadata!N68,"FALSE"))))</f>
        <v>0</v>
      </c>
      <c r="AO68">
        <f>IF(metadata!O68="",FALSE,TRUE)</f>
        <v>0</v>
      </c>
      <c r="AP68">
        <f>OR(AND(IF(metadata!P68="",FALSE,TRUE),OR(exact(metadata!P68,"missing: not collected"),exact(metadata!P68,"missing: not provided"))),AND(IF(metadata!P68="",FALSE,IF(ISERROR(INT(metadata!P68)),FALSE,INT(metadata!P68)=metadata!P68)),metadata!P68&gt;0))</f>
        <v>0</v>
      </c>
      <c r="AQ68">
        <f>IF(metadata!Q68="",FALSE,TRUE)</f>
        <v>0</v>
      </c>
    </row>
    <row r="69" spans="1:43">
      <c r="A69" s="5">
        <f>IF(B69=" "," ",HYPERLINK(CONCATENATE("#metadata!",ADDRESS(INDEX($W$2:$W$1001,MATCH(ROWS($U$2:U69),$U$2:$U$1001,0),0),1)),INDEX($Z$2:$Z$1001,MATCH(ROWS($U$2:U69),$U$2:$U$1001,0),0)))</f>
        <v>0</v>
      </c>
      <c r="B69" s="4">
        <f>IF(OR(INDEX($V$2:$V$1001,MATCH(ROWS($U$2:U69),$U$2:$U$1001,0),1)&gt;=100000,INDEX($AB$1005:$AQ$1005,1,MATCH(COLUMNS($AB$1006:AB1006),$AB$1006:$AQ$1006,0))&gt;=100000), " ",IF(INDEX($AB$2:$AQ$1001,MATCH(ROWS($U$2:U69),$U$2:$U$1001,0),MATCH(COLUMNS($AB$1006:AB1006),$AB$1006:$AQ$1006,0)), HYPERLINK("#",""), HYPERLINK(CONCATENATE("#metadata!", ADDRESS(INDEX($W$2:$W$1001,MATCH(ROWS($U$2:U69),$U$2:$U$1001,0),0), INDEX($AB$1004:$AQ$1004,1,MATCH(COLUMNS($AB$1006:AB1006),$AB$1006:$AQ$1006,0)))),"Fix")))</f>
        <v>0</v>
      </c>
      <c r="C69" s="4">
        <f>IF(OR(INDEX($V$2:$V$1001,MATCH(ROWS($U$2:U69),$U$2:$U$1001,0),1)&gt;=100000,INDEX($AB$1005:$AQ$1005,1,MATCH(COLUMNS($AB$1006:AC1006),$AB$1006:$AQ$1006,0))&gt;=100000), " ",IF(INDEX($AB$2:$AQ$1001,MATCH(ROWS($U$2:U69),$U$2:$U$1001,0),MATCH(COLUMNS($AB$1006:AC1006),$AB$1006:$AQ$1006,0)), HYPERLINK("#",""), HYPERLINK(CONCATENATE("#metadata!", ADDRESS(INDEX($W$2:$W$1001,MATCH(ROWS($U$2:U69),$U$2:$U$1001,0),0), INDEX($AB$1004:$AQ$1004,1,MATCH(COLUMNS($AB$1006:AC1006),$AB$1006:$AQ$1006,0)))),"Fix")))</f>
        <v>0</v>
      </c>
      <c r="D69" s="4">
        <f>IF(OR(INDEX($V$2:$V$1001,MATCH(ROWS($U$2:U69),$U$2:$U$1001,0),1)&gt;=100000,INDEX($AB$1005:$AQ$1005,1,MATCH(COLUMNS($AB$1006:AD1006),$AB$1006:$AQ$1006,0))&gt;=100000), " ",IF(INDEX($AB$2:$AQ$1001,MATCH(ROWS($U$2:U69),$U$2:$U$1001,0),MATCH(COLUMNS($AB$1006:AD1006),$AB$1006:$AQ$1006,0)), HYPERLINK("#",""), HYPERLINK(CONCATENATE("#metadata!", ADDRESS(INDEX($W$2:$W$1001,MATCH(ROWS($U$2:U69),$U$2:$U$1001,0),0), INDEX($AB$1004:$AQ$1004,1,MATCH(COLUMNS($AB$1006:AD1006),$AB$1006:$AQ$1006,0)))),"Fix")))</f>
        <v>0</v>
      </c>
      <c r="E69" s="4">
        <f>IF(OR(INDEX($V$2:$V$1001,MATCH(ROWS($U$2:U69),$U$2:$U$1001,0),1)&gt;=100000,INDEX($AB$1005:$AQ$1005,1,MATCH(COLUMNS($AB$1006:AE1006),$AB$1006:$AQ$1006,0))&gt;=100000), " ",IF(INDEX($AB$2:$AQ$1001,MATCH(ROWS($U$2:U69),$U$2:$U$1001,0),MATCH(COLUMNS($AB$1006:AE1006),$AB$1006:$AQ$1006,0)), HYPERLINK("#",""), HYPERLINK(CONCATENATE("#metadata!", ADDRESS(INDEX($W$2:$W$1001,MATCH(ROWS($U$2:U69),$U$2:$U$1001,0),0), INDEX($AB$1004:$AQ$1004,1,MATCH(COLUMNS($AB$1006:AE1006),$AB$1006:$AQ$1006,0)))),"Fix")))</f>
        <v>0</v>
      </c>
      <c r="F69" s="4">
        <f>IF(OR(INDEX($V$2:$V$1001,MATCH(ROWS($U$2:U69),$U$2:$U$1001,0),1)&gt;=100000,INDEX($AB$1005:$AQ$1005,1,MATCH(COLUMNS($AB$1006:AF1006),$AB$1006:$AQ$1006,0))&gt;=100000), " ",IF(INDEX($AB$2:$AQ$1001,MATCH(ROWS($U$2:U69),$U$2:$U$1001,0),MATCH(COLUMNS($AB$1006:AF1006),$AB$1006:$AQ$1006,0)), HYPERLINK("#",""), HYPERLINK(CONCATENATE("#metadata!", ADDRESS(INDEX($W$2:$W$1001,MATCH(ROWS($U$2:U69),$U$2:$U$1001,0),0), INDEX($AB$1004:$AQ$1004,1,MATCH(COLUMNS($AB$1006:AF1006),$AB$1006:$AQ$1006,0)))),"Fix")))</f>
        <v>0</v>
      </c>
      <c r="G69" s="4">
        <f>IF(OR(INDEX($V$2:$V$1001,MATCH(ROWS($U$2:U69),$U$2:$U$1001,0),1)&gt;=100000,INDEX($AB$1005:$AQ$1005,1,MATCH(COLUMNS($AB$1006:AG1006),$AB$1006:$AQ$1006,0))&gt;=100000), " ",IF(INDEX($AB$2:$AQ$1001,MATCH(ROWS($U$2:U69),$U$2:$U$1001,0),MATCH(COLUMNS($AB$1006:AG1006),$AB$1006:$AQ$1006,0)), HYPERLINK("#",""), HYPERLINK(CONCATENATE("#metadata!", ADDRESS(INDEX($W$2:$W$1001,MATCH(ROWS($U$2:U69),$U$2:$U$1001,0),0), INDEX($AB$1004:$AQ$1004,1,MATCH(COLUMNS($AB$1006:AG1006),$AB$1006:$AQ$1006,0)))),"Fix")))</f>
        <v>0</v>
      </c>
      <c r="H69" s="4">
        <f>IF(OR(INDEX($V$2:$V$1001,MATCH(ROWS($U$2:U69),$U$2:$U$1001,0),1)&gt;=100000,INDEX($AB$1005:$AQ$1005,1,MATCH(COLUMNS($AB$1006:AH1006),$AB$1006:$AQ$1006,0))&gt;=100000), " ",IF(INDEX($AB$2:$AQ$1001,MATCH(ROWS($U$2:U69),$U$2:$U$1001,0),MATCH(COLUMNS($AB$1006:AH1006),$AB$1006:$AQ$1006,0)), HYPERLINK("#",""), HYPERLINK(CONCATENATE("#metadata!", ADDRESS(INDEX($W$2:$W$1001,MATCH(ROWS($U$2:U69),$U$2:$U$1001,0),0), INDEX($AB$1004:$AQ$1004,1,MATCH(COLUMNS($AB$1006:AH1006),$AB$1006:$AQ$1006,0)))),"Fix")))</f>
        <v>0</v>
      </c>
      <c r="I69" s="4">
        <f>IF(OR(INDEX($V$2:$V$1001,MATCH(ROWS($U$2:U69),$U$2:$U$1001,0),1)&gt;=100000,INDEX($AB$1005:$AQ$1005,1,MATCH(COLUMNS($AB$1006:AI1006),$AB$1006:$AQ$1006,0))&gt;=100000), " ",IF(INDEX($AB$2:$AQ$1001,MATCH(ROWS($U$2:U69),$U$2:$U$1001,0),MATCH(COLUMNS($AB$1006:AI1006),$AB$1006:$AQ$1006,0)), HYPERLINK("#",""), HYPERLINK(CONCATENATE("#metadata!", ADDRESS(INDEX($W$2:$W$1001,MATCH(ROWS($U$2:U69),$U$2:$U$1001,0),0), INDEX($AB$1004:$AQ$1004,1,MATCH(COLUMNS($AB$1006:AI1006),$AB$1006:$AQ$1006,0)))),"Fix")))</f>
        <v>0</v>
      </c>
      <c r="J69" s="4">
        <f>IF(OR(INDEX($V$2:$V$1001,MATCH(ROWS($U$2:U69),$U$2:$U$1001,0),1)&gt;=100000,INDEX($AB$1005:$AQ$1005,1,MATCH(COLUMNS($AB$1006:AJ1006),$AB$1006:$AQ$1006,0))&gt;=100000), " ",IF(INDEX($AB$2:$AQ$1001,MATCH(ROWS($U$2:U69),$U$2:$U$1001,0),MATCH(COLUMNS($AB$1006:AJ1006),$AB$1006:$AQ$1006,0)), HYPERLINK("#",""), HYPERLINK(CONCATENATE("#metadata!", ADDRESS(INDEX($W$2:$W$1001,MATCH(ROWS($U$2:U69),$U$2:$U$1001,0),0), INDEX($AB$1004:$AQ$1004,1,MATCH(COLUMNS($AB$1006:AJ1006),$AB$1006:$AQ$1006,0)))),"Fix")))</f>
        <v>0</v>
      </c>
      <c r="K69" s="4">
        <f>IF(OR(INDEX($V$2:$V$1001,MATCH(ROWS($U$2:U69),$U$2:$U$1001,0),1)&gt;=100000,INDEX($AB$1005:$AQ$1005,1,MATCH(COLUMNS($AB$1006:AK1006),$AB$1006:$AQ$1006,0))&gt;=100000), " ",IF(INDEX($AB$2:$AQ$1001,MATCH(ROWS($U$2:U69),$U$2:$U$1001,0),MATCH(COLUMNS($AB$1006:AK1006),$AB$1006:$AQ$1006,0)), HYPERLINK("#",""), HYPERLINK(CONCATENATE("#metadata!", ADDRESS(INDEX($W$2:$W$1001,MATCH(ROWS($U$2:U69),$U$2:$U$1001,0),0), INDEX($AB$1004:$AQ$1004,1,MATCH(COLUMNS($AB$1006:AK1006),$AB$1006:$AQ$1006,0)))),"Fix")))</f>
        <v>0</v>
      </c>
      <c r="L69" s="4">
        <f>IF(OR(INDEX($V$2:$V$1001,MATCH(ROWS($U$2:U69),$U$2:$U$1001,0),1)&gt;=100000,INDEX($AB$1005:$AQ$1005,1,MATCH(COLUMNS($AB$1006:AL1006),$AB$1006:$AQ$1006,0))&gt;=100000), " ",IF(INDEX($AB$2:$AQ$1001,MATCH(ROWS($U$2:U69),$U$2:$U$1001,0),MATCH(COLUMNS($AB$1006:AL1006),$AB$1006:$AQ$1006,0)), HYPERLINK("#",""), HYPERLINK(CONCATENATE("#metadata!", ADDRESS(INDEX($W$2:$W$1001,MATCH(ROWS($U$2:U69),$U$2:$U$1001,0),0), INDEX($AB$1004:$AQ$1004,1,MATCH(COLUMNS($AB$1006:AL1006),$AB$1006:$AQ$1006,0)))),"Fix")))</f>
        <v>0</v>
      </c>
      <c r="M69" s="4">
        <f>IF(OR(INDEX($V$2:$V$1001,MATCH(ROWS($U$2:U69),$U$2:$U$1001,0),1)&gt;=100000,INDEX($AB$1005:$AQ$1005,1,MATCH(COLUMNS($AB$1006:AM1006),$AB$1006:$AQ$1006,0))&gt;=100000), " ",IF(INDEX($AB$2:$AQ$1001,MATCH(ROWS($U$2:U69),$U$2:$U$1001,0),MATCH(COLUMNS($AB$1006:AM1006),$AB$1006:$AQ$1006,0)), HYPERLINK("#",""), HYPERLINK(CONCATENATE("#metadata!", ADDRESS(INDEX($W$2:$W$1001,MATCH(ROWS($U$2:U69),$U$2:$U$1001,0),0), INDEX($AB$1004:$AQ$1004,1,MATCH(COLUMNS($AB$1006:AM1006),$AB$1006:$AQ$1006,0)))),"Fix")))</f>
        <v>0</v>
      </c>
      <c r="N69" s="4">
        <f>IF(OR(INDEX($V$2:$V$1001,MATCH(ROWS($U$2:U69),$U$2:$U$1001,0),1)&gt;=100000,INDEX($AB$1005:$AQ$1005,1,MATCH(COLUMNS($AB$1006:AN1006),$AB$1006:$AQ$1006,0))&gt;=100000), " ",IF(INDEX($AB$2:$AQ$1001,MATCH(ROWS($U$2:U69),$U$2:$U$1001,0),MATCH(COLUMNS($AB$1006:AN1006),$AB$1006:$AQ$1006,0)), HYPERLINK("#",""), HYPERLINK(CONCATENATE("#metadata!", ADDRESS(INDEX($W$2:$W$1001,MATCH(ROWS($U$2:U69),$U$2:$U$1001,0),0), INDEX($AB$1004:$AQ$1004,1,MATCH(COLUMNS($AB$1006:AN1006),$AB$1006:$AQ$1006,0)))),"Fix")))</f>
        <v>0</v>
      </c>
      <c r="O69" s="4">
        <f>IF(OR(INDEX($V$2:$V$1001,MATCH(ROWS($U$2:U69),$U$2:$U$1001,0),1)&gt;=100000,INDEX($AB$1005:$AQ$1005,1,MATCH(COLUMNS($AB$1006:AO1006),$AB$1006:$AQ$1006,0))&gt;=100000), " ",IF(INDEX($AB$2:$AQ$1001,MATCH(ROWS($U$2:U69),$U$2:$U$1001,0),MATCH(COLUMNS($AB$1006:AO1006),$AB$1006:$AQ$1006,0)), HYPERLINK("#",""), HYPERLINK(CONCATENATE("#metadata!", ADDRESS(INDEX($W$2:$W$1001,MATCH(ROWS($U$2:U69),$U$2:$U$1001,0),0), INDEX($AB$1004:$AQ$1004,1,MATCH(COLUMNS($AB$1006:AO1006),$AB$1006:$AQ$1006,0)))),"Fix")))</f>
        <v>0</v>
      </c>
      <c r="P69" s="4">
        <f>IF(OR(INDEX($V$2:$V$1001,MATCH(ROWS($U$2:U69),$U$2:$U$1001,0),1)&gt;=100000,INDEX($AB$1005:$AQ$1005,1,MATCH(COLUMNS($AB$1006:AP1006),$AB$1006:$AQ$1006,0))&gt;=100000), " ",IF(INDEX($AB$2:$AQ$1001,MATCH(ROWS($U$2:U69),$U$2:$U$1001,0),MATCH(COLUMNS($AB$1006:AP1006),$AB$1006:$AQ$1006,0)), HYPERLINK("#",""), HYPERLINK(CONCATENATE("#metadata!", ADDRESS(INDEX($W$2:$W$1001,MATCH(ROWS($U$2:U69),$U$2:$U$1001,0),0), INDEX($AB$1004:$AQ$1004,1,MATCH(COLUMNS($AB$1006:AP1006),$AB$1006:$AQ$1006,0)))),"Fix")))</f>
        <v>0</v>
      </c>
      <c r="Q69" s="4">
        <f>IF(OR(INDEX($V$2:$V$1001,MATCH(ROWS($U$2:U69),$U$2:$U$1001,0),1)&gt;=100000,INDEX($AB$1005:$AQ$1005,1,MATCH(COLUMNS($AB$1006:AQ1006),$AB$1006:$AQ$1006,0))&gt;=100000), " ",IF(INDEX($AB$2:$AQ$1001,MATCH(ROWS($U$2:U69),$U$2:$U$1001,0),MATCH(COLUMNS($AB$1006:AQ1006),$AB$1006:$AQ$1006,0)), HYPERLINK("#",""), HYPERLINK(CONCATENATE("#metadata!", ADDRESS(INDEX($W$2:$W$1001,MATCH(ROWS($U$2:U69),$U$2:$U$1001,0),0), INDEX($AB$1004:$AQ$1004,1,MATCH(COLUMNS($AB$1006:AQ1006),$AB$1006:$AQ$1006,0)))),"Fix")))</f>
        <v>0</v>
      </c>
      <c r="U69">
        <v>0</v>
      </c>
      <c r="V69">
        <v>0</v>
      </c>
      <c r="W69">
        <v>0</v>
      </c>
      <c r="X69">
        <f>IF(Y69,TRUE,AND(AB69:AQ69))</f>
        <v>0</v>
      </c>
      <c r="Y69">
        <f>COUNTBLANK(metadata!B69:Q69)=COLUMNS(metadata!B69:Q69)</f>
        <v>0</v>
      </c>
      <c r="Z69">
        <v>0</v>
      </c>
      <c r="AB69">
        <f>AND(IF(metadata!B69="",FALSE,TRUE),COUNTIF(metadata!B:B, metadata!B69) = 1,NOT(ISERROR(SUMPRODUCT(SEARCH(MID(metadata!B69,ROW(INDIRECT("1:"&amp;LEN(metadata!B69))), 1),"0123456789abcdefghijklmnopqrstuvwxyzABCDEFGHIJKLMNOPQRSTUVWXYZ.")))))</f>
        <v>0</v>
      </c>
      <c r="AC69">
        <f>OR(AND(IF(metadata!C69="",FALSE,TRUE),OR(exact(metadata!C69,"missing: not collected"),exact(metadata!C69,"missing: not provided"),exact(metadata!C69,"missing: restricted access"))),AND(IF(metadata!C69="",FALSE,TRUE),AND(AND(IFERROR(INT(LEFT(metadata!C69,4))&gt;1900,FALSE),IFERROR(INT(LEFT(metadata!C69,4))&lt;=YEAR(NOW()),FALSE)), OR(MID(metadata!C69,5,1)="", AND(AND(MID(metadata!C69,5,1)="-",IFERROR(INT(MID(metadata!C69,6,1))&gt;=0,FALSE),IFERROR(INT(MID(metadata!C69,6,1))&lt;=1,FALSE),NOT(MID(metadata!C69,7,1)=""),IFERROR(INT(MID(metadata!C69,6,2))&gt;=1,FALSE),IFERROR(INT(MID(metadata!C69,6,2))&lt;=12,FALSE)), OR(MID(metadata!C69,8,1)="", AND(AND(MID(metadata!C69,8,1)="-",IFERROR(INT(MID(metadata!C69,9,1))&gt;=0,FALSE),IFERROR(INT(MID(metadata!C69,9,1))&lt;=3,FALSE),NOT(MID(metadata!C69,10,1)=""),IFERROR(INT(MID(metadata!C69,9,2))&gt;=1,FALSE),IFERROR(INT(MID(metadata!C69,9,2))&lt;=31,FALSE)), OR(MID(metadata!C69,11,1)="", AND(AND(MID(metadata!C69,11,1)=" ",IFERROR(INT(MID(metadata!C69,12,1))&gt;=0,FALSE),IFERROR(INT(MID(metadata!C69,12,1))&lt;=2,FALSE),NOT(MID(metadata!C69,13,1)=""),IFERROR(INT(MID(metadata!C69,12,2))&gt;=0,FALSE),IFERROR(INT(MID(metadata!C69,12,2))&lt;=23,FALSE)), OR(MID(metadata!C69,14,1)="", AND(AND(MID(metadata!C69,14,1)=":",IFERROR(INT(MID(metadata!C69,15,1))&gt;=0,FALSE),IFERROR(INT(MID(metadata!C69,15,1))&lt;=5,FALSE),NOT(MID(metadata!C69,16,1)=""),IFERROR(INT(MID(metadata!C69,15,2))&gt;=0,FALSE),IFERROR(INT(MID(metadata!C69,15,2))&lt;=59,FALSE)), OR(MID(metadata!C69,17,1)="", AND(AND(MID(metadata!C69,17,1)=":",IFERROR(INT(MID(metadata!C69,18,1))&gt;=0,FALSE),IFERROR(INT(MID(metadata!C69,18,1))&lt;=5,FALSE),NOT(MID(metadata!C69,19,1)=""),IFERROR(INT(MID(metadata!C69,18,2))&gt;=0,FALSE),IFERROR(INT(MID(metadata!C69,18,2))&lt;=59,FALSE)), LEN(metadata!C69)&lt;=19)))))))))))))</f>
        <v>0</v>
      </c>
      <c r="AD69">
        <f>IF(metadata!D69="",FALSE,TRUE)</f>
        <v>0</v>
      </c>
      <c r="AE69">
        <f>OR(AND(IF(metadata!E69="",FALSE,TRUE),OR(exact(metadata!E69,"missing: not collected"),exact(metadata!E69,"missing: not provided"))),AND(IF(metadata!E69="",FALSE,TRUE),OR(exact(metadata!E69,"TRUE"),exact(metadata!E69,"FALSE"))))</f>
        <v>0</v>
      </c>
      <c r="AF69">
        <f>IF(metadata!F69="",FALSE,TRUE)</f>
        <v>0</v>
      </c>
      <c r="AG69">
        <f>IF(metadata!G69="",FALSE,TRUE)</f>
        <v>0</v>
      </c>
      <c r="AH69">
        <f>IF(metadata!H69="",FALSE,TRUE)</f>
        <v>0</v>
      </c>
      <c r="AI69">
        <f>OR(AND(IF(metadata!I69="",FALSE,TRUE),OR(exact(metadata!I69,"missing: not collected"),exact(metadata!I69,"missing: not provided"),exact(metadata!I69,"missing: restricted access"))),AND(IF(metadata!I69="",FALSE,TRUE),OR(exact(metadata!I69,"air"),exact(metadata!I69,"built environment"),exact(metadata!I69,"host-associated"),exact(metadata!I69,"human-associated"),exact(metadata!I69,"human-skin"),exact(metadata!I69,"human-oral"),exact(metadata!I69,"human-gut"),exact(metadata!I69,"human-vaginal"),exact(metadata!I69,"microbial mat/biofilm"),exact(metadata!I69,"misc environment"),exact(metadata!I69,"plant-associated"),exact(metadata!I69,"sediment"),exact(metadata!I69,"soil"),exact(metadata!I69,"wastewater/sludge"),exact(metadata!I69,"water"))))</f>
        <v>0</v>
      </c>
      <c r="AJ69">
        <f>IF(metadata!J69="",FALSE,TRUE)</f>
        <v>0</v>
      </c>
      <c r="AK69">
        <f>OR(AND(IF(metadata!K69="",FALSE,TRUE),OR(exact(metadata!K69,"missing: not collected"),exact(metadata!K69,"missing: not provided"),exact(metadata!K69,"missing: restricted access"))),AND(IF(metadata!K69="",FALSE,ISNUMBER(VALUE(metadata!K69))),metadata!K69&gt;=-90.00,metadata!K69&lt;=90.00))</f>
        <v>0</v>
      </c>
      <c r="AL69">
        <f>OR(AND(IF(metadata!L69="",FALSE,TRUE),OR(exact(metadata!L69,"missing: not collected"),exact(metadata!L69,"missing: not provided"),exact(metadata!L69,"missing: restricted access"))),AND(IF(metadata!L69="",FALSE,ISNUMBER(VALUE(metadata!L69))),metadata!L69&gt;=-180.00,metadata!L69&lt;=180.00))</f>
        <v>0</v>
      </c>
      <c r="AM69">
        <f>IF(metadata!M69="",FALSE,TRUE)</f>
        <v>0</v>
      </c>
      <c r="AN69">
        <f>OR(AND(IF(metadata!N69="",FALSE,TRUE),OR(exact(metadata!N69,"missing: not collected"),exact(metadata!N69,"missing: not provided"),exact(metadata!N69,"missing: restricted access"))),AND(IF(metadata!N69="",FALSE,TRUE),OR(exact(metadata!N69,"TRUE"),exact(metadata!N69,"FALSE"))))</f>
        <v>0</v>
      </c>
      <c r="AO69">
        <f>IF(metadata!O69="",FALSE,TRUE)</f>
        <v>0</v>
      </c>
      <c r="AP69">
        <f>OR(AND(IF(metadata!P69="",FALSE,TRUE),OR(exact(metadata!P69,"missing: not collected"),exact(metadata!P69,"missing: not provided"))),AND(IF(metadata!P69="",FALSE,IF(ISERROR(INT(metadata!P69)),FALSE,INT(metadata!P69)=metadata!P69)),metadata!P69&gt;0))</f>
        <v>0</v>
      </c>
      <c r="AQ69">
        <f>IF(metadata!Q69="",FALSE,TRUE)</f>
        <v>0</v>
      </c>
    </row>
    <row r="70" spans="1:43">
      <c r="A70" s="5">
        <f>IF(B70=" "," ",HYPERLINK(CONCATENATE("#metadata!",ADDRESS(INDEX($W$2:$W$1001,MATCH(ROWS($U$2:U70),$U$2:$U$1001,0),0),1)),INDEX($Z$2:$Z$1001,MATCH(ROWS($U$2:U70),$U$2:$U$1001,0),0)))</f>
        <v>0</v>
      </c>
      <c r="B70" s="4">
        <f>IF(OR(INDEX($V$2:$V$1001,MATCH(ROWS($U$2:U70),$U$2:$U$1001,0),1)&gt;=100000,INDEX($AB$1005:$AQ$1005,1,MATCH(COLUMNS($AB$1006:AB1006),$AB$1006:$AQ$1006,0))&gt;=100000), " ",IF(INDEX($AB$2:$AQ$1001,MATCH(ROWS($U$2:U70),$U$2:$U$1001,0),MATCH(COLUMNS($AB$1006:AB1006),$AB$1006:$AQ$1006,0)), HYPERLINK("#",""), HYPERLINK(CONCATENATE("#metadata!", ADDRESS(INDEX($W$2:$W$1001,MATCH(ROWS($U$2:U70),$U$2:$U$1001,0),0), INDEX($AB$1004:$AQ$1004,1,MATCH(COLUMNS($AB$1006:AB1006),$AB$1006:$AQ$1006,0)))),"Fix")))</f>
        <v>0</v>
      </c>
      <c r="C70" s="4">
        <f>IF(OR(INDEX($V$2:$V$1001,MATCH(ROWS($U$2:U70),$U$2:$U$1001,0),1)&gt;=100000,INDEX($AB$1005:$AQ$1005,1,MATCH(COLUMNS($AB$1006:AC1006),$AB$1006:$AQ$1006,0))&gt;=100000), " ",IF(INDEX($AB$2:$AQ$1001,MATCH(ROWS($U$2:U70),$U$2:$U$1001,0),MATCH(COLUMNS($AB$1006:AC1006),$AB$1006:$AQ$1006,0)), HYPERLINK("#",""), HYPERLINK(CONCATENATE("#metadata!", ADDRESS(INDEX($W$2:$W$1001,MATCH(ROWS($U$2:U70),$U$2:$U$1001,0),0), INDEX($AB$1004:$AQ$1004,1,MATCH(COLUMNS($AB$1006:AC1006),$AB$1006:$AQ$1006,0)))),"Fix")))</f>
        <v>0</v>
      </c>
      <c r="D70" s="4">
        <f>IF(OR(INDEX($V$2:$V$1001,MATCH(ROWS($U$2:U70),$U$2:$U$1001,0),1)&gt;=100000,INDEX($AB$1005:$AQ$1005,1,MATCH(COLUMNS($AB$1006:AD1006),$AB$1006:$AQ$1006,0))&gt;=100000), " ",IF(INDEX($AB$2:$AQ$1001,MATCH(ROWS($U$2:U70),$U$2:$U$1001,0),MATCH(COLUMNS($AB$1006:AD1006),$AB$1006:$AQ$1006,0)), HYPERLINK("#",""), HYPERLINK(CONCATENATE("#metadata!", ADDRESS(INDEX($W$2:$W$1001,MATCH(ROWS($U$2:U70),$U$2:$U$1001,0),0), INDEX($AB$1004:$AQ$1004,1,MATCH(COLUMNS($AB$1006:AD1006),$AB$1006:$AQ$1006,0)))),"Fix")))</f>
        <v>0</v>
      </c>
      <c r="E70" s="4">
        <f>IF(OR(INDEX($V$2:$V$1001,MATCH(ROWS($U$2:U70),$U$2:$U$1001,0),1)&gt;=100000,INDEX($AB$1005:$AQ$1005,1,MATCH(COLUMNS($AB$1006:AE1006),$AB$1006:$AQ$1006,0))&gt;=100000), " ",IF(INDEX($AB$2:$AQ$1001,MATCH(ROWS($U$2:U70),$U$2:$U$1001,0),MATCH(COLUMNS($AB$1006:AE1006),$AB$1006:$AQ$1006,0)), HYPERLINK("#",""), HYPERLINK(CONCATENATE("#metadata!", ADDRESS(INDEX($W$2:$W$1001,MATCH(ROWS($U$2:U70),$U$2:$U$1001,0),0), INDEX($AB$1004:$AQ$1004,1,MATCH(COLUMNS($AB$1006:AE1006),$AB$1006:$AQ$1006,0)))),"Fix")))</f>
        <v>0</v>
      </c>
      <c r="F70" s="4">
        <f>IF(OR(INDEX($V$2:$V$1001,MATCH(ROWS($U$2:U70),$U$2:$U$1001,0),1)&gt;=100000,INDEX($AB$1005:$AQ$1005,1,MATCH(COLUMNS($AB$1006:AF1006),$AB$1006:$AQ$1006,0))&gt;=100000), " ",IF(INDEX($AB$2:$AQ$1001,MATCH(ROWS($U$2:U70),$U$2:$U$1001,0),MATCH(COLUMNS($AB$1006:AF1006),$AB$1006:$AQ$1006,0)), HYPERLINK("#",""), HYPERLINK(CONCATENATE("#metadata!", ADDRESS(INDEX($W$2:$W$1001,MATCH(ROWS($U$2:U70),$U$2:$U$1001,0),0), INDEX($AB$1004:$AQ$1004,1,MATCH(COLUMNS($AB$1006:AF1006),$AB$1006:$AQ$1006,0)))),"Fix")))</f>
        <v>0</v>
      </c>
      <c r="G70" s="4">
        <f>IF(OR(INDEX($V$2:$V$1001,MATCH(ROWS($U$2:U70),$U$2:$U$1001,0),1)&gt;=100000,INDEX($AB$1005:$AQ$1005,1,MATCH(COLUMNS($AB$1006:AG1006),$AB$1006:$AQ$1006,0))&gt;=100000), " ",IF(INDEX($AB$2:$AQ$1001,MATCH(ROWS($U$2:U70),$U$2:$U$1001,0),MATCH(COLUMNS($AB$1006:AG1006),$AB$1006:$AQ$1006,0)), HYPERLINK("#",""), HYPERLINK(CONCATENATE("#metadata!", ADDRESS(INDEX($W$2:$W$1001,MATCH(ROWS($U$2:U70),$U$2:$U$1001,0),0), INDEX($AB$1004:$AQ$1004,1,MATCH(COLUMNS($AB$1006:AG1006),$AB$1006:$AQ$1006,0)))),"Fix")))</f>
        <v>0</v>
      </c>
      <c r="H70" s="4">
        <f>IF(OR(INDEX($V$2:$V$1001,MATCH(ROWS($U$2:U70),$U$2:$U$1001,0),1)&gt;=100000,INDEX($AB$1005:$AQ$1005,1,MATCH(COLUMNS($AB$1006:AH1006),$AB$1006:$AQ$1006,0))&gt;=100000), " ",IF(INDEX($AB$2:$AQ$1001,MATCH(ROWS($U$2:U70),$U$2:$U$1001,0),MATCH(COLUMNS($AB$1006:AH1006),$AB$1006:$AQ$1006,0)), HYPERLINK("#",""), HYPERLINK(CONCATENATE("#metadata!", ADDRESS(INDEX($W$2:$W$1001,MATCH(ROWS($U$2:U70),$U$2:$U$1001,0),0), INDEX($AB$1004:$AQ$1004,1,MATCH(COLUMNS($AB$1006:AH1006),$AB$1006:$AQ$1006,0)))),"Fix")))</f>
        <v>0</v>
      </c>
      <c r="I70" s="4">
        <f>IF(OR(INDEX($V$2:$V$1001,MATCH(ROWS($U$2:U70),$U$2:$U$1001,0),1)&gt;=100000,INDEX($AB$1005:$AQ$1005,1,MATCH(COLUMNS($AB$1006:AI1006),$AB$1006:$AQ$1006,0))&gt;=100000), " ",IF(INDEX($AB$2:$AQ$1001,MATCH(ROWS($U$2:U70),$U$2:$U$1001,0),MATCH(COLUMNS($AB$1006:AI1006),$AB$1006:$AQ$1006,0)), HYPERLINK("#",""), HYPERLINK(CONCATENATE("#metadata!", ADDRESS(INDEX($W$2:$W$1001,MATCH(ROWS($U$2:U70),$U$2:$U$1001,0),0), INDEX($AB$1004:$AQ$1004,1,MATCH(COLUMNS($AB$1006:AI1006),$AB$1006:$AQ$1006,0)))),"Fix")))</f>
        <v>0</v>
      </c>
      <c r="J70" s="4">
        <f>IF(OR(INDEX($V$2:$V$1001,MATCH(ROWS($U$2:U70),$U$2:$U$1001,0),1)&gt;=100000,INDEX($AB$1005:$AQ$1005,1,MATCH(COLUMNS($AB$1006:AJ1006),$AB$1006:$AQ$1006,0))&gt;=100000), " ",IF(INDEX($AB$2:$AQ$1001,MATCH(ROWS($U$2:U70),$U$2:$U$1001,0),MATCH(COLUMNS($AB$1006:AJ1006),$AB$1006:$AQ$1006,0)), HYPERLINK("#",""), HYPERLINK(CONCATENATE("#metadata!", ADDRESS(INDEX($W$2:$W$1001,MATCH(ROWS($U$2:U70),$U$2:$U$1001,0),0), INDEX($AB$1004:$AQ$1004,1,MATCH(COLUMNS($AB$1006:AJ1006),$AB$1006:$AQ$1006,0)))),"Fix")))</f>
        <v>0</v>
      </c>
      <c r="K70" s="4">
        <f>IF(OR(INDEX($V$2:$V$1001,MATCH(ROWS($U$2:U70),$U$2:$U$1001,0),1)&gt;=100000,INDEX($AB$1005:$AQ$1005,1,MATCH(COLUMNS($AB$1006:AK1006),$AB$1006:$AQ$1006,0))&gt;=100000), " ",IF(INDEX($AB$2:$AQ$1001,MATCH(ROWS($U$2:U70),$U$2:$U$1001,0),MATCH(COLUMNS($AB$1006:AK1006),$AB$1006:$AQ$1006,0)), HYPERLINK("#",""), HYPERLINK(CONCATENATE("#metadata!", ADDRESS(INDEX($W$2:$W$1001,MATCH(ROWS($U$2:U70),$U$2:$U$1001,0),0), INDEX($AB$1004:$AQ$1004,1,MATCH(COLUMNS($AB$1006:AK1006),$AB$1006:$AQ$1006,0)))),"Fix")))</f>
        <v>0</v>
      </c>
      <c r="L70" s="4">
        <f>IF(OR(INDEX($V$2:$V$1001,MATCH(ROWS($U$2:U70),$U$2:$U$1001,0),1)&gt;=100000,INDEX($AB$1005:$AQ$1005,1,MATCH(COLUMNS($AB$1006:AL1006),$AB$1006:$AQ$1006,0))&gt;=100000), " ",IF(INDEX($AB$2:$AQ$1001,MATCH(ROWS($U$2:U70),$U$2:$U$1001,0),MATCH(COLUMNS($AB$1006:AL1006),$AB$1006:$AQ$1006,0)), HYPERLINK("#",""), HYPERLINK(CONCATENATE("#metadata!", ADDRESS(INDEX($W$2:$W$1001,MATCH(ROWS($U$2:U70),$U$2:$U$1001,0),0), INDEX($AB$1004:$AQ$1004,1,MATCH(COLUMNS($AB$1006:AL1006),$AB$1006:$AQ$1006,0)))),"Fix")))</f>
        <v>0</v>
      </c>
      <c r="M70" s="4">
        <f>IF(OR(INDEX($V$2:$V$1001,MATCH(ROWS($U$2:U70),$U$2:$U$1001,0),1)&gt;=100000,INDEX($AB$1005:$AQ$1005,1,MATCH(COLUMNS($AB$1006:AM1006),$AB$1006:$AQ$1006,0))&gt;=100000), " ",IF(INDEX($AB$2:$AQ$1001,MATCH(ROWS($U$2:U70),$U$2:$U$1001,0),MATCH(COLUMNS($AB$1006:AM1006),$AB$1006:$AQ$1006,0)), HYPERLINK("#",""), HYPERLINK(CONCATENATE("#metadata!", ADDRESS(INDEX($W$2:$W$1001,MATCH(ROWS($U$2:U70),$U$2:$U$1001,0),0), INDEX($AB$1004:$AQ$1004,1,MATCH(COLUMNS($AB$1006:AM1006),$AB$1006:$AQ$1006,0)))),"Fix")))</f>
        <v>0</v>
      </c>
      <c r="N70" s="4">
        <f>IF(OR(INDEX($V$2:$V$1001,MATCH(ROWS($U$2:U70),$U$2:$U$1001,0),1)&gt;=100000,INDEX($AB$1005:$AQ$1005,1,MATCH(COLUMNS($AB$1006:AN1006),$AB$1006:$AQ$1006,0))&gt;=100000), " ",IF(INDEX($AB$2:$AQ$1001,MATCH(ROWS($U$2:U70),$U$2:$U$1001,0),MATCH(COLUMNS($AB$1006:AN1006),$AB$1006:$AQ$1006,0)), HYPERLINK("#",""), HYPERLINK(CONCATENATE("#metadata!", ADDRESS(INDEX($W$2:$W$1001,MATCH(ROWS($U$2:U70),$U$2:$U$1001,0),0), INDEX($AB$1004:$AQ$1004,1,MATCH(COLUMNS($AB$1006:AN1006),$AB$1006:$AQ$1006,0)))),"Fix")))</f>
        <v>0</v>
      </c>
      <c r="O70" s="4">
        <f>IF(OR(INDEX($V$2:$V$1001,MATCH(ROWS($U$2:U70),$U$2:$U$1001,0),1)&gt;=100000,INDEX($AB$1005:$AQ$1005,1,MATCH(COLUMNS($AB$1006:AO1006),$AB$1006:$AQ$1006,0))&gt;=100000), " ",IF(INDEX($AB$2:$AQ$1001,MATCH(ROWS($U$2:U70),$U$2:$U$1001,0),MATCH(COLUMNS($AB$1006:AO1006),$AB$1006:$AQ$1006,0)), HYPERLINK("#",""), HYPERLINK(CONCATENATE("#metadata!", ADDRESS(INDEX($W$2:$W$1001,MATCH(ROWS($U$2:U70),$U$2:$U$1001,0),0), INDEX($AB$1004:$AQ$1004,1,MATCH(COLUMNS($AB$1006:AO1006),$AB$1006:$AQ$1006,0)))),"Fix")))</f>
        <v>0</v>
      </c>
      <c r="P70" s="4">
        <f>IF(OR(INDEX($V$2:$V$1001,MATCH(ROWS($U$2:U70),$U$2:$U$1001,0),1)&gt;=100000,INDEX($AB$1005:$AQ$1005,1,MATCH(COLUMNS($AB$1006:AP1006),$AB$1006:$AQ$1006,0))&gt;=100000), " ",IF(INDEX($AB$2:$AQ$1001,MATCH(ROWS($U$2:U70),$U$2:$U$1001,0),MATCH(COLUMNS($AB$1006:AP1006),$AB$1006:$AQ$1006,0)), HYPERLINK("#",""), HYPERLINK(CONCATENATE("#metadata!", ADDRESS(INDEX($W$2:$W$1001,MATCH(ROWS($U$2:U70),$U$2:$U$1001,0),0), INDEX($AB$1004:$AQ$1004,1,MATCH(COLUMNS($AB$1006:AP1006),$AB$1006:$AQ$1006,0)))),"Fix")))</f>
        <v>0</v>
      </c>
      <c r="Q70" s="4">
        <f>IF(OR(INDEX($V$2:$V$1001,MATCH(ROWS($U$2:U70),$U$2:$U$1001,0),1)&gt;=100000,INDEX($AB$1005:$AQ$1005,1,MATCH(COLUMNS($AB$1006:AQ1006),$AB$1006:$AQ$1006,0))&gt;=100000), " ",IF(INDEX($AB$2:$AQ$1001,MATCH(ROWS($U$2:U70),$U$2:$U$1001,0),MATCH(COLUMNS($AB$1006:AQ1006),$AB$1006:$AQ$1006,0)), HYPERLINK("#",""), HYPERLINK(CONCATENATE("#metadata!", ADDRESS(INDEX($W$2:$W$1001,MATCH(ROWS($U$2:U70),$U$2:$U$1001,0),0), INDEX($AB$1004:$AQ$1004,1,MATCH(COLUMNS($AB$1006:AQ1006),$AB$1006:$AQ$1006,0)))),"Fix")))</f>
        <v>0</v>
      </c>
      <c r="U70">
        <v>0</v>
      </c>
      <c r="V70">
        <v>0</v>
      </c>
      <c r="W70">
        <v>0</v>
      </c>
      <c r="X70">
        <f>IF(Y70,TRUE,AND(AB70:AQ70))</f>
        <v>0</v>
      </c>
      <c r="Y70">
        <f>COUNTBLANK(metadata!B70:Q70)=COLUMNS(metadata!B70:Q70)</f>
        <v>0</v>
      </c>
      <c r="Z70">
        <v>0</v>
      </c>
      <c r="AB70">
        <f>AND(IF(metadata!B70="",FALSE,TRUE),COUNTIF(metadata!B:B, metadata!B70) = 1,NOT(ISERROR(SUMPRODUCT(SEARCH(MID(metadata!B70,ROW(INDIRECT("1:"&amp;LEN(metadata!B70))), 1),"0123456789abcdefghijklmnopqrstuvwxyzABCDEFGHIJKLMNOPQRSTUVWXYZ.")))))</f>
        <v>0</v>
      </c>
      <c r="AC70">
        <f>OR(AND(IF(metadata!C70="",FALSE,TRUE),OR(exact(metadata!C70,"missing: not collected"),exact(metadata!C70,"missing: not provided"),exact(metadata!C70,"missing: restricted access"))),AND(IF(metadata!C70="",FALSE,TRUE),AND(AND(IFERROR(INT(LEFT(metadata!C70,4))&gt;1900,FALSE),IFERROR(INT(LEFT(metadata!C70,4))&lt;=YEAR(NOW()),FALSE)), OR(MID(metadata!C70,5,1)="", AND(AND(MID(metadata!C70,5,1)="-",IFERROR(INT(MID(metadata!C70,6,1))&gt;=0,FALSE),IFERROR(INT(MID(metadata!C70,6,1))&lt;=1,FALSE),NOT(MID(metadata!C70,7,1)=""),IFERROR(INT(MID(metadata!C70,6,2))&gt;=1,FALSE),IFERROR(INT(MID(metadata!C70,6,2))&lt;=12,FALSE)), OR(MID(metadata!C70,8,1)="", AND(AND(MID(metadata!C70,8,1)="-",IFERROR(INT(MID(metadata!C70,9,1))&gt;=0,FALSE),IFERROR(INT(MID(metadata!C70,9,1))&lt;=3,FALSE),NOT(MID(metadata!C70,10,1)=""),IFERROR(INT(MID(metadata!C70,9,2))&gt;=1,FALSE),IFERROR(INT(MID(metadata!C70,9,2))&lt;=31,FALSE)), OR(MID(metadata!C70,11,1)="", AND(AND(MID(metadata!C70,11,1)=" ",IFERROR(INT(MID(metadata!C70,12,1))&gt;=0,FALSE),IFERROR(INT(MID(metadata!C70,12,1))&lt;=2,FALSE),NOT(MID(metadata!C70,13,1)=""),IFERROR(INT(MID(metadata!C70,12,2))&gt;=0,FALSE),IFERROR(INT(MID(metadata!C70,12,2))&lt;=23,FALSE)), OR(MID(metadata!C70,14,1)="", AND(AND(MID(metadata!C70,14,1)=":",IFERROR(INT(MID(metadata!C70,15,1))&gt;=0,FALSE),IFERROR(INT(MID(metadata!C70,15,1))&lt;=5,FALSE),NOT(MID(metadata!C70,16,1)=""),IFERROR(INT(MID(metadata!C70,15,2))&gt;=0,FALSE),IFERROR(INT(MID(metadata!C70,15,2))&lt;=59,FALSE)), OR(MID(metadata!C70,17,1)="", AND(AND(MID(metadata!C70,17,1)=":",IFERROR(INT(MID(metadata!C70,18,1))&gt;=0,FALSE),IFERROR(INT(MID(metadata!C70,18,1))&lt;=5,FALSE),NOT(MID(metadata!C70,19,1)=""),IFERROR(INT(MID(metadata!C70,18,2))&gt;=0,FALSE),IFERROR(INT(MID(metadata!C70,18,2))&lt;=59,FALSE)), LEN(metadata!C70)&lt;=19)))))))))))))</f>
        <v>0</v>
      </c>
      <c r="AD70">
        <f>IF(metadata!D70="",FALSE,TRUE)</f>
        <v>0</v>
      </c>
      <c r="AE70">
        <f>OR(AND(IF(metadata!E70="",FALSE,TRUE),OR(exact(metadata!E70,"missing: not collected"),exact(metadata!E70,"missing: not provided"))),AND(IF(metadata!E70="",FALSE,TRUE),OR(exact(metadata!E70,"TRUE"),exact(metadata!E70,"FALSE"))))</f>
        <v>0</v>
      </c>
      <c r="AF70">
        <f>IF(metadata!F70="",FALSE,TRUE)</f>
        <v>0</v>
      </c>
      <c r="AG70">
        <f>IF(metadata!G70="",FALSE,TRUE)</f>
        <v>0</v>
      </c>
      <c r="AH70">
        <f>IF(metadata!H70="",FALSE,TRUE)</f>
        <v>0</v>
      </c>
      <c r="AI70">
        <f>OR(AND(IF(metadata!I70="",FALSE,TRUE),OR(exact(metadata!I70,"missing: not collected"),exact(metadata!I70,"missing: not provided"),exact(metadata!I70,"missing: restricted access"))),AND(IF(metadata!I70="",FALSE,TRUE),OR(exact(metadata!I70,"air"),exact(metadata!I70,"built environment"),exact(metadata!I70,"host-associated"),exact(metadata!I70,"human-associated"),exact(metadata!I70,"human-skin"),exact(metadata!I70,"human-oral"),exact(metadata!I70,"human-gut"),exact(metadata!I70,"human-vaginal"),exact(metadata!I70,"microbial mat/biofilm"),exact(metadata!I70,"misc environment"),exact(metadata!I70,"plant-associated"),exact(metadata!I70,"sediment"),exact(metadata!I70,"soil"),exact(metadata!I70,"wastewater/sludge"),exact(metadata!I70,"water"))))</f>
        <v>0</v>
      </c>
      <c r="AJ70">
        <f>IF(metadata!J70="",FALSE,TRUE)</f>
        <v>0</v>
      </c>
      <c r="AK70">
        <f>OR(AND(IF(metadata!K70="",FALSE,TRUE),OR(exact(metadata!K70,"missing: not collected"),exact(metadata!K70,"missing: not provided"),exact(metadata!K70,"missing: restricted access"))),AND(IF(metadata!K70="",FALSE,ISNUMBER(VALUE(metadata!K70))),metadata!K70&gt;=-90.00,metadata!K70&lt;=90.00))</f>
        <v>0</v>
      </c>
      <c r="AL70">
        <f>OR(AND(IF(metadata!L70="",FALSE,TRUE),OR(exact(metadata!L70,"missing: not collected"),exact(metadata!L70,"missing: not provided"),exact(metadata!L70,"missing: restricted access"))),AND(IF(metadata!L70="",FALSE,ISNUMBER(VALUE(metadata!L70))),metadata!L70&gt;=-180.00,metadata!L70&lt;=180.00))</f>
        <v>0</v>
      </c>
      <c r="AM70">
        <f>IF(metadata!M70="",FALSE,TRUE)</f>
        <v>0</v>
      </c>
      <c r="AN70">
        <f>OR(AND(IF(metadata!N70="",FALSE,TRUE),OR(exact(metadata!N70,"missing: not collected"),exact(metadata!N70,"missing: not provided"),exact(metadata!N70,"missing: restricted access"))),AND(IF(metadata!N70="",FALSE,TRUE),OR(exact(metadata!N70,"TRUE"),exact(metadata!N70,"FALSE"))))</f>
        <v>0</v>
      </c>
      <c r="AO70">
        <f>IF(metadata!O70="",FALSE,TRUE)</f>
        <v>0</v>
      </c>
      <c r="AP70">
        <f>OR(AND(IF(metadata!P70="",FALSE,TRUE),OR(exact(metadata!P70,"missing: not collected"),exact(metadata!P70,"missing: not provided"))),AND(IF(metadata!P70="",FALSE,IF(ISERROR(INT(metadata!P70)),FALSE,INT(metadata!P70)=metadata!P70)),metadata!P70&gt;0))</f>
        <v>0</v>
      </c>
      <c r="AQ70">
        <f>IF(metadata!Q70="",FALSE,TRUE)</f>
        <v>0</v>
      </c>
    </row>
    <row r="71" spans="1:43">
      <c r="A71" s="5">
        <f>IF(B71=" "," ",HYPERLINK(CONCATENATE("#metadata!",ADDRESS(INDEX($W$2:$W$1001,MATCH(ROWS($U$2:U71),$U$2:$U$1001,0),0),1)),INDEX($Z$2:$Z$1001,MATCH(ROWS($U$2:U71),$U$2:$U$1001,0),0)))</f>
        <v>0</v>
      </c>
      <c r="B71" s="4">
        <f>IF(OR(INDEX($V$2:$V$1001,MATCH(ROWS($U$2:U71),$U$2:$U$1001,0),1)&gt;=100000,INDEX($AB$1005:$AQ$1005,1,MATCH(COLUMNS($AB$1006:AB1006),$AB$1006:$AQ$1006,0))&gt;=100000), " ",IF(INDEX($AB$2:$AQ$1001,MATCH(ROWS($U$2:U71),$U$2:$U$1001,0),MATCH(COLUMNS($AB$1006:AB1006),$AB$1006:$AQ$1006,0)), HYPERLINK("#",""), HYPERLINK(CONCATENATE("#metadata!", ADDRESS(INDEX($W$2:$W$1001,MATCH(ROWS($U$2:U71),$U$2:$U$1001,0),0), INDEX($AB$1004:$AQ$1004,1,MATCH(COLUMNS($AB$1006:AB1006),$AB$1006:$AQ$1006,0)))),"Fix")))</f>
        <v>0</v>
      </c>
      <c r="C71" s="4">
        <f>IF(OR(INDEX($V$2:$V$1001,MATCH(ROWS($U$2:U71),$U$2:$U$1001,0),1)&gt;=100000,INDEX($AB$1005:$AQ$1005,1,MATCH(COLUMNS($AB$1006:AC1006),$AB$1006:$AQ$1006,0))&gt;=100000), " ",IF(INDEX($AB$2:$AQ$1001,MATCH(ROWS($U$2:U71),$U$2:$U$1001,0),MATCH(COLUMNS($AB$1006:AC1006),$AB$1006:$AQ$1006,0)), HYPERLINK("#",""), HYPERLINK(CONCATENATE("#metadata!", ADDRESS(INDEX($W$2:$W$1001,MATCH(ROWS($U$2:U71),$U$2:$U$1001,0),0), INDEX($AB$1004:$AQ$1004,1,MATCH(COLUMNS($AB$1006:AC1006),$AB$1006:$AQ$1006,0)))),"Fix")))</f>
        <v>0</v>
      </c>
      <c r="D71" s="4">
        <f>IF(OR(INDEX($V$2:$V$1001,MATCH(ROWS($U$2:U71),$U$2:$U$1001,0),1)&gt;=100000,INDEX($AB$1005:$AQ$1005,1,MATCH(COLUMNS($AB$1006:AD1006),$AB$1006:$AQ$1006,0))&gt;=100000), " ",IF(INDEX($AB$2:$AQ$1001,MATCH(ROWS($U$2:U71),$U$2:$U$1001,0),MATCH(COLUMNS($AB$1006:AD1006),$AB$1006:$AQ$1006,0)), HYPERLINK("#",""), HYPERLINK(CONCATENATE("#metadata!", ADDRESS(INDEX($W$2:$W$1001,MATCH(ROWS($U$2:U71),$U$2:$U$1001,0),0), INDEX($AB$1004:$AQ$1004,1,MATCH(COLUMNS($AB$1006:AD1006),$AB$1006:$AQ$1006,0)))),"Fix")))</f>
        <v>0</v>
      </c>
      <c r="E71" s="4">
        <f>IF(OR(INDEX($V$2:$V$1001,MATCH(ROWS($U$2:U71),$U$2:$U$1001,0),1)&gt;=100000,INDEX($AB$1005:$AQ$1005,1,MATCH(COLUMNS($AB$1006:AE1006),$AB$1006:$AQ$1006,0))&gt;=100000), " ",IF(INDEX($AB$2:$AQ$1001,MATCH(ROWS($U$2:U71),$U$2:$U$1001,0),MATCH(COLUMNS($AB$1006:AE1006),$AB$1006:$AQ$1006,0)), HYPERLINK("#",""), HYPERLINK(CONCATENATE("#metadata!", ADDRESS(INDEX($W$2:$W$1001,MATCH(ROWS($U$2:U71),$U$2:$U$1001,0),0), INDEX($AB$1004:$AQ$1004,1,MATCH(COLUMNS($AB$1006:AE1006),$AB$1006:$AQ$1006,0)))),"Fix")))</f>
        <v>0</v>
      </c>
      <c r="F71" s="4">
        <f>IF(OR(INDEX($V$2:$V$1001,MATCH(ROWS($U$2:U71),$U$2:$U$1001,0),1)&gt;=100000,INDEX($AB$1005:$AQ$1005,1,MATCH(COLUMNS($AB$1006:AF1006),$AB$1006:$AQ$1006,0))&gt;=100000), " ",IF(INDEX($AB$2:$AQ$1001,MATCH(ROWS($U$2:U71),$U$2:$U$1001,0),MATCH(COLUMNS($AB$1006:AF1006),$AB$1006:$AQ$1006,0)), HYPERLINK("#",""), HYPERLINK(CONCATENATE("#metadata!", ADDRESS(INDEX($W$2:$W$1001,MATCH(ROWS($U$2:U71),$U$2:$U$1001,0),0), INDEX($AB$1004:$AQ$1004,1,MATCH(COLUMNS($AB$1006:AF1006),$AB$1006:$AQ$1006,0)))),"Fix")))</f>
        <v>0</v>
      </c>
      <c r="G71" s="4">
        <f>IF(OR(INDEX($V$2:$V$1001,MATCH(ROWS($U$2:U71),$U$2:$U$1001,0),1)&gt;=100000,INDEX($AB$1005:$AQ$1005,1,MATCH(COLUMNS($AB$1006:AG1006),$AB$1006:$AQ$1006,0))&gt;=100000), " ",IF(INDEX($AB$2:$AQ$1001,MATCH(ROWS($U$2:U71),$U$2:$U$1001,0),MATCH(COLUMNS($AB$1006:AG1006),$AB$1006:$AQ$1006,0)), HYPERLINK("#",""), HYPERLINK(CONCATENATE("#metadata!", ADDRESS(INDEX($W$2:$W$1001,MATCH(ROWS($U$2:U71),$U$2:$U$1001,0),0), INDEX($AB$1004:$AQ$1004,1,MATCH(COLUMNS($AB$1006:AG1006),$AB$1006:$AQ$1006,0)))),"Fix")))</f>
        <v>0</v>
      </c>
      <c r="H71" s="4">
        <f>IF(OR(INDEX($V$2:$V$1001,MATCH(ROWS($U$2:U71),$U$2:$U$1001,0),1)&gt;=100000,INDEX($AB$1005:$AQ$1005,1,MATCH(COLUMNS($AB$1006:AH1006),$AB$1006:$AQ$1006,0))&gt;=100000), " ",IF(INDEX($AB$2:$AQ$1001,MATCH(ROWS($U$2:U71),$U$2:$U$1001,0),MATCH(COLUMNS($AB$1006:AH1006),$AB$1006:$AQ$1006,0)), HYPERLINK("#",""), HYPERLINK(CONCATENATE("#metadata!", ADDRESS(INDEX($W$2:$W$1001,MATCH(ROWS($U$2:U71),$U$2:$U$1001,0),0), INDEX($AB$1004:$AQ$1004,1,MATCH(COLUMNS($AB$1006:AH1006),$AB$1006:$AQ$1006,0)))),"Fix")))</f>
        <v>0</v>
      </c>
      <c r="I71" s="4">
        <f>IF(OR(INDEX($V$2:$V$1001,MATCH(ROWS($U$2:U71),$U$2:$U$1001,0),1)&gt;=100000,INDEX($AB$1005:$AQ$1005,1,MATCH(COLUMNS($AB$1006:AI1006),$AB$1006:$AQ$1006,0))&gt;=100000), " ",IF(INDEX($AB$2:$AQ$1001,MATCH(ROWS($U$2:U71),$U$2:$U$1001,0),MATCH(COLUMNS($AB$1006:AI1006),$AB$1006:$AQ$1006,0)), HYPERLINK("#",""), HYPERLINK(CONCATENATE("#metadata!", ADDRESS(INDEX($W$2:$W$1001,MATCH(ROWS($U$2:U71),$U$2:$U$1001,0),0), INDEX($AB$1004:$AQ$1004,1,MATCH(COLUMNS($AB$1006:AI1006),$AB$1006:$AQ$1006,0)))),"Fix")))</f>
        <v>0</v>
      </c>
      <c r="J71" s="4">
        <f>IF(OR(INDEX($V$2:$V$1001,MATCH(ROWS($U$2:U71),$U$2:$U$1001,0),1)&gt;=100000,INDEX($AB$1005:$AQ$1005,1,MATCH(COLUMNS($AB$1006:AJ1006),$AB$1006:$AQ$1006,0))&gt;=100000), " ",IF(INDEX($AB$2:$AQ$1001,MATCH(ROWS($U$2:U71),$U$2:$U$1001,0),MATCH(COLUMNS($AB$1006:AJ1006),$AB$1006:$AQ$1006,0)), HYPERLINK("#",""), HYPERLINK(CONCATENATE("#metadata!", ADDRESS(INDEX($W$2:$W$1001,MATCH(ROWS($U$2:U71),$U$2:$U$1001,0),0), INDEX($AB$1004:$AQ$1004,1,MATCH(COLUMNS($AB$1006:AJ1006),$AB$1006:$AQ$1006,0)))),"Fix")))</f>
        <v>0</v>
      </c>
      <c r="K71" s="4">
        <f>IF(OR(INDEX($V$2:$V$1001,MATCH(ROWS($U$2:U71),$U$2:$U$1001,0),1)&gt;=100000,INDEX($AB$1005:$AQ$1005,1,MATCH(COLUMNS($AB$1006:AK1006),$AB$1006:$AQ$1006,0))&gt;=100000), " ",IF(INDEX($AB$2:$AQ$1001,MATCH(ROWS($U$2:U71),$U$2:$U$1001,0),MATCH(COLUMNS($AB$1006:AK1006),$AB$1006:$AQ$1006,0)), HYPERLINK("#",""), HYPERLINK(CONCATENATE("#metadata!", ADDRESS(INDEX($W$2:$W$1001,MATCH(ROWS($U$2:U71),$U$2:$U$1001,0),0), INDEX($AB$1004:$AQ$1004,1,MATCH(COLUMNS($AB$1006:AK1006),$AB$1006:$AQ$1006,0)))),"Fix")))</f>
        <v>0</v>
      </c>
      <c r="L71" s="4">
        <f>IF(OR(INDEX($V$2:$V$1001,MATCH(ROWS($U$2:U71),$U$2:$U$1001,0),1)&gt;=100000,INDEX($AB$1005:$AQ$1005,1,MATCH(COLUMNS($AB$1006:AL1006),$AB$1006:$AQ$1006,0))&gt;=100000), " ",IF(INDEX($AB$2:$AQ$1001,MATCH(ROWS($U$2:U71),$U$2:$U$1001,0),MATCH(COLUMNS($AB$1006:AL1006),$AB$1006:$AQ$1006,0)), HYPERLINK("#",""), HYPERLINK(CONCATENATE("#metadata!", ADDRESS(INDEX($W$2:$W$1001,MATCH(ROWS($U$2:U71),$U$2:$U$1001,0),0), INDEX($AB$1004:$AQ$1004,1,MATCH(COLUMNS($AB$1006:AL1006),$AB$1006:$AQ$1006,0)))),"Fix")))</f>
        <v>0</v>
      </c>
      <c r="M71" s="4">
        <f>IF(OR(INDEX($V$2:$V$1001,MATCH(ROWS($U$2:U71),$U$2:$U$1001,0),1)&gt;=100000,INDEX($AB$1005:$AQ$1005,1,MATCH(COLUMNS($AB$1006:AM1006),$AB$1006:$AQ$1006,0))&gt;=100000), " ",IF(INDEX($AB$2:$AQ$1001,MATCH(ROWS($U$2:U71),$U$2:$U$1001,0),MATCH(COLUMNS($AB$1006:AM1006),$AB$1006:$AQ$1006,0)), HYPERLINK("#",""), HYPERLINK(CONCATENATE("#metadata!", ADDRESS(INDEX($W$2:$W$1001,MATCH(ROWS($U$2:U71),$U$2:$U$1001,0),0), INDEX($AB$1004:$AQ$1004,1,MATCH(COLUMNS($AB$1006:AM1006),$AB$1006:$AQ$1006,0)))),"Fix")))</f>
        <v>0</v>
      </c>
      <c r="N71" s="4">
        <f>IF(OR(INDEX($V$2:$V$1001,MATCH(ROWS($U$2:U71),$U$2:$U$1001,0),1)&gt;=100000,INDEX($AB$1005:$AQ$1005,1,MATCH(COLUMNS($AB$1006:AN1006),$AB$1006:$AQ$1006,0))&gt;=100000), " ",IF(INDEX($AB$2:$AQ$1001,MATCH(ROWS($U$2:U71),$U$2:$U$1001,0),MATCH(COLUMNS($AB$1006:AN1006),$AB$1006:$AQ$1006,0)), HYPERLINK("#",""), HYPERLINK(CONCATENATE("#metadata!", ADDRESS(INDEX($W$2:$W$1001,MATCH(ROWS($U$2:U71),$U$2:$U$1001,0),0), INDEX($AB$1004:$AQ$1004,1,MATCH(COLUMNS($AB$1006:AN1006),$AB$1006:$AQ$1006,0)))),"Fix")))</f>
        <v>0</v>
      </c>
      <c r="O71" s="4">
        <f>IF(OR(INDEX($V$2:$V$1001,MATCH(ROWS($U$2:U71),$U$2:$U$1001,0),1)&gt;=100000,INDEX($AB$1005:$AQ$1005,1,MATCH(COLUMNS($AB$1006:AO1006),$AB$1006:$AQ$1006,0))&gt;=100000), " ",IF(INDEX($AB$2:$AQ$1001,MATCH(ROWS($U$2:U71),$U$2:$U$1001,0),MATCH(COLUMNS($AB$1006:AO1006),$AB$1006:$AQ$1006,0)), HYPERLINK("#",""), HYPERLINK(CONCATENATE("#metadata!", ADDRESS(INDEX($W$2:$W$1001,MATCH(ROWS($U$2:U71),$U$2:$U$1001,0),0), INDEX($AB$1004:$AQ$1004,1,MATCH(COLUMNS($AB$1006:AO1006),$AB$1006:$AQ$1006,0)))),"Fix")))</f>
        <v>0</v>
      </c>
      <c r="P71" s="4">
        <f>IF(OR(INDEX($V$2:$V$1001,MATCH(ROWS($U$2:U71),$U$2:$U$1001,0),1)&gt;=100000,INDEX($AB$1005:$AQ$1005,1,MATCH(COLUMNS($AB$1006:AP1006),$AB$1006:$AQ$1006,0))&gt;=100000), " ",IF(INDEX($AB$2:$AQ$1001,MATCH(ROWS($U$2:U71),$U$2:$U$1001,0),MATCH(COLUMNS($AB$1006:AP1006),$AB$1006:$AQ$1006,0)), HYPERLINK("#",""), HYPERLINK(CONCATENATE("#metadata!", ADDRESS(INDEX($W$2:$W$1001,MATCH(ROWS($U$2:U71),$U$2:$U$1001,0),0), INDEX($AB$1004:$AQ$1004,1,MATCH(COLUMNS($AB$1006:AP1006),$AB$1006:$AQ$1006,0)))),"Fix")))</f>
        <v>0</v>
      </c>
      <c r="Q71" s="4">
        <f>IF(OR(INDEX($V$2:$V$1001,MATCH(ROWS($U$2:U71),$U$2:$U$1001,0),1)&gt;=100000,INDEX($AB$1005:$AQ$1005,1,MATCH(COLUMNS($AB$1006:AQ1006),$AB$1006:$AQ$1006,0))&gt;=100000), " ",IF(INDEX($AB$2:$AQ$1001,MATCH(ROWS($U$2:U71),$U$2:$U$1001,0),MATCH(COLUMNS($AB$1006:AQ1006),$AB$1006:$AQ$1006,0)), HYPERLINK("#",""), HYPERLINK(CONCATENATE("#metadata!", ADDRESS(INDEX($W$2:$W$1001,MATCH(ROWS($U$2:U71),$U$2:$U$1001,0),0), INDEX($AB$1004:$AQ$1004,1,MATCH(COLUMNS($AB$1006:AQ1006),$AB$1006:$AQ$1006,0)))),"Fix")))</f>
        <v>0</v>
      </c>
      <c r="U71">
        <v>0</v>
      </c>
      <c r="V71">
        <v>0</v>
      </c>
      <c r="W71">
        <v>0</v>
      </c>
      <c r="X71">
        <f>IF(Y71,TRUE,AND(AB71:AQ71))</f>
        <v>0</v>
      </c>
      <c r="Y71">
        <f>COUNTBLANK(metadata!B71:Q71)=COLUMNS(metadata!B71:Q71)</f>
        <v>0</v>
      </c>
      <c r="Z71">
        <v>0</v>
      </c>
      <c r="AB71">
        <f>AND(IF(metadata!B71="",FALSE,TRUE),COUNTIF(metadata!B:B, metadata!B71) = 1,NOT(ISERROR(SUMPRODUCT(SEARCH(MID(metadata!B71,ROW(INDIRECT("1:"&amp;LEN(metadata!B71))), 1),"0123456789abcdefghijklmnopqrstuvwxyzABCDEFGHIJKLMNOPQRSTUVWXYZ.")))))</f>
        <v>0</v>
      </c>
      <c r="AC71">
        <f>OR(AND(IF(metadata!C71="",FALSE,TRUE),OR(exact(metadata!C71,"missing: not collected"),exact(metadata!C71,"missing: not provided"),exact(metadata!C71,"missing: restricted access"))),AND(IF(metadata!C71="",FALSE,TRUE),AND(AND(IFERROR(INT(LEFT(metadata!C71,4))&gt;1900,FALSE),IFERROR(INT(LEFT(metadata!C71,4))&lt;=YEAR(NOW()),FALSE)), OR(MID(metadata!C71,5,1)="", AND(AND(MID(metadata!C71,5,1)="-",IFERROR(INT(MID(metadata!C71,6,1))&gt;=0,FALSE),IFERROR(INT(MID(metadata!C71,6,1))&lt;=1,FALSE),NOT(MID(metadata!C71,7,1)=""),IFERROR(INT(MID(metadata!C71,6,2))&gt;=1,FALSE),IFERROR(INT(MID(metadata!C71,6,2))&lt;=12,FALSE)), OR(MID(metadata!C71,8,1)="", AND(AND(MID(metadata!C71,8,1)="-",IFERROR(INT(MID(metadata!C71,9,1))&gt;=0,FALSE),IFERROR(INT(MID(metadata!C71,9,1))&lt;=3,FALSE),NOT(MID(metadata!C71,10,1)=""),IFERROR(INT(MID(metadata!C71,9,2))&gt;=1,FALSE),IFERROR(INT(MID(metadata!C71,9,2))&lt;=31,FALSE)), OR(MID(metadata!C71,11,1)="", AND(AND(MID(metadata!C71,11,1)=" ",IFERROR(INT(MID(metadata!C71,12,1))&gt;=0,FALSE),IFERROR(INT(MID(metadata!C71,12,1))&lt;=2,FALSE),NOT(MID(metadata!C71,13,1)=""),IFERROR(INT(MID(metadata!C71,12,2))&gt;=0,FALSE),IFERROR(INT(MID(metadata!C71,12,2))&lt;=23,FALSE)), OR(MID(metadata!C71,14,1)="", AND(AND(MID(metadata!C71,14,1)=":",IFERROR(INT(MID(metadata!C71,15,1))&gt;=0,FALSE),IFERROR(INT(MID(metadata!C71,15,1))&lt;=5,FALSE),NOT(MID(metadata!C71,16,1)=""),IFERROR(INT(MID(metadata!C71,15,2))&gt;=0,FALSE),IFERROR(INT(MID(metadata!C71,15,2))&lt;=59,FALSE)), OR(MID(metadata!C71,17,1)="", AND(AND(MID(metadata!C71,17,1)=":",IFERROR(INT(MID(metadata!C71,18,1))&gt;=0,FALSE),IFERROR(INT(MID(metadata!C71,18,1))&lt;=5,FALSE),NOT(MID(metadata!C71,19,1)=""),IFERROR(INT(MID(metadata!C71,18,2))&gt;=0,FALSE),IFERROR(INT(MID(metadata!C71,18,2))&lt;=59,FALSE)), LEN(metadata!C71)&lt;=19)))))))))))))</f>
        <v>0</v>
      </c>
      <c r="AD71">
        <f>IF(metadata!D71="",FALSE,TRUE)</f>
        <v>0</v>
      </c>
      <c r="AE71">
        <f>OR(AND(IF(metadata!E71="",FALSE,TRUE),OR(exact(metadata!E71,"missing: not collected"),exact(metadata!E71,"missing: not provided"))),AND(IF(metadata!E71="",FALSE,TRUE),OR(exact(metadata!E71,"TRUE"),exact(metadata!E71,"FALSE"))))</f>
        <v>0</v>
      </c>
      <c r="AF71">
        <f>IF(metadata!F71="",FALSE,TRUE)</f>
        <v>0</v>
      </c>
      <c r="AG71">
        <f>IF(metadata!G71="",FALSE,TRUE)</f>
        <v>0</v>
      </c>
      <c r="AH71">
        <f>IF(metadata!H71="",FALSE,TRUE)</f>
        <v>0</v>
      </c>
      <c r="AI71">
        <f>OR(AND(IF(metadata!I71="",FALSE,TRUE),OR(exact(metadata!I71,"missing: not collected"),exact(metadata!I71,"missing: not provided"),exact(metadata!I71,"missing: restricted access"))),AND(IF(metadata!I71="",FALSE,TRUE),OR(exact(metadata!I71,"air"),exact(metadata!I71,"built environment"),exact(metadata!I71,"host-associated"),exact(metadata!I71,"human-associated"),exact(metadata!I71,"human-skin"),exact(metadata!I71,"human-oral"),exact(metadata!I71,"human-gut"),exact(metadata!I71,"human-vaginal"),exact(metadata!I71,"microbial mat/biofilm"),exact(metadata!I71,"misc environment"),exact(metadata!I71,"plant-associated"),exact(metadata!I71,"sediment"),exact(metadata!I71,"soil"),exact(metadata!I71,"wastewater/sludge"),exact(metadata!I71,"water"))))</f>
        <v>0</v>
      </c>
      <c r="AJ71">
        <f>IF(metadata!J71="",FALSE,TRUE)</f>
        <v>0</v>
      </c>
      <c r="AK71">
        <f>OR(AND(IF(metadata!K71="",FALSE,TRUE),OR(exact(metadata!K71,"missing: not collected"),exact(metadata!K71,"missing: not provided"),exact(metadata!K71,"missing: restricted access"))),AND(IF(metadata!K71="",FALSE,ISNUMBER(VALUE(metadata!K71))),metadata!K71&gt;=-90.00,metadata!K71&lt;=90.00))</f>
        <v>0</v>
      </c>
      <c r="AL71">
        <f>OR(AND(IF(metadata!L71="",FALSE,TRUE),OR(exact(metadata!L71,"missing: not collected"),exact(metadata!L71,"missing: not provided"),exact(metadata!L71,"missing: restricted access"))),AND(IF(metadata!L71="",FALSE,ISNUMBER(VALUE(metadata!L71))),metadata!L71&gt;=-180.00,metadata!L71&lt;=180.00))</f>
        <v>0</v>
      </c>
      <c r="AM71">
        <f>IF(metadata!M71="",FALSE,TRUE)</f>
        <v>0</v>
      </c>
      <c r="AN71">
        <f>OR(AND(IF(metadata!N71="",FALSE,TRUE),OR(exact(metadata!N71,"missing: not collected"),exact(metadata!N71,"missing: not provided"),exact(metadata!N71,"missing: restricted access"))),AND(IF(metadata!N71="",FALSE,TRUE),OR(exact(metadata!N71,"TRUE"),exact(metadata!N71,"FALSE"))))</f>
        <v>0</v>
      </c>
      <c r="AO71">
        <f>IF(metadata!O71="",FALSE,TRUE)</f>
        <v>0</v>
      </c>
      <c r="AP71">
        <f>OR(AND(IF(metadata!P71="",FALSE,TRUE),OR(exact(metadata!P71,"missing: not collected"),exact(metadata!P71,"missing: not provided"))),AND(IF(metadata!P71="",FALSE,IF(ISERROR(INT(metadata!P71)),FALSE,INT(metadata!P71)=metadata!P71)),metadata!P71&gt;0))</f>
        <v>0</v>
      </c>
      <c r="AQ71">
        <f>IF(metadata!Q71="",FALSE,TRUE)</f>
        <v>0</v>
      </c>
    </row>
    <row r="72" spans="1:43">
      <c r="A72" s="5">
        <f>IF(B72=" "," ",HYPERLINK(CONCATENATE("#metadata!",ADDRESS(INDEX($W$2:$W$1001,MATCH(ROWS($U$2:U72),$U$2:$U$1001,0),0),1)),INDEX($Z$2:$Z$1001,MATCH(ROWS($U$2:U72),$U$2:$U$1001,0),0)))</f>
        <v>0</v>
      </c>
      <c r="B72" s="4">
        <f>IF(OR(INDEX($V$2:$V$1001,MATCH(ROWS($U$2:U72),$U$2:$U$1001,0),1)&gt;=100000,INDEX($AB$1005:$AQ$1005,1,MATCH(COLUMNS($AB$1006:AB1006),$AB$1006:$AQ$1006,0))&gt;=100000), " ",IF(INDEX($AB$2:$AQ$1001,MATCH(ROWS($U$2:U72),$U$2:$U$1001,0),MATCH(COLUMNS($AB$1006:AB1006),$AB$1006:$AQ$1006,0)), HYPERLINK("#",""), HYPERLINK(CONCATENATE("#metadata!", ADDRESS(INDEX($W$2:$W$1001,MATCH(ROWS($U$2:U72),$U$2:$U$1001,0),0), INDEX($AB$1004:$AQ$1004,1,MATCH(COLUMNS($AB$1006:AB1006),$AB$1006:$AQ$1006,0)))),"Fix")))</f>
        <v>0</v>
      </c>
      <c r="C72" s="4">
        <f>IF(OR(INDEX($V$2:$V$1001,MATCH(ROWS($U$2:U72),$U$2:$U$1001,0),1)&gt;=100000,INDEX($AB$1005:$AQ$1005,1,MATCH(COLUMNS($AB$1006:AC1006),$AB$1006:$AQ$1006,0))&gt;=100000), " ",IF(INDEX($AB$2:$AQ$1001,MATCH(ROWS($U$2:U72),$U$2:$U$1001,0),MATCH(COLUMNS($AB$1006:AC1006),$AB$1006:$AQ$1006,0)), HYPERLINK("#",""), HYPERLINK(CONCATENATE("#metadata!", ADDRESS(INDEX($W$2:$W$1001,MATCH(ROWS($U$2:U72),$U$2:$U$1001,0),0), INDEX($AB$1004:$AQ$1004,1,MATCH(COLUMNS($AB$1006:AC1006),$AB$1006:$AQ$1006,0)))),"Fix")))</f>
        <v>0</v>
      </c>
      <c r="D72" s="4">
        <f>IF(OR(INDEX($V$2:$V$1001,MATCH(ROWS($U$2:U72),$U$2:$U$1001,0),1)&gt;=100000,INDEX($AB$1005:$AQ$1005,1,MATCH(COLUMNS($AB$1006:AD1006),$AB$1006:$AQ$1006,0))&gt;=100000), " ",IF(INDEX($AB$2:$AQ$1001,MATCH(ROWS($U$2:U72),$U$2:$U$1001,0),MATCH(COLUMNS($AB$1006:AD1006),$AB$1006:$AQ$1006,0)), HYPERLINK("#",""), HYPERLINK(CONCATENATE("#metadata!", ADDRESS(INDEX($W$2:$W$1001,MATCH(ROWS($U$2:U72),$U$2:$U$1001,0),0), INDEX($AB$1004:$AQ$1004,1,MATCH(COLUMNS($AB$1006:AD1006),$AB$1006:$AQ$1006,0)))),"Fix")))</f>
        <v>0</v>
      </c>
      <c r="E72" s="4">
        <f>IF(OR(INDEX($V$2:$V$1001,MATCH(ROWS($U$2:U72),$U$2:$U$1001,0),1)&gt;=100000,INDEX($AB$1005:$AQ$1005,1,MATCH(COLUMNS($AB$1006:AE1006),$AB$1006:$AQ$1006,0))&gt;=100000), " ",IF(INDEX($AB$2:$AQ$1001,MATCH(ROWS($U$2:U72),$U$2:$U$1001,0),MATCH(COLUMNS($AB$1006:AE1006),$AB$1006:$AQ$1006,0)), HYPERLINK("#",""), HYPERLINK(CONCATENATE("#metadata!", ADDRESS(INDEX($W$2:$W$1001,MATCH(ROWS($U$2:U72),$U$2:$U$1001,0),0), INDEX($AB$1004:$AQ$1004,1,MATCH(COLUMNS($AB$1006:AE1006),$AB$1006:$AQ$1006,0)))),"Fix")))</f>
        <v>0</v>
      </c>
      <c r="F72" s="4">
        <f>IF(OR(INDEX($V$2:$V$1001,MATCH(ROWS($U$2:U72),$U$2:$U$1001,0),1)&gt;=100000,INDEX($AB$1005:$AQ$1005,1,MATCH(COLUMNS($AB$1006:AF1006),$AB$1006:$AQ$1006,0))&gt;=100000), " ",IF(INDEX($AB$2:$AQ$1001,MATCH(ROWS($U$2:U72),$U$2:$U$1001,0),MATCH(COLUMNS($AB$1006:AF1006),$AB$1006:$AQ$1006,0)), HYPERLINK("#",""), HYPERLINK(CONCATENATE("#metadata!", ADDRESS(INDEX($W$2:$W$1001,MATCH(ROWS($U$2:U72),$U$2:$U$1001,0),0), INDEX($AB$1004:$AQ$1004,1,MATCH(COLUMNS($AB$1006:AF1006),$AB$1006:$AQ$1006,0)))),"Fix")))</f>
        <v>0</v>
      </c>
      <c r="G72" s="4">
        <f>IF(OR(INDEX($V$2:$V$1001,MATCH(ROWS($U$2:U72),$U$2:$U$1001,0),1)&gt;=100000,INDEX($AB$1005:$AQ$1005,1,MATCH(COLUMNS($AB$1006:AG1006),$AB$1006:$AQ$1006,0))&gt;=100000), " ",IF(INDEX($AB$2:$AQ$1001,MATCH(ROWS($U$2:U72),$U$2:$U$1001,0),MATCH(COLUMNS($AB$1006:AG1006),$AB$1006:$AQ$1006,0)), HYPERLINK("#",""), HYPERLINK(CONCATENATE("#metadata!", ADDRESS(INDEX($W$2:$W$1001,MATCH(ROWS($U$2:U72),$U$2:$U$1001,0),0), INDEX($AB$1004:$AQ$1004,1,MATCH(COLUMNS($AB$1006:AG1006),$AB$1006:$AQ$1006,0)))),"Fix")))</f>
        <v>0</v>
      </c>
      <c r="H72" s="4">
        <f>IF(OR(INDEX($V$2:$V$1001,MATCH(ROWS($U$2:U72),$U$2:$U$1001,0),1)&gt;=100000,INDEX($AB$1005:$AQ$1005,1,MATCH(COLUMNS($AB$1006:AH1006),$AB$1006:$AQ$1006,0))&gt;=100000), " ",IF(INDEX($AB$2:$AQ$1001,MATCH(ROWS($U$2:U72),$U$2:$U$1001,0),MATCH(COLUMNS($AB$1006:AH1006),$AB$1006:$AQ$1006,0)), HYPERLINK("#",""), HYPERLINK(CONCATENATE("#metadata!", ADDRESS(INDEX($W$2:$W$1001,MATCH(ROWS($U$2:U72),$U$2:$U$1001,0),0), INDEX($AB$1004:$AQ$1004,1,MATCH(COLUMNS($AB$1006:AH1006),$AB$1006:$AQ$1006,0)))),"Fix")))</f>
        <v>0</v>
      </c>
      <c r="I72" s="4">
        <f>IF(OR(INDEX($V$2:$V$1001,MATCH(ROWS($U$2:U72),$U$2:$U$1001,0),1)&gt;=100000,INDEX($AB$1005:$AQ$1005,1,MATCH(COLUMNS($AB$1006:AI1006),$AB$1006:$AQ$1006,0))&gt;=100000), " ",IF(INDEX($AB$2:$AQ$1001,MATCH(ROWS($U$2:U72),$U$2:$U$1001,0),MATCH(COLUMNS($AB$1006:AI1006),$AB$1006:$AQ$1006,0)), HYPERLINK("#",""), HYPERLINK(CONCATENATE("#metadata!", ADDRESS(INDEX($W$2:$W$1001,MATCH(ROWS($U$2:U72),$U$2:$U$1001,0),0), INDEX($AB$1004:$AQ$1004,1,MATCH(COLUMNS($AB$1006:AI1006),$AB$1006:$AQ$1006,0)))),"Fix")))</f>
        <v>0</v>
      </c>
      <c r="J72" s="4">
        <f>IF(OR(INDEX($V$2:$V$1001,MATCH(ROWS($U$2:U72),$U$2:$U$1001,0),1)&gt;=100000,INDEX($AB$1005:$AQ$1005,1,MATCH(COLUMNS($AB$1006:AJ1006),$AB$1006:$AQ$1006,0))&gt;=100000), " ",IF(INDEX($AB$2:$AQ$1001,MATCH(ROWS($U$2:U72),$U$2:$U$1001,0),MATCH(COLUMNS($AB$1006:AJ1006),$AB$1006:$AQ$1006,0)), HYPERLINK("#",""), HYPERLINK(CONCATENATE("#metadata!", ADDRESS(INDEX($W$2:$W$1001,MATCH(ROWS($U$2:U72),$U$2:$U$1001,0),0), INDEX($AB$1004:$AQ$1004,1,MATCH(COLUMNS($AB$1006:AJ1006),$AB$1006:$AQ$1006,0)))),"Fix")))</f>
        <v>0</v>
      </c>
      <c r="K72" s="4">
        <f>IF(OR(INDEX($V$2:$V$1001,MATCH(ROWS($U$2:U72),$U$2:$U$1001,0),1)&gt;=100000,INDEX($AB$1005:$AQ$1005,1,MATCH(COLUMNS($AB$1006:AK1006),$AB$1006:$AQ$1006,0))&gt;=100000), " ",IF(INDEX($AB$2:$AQ$1001,MATCH(ROWS($U$2:U72),$U$2:$U$1001,0),MATCH(COLUMNS($AB$1006:AK1006),$AB$1006:$AQ$1006,0)), HYPERLINK("#",""), HYPERLINK(CONCATENATE("#metadata!", ADDRESS(INDEX($W$2:$W$1001,MATCH(ROWS($U$2:U72),$U$2:$U$1001,0),0), INDEX($AB$1004:$AQ$1004,1,MATCH(COLUMNS($AB$1006:AK1006),$AB$1006:$AQ$1006,0)))),"Fix")))</f>
        <v>0</v>
      </c>
      <c r="L72" s="4">
        <f>IF(OR(INDEX($V$2:$V$1001,MATCH(ROWS($U$2:U72),$U$2:$U$1001,0),1)&gt;=100000,INDEX($AB$1005:$AQ$1005,1,MATCH(COLUMNS($AB$1006:AL1006),$AB$1006:$AQ$1006,0))&gt;=100000), " ",IF(INDEX($AB$2:$AQ$1001,MATCH(ROWS($U$2:U72),$U$2:$U$1001,0),MATCH(COLUMNS($AB$1006:AL1006),$AB$1006:$AQ$1006,0)), HYPERLINK("#",""), HYPERLINK(CONCATENATE("#metadata!", ADDRESS(INDEX($W$2:$W$1001,MATCH(ROWS($U$2:U72),$U$2:$U$1001,0),0), INDEX($AB$1004:$AQ$1004,1,MATCH(COLUMNS($AB$1006:AL1006),$AB$1006:$AQ$1006,0)))),"Fix")))</f>
        <v>0</v>
      </c>
      <c r="M72" s="4">
        <f>IF(OR(INDEX($V$2:$V$1001,MATCH(ROWS($U$2:U72),$U$2:$U$1001,0),1)&gt;=100000,INDEX($AB$1005:$AQ$1005,1,MATCH(COLUMNS($AB$1006:AM1006),$AB$1006:$AQ$1006,0))&gt;=100000), " ",IF(INDEX($AB$2:$AQ$1001,MATCH(ROWS($U$2:U72),$U$2:$U$1001,0),MATCH(COLUMNS($AB$1006:AM1006),$AB$1006:$AQ$1006,0)), HYPERLINK("#",""), HYPERLINK(CONCATENATE("#metadata!", ADDRESS(INDEX($W$2:$W$1001,MATCH(ROWS($U$2:U72),$U$2:$U$1001,0),0), INDEX($AB$1004:$AQ$1004,1,MATCH(COLUMNS($AB$1006:AM1006),$AB$1006:$AQ$1006,0)))),"Fix")))</f>
        <v>0</v>
      </c>
      <c r="N72" s="4">
        <f>IF(OR(INDEX($V$2:$V$1001,MATCH(ROWS($U$2:U72),$U$2:$U$1001,0),1)&gt;=100000,INDEX($AB$1005:$AQ$1005,1,MATCH(COLUMNS($AB$1006:AN1006),$AB$1006:$AQ$1006,0))&gt;=100000), " ",IF(INDEX($AB$2:$AQ$1001,MATCH(ROWS($U$2:U72),$U$2:$U$1001,0),MATCH(COLUMNS($AB$1006:AN1006),$AB$1006:$AQ$1006,0)), HYPERLINK("#",""), HYPERLINK(CONCATENATE("#metadata!", ADDRESS(INDEX($W$2:$W$1001,MATCH(ROWS($U$2:U72),$U$2:$U$1001,0),0), INDEX($AB$1004:$AQ$1004,1,MATCH(COLUMNS($AB$1006:AN1006),$AB$1006:$AQ$1006,0)))),"Fix")))</f>
        <v>0</v>
      </c>
      <c r="O72" s="4">
        <f>IF(OR(INDEX($V$2:$V$1001,MATCH(ROWS($U$2:U72),$U$2:$U$1001,0),1)&gt;=100000,INDEX($AB$1005:$AQ$1005,1,MATCH(COLUMNS($AB$1006:AO1006),$AB$1006:$AQ$1006,0))&gt;=100000), " ",IF(INDEX($AB$2:$AQ$1001,MATCH(ROWS($U$2:U72),$U$2:$U$1001,0),MATCH(COLUMNS($AB$1006:AO1006),$AB$1006:$AQ$1006,0)), HYPERLINK("#",""), HYPERLINK(CONCATENATE("#metadata!", ADDRESS(INDEX($W$2:$W$1001,MATCH(ROWS($U$2:U72),$U$2:$U$1001,0),0), INDEX($AB$1004:$AQ$1004,1,MATCH(COLUMNS($AB$1006:AO1006),$AB$1006:$AQ$1006,0)))),"Fix")))</f>
        <v>0</v>
      </c>
      <c r="P72" s="4">
        <f>IF(OR(INDEX($V$2:$V$1001,MATCH(ROWS($U$2:U72),$U$2:$U$1001,0),1)&gt;=100000,INDEX($AB$1005:$AQ$1005,1,MATCH(COLUMNS($AB$1006:AP1006),$AB$1006:$AQ$1006,0))&gt;=100000), " ",IF(INDEX($AB$2:$AQ$1001,MATCH(ROWS($U$2:U72),$U$2:$U$1001,0),MATCH(COLUMNS($AB$1006:AP1006),$AB$1006:$AQ$1006,0)), HYPERLINK("#",""), HYPERLINK(CONCATENATE("#metadata!", ADDRESS(INDEX($W$2:$W$1001,MATCH(ROWS($U$2:U72),$U$2:$U$1001,0),0), INDEX($AB$1004:$AQ$1004,1,MATCH(COLUMNS($AB$1006:AP1006),$AB$1006:$AQ$1006,0)))),"Fix")))</f>
        <v>0</v>
      </c>
      <c r="Q72" s="4">
        <f>IF(OR(INDEX($V$2:$V$1001,MATCH(ROWS($U$2:U72),$U$2:$U$1001,0),1)&gt;=100000,INDEX($AB$1005:$AQ$1005,1,MATCH(COLUMNS($AB$1006:AQ1006),$AB$1006:$AQ$1006,0))&gt;=100000), " ",IF(INDEX($AB$2:$AQ$1001,MATCH(ROWS($U$2:U72),$U$2:$U$1001,0),MATCH(COLUMNS($AB$1006:AQ1006),$AB$1006:$AQ$1006,0)), HYPERLINK("#",""), HYPERLINK(CONCATENATE("#metadata!", ADDRESS(INDEX($W$2:$W$1001,MATCH(ROWS($U$2:U72),$U$2:$U$1001,0),0), INDEX($AB$1004:$AQ$1004,1,MATCH(COLUMNS($AB$1006:AQ1006),$AB$1006:$AQ$1006,0)))),"Fix")))</f>
        <v>0</v>
      </c>
      <c r="U72">
        <v>0</v>
      </c>
      <c r="V72">
        <v>0</v>
      </c>
      <c r="W72">
        <v>0</v>
      </c>
      <c r="X72">
        <f>IF(Y72,TRUE,AND(AB72:AQ72))</f>
        <v>0</v>
      </c>
      <c r="Y72">
        <f>COUNTBLANK(metadata!B72:Q72)=COLUMNS(metadata!B72:Q72)</f>
        <v>0</v>
      </c>
      <c r="Z72">
        <v>0</v>
      </c>
      <c r="AB72">
        <f>AND(IF(metadata!B72="",FALSE,TRUE),COUNTIF(metadata!B:B, metadata!B72) = 1,NOT(ISERROR(SUMPRODUCT(SEARCH(MID(metadata!B72,ROW(INDIRECT("1:"&amp;LEN(metadata!B72))), 1),"0123456789abcdefghijklmnopqrstuvwxyzABCDEFGHIJKLMNOPQRSTUVWXYZ.")))))</f>
        <v>0</v>
      </c>
      <c r="AC72">
        <f>OR(AND(IF(metadata!C72="",FALSE,TRUE),OR(exact(metadata!C72,"missing: not collected"),exact(metadata!C72,"missing: not provided"),exact(metadata!C72,"missing: restricted access"))),AND(IF(metadata!C72="",FALSE,TRUE),AND(AND(IFERROR(INT(LEFT(metadata!C72,4))&gt;1900,FALSE),IFERROR(INT(LEFT(metadata!C72,4))&lt;=YEAR(NOW()),FALSE)), OR(MID(metadata!C72,5,1)="", AND(AND(MID(metadata!C72,5,1)="-",IFERROR(INT(MID(metadata!C72,6,1))&gt;=0,FALSE),IFERROR(INT(MID(metadata!C72,6,1))&lt;=1,FALSE),NOT(MID(metadata!C72,7,1)=""),IFERROR(INT(MID(metadata!C72,6,2))&gt;=1,FALSE),IFERROR(INT(MID(metadata!C72,6,2))&lt;=12,FALSE)), OR(MID(metadata!C72,8,1)="", AND(AND(MID(metadata!C72,8,1)="-",IFERROR(INT(MID(metadata!C72,9,1))&gt;=0,FALSE),IFERROR(INT(MID(metadata!C72,9,1))&lt;=3,FALSE),NOT(MID(metadata!C72,10,1)=""),IFERROR(INT(MID(metadata!C72,9,2))&gt;=1,FALSE),IFERROR(INT(MID(metadata!C72,9,2))&lt;=31,FALSE)), OR(MID(metadata!C72,11,1)="", AND(AND(MID(metadata!C72,11,1)=" ",IFERROR(INT(MID(metadata!C72,12,1))&gt;=0,FALSE),IFERROR(INT(MID(metadata!C72,12,1))&lt;=2,FALSE),NOT(MID(metadata!C72,13,1)=""),IFERROR(INT(MID(metadata!C72,12,2))&gt;=0,FALSE),IFERROR(INT(MID(metadata!C72,12,2))&lt;=23,FALSE)), OR(MID(metadata!C72,14,1)="", AND(AND(MID(metadata!C72,14,1)=":",IFERROR(INT(MID(metadata!C72,15,1))&gt;=0,FALSE),IFERROR(INT(MID(metadata!C72,15,1))&lt;=5,FALSE),NOT(MID(metadata!C72,16,1)=""),IFERROR(INT(MID(metadata!C72,15,2))&gt;=0,FALSE),IFERROR(INT(MID(metadata!C72,15,2))&lt;=59,FALSE)), OR(MID(metadata!C72,17,1)="", AND(AND(MID(metadata!C72,17,1)=":",IFERROR(INT(MID(metadata!C72,18,1))&gt;=0,FALSE),IFERROR(INT(MID(metadata!C72,18,1))&lt;=5,FALSE),NOT(MID(metadata!C72,19,1)=""),IFERROR(INT(MID(metadata!C72,18,2))&gt;=0,FALSE),IFERROR(INT(MID(metadata!C72,18,2))&lt;=59,FALSE)), LEN(metadata!C72)&lt;=19)))))))))))))</f>
        <v>0</v>
      </c>
      <c r="AD72">
        <f>IF(metadata!D72="",FALSE,TRUE)</f>
        <v>0</v>
      </c>
      <c r="AE72">
        <f>OR(AND(IF(metadata!E72="",FALSE,TRUE),OR(exact(metadata!E72,"missing: not collected"),exact(metadata!E72,"missing: not provided"))),AND(IF(metadata!E72="",FALSE,TRUE),OR(exact(metadata!E72,"TRUE"),exact(metadata!E72,"FALSE"))))</f>
        <v>0</v>
      </c>
      <c r="AF72">
        <f>IF(metadata!F72="",FALSE,TRUE)</f>
        <v>0</v>
      </c>
      <c r="AG72">
        <f>IF(metadata!G72="",FALSE,TRUE)</f>
        <v>0</v>
      </c>
      <c r="AH72">
        <f>IF(metadata!H72="",FALSE,TRUE)</f>
        <v>0</v>
      </c>
      <c r="AI72">
        <f>OR(AND(IF(metadata!I72="",FALSE,TRUE),OR(exact(metadata!I72,"missing: not collected"),exact(metadata!I72,"missing: not provided"),exact(metadata!I72,"missing: restricted access"))),AND(IF(metadata!I72="",FALSE,TRUE),OR(exact(metadata!I72,"air"),exact(metadata!I72,"built environment"),exact(metadata!I72,"host-associated"),exact(metadata!I72,"human-associated"),exact(metadata!I72,"human-skin"),exact(metadata!I72,"human-oral"),exact(metadata!I72,"human-gut"),exact(metadata!I72,"human-vaginal"),exact(metadata!I72,"microbial mat/biofilm"),exact(metadata!I72,"misc environment"),exact(metadata!I72,"plant-associated"),exact(metadata!I72,"sediment"),exact(metadata!I72,"soil"),exact(metadata!I72,"wastewater/sludge"),exact(metadata!I72,"water"))))</f>
        <v>0</v>
      </c>
      <c r="AJ72">
        <f>IF(metadata!J72="",FALSE,TRUE)</f>
        <v>0</v>
      </c>
      <c r="AK72">
        <f>OR(AND(IF(metadata!K72="",FALSE,TRUE),OR(exact(metadata!K72,"missing: not collected"),exact(metadata!K72,"missing: not provided"),exact(metadata!K72,"missing: restricted access"))),AND(IF(metadata!K72="",FALSE,ISNUMBER(VALUE(metadata!K72))),metadata!K72&gt;=-90.00,metadata!K72&lt;=90.00))</f>
        <v>0</v>
      </c>
      <c r="AL72">
        <f>OR(AND(IF(metadata!L72="",FALSE,TRUE),OR(exact(metadata!L72,"missing: not collected"),exact(metadata!L72,"missing: not provided"),exact(metadata!L72,"missing: restricted access"))),AND(IF(metadata!L72="",FALSE,ISNUMBER(VALUE(metadata!L72))),metadata!L72&gt;=-180.00,metadata!L72&lt;=180.00))</f>
        <v>0</v>
      </c>
      <c r="AM72">
        <f>IF(metadata!M72="",FALSE,TRUE)</f>
        <v>0</v>
      </c>
      <c r="AN72">
        <f>OR(AND(IF(metadata!N72="",FALSE,TRUE),OR(exact(metadata!N72,"missing: not collected"),exact(metadata!N72,"missing: not provided"),exact(metadata!N72,"missing: restricted access"))),AND(IF(metadata!N72="",FALSE,TRUE),OR(exact(metadata!N72,"TRUE"),exact(metadata!N72,"FALSE"))))</f>
        <v>0</v>
      </c>
      <c r="AO72">
        <f>IF(metadata!O72="",FALSE,TRUE)</f>
        <v>0</v>
      </c>
      <c r="AP72">
        <f>OR(AND(IF(metadata!P72="",FALSE,TRUE),OR(exact(metadata!P72,"missing: not collected"),exact(metadata!P72,"missing: not provided"))),AND(IF(metadata!P72="",FALSE,IF(ISERROR(INT(metadata!P72)),FALSE,INT(metadata!P72)=metadata!P72)),metadata!P72&gt;0))</f>
        <v>0</v>
      </c>
      <c r="AQ72">
        <f>IF(metadata!Q72="",FALSE,TRUE)</f>
        <v>0</v>
      </c>
    </row>
    <row r="73" spans="1:43">
      <c r="A73" s="5">
        <f>IF(B73=" "," ",HYPERLINK(CONCATENATE("#metadata!",ADDRESS(INDEX($W$2:$W$1001,MATCH(ROWS($U$2:U73),$U$2:$U$1001,0),0),1)),INDEX($Z$2:$Z$1001,MATCH(ROWS($U$2:U73),$U$2:$U$1001,0),0)))</f>
        <v>0</v>
      </c>
      <c r="B73" s="4">
        <f>IF(OR(INDEX($V$2:$V$1001,MATCH(ROWS($U$2:U73),$U$2:$U$1001,0),1)&gt;=100000,INDEX($AB$1005:$AQ$1005,1,MATCH(COLUMNS($AB$1006:AB1006),$AB$1006:$AQ$1006,0))&gt;=100000), " ",IF(INDEX($AB$2:$AQ$1001,MATCH(ROWS($U$2:U73),$U$2:$U$1001,0),MATCH(COLUMNS($AB$1006:AB1006),$AB$1006:$AQ$1006,0)), HYPERLINK("#",""), HYPERLINK(CONCATENATE("#metadata!", ADDRESS(INDEX($W$2:$W$1001,MATCH(ROWS($U$2:U73),$U$2:$U$1001,0),0), INDEX($AB$1004:$AQ$1004,1,MATCH(COLUMNS($AB$1006:AB1006),$AB$1006:$AQ$1006,0)))),"Fix")))</f>
        <v>0</v>
      </c>
      <c r="C73" s="4">
        <f>IF(OR(INDEX($V$2:$V$1001,MATCH(ROWS($U$2:U73),$U$2:$U$1001,0),1)&gt;=100000,INDEX($AB$1005:$AQ$1005,1,MATCH(COLUMNS($AB$1006:AC1006),$AB$1006:$AQ$1006,0))&gt;=100000), " ",IF(INDEX($AB$2:$AQ$1001,MATCH(ROWS($U$2:U73),$U$2:$U$1001,0),MATCH(COLUMNS($AB$1006:AC1006),$AB$1006:$AQ$1006,0)), HYPERLINK("#",""), HYPERLINK(CONCATENATE("#metadata!", ADDRESS(INDEX($W$2:$W$1001,MATCH(ROWS($U$2:U73),$U$2:$U$1001,0),0), INDEX($AB$1004:$AQ$1004,1,MATCH(COLUMNS($AB$1006:AC1006),$AB$1006:$AQ$1006,0)))),"Fix")))</f>
        <v>0</v>
      </c>
      <c r="D73" s="4">
        <f>IF(OR(INDEX($V$2:$V$1001,MATCH(ROWS($U$2:U73),$U$2:$U$1001,0),1)&gt;=100000,INDEX($AB$1005:$AQ$1005,1,MATCH(COLUMNS($AB$1006:AD1006),$AB$1006:$AQ$1006,0))&gt;=100000), " ",IF(INDEX($AB$2:$AQ$1001,MATCH(ROWS($U$2:U73),$U$2:$U$1001,0),MATCH(COLUMNS($AB$1006:AD1006),$AB$1006:$AQ$1006,0)), HYPERLINK("#",""), HYPERLINK(CONCATENATE("#metadata!", ADDRESS(INDEX($W$2:$W$1001,MATCH(ROWS($U$2:U73),$U$2:$U$1001,0),0), INDEX($AB$1004:$AQ$1004,1,MATCH(COLUMNS($AB$1006:AD1006),$AB$1006:$AQ$1006,0)))),"Fix")))</f>
        <v>0</v>
      </c>
      <c r="E73" s="4">
        <f>IF(OR(INDEX($V$2:$V$1001,MATCH(ROWS($U$2:U73),$U$2:$U$1001,0),1)&gt;=100000,INDEX($AB$1005:$AQ$1005,1,MATCH(COLUMNS($AB$1006:AE1006),$AB$1006:$AQ$1006,0))&gt;=100000), " ",IF(INDEX($AB$2:$AQ$1001,MATCH(ROWS($U$2:U73),$U$2:$U$1001,0),MATCH(COLUMNS($AB$1006:AE1006),$AB$1006:$AQ$1006,0)), HYPERLINK("#",""), HYPERLINK(CONCATENATE("#metadata!", ADDRESS(INDEX($W$2:$W$1001,MATCH(ROWS($U$2:U73),$U$2:$U$1001,0),0), INDEX($AB$1004:$AQ$1004,1,MATCH(COLUMNS($AB$1006:AE1006),$AB$1006:$AQ$1006,0)))),"Fix")))</f>
        <v>0</v>
      </c>
      <c r="F73" s="4">
        <f>IF(OR(INDEX($V$2:$V$1001,MATCH(ROWS($U$2:U73),$U$2:$U$1001,0),1)&gt;=100000,INDEX($AB$1005:$AQ$1005,1,MATCH(COLUMNS($AB$1006:AF1006),$AB$1006:$AQ$1006,0))&gt;=100000), " ",IF(INDEX($AB$2:$AQ$1001,MATCH(ROWS($U$2:U73),$U$2:$U$1001,0),MATCH(COLUMNS($AB$1006:AF1006),$AB$1006:$AQ$1006,0)), HYPERLINK("#",""), HYPERLINK(CONCATENATE("#metadata!", ADDRESS(INDEX($W$2:$W$1001,MATCH(ROWS($U$2:U73),$U$2:$U$1001,0),0), INDEX($AB$1004:$AQ$1004,1,MATCH(COLUMNS($AB$1006:AF1006),$AB$1006:$AQ$1006,0)))),"Fix")))</f>
        <v>0</v>
      </c>
      <c r="G73" s="4">
        <f>IF(OR(INDEX($V$2:$V$1001,MATCH(ROWS($U$2:U73),$U$2:$U$1001,0),1)&gt;=100000,INDEX($AB$1005:$AQ$1005,1,MATCH(COLUMNS($AB$1006:AG1006),$AB$1006:$AQ$1006,0))&gt;=100000), " ",IF(INDEX($AB$2:$AQ$1001,MATCH(ROWS($U$2:U73),$U$2:$U$1001,0),MATCH(COLUMNS($AB$1006:AG1006),$AB$1006:$AQ$1006,0)), HYPERLINK("#",""), HYPERLINK(CONCATENATE("#metadata!", ADDRESS(INDEX($W$2:$W$1001,MATCH(ROWS($U$2:U73),$U$2:$U$1001,0),0), INDEX($AB$1004:$AQ$1004,1,MATCH(COLUMNS($AB$1006:AG1006),$AB$1006:$AQ$1006,0)))),"Fix")))</f>
        <v>0</v>
      </c>
      <c r="H73" s="4">
        <f>IF(OR(INDEX($V$2:$V$1001,MATCH(ROWS($U$2:U73),$U$2:$U$1001,0),1)&gt;=100000,INDEX($AB$1005:$AQ$1005,1,MATCH(COLUMNS($AB$1006:AH1006),$AB$1006:$AQ$1006,0))&gt;=100000), " ",IF(INDEX($AB$2:$AQ$1001,MATCH(ROWS($U$2:U73),$U$2:$U$1001,0),MATCH(COLUMNS($AB$1006:AH1006),$AB$1006:$AQ$1006,0)), HYPERLINK("#",""), HYPERLINK(CONCATENATE("#metadata!", ADDRESS(INDEX($W$2:$W$1001,MATCH(ROWS($U$2:U73),$U$2:$U$1001,0),0), INDEX($AB$1004:$AQ$1004,1,MATCH(COLUMNS($AB$1006:AH1006),$AB$1006:$AQ$1006,0)))),"Fix")))</f>
        <v>0</v>
      </c>
      <c r="I73" s="4">
        <f>IF(OR(INDEX($V$2:$V$1001,MATCH(ROWS($U$2:U73),$U$2:$U$1001,0),1)&gt;=100000,INDEX($AB$1005:$AQ$1005,1,MATCH(COLUMNS($AB$1006:AI1006),$AB$1006:$AQ$1006,0))&gt;=100000), " ",IF(INDEX($AB$2:$AQ$1001,MATCH(ROWS($U$2:U73),$U$2:$U$1001,0),MATCH(COLUMNS($AB$1006:AI1006),$AB$1006:$AQ$1006,0)), HYPERLINK("#",""), HYPERLINK(CONCATENATE("#metadata!", ADDRESS(INDEX($W$2:$W$1001,MATCH(ROWS($U$2:U73),$U$2:$U$1001,0),0), INDEX($AB$1004:$AQ$1004,1,MATCH(COLUMNS($AB$1006:AI1006),$AB$1006:$AQ$1006,0)))),"Fix")))</f>
        <v>0</v>
      </c>
      <c r="J73" s="4">
        <f>IF(OR(INDEX($V$2:$V$1001,MATCH(ROWS($U$2:U73),$U$2:$U$1001,0),1)&gt;=100000,INDEX($AB$1005:$AQ$1005,1,MATCH(COLUMNS($AB$1006:AJ1006),$AB$1006:$AQ$1006,0))&gt;=100000), " ",IF(INDEX($AB$2:$AQ$1001,MATCH(ROWS($U$2:U73),$U$2:$U$1001,0),MATCH(COLUMNS($AB$1006:AJ1006),$AB$1006:$AQ$1006,0)), HYPERLINK("#",""), HYPERLINK(CONCATENATE("#metadata!", ADDRESS(INDEX($W$2:$W$1001,MATCH(ROWS($U$2:U73),$U$2:$U$1001,0),0), INDEX($AB$1004:$AQ$1004,1,MATCH(COLUMNS($AB$1006:AJ1006),$AB$1006:$AQ$1006,0)))),"Fix")))</f>
        <v>0</v>
      </c>
      <c r="K73" s="4">
        <f>IF(OR(INDEX($V$2:$V$1001,MATCH(ROWS($U$2:U73),$U$2:$U$1001,0),1)&gt;=100000,INDEX($AB$1005:$AQ$1005,1,MATCH(COLUMNS($AB$1006:AK1006),$AB$1006:$AQ$1006,0))&gt;=100000), " ",IF(INDEX($AB$2:$AQ$1001,MATCH(ROWS($U$2:U73),$U$2:$U$1001,0),MATCH(COLUMNS($AB$1006:AK1006),$AB$1006:$AQ$1006,0)), HYPERLINK("#",""), HYPERLINK(CONCATENATE("#metadata!", ADDRESS(INDEX($W$2:$W$1001,MATCH(ROWS($U$2:U73),$U$2:$U$1001,0),0), INDEX($AB$1004:$AQ$1004,1,MATCH(COLUMNS($AB$1006:AK1006),$AB$1006:$AQ$1006,0)))),"Fix")))</f>
        <v>0</v>
      </c>
      <c r="L73" s="4">
        <f>IF(OR(INDEX($V$2:$V$1001,MATCH(ROWS($U$2:U73),$U$2:$U$1001,0),1)&gt;=100000,INDEX($AB$1005:$AQ$1005,1,MATCH(COLUMNS($AB$1006:AL1006),$AB$1006:$AQ$1006,0))&gt;=100000), " ",IF(INDEX($AB$2:$AQ$1001,MATCH(ROWS($U$2:U73),$U$2:$U$1001,0),MATCH(COLUMNS($AB$1006:AL1006),$AB$1006:$AQ$1006,0)), HYPERLINK("#",""), HYPERLINK(CONCATENATE("#metadata!", ADDRESS(INDEX($W$2:$W$1001,MATCH(ROWS($U$2:U73),$U$2:$U$1001,0),0), INDEX($AB$1004:$AQ$1004,1,MATCH(COLUMNS($AB$1006:AL1006),$AB$1006:$AQ$1006,0)))),"Fix")))</f>
        <v>0</v>
      </c>
      <c r="M73" s="4">
        <f>IF(OR(INDEX($V$2:$V$1001,MATCH(ROWS($U$2:U73),$U$2:$U$1001,0),1)&gt;=100000,INDEX($AB$1005:$AQ$1005,1,MATCH(COLUMNS($AB$1006:AM1006),$AB$1006:$AQ$1006,0))&gt;=100000), " ",IF(INDEX($AB$2:$AQ$1001,MATCH(ROWS($U$2:U73),$U$2:$U$1001,0),MATCH(COLUMNS($AB$1006:AM1006),$AB$1006:$AQ$1006,0)), HYPERLINK("#",""), HYPERLINK(CONCATENATE("#metadata!", ADDRESS(INDEX($W$2:$W$1001,MATCH(ROWS($U$2:U73),$U$2:$U$1001,0),0), INDEX($AB$1004:$AQ$1004,1,MATCH(COLUMNS($AB$1006:AM1006),$AB$1006:$AQ$1006,0)))),"Fix")))</f>
        <v>0</v>
      </c>
      <c r="N73" s="4">
        <f>IF(OR(INDEX($V$2:$V$1001,MATCH(ROWS($U$2:U73),$U$2:$U$1001,0),1)&gt;=100000,INDEX($AB$1005:$AQ$1005,1,MATCH(COLUMNS($AB$1006:AN1006),$AB$1006:$AQ$1006,0))&gt;=100000), " ",IF(INDEX($AB$2:$AQ$1001,MATCH(ROWS($U$2:U73),$U$2:$U$1001,0),MATCH(COLUMNS($AB$1006:AN1006),$AB$1006:$AQ$1006,0)), HYPERLINK("#",""), HYPERLINK(CONCATENATE("#metadata!", ADDRESS(INDEX($W$2:$W$1001,MATCH(ROWS($U$2:U73),$U$2:$U$1001,0),0), INDEX($AB$1004:$AQ$1004,1,MATCH(COLUMNS($AB$1006:AN1006),$AB$1006:$AQ$1006,0)))),"Fix")))</f>
        <v>0</v>
      </c>
      <c r="O73" s="4">
        <f>IF(OR(INDEX($V$2:$V$1001,MATCH(ROWS($U$2:U73),$U$2:$U$1001,0),1)&gt;=100000,INDEX($AB$1005:$AQ$1005,1,MATCH(COLUMNS($AB$1006:AO1006),$AB$1006:$AQ$1006,0))&gt;=100000), " ",IF(INDEX($AB$2:$AQ$1001,MATCH(ROWS($U$2:U73),$U$2:$U$1001,0),MATCH(COLUMNS($AB$1006:AO1006),$AB$1006:$AQ$1006,0)), HYPERLINK("#",""), HYPERLINK(CONCATENATE("#metadata!", ADDRESS(INDEX($W$2:$W$1001,MATCH(ROWS($U$2:U73),$U$2:$U$1001,0),0), INDEX($AB$1004:$AQ$1004,1,MATCH(COLUMNS($AB$1006:AO1006),$AB$1006:$AQ$1006,0)))),"Fix")))</f>
        <v>0</v>
      </c>
      <c r="P73" s="4">
        <f>IF(OR(INDEX($V$2:$V$1001,MATCH(ROWS($U$2:U73),$U$2:$U$1001,0),1)&gt;=100000,INDEX($AB$1005:$AQ$1005,1,MATCH(COLUMNS($AB$1006:AP1006),$AB$1006:$AQ$1006,0))&gt;=100000), " ",IF(INDEX($AB$2:$AQ$1001,MATCH(ROWS($U$2:U73),$U$2:$U$1001,0),MATCH(COLUMNS($AB$1006:AP1006),$AB$1006:$AQ$1006,0)), HYPERLINK("#",""), HYPERLINK(CONCATENATE("#metadata!", ADDRESS(INDEX($W$2:$W$1001,MATCH(ROWS($U$2:U73),$U$2:$U$1001,0),0), INDEX($AB$1004:$AQ$1004,1,MATCH(COLUMNS($AB$1006:AP1006),$AB$1006:$AQ$1006,0)))),"Fix")))</f>
        <v>0</v>
      </c>
      <c r="Q73" s="4">
        <f>IF(OR(INDEX($V$2:$V$1001,MATCH(ROWS($U$2:U73),$U$2:$U$1001,0),1)&gt;=100000,INDEX($AB$1005:$AQ$1005,1,MATCH(COLUMNS($AB$1006:AQ1006),$AB$1006:$AQ$1006,0))&gt;=100000), " ",IF(INDEX($AB$2:$AQ$1001,MATCH(ROWS($U$2:U73),$U$2:$U$1001,0),MATCH(COLUMNS($AB$1006:AQ1006),$AB$1006:$AQ$1006,0)), HYPERLINK("#",""), HYPERLINK(CONCATENATE("#metadata!", ADDRESS(INDEX($W$2:$W$1001,MATCH(ROWS($U$2:U73),$U$2:$U$1001,0),0), INDEX($AB$1004:$AQ$1004,1,MATCH(COLUMNS($AB$1006:AQ1006),$AB$1006:$AQ$1006,0)))),"Fix")))</f>
        <v>0</v>
      </c>
      <c r="U73">
        <v>0</v>
      </c>
      <c r="V73">
        <v>0</v>
      </c>
      <c r="W73">
        <v>0</v>
      </c>
      <c r="X73">
        <f>IF(Y73,TRUE,AND(AB73:AQ73))</f>
        <v>0</v>
      </c>
      <c r="Y73">
        <f>COUNTBLANK(metadata!B73:Q73)=COLUMNS(metadata!B73:Q73)</f>
        <v>0</v>
      </c>
      <c r="Z73">
        <v>0</v>
      </c>
      <c r="AB73">
        <f>AND(IF(metadata!B73="",FALSE,TRUE),COUNTIF(metadata!B:B, metadata!B73) = 1,NOT(ISERROR(SUMPRODUCT(SEARCH(MID(metadata!B73,ROW(INDIRECT("1:"&amp;LEN(metadata!B73))), 1),"0123456789abcdefghijklmnopqrstuvwxyzABCDEFGHIJKLMNOPQRSTUVWXYZ.")))))</f>
        <v>0</v>
      </c>
      <c r="AC73">
        <f>OR(AND(IF(metadata!C73="",FALSE,TRUE),OR(exact(metadata!C73,"missing: not collected"),exact(metadata!C73,"missing: not provided"),exact(metadata!C73,"missing: restricted access"))),AND(IF(metadata!C73="",FALSE,TRUE),AND(AND(IFERROR(INT(LEFT(metadata!C73,4))&gt;1900,FALSE),IFERROR(INT(LEFT(metadata!C73,4))&lt;=YEAR(NOW()),FALSE)), OR(MID(metadata!C73,5,1)="", AND(AND(MID(metadata!C73,5,1)="-",IFERROR(INT(MID(metadata!C73,6,1))&gt;=0,FALSE),IFERROR(INT(MID(metadata!C73,6,1))&lt;=1,FALSE),NOT(MID(metadata!C73,7,1)=""),IFERROR(INT(MID(metadata!C73,6,2))&gt;=1,FALSE),IFERROR(INT(MID(metadata!C73,6,2))&lt;=12,FALSE)), OR(MID(metadata!C73,8,1)="", AND(AND(MID(metadata!C73,8,1)="-",IFERROR(INT(MID(metadata!C73,9,1))&gt;=0,FALSE),IFERROR(INT(MID(metadata!C73,9,1))&lt;=3,FALSE),NOT(MID(metadata!C73,10,1)=""),IFERROR(INT(MID(metadata!C73,9,2))&gt;=1,FALSE),IFERROR(INT(MID(metadata!C73,9,2))&lt;=31,FALSE)), OR(MID(metadata!C73,11,1)="", AND(AND(MID(metadata!C73,11,1)=" ",IFERROR(INT(MID(metadata!C73,12,1))&gt;=0,FALSE),IFERROR(INT(MID(metadata!C73,12,1))&lt;=2,FALSE),NOT(MID(metadata!C73,13,1)=""),IFERROR(INT(MID(metadata!C73,12,2))&gt;=0,FALSE),IFERROR(INT(MID(metadata!C73,12,2))&lt;=23,FALSE)), OR(MID(metadata!C73,14,1)="", AND(AND(MID(metadata!C73,14,1)=":",IFERROR(INT(MID(metadata!C73,15,1))&gt;=0,FALSE),IFERROR(INT(MID(metadata!C73,15,1))&lt;=5,FALSE),NOT(MID(metadata!C73,16,1)=""),IFERROR(INT(MID(metadata!C73,15,2))&gt;=0,FALSE),IFERROR(INT(MID(metadata!C73,15,2))&lt;=59,FALSE)), OR(MID(metadata!C73,17,1)="", AND(AND(MID(metadata!C73,17,1)=":",IFERROR(INT(MID(metadata!C73,18,1))&gt;=0,FALSE),IFERROR(INT(MID(metadata!C73,18,1))&lt;=5,FALSE),NOT(MID(metadata!C73,19,1)=""),IFERROR(INT(MID(metadata!C73,18,2))&gt;=0,FALSE),IFERROR(INT(MID(metadata!C73,18,2))&lt;=59,FALSE)), LEN(metadata!C73)&lt;=19)))))))))))))</f>
        <v>0</v>
      </c>
      <c r="AD73">
        <f>IF(metadata!D73="",FALSE,TRUE)</f>
        <v>0</v>
      </c>
      <c r="AE73">
        <f>OR(AND(IF(metadata!E73="",FALSE,TRUE),OR(exact(metadata!E73,"missing: not collected"),exact(metadata!E73,"missing: not provided"))),AND(IF(metadata!E73="",FALSE,TRUE),OR(exact(metadata!E73,"TRUE"),exact(metadata!E73,"FALSE"))))</f>
        <v>0</v>
      </c>
      <c r="AF73">
        <f>IF(metadata!F73="",FALSE,TRUE)</f>
        <v>0</v>
      </c>
      <c r="AG73">
        <f>IF(metadata!G73="",FALSE,TRUE)</f>
        <v>0</v>
      </c>
      <c r="AH73">
        <f>IF(metadata!H73="",FALSE,TRUE)</f>
        <v>0</v>
      </c>
      <c r="AI73">
        <f>OR(AND(IF(metadata!I73="",FALSE,TRUE),OR(exact(metadata!I73,"missing: not collected"),exact(metadata!I73,"missing: not provided"),exact(metadata!I73,"missing: restricted access"))),AND(IF(metadata!I73="",FALSE,TRUE),OR(exact(metadata!I73,"air"),exact(metadata!I73,"built environment"),exact(metadata!I73,"host-associated"),exact(metadata!I73,"human-associated"),exact(metadata!I73,"human-skin"),exact(metadata!I73,"human-oral"),exact(metadata!I73,"human-gut"),exact(metadata!I73,"human-vaginal"),exact(metadata!I73,"microbial mat/biofilm"),exact(metadata!I73,"misc environment"),exact(metadata!I73,"plant-associated"),exact(metadata!I73,"sediment"),exact(metadata!I73,"soil"),exact(metadata!I73,"wastewater/sludge"),exact(metadata!I73,"water"))))</f>
        <v>0</v>
      </c>
      <c r="AJ73">
        <f>IF(metadata!J73="",FALSE,TRUE)</f>
        <v>0</v>
      </c>
      <c r="AK73">
        <f>OR(AND(IF(metadata!K73="",FALSE,TRUE),OR(exact(metadata!K73,"missing: not collected"),exact(metadata!K73,"missing: not provided"),exact(metadata!K73,"missing: restricted access"))),AND(IF(metadata!K73="",FALSE,ISNUMBER(VALUE(metadata!K73))),metadata!K73&gt;=-90.00,metadata!K73&lt;=90.00))</f>
        <v>0</v>
      </c>
      <c r="AL73">
        <f>OR(AND(IF(metadata!L73="",FALSE,TRUE),OR(exact(metadata!L73,"missing: not collected"),exact(metadata!L73,"missing: not provided"),exact(metadata!L73,"missing: restricted access"))),AND(IF(metadata!L73="",FALSE,ISNUMBER(VALUE(metadata!L73))),metadata!L73&gt;=-180.00,metadata!L73&lt;=180.00))</f>
        <v>0</v>
      </c>
      <c r="AM73">
        <f>IF(metadata!M73="",FALSE,TRUE)</f>
        <v>0</v>
      </c>
      <c r="AN73">
        <f>OR(AND(IF(metadata!N73="",FALSE,TRUE),OR(exact(metadata!N73,"missing: not collected"),exact(metadata!N73,"missing: not provided"),exact(metadata!N73,"missing: restricted access"))),AND(IF(metadata!N73="",FALSE,TRUE),OR(exact(metadata!N73,"TRUE"),exact(metadata!N73,"FALSE"))))</f>
        <v>0</v>
      </c>
      <c r="AO73">
        <f>IF(metadata!O73="",FALSE,TRUE)</f>
        <v>0</v>
      </c>
      <c r="AP73">
        <f>OR(AND(IF(metadata!P73="",FALSE,TRUE),OR(exact(metadata!P73,"missing: not collected"),exact(metadata!P73,"missing: not provided"))),AND(IF(metadata!P73="",FALSE,IF(ISERROR(INT(metadata!P73)),FALSE,INT(metadata!P73)=metadata!P73)),metadata!P73&gt;0))</f>
        <v>0</v>
      </c>
      <c r="AQ73">
        <f>IF(metadata!Q73="",FALSE,TRUE)</f>
        <v>0</v>
      </c>
    </row>
    <row r="74" spans="1:43">
      <c r="A74" s="5">
        <f>IF(B74=" "," ",HYPERLINK(CONCATENATE("#metadata!",ADDRESS(INDEX($W$2:$W$1001,MATCH(ROWS($U$2:U74),$U$2:$U$1001,0),0),1)),INDEX($Z$2:$Z$1001,MATCH(ROWS($U$2:U74),$U$2:$U$1001,0),0)))</f>
        <v>0</v>
      </c>
      <c r="B74" s="4">
        <f>IF(OR(INDEX($V$2:$V$1001,MATCH(ROWS($U$2:U74),$U$2:$U$1001,0),1)&gt;=100000,INDEX($AB$1005:$AQ$1005,1,MATCH(COLUMNS($AB$1006:AB1006),$AB$1006:$AQ$1006,0))&gt;=100000), " ",IF(INDEX($AB$2:$AQ$1001,MATCH(ROWS($U$2:U74),$U$2:$U$1001,0),MATCH(COLUMNS($AB$1006:AB1006),$AB$1006:$AQ$1006,0)), HYPERLINK("#",""), HYPERLINK(CONCATENATE("#metadata!", ADDRESS(INDEX($W$2:$W$1001,MATCH(ROWS($U$2:U74),$U$2:$U$1001,0),0), INDEX($AB$1004:$AQ$1004,1,MATCH(COLUMNS($AB$1006:AB1006),$AB$1006:$AQ$1006,0)))),"Fix")))</f>
        <v>0</v>
      </c>
      <c r="C74" s="4">
        <f>IF(OR(INDEX($V$2:$V$1001,MATCH(ROWS($U$2:U74),$U$2:$U$1001,0),1)&gt;=100000,INDEX($AB$1005:$AQ$1005,1,MATCH(COLUMNS($AB$1006:AC1006),$AB$1006:$AQ$1006,0))&gt;=100000), " ",IF(INDEX($AB$2:$AQ$1001,MATCH(ROWS($U$2:U74),$U$2:$U$1001,0),MATCH(COLUMNS($AB$1006:AC1006),$AB$1006:$AQ$1006,0)), HYPERLINK("#",""), HYPERLINK(CONCATENATE("#metadata!", ADDRESS(INDEX($W$2:$W$1001,MATCH(ROWS($U$2:U74),$U$2:$U$1001,0),0), INDEX($AB$1004:$AQ$1004,1,MATCH(COLUMNS($AB$1006:AC1006),$AB$1006:$AQ$1006,0)))),"Fix")))</f>
        <v>0</v>
      </c>
      <c r="D74" s="4">
        <f>IF(OR(INDEX($V$2:$V$1001,MATCH(ROWS($U$2:U74),$U$2:$U$1001,0),1)&gt;=100000,INDEX($AB$1005:$AQ$1005,1,MATCH(COLUMNS($AB$1006:AD1006),$AB$1006:$AQ$1006,0))&gt;=100000), " ",IF(INDEX($AB$2:$AQ$1001,MATCH(ROWS($U$2:U74),$U$2:$U$1001,0),MATCH(COLUMNS($AB$1006:AD1006),$AB$1006:$AQ$1006,0)), HYPERLINK("#",""), HYPERLINK(CONCATENATE("#metadata!", ADDRESS(INDEX($W$2:$W$1001,MATCH(ROWS($U$2:U74),$U$2:$U$1001,0),0), INDEX($AB$1004:$AQ$1004,1,MATCH(COLUMNS($AB$1006:AD1006),$AB$1006:$AQ$1006,0)))),"Fix")))</f>
        <v>0</v>
      </c>
      <c r="E74" s="4">
        <f>IF(OR(INDEX($V$2:$V$1001,MATCH(ROWS($U$2:U74),$U$2:$U$1001,0),1)&gt;=100000,INDEX($AB$1005:$AQ$1005,1,MATCH(COLUMNS($AB$1006:AE1006),$AB$1006:$AQ$1006,0))&gt;=100000), " ",IF(INDEX($AB$2:$AQ$1001,MATCH(ROWS($U$2:U74),$U$2:$U$1001,0),MATCH(COLUMNS($AB$1006:AE1006),$AB$1006:$AQ$1006,0)), HYPERLINK("#",""), HYPERLINK(CONCATENATE("#metadata!", ADDRESS(INDEX($W$2:$W$1001,MATCH(ROWS($U$2:U74),$U$2:$U$1001,0),0), INDEX($AB$1004:$AQ$1004,1,MATCH(COLUMNS($AB$1006:AE1006),$AB$1006:$AQ$1006,0)))),"Fix")))</f>
        <v>0</v>
      </c>
      <c r="F74" s="4">
        <f>IF(OR(INDEX($V$2:$V$1001,MATCH(ROWS($U$2:U74),$U$2:$U$1001,0),1)&gt;=100000,INDEX($AB$1005:$AQ$1005,1,MATCH(COLUMNS($AB$1006:AF1006),$AB$1006:$AQ$1006,0))&gt;=100000), " ",IF(INDEX($AB$2:$AQ$1001,MATCH(ROWS($U$2:U74),$U$2:$U$1001,0),MATCH(COLUMNS($AB$1006:AF1006),$AB$1006:$AQ$1006,0)), HYPERLINK("#",""), HYPERLINK(CONCATENATE("#metadata!", ADDRESS(INDEX($W$2:$W$1001,MATCH(ROWS($U$2:U74),$U$2:$U$1001,0),0), INDEX($AB$1004:$AQ$1004,1,MATCH(COLUMNS($AB$1006:AF1006),$AB$1006:$AQ$1006,0)))),"Fix")))</f>
        <v>0</v>
      </c>
      <c r="G74" s="4">
        <f>IF(OR(INDEX($V$2:$V$1001,MATCH(ROWS($U$2:U74),$U$2:$U$1001,0),1)&gt;=100000,INDEX($AB$1005:$AQ$1005,1,MATCH(COLUMNS($AB$1006:AG1006),$AB$1006:$AQ$1006,0))&gt;=100000), " ",IF(INDEX($AB$2:$AQ$1001,MATCH(ROWS($U$2:U74),$U$2:$U$1001,0),MATCH(COLUMNS($AB$1006:AG1006),$AB$1006:$AQ$1006,0)), HYPERLINK("#",""), HYPERLINK(CONCATENATE("#metadata!", ADDRESS(INDEX($W$2:$W$1001,MATCH(ROWS($U$2:U74),$U$2:$U$1001,0),0), INDEX($AB$1004:$AQ$1004,1,MATCH(COLUMNS($AB$1006:AG1006),$AB$1006:$AQ$1006,0)))),"Fix")))</f>
        <v>0</v>
      </c>
      <c r="H74" s="4">
        <f>IF(OR(INDEX($V$2:$V$1001,MATCH(ROWS($U$2:U74),$U$2:$U$1001,0),1)&gt;=100000,INDEX($AB$1005:$AQ$1005,1,MATCH(COLUMNS($AB$1006:AH1006),$AB$1006:$AQ$1006,0))&gt;=100000), " ",IF(INDEX($AB$2:$AQ$1001,MATCH(ROWS($U$2:U74),$U$2:$U$1001,0),MATCH(COLUMNS($AB$1006:AH1006),$AB$1006:$AQ$1006,0)), HYPERLINK("#",""), HYPERLINK(CONCATENATE("#metadata!", ADDRESS(INDEX($W$2:$W$1001,MATCH(ROWS($U$2:U74),$U$2:$U$1001,0),0), INDEX($AB$1004:$AQ$1004,1,MATCH(COLUMNS($AB$1006:AH1006),$AB$1006:$AQ$1006,0)))),"Fix")))</f>
        <v>0</v>
      </c>
      <c r="I74" s="4">
        <f>IF(OR(INDEX($V$2:$V$1001,MATCH(ROWS($U$2:U74),$U$2:$U$1001,0),1)&gt;=100000,INDEX($AB$1005:$AQ$1005,1,MATCH(COLUMNS($AB$1006:AI1006),$AB$1006:$AQ$1006,0))&gt;=100000), " ",IF(INDEX($AB$2:$AQ$1001,MATCH(ROWS($U$2:U74),$U$2:$U$1001,0),MATCH(COLUMNS($AB$1006:AI1006),$AB$1006:$AQ$1006,0)), HYPERLINK("#",""), HYPERLINK(CONCATENATE("#metadata!", ADDRESS(INDEX($W$2:$W$1001,MATCH(ROWS($U$2:U74),$U$2:$U$1001,0),0), INDEX($AB$1004:$AQ$1004,1,MATCH(COLUMNS($AB$1006:AI1006),$AB$1006:$AQ$1006,0)))),"Fix")))</f>
        <v>0</v>
      </c>
      <c r="J74" s="4">
        <f>IF(OR(INDEX($V$2:$V$1001,MATCH(ROWS($U$2:U74),$U$2:$U$1001,0),1)&gt;=100000,INDEX($AB$1005:$AQ$1005,1,MATCH(COLUMNS($AB$1006:AJ1006),$AB$1006:$AQ$1006,0))&gt;=100000), " ",IF(INDEX($AB$2:$AQ$1001,MATCH(ROWS($U$2:U74),$U$2:$U$1001,0),MATCH(COLUMNS($AB$1006:AJ1006),$AB$1006:$AQ$1006,0)), HYPERLINK("#",""), HYPERLINK(CONCATENATE("#metadata!", ADDRESS(INDEX($W$2:$W$1001,MATCH(ROWS($U$2:U74),$U$2:$U$1001,0),0), INDEX($AB$1004:$AQ$1004,1,MATCH(COLUMNS($AB$1006:AJ1006),$AB$1006:$AQ$1006,0)))),"Fix")))</f>
        <v>0</v>
      </c>
      <c r="K74" s="4">
        <f>IF(OR(INDEX($V$2:$V$1001,MATCH(ROWS($U$2:U74),$U$2:$U$1001,0),1)&gt;=100000,INDEX($AB$1005:$AQ$1005,1,MATCH(COLUMNS($AB$1006:AK1006),$AB$1006:$AQ$1006,0))&gt;=100000), " ",IF(INDEX($AB$2:$AQ$1001,MATCH(ROWS($U$2:U74),$U$2:$U$1001,0),MATCH(COLUMNS($AB$1006:AK1006),$AB$1006:$AQ$1006,0)), HYPERLINK("#",""), HYPERLINK(CONCATENATE("#metadata!", ADDRESS(INDEX($W$2:$W$1001,MATCH(ROWS($U$2:U74),$U$2:$U$1001,0),0), INDEX($AB$1004:$AQ$1004,1,MATCH(COLUMNS($AB$1006:AK1006),$AB$1006:$AQ$1006,0)))),"Fix")))</f>
        <v>0</v>
      </c>
      <c r="L74" s="4">
        <f>IF(OR(INDEX($V$2:$V$1001,MATCH(ROWS($U$2:U74),$U$2:$U$1001,0),1)&gt;=100000,INDEX($AB$1005:$AQ$1005,1,MATCH(COLUMNS($AB$1006:AL1006),$AB$1006:$AQ$1006,0))&gt;=100000), " ",IF(INDEX($AB$2:$AQ$1001,MATCH(ROWS($U$2:U74),$U$2:$U$1001,0),MATCH(COLUMNS($AB$1006:AL1006),$AB$1006:$AQ$1006,0)), HYPERLINK("#",""), HYPERLINK(CONCATENATE("#metadata!", ADDRESS(INDEX($W$2:$W$1001,MATCH(ROWS($U$2:U74),$U$2:$U$1001,0),0), INDEX($AB$1004:$AQ$1004,1,MATCH(COLUMNS($AB$1006:AL1006),$AB$1006:$AQ$1006,0)))),"Fix")))</f>
        <v>0</v>
      </c>
      <c r="M74" s="4">
        <f>IF(OR(INDEX($V$2:$V$1001,MATCH(ROWS($U$2:U74),$U$2:$U$1001,0),1)&gt;=100000,INDEX($AB$1005:$AQ$1005,1,MATCH(COLUMNS($AB$1006:AM1006),$AB$1006:$AQ$1006,0))&gt;=100000), " ",IF(INDEX($AB$2:$AQ$1001,MATCH(ROWS($U$2:U74),$U$2:$U$1001,0),MATCH(COLUMNS($AB$1006:AM1006),$AB$1006:$AQ$1006,0)), HYPERLINK("#",""), HYPERLINK(CONCATENATE("#metadata!", ADDRESS(INDEX($W$2:$W$1001,MATCH(ROWS($U$2:U74),$U$2:$U$1001,0),0), INDEX($AB$1004:$AQ$1004,1,MATCH(COLUMNS($AB$1006:AM1006),$AB$1006:$AQ$1006,0)))),"Fix")))</f>
        <v>0</v>
      </c>
      <c r="N74" s="4">
        <f>IF(OR(INDEX($V$2:$V$1001,MATCH(ROWS($U$2:U74),$U$2:$U$1001,0),1)&gt;=100000,INDEX($AB$1005:$AQ$1005,1,MATCH(COLUMNS($AB$1006:AN1006),$AB$1006:$AQ$1006,0))&gt;=100000), " ",IF(INDEX($AB$2:$AQ$1001,MATCH(ROWS($U$2:U74),$U$2:$U$1001,0),MATCH(COLUMNS($AB$1006:AN1006),$AB$1006:$AQ$1006,0)), HYPERLINK("#",""), HYPERLINK(CONCATENATE("#metadata!", ADDRESS(INDEX($W$2:$W$1001,MATCH(ROWS($U$2:U74),$U$2:$U$1001,0),0), INDEX($AB$1004:$AQ$1004,1,MATCH(COLUMNS($AB$1006:AN1006),$AB$1006:$AQ$1006,0)))),"Fix")))</f>
        <v>0</v>
      </c>
      <c r="O74" s="4">
        <f>IF(OR(INDEX($V$2:$V$1001,MATCH(ROWS($U$2:U74),$U$2:$U$1001,0),1)&gt;=100000,INDEX($AB$1005:$AQ$1005,1,MATCH(COLUMNS($AB$1006:AO1006),$AB$1006:$AQ$1006,0))&gt;=100000), " ",IF(INDEX($AB$2:$AQ$1001,MATCH(ROWS($U$2:U74),$U$2:$U$1001,0),MATCH(COLUMNS($AB$1006:AO1006),$AB$1006:$AQ$1006,0)), HYPERLINK("#",""), HYPERLINK(CONCATENATE("#metadata!", ADDRESS(INDEX($W$2:$W$1001,MATCH(ROWS($U$2:U74),$U$2:$U$1001,0),0), INDEX($AB$1004:$AQ$1004,1,MATCH(COLUMNS($AB$1006:AO1006),$AB$1006:$AQ$1006,0)))),"Fix")))</f>
        <v>0</v>
      </c>
      <c r="P74" s="4">
        <f>IF(OR(INDEX($V$2:$V$1001,MATCH(ROWS($U$2:U74),$U$2:$U$1001,0),1)&gt;=100000,INDEX($AB$1005:$AQ$1005,1,MATCH(COLUMNS($AB$1006:AP1006),$AB$1006:$AQ$1006,0))&gt;=100000), " ",IF(INDEX($AB$2:$AQ$1001,MATCH(ROWS($U$2:U74),$U$2:$U$1001,0),MATCH(COLUMNS($AB$1006:AP1006),$AB$1006:$AQ$1006,0)), HYPERLINK("#",""), HYPERLINK(CONCATENATE("#metadata!", ADDRESS(INDEX($W$2:$W$1001,MATCH(ROWS($U$2:U74),$U$2:$U$1001,0),0), INDEX($AB$1004:$AQ$1004,1,MATCH(COLUMNS($AB$1006:AP1006),$AB$1006:$AQ$1006,0)))),"Fix")))</f>
        <v>0</v>
      </c>
      <c r="Q74" s="4">
        <f>IF(OR(INDEX($V$2:$V$1001,MATCH(ROWS($U$2:U74),$U$2:$U$1001,0),1)&gt;=100000,INDEX($AB$1005:$AQ$1005,1,MATCH(COLUMNS($AB$1006:AQ1006),$AB$1006:$AQ$1006,0))&gt;=100000), " ",IF(INDEX($AB$2:$AQ$1001,MATCH(ROWS($U$2:U74),$U$2:$U$1001,0),MATCH(COLUMNS($AB$1006:AQ1006),$AB$1006:$AQ$1006,0)), HYPERLINK("#",""), HYPERLINK(CONCATENATE("#metadata!", ADDRESS(INDEX($W$2:$W$1001,MATCH(ROWS($U$2:U74),$U$2:$U$1001,0),0), INDEX($AB$1004:$AQ$1004,1,MATCH(COLUMNS($AB$1006:AQ1006),$AB$1006:$AQ$1006,0)))),"Fix")))</f>
        <v>0</v>
      </c>
      <c r="U74">
        <v>0</v>
      </c>
      <c r="V74">
        <v>0</v>
      </c>
      <c r="W74">
        <v>0</v>
      </c>
      <c r="X74">
        <f>IF(Y74,TRUE,AND(AB74:AQ74))</f>
        <v>0</v>
      </c>
      <c r="Y74">
        <f>COUNTBLANK(metadata!B74:Q74)=COLUMNS(metadata!B74:Q74)</f>
        <v>0</v>
      </c>
      <c r="Z74">
        <v>0</v>
      </c>
      <c r="AB74">
        <f>AND(IF(metadata!B74="",FALSE,TRUE),COUNTIF(metadata!B:B, metadata!B74) = 1,NOT(ISERROR(SUMPRODUCT(SEARCH(MID(metadata!B74,ROW(INDIRECT("1:"&amp;LEN(metadata!B74))), 1),"0123456789abcdefghijklmnopqrstuvwxyzABCDEFGHIJKLMNOPQRSTUVWXYZ.")))))</f>
        <v>0</v>
      </c>
      <c r="AC74">
        <f>OR(AND(IF(metadata!C74="",FALSE,TRUE),OR(exact(metadata!C74,"missing: not collected"),exact(metadata!C74,"missing: not provided"),exact(metadata!C74,"missing: restricted access"))),AND(IF(metadata!C74="",FALSE,TRUE),AND(AND(IFERROR(INT(LEFT(metadata!C74,4))&gt;1900,FALSE),IFERROR(INT(LEFT(metadata!C74,4))&lt;=YEAR(NOW()),FALSE)), OR(MID(metadata!C74,5,1)="", AND(AND(MID(metadata!C74,5,1)="-",IFERROR(INT(MID(metadata!C74,6,1))&gt;=0,FALSE),IFERROR(INT(MID(metadata!C74,6,1))&lt;=1,FALSE),NOT(MID(metadata!C74,7,1)=""),IFERROR(INT(MID(metadata!C74,6,2))&gt;=1,FALSE),IFERROR(INT(MID(metadata!C74,6,2))&lt;=12,FALSE)), OR(MID(metadata!C74,8,1)="", AND(AND(MID(metadata!C74,8,1)="-",IFERROR(INT(MID(metadata!C74,9,1))&gt;=0,FALSE),IFERROR(INT(MID(metadata!C74,9,1))&lt;=3,FALSE),NOT(MID(metadata!C74,10,1)=""),IFERROR(INT(MID(metadata!C74,9,2))&gt;=1,FALSE),IFERROR(INT(MID(metadata!C74,9,2))&lt;=31,FALSE)), OR(MID(metadata!C74,11,1)="", AND(AND(MID(metadata!C74,11,1)=" ",IFERROR(INT(MID(metadata!C74,12,1))&gt;=0,FALSE),IFERROR(INT(MID(metadata!C74,12,1))&lt;=2,FALSE),NOT(MID(metadata!C74,13,1)=""),IFERROR(INT(MID(metadata!C74,12,2))&gt;=0,FALSE),IFERROR(INT(MID(metadata!C74,12,2))&lt;=23,FALSE)), OR(MID(metadata!C74,14,1)="", AND(AND(MID(metadata!C74,14,1)=":",IFERROR(INT(MID(metadata!C74,15,1))&gt;=0,FALSE),IFERROR(INT(MID(metadata!C74,15,1))&lt;=5,FALSE),NOT(MID(metadata!C74,16,1)=""),IFERROR(INT(MID(metadata!C74,15,2))&gt;=0,FALSE),IFERROR(INT(MID(metadata!C74,15,2))&lt;=59,FALSE)), OR(MID(metadata!C74,17,1)="", AND(AND(MID(metadata!C74,17,1)=":",IFERROR(INT(MID(metadata!C74,18,1))&gt;=0,FALSE),IFERROR(INT(MID(metadata!C74,18,1))&lt;=5,FALSE),NOT(MID(metadata!C74,19,1)=""),IFERROR(INT(MID(metadata!C74,18,2))&gt;=0,FALSE),IFERROR(INT(MID(metadata!C74,18,2))&lt;=59,FALSE)), LEN(metadata!C74)&lt;=19)))))))))))))</f>
        <v>0</v>
      </c>
      <c r="AD74">
        <f>IF(metadata!D74="",FALSE,TRUE)</f>
        <v>0</v>
      </c>
      <c r="AE74">
        <f>OR(AND(IF(metadata!E74="",FALSE,TRUE),OR(exact(metadata!E74,"missing: not collected"),exact(metadata!E74,"missing: not provided"))),AND(IF(metadata!E74="",FALSE,TRUE),OR(exact(metadata!E74,"TRUE"),exact(metadata!E74,"FALSE"))))</f>
        <v>0</v>
      </c>
      <c r="AF74">
        <f>IF(metadata!F74="",FALSE,TRUE)</f>
        <v>0</v>
      </c>
      <c r="AG74">
        <f>IF(metadata!G74="",FALSE,TRUE)</f>
        <v>0</v>
      </c>
      <c r="AH74">
        <f>IF(metadata!H74="",FALSE,TRUE)</f>
        <v>0</v>
      </c>
      <c r="AI74">
        <f>OR(AND(IF(metadata!I74="",FALSE,TRUE),OR(exact(metadata!I74,"missing: not collected"),exact(metadata!I74,"missing: not provided"),exact(metadata!I74,"missing: restricted access"))),AND(IF(metadata!I74="",FALSE,TRUE),OR(exact(metadata!I74,"air"),exact(metadata!I74,"built environment"),exact(metadata!I74,"host-associated"),exact(metadata!I74,"human-associated"),exact(metadata!I74,"human-skin"),exact(metadata!I74,"human-oral"),exact(metadata!I74,"human-gut"),exact(metadata!I74,"human-vaginal"),exact(metadata!I74,"microbial mat/biofilm"),exact(metadata!I74,"misc environment"),exact(metadata!I74,"plant-associated"),exact(metadata!I74,"sediment"),exact(metadata!I74,"soil"),exact(metadata!I74,"wastewater/sludge"),exact(metadata!I74,"water"))))</f>
        <v>0</v>
      </c>
      <c r="AJ74">
        <f>IF(metadata!J74="",FALSE,TRUE)</f>
        <v>0</v>
      </c>
      <c r="AK74">
        <f>OR(AND(IF(metadata!K74="",FALSE,TRUE),OR(exact(metadata!K74,"missing: not collected"),exact(metadata!K74,"missing: not provided"),exact(metadata!K74,"missing: restricted access"))),AND(IF(metadata!K74="",FALSE,ISNUMBER(VALUE(metadata!K74))),metadata!K74&gt;=-90.00,metadata!K74&lt;=90.00))</f>
        <v>0</v>
      </c>
      <c r="AL74">
        <f>OR(AND(IF(metadata!L74="",FALSE,TRUE),OR(exact(metadata!L74,"missing: not collected"),exact(metadata!L74,"missing: not provided"),exact(metadata!L74,"missing: restricted access"))),AND(IF(metadata!L74="",FALSE,ISNUMBER(VALUE(metadata!L74))),metadata!L74&gt;=-180.00,metadata!L74&lt;=180.00))</f>
        <v>0</v>
      </c>
      <c r="AM74">
        <f>IF(metadata!M74="",FALSE,TRUE)</f>
        <v>0</v>
      </c>
      <c r="AN74">
        <f>OR(AND(IF(metadata!N74="",FALSE,TRUE),OR(exact(metadata!N74,"missing: not collected"),exact(metadata!N74,"missing: not provided"),exact(metadata!N74,"missing: restricted access"))),AND(IF(metadata!N74="",FALSE,TRUE),OR(exact(metadata!N74,"TRUE"),exact(metadata!N74,"FALSE"))))</f>
        <v>0</v>
      </c>
      <c r="AO74">
        <f>IF(metadata!O74="",FALSE,TRUE)</f>
        <v>0</v>
      </c>
      <c r="AP74">
        <f>OR(AND(IF(metadata!P74="",FALSE,TRUE),OR(exact(metadata!P74,"missing: not collected"),exact(metadata!P74,"missing: not provided"))),AND(IF(metadata!P74="",FALSE,IF(ISERROR(INT(metadata!P74)),FALSE,INT(metadata!P74)=metadata!P74)),metadata!P74&gt;0))</f>
        <v>0</v>
      </c>
      <c r="AQ74">
        <f>IF(metadata!Q74="",FALSE,TRUE)</f>
        <v>0</v>
      </c>
    </row>
    <row r="75" spans="1:43">
      <c r="A75" s="5">
        <f>IF(B75=" "," ",HYPERLINK(CONCATENATE("#metadata!",ADDRESS(INDEX($W$2:$W$1001,MATCH(ROWS($U$2:U75),$U$2:$U$1001,0),0),1)),INDEX($Z$2:$Z$1001,MATCH(ROWS($U$2:U75),$U$2:$U$1001,0),0)))</f>
        <v>0</v>
      </c>
      <c r="B75" s="4">
        <f>IF(OR(INDEX($V$2:$V$1001,MATCH(ROWS($U$2:U75),$U$2:$U$1001,0),1)&gt;=100000,INDEX($AB$1005:$AQ$1005,1,MATCH(COLUMNS($AB$1006:AB1006),$AB$1006:$AQ$1006,0))&gt;=100000), " ",IF(INDEX($AB$2:$AQ$1001,MATCH(ROWS($U$2:U75),$U$2:$U$1001,0),MATCH(COLUMNS($AB$1006:AB1006),$AB$1006:$AQ$1006,0)), HYPERLINK("#",""), HYPERLINK(CONCATENATE("#metadata!", ADDRESS(INDEX($W$2:$W$1001,MATCH(ROWS($U$2:U75),$U$2:$U$1001,0),0), INDEX($AB$1004:$AQ$1004,1,MATCH(COLUMNS($AB$1006:AB1006),$AB$1006:$AQ$1006,0)))),"Fix")))</f>
        <v>0</v>
      </c>
      <c r="C75" s="4">
        <f>IF(OR(INDEX($V$2:$V$1001,MATCH(ROWS($U$2:U75),$U$2:$U$1001,0),1)&gt;=100000,INDEX($AB$1005:$AQ$1005,1,MATCH(COLUMNS($AB$1006:AC1006),$AB$1006:$AQ$1006,0))&gt;=100000), " ",IF(INDEX($AB$2:$AQ$1001,MATCH(ROWS($U$2:U75),$U$2:$U$1001,0),MATCH(COLUMNS($AB$1006:AC1006),$AB$1006:$AQ$1006,0)), HYPERLINK("#",""), HYPERLINK(CONCATENATE("#metadata!", ADDRESS(INDEX($W$2:$W$1001,MATCH(ROWS($U$2:U75),$U$2:$U$1001,0),0), INDEX($AB$1004:$AQ$1004,1,MATCH(COLUMNS($AB$1006:AC1006),$AB$1006:$AQ$1006,0)))),"Fix")))</f>
        <v>0</v>
      </c>
      <c r="D75" s="4">
        <f>IF(OR(INDEX($V$2:$V$1001,MATCH(ROWS($U$2:U75),$U$2:$U$1001,0),1)&gt;=100000,INDEX($AB$1005:$AQ$1005,1,MATCH(COLUMNS($AB$1006:AD1006),$AB$1006:$AQ$1006,0))&gt;=100000), " ",IF(INDEX($AB$2:$AQ$1001,MATCH(ROWS($U$2:U75),$U$2:$U$1001,0),MATCH(COLUMNS($AB$1006:AD1006),$AB$1006:$AQ$1006,0)), HYPERLINK("#",""), HYPERLINK(CONCATENATE("#metadata!", ADDRESS(INDEX($W$2:$W$1001,MATCH(ROWS($U$2:U75),$U$2:$U$1001,0),0), INDEX($AB$1004:$AQ$1004,1,MATCH(COLUMNS($AB$1006:AD1006),$AB$1006:$AQ$1006,0)))),"Fix")))</f>
        <v>0</v>
      </c>
      <c r="E75" s="4">
        <f>IF(OR(INDEX($V$2:$V$1001,MATCH(ROWS($U$2:U75),$U$2:$U$1001,0),1)&gt;=100000,INDEX($AB$1005:$AQ$1005,1,MATCH(COLUMNS($AB$1006:AE1006),$AB$1006:$AQ$1006,0))&gt;=100000), " ",IF(INDEX($AB$2:$AQ$1001,MATCH(ROWS($U$2:U75),$U$2:$U$1001,0),MATCH(COLUMNS($AB$1006:AE1006),$AB$1006:$AQ$1006,0)), HYPERLINK("#",""), HYPERLINK(CONCATENATE("#metadata!", ADDRESS(INDEX($W$2:$W$1001,MATCH(ROWS($U$2:U75),$U$2:$U$1001,0),0), INDEX($AB$1004:$AQ$1004,1,MATCH(COLUMNS($AB$1006:AE1006),$AB$1006:$AQ$1006,0)))),"Fix")))</f>
        <v>0</v>
      </c>
      <c r="F75" s="4">
        <f>IF(OR(INDEX($V$2:$V$1001,MATCH(ROWS($U$2:U75),$U$2:$U$1001,0),1)&gt;=100000,INDEX($AB$1005:$AQ$1005,1,MATCH(COLUMNS($AB$1006:AF1006),$AB$1006:$AQ$1006,0))&gt;=100000), " ",IF(INDEX($AB$2:$AQ$1001,MATCH(ROWS($U$2:U75),$U$2:$U$1001,0),MATCH(COLUMNS($AB$1006:AF1006),$AB$1006:$AQ$1006,0)), HYPERLINK("#",""), HYPERLINK(CONCATENATE("#metadata!", ADDRESS(INDEX($W$2:$W$1001,MATCH(ROWS($U$2:U75),$U$2:$U$1001,0),0), INDEX($AB$1004:$AQ$1004,1,MATCH(COLUMNS($AB$1006:AF1006),$AB$1006:$AQ$1006,0)))),"Fix")))</f>
        <v>0</v>
      </c>
      <c r="G75" s="4">
        <f>IF(OR(INDEX($V$2:$V$1001,MATCH(ROWS($U$2:U75),$U$2:$U$1001,0),1)&gt;=100000,INDEX($AB$1005:$AQ$1005,1,MATCH(COLUMNS($AB$1006:AG1006),$AB$1006:$AQ$1006,0))&gt;=100000), " ",IF(INDEX($AB$2:$AQ$1001,MATCH(ROWS($U$2:U75),$U$2:$U$1001,0),MATCH(COLUMNS($AB$1006:AG1006),$AB$1006:$AQ$1006,0)), HYPERLINK("#",""), HYPERLINK(CONCATENATE("#metadata!", ADDRESS(INDEX($W$2:$W$1001,MATCH(ROWS($U$2:U75),$U$2:$U$1001,0),0), INDEX($AB$1004:$AQ$1004,1,MATCH(COLUMNS($AB$1006:AG1006),$AB$1006:$AQ$1006,0)))),"Fix")))</f>
        <v>0</v>
      </c>
      <c r="H75" s="4">
        <f>IF(OR(INDEX($V$2:$V$1001,MATCH(ROWS($U$2:U75),$U$2:$U$1001,0),1)&gt;=100000,INDEX($AB$1005:$AQ$1005,1,MATCH(COLUMNS($AB$1006:AH1006),$AB$1006:$AQ$1006,0))&gt;=100000), " ",IF(INDEX($AB$2:$AQ$1001,MATCH(ROWS($U$2:U75),$U$2:$U$1001,0),MATCH(COLUMNS($AB$1006:AH1006),$AB$1006:$AQ$1006,0)), HYPERLINK("#",""), HYPERLINK(CONCATENATE("#metadata!", ADDRESS(INDEX($W$2:$W$1001,MATCH(ROWS($U$2:U75),$U$2:$U$1001,0),0), INDEX($AB$1004:$AQ$1004,1,MATCH(COLUMNS($AB$1006:AH1006),$AB$1006:$AQ$1006,0)))),"Fix")))</f>
        <v>0</v>
      </c>
      <c r="I75" s="4">
        <f>IF(OR(INDEX($V$2:$V$1001,MATCH(ROWS($U$2:U75),$U$2:$U$1001,0),1)&gt;=100000,INDEX($AB$1005:$AQ$1005,1,MATCH(COLUMNS($AB$1006:AI1006),$AB$1006:$AQ$1006,0))&gt;=100000), " ",IF(INDEX($AB$2:$AQ$1001,MATCH(ROWS($U$2:U75),$U$2:$U$1001,0),MATCH(COLUMNS($AB$1006:AI1006),$AB$1006:$AQ$1006,0)), HYPERLINK("#",""), HYPERLINK(CONCATENATE("#metadata!", ADDRESS(INDEX($W$2:$W$1001,MATCH(ROWS($U$2:U75),$U$2:$U$1001,0),0), INDEX($AB$1004:$AQ$1004,1,MATCH(COLUMNS($AB$1006:AI1006),$AB$1006:$AQ$1006,0)))),"Fix")))</f>
        <v>0</v>
      </c>
      <c r="J75" s="4">
        <f>IF(OR(INDEX($V$2:$V$1001,MATCH(ROWS($U$2:U75),$U$2:$U$1001,0),1)&gt;=100000,INDEX($AB$1005:$AQ$1005,1,MATCH(COLUMNS($AB$1006:AJ1006),$AB$1006:$AQ$1006,0))&gt;=100000), " ",IF(INDEX($AB$2:$AQ$1001,MATCH(ROWS($U$2:U75),$U$2:$U$1001,0),MATCH(COLUMNS($AB$1006:AJ1006),$AB$1006:$AQ$1006,0)), HYPERLINK("#",""), HYPERLINK(CONCATENATE("#metadata!", ADDRESS(INDEX($W$2:$W$1001,MATCH(ROWS($U$2:U75),$U$2:$U$1001,0),0), INDEX($AB$1004:$AQ$1004,1,MATCH(COLUMNS($AB$1006:AJ1006),$AB$1006:$AQ$1006,0)))),"Fix")))</f>
        <v>0</v>
      </c>
      <c r="K75" s="4">
        <f>IF(OR(INDEX($V$2:$V$1001,MATCH(ROWS($U$2:U75),$U$2:$U$1001,0),1)&gt;=100000,INDEX($AB$1005:$AQ$1005,1,MATCH(COLUMNS($AB$1006:AK1006),$AB$1006:$AQ$1006,0))&gt;=100000), " ",IF(INDEX($AB$2:$AQ$1001,MATCH(ROWS($U$2:U75),$U$2:$U$1001,0),MATCH(COLUMNS($AB$1006:AK1006),$AB$1006:$AQ$1006,0)), HYPERLINK("#",""), HYPERLINK(CONCATENATE("#metadata!", ADDRESS(INDEX($W$2:$W$1001,MATCH(ROWS($U$2:U75),$U$2:$U$1001,0),0), INDEX($AB$1004:$AQ$1004,1,MATCH(COLUMNS($AB$1006:AK1006),$AB$1006:$AQ$1006,0)))),"Fix")))</f>
        <v>0</v>
      </c>
      <c r="L75" s="4">
        <f>IF(OR(INDEX($V$2:$V$1001,MATCH(ROWS($U$2:U75),$U$2:$U$1001,0),1)&gt;=100000,INDEX($AB$1005:$AQ$1005,1,MATCH(COLUMNS($AB$1006:AL1006),$AB$1006:$AQ$1006,0))&gt;=100000), " ",IF(INDEX($AB$2:$AQ$1001,MATCH(ROWS($U$2:U75),$U$2:$U$1001,0),MATCH(COLUMNS($AB$1006:AL1006),$AB$1006:$AQ$1006,0)), HYPERLINK("#",""), HYPERLINK(CONCATENATE("#metadata!", ADDRESS(INDEX($W$2:$W$1001,MATCH(ROWS($U$2:U75),$U$2:$U$1001,0),0), INDEX($AB$1004:$AQ$1004,1,MATCH(COLUMNS($AB$1006:AL1006),$AB$1006:$AQ$1006,0)))),"Fix")))</f>
        <v>0</v>
      </c>
      <c r="M75" s="4">
        <f>IF(OR(INDEX($V$2:$V$1001,MATCH(ROWS($U$2:U75),$U$2:$U$1001,0),1)&gt;=100000,INDEX($AB$1005:$AQ$1005,1,MATCH(COLUMNS($AB$1006:AM1006),$AB$1006:$AQ$1006,0))&gt;=100000), " ",IF(INDEX($AB$2:$AQ$1001,MATCH(ROWS($U$2:U75),$U$2:$U$1001,0),MATCH(COLUMNS($AB$1006:AM1006),$AB$1006:$AQ$1006,0)), HYPERLINK("#",""), HYPERLINK(CONCATENATE("#metadata!", ADDRESS(INDEX($W$2:$W$1001,MATCH(ROWS($U$2:U75),$U$2:$U$1001,0),0), INDEX($AB$1004:$AQ$1004,1,MATCH(COLUMNS($AB$1006:AM1006),$AB$1006:$AQ$1006,0)))),"Fix")))</f>
        <v>0</v>
      </c>
      <c r="N75" s="4">
        <f>IF(OR(INDEX($V$2:$V$1001,MATCH(ROWS($U$2:U75),$U$2:$U$1001,0),1)&gt;=100000,INDEX($AB$1005:$AQ$1005,1,MATCH(COLUMNS($AB$1006:AN1006),$AB$1006:$AQ$1006,0))&gt;=100000), " ",IF(INDEX($AB$2:$AQ$1001,MATCH(ROWS($U$2:U75),$U$2:$U$1001,0),MATCH(COLUMNS($AB$1006:AN1006),$AB$1006:$AQ$1006,0)), HYPERLINK("#",""), HYPERLINK(CONCATENATE("#metadata!", ADDRESS(INDEX($W$2:$W$1001,MATCH(ROWS($U$2:U75),$U$2:$U$1001,0),0), INDEX($AB$1004:$AQ$1004,1,MATCH(COLUMNS($AB$1006:AN1006),$AB$1006:$AQ$1006,0)))),"Fix")))</f>
        <v>0</v>
      </c>
      <c r="O75" s="4">
        <f>IF(OR(INDEX($V$2:$V$1001,MATCH(ROWS($U$2:U75),$U$2:$U$1001,0),1)&gt;=100000,INDEX($AB$1005:$AQ$1005,1,MATCH(COLUMNS($AB$1006:AO1006),$AB$1006:$AQ$1006,0))&gt;=100000), " ",IF(INDEX($AB$2:$AQ$1001,MATCH(ROWS($U$2:U75),$U$2:$U$1001,0),MATCH(COLUMNS($AB$1006:AO1006),$AB$1006:$AQ$1006,0)), HYPERLINK("#",""), HYPERLINK(CONCATENATE("#metadata!", ADDRESS(INDEX($W$2:$W$1001,MATCH(ROWS($U$2:U75),$U$2:$U$1001,0),0), INDEX($AB$1004:$AQ$1004,1,MATCH(COLUMNS($AB$1006:AO1006),$AB$1006:$AQ$1006,0)))),"Fix")))</f>
        <v>0</v>
      </c>
      <c r="P75" s="4">
        <f>IF(OR(INDEX($V$2:$V$1001,MATCH(ROWS($U$2:U75),$U$2:$U$1001,0),1)&gt;=100000,INDEX($AB$1005:$AQ$1005,1,MATCH(COLUMNS($AB$1006:AP1006),$AB$1006:$AQ$1006,0))&gt;=100000), " ",IF(INDEX($AB$2:$AQ$1001,MATCH(ROWS($U$2:U75),$U$2:$U$1001,0),MATCH(COLUMNS($AB$1006:AP1006),$AB$1006:$AQ$1006,0)), HYPERLINK("#",""), HYPERLINK(CONCATENATE("#metadata!", ADDRESS(INDEX($W$2:$W$1001,MATCH(ROWS($U$2:U75),$U$2:$U$1001,0),0), INDEX($AB$1004:$AQ$1004,1,MATCH(COLUMNS($AB$1006:AP1006),$AB$1006:$AQ$1006,0)))),"Fix")))</f>
        <v>0</v>
      </c>
      <c r="Q75" s="4">
        <f>IF(OR(INDEX($V$2:$V$1001,MATCH(ROWS($U$2:U75),$U$2:$U$1001,0),1)&gt;=100000,INDEX($AB$1005:$AQ$1005,1,MATCH(COLUMNS($AB$1006:AQ1006),$AB$1006:$AQ$1006,0))&gt;=100000), " ",IF(INDEX($AB$2:$AQ$1001,MATCH(ROWS($U$2:U75),$U$2:$U$1001,0),MATCH(COLUMNS($AB$1006:AQ1006),$AB$1006:$AQ$1006,0)), HYPERLINK("#",""), HYPERLINK(CONCATENATE("#metadata!", ADDRESS(INDEX($W$2:$W$1001,MATCH(ROWS($U$2:U75),$U$2:$U$1001,0),0), INDEX($AB$1004:$AQ$1004,1,MATCH(COLUMNS($AB$1006:AQ1006),$AB$1006:$AQ$1006,0)))),"Fix")))</f>
        <v>0</v>
      </c>
      <c r="U75">
        <v>0</v>
      </c>
      <c r="V75">
        <v>0</v>
      </c>
      <c r="W75">
        <v>0</v>
      </c>
      <c r="X75">
        <f>IF(Y75,TRUE,AND(AB75:AQ75))</f>
        <v>0</v>
      </c>
      <c r="Y75">
        <f>COUNTBLANK(metadata!B75:Q75)=COLUMNS(metadata!B75:Q75)</f>
        <v>0</v>
      </c>
      <c r="Z75">
        <v>0</v>
      </c>
      <c r="AB75">
        <f>AND(IF(metadata!B75="",FALSE,TRUE),COUNTIF(metadata!B:B, metadata!B75) = 1,NOT(ISERROR(SUMPRODUCT(SEARCH(MID(metadata!B75,ROW(INDIRECT("1:"&amp;LEN(metadata!B75))), 1),"0123456789abcdefghijklmnopqrstuvwxyzABCDEFGHIJKLMNOPQRSTUVWXYZ.")))))</f>
        <v>0</v>
      </c>
      <c r="AC75">
        <f>OR(AND(IF(metadata!C75="",FALSE,TRUE),OR(exact(metadata!C75,"missing: not collected"),exact(metadata!C75,"missing: not provided"),exact(metadata!C75,"missing: restricted access"))),AND(IF(metadata!C75="",FALSE,TRUE),AND(AND(IFERROR(INT(LEFT(metadata!C75,4))&gt;1900,FALSE),IFERROR(INT(LEFT(metadata!C75,4))&lt;=YEAR(NOW()),FALSE)), OR(MID(metadata!C75,5,1)="", AND(AND(MID(metadata!C75,5,1)="-",IFERROR(INT(MID(metadata!C75,6,1))&gt;=0,FALSE),IFERROR(INT(MID(metadata!C75,6,1))&lt;=1,FALSE),NOT(MID(metadata!C75,7,1)=""),IFERROR(INT(MID(metadata!C75,6,2))&gt;=1,FALSE),IFERROR(INT(MID(metadata!C75,6,2))&lt;=12,FALSE)), OR(MID(metadata!C75,8,1)="", AND(AND(MID(metadata!C75,8,1)="-",IFERROR(INT(MID(metadata!C75,9,1))&gt;=0,FALSE),IFERROR(INT(MID(metadata!C75,9,1))&lt;=3,FALSE),NOT(MID(metadata!C75,10,1)=""),IFERROR(INT(MID(metadata!C75,9,2))&gt;=1,FALSE),IFERROR(INT(MID(metadata!C75,9,2))&lt;=31,FALSE)), OR(MID(metadata!C75,11,1)="", AND(AND(MID(metadata!C75,11,1)=" ",IFERROR(INT(MID(metadata!C75,12,1))&gt;=0,FALSE),IFERROR(INT(MID(metadata!C75,12,1))&lt;=2,FALSE),NOT(MID(metadata!C75,13,1)=""),IFERROR(INT(MID(metadata!C75,12,2))&gt;=0,FALSE),IFERROR(INT(MID(metadata!C75,12,2))&lt;=23,FALSE)), OR(MID(metadata!C75,14,1)="", AND(AND(MID(metadata!C75,14,1)=":",IFERROR(INT(MID(metadata!C75,15,1))&gt;=0,FALSE),IFERROR(INT(MID(metadata!C75,15,1))&lt;=5,FALSE),NOT(MID(metadata!C75,16,1)=""),IFERROR(INT(MID(metadata!C75,15,2))&gt;=0,FALSE),IFERROR(INT(MID(metadata!C75,15,2))&lt;=59,FALSE)), OR(MID(metadata!C75,17,1)="", AND(AND(MID(metadata!C75,17,1)=":",IFERROR(INT(MID(metadata!C75,18,1))&gt;=0,FALSE),IFERROR(INT(MID(metadata!C75,18,1))&lt;=5,FALSE),NOT(MID(metadata!C75,19,1)=""),IFERROR(INT(MID(metadata!C75,18,2))&gt;=0,FALSE),IFERROR(INT(MID(metadata!C75,18,2))&lt;=59,FALSE)), LEN(metadata!C75)&lt;=19)))))))))))))</f>
        <v>0</v>
      </c>
      <c r="AD75">
        <f>IF(metadata!D75="",FALSE,TRUE)</f>
        <v>0</v>
      </c>
      <c r="AE75">
        <f>OR(AND(IF(metadata!E75="",FALSE,TRUE),OR(exact(metadata!E75,"missing: not collected"),exact(metadata!E75,"missing: not provided"))),AND(IF(metadata!E75="",FALSE,TRUE),OR(exact(metadata!E75,"TRUE"),exact(metadata!E75,"FALSE"))))</f>
        <v>0</v>
      </c>
      <c r="AF75">
        <f>IF(metadata!F75="",FALSE,TRUE)</f>
        <v>0</v>
      </c>
      <c r="AG75">
        <f>IF(metadata!G75="",FALSE,TRUE)</f>
        <v>0</v>
      </c>
      <c r="AH75">
        <f>IF(metadata!H75="",FALSE,TRUE)</f>
        <v>0</v>
      </c>
      <c r="AI75">
        <f>OR(AND(IF(metadata!I75="",FALSE,TRUE),OR(exact(metadata!I75,"missing: not collected"),exact(metadata!I75,"missing: not provided"),exact(metadata!I75,"missing: restricted access"))),AND(IF(metadata!I75="",FALSE,TRUE),OR(exact(metadata!I75,"air"),exact(metadata!I75,"built environment"),exact(metadata!I75,"host-associated"),exact(metadata!I75,"human-associated"),exact(metadata!I75,"human-skin"),exact(metadata!I75,"human-oral"),exact(metadata!I75,"human-gut"),exact(metadata!I75,"human-vaginal"),exact(metadata!I75,"microbial mat/biofilm"),exact(metadata!I75,"misc environment"),exact(metadata!I75,"plant-associated"),exact(metadata!I75,"sediment"),exact(metadata!I75,"soil"),exact(metadata!I75,"wastewater/sludge"),exact(metadata!I75,"water"))))</f>
        <v>0</v>
      </c>
      <c r="AJ75">
        <f>IF(metadata!J75="",FALSE,TRUE)</f>
        <v>0</v>
      </c>
      <c r="AK75">
        <f>OR(AND(IF(metadata!K75="",FALSE,TRUE),OR(exact(metadata!K75,"missing: not collected"),exact(metadata!K75,"missing: not provided"),exact(metadata!K75,"missing: restricted access"))),AND(IF(metadata!K75="",FALSE,ISNUMBER(VALUE(metadata!K75))),metadata!K75&gt;=-90.00,metadata!K75&lt;=90.00))</f>
        <v>0</v>
      </c>
      <c r="AL75">
        <f>OR(AND(IF(metadata!L75="",FALSE,TRUE),OR(exact(metadata!L75,"missing: not collected"),exact(metadata!L75,"missing: not provided"),exact(metadata!L75,"missing: restricted access"))),AND(IF(metadata!L75="",FALSE,ISNUMBER(VALUE(metadata!L75))),metadata!L75&gt;=-180.00,metadata!L75&lt;=180.00))</f>
        <v>0</v>
      </c>
      <c r="AM75">
        <f>IF(metadata!M75="",FALSE,TRUE)</f>
        <v>0</v>
      </c>
      <c r="AN75">
        <f>OR(AND(IF(metadata!N75="",FALSE,TRUE),OR(exact(metadata!N75,"missing: not collected"),exact(metadata!N75,"missing: not provided"),exact(metadata!N75,"missing: restricted access"))),AND(IF(metadata!N75="",FALSE,TRUE),OR(exact(metadata!N75,"TRUE"),exact(metadata!N75,"FALSE"))))</f>
        <v>0</v>
      </c>
      <c r="AO75">
        <f>IF(metadata!O75="",FALSE,TRUE)</f>
        <v>0</v>
      </c>
      <c r="AP75">
        <f>OR(AND(IF(metadata!P75="",FALSE,TRUE),OR(exact(metadata!P75,"missing: not collected"),exact(metadata!P75,"missing: not provided"))),AND(IF(metadata!P75="",FALSE,IF(ISERROR(INT(metadata!P75)),FALSE,INT(metadata!P75)=metadata!P75)),metadata!P75&gt;0))</f>
        <v>0</v>
      </c>
      <c r="AQ75">
        <f>IF(metadata!Q75="",FALSE,TRUE)</f>
        <v>0</v>
      </c>
    </row>
    <row r="76" spans="1:43">
      <c r="A76" s="5">
        <f>IF(B76=" "," ",HYPERLINK(CONCATENATE("#metadata!",ADDRESS(INDEX($W$2:$W$1001,MATCH(ROWS($U$2:U76),$U$2:$U$1001,0),0),1)),INDEX($Z$2:$Z$1001,MATCH(ROWS($U$2:U76),$U$2:$U$1001,0),0)))</f>
        <v>0</v>
      </c>
      <c r="B76" s="4">
        <f>IF(OR(INDEX($V$2:$V$1001,MATCH(ROWS($U$2:U76),$U$2:$U$1001,0),1)&gt;=100000,INDEX($AB$1005:$AQ$1005,1,MATCH(COLUMNS($AB$1006:AB1006),$AB$1006:$AQ$1006,0))&gt;=100000), " ",IF(INDEX($AB$2:$AQ$1001,MATCH(ROWS($U$2:U76),$U$2:$U$1001,0),MATCH(COLUMNS($AB$1006:AB1006),$AB$1006:$AQ$1006,0)), HYPERLINK("#",""), HYPERLINK(CONCATENATE("#metadata!", ADDRESS(INDEX($W$2:$W$1001,MATCH(ROWS($U$2:U76),$U$2:$U$1001,0),0), INDEX($AB$1004:$AQ$1004,1,MATCH(COLUMNS($AB$1006:AB1006),$AB$1006:$AQ$1006,0)))),"Fix")))</f>
        <v>0</v>
      </c>
      <c r="C76" s="4">
        <f>IF(OR(INDEX($V$2:$V$1001,MATCH(ROWS($U$2:U76),$U$2:$U$1001,0),1)&gt;=100000,INDEX($AB$1005:$AQ$1005,1,MATCH(COLUMNS($AB$1006:AC1006),$AB$1006:$AQ$1006,0))&gt;=100000), " ",IF(INDEX($AB$2:$AQ$1001,MATCH(ROWS($U$2:U76),$U$2:$U$1001,0),MATCH(COLUMNS($AB$1006:AC1006),$AB$1006:$AQ$1006,0)), HYPERLINK("#",""), HYPERLINK(CONCATENATE("#metadata!", ADDRESS(INDEX($W$2:$W$1001,MATCH(ROWS($U$2:U76),$U$2:$U$1001,0),0), INDEX($AB$1004:$AQ$1004,1,MATCH(COLUMNS($AB$1006:AC1006),$AB$1006:$AQ$1006,0)))),"Fix")))</f>
        <v>0</v>
      </c>
      <c r="D76" s="4">
        <f>IF(OR(INDEX($V$2:$V$1001,MATCH(ROWS($U$2:U76),$U$2:$U$1001,0),1)&gt;=100000,INDEX($AB$1005:$AQ$1005,1,MATCH(COLUMNS($AB$1006:AD1006),$AB$1006:$AQ$1006,0))&gt;=100000), " ",IF(INDEX($AB$2:$AQ$1001,MATCH(ROWS($U$2:U76),$U$2:$U$1001,0),MATCH(COLUMNS($AB$1006:AD1006),$AB$1006:$AQ$1006,0)), HYPERLINK("#",""), HYPERLINK(CONCATENATE("#metadata!", ADDRESS(INDEX($W$2:$W$1001,MATCH(ROWS($U$2:U76),$U$2:$U$1001,0),0), INDEX($AB$1004:$AQ$1004,1,MATCH(COLUMNS($AB$1006:AD1006),$AB$1006:$AQ$1006,0)))),"Fix")))</f>
        <v>0</v>
      </c>
      <c r="E76" s="4">
        <f>IF(OR(INDEX($V$2:$V$1001,MATCH(ROWS($U$2:U76),$U$2:$U$1001,0),1)&gt;=100000,INDEX($AB$1005:$AQ$1005,1,MATCH(COLUMNS($AB$1006:AE1006),$AB$1006:$AQ$1006,0))&gt;=100000), " ",IF(INDEX($AB$2:$AQ$1001,MATCH(ROWS($U$2:U76),$U$2:$U$1001,0),MATCH(COLUMNS($AB$1006:AE1006),$AB$1006:$AQ$1006,0)), HYPERLINK("#",""), HYPERLINK(CONCATENATE("#metadata!", ADDRESS(INDEX($W$2:$W$1001,MATCH(ROWS($U$2:U76),$U$2:$U$1001,0),0), INDEX($AB$1004:$AQ$1004,1,MATCH(COLUMNS($AB$1006:AE1006),$AB$1006:$AQ$1006,0)))),"Fix")))</f>
        <v>0</v>
      </c>
      <c r="F76" s="4">
        <f>IF(OR(INDEX($V$2:$V$1001,MATCH(ROWS($U$2:U76),$U$2:$U$1001,0),1)&gt;=100000,INDEX($AB$1005:$AQ$1005,1,MATCH(COLUMNS($AB$1006:AF1006),$AB$1006:$AQ$1006,0))&gt;=100000), " ",IF(INDEX($AB$2:$AQ$1001,MATCH(ROWS($U$2:U76),$U$2:$U$1001,0),MATCH(COLUMNS($AB$1006:AF1006),$AB$1006:$AQ$1006,0)), HYPERLINK("#",""), HYPERLINK(CONCATENATE("#metadata!", ADDRESS(INDEX($W$2:$W$1001,MATCH(ROWS($U$2:U76),$U$2:$U$1001,0),0), INDEX($AB$1004:$AQ$1004,1,MATCH(COLUMNS($AB$1006:AF1006),$AB$1006:$AQ$1006,0)))),"Fix")))</f>
        <v>0</v>
      </c>
      <c r="G76" s="4">
        <f>IF(OR(INDEX($V$2:$V$1001,MATCH(ROWS($U$2:U76),$U$2:$U$1001,0),1)&gt;=100000,INDEX($AB$1005:$AQ$1005,1,MATCH(COLUMNS($AB$1006:AG1006),$AB$1006:$AQ$1006,0))&gt;=100000), " ",IF(INDEX($AB$2:$AQ$1001,MATCH(ROWS($U$2:U76),$U$2:$U$1001,0),MATCH(COLUMNS($AB$1006:AG1006),$AB$1006:$AQ$1006,0)), HYPERLINK("#",""), HYPERLINK(CONCATENATE("#metadata!", ADDRESS(INDEX($W$2:$W$1001,MATCH(ROWS($U$2:U76),$U$2:$U$1001,0),0), INDEX($AB$1004:$AQ$1004,1,MATCH(COLUMNS($AB$1006:AG1006),$AB$1006:$AQ$1006,0)))),"Fix")))</f>
        <v>0</v>
      </c>
      <c r="H76" s="4">
        <f>IF(OR(INDEX($V$2:$V$1001,MATCH(ROWS($U$2:U76),$U$2:$U$1001,0),1)&gt;=100000,INDEX($AB$1005:$AQ$1005,1,MATCH(COLUMNS($AB$1006:AH1006),$AB$1006:$AQ$1006,0))&gt;=100000), " ",IF(INDEX($AB$2:$AQ$1001,MATCH(ROWS($U$2:U76),$U$2:$U$1001,0),MATCH(COLUMNS($AB$1006:AH1006),$AB$1006:$AQ$1006,0)), HYPERLINK("#",""), HYPERLINK(CONCATENATE("#metadata!", ADDRESS(INDEX($W$2:$W$1001,MATCH(ROWS($U$2:U76),$U$2:$U$1001,0),0), INDEX($AB$1004:$AQ$1004,1,MATCH(COLUMNS($AB$1006:AH1006),$AB$1006:$AQ$1006,0)))),"Fix")))</f>
        <v>0</v>
      </c>
      <c r="I76" s="4">
        <f>IF(OR(INDEX($V$2:$V$1001,MATCH(ROWS($U$2:U76),$U$2:$U$1001,0),1)&gt;=100000,INDEX($AB$1005:$AQ$1005,1,MATCH(COLUMNS($AB$1006:AI1006),$AB$1006:$AQ$1006,0))&gt;=100000), " ",IF(INDEX($AB$2:$AQ$1001,MATCH(ROWS($U$2:U76),$U$2:$U$1001,0),MATCH(COLUMNS($AB$1006:AI1006),$AB$1006:$AQ$1006,0)), HYPERLINK("#",""), HYPERLINK(CONCATENATE("#metadata!", ADDRESS(INDEX($W$2:$W$1001,MATCH(ROWS($U$2:U76),$U$2:$U$1001,0),0), INDEX($AB$1004:$AQ$1004,1,MATCH(COLUMNS($AB$1006:AI1006),$AB$1006:$AQ$1006,0)))),"Fix")))</f>
        <v>0</v>
      </c>
      <c r="J76" s="4">
        <f>IF(OR(INDEX($V$2:$V$1001,MATCH(ROWS($U$2:U76),$U$2:$U$1001,0),1)&gt;=100000,INDEX($AB$1005:$AQ$1005,1,MATCH(COLUMNS($AB$1006:AJ1006),$AB$1006:$AQ$1006,0))&gt;=100000), " ",IF(INDEX($AB$2:$AQ$1001,MATCH(ROWS($U$2:U76),$U$2:$U$1001,0),MATCH(COLUMNS($AB$1006:AJ1006),$AB$1006:$AQ$1006,0)), HYPERLINK("#",""), HYPERLINK(CONCATENATE("#metadata!", ADDRESS(INDEX($W$2:$W$1001,MATCH(ROWS($U$2:U76),$U$2:$U$1001,0),0), INDEX($AB$1004:$AQ$1004,1,MATCH(COLUMNS($AB$1006:AJ1006),$AB$1006:$AQ$1006,0)))),"Fix")))</f>
        <v>0</v>
      </c>
      <c r="K76" s="4">
        <f>IF(OR(INDEX($V$2:$V$1001,MATCH(ROWS($U$2:U76),$U$2:$U$1001,0),1)&gt;=100000,INDEX($AB$1005:$AQ$1005,1,MATCH(COLUMNS($AB$1006:AK1006),$AB$1006:$AQ$1006,0))&gt;=100000), " ",IF(INDEX($AB$2:$AQ$1001,MATCH(ROWS($U$2:U76),$U$2:$U$1001,0),MATCH(COLUMNS($AB$1006:AK1006),$AB$1006:$AQ$1006,0)), HYPERLINK("#",""), HYPERLINK(CONCATENATE("#metadata!", ADDRESS(INDEX($W$2:$W$1001,MATCH(ROWS($U$2:U76),$U$2:$U$1001,0),0), INDEX($AB$1004:$AQ$1004,1,MATCH(COLUMNS($AB$1006:AK1006),$AB$1006:$AQ$1006,0)))),"Fix")))</f>
        <v>0</v>
      </c>
      <c r="L76" s="4">
        <f>IF(OR(INDEX($V$2:$V$1001,MATCH(ROWS($U$2:U76),$U$2:$U$1001,0),1)&gt;=100000,INDEX($AB$1005:$AQ$1005,1,MATCH(COLUMNS($AB$1006:AL1006),$AB$1006:$AQ$1006,0))&gt;=100000), " ",IF(INDEX($AB$2:$AQ$1001,MATCH(ROWS($U$2:U76),$U$2:$U$1001,0),MATCH(COLUMNS($AB$1006:AL1006),$AB$1006:$AQ$1006,0)), HYPERLINK("#",""), HYPERLINK(CONCATENATE("#metadata!", ADDRESS(INDEX($W$2:$W$1001,MATCH(ROWS($U$2:U76),$U$2:$U$1001,0),0), INDEX($AB$1004:$AQ$1004,1,MATCH(COLUMNS($AB$1006:AL1006),$AB$1006:$AQ$1006,0)))),"Fix")))</f>
        <v>0</v>
      </c>
      <c r="M76" s="4">
        <f>IF(OR(INDEX($V$2:$V$1001,MATCH(ROWS($U$2:U76),$U$2:$U$1001,0),1)&gt;=100000,INDEX($AB$1005:$AQ$1005,1,MATCH(COLUMNS($AB$1006:AM1006),$AB$1006:$AQ$1006,0))&gt;=100000), " ",IF(INDEX($AB$2:$AQ$1001,MATCH(ROWS($U$2:U76),$U$2:$U$1001,0),MATCH(COLUMNS($AB$1006:AM1006),$AB$1006:$AQ$1006,0)), HYPERLINK("#",""), HYPERLINK(CONCATENATE("#metadata!", ADDRESS(INDEX($W$2:$W$1001,MATCH(ROWS($U$2:U76),$U$2:$U$1001,0),0), INDEX($AB$1004:$AQ$1004,1,MATCH(COLUMNS($AB$1006:AM1006),$AB$1006:$AQ$1006,0)))),"Fix")))</f>
        <v>0</v>
      </c>
      <c r="N76" s="4">
        <f>IF(OR(INDEX($V$2:$V$1001,MATCH(ROWS($U$2:U76),$U$2:$U$1001,0),1)&gt;=100000,INDEX($AB$1005:$AQ$1005,1,MATCH(COLUMNS($AB$1006:AN1006),$AB$1006:$AQ$1006,0))&gt;=100000), " ",IF(INDEX($AB$2:$AQ$1001,MATCH(ROWS($U$2:U76),$U$2:$U$1001,0),MATCH(COLUMNS($AB$1006:AN1006),$AB$1006:$AQ$1006,0)), HYPERLINK("#",""), HYPERLINK(CONCATENATE("#metadata!", ADDRESS(INDEX($W$2:$W$1001,MATCH(ROWS($U$2:U76),$U$2:$U$1001,0),0), INDEX($AB$1004:$AQ$1004,1,MATCH(COLUMNS($AB$1006:AN1006),$AB$1006:$AQ$1006,0)))),"Fix")))</f>
        <v>0</v>
      </c>
      <c r="O76" s="4">
        <f>IF(OR(INDEX($V$2:$V$1001,MATCH(ROWS($U$2:U76),$U$2:$U$1001,0),1)&gt;=100000,INDEX($AB$1005:$AQ$1005,1,MATCH(COLUMNS($AB$1006:AO1006),$AB$1006:$AQ$1006,0))&gt;=100000), " ",IF(INDEX($AB$2:$AQ$1001,MATCH(ROWS($U$2:U76),$U$2:$U$1001,0),MATCH(COLUMNS($AB$1006:AO1006),$AB$1006:$AQ$1006,0)), HYPERLINK("#",""), HYPERLINK(CONCATENATE("#metadata!", ADDRESS(INDEX($W$2:$W$1001,MATCH(ROWS($U$2:U76),$U$2:$U$1001,0),0), INDEX($AB$1004:$AQ$1004,1,MATCH(COLUMNS($AB$1006:AO1006),$AB$1006:$AQ$1006,0)))),"Fix")))</f>
        <v>0</v>
      </c>
      <c r="P76" s="4">
        <f>IF(OR(INDEX($V$2:$V$1001,MATCH(ROWS($U$2:U76),$U$2:$U$1001,0),1)&gt;=100000,INDEX($AB$1005:$AQ$1005,1,MATCH(COLUMNS($AB$1006:AP1006),$AB$1006:$AQ$1006,0))&gt;=100000), " ",IF(INDEX($AB$2:$AQ$1001,MATCH(ROWS($U$2:U76),$U$2:$U$1001,0),MATCH(COLUMNS($AB$1006:AP1006),$AB$1006:$AQ$1006,0)), HYPERLINK("#",""), HYPERLINK(CONCATENATE("#metadata!", ADDRESS(INDEX($W$2:$W$1001,MATCH(ROWS($U$2:U76),$U$2:$U$1001,0),0), INDEX($AB$1004:$AQ$1004,1,MATCH(COLUMNS($AB$1006:AP1006),$AB$1006:$AQ$1006,0)))),"Fix")))</f>
        <v>0</v>
      </c>
      <c r="Q76" s="4">
        <f>IF(OR(INDEX($V$2:$V$1001,MATCH(ROWS($U$2:U76),$U$2:$U$1001,0),1)&gt;=100000,INDEX($AB$1005:$AQ$1005,1,MATCH(COLUMNS($AB$1006:AQ1006),$AB$1006:$AQ$1006,0))&gt;=100000), " ",IF(INDEX($AB$2:$AQ$1001,MATCH(ROWS($U$2:U76),$U$2:$U$1001,0),MATCH(COLUMNS($AB$1006:AQ1006),$AB$1006:$AQ$1006,0)), HYPERLINK("#",""), HYPERLINK(CONCATENATE("#metadata!", ADDRESS(INDEX($W$2:$W$1001,MATCH(ROWS($U$2:U76),$U$2:$U$1001,0),0), INDEX($AB$1004:$AQ$1004,1,MATCH(COLUMNS($AB$1006:AQ1006),$AB$1006:$AQ$1006,0)))),"Fix")))</f>
        <v>0</v>
      </c>
      <c r="U76">
        <v>0</v>
      </c>
      <c r="V76">
        <v>0</v>
      </c>
      <c r="W76">
        <v>0</v>
      </c>
      <c r="X76">
        <f>IF(Y76,TRUE,AND(AB76:AQ76))</f>
        <v>0</v>
      </c>
      <c r="Y76">
        <f>COUNTBLANK(metadata!B76:Q76)=COLUMNS(metadata!B76:Q76)</f>
        <v>0</v>
      </c>
      <c r="Z76">
        <v>0</v>
      </c>
      <c r="AB76">
        <f>AND(IF(metadata!B76="",FALSE,TRUE),COUNTIF(metadata!B:B, metadata!B76) = 1,NOT(ISERROR(SUMPRODUCT(SEARCH(MID(metadata!B76,ROW(INDIRECT("1:"&amp;LEN(metadata!B76))), 1),"0123456789abcdefghijklmnopqrstuvwxyzABCDEFGHIJKLMNOPQRSTUVWXYZ.")))))</f>
        <v>0</v>
      </c>
      <c r="AC76">
        <f>OR(AND(IF(metadata!C76="",FALSE,TRUE),OR(exact(metadata!C76,"missing: not collected"),exact(metadata!C76,"missing: not provided"),exact(metadata!C76,"missing: restricted access"))),AND(IF(metadata!C76="",FALSE,TRUE),AND(AND(IFERROR(INT(LEFT(metadata!C76,4))&gt;1900,FALSE),IFERROR(INT(LEFT(metadata!C76,4))&lt;=YEAR(NOW()),FALSE)), OR(MID(metadata!C76,5,1)="", AND(AND(MID(metadata!C76,5,1)="-",IFERROR(INT(MID(metadata!C76,6,1))&gt;=0,FALSE),IFERROR(INT(MID(metadata!C76,6,1))&lt;=1,FALSE),NOT(MID(metadata!C76,7,1)=""),IFERROR(INT(MID(metadata!C76,6,2))&gt;=1,FALSE),IFERROR(INT(MID(metadata!C76,6,2))&lt;=12,FALSE)), OR(MID(metadata!C76,8,1)="", AND(AND(MID(metadata!C76,8,1)="-",IFERROR(INT(MID(metadata!C76,9,1))&gt;=0,FALSE),IFERROR(INT(MID(metadata!C76,9,1))&lt;=3,FALSE),NOT(MID(metadata!C76,10,1)=""),IFERROR(INT(MID(metadata!C76,9,2))&gt;=1,FALSE),IFERROR(INT(MID(metadata!C76,9,2))&lt;=31,FALSE)), OR(MID(metadata!C76,11,1)="", AND(AND(MID(metadata!C76,11,1)=" ",IFERROR(INT(MID(metadata!C76,12,1))&gt;=0,FALSE),IFERROR(INT(MID(metadata!C76,12,1))&lt;=2,FALSE),NOT(MID(metadata!C76,13,1)=""),IFERROR(INT(MID(metadata!C76,12,2))&gt;=0,FALSE),IFERROR(INT(MID(metadata!C76,12,2))&lt;=23,FALSE)), OR(MID(metadata!C76,14,1)="", AND(AND(MID(metadata!C76,14,1)=":",IFERROR(INT(MID(metadata!C76,15,1))&gt;=0,FALSE),IFERROR(INT(MID(metadata!C76,15,1))&lt;=5,FALSE),NOT(MID(metadata!C76,16,1)=""),IFERROR(INT(MID(metadata!C76,15,2))&gt;=0,FALSE),IFERROR(INT(MID(metadata!C76,15,2))&lt;=59,FALSE)), OR(MID(metadata!C76,17,1)="", AND(AND(MID(metadata!C76,17,1)=":",IFERROR(INT(MID(metadata!C76,18,1))&gt;=0,FALSE),IFERROR(INT(MID(metadata!C76,18,1))&lt;=5,FALSE),NOT(MID(metadata!C76,19,1)=""),IFERROR(INT(MID(metadata!C76,18,2))&gt;=0,FALSE),IFERROR(INT(MID(metadata!C76,18,2))&lt;=59,FALSE)), LEN(metadata!C76)&lt;=19)))))))))))))</f>
        <v>0</v>
      </c>
      <c r="AD76">
        <f>IF(metadata!D76="",FALSE,TRUE)</f>
        <v>0</v>
      </c>
      <c r="AE76">
        <f>OR(AND(IF(metadata!E76="",FALSE,TRUE),OR(exact(metadata!E76,"missing: not collected"),exact(metadata!E76,"missing: not provided"))),AND(IF(metadata!E76="",FALSE,TRUE),OR(exact(metadata!E76,"TRUE"),exact(metadata!E76,"FALSE"))))</f>
        <v>0</v>
      </c>
      <c r="AF76">
        <f>IF(metadata!F76="",FALSE,TRUE)</f>
        <v>0</v>
      </c>
      <c r="AG76">
        <f>IF(metadata!G76="",FALSE,TRUE)</f>
        <v>0</v>
      </c>
      <c r="AH76">
        <f>IF(metadata!H76="",FALSE,TRUE)</f>
        <v>0</v>
      </c>
      <c r="AI76">
        <f>OR(AND(IF(metadata!I76="",FALSE,TRUE),OR(exact(metadata!I76,"missing: not collected"),exact(metadata!I76,"missing: not provided"),exact(metadata!I76,"missing: restricted access"))),AND(IF(metadata!I76="",FALSE,TRUE),OR(exact(metadata!I76,"air"),exact(metadata!I76,"built environment"),exact(metadata!I76,"host-associated"),exact(metadata!I76,"human-associated"),exact(metadata!I76,"human-skin"),exact(metadata!I76,"human-oral"),exact(metadata!I76,"human-gut"),exact(metadata!I76,"human-vaginal"),exact(metadata!I76,"microbial mat/biofilm"),exact(metadata!I76,"misc environment"),exact(metadata!I76,"plant-associated"),exact(metadata!I76,"sediment"),exact(metadata!I76,"soil"),exact(metadata!I76,"wastewater/sludge"),exact(metadata!I76,"water"))))</f>
        <v>0</v>
      </c>
      <c r="AJ76">
        <f>IF(metadata!J76="",FALSE,TRUE)</f>
        <v>0</v>
      </c>
      <c r="AK76">
        <f>OR(AND(IF(metadata!K76="",FALSE,TRUE),OR(exact(metadata!K76,"missing: not collected"),exact(metadata!K76,"missing: not provided"),exact(metadata!K76,"missing: restricted access"))),AND(IF(metadata!K76="",FALSE,ISNUMBER(VALUE(metadata!K76))),metadata!K76&gt;=-90.00,metadata!K76&lt;=90.00))</f>
        <v>0</v>
      </c>
      <c r="AL76">
        <f>OR(AND(IF(metadata!L76="",FALSE,TRUE),OR(exact(metadata!L76,"missing: not collected"),exact(metadata!L76,"missing: not provided"),exact(metadata!L76,"missing: restricted access"))),AND(IF(metadata!L76="",FALSE,ISNUMBER(VALUE(metadata!L76))),metadata!L76&gt;=-180.00,metadata!L76&lt;=180.00))</f>
        <v>0</v>
      </c>
      <c r="AM76">
        <f>IF(metadata!M76="",FALSE,TRUE)</f>
        <v>0</v>
      </c>
      <c r="AN76">
        <f>OR(AND(IF(metadata!N76="",FALSE,TRUE),OR(exact(metadata!N76,"missing: not collected"),exact(metadata!N76,"missing: not provided"),exact(metadata!N76,"missing: restricted access"))),AND(IF(metadata!N76="",FALSE,TRUE),OR(exact(metadata!N76,"TRUE"),exact(metadata!N76,"FALSE"))))</f>
        <v>0</v>
      </c>
      <c r="AO76">
        <f>IF(metadata!O76="",FALSE,TRUE)</f>
        <v>0</v>
      </c>
      <c r="AP76">
        <f>OR(AND(IF(metadata!P76="",FALSE,TRUE),OR(exact(metadata!P76,"missing: not collected"),exact(metadata!P76,"missing: not provided"))),AND(IF(metadata!P76="",FALSE,IF(ISERROR(INT(metadata!P76)),FALSE,INT(metadata!P76)=metadata!P76)),metadata!P76&gt;0))</f>
        <v>0</v>
      </c>
      <c r="AQ76">
        <f>IF(metadata!Q76="",FALSE,TRUE)</f>
        <v>0</v>
      </c>
    </row>
    <row r="77" spans="1:43">
      <c r="A77" s="5">
        <f>IF(B77=" "," ",HYPERLINK(CONCATENATE("#metadata!",ADDRESS(INDEX($W$2:$W$1001,MATCH(ROWS($U$2:U77),$U$2:$U$1001,0),0),1)),INDEX($Z$2:$Z$1001,MATCH(ROWS($U$2:U77),$U$2:$U$1001,0),0)))</f>
        <v>0</v>
      </c>
      <c r="B77" s="4">
        <f>IF(OR(INDEX($V$2:$V$1001,MATCH(ROWS($U$2:U77),$U$2:$U$1001,0),1)&gt;=100000,INDEX($AB$1005:$AQ$1005,1,MATCH(COLUMNS($AB$1006:AB1006),$AB$1006:$AQ$1006,0))&gt;=100000), " ",IF(INDEX($AB$2:$AQ$1001,MATCH(ROWS($U$2:U77),$U$2:$U$1001,0),MATCH(COLUMNS($AB$1006:AB1006),$AB$1006:$AQ$1006,0)), HYPERLINK("#",""), HYPERLINK(CONCATENATE("#metadata!", ADDRESS(INDEX($W$2:$W$1001,MATCH(ROWS($U$2:U77),$U$2:$U$1001,0),0), INDEX($AB$1004:$AQ$1004,1,MATCH(COLUMNS($AB$1006:AB1006),$AB$1006:$AQ$1006,0)))),"Fix")))</f>
        <v>0</v>
      </c>
      <c r="C77" s="4">
        <f>IF(OR(INDEX($V$2:$V$1001,MATCH(ROWS($U$2:U77),$U$2:$U$1001,0),1)&gt;=100000,INDEX($AB$1005:$AQ$1005,1,MATCH(COLUMNS($AB$1006:AC1006),$AB$1006:$AQ$1006,0))&gt;=100000), " ",IF(INDEX($AB$2:$AQ$1001,MATCH(ROWS($U$2:U77),$U$2:$U$1001,0),MATCH(COLUMNS($AB$1006:AC1006),$AB$1006:$AQ$1006,0)), HYPERLINK("#",""), HYPERLINK(CONCATENATE("#metadata!", ADDRESS(INDEX($W$2:$W$1001,MATCH(ROWS($U$2:U77),$U$2:$U$1001,0),0), INDEX($AB$1004:$AQ$1004,1,MATCH(COLUMNS($AB$1006:AC1006),$AB$1006:$AQ$1006,0)))),"Fix")))</f>
        <v>0</v>
      </c>
      <c r="D77" s="4">
        <f>IF(OR(INDEX($V$2:$V$1001,MATCH(ROWS($U$2:U77),$U$2:$U$1001,0),1)&gt;=100000,INDEX($AB$1005:$AQ$1005,1,MATCH(COLUMNS($AB$1006:AD1006),$AB$1006:$AQ$1006,0))&gt;=100000), " ",IF(INDEX($AB$2:$AQ$1001,MATCH(ROWS($U$2:U77),$U$2:$U$1001,0),MATCH(COLUMNS($AB$1006:AD1006),$AB$1006:$AQ$1006,0)), HYPERLINK("#",""), HYPERLINK(CONCATENATE("#metadata!", ADDRESS(INDEX($W$2:$W$1001,MATCH(ROWS($U$2:U77),$U$2:$U$1001,0),0), INDEX($AB$1004:$AQ$1004,1,MATCH(COLUMNS($AB$1006:AD1006),$AB$1006:$AQ$1006,0)))),"Fix")))</f>
        <v>0</v>
      </c>
      <c r="E77" s="4">
        <f>IF(OR(INDEX($V$2:$V$1001,MATCH(ROWS($U$2:U77),$U$2:$U$1001,0),1)&gt;=100000,INDEX($AB$1005:$AQ$1005,1,MATCH(COLUMNS($AB$1006:AE1006),$AB$1006:$AQ$1006,0))&gt;=100000), " ",IF(INDEX($AB$2:$AQ$1001,MATCH(ROWS($U$2:U77),$U$2:$U$1001,0),MATCH(COLUMNS($AB$1006:AE1006),$AB$1006:$AQ$1006,0)), HYPERLINK("#",""), HYPERLINK(CONCATENATE("#metadata!", ADDRESS(INDEX($W$2:$W$1001,MATCH(ROWS($U$2:U77),$U$2:$U$1001,0),0), INDEX($AB$1004:$AQ$1004,1,MATCH(COLUMNS($AB$1006:AE1006),$AB$1006:$AQ$1006,0)))),"Fix")))</f>
        <v>0</v>
      </c>
      <c r="F77" s="4">
        <f>IF(OR(INDEX($V$2:$V$1001,MATCH(ROWS($U$2:U77),$U$2:$U$1001,0),1)&gt;=100000,INDEX($AB$1005:$AQ$1005,1,MATCH(COLUMNS($AB$1006:AF1006),$AB$1006:$AQ$1006,0))&gt;=100000), " ",IF(INDEX($AB$2:$AQ$1001,MATCH(ROWS($U$2:U77),$U$2:$U$1001,0),MATCH(COLUMNS($AB$1006:AF1006),$AB$1006:$AQ$1006,0)), HYPERLINK("#",""), HYPERLINK(CONCATENATE("#metadata!", ADDRESS(INDEX($W$2:$W$1001,MATCH(ROWS($U$2:U77),$U$2:$U$1001,0),0), INDEX($AB$1004:$AQ$1004,1,MATCH(COLUMNS($AB$1006:AF1006),$AB$1006:$AQ$1006,0)))),"Fix")))</f>
        <v>0</v>
      </c>
      <c r="G77" s="4">
        <f>IF(OR(INDEX($V$2:$V$1001,MATCH(ROWS($U$2:U77),$U$2:$U$1001,0),1)&gt;=100000,INDEX($AB$1005:$AQ$1005,1,MATCH(COLUMNS($AB$1006:AG1006),$AB$1006:$AQ$1006,0))&gt;=100000), " ",IF(INDEX($AB$2:$AQ$1001,MATCH(ROWS($U$2:U77),$U$2:$U$1001,0),MATCH(COLUMNS($AB$1006:AG1006),$AB$1006:$AQ$1006,0)), HYPERLINK("#",""), HYPERLINK(CONCATENATE("#metadata!", ADDRESS(INDEX($W$2:$W$1001,MATCH(ROWS($U$2:U77),$U$2:$U$1001,0),0), INDEX($AB$1004:$AQ$1004,1,MATCH(COLUMNS($AB$1006:AG1006),$AB$1006:$AQ$1006,0)))),"Fix")))</f>
        <v>0</v>
      </c>
      <c r="H77" s="4">
        <f>IF(OR(INDEX($V$2:$V$1001,MATCH(ROWS($U$2:U77),$U$2:$U$1001,0),1)&gt;=100000,INDEX($AB$1005:$AQ$1005,1,MATCH(COLUMNS($AB$1006:AH1006),$AB$1006:$AQ$1006,0))&gt;=100000), " ",IF(INDEX($AB$2:$AQ$1001,MATCH(ROWS($U$2:U77),$U$2:$U$1001,0),MATCH(COLUMNS($AB$1006:AH1006),$AB$1006:$AQ$1006,0)), HYPERLINK("#",""), HYPERLINK(CONCATENATE("#metadata!", ADDRESS(INDEX($W$2:$W$1001,MATCH(ROWS($U$2:U77),$U$2:$U$1001,0),0), INDEX($AB$1004:$AQ$1004,1,MATCH(COLUMNS($AB$1006:AH1006),$AB$1006:$AQ$1006,0)))),"Fix")))</f>
        <v>0</v>
      </c>
      <c r="I77" s="4">
        <f>IF(OR(INDEX($V$2:$V$1001,MATCH(ROWS($U$2:U77),$U$2:$U$1001,0),1)&gt;=100000,INDEX($AB$1005:$AQ$1005,1,MATCH(COLUMNS($AB$1006:AI1006),$AB$1006:$AQ$1006,0))&gt;=100000), " ",IF(INDEX($AB$2:$AQ$1001,MATCH(ROWS($U$2:U77),$U$2:$U$1001,0),MATCH(COLUMNS($AB$1006:AI1006),$AB$1006:$AQ$1006,0)), HYPERLINK("#",""), HYPERLINK(CONCATENATE("#metadata!", ADDRESS(INDEX($W$2:$W$1001,MATCH(ROWS($U$2:U77),$U$2:$U$1001,0),0), INDEX($AB$1004:$AQ$1004,1,MATCH(COLUMNS($AB$1006:AI1006),$AB$1006:$AQ$1006,0)))),"Fix")))</f>
        <v>0</v>
      </c>
      <c r="J77" s="4">
        <f>IF(OR(INDEX($V$2:$V$1001,MATCH(ROWS($U$2:U77),$U$2:$U$1001,0),1)&gt;=100000,INDEX($AB$1005:$AQ$1005,1,MATCH(COLUMNS($AB$1006:AJ1006),$AB$1006:$AQ$1006,0))&gt;=100000), " ",IF(INDEX($AB$2:$AQ$1001,MATCH(ROWS($U$2:U77),$U$2:$U$1001,0),MATCH(COLUMNS($AB$1006:AJ1006),$AB$1006:$AQ$1006,0)), HYPERLINK("#",""), HYPERLINK(CONCATENATE("#metadata!", ADDRESS(INDEX($W$2:$W$1001,MATCH(ROWS($U$2:U77),$U$2:$U$1001,0),0), INDEX($AB$1004:$AQ$1004,1,MATCH(COLUMNS($AB$1006:AJ1006),$AB$1006:$AQ$1006,0)))),"Fix")))</f>
        <v>0</v>
      </c>
      <c r="K77" s="4">
        <f>IF(OR(INDEX($V$2:$V$1001,MATCH(ROWS($U$2:U77),$U$2:$U$1001,0),1)&gt;=100000,INDEX($AB$1005:$AQ$1005,1,MATCH(COLUMNS($AB$1006:AK1006),$AB$1006:$AQ$1006,0))&gt;=100000), " ",IF(INDEX($AB$2:$AQ$1001,MATCH(ROWS($U$2:U77),$U$2:$U$1001,0),MATCH(COLUMNS($AB$1006:AK1006),$AB$1006:$AQ$1006,0)), HYPERLINK("#",""), HYPERLINK(CONCATENATE("#metadata!", ADDRESS(INDEX($W$2:$W$1001,MATCH(ROWS($U$2:U77),$U$2:$U$1001,0),0), INDEX($AB$1004:$AQ$1004,1,MATCH(COLUMNS($AB$1006:AK1006),$AB$1006:$AQ$1006,0)))),"Fix")))</f>
        <v>0</v>
      </c>
      <c r="L77" s="4">
        <f>IF(OR(INDEX($V$2:$V$1001,MATCH(ROWS($U$2:U77),$U$2:$U$1001,0),1)&gt;=100000,INDEX($AB$1005:$AQ$1005,1,MATCH(COLUMNS($AB$1006:AL1006),$AB$1006:$AQ$1006,0))&gt;=100000), " ",IF(INDEX($AB$2:$AQ$1001,MATCH(ROWS($U$2:U77),$U$2:$U$1001,0),MATCH(COLUMNS($AB$1006:AL1006),$AB$1006:$AQ$1006,0)), HYPERLINK("#",""), HYPERLINK(CONCATENATE("#metadata!", ADDRESS(INDEX($W$2:$W$1001,MATCH(ROWS($U$2:U77),$U$2:$U$1001,0),0), INDEX($AB$1004:$AQ$1004,1,MATCH(COLUMNS($AB$1006:AL1006),$AB$1006:$AQ$1006,0)))),"Fix")))</f>
        <v>0</v>
      </c>
      <c r="M77" s="4">
        <f>IF(OR(INDEX($V$2:$V$1001,MATCH(ROWS($U$2:U77),$U$2:$U$1001,0),1)&gt;=100000,INDEX($AB$1005:$AQ$1005,1,MATCH(COLUMNS($AB$1006:AM1006),$AB$1006:$AQ$1006,0))&gt;=100000), " ",IF(INDEX($AB$2:$AQ$1001,MATCH(ROWS($U$2:U77),$U$2:$U$1001,0),MATCH(COLUMNS($AB$1006:AM1006),$AB$1006:$AQ$1006,0)), HYPERLINK("#",""), HYPERLINK(CONCATENATE("#metadata!", ADDRESS(INDEX($W$2:$W$1001,MATCH(ROWS($U$2:U77),$U$2:$U$1001,0),0), INDEX($AB$1004:$AQ$1004,1,MATCH(COLUMNS($AB$1006:AM1006),$AB$1006:$AQ$1006,0)))),"Fix")))</f>
        <v>0</v>
      </c>
      <c r="N77" s="4">
        <f>IF(OR(INDEX($V$2:$V$1001,MATCH(ROWS($U$2:U77),$U$2:$U$1001,0),1)&gt;=100000,INDEX($AB$1005:$AQ$1005,1,MATCH(COLUMNS($AB$1006:AN1006),$AB$1006:$AQ$1006,0))&gt;=100000), " ",IF(INDEX($AB$2:$AQ$1001,MATCH(ROWS($U$2:U77),$U$2:$U$1001,0),MATCH(COLUMNS($AB$1006:AN1006),$AB$1006:$AQ$1006,0)), HYPERLINK("#",""), HYPERLINK(CONCATENATE("#metadata!", ADDRESS(INDEX($W$2:$W$1001,MATCH(ROWS($U$2:U77),$U$2:$U$1001,0),0), INDEX($AB$1004:$AQ$1004,1,MATCH(COLUMNS($AB$1006:AN1006),$AB$1006:$AQ$1006,0)))),"Fix")))</f>
        <v>0</v>
      </c>
      <c r="O77" s="4">
        <f>IF(OR(INDEX($V$2:$V$1001,MATCH(ROWS($U$2:U77),$U$2:$U$1001,0),1)&gt;=100000,INDEX($AB$1005:$AQ$1005,1,MATCH(COLUMNS($AB$1006:AO1006),$AB$1006:$AQ$1006,0))&gt;=100000), " ",IF(INDEX($AB$2:$AQ$1001,MATCH(ROWS($U$2:U77),$U$2:$U$1001,0),MATCH(COLUMNS($AB$1006:AO1006),$AB$1006:$AQ$1006,0)), HYPERLINK("#",""), HYPERLINK(CONCATENATE("#metadata!", ADDRESS(INDEX($W$2:$W$1001,MATCH(ROWS($U$2:U77),$U$2:$U$1001,0),0), INDEX($AB$1004:$AQ$1004,1,MATCH(COLUMNS($AB$1006:AO1006),$AB$1006:$AQ$1006,0)))),"Fix")))</f>
        <v>0</v>
      </c>
      <c r="P77" s="4">
        <f>IF(OR(INDEX($V$2:$V$1001,MATCH(ROWS($U$2:U77),$U$2:$U$1001,0),1)&gt;=100000,INDEX($AB$1005:$AQ$1005,1,MATCH(COLUMNS($AB$1006:AP1006),$AB$1006:$AQ$1006,0))&gt;=100000), " ",IF(INDEX($AB$2:$AQ$1001,MATCH(ROWS($U$2:U77),$U$2:$U$1001,0),MATCH(COLUMNS($AB$1006:AP1006),$AB$1006:$AQ$1006,0)), HYPERLINK("#",""), HYPERLINK(CONCATENATE("#metadata!", ADDRESS(INDEX($W$2:$W$1001,MATCH(ROWS($U$2:U77),$U$2:$U$1001,0),0), INDEX($AB$1004:$AQ$1004,1,MATCH(COLUMNS($AB$1006:AP1006),$AB$1006:$AQ$1006,0)))),"Fix")))</f>
        <v>0</v>
      </c>
      <c r="Q77" s="4">
        <f>IF(OR(INDEX($V$2:$V$1001,MATCH(ROWS($U$2:U77),$U$2:$U$1001,0),1)&gt;=100000,INDEX($AB$1005:$AQ$1005,1,MATCH(COLUMNS($AB$1006:AQ1006),$AB$1006:$AQ$1006,0))&gt;=100000), " ",IF(INDEX($AB$2:$AQ$1001,MATCH(ROWS($U$2:U77),$U$2:$U$1001,0),MATCH(COLUMNS($AB$1006:AQ1006),$AB$1006:$AQ$1006,0)), HYPERLINK("#",""), HYPERLINK(CONCATENATE("#metadata!", ADDRESS(INDEX($W$2:$W$1001,MATCH(ROWS($U$2:U77),$U$2:$U$1001,0),0), INDEX($AB$1004:$AQ$1004,1,MATCH(COLUMNS($AB$1006:AQ1006),$AB$1006:$AQ$1006,0)))),"Fix")))</f>
        <v>0</v>
      </c>
      <c r="U77">
        <v>0</v>
      </c>
      <c r="V77">
        <v>0</v>
      </c>
      <c r="W77">
        <v>0</v>
      </c>
      <c r="X77">
        <f>IF(Y77,TRUE,AND(AB77:AQ77))</f>
        <v>0</v>
      </c>
      <c r="Y77">
        <f>COUNTBLANK(metadata!B77:Q77)=COLUMNS(metadata!B77:Q77)</f>
        <v>0</v>
      </c>
      <c r="Z77">
        <v>0</v>
      </c>
      <c r="AB77">
        <f>AND(IF(metadata!B77="",FALSE,TRUE),COUNTIF(metadata!B:B, metadata!B77) = 1,NOT(ISERROR(SUMPRODUCT(SEARCH(MID(metadata!B77,ROW(INDIRECT("1:"&amp;LEN(metadata!B77))), 1),"0123456789abcdefghijklmnopqrstuvwxyzABCDEFGHIJKLMNOPQRSTUVWXYZ.")))))</f>
        <v>0</v>
      </c>
      <c r="AC77">
        <f>OR(AND(IF(metadata!C77="",FALSE,TRUE),OR(exact(metadata!C77,"missing: not collected"),exact(metadata!C77,"missing: not provided"),exact(metadata!C77,"missing: restricted access"))),AND(IF(metadata!C77="",FALSE,TRUE),AND(AND(IFERROR(INT(LEFT(metadata!C77,4))&gt;1900,FALSE),IFERROR(INT(LEFT(metadata!C77,4))&lt;=YEAR(NOW()),FALSE)), OR(MID(metadata!C77,5,1)="", AND(AND(MID(metadata!C77,5,1)="-",IFERROR(INT(MID(metadata!C77,6,1))&gt;=0,FALSE),IFERROR(INT(MID(metadata!C77,6,1))&lt;=1,FALSE),NOT(MID(metadata!C77,7,1)=""),IFERROR(INT(MID(metadata!C77,6,2))&gt;=1,FALSE),IFERROR(INT(MID(metadata!C77,6,2))&lt;=12,FALSE)), OR(MID(metadata!C77,8,1)="", AND(AND(MID(metadata!C77,8,1)="-",IFERROR(INT(MID(metadata!C77,9,1))&gt;=0,FALSE),IFERROR(INT(MID(metadata!C77,9,1))&lt;=3,FALSE),NOT(MID(metadata!C77,10,1)=""),IFERROR(INT(MID(metadata!C77,9,2))&gt;=1,FALSE),IFERROR(INT(MID(metadata!C77,9,2))&lt;=31,FALSE)), OR(MID(metadata!C77,11,1)="", AND(AND(MID(metadata!C77,11,1)=" ",IFERROR(INT(MID(metadata!C77,12,1))&gt;=0,FALSE),IFERROR(INT(MID(metadata!C77,12,1))&lt;=2,FALSE),NOT(MID(metadata!C77,13,1)=""),IFERROR(INT(MID(metadata!C77,12,2))&gt;=0,FALSE),IFERROR(INT(MID(metadata!C77,12,2))&lt;=23,FALSE)), OR(MID(metadata!C77,14,1)="", AND(AND(MID(metadata!C77,14,1)=":",IFERROR(INT(MID(metadata!C77,15,1))&gt;=0,FALSE),IFERROR(INT(MID(metadata!C77,15,1))&lt;=5,FALSE),NOT(MID(metadata!C77,16,1)=""),IFERROR(INT(MID(metadata!C77,15,2))&gt;=0,FALSE),IFERROR(INT(MID(metadata!C77,15,2))&lt;=59,FALSE)), OR(MID(metadata!C77,17,1)="", AND(AND(MID(metadata!C77,17,1)=":",IFERROR(INT(MID(metadata!C77,18,1))&gt;=0,FALSE),IFERROR(INT(MID(metadata!C77,18,1))&lt;=5,FALSE),NOT(MID(metadata!C77,19,1)=""),IFERROR(INT(MID(metadata!C77,18,2))&gt;=0,FALSE),IFERROR(INT(MID(metadata!C77,18,2))&lt;=59,FALSE)), LEN(metadata!C77)&lt;=19)))))))))))))</f>
        <v>0</v>
      </c>
      <c r="AD77">
        <f>IF(metadata!D77="",FALSE,TRUE)</f>
        <v>0</v>
      </c>
      <c r="AE77">
        <f>OR(AND(IF(metadata!E77="",FALSE,TRUE),OR(exact(metadata!E77,"missing: not collected"),exact(metadata!E77,"missing: not provided"))),AND(IF(metadata!E77="",FALSE,TRUE),OR(exact(metadata!E77,"TRUE"),exact(metadata!E77,"FALSE"))))</f>
        <v>0</v>
      </c>
      <c r="AF77">
        <f>IF(metadata!F77="",FALSE,TRUE)</f>
        <v>0</v>
      </c>
      <c r="AG77">
        <f>IF(metadata!G77="",FALSE,TRUE)</f>
        <v>0</v>
      </c>
      <c r="AH77">
        <f>IF(metadata!H77="",FALSE,TRUE)</f>
        <v>0</v>
      </c>
      <c r="AI77">
        <f>OR(AND(IF(metadata!I77="",FALSE,TRUE),OR(exact(metadata!I77,"missing: not collected"),exact(metadata!I77,"missing: not provided"),exact(metadata!I77,"missing: restricted access"))),AND(IF(metadata!I77="",FALSE,TRUE),OR(exact(metadata!I77,"air"),exact(metadata!I77,"built environment"),exact(metadata!I77,"host-associated"),exact(metadata!I77,"human-associated"),exact(metadata!I77,"human-skin"),exact(metadata!I77,"human-oral"),exact(metadata!I77,"human-gut"),exact(metadata!I77,"human-vaginal"),exact(metadata!I77,"microbial mat/biofilm"),exact(metadata!I77,"misc environment"),exact(metadata!I77,"plant-associated"),exact(metadata!I77,"sediment"),exact(metadata!I77,"soil"),exact(metadata!I77,"wastewater/sludge"),exact(metadata!I77,"water"))))</f>
        <v>0</v>
      </c>
      <c r="AJ77">
        <f>IF(metadata!J77="",FALSE,TRUE)</f>
        <v>0</v>
      </c>
      <c r="AK77">
        <f>OR(AND(IF(metadata!K77="",FALSE,TRUE),OR(exact(metadata!K77,"missing: not collected"),exact(metadata!K77,"missing: not provided"),exact(metadata!K77,"missing: restricted access"))),AND(IF(metadata!K77="",FALSE,ISNUMBER(VALUE(metadata!K77))),metadata!K77&gt;=-90.00,metadata!K77&lt;=90.00))</f>
        <v>0</v>
      </c>
      <c r="AL77">
        <f>OR(AND(IF(metadata!L77="",FALSE,TRUE),OR(exact(metadata!L77,"missing: not collected"),exact(metadata!L77,"missing: not provided"),exact(metadata!L77,"missing: restricted access"))),AND(IF(metadata!L77="",FALSE,ISNUMBER(VALUE(metadata!L77))),metadata!L77&gt;=-180.00,metadata!L77&lt;=180.00))</f>
        <v>0</v>
      </c>
      <c r="AM77">
        <f>IF(metadata!M77="",FALSE,TRUE)</f>
        <v>0</v>
      </c>
      <c r="AN77">
        <f>OR(AND(IF(metadata!N77="",FALSE,TRUE),OR(exact(metadata!N77,"missing: not collected"),exact(metadata!N77,"missing: not provided"),exact(metadata!N77,"missing: restricted access"))),AND(IF(metadata!N77="",FALSE,TRUE),OR(exact(metadata!N77,"TRUE"),exact(metadata!N77,"FALSE"))))</f>
        <v>0</v>
      </c>
      <c r="AO77">
        <f>IF(metadata!O77="",FALSE,TRUE)</f>
        <v>0</v>
      </c>
      <c r="AP77">
        <f>OR(AND(IF(metadata!P77="",FALSE,TRUE),OR(exact(metadata!P77,"missing: not collected"),exact(metadata!P77,"missing: not provided"))),AND(IF(metadata!P77="",FALSE,IF(ISERROR(INT(metadata!P77)),FALSE,INT(metadata!P77)=metadata!P77)),metadata!P77&gt;0))</f>
        <v>0</v>
      </c>
      <c r="AQ77">
        <f>IF(metadata!Q77="",FALSE,TRUE)</f>
        <v>0</v>
      </c>
    </row>
    <row r="78" spans="1:43">
      <c r="A78" s="5">
        <f>IF(B78=" "," ",HYPERLINK(CONCATENATE("#metadata!",ADDRESS(INDEX($W$2:$W$1001,MATCH(ROWS($U$2:U78),$U$2:$U$1001,0),0),1)),INDEX($Z$2:$Z$1001,MATCH(ROWS($U$2:U78),$U$2:$U$1001,0),0)))</f>
        <v>0</v>
      </c>
      <c r="B78" s="4">
        <f>IF(OR(INDEX($V$2:$V$1001,MATCH(ROWS($U$2:U78),$U$2:$U$1001,0),1)&gt;=100000,INDEX($AB$1005:$AQ$1005,1,MATCH(COLUMNS($AB$1006:AB1006),$AB$1006:$AQ$1006,0))&gt;=100000), " ",IF(INDEX($AB$2:$AQ$1001,MATCH(ROWS($U$2:U78),$U$2:$U$1001,0),MATCH(COLUMNS($AB$1006:AB1006),$AB$1006:$AQ$1006,0)), HYPERLINK("#",""), HYPERLINK(CONCATENATE("#metadata!", ADDRESS(INDEX($W$2:$W$1001,MATCH(ROWS($U$2:U78),$U$2:$U$1001,0),0), INDEX($AB$1004:$AQ$1004,1,MATCH(COLUMNS($AB$1006:AB1006),$AB$1006:$AQ$1006,0)))),"Fix")))</f>
        <v>0</v>
      </c>
      <c r="C78" s="4">
        <f>IF(OR(INDEX($V$2:$V$1001,MATCH(ROWS($U$2:U78),$U$2:$U$1001,0),1)&gt;=100000,INDEX($AB$1005:$AQ$1005,1,MATCH(COLUMNS($AB$1006:AC1006),$AB$1006:$AQ$1006,0))&gt;=100000), " ",IF(INDEX($AB$2:$AQ$1001,MATCH(ROWS($U$2:U78),$U$2:$U$1001,0),MATCH(COLUMNS($AB$1006:AC1006),$AB$1006:$AQ$1006,0)), HYPERLINK("#",""), HYPERLINK(CONCATENATE("#metadata!", ADDRESS(INDEX($W$2:$W$1001,MATCH(ROWS($U$2:U78),$U$2:$U$1001,0),0), INDEX($AB$1004:$AQ$1004,1,MATCH(COLUMNS($AB$1006:AC1006),$AB$1006:$AQ$1006,0)))),"Fix")))</f>
        <v>0</v>
      </c>
      <c r="D78" s="4">
        <f>IF(OR(INDEX($V$2:$V$1001,MATCH(ROWS($U$2:U78),$U$2:$U$1001,0),1)&gt;=100000,INDEX($AB$1005:$AQ$1005,1,MATCH(COLUMNS($AB$1006:AD1006),$AB$1006:$AQ$1006,0))&gt;=100000), " ",IF(INDEX($AB$2:$AQ$1001,MATCH(ROWS($U$2:U78),$U$2:$U$1001,0),MATCH(COLUMNS($AB$1006:AD1006),$AB$1006:$AQ$1006,0)), HYPERLINK("#",""), HYPERLINK(CONCATENATE("#metadata!", ADDRESS(INDEX($W$2:$W$1001,MATCH(ROWS($U$2:U78),$U$2:$U$1001,0),0), INDEX($AB$1004:$AQ$1004,1,MATCH(COLUMNS($AB$1006:AD1006),$AB$1006:$AQ$1006,0)))),"Fix")))</f>
        <v>0</v>
      </c>
      <c r="E78" s="4">
        <f>IF(OR(INDEX($V$2:$V$1001,MATCH(ROWS($U$2:U78),$U$2:$U$1001,0),1)&gt;=100000,INDEX($AB$1005:$AQ$1005,1,MATCH(COLUMNS($AB$1006:AE1006),$AB$1006:$AQ$1006,0))&gt;=100000), " ",IF(INDEX($AB$2:$AQ$1001,MATCH(ROWS($U$2:U78),$U$2:$U$1001,0),MATCH(COLUMNS($AB$1006:AE1006),$AB$1006:$AQ$1006,0)), HYPERLINK("#",""), HYPERLINK(CONCATENATE("#metadata!", ADDRESS(INDEX($W$2:$W$1001,MATCH(ROWS($U$2:U78),$U$2:$U$1001,0),0), INDEX($AB$1004:$AQ$1004,1,MATCH(COLUMNS($AB$1006:AE1006),$AB$1006:$AQ$1006,0)))),"Fix")))</f>
        <v>0</v>
      </c>
      <c r="F78" s="4">
        <f>IF(OR(INDEX($V$2:$V$1001,MATCH(ROWS($U$2:U78),$U$2:$U$1001,0),1)&gt;=100000,INDEX($AB$1005:$AQ$1005,1,MATCH(COLUMNS($AB$1006:AF1006),$AB$1006:$AQ$1006,0))&gt;=100000), " ",IF(INDEX($AB$2:$AQ$1001,MATCH(ROWS($U$2:U78),$U$2:$U$1001,0),MATCH(COLUMNS($AB$1006:AF1006),$AB$1006:$AQ$1006,0)), HYPERLINK("#",""), HYPERLINK(CONCATENATE("#metadata!", ADDRESS(INDEX($W$2:$W$1001,MATCH(ROWS($U$2:U78),$U$2:$U$1001,0),0), INDEX($AB$1004:$AQ$1004,1,MATCH(COLUMNS($AB$1006:AF1006),$AB$1006:$AQ$1006,0)))),"Fix")))</f>
        <v>0</v>
      </c>
      <c r="G78" s="4">
        <f>IF(OR(INDEX($V$2:$V$1001,MATCH(ROWS($U$2:U78),$U$2:$U$1001,0),1)&gt;=100000,INDEX($AB$1005:$AQ$1005,1,MATCH(COLUMNS($AB$1006:AG1006),$AB$1006:$AQ$1006,0))&gt;=100000), " ",IF(INDEX($AB$2:$AQ$1001,MATCH(ROWS($U$2:U78),$U$2:$U$1001,0),MATCH(COLUMNS($AB$1006:AG1006),$AB$1006:$AQ$1006,0)), HYPERLINK("#",""), HYPERLINK(CONCATENATE("#metadata!", ADDRESS(INDEX($W$2:$W$1001,MATCH(ROWS($U$2:U78),$U$2:$U$1001,0),0), INDEX($AB$1004:$AQ$1004,1,MATCH(COLUMNS($AB$1006:AG1006),$AB$1006:$AQ$1006,0)))),"Fix")))</f>
        <v>0</v>
      </c>
      <c r="H78" s="4">
        <f>IF(OR(INDEX($V$2:$V$1001,MATCH(ROWS($U$2:U78),$U$2:$U$1001,0),1)&gt;=100000,INDEX($AB$1005:$AQ$1005,1,MATCH(COLUMNS($AB$1006:AH1006),$AB$1006:$AQ$1006,0))&gt;=100000), " ",IF(INDEX($AB$2:$AQ$1001,MATCH(ROWS($U$2:U78),$U$2:$U$1001,0),MATCH(COLUMNS($AB$1006:AH1006),$AB$1006:$AQ$1006,0)), HYPERLINK("#",""), HYPERLINK(CONCATENATE("#metadata!", ADDRESS(INDEX($W$2:$W$1001,MATCH(ROWS($U$2:U78),$U$2:$U$1001,0),0), INDEX($AB$1004:$AQ$1004,1,MATCH(COLUMNS($AB$1006:AH1006),$AB$1006:$AQ$1006,0)))),"Fix")))</f>
        <v>0</v>
      </c>
      <c r="I78" s="4">
        <f>IF(OR(INDEX($V$2:$V$1001,MATCH(ROWS($U$2:U78),$U$2:$U$1001,0),1)&gt;=100000,INDEX($AB$1005:$AQ$1005,1,MATCH(COLUMNS($AB$1006:AI1006),$AB$1006:$AQ$1006,0))&gt;=100000), " ",IF(INDEX($AB$2:$AQ$1001,MATCH(ROWS($U$2:U78),$U$2:$U$1001,0),MATCH(COLUMNS($AB$1006:AI1006),$AB$1006:$AQ$1006,0)), HYPERLINK("#",""), HYPERLINK(CONCATENATE("#metadata!", ADDRESS(INDEX($W$2:$W$1001,MATCH(ROWS($U$2:U78),$U$2:$U$1001,0),0), INDEX($AB$1004:$AQ$1004,1,MATCH(COLUMNS($AB$1006:AI1006),$AB$1006:$AQ$1006,0)))),"Fix")))</f>
        <v>0</v>
      </c>
      <c r="J78" s="4">
        <f>IF(OR(INDEX($V$2:$V$1001,MATCH(ROWS($U$2:U78),$U$2:$U$1001,0),1)&gt;=100000,INDEX($AB$1005:$AQ$1005,1,MATCH(COLUMNS($AB$1006:AJ1006),$AB$1006:$AQ$1006,0))&gt;=100000), " ",IF(INDEX($AB$2:$AQ$1001,MATCH(ROWS($U$2:U78),$U$2:$U$1001,0),MATCH(COLUMNS($AB$1006:AJ1006),$AB$1006:$AQ$1006,0)), HYPERLINK("#",""), HYPERLINK(CONCATENATE("#metadata!", ADDRESS(INDEX($W$2:$W$1001,MATCH(ROWS($U$2:U78),$U$2:$U$1001,0),0), INDEX($AB$1004:$AQ$1004,1,MATCH(COLUMNS($AB$1006:AJ1006),$AB$1006:$AQ$1006,0)))),"Fix")))</f>
        <v>0</v>
      </c>
      <c r="K78" s="4">
        <f>IF(OR(INDEX($V$2:$V$1001,MATCH(ROWS($U$2:U78),$U$2:$U$1001,0),1)&gt;=100000,INDEX($AB$1005:$AQ$1005,1,MATCH(COLUMNS($AB$1006:AK1006),$AB$1006:$AQ$1006,0))&gt;=100000), " ",IF(INDEX($AB$2:$AQ$1001,MATCH(ROWS($U$2:U78),$U$2:$U$1001,0),MATCH(COLUMNS($AB$1006:AK1006),$AB$1006:$AQ$1006,0)), HYPERLINK("#",""), HYPERLINK(CONCATENATE("#metadata!", ADDRESS(INDEX($W$2:$W$1001,MATCH(ROWS($U$2:U78),$U$2:$U$1001,0),0), INDEX($AB$1004:$AQ$1004,1,MATCH(COLUMNS($AB$1006:AK1006),$AB$1006:$AQ$1006,0)))),"Fix")))</f>
        <v>0</v>
      </c>
      <c r="L78" s="4">
        <f>IF(OR(INDEX($V$2:$V$1001,MATCH(ROWS($U$2:U78),$U$2:$U$1001,0),1)&gt;=100000,INDEX($AB$1005:$AQ$1005,1,MATCH(COLUMNS($AB$1006:AL1006),$AB$1006:$AQ$1006,0))&gt;=100000), " ",IF(INDEX($AB$2:$AQ$1001,MATCH(ROWS($U$2:U78),$U$2:$U$1001,0),MATCH(COLUMNS($AB$1006:AL1006),$AB$1006:$AQ$1006,0)), HYPERLINK("#",""), HYPERLINK(CONCATENATE("#metadata!", ADDRESS(INDEX($W$2:$W$1001,MATCH(ROWS($U$2:U78),$U$2:$U$1001,0),0), INDEX($AB$1004:$AQ$1004,1,MATCH(COLUMNS($AB$1006:AL1006),$AB$1006:$AQ$1006,0)))),"Fix")))</f>
        <v>0</v>
      </c>
      <c r="M78" s="4">
        <f>IF(OR(INDEX($V$2:$V$1001,MATCH(ROWS($U$2:U78),$U$2:$U$1001,0),1)&gt;=100000,INDEX($AB$1005:$AQ$1005,1,MATCH(COLUMNS($AB$1006:AM1006),$AB$1006:$AQ$1006,0))&gt;=100000), " ",IF(INDEX($AB$2:$AQ$1001,MATCH(ROWS($U$2:U78),$U$2:$U$1001,0),MATCH(COLUMNS($AB$1006:AM1006),$AB$1006:$AQ$1006,0)), HYPERLINK("#",""), HYPERLINK(CONCATENATE("#metadata!", ADDRESS(INDEX($W$2:$W$1001,MATCH(ROWS($U$2:U78),$U$2:$U$1001,0),0), INDEX($AB$1004:$AQ$1004,1,MATCH(COLUMNS($AB$1006:AM1006),$AB$1006:$AQ$1006,0)))),"Fix")))</f>
        <v>0</v>
      </c>
      <c r="N78" s="4">
        <f>IF(OR(INDEX($V$2:$V$1001,MATCH(ROWS($U$2:U78),$U$2:$U$1001,0),1)&gt;=100000,INDEX($AB$1005:$AQ$1005,1,MATCH(COLUMNS($AB$1006:AN1006),$AB$1006:$AQ$1006,0))&gt;=100000), " ",IF(INDEX($AB$2:$AQ$1001,MATCH(ROWS($U$2:U78),$U$2:$U$1001,0),MATCH(COLUMNS($AB$1006:AN1006),$AB$1006:$AQ$1006,0)), HYPERLINK("#",""), HYPERLINK(CONCATENATE("#metadata!", ADDRESS(INDEX($W$2:$W$1001,MATCH(ROWS($U$2:U78),$U$2:$U$1001,0),0), INDEX($AB$1004:$AQ$1004,1,MATCH(COLUMNS($AB$1006:AN1006),$AB$1006:$AQ$1006,0)))),"Fix")))</f>
        <v>0</v>
      </c>
      <c r="O78" s="4">
        <f>IF(OR(INDEX($V$2:$V$1001,MATCH(ROWS($U$2:U78),$U$2:$U$1001,0),1)&gt;=100000,INDEX($AB$1005:$AQ$1005,1,MATCH(COLUMNS($AB$1006:AO1006),$AB$1006:$AQ$1006,0))&gt;=100000), " ",IF(INDEX($AB$2:$AQ$1001,MATCH(ROWS($U$2:U78),$U$2:$U$1001,0),MATCH(COLUMNS($AB$1006:AO1006),$AB$1006:$AQ$1006,0)), HYPERLINK("#",""), HYPERLINK(CONCATENATE("#metadata!", ADDRESS(INDEX($W$2:$W$1001,MATCH(ROWS($U$2:U78),$U$2:$U$1001,0),0), INDEX($AB$1004:$AQ$1004,1,MATCH(COLUMNS($AB$1006:AO1006),$AB$1006:$AQ$1006,0)))),"Fix")))</f>
        <v>0</v>
      </c>
      <c r="P78" s="4">
        <f>IF(OR(INDEX($V$2:$V$1001,MATCH(ROWS($U$2:U78),$U$2:$U$1001,0),1)&gt;=100000,INDEX($AB$1005:$AQ$1005,1,MATCH(COLUMNS($AB$1006:AP1006),$AB$1006:$AQ$1006,0))&gt;=100000), " ",IF(INDEX($AB$2:$AQ$1001,MATCH(ROWS($U$2:U78),$U$2:$U$1001,0),MATCH(COLUMNS($AB$1006:AP1006),$AB$1006:$AQ$1006,0)), HYPERLINK("#",""), HYPERLINK(CONCATENATE("#metadata!", ADDRESS(INDEX($W$2:$W$1001,MATCH(ROWS($U$2:U78),$U$2:$U$1001,0),0), INDEX($AB$1004:$AQ$1004,1,MATCH(COLUMNS($AB$1006:AP1006),$AB$1006:$AQ$1006,0)))),"Fix")))</f>
        <v>0</v>
      </c>
      <c r="Q78" s="4">
        <f>IF(OR(INDEX($V$2:$V$1001,MATCH(ROWS($U$2:U78),$U$2:$U$1001,0),1)&gt;=100000,INDEX($AB$1005:$AQ$1005,1,MATCH(COLUMNS($AB$1006:AQ1006),$AB$1006:$AQ$1006,0))&gt;=100000), " ",IF(INDEX($AB$2:$AQ$1001,MATCH(ROWS($U$2:U78),$U$2:$U$1001,0),MATCH(COLUMNS($AB$1006:AQ1006),$AB$1006:$AQ$1006,0)), HYPERLINK("#",""), HYPERLINK(CONCATENATE("#metadata!", ADDRESS(INDEX($W$2:$W$1001,MATCH(ROWS($U$2:U78),$U$2:$U$1001,0),0), INDEX($AB$1004:$AQ$1004,1,MATCH(COLUMNS($AB$1006:AQ1006),$AB$1006:$AQ$1006,0)))),"Fix")))</f>
        <v>0</v>
      </c>
      <c r="U78">
        <v>0</v>
      </c>
      <c r="V78">
        <v>0</v>
      </c>
      <c r="W78">
        <v>0</v>
      </c>
      <c r="X78">
        <f>IF(Y78,TRUE,AND(AB78:AQ78))</f>
        <v>0</v>
      </c>
      <c r="Y78">
        <f>COUNTBLANK(metadata!B78:Q78)=COLUMNS(metadata!B78:Q78)</f>
        <v>0</v>
      </c>
      <c r="Z78">
        <v>0</v>
      </c>
      <c r="AB78">
        <f>AND(IF(metadata!B78="",FALSE,TRUE),COUNTIF(metadata!B:B, metadata!B78) = 1,NOT(ISERROR(SUMPRODUCT(SEARCH(MID(metadata!B78,ROW(INDIRECT("1:"&amp;LEN(metadata!B78))), 1),"0123456789abcdefghijklmnopqrstuvwxyzABCDEFGHIJKLMNOPQRSTUVWXYZ.")))))</f>
        <v>0</v>
      </c>
      <c r="AC78">
        <f>OR(AND(IF(metadata!C78="",FALSE,TRUE),OR(exact(metadata!C78,"missing: not collected"),exact(metadata!C78,"missing: not provided"),exact(metadata!C78,"missing: restricted access"))),AND(IF(metadata!C78="",FALSE,TRUE),AND(AND(IFERROR(INT(LEFT(metadata!C78,4))&gt;1900,FALSE),IFERROR(INT(LEFT(metadata!C78,4))&lt;=YEAR(NOW()),FALSE)), OR(MID(metadata!C78,5,1)="", AND(AND(MID(metadata!C78,5,1)="-",IFERROR(INT(MID(metadata!C78,6,1))&gt;=0,FALSE),IFERROR(INT(MID(metadata!C78,6,1))&lt;=1,FALSE),NOT(MID(metadata!C78,7,1)=""),IFERROR(INT(MID(metadata!C78,6,2))&gt;=1,FALSE),IFERROR(INT(MID(metadata!C78,6,2))&lt;=12,FALSE)), OR(MID(metadata!C78,8,1)="", AND(AND(MID(metadata!C78,8,1)="-",IFERROR(INT(MID(metadata!C78,9,1))&gt;=0,FALSE),IFERROR(INT(MID(metadata!C78,9,1))&lt;=3,FALSE),NOT(MID(metadata!C78,10,1)=""),IFERROR(INT(MID(metadata!C78,9,2))&gt;=1,FALSE),IFERROR(INT(MID(metadata!C78,9,2))&lt;=31,FALSE)), OR(MID(metadata!C78,11,1)="", AND(AND(MID(metadata!C78,11,1)=" ",IFERROR(INT(MID(metadata!C78,12,1))&gt;=0,FALSE),IFERROR(INT(MID(metadata!C78,12,1))&lt;=2,FALSE),NOT(MID(metadata!C78,13,1)=""),IFERROR(INT(MID(metadata!C78,12,2))&gt;=0,FALSE),IFERROR(INT(MID(metadata!C78,12,2))&lt;=23,FALSE)), OR(MID(metadata!C78,14,1)="", AND(AND(MID(metadata!C78,14,1)=":",IFERROR(INT(MID(metadata!C78,15,1))&gt;=0,FALSE),IFERROR(INT(MID(metadata!C78,15,1))&lt;=5,FALSE),NOT(MID(metadata!C78,16,1)=""),IFERROR(INT(MID(metadata!C78,15,2))&gt;=0,FALSE),IFERROR(INT(MID(metadata!C78,15,2))&lt;=59,FALSE)), OR(MID(metadata!C78,17,1)="", AND(AND(MID(metadata!C78,17,1)=":",IFERROR(INT(MID(metadata!C78,18,1))&gt;=0,FALSE),IFERROR(INT(MID(metadata!C78,18,1))&lt;=5,FALSE),NOT(MID(metadata!C78,19,1)=""),IFERROR(INT(MID(metadata!C78,18,2))&gt;=0,FALSE),IFERROR(INT(MID(metadata!C78,18,2))&lt;=59,FALSE)), LEN(metadata!C78)&lt;=19)))))))))))))</f>
        <v>0</v>
      </c>
      <c r="AD78">
        <f>IF(metadata!D78="",FALSE,TRUE)</f>
        <v>0</v>
      </c>
      <c r="AE78">
        <f>OR(AND(IF(metadata!E78="",FALSE,TRUE),OR(exact(metadata!E78,"missing: not collected"),exact(metadata!E78,"missing: not provided"))),AND(IF(metadata!E78="",FALSE,TRUE),OR(exact(metadata!E78,"TRUE"),exact(metadata!E78,"FALSE"))))</f>
        <v>0</v>
      </c>
      <c r="AF78">
        <f>IF(metadata!F78="",FALSE,TRUE)</f>
        <v>0</v>
      </c>
      <c r="AG78">
        <f>IF(metadata!G78="",FALSE,TRUE)</f>
        <v>0</v>
      </c>
      <c r="AH78">
        <f>IF(metadata!H78="",FALSE,TRUE)</f>
        <v>0</v>
      </c>
      <c r="AI78">
        <f>OR(AND(IF(metadata!I78="",FALSE,TRUE),OR(exact(metadata!I78,"missing: not collected"),exact(metadata!I78,"missing: not provided"),exact(metadata!I78,"missing: restricted access"))),AND(IF(metadata!I78="",FALSE,TRUE),OR(exact(metadata!I78,"air"),exact(metadata!I78,"built environment"),exact(metadata!I78,"host-associated"),exact(metadata!I78,"human-associated"),exact(metadata!I78,"human-skin"),exact(metadata!I78,"human-oral"),exact(metadata!I78,"human-gut"),exact(metadata!I78,"human-vaginal"),exact(metadata!I78,"microbial mat/biofilm"),exact(metadata!I78,"misc environment"),exact(metadata!I78,"plant-associated"),exact(metadata!I78,"sediment"),exact(metadata!I78,"soil"),exact(metadata!I78,"wastewater/sludge"),exact(metadata!I78,"water"))))</f>
        <v>0</v>
      </c>
      <c r="AJ78">
        <f>IF(metadata!J78="",FALSE,TRUE)</f>
        <v>0</v>
      </c>
      <c r="AK78">
        <f>OR(AND(IF(metadata!K78="",FALSE,TRUE),OR(exact(metadata!K78,"missing: not collected"),exact(metadata!K78,"missing: not provided"),exact(metadata!K78,"missing: restricted access"))),AND(IF(metadata!K78="",FALSE,ISNUMBER(VALUE(metadata!K78))),metadata!K78&gt;=-90.00,metadata!K78&lt;=90.00))</f>
        <v>0</v>
      </c>
      <c r="AL78">
        <f>OR(AND(IF(metadata!L78="",FALSE,TRUE),OR(exact(metadata!L78,"missing: not collected"),exact(metadata!L78,"missing: not provided"),exact(metadata!L78,"missing: restricted access"))),AND(IF(metadata!L78="",FALSE,ISNUMBER(VALUE(metadata!L78))),metadata!L78&gt;=-180.00,metadata!L78&lt;=180.00))</f>
        <v>0</v>
      </c>
      <c r="AM78">
        <f>IF(metadata!M78="",FALSE,TRUE)</f>
        <v>0</v>
      </c>
      <c r="AN78">
        <f>OR(AND(IF(metadata!N78="",FALSE,TRUE),OR(exact(metadata!N78,"missing: not collected"),exact(metadata!N78,"missing: not provided"),exact(metadata!N78,"missing: restricted access"))),AND(IF(metadata!N78="",FALSE,TRUE),OR(exact(metadata!N78,"TRUE"),exact(metadata!N78,"FALSE"))))</f>
        <v>0</v>
      </c>
      <c r="AO78">
        <f>IF(metadata!O78="",FALSE,TRUE)</f>
        <v>0</v>
      </c>
      <c r="AP78">
        <f>OR(AND(IF(metadata!P78="",FALSE,TRUE),OR(exact(metadata!P78,"missing: not collected"),exact(metadata!P78,"missing: not provided"))),AND(IF(metadata!P78="",FALSE,IF(ISERROR(INT(metadata!P78)),FALSE,INT(metadata!P78)=metadata!P78)),metadata!P78&gt;0))</f>
        <v>0</v>
      </c>
      <c r="AQ78">
        <f>IF(metadata!Q78="",FALSE,TRUE)</f>
        <v>0</v>
      </c>
    </row>
    <row r="79" spans="1:43">
      <c r="A79" s="5">
        <f>IF(B79=" "," ",HYPERLINK(CONCATENATE("#metadata!",ADDRESS(INDEX($W$2:$W$1001,MATCH(ROWS($U$2:U79),$U$2:$U$1001,0),0),1)),INDEX($Z$2:$Z$1001,MATCH(ROWS($U$2:U79),$U$2:$U$1001,0),0)))</f>
        <v>0</v>
      </c>
      <c r="B79" s="4">
        <f>IF(OR(INDEX($V$2:$V$1001,MATCH(ROWS($U$2:U79),$U$2:$U$1001,0),1)&gt;=100000,INDEX($AB$1005:$AQ$1005,1,MATCH(COLUMNS($AB$1006:AB1006),$AB$1006:$AQ$1006,0))&gt;=100000), " ",IF(INDEX($AB$2:$AQ$1001,MATCH(ROWS($U$2:U79),$U$2:$U$1001,0),MATCH(COLUMNS($AB$1006:AB1006),$AB$1006:$AQ$1006,0)), HYPERLINK("#",""), HYPERLINK(CONCATENATE("#metadata!", ADDRESS(INDEX($W$2:$W$1001,MATCH(ROWS($U$2:U79),$U$2:$U$1001,0),0), INDEX($AB$1004:$AQ$1004,1,MATCH(COLUMNS($AB$1006:AB1006),$AB$1006:$AQ$1006,0)))),"Fix")))</f>
        <v>0</v>
      </c>
      <c r="C79" s="4">
        <f>IF(OR(INDEX($V$2:$V$1001,MATCH(ROWS($U$2:U79),$U$2:$U$1001,0),1)&gt;=100000,INDEX($AB$1005:$AQ$1005,1,MATCH(COLUMNS($AB$1006:AC1006),$AB$1006:$AQ$1006,0))&gt;=100000), " ",IF(INDEX($AB$2:$AQ$1001,MATCH(ROWS($U$2:U79),$U$2:$U$1001,0),MATCH(COLUMNS($AB$1006:AC1006),$AB$1006:$AQ$1006,0)), HYPERLINK("#",""), HYPERLINK(CONCATENATE("#metadata!", ADDRESS(INDEX($W$2:$W$1001,MATCH(ROWS($U$2:U79),$U$2:$U$1001,0),0), INDEX($AB$1004:$AQ$1004,1,MATCH(COLUMNS($AB$1006:AC1006),$AB$1006:$AQ$1006,0)))),"Fix")))</f>
        <v>0</v>
      </c>
      <c r="D79" s="4">
        <f>IF(OR(INDEX($V$2:$V$1001,MATCH(ROWS($U$2:U79),$U$2:$U$1001,0),1)&gt;=100000,INDEX($AB$1005:$AQ$1005,1,MATCH(COLUMNS($AB$1006:AD1006),$AB$1006:$AQ$1006,0))&gt;=100000), " ",IF(INDEX($AB$2:$AQ$1001,MATCH(ROWS($U$2:U79),$U$2:$U$1001,0),MATCH(COLUMNS($AB$1006:AD1006),$AB$1006:$AQ$1006,0)), HYPERLINK("#",""), HYPERLINK(CONCATENATE("#metadata!", ADDRESS(INDEX($W$2:$W$1001,MATCH(ROWS($U$2:U79),$U$2:$U$1001,0),0), INDEX($AB$1004:$AQ$1004,1,MATCH(COLUMNS($AB$1006:AD1006),$AB$1006:$AQ$1006,0)))),"Fix")))</f>
        <v>0</v>
      </c>
      <c r="E79" s="4">
        <f>IF(OR(INDEX($V$2:$V$1001,MATCH(ROWS($U$2:U79),$U$2:$U$1001,0),1)&gt;=100000,INDEX($AB$1005:$AQ$1005,1,MATCH(COLUMNS($AB$1006:AE1006),$AB$1006:$AQ$1006,0))&gt;=100000), " ",IF(INDEX($AB$2:$AQ$1001,MATCH(ROWS($U$2:U79),$U$2:$U$1001,0),MATCH(COLUMNS($AB$1006:AE1006),$AB$1006:$AQ$1006,0)), HYPERLINK("#",""), HYPERLINK(CONCATENATE("#metadata!", ADDRESS(INDEX($W$2:$W$1001,MATCH(ROWS($U$2:U79),$U$2:$U$1001,0),0), INDEX($AB$1004:$AQ$1004,1,MATCH(COLUMNS($AB$1006:AE1006),$AB$1006:$AQ$1006,0)))),"Fix")))</f>
        <v>0</v>
      </c>
      <c r="F79" s="4">
        <f>IF(OR(INDEX($V$2:$V$1001,MATCH(ROWS($U$2:U79),$U$2:$U$1001,0),1)&gt;=100000,INDEX($AB$1005:$AQ$1005,1,MATCH(COLUMNS($AB$1006:AF1006),$AB$1006:$AQ$1006,0))&gt;=100000), " ",IF(INDEX($AB$2:$AQ$1001,MATCH(ROWS($U$2:U79),$U$2:$U$1001,0),MATCH(COLUMNS($AB$1006:AF1006),$AB$1006:$AQ$1006,0)), HYPERLINK("#",""), HYPERLINK(CONCATENATE("#metadata!", ADDRESS(INDEX($W$2:$W$1001,MATCH(ROWS($U$2:U79),$U$2:$U$1001,0),0), INDEX($AB$1004:$AQ$1004,1,MATCH(COLUMNS($AB$1006:AF1006),$AB$1006:$AQ$1006,0)))),"Fix")))</f>
        <v>0</v>
      </c>
      <c r="G79" s="4">
        <f>IF(OR(INDEX($V$2:$V$1001,MATCH(ROWS($U$2:U79),$U$2:$U$1001,0),1)&gt;=100000,INDEX($AB$1005:$AQ$1005,1,MATCH(COLUMNS($AB$1006:AG1006),$AB$1006:$AQ$1006,0))&gt;=100000), " ",IF(INDEX($AB$2:$AQ$1001,MATCH(ROWS($U$2:U79),$U$2:$U$1001,0),MATCH(COLUMNS($AB$1006:AG1006),$AB$1006:$AQ$1006,0)), HYPERLINK("#",""), HYPERLINK(CONCATENATE("#metadata!", ADDRESS(INDEX($W$2:$W$1001,MATCH(ROWS($U$2:U79),$U$2:$U$1001,0),0), INDEX($AB$1004:$AQ$1004,1,MATCH(COLUMNS($AB$1006:AG1006),$AB$1006:$AQ$1006,0)))),"Fix")))</f>
        <v>0</v>
      </c>
      <c r="H79" s="4">
        <f>IF(OR(INDEX($V$2:$V$1001,MATCH(ROWS($U$2:U79),$U$2:$U$1001,0),1)&gt;=100000,INDEX($AB$1005:$AQ$1005,1,MATCH(COLUMNS($AB$1006:AH1006),$AB$1006:$AQ$1006,0))&gt;=100000), " ",IF(INDEX($AB$2:$AQ$1001,MATCH(ROWS($U$2:U79),$U$2:$U$1001,0),MATCH(COLUMNS($AB$1006:AH1006),$AB$1006:$AQ$1006,0)), HYPERLINK("#",""), HYPERLINK(CONCATENATE("#metadata!", ADDRESS(INDEX($W$2:$W$1001,MATCH(ROWS($U$2:U79),$U$2:$U$1001,0),0), INDEX($AB$1004:$AQ$1004,1,MATCH(COLUMNS($AB$1006:AH1006),$AB$1006:$AQ$1006,0)))),"Fix")))</f>
        <v>0</v>
      </c>
      <c r="I79" s="4">
        <f>IF(OR(INDEX($V$2:$V$1001,MATCH(ROWS($U$2:U79),$U$2:$U$1001,0),1)&gt;=100000,INDEX($AB$1005:$AQ$1005,1,MATCH(COLUMNS($AB$1006:AI1006),$AB$1006:$AQ$1006,0))&gt;=100000), " ",IF(INDEX($AB$2:$AQ$1001,MATCH(ROWS($U$2:U79),$U$2:$U$1001,0),MATCH(COLUMNS($AB$1006:AI1006),$AB$1006:$AQ$1006,0)), HYPERLINK("#",""), HYPERLINK(CONCATENATE("#metadata!", ADDRESS(INDEX($W$2:$W$1001,MATCH(ROWS($U$2:U79),$U$2:$U$1001,0),0), INDEX($AB$1004:$AQ$1004,1,MATCH(COLUMNS($AB$1006:AI1006),$AB$1006:$AQ$1006,0)))),"Fix")))</f>
        <v>0</v>
      </c>
      <c r="J79" s="4">
        <f>IF(OR(INDEX($V$2:$V$1001,MATCH(ROWS($U$2:U79),$U$2:$U$1001,0),1)&gt;=100000,INDEX($AB$1005:$AQ$1005,1,MATCH(COLUMNS($AB$1006:AJ1006),$AB$1006:$AQ$1006,0))&gt;=100000), " ",IF(INDEX($AB$2:$AQ$1001,MATCH(ROWS($U$2:U79),$U$2:$U$1001,0),MATCH(COLUMNS($AB$1006:AJ1006),$AB$1006:$AQ$1006,0)), HYPERLINK("#",""), HYPERLINK(CONCATENATE("#metadata!", ADDRESS(INDEX($W$2:$W$1001,MATCH(ROWS($U$2:U79),$U$2:$U$1001,0),0), INDEX($AB$1004:$AQ$1004,1,MATCH(COLUMNS($AB$1006:AJ1006),$AB$1006:$AQ$1006,0)))),"Fix")))</f>
        <v>0</v>
      </c>
      <c r="K79" s="4">
        <f>IF(OR(INDEX($V$2:$V$1001,MATCH(ROWS($U$2:U79),$U$2:$U$1001,0),1)&gt;=100000,INDEX($AB$1005:$AQ$1005,1,MATCH(COLUMNS($AB$1006:AK1006),$AB$1006:$AQ$1006,0))&gt;=100000), " ",IF(INDEX($AB$2:$AQ$1001,MATCH(ROWS($U$2:U79),$U$2:$U$1001,0),MATCH(COLUMNS($AB$1006:AK1006),$AB$1006:$AQ$1006,0)), HYPERLINK("#",""), HYPERLINK(CONCATENATE("#metadata!", ADDRESS(INDEX($W$2:$W$1001,MATCH(ROWS($U$2:U79),$U$2:$U$1001,0),0), INDEX($AB$1004:$AQ$1004,1,MATCH(COLUMNS($AB$1006:AK1006),$AB$1006:$AQ$1006,0)))),"Fix")))</f>
        <v>0</v>
      </c>
      <c r="L79" s="4">
        <f>IF(OR(INDEX($V$2:$V$1001,MATCH(ROWS($U$2:U79),$U$2:$U$1001,0),1)&gt;=100000,INDEX($AB$1005:$AQ$1005,1,MATCH(COLUMNS($AB$1006:AL1006),$AB$1006:$AQ$1006,0))&gt;=100000), " ",IF(INDEX($AB$2:$AQ$1001,MATCH(ROWS($U$2:U79),$U$2:$U$1001,0),MATCH(COLUMNS($AB$1006:AL1006),$AB$1006:$AQ$1006,0)), HYPERLINK("#",""), HYPERLINK(CONCATENATE("#metadata!", ADDRESS(INDEX($W$2:$W$1001,MATCH(ROWS($U$2:U79),$U$2:$U$1001,0),0), INDEX($AB$1004:$AQ$1004,1,MATCH(COLUMNS($AB$1006:AL1006),$AB$1006:$AQ$1006,0)))),"Fix")))</f>
        <v>0</v>
      </c>
      <c r="M79" s="4">
        <f>IF(OR(INDEX($V$2:$V$1001,MATCH(ROWS($U$2:U79),$U$2:$U$1001,0),1)&gt;=100000,INDEX($AB$1005:$AQ$1005,1,MATCH(COLUMNS($AB$1006:AM1006),$AB$1006:$AQ$1006,0))&gt;=100000), " ",IF(INDEX($AB$2:$AQ$1001,MATCH(ROWS($U$2:U79),$U$2:$U$1001,0),MATCH(COLUMNS($AB$1006:AM1006),$AB$1006:$AQ$1006,0)), HYPERLINK("#",""), HYPERLINK(CONCATENATE("#metadata!", ADDRESS(INDEX($W$2:$W$1001,MATCH(ROWS($U$2:U79),$U$2:$U$1001,0),0), INDEX($AB$1004:$AQ$1004,1,MATCH(COLUMNS($AB$1006:AM1006),$AB$1006:$AQ$1006,0)))),"Fix")))</f>
        <v>0</v>
      </c>
      <c r="N79" s="4">
        <f>IF(OR(INDEX($V$2:$V$1001,MATCH(ROWS($U$2:U79),$U$2:$U$1001,0),1)&gt;=100000,INDEX($AB$1005:$AQ$1005,1,MATCH(COLUMNS($AB$1006:AN1006),$AB$1006:$AQ$1006,0))&gt;=100000), " ",IF(INDEX($AB$2:$AQ$1001,MATCH(ROWS($U$2:U79),$U$2:$U$1001,0),MATCH(COLUMNS($AB$1006:AN1006),$AB$1006:$AQ$1006,0)), HYPERLINK("#",""), HYPERLINK(CONCATENATE("#metadata!", ADDRESS(INDEX($W$2:$W$1001,MATCH(ROWS($U$2:U79),$U$2:$U$1001,0),0), INDEX($AB$1004:$AQ$1004,1,MATCH(COLUMNS($AB$1006:AN1006),$AB$1006:$AQ$1006,0)))),"Fix")))</f>
        <v>0</v>
      </c>
      <c r="O79" s="4">
        <f>IF(OR(INDEX($V$2:$V$1001,MATCH(ROWS($U$2:U79),$U$2:$U$1001,0),1)&gt;=100000,INDEX($AB$1005:$AQ$1005,1,MATCH(COLUMNS($AB$1006:AO1006),$AB$1006:$AQ$1006,0))&gt;=100000), " ",IF(INDEX($AB$2:$AQ$1001,MATCH(ROWS($U$2:U79),$U$2:$U$1001,0),MATCH(COLUMNS($AB$1006:AO1006),$AB$1006:$AQ$1006,0)), HYPERLINK("#",""), HYPERLINK(CONCATENATE("#metadata!", ADDRESS(INDEX($W$2:$W$1001,MATCH(ROWS($U$2:U79),$U$2:$U$1001,0),0), INDEX($AB$1004:$AQ$1004,1,MATCH(COLUMNS($AB$1006:AO1006),$AB$1006:$AQ$1006,0)))),"Fix")))</f>
        <v>0</v>
      </c>
      <c r="P79" s="4">
        <f>IF(OR(INDEX($V$2:$V$1001,MATCH(ROWS($U$2:U79),$U$2:$U$1001,0),1)&gt;=100000,INDEX($AB$1005:$AQ$1005,1,MATCH(COLUMNS($AB$1006:AP1006),$AB$1006:$AQ$1006,0))&gt;=100000), " ",IF(INDEX($AB$2:$AQ$1001,MATCH(ROWS($U$2:U79),$U$2:$U$1001,0),MATCH(COLUMNS($AB$1006:AP1006),$AB$1006:$AQ$1006,0)), HYPERLINK("#",""), HYPERLINK(CONCATENATE("#metadata!", ADDRESS(INDEX($W$2:$W$1001,MATCH(ROWS($U$2:U79),$U$2:$U$1001,0),0), INDEX($AB$1004:$AQ$1004,1,MATCH(COLUMNS($AB$1006:AP1006),$AB$1006:$AQ$1006,0)))),"Fix")))</f>
        <v>0</v>
      </c>
      <c r="Q79" s="4">
        <f>IF(OR(INDEX($V$2:$V$1001,MATCH(ROWS($U$2:U79),$U$2:$U$1001,0),1)&gt;=100000,INDEX($AB$1005:$AQ$1005,1,MATCH(COLUMNS($AB$1006:AQ1006),$AB$1006:$AQ$1006,0))&gt;=100000), " ",IF(INDEX($AB$2:$AQ$1001,MATCH(ROWS($U$2:U79),$U$2:$U$1001,0),MATCH(COLUMNS($AB$1006:AQ1006),$AB$1006:$AQ$1006,0)), HYPERLINK("#",""), HYPERLINK(CONCATENATE("#metadata!", ADDRESS(INDEX($W$2:$W$1001,MATCH(ROWS($U$2:U79),$U$2:$U$1001,0),0), INDEX($AB$1004:$AQ$1004,1,MATCH(COLUMNS($AB$1006:AQ1006),$AB$1006:$AQ$1006,0)))),"Fix")))</f>
        <v>0</v>
      </c>
      <c r="U79">
        <v>0</v>
      </c>
      <c r="V79">
        <v>0</v>
      </c>
      <c r="W79">
        <v>0</v>
      </c>
      <c r="X79">
        <f>IF(Y79,TRUE,AND(AB79:AQ79))</f>
        <v>0</v>
      </c>
      <c r="Y79">
        <f>COUNTBLANK(metadata!B79:Q79)=COLUMNS(metadata!B79:Q79)</f>
        <v>0</v>
      </c>
      <c r="Z79">
        <v>0</v>
      </c>
      <c r="AB79">
        <f>AND(IF(metadata!B79="",FALSE,TRUE),COUNTIF(metadata!B:B, metadata!B79) = 1,NOT(ISERROR(SUMPRODUCT(SEARCH(MID(metadata!B79,ROW(INDIRECT("1:"&amp;LEN(metadata!B79))), 1),"0123456789abcdefghijklmnopqrstuvwxyzABCDEFGHIJKLMNOPQRSTUVWXYZ.")))))</f>
        <v>0</v>
      </c>
      <c r="AC79">
        <f>OR(AND(IF(metadata!C79="",FALSE,TRUE),OR(exact(metadata!C79,"missing: not collected"),exact(metadata!C79,"missing: not provided"),exact(metadata!C79,"missing: restricted access"))),AND(IF(metadata!C79="",FALSE,TRUE),AND(AND(IFERROR(INT(LEFT(metadata!C79,4))&gt;1900,FALSE),IFERROR(INT(LEFT(metadata!C79,4))&lt;=YEAR(NOW()),FALSE)), OR(MID(metadata!C79,5,1)="", AND(AND(MID(metadata!C79,5,1)="-",IFERROR(INT(MID(metadata!C79,6,1))&gt;=0,FALSE),IFERROR(INT(MID(metadata!C79,6,1))&lt;=1,FALSE),NOT(MID(metadata!C79,7,1)=""),IFERROR(INT(MID(metadata!C79,6,2))&gt;=1,FALSE),IFERROR(INT(MID(metadata!C79,6,2))&lt;=12,FALSE)), OR(MID(metadata!C79,8,1)="", AND(AND(MID(metadata!C79,8,1)="-",IFERROR(INT(MID(metadata!C79,9,1))&gt;=0,FALSE),IFERROR(INT(MID(metadata!C79,9,1))&lt;=3,FALSE),NOT(MID(metadata!C79,10,1)=""),IFERROR(INT(MID(metadata!C79,9,2))&gt;=1,FALSE),IFERROR(INT(MID(metadata!C79,9,2))&lt;=31,FALSE)), OR(MID(metadata!C79,11,1)="", AND(AND(MID(metadata!C79,11,1)=" ",IFERROR(INT(MID(metadata!C79,12,1))&gt;=0,FALSE),IFERROR(INT(MID(metadata!C79,12,1))&lt;=2,FALSE),NOT(MID(metadata!C79,13,1)=""),IFERROR(INT(MID(metadata!C79,12,2))&gt;=0,FALSE),IFERROR(INT(MID(metadata!C79,12,2))&lt;=23,FALSE)), OR(MID(metadata!C79,14,1)="", AND(AND(MID(metadata!C79,14,1)=":",IFERROR(INT(MID(metadata!C79,15,1))&gt;=0,FALSE),IFERROR(INT(MID(metadata!C79,15,1))&lt;=5,FALSE),NOT(MID(metadata!C79,16,1)=""),IFERROR(INT(MID(metadata!C79,15,2))&gt;=0,FALSE),IFERROR(INT(MID(metadata!C79,15,2))&lt;=59,FALSE)), OR(MID(metadata!C79,17,1)="", AND(AND(MID(metadata!C79,17,1)=":",IFERROR(INT(MID(metadata!C79,18,1))&gt;=0,FALSE),IFERROR(INT(MID(metadata!C79,18,1))&lt;=5,FALSE),NOT(MID(metadata!C79,19,1)=""),IFERROR(INT(MID(metadata!C79,18,2))&gt;=0,FALSE),IFERROR(INT(MID(metadata!C79,18,2))&lt;=59,FALSE)), LEN(metadata!C79)&lt;=19)))))))))))))</f>
        <v>0</v>
      </c>
      <c r="AD79">
        <f>IF(metadata!D79="",FALSE,TRUE)</f>
        <v>0</v>
      </c>
      <c r="AE79">
        <f>OR(AND(IF(metadata!E79="",FALSE,TRUE),OR(exact(metadata!E79,"missing: not collected"),exact(metadata!E79,"missing: not provided"))),AND(IF(metadata!E79="",FALSE,TRUE),OR(exact(metadata!E79,"TRUE"),exact(metadata!E79,"FALSE"))))</f>
        <v>0</v>
      </c>
      <c r="AF79">
        <f>IF(metadata!F79="",FALSE,TRUE)</f>
        <v>0</v>
      </c>
      <c r="AG79">
        <f>IF(metadata!G79="",FALSE,TRUE)</f>
        <v>0</v>
      </c>
      <c r="AH79">
        <f>IF(metadata!H79="",FALSE,TRUE)</f>
        <v>0</v>
      </c>
      <c r="AI79">
        <f>OR(AND(IF(metadata!I79="",FALSE,TRUE),OR(exact(metadata!I79,"missing: not collected"),exact(metadata!I79,"missing: not provided"),exact(metadata!I79,"missing: restricted access"))),AND(IF(metadata!I79="",FALSE,TRUE),OR(exact(metadata!I79,"air"),exact(metadata!I79,"built environment"),exact(metadata!I79,"host-associated"),exact(metadata!I79,"human-associated"),exact(metadata!I79,"human-skin"),exact(metadata!I79,"human-oral"),exact(metadata!I79,"human-gut"),exact(metadata!I79,"human-vaginal"),exact(metadata!I79,"microbial mat/biofilm"),exact(metadata!I79,"misc environment"),exact(metadata!I79,"plant-associated"),exact(metadata!I79,"sediment"),exact(metadata!I79,"soil"),exact(metadata!I79,"wastewater/sludge"),exact(metadata!I79,"water"))))</f>
        <v>0</v>
      </c>
      <c r="AJ79">
        <f>IF(metadata!J79="",FALSE,TRUE)</f>
        <v>0</v>
      </c>
      <c r="AK79">
        <f>OR(AND(IF(metadata!K79="",FALSE,TRUE),OR(exact(metadata!K79,"missing: not collected"),exact(metadata!K79,"missing: not provided"),exact(metadata!K79,"missing: restricted access"))),AND(IF(metadata!K79="",FALSE,ISNUMBER(VALUE(metadata!K79))),metadata!K79&gt;=-90.00,metadata!K79&lt;=90.00))</f>
        <v>0</v>
      </c>
      <c r="AL79">
        <f>OR(AND(IF(metadata!L79="",FALSE,TRUE),OR(exact(metadata!L79,"missing: not collected"),exact(metadata!L79,"missing: not provided"),exact(metadata!L79,"missing: restricted access"))),AND(IF(metadata!L79="",FALSE,ISNUMBER(VALUE(metadata!L79))),metadata!L79&gt;=-180.00,metadata!L79&lt;=180.00))</f>
        <v>0</v>
      </c>
      <c r="AM79">
        <f>IF(metadata!M79="",FALSE,TRUE)</f>
        <v>0</v>
      </c>
      <c r="AN79">
        <f>OR(AND(IF(metadata!N79="",FALSE,TRUE),OR(exact(metadata!N79,"missing: not collected"),exact(metadata!N79,"missing: not provided"),exact(metadata!N79,"missing: restricted access"))),AND(IF(metadata!N79="",FALSE,TRUE),OR(exact(metadata!N79,"TRUE"),exact(metadata!N79,"FALSE"))))</f>
        <v>0</v>
      </c>
      <c r="AO79">
        <f>IF(metadata!O79="",FALSE,TRUE)</f>
        <v>0</v>
      </c>
      <c r="AP79">
        <f>OR(AND(IF(metadata!P79="",FALSE,TRUE),OR(exact(metadata!P79,"missing: not collected"),exact(metadata!P79,"missing: not provided"))),AND(IF(metadata!P79="",FALSE,IF(ISERROR(INT(metadata!P79)),FALSE,INT(metadata!P79)=metadata!P79)),metadata!P79&gt;0))</f>
        <v>0</v>
      </c>
      <c r="AQ79">
        <f>IF(metadata!Q79="",FALSE,TRUE)</f>
        <v>0</v>
      </c>
    </row>
    <row r="80" spans="1:43">
      <c r="A80" s="5">
        <f>IF(B80=" "," ",HYPERLINK(CONCATENATE("#metadata!",ADDRESS(INDEX($W$2:$W$1001,MATCH(ROWS($U$2:U80),$U$2:$U$1001,0),0),1)),INDEX($Z$2:$Z$1001,MATCH(ROWS($U$2:U80),$U$2:$U$1001,0),0)))</f>
        <v>0</v>
      </c>
      <c r="B80" s="4">
        <f>IF(OR(INDEX($V$2:$V$1001,MATCH(ROWS($U$2:U80),$U$2:$U$1001,0),1)&gt;=100000,INDEX($AB$1005:$AQ$1005,1,MATCH(COLUMNS($AB$1006:AB1006),$AB$1006:$AQ$1006,0))&gt;=100000), " ",IF(INDEX($AB$2:$AQ$1001,MATCH(ROWS($U$2:U80),$U$2:$U$1001,0),MATCH(COLUMNS($AB$1006:AB1006),$AB$1006:$AQ$1006,0)), HYPERLINK("#",""), HYPERLINK(CONCATENATE("#metadata!", ADDRESS(INDEX($W$2:$W$1001,MATCH(ROWS($U$2:U80),$U$2:$U$1001,0),0), INDEX($AB$1004:$AQ$1004,1,MATCH(COLUMNS($AB$1006:AB1006),$AB$1006:$AQ$1006,0)))),"Fix")))</f>
        <v>0</v>
      </c>
      <c r="C80" s="4">
        <f>IF(OR(INDEX($V$2:$V$1001,MATCH(ROWS($U$2:U80),$U$2:$U$1001,0),1)&gt;=100000,INDEX($AB$1005:$AQ$1005,1,MATCH(COLUMNS($AB$1006:AC1006),$AB$1006:$AQ$1006,0))&gt;=100000), " ",IF(INDEX($AB$2:$AQ$1001,MATCH(ROWS($U$2:U80),$U$2:$U$1001,0),MATCH(COLUMNS($AB$1006:AC1006),$AB$1006:$AQ$1006,0)), HYPERLINK("#",""), HYPERLINK(CONCATENATE("#metadata!", ADDRESS(INDEX($W$2:$W$1001,MATCH(ROWS($U$2:U80),$U$2:$U$1001,0),0), INDEX($AB$1004:$AQ$1004,1,MATCH(COLUMNS($AB$1006:AC1006),$AB$1006:$AQ$1006,0)))),"Fix")))</f>
        <v>0</v>
      </c>
      <c r="D80" s="4">
        <f>IF(OR(INDEX($V$2:$V$1001,MATCH(ROWS($U$2:U80),$U$2:$U$1001,0),1)&gt;=100000,INDEX($AB$1005:$AQ$1005,1,MATCH(COLUMNS($AB$1006:AD1006),$AB$1006:$AQ$1006,0))&gt;=100000), " ",IF(INDEX($AB$2:$AQ$1001,MATCH(ROWS($U$2:U80),$U$2:$U$1001,0),MATCH(COLUMNS($AB$1006:AD1006),$AB$1006:$AQ$1006,0)), HYPERLINK("#",""), HYPERLINK(CONCATENATE("#metadata!", ADDRESS(INDEX($W$2:$W$1001,MATCH(ROWS($U$2:U80),$U$2:$U$1001,0),0), INDEX($AB$1004:$AQ$1004,1,MATCH(COLUMNS($AB$1006:AD1006),$AB$1006:$AQ$1006,0)))),"Fix")))</f>
        <v>0</v>
      </c>
      <c r="E80" s="4">
        <f>IF(OR(INDEX($V$2:$V$1001,MATCH(ROWS($U$2:U80),$U$2:$U$1001,0),1)&gt;=100000,INDEX($AB$1005:$AQ$1005,1,MATCH(COLUMNS($AB$1006:AE1006),$AB$1006:$AQ$1006,0))&gt;=100000), " ",IF(INDEX($AB$2:$AQ$1001,MATCH(ROWS($U$2:U80),$U$2:$U$1001,0),MATCH(COLUMNS($AB$1006:AE1006),$AB$1006:$AQ$1006,0)), HYPERLINK("#",""), HYPERLINK(CONCATENATE("#metadata!", ADDRESS(INDEX($W$2:$W$1001,MATCH(ROWS($U$2:U80),$U$2:$U$1001,0),0), INDEX($AB$1004:$AQ$1004,1,MATCH(COLUMNS($AB$1006:AE1006),$AB$1006:$AQ$1006,0)))),"Fix")))</f>
        <v>0</v>
      </c>
      <c r="F80" s="4">
        <f>IF(OR(INDEX($V$2:$V$1001,MATCH(ROWS($U$2:U80),$U$2:$U$1001,0),1)&gt;=100000,INDEX($AB$1005:$AQ$1005,1,MATCH(COLUMNS($AB$1006:AF1006),$AB$1006:$AQ$1006,0))&gt;=100000), " ",IF(INDEX($AB$2:$AQ$1001,MATCH(ROWS($U$2:U80),$U$2:$U$1001,0),MATCH(COLUMNS($AB$1006:AF1006),$AB$1006:$AQ$1006,0)), HYPERLINK("#",""), HYPERLINK(CONCATENATE("#metadata!", ADDRESS(INDEX($W$2:$W$1001,MATCH(ROWS($U$2:U80),$U$2:$U$1001,0),0), INDEX($AB$1004:$AQ$1004,1,MATCH(COLUMNS($AB$1006:AF1006),$AB$1006:$AQ$1006,0)))),"Fix")))</f>
        <v>0</v>
      </c>
      <c r="G80" s="4">
        <f>IF(OR(INDEX($V$2:$V$1001,MATCH(ROWS($U$2:U80),$U$2:$U$1001,0),1)&gt;=100000,INDEX($AB$1005:$AQ$1005,1,MATCH(COLUMNS($AB$1006:AG1006),$AB$1006:$AQ$1006,0))&gt;=100000), " ",IF(INDEX($AB$2:$AQ$1001,MATCH(ROWS($U$2:U80),$U$2:$U$1001,0),MATCH(COLUMNS($AB$1006:AG1006),$AB$1006:$AQ$1006,0)), HYPERLINK("#",""), HYPERLINK(CONCATENATE("#metadata!", ADDRESS(INDEX($W$2:$W$1001,MATCH(ROWS($U$2:U80),$U$2:$U$1001,0),0), INDEX($AB$1004:$AQ$1004,1,MATCH(COLUMNS($AB$1006:AG1006),$AB$1006:$AQ$1006,0)))),"Fix")))</f>
        <v>0</v>
      </c>
      <c r="H80" s="4">
        <f>IF(OR(INDEX($V$2:$V$1001,MATCH(ROWS($U$2:U80),$U$2:$U$1001,0),1)&gt;=100000,INDEX($AB$1005:$AQ$1005,1,MATCH(COLUMNS($AB$1006:AH1006),$AB$1006:$AQ$1006,0))&gt;=100000), " ",IF(INDEX($AB$2:$AQ$1001,MATCH(ROWS($U$2:U80),$U$2:$U$1001,0),MATCH(COLUMNS($AB$1006:AH1006),$AB$1006:$AQ$1006,0)), HYPERLINK("#",""), HYPERLINK(CONCATENATE("#metadata!", ADDRESS(INDEX($W$2:$W$1001,MATCH(ROWS($U$2:U80),$U$2:$U$1001,0),0), INDEX($AB$1004:$AQ$1004,1,MATCH(COLUMNS($AB$1006:AH1006),$AB$1006:$AQ$1006,0)))),"Fix")))</f>
        <v>0</v>
      </c>
      <c r="I80" s="4">
        <f>IF(OR(INDEX($V$2:$V$1001,MATCH(ROWS($U$2:U80),$U$2:$U$1001,0),1)&gt;=100000,INDEX($AB$1005:$AQ$1005,1,MATCH(COLUMNS($AB$1006:AI1006),$AB$1006:$AQ$1006,0))&gt;=100000), " ",IF(INDEX($AB$2:$AQ$1001,MATCH(ROWS($U$2:U80),$U$2:$U$1001,0),MATCH(COLUMNS($AB$1006:AI1006),$AB$1006:$AQ$1006,0)), HYPERLINK("#",""), HYPERLINK(CONCATENATE("#metadata!", ADDRESS(INDEX($W$2:$W$1001,MATCH(ROWS($U$2:U80),$U$2:$U$1001,0),0), INDEX($AB$1004:$AQ$1004,1,MATCH(COLUMNS($AB$1006:AI1006),$AB$1006:$AQ$1006,0)))),"Fix")))</f>
        <v>0</v>
      </c>
      <c r="J80" s="4">
        <f>IF(OR(INDEX($V$2:$V$1001,MATCH(ROWS($U$2:U80),$U$2:$U$1001,0),1)&gt;=100000,INDEX($AB$1005:$AQ$1005,1,MATCH(COLUMNS($AB$1006:AJ1006),$AB$1006:$AQ$1006,0))&gt;=100000), " ",IF(INDEX($AB$2:$AQ$1001,MATCH(ROWS($U$2:U80),$U$2:$U$1001,0),MATCH(COLUMNS($AB$1006:AJ1006),$AB$1006:$AQ$1006,0)), HYPERLINK("#",""), HYPERLINK(CONCATENATE("#metadata!", ADDRESS(INDEX($W$2:$W$1001,MATCH(ROWS($U$2:U80),$U$2:$U$1001,0),0), INDEX($AB$1004:$AQ$1004,1,MATCH(COLUMNS($AB$1006:AJ1006),$AB$1006:$AQ$1006,0)))),"Fix")))</f>
        <v>0</v>
      </c>
      <c r="K80" s="4">
        <f>IF(OR(INDEX($V$2:$V$1001,MATCH(ROWS($U$2:U80),$U$2:$U$1001,0),1)&gt;=100000,INDEX($AB$1005:$AQ$1005,1,MATCH(COLUMNS($AB$1006:AK1006),$AB$1006:$AQ$1006,0))&gt;=100000), " ",IF(INDEX($AB$2:$AQ$1001,MATCH(ROWS($U$2:U80),$U$2:$U$1001,0),MATCH(COLUMNS($AB$1006:AK1006),$AB$1006:$AQ$1006,0)), HYPERLINK("#",""), HYPERLINK(CONCATENATE("#metadata!", ADDRESS(INDEX($W$2:$W$1001,MATCH(ROWS($U$2:U80),$U$2:$U$1001,0),0), INDEX($AB$1004:$AQ$1004,1,MATCH(COLUMNS($AB$1006:AK1006),$AB$1006:$AQ$1006,0)))),"Fix")))</f>
        <v>0</v>
      </c>
      <c r="L80" s="4">
        <f>IF(OR(INDEX($V$2:$V$1001,MATCH(ROWS($U$2:U80),$U$2:$U$1001,0),1)&gt;=100000,INDEX($AB$1005:$AQ$1005,1,MATCH(COLUMNS($AB$1006:AL1006),$AB$1006:$AQ$1006,0))&gt;=100000), " ",IF(INDEX($AB$2:$AQ$1001,MATCH(ROWS($U$2:U80),$U$2:$U$1001,0),MATCH(COLUMNS($AB$1006:AL1006),$AB$1006:$AQ$1006,0)), HYPERLINK("#",""), HYPERLINK(CONCATENATE("#metadata!", ADDRESS(INDEX($W$2:$W$1001,MATCH(ROWS($U$2:U80),$U$2:$U$1001,0),0), INDEX($AB$1004:$AQ$1004,1,MATCH(COLUMNS($AB$1006:AL1006),$AB$1006:$AQ$1006,0)))),"Fix")))</f>
        <v>0</v>
      </c>
      <c r="M80" s="4">
        <f>IF(OR(INDEX($V$2:$V$1001,MATCH(ROWS($U$2:U80),$U$2:$U$1001,0),1)&gt;=100000,INDEX($AB$1005:$AQ$1005,1,MATCH(COLUMNS($AB$1006:AM1006),$AB$1006:$AQ$1006,0))&gt;=100000), " ",IF(INDEX($AB$2:$AQ$1001,MATCH(ROWS($U$2:U80),$U$2:$U$1001,0),MATCH(COLUMNS($AB$1006:AM1006),$AB$1006:$AQ$1006,0)), HYPERLINK("#",""), HYPERLINK(CONCATENATE("#metadata!", ADDRESS(INDEX($W$2:$W$1001,MATCH(ROWS($U$2:U80),$U$2:$U$1001,0),0), INDEX($AB$1004:$AQ$1004,1,MATCH(COLUMNS($AB$1006:AM1006),$AB$1006:$AQ$1006,0)))),"Fix")))</f>
        <v>0</v>
      </c>
      <c r="N80" s="4">
        <f>IF(OR(INDEX($V$2:$V$1001,MATCH(ROWS($U$2:U80),$U$2:$U$1001,0),1)&gt;=100000,INDEX($AB$1005:$AQ$1005,1,MATCH(COLUMNS($AB$1006:AN1006),$AB$1006:$AQ$1006,0))&gt;=100000), " ",IF(INDEX($AB$2:$AQ$1001,MATCH(ROWS($U$2:U80),$U$2:$U$1001,0),MATCH(COLUMNS($AB$1006:AN1006),$AB$1006:$AQ$1006,0)), HYPERLINK("#",""), HYPERLINK(CONCATENATE("#metadata!", ADDRESS(INDEX($W$2:$W$1001,MATCH(ROWS($U$2:U80),$U$2:$U$1001,0),0), INDEX($AB$1004:$AQ$1004,1,MATCH(COLUMNS($AB$1006:AN1006),$AB$1006:$AQ$1006,0)))),"Fix")))</f>
        <v>0</v>
      </c>
      <c r="O80" s="4">
        <f>IF(OR(INDEX($V$2:$V$1001,MATCH(ROWS($U$2:U80),$U$2:$U$1001,0),1)&gt;=100000,INDEX($AB$1005:$AQ$1005,1,MATCH(COLUMNS($AB$1006:AO1006),$AB$1006:$AQ$1006,0))&gt;=100000), " ",IF(INDEX($AB$2:$AQ$1001,MATCH(ROWS($U$2:U80),$U$2:$U$1001,0),MATCH(COLUMNS($AB$1006:AO1006),$AB$1006:$AQ$1006,0)), HYPERLINK("#",""), HYPERLINK(CONCATENATE("#metadata!", ADDRESS(INDEX($W$2:$W$1001,MATCH(ROWS($U$2:U80),$U$2:$U$1001,0),0), INDEX($AB$1004:$AQ$1004,1,MATCH(COLUMNS($AB$1006:AO1006),$AB$1006:$AQ$1006,0)))),"Fix")))</f>
        <v>0</v>
      </c>
      <c r="P80" s="4">
        <f>IF(OR(INDEX($V$2:$V$1001,MATCH(ROWS($U$2:U80),$U$2:$U$1001,0),1)&gt;=100000,INDEX($AB$1005:$AQ$1005,1,MATCH(COLUMNS($AB$1006:AP1006),$AB$1006:$AQ$1006,0))&gt;=100000), " ",IF(INDEX($AB$2:$AQ$1001,MATCH(ROWS($U$2:U80),$U$2:$U$1001,0),MATCH(COLUMNS($AB$1006:AP1006),$AB$1006:$AQ$1006,0)), HYPERLINK("#",""), HYPERLINK(CONCATENATE("#metadata!", ADDRESS(INDEX($W$2:$W$1001,MATCH(ROWS($U$2:U80),$U$2:$U$1001,0),0), INDEX($AB$1004:$AQ$1004,1,MATCH(COLUMNS($AB$1006:AP1006),$AB$1006:$AQ$1006,0)))),"Fix")))</f>
        <v>0</v>
      </c>
      <c r="Q80" s="4">
        <f>IF(OR(INDEX($V$2:$V$1001,MATCH(ROWS($U$2:U80),$U$2:$U$1001,0),1)&gt;=100000,INDEX($AB$1005:$AQ$1005,1,MATCH(COLUMNS($AB$1006:AQ1006),$AB$1006:$AQ$1006,0))&gt;=100000), " ",IF(INDEX($AB$2:$AQ$1001,MATCH(ROWS($U$2:U80),$U$2:$U$1001,0),MATCH(COLUMNS($AB$1006:AQ1006),$AB$1006:$AQ$1006,0)), HYPERLINK("#",""), HYPERLINK(CONCATENATE("#metadata!", ADDRESS(INDEX($W$2:$W$1001,MATCH(ROWS($U$2:U80),$U$2:$U$1001,0),0), INDEX($AB$1004:$AQ$1004,1,MATCH(COLUMNS($AB$1006:AQ1006),$AB$1006:$AQ$1006,0)))),"Fix")))</f>
        <v>0</v>
      </c>
      <c r="U80">
        <v>0</v>
      </c>
      <c r="V80">
        <v>0</v>
      </c>
      <c r="W80">
        <v>0</v>
      </c>
      <c r="X80">
        <f>IF(Y80,TRUE,AND(AB80:AQ80))</f>
        <v>0</v>
      </c>
      <c r="Y80">
        <f>COUNTBLANK(metadata!B80:Q80)=COLUMNS(metadata!B80:Q80)</f>
        <v>0</v>
      </c>
      <c r="Z80">
        <v>0</v>
      </c>
      <c r="AB80">
        <f>AND(IF(metadata!B80="",FALSE,TRUE),COUNTIF(metadata!B:B, metadata!B80) = 1,NOT(ISERROR(SUMPRODUCT(SEARCH(MID(metadata!B80,ROW(INDIRECT("1:"&amp;LEN(metadata!B80))), 1),"0123456789abcdefghijklmnopqrstuvwxyzABCDEFGHIJKLMNOPQRSTUVWXYZ.")))))</f>
        <v>0</v>
      </c>
      <c r="AC80">
        <f>OR(AND(IF(metadata!C80="",FALSE,TRUE),OR(exact(metadata!C80,"missing: not collected"),exact(metadata!C80,"missing: not provided"),exact(metadata!C80,"missing: restricted access"))),AND(IF(metadata!C80="",FALSE,TRUE),AND(AND(IFERROR(INT(LEFT(metadata!C80,4))&gt;1900,FALSE),IFERROR(INT(LEFT(metadata!C80,4))&lt;=YEAR(NOW()),FALSE)), OR(MID(metadata!C80,5,1)="", AND(AND(MID(metadata!C80,5,1)="-",IFERROR(INT(MID(metadata!C80,6,1))&gt;=0,FALSE),IFERROR(INT(MID(metadata!C80,6,1))&lt;=1,FALSE),NOT(MID(metadata!C80,7,1)=""),IFERROR(INT(MID(metadata!C80,6,2))&gt;=1,FALSE),IFERROR(INT(MID(metadata!C80,6,2))&lt;=12,FALSE)), OR(MID(metadata!C80,8,1)="", AND(AND(MID(metadata!C80,8,1)="-",IFERROR(INT(MID(metadata!C80,9,1))&gt;=0,FALSE),IFERROR(INT(MID(metadata!C80,9,1))&lt;=3,FALSE),NOT(MID(metadata!C80,10,1)=""),IFERROR(INT(MID(metadata!C80,9,2))&gt;=1,FALSE),IFERROR(INT(MID(metadata!C80,9,2))&lt;=31,FALSE)), OR(MID(metadata!C80,11,1)="", AND(AND(MID(metadata!C80,11,1)=" ",IFERROR(INT(MID(metadata!C80,12,1))&gt;=0,FALSE),IFERROR(INT(MID(metadata!C80,12,1))&lt;=2,FALSE),NOT(MID(metadata!C80,13,1)=""),IFERROR(INT(MID(metadata!C80,12,2))&gt;=0,FALSE),IFERROR(INT(MID(metadata!C80,12,2))&lt;=23,FALSE)), OR(MID(metadata!C80,14,1)="", AND(AND(MID(metadata!C80,14,1)=":",IFERROR(INT(MID(metadata!C80,15,1))&gt;=0,FALSE),IFERROR(INT(MID(metadata!C80,15,1))&lt;=5,FALSE),NOT(MID(metadata!C80,16,1)=""),IFERROR(INT(MID(metadata!C80,15,2))&gt;=0,FALSE),IFERROR(INT(MID(metadata!C80,15,2))&lt;=59,FALSE)), OR(MID(metadata!C80,17,1)="", AND(AND(MID(metadata!C80,17,1)=":",IFERROR(INT(MID(metadata!C80,18,1))&gt;=0,FALSE),IFERROR(INT(MID(metadata!C80,18,1))&lt;=5,FALSE),NOT(MID(metadata!C80,19,1)=""),IFERROR(INT(MID(metadata!C80,18,2))&gt;=0,FALSE),IFERROR(INT(MID(metadata!C80,18,2))&lt;=59,FALSE)), LEN(metadata!C80)&lt;=19)))))))))))))</f>
        <v>0</v>
      </c>
      <c r="AD80">
        <f>IF(metadata!D80="",FALSE,TRUE)</f>
        <v>0</v>
      </c>
      <c r="AE80">
        <f>OR(AND(IF(metadata!E80="",FALSE,TRUE),OR(exact(metadata!E80,"missing: not collected"),exact(metadata!E80,"missing: not provided"))),AND(IF(metadata!E80="",FALSE,TRUE),OR(exact(metadata!E80,"TRUE"),exact(metadata!E80,"FALSE"))))</f>
        <v>0</v>
      </c>
      <c r="AF80">
        <f>IF(metadata!F80="",FALSE,TRUE)</f>
        <v>0</v>
      </c>
      <c r="AG80">
        <f>IF(metadata!G80="",FALSE,TRUE)</f>
        <v>0</v>
      </c>
      <c r="AH80">
        <f>IF(metadata!H80="",FALSE,TRUE)</f>
        <v>0</v>
      </c>
      <c r="AI80">
        <f>OR(AND(IF(metadata!I80="",FALSE,TRUE),OR(exact(metadata!I80,"missing: not collected"),exact(metadata!I80,"missing: not provided"),exact(metadata!I80,"missing: restricted access"))),AND(IF(metadata!I80="",FALSE,TRUE),OR(exact(metadata!I80,"air"),exact(metadata!I80,"built environment"),exact(metadata!I80,"host-associated"),exact(metadata!I80,"human-associated"),exact(metadata!I80,"human-skin"),exact(metadata!I80,"human-oral"),exact(metadata!I80,"human-gut"),exact(metadata!I80,"human-vaginal"),exact(metadata!I80,"microbial mat/biofilm"),exact(metadata!I80,"misc environment"),exact(metadata!I80,"plant-associated"),exact(metadata!I80,"sediment"),exact(metadata!I80,"soil"),exact(metadata!I80,"wastewater/sludge"),exact(metadata!I80,"water"))))</f>
        <v>0</v>
      </c>
      <c r="AJ80">
        <f>IF(metadata!J80="",FALSE,TRUE)</f>
        <v>0</v>
      </c>
      <c r="AK80">
        <f>OR(AND(IF(metadata!K80="",FALSE,TRUE),OR(exact(metadata!K80,"missing: not collected"),exact(metadata!K80,"missing: not provided"),exact(metadata!K80,"missing: restricted access"))),AND(IF(metadata!K80="",FALSE,ISNUMBER(VALUE(metadata!K80))),metadata!K80&gt;=-90.00,metadata!K80&lt;=90.00))</f>
        <v>0</v>
      </c>
      <c r="AL80">
        <f>OR(AND(IF(metadata!L80="",FALSE,TRUE),OR(exact(metadata!L80,"missing: not collected"),exact(metadata!L80,"missing: not provided"),exact(metadata!L80,"missing: restricted access"))),AND(IF(metadata!L80="",FALSE,ISNUMBER(VALUE(metadata!L80))),metadata!L80&gt;=-180.00,metadata!L80&lt;=180.00))</f>
        <v>0</v>
      </c>
      <c r="AM80">
        <f>IF(metadata!M80="",FALSE,TRUE)</f>
        <v>0</v>
      </c>
      <c r="AN80">
        <f>OR(AND(IF(metadata!N80="",FALSE,TRUE),OR(exact(metadata!N80,"missing: not collected"),exact(metadata!N80,"missing: not provided"),exact(metadata!N80,"missing: restricted access"))),AND(IF(metadata!N80="",FALSE,TRUE),OR(exact(metadata!N80,"TRUE"),exact(metadata!N80,"FALSE"))))</f>
        <v>0</v>
      </c>
      <c r="AO80">
        <f>IF(metadata!O80="",FALSE,TRUE)</f>
        <v>0</v>
      </c>
      <c r="AP80">
        <f>OR(AND(IF(metadata!P80="",FALSE,TRUE),OR(exact(metadata!P80,"missing: not collected"),exact(metadata!P80,"missing: not provided"))),AND(IF(metadata!P80="",FALSE,IF(ISERROR(INT(metadata!P80)),FALSE,INT(metadata!P80)=metadata!P80)),metadata!P80&gt;0))</f>
        <v>0</v>
      </c>
      <c r="AQ80">
        <f>IF(metadata!Q80="",FALSE,TRUE)</f>
        <v>0</v>
      </c>
    </row>
    <row r="81" spans="1:43">
      <c r="A81" s="5">
        <f>IF(B81=" "," ",HYPERLINK(CONCATENATE("#metadata!",ADDRESS(INDEX($W$2:$W$1001,MATCH(ROWS($U$2:U81),$U$2:$U$1001,0),0),1)),INDEX($Z$2:$Z$1001,MATCH(ROWS($U$2:U81),$U$2:$U$1001,0),0)))</f>
        <v>0</v>
      </c>
      <c r="B81" s="4">
        <f>IF(OR(INDEX($V$2:$V$1001,MATCH(ROWS($U$2:U81),$U$2:$U$1001,0),1)&gt;=100000,INDEX($AB$1005:$AQ$1005,1,MATCH(COLUMNS($AB$1006:AB1006),$AB$1006:$AQ$1006,0))&gt;=100000), " ",IF(INDEX($AB$2:$AQ$1001,MATCH(ROWS($U$2:U81),$U$2:$U$1001,0),MATCH(COLUMNS($AB$1006:AB1006),$AB$1006:$AQ$1006,0)), HYPERLINK("#",""), HYPERLINK(CONCATENATE("#metadata!", ADDRESS(INDEX($W$2:$W$1001,MATCH(ROWS($U$2:U81),$U$2:$U$1001,0),0), INDEX($AB$1004:$AQ$1004,1,MATCH(COLUMNS($AB$1006:AB1006),$AB$1006:$AQ$1006,0)))),"Fix")))</f>
        <v>0</v>
      </c>
      <c r="C81" s="4">
        <f>IF(OR(INDEX($V$2:$V$1001,MATCH(ROWS($U$2:U81),$U$2:$U$1001,0),1)&gt;=100000,INDEX($AB$1005:$AQ$1005,1,MATCH(COLUMNS($AB$1006:AC1006),$AB$1006:$AQ$1006,0))&gt;=100000), " ",IF(INDEX($AB$2:$AQ$1001,MATCH(ROWS($U$2:U81),$U$2:$U$1001,0),MATCH(COLUMNS($AB$1006:AC1006),$AB$1006:$AQ$1006,0)), HYPERLINK("#",""), HYPERLINK(CONCATENATE("#metadata!", ADDRESS(INDEX($W$2:$W$1001,MATCH(ROWS($U$2:U81),$U$2:$U$1001,0),0), INDEX($AB$1004:$AQ$1004,1,MATCH(COLUMNS($AB$1006:AC1006),$AB$1006:$AQ$1006,0)))),"Fix")))</f>
        <v>0</v>
      </c>
      <c r="D81" s="4">
        <f>IF(OR(INDEX($V$2:$V$1001,MATCH(ROWS($U$2:U81),$U$2:$U$1001,0),1)&gt;=100000,INDEX($AB$1005:$AQ$1005,1,MATCH(COLUMNS($AB$1006:AD1006),$AB$1006:$AQ$1006,0))&gt;=100000), " ",IF(INDEX($AB$2:$AQ$1001,MATCH(ROWS($U$2:U81),$U$2:$U$1001,0),MATCH(COLUMNS($AB$1006:AD1006),$AB$1006:$AQ$1006,0)), HYPERLINK("#",""), HYPERLINK(CONCATENATE("#metadata!", ADDRESS(INDEX($W$2:$W$1001,MATCH(ROWS($U$2:U81),$U$2:$U$1001,0),0), INDEX($AB$1004:$AQ$1004,1,MATCH(COLUMNS($AB$1006:AD1006),$AB$1006:$AQ$1006,0)))),"Fix")))</f>
        <v>0</v>
      </c>
      <c r="E81" s="4">
        <f>IF(OR(INDEX($V$2:$V$1001,MATCH(ROWS($U$2:U81),$U$2:$U$1001,0),1)&gt;=100000,INDEX($AB$1005:$AQ$1005,1,MATCH(COLUMNS($AB$1006:AE1006),$AB$1006:$AQ$1006,0))&gt;=100000), " ",IF(INDEX($AB$2:$AQ$1001,MATCH(ROWS($U$2:U81),$U$2:$U$1001,0),MATCH(COLUMNS($AB$1006:AE1006),$AB$1006:$AQ$1006,0)), HYPERLINK("#",""), HYPERLINK(CONCATENATE("#metadata!", ADDRESS(INDEX($W$2:$W$1001,MATCH(ROWS($U$2:U81),$U$2:$U$1001,0),0), INDEX($AB$1004:$AQ$1004,1,MATCH(COLUMNS($AB$1006:AE1006),$AB$1006:$AQ$1006,0)))),"Fix")))</f>
        <v>0</v>
      </c>
      <c r="F81" s="4">
        <f>IF(OR(INDEX($V$2:$V$1001,MATCH(ROWS($U$2:U81),$U$2:$U$1001,0),1)&gt;=100000,INDEX($AB$1005:$AQ$1005,1,MATCH(COLUMNS($AB$1006:AF1006),$AB$1006:$AQ$1006,0))&gt;=100000), " ",IF(INDEX($AB$2:$AQ$1001,MATCH(ROWS($U$2:U81),$U$2:$U$1001,0),MATCH(COLUMNS($AB$1006:AF1006),$AB$1006:$AQ$1006,0)), HYPERLINK("#",""), HYPERLINK(CONCATENATE("#metadata!", ADDRESS(INDEX($W$2:$W$1001,MATCH(ROWS($U$2:U81),$U$2:$U$1001,0),0), INDEX($AB$1004:$AQ$1004,1,MATCH(COLUMNS($AB$1006:AF1006),$AB$1006:$AQ$1006,0)))),"Fix")))</f>
        <v>0</v>
      </c>
      <c r="G81" s="4">
        <f>IF(OR(INDEX($V$2:$V$1001,MATCH(ROWS($U$2:U81),$U$2:$U$1001,0),1)&gt;=100000,INDEX($AB$1005:$AQ$1005,1,MATCH(COLUMNS($AB$1006:AG1006),$AB$1006:$AQ$1006,0))&gt;=100000), " ",IF(INDEX($AB$2:$AQ$1001,MATCH(ROWS($U$2:U81),$U$2:$U$1001,0),MATCH(COLUMNS($AB$1006:AG1006),$AB$1006:$AQ$1006,0)), HYPERLINK("#",""), HYPERLINK(CONCATENATE("#metadata!", ADDRESS(INDEX($W$2:$W$1001,MATCH(ROWS($U$2:U81),$U$2:$U$1001,0),0), INDEX($AB$1004:$AQ$1004,1,MATCH(COLUMNS($AB$1006:AG1006),$AB$1006:$AQ$1006,0)))),"Fix")))</f>
        <v>0</v>
      </c>
      <c r="H81" s="4">
        <f>IF(OR(INDEX($V$2:$V$1001,MATCH(ROWS($U$2:U81),$U$2:$U$1001,0),1)&gt;=100000,INDEX($AB$1005:$AQ$1005,1,MATCH(COLUMNS($AB$1006:AH1006),$AB$1006:$AQ$1006,0))&gt;=100000), " ",IF(INDEX($AB$2:$AQ$1001,MATCH(ROWS($U$2:U81),$U$2:$U$1001,0),MATCH(COLUMNS($AB$1006:AH1006),$AB$1006:$AQ$1006,0)), HYPERLINK("#",""), HYPERLINK(CONCATENATE("#metadata!", ADDRESS(INDEX($W$2:$W$1001,MATCH(ROWS($U$2:U81),$U$2:$U$1001,0),0), INDEX($AB$1004:$AQ$1004,1,MATCH(COLUMNS($AB$1006:AH1006),$AB$1006:$AQ$1006,0)))),"Fix")))</f>
        <v>0</v>
      </c>
      <c r="I81" s="4">
        <f>IF(OR(INDEX($V$2:$V$1001,MATCH(ROWS($U$2:U81),$U$2:$U$1001,0),1)&gt;=100000,INDEX($AB$1005:$AQ$1005,1,MATCH(COLUMNS($AB$1006:AI1006),$AB$1006:$AQ$1006,0))&gt;=100000), " ",IF(INDEX($AB$2:$AQ$1001,MATCH(ROWS($U$2:U81),$U$2:$U$1001,0),MATCH(COLUMNS($AB$1006:AI1006),$AB$1006:$AQ$1006,0)), HYPERLINK("#",""), HYPERLINK(CONCATENATE("#metadata!", ADDRESS(INDEX($W$2:$W$1001,MATCH(ROWS($U$2:U81),$U$2:$U$1001,0),0), INDEX($AB$1004:$AQ$1004,1,MATCH(COLUMNS($AB$1006:AI1006),$AB$1006:$AQ$1006,0)))),"Fix")))</f>
        <v>0</v>
      </c>
      <c r="J81" s="4">
        <f>IF(OR(INDEX($V$2:$V$1001,MATCH(ROWS($U$2:U81),$U$2:$U$1001,0),1)&gt;=100000,INDEX($AB$1005:$AQ$1005,1,MATCH(COLUMNS($AB$1006:AJ1006),$AB$1006:$AQ$1006,0))&gt;=100000), " ",IF(INDEX($AB$2:$AQ$1001,MATCH(ROWS($U$2:U81),$U$2:$U$1001,0),MATCH(COLUMNS($AB$1006:AJ1006),$AB$1006:$AQ$1006,0)), HYPERLINK("#",""), HYPERLINK(CONCATENATE("#metadata!", ADDRESS(INDEX($W$2:$W$1001,MATCH(ROWS($U$2:U81),$U$2:$U$1001,0),0), INDEX($AB$1004:$AQ$1004,1,MATCH(COLUMNS($AB$1006:AJ1006),$AB$1006:$AQ$1006,0)))),"Fix")))</f>
        <v>0</v>
      </c>
      <c r="K81" s="4">
        <f>IF(OR(INDEX($V$2:$V$1001,MATCH(ROWS($U$2:U81),$U$2:$U$1001,0),1)&gt;=100000,INDEX($AB$1005:$AQ$1005,1,MATCH(COLUMNS($AB$1006:AK1006),$AB$1006:$AQ$1006,0))&gt;=100000), " ",IF(INDEX($AB$2:$AQ$1001,MATCH(ROWS($U$2:U81),$U$2:$U$1001,0),MATCH(COLUMNS($AB$1006:AK1006),$AB$1006:$AQ$1006,0)), HYPERLINK("#",""), HYPERLINK(CONCATENATE("#metadata!", ADDRESS(INDEX($W$2:$W$1001,MATCH(ROWS($U$2:U81),$U$2:$U$1001,0),0), INDEX($AB$1004:$AQ$1004,1,MATCH(COLUMNS($AB$1006:AK1006),$AB$1006:$AQ$1006,0)))),"Fix")))</f>
        <v>0</v>
      </c>
      <c r="L81" s="4">
        <f>IF(OR(INDEX($V$2:$V$1001,MATCH(ROWS($U$2:U81),$U$2:$U$1001,0),1)&gt;=100000,INDEX($AB$1005:$AQ$1005,1,MATCH(COLUMNS($AB$1006:AL1006),$AB$1006:$AQ$1006,0))&gt;=100000), " ",IF(INDEX($AB$2:$AQ$1001,MATCH(ROWS($U$2:U81),$U$2:$U$1001,0),MATCH(COLUMNS($AB$1006:AL1006),$AB$1006:$AQ$1006,0)), HYPERLINK("#",""), HYPERLINK(CONCATENATE("#metadata!", ADDRESS(INDEX($W$2:$W$1001,MATCH(ROWS($U$2:U81),$U$2:$U$1001,0),0), INDEX($AB$1004:$AQ$1004,1,MATCH(COLUMNS($AB$1006:AL1006),$AB$1006:$AQ$1006,0)))),"Fix")))</f>
        <v>0</v>
      </c>
      <c r="M81" s="4">
        <f>IF(OR(INDEX($V$2:$V$1001,MATCH(ROWS($U$2:U81),$U$2:$U$1001,0),1)&gt;=100000,INDEX($AB$1005:$AQ$1005,1,MATCH(COLUMNS($AB$1006:AM1006),$AB$1006:$AQ$1006,0))&gt;=100000), " ",IF(INDEX($AB$2:$AQ$1001,MATCH(ROWS($U$2:U81),$U$2:$U$1001,0),MATCH(COLUMNS($AB$1006:AM1006),$AB$1006:$AQ$1006,0)), HYPERLINK("#",""), HYPERLINK(CONCATENATE("#metadata!", ADDRESS(INDEX($W$2:$W$1001,MATCH(ROWS($U$2:U81),$U$2:$U$1001,0),0), INDEX($AB$1004:$AQ$1004,1,MATCH(COLUMNS($AB$1006:AM1006),$AB$1006:$AQ$1006,0)))),"Fix")))</f>
        <v>0</v>
      </c>
      <c r="N81" s="4">
        <f>IF(OR(INDEX($V$2:$V$1001,MATCH(ROWS($U$2:U81),$U$2:$U$1001,0),1)&gt;=100000,INDEX($AB$1005:$AQ$1005,1,MATCH(COLUMNS($AB$1006:AN1006),$AB$1006:$AQ$1006,0))&gt;=100000), " ",IF(INDEX($AB$2:$AQ$1001,MATCH(ROWS($U$2:U81),$U$2:$U$1001,0),MATCH(COLUMNS($AB$1006:AN1006),$AB$1006:$AQ$1006,0)), HYPERLINK("#",""), HYPERLINK(CONCATENATE("#metadata!", ADDRESS(INDEX($W$2:$W$1001,MATCH(ROWS($U$2:U81),$U$2:$U$1001,0),0), INDEX($AB$1004:$AQ$1004,1,MATCH(COLUMNS($AB$1006:AN1006),$AB$1006:$AQ$1006,0)))),"Fix")))</f>
        <v>0</v>
      </c>
      <c r="O81" s="4">
        <f>IF(OR(INDEX($V$2:$V$1001,MATCH(ROWS($U$2:U81),$U$2:$U$1001,0),1)&gt;=100000,INDEX($AB$1005:$AQ$1005,1,MATCH(COLUMNS($AB$1006:AO1006),$AB$1006:$AQ$1006,0))&gt;=100000), " ",IF(INDEX($AB$2:$AQ$1001,MATCH(ROWS($U$2:U81),$U$2:$U$1001,0),MATCH(COLUMNS($AB$1006:AO1006),$AB$1006:$AQ$1006,0)), HYPERLINK("#",""), HYPERLINK(CONCATENATE("#metadata!", ADDRESS(INDEX($W$2:$W$1001,MATCH(ROWS($U$2:U81),$U$2:$U$1001,0),0), INDEX($AB$1004:$AQ$1004,1,MATCH(COLUMNS($AB$1006:AO1006),$AB$1006:$AQ$1006,0)))),"Fix")))</f>
        <v>0</v>
      </c>
      <c r="P81" s="4">
        <f>IF(OR(INDEX($V$2:$V$1001,MATCH(ROWS($U$2:U81),$U$2:$U$1001,0),1)&gt;=100000,INDEX($AB$1005:$AQ$1005,1,MATCH(COLUMNS($AB$1006:AP1006),$AB$1006:$AQ$1006,0))&gt;=100000), " ",IF(INDEX($AB$2:$AQ$1001,MATCH(ROWS($U$2:U81),$U$2:$U$1001,0),MATCH(COLUMNS($AB$1006:AP1006),$AB$1006:$AQ$1006,0)), HYPERLINK("#",""), HYPERLINK(CONCATENATE("#metadata!", ADDRESS(INDEX($W$2:$W$1001,MATCH(ROWS($U$2:U81),$U$2:$U$1001,0),0), INDEX($AB$1004:$AQ$1004,1,MATCH(COLUMNS($AB$1006:AP1006),$AB$1006:$AQ$1006,0)))),"Fix")))</f>
        <v>0</v>
      </c>
      <c r="Q81" s="4">
        <f>IF(OR(INDEX($V$2:$V$1001,MATCH(ROWS($U$2:U81),$U$2:$U$1001,0),1)&gt;=100000,INDEX($AB$1005:$AQ$1005,1,MATCH(COLUMNS($AB$1006:AQ1006),$AB$1006:$AQ$1006,0))&gt;=100000), " ",IF(INDEX($AB$2:$AQ$1001,MATCH(ROWS($U$2:U81),$U$2:$U$1001,0),MATCH(COLUMNS($AB$1006:AQ1006),$AB$1006:$AQ$1006,0)), HYPERLINK("#",""), HYPERLINK(CONCATENATE("#metadata!", ADDRESS(INDEX($W$2:$W$1001,MATCH(ROWS($U$2:U81),$U$2:$U$1001,0),0), INDEX($AB$1004:$AQ$1004,1,MATCH(COLUMNS($AB$1006:AQ1006),$AB$1006:$AQ$1006,0)))),"Fix")))</f>
        <v>0</v>
      </c>
      <c r="U81">
        <v>0</v>
      </c>
      <c r="V81">
        <v>0</v>
      </c>
      <c r="W81">
        <v>0</v>
      </c>
      <c r="X81">
        <f>IF(Y81,TRUE,AND(AB81:AQ81))</f>
        <v>0</v>
      </c>
      <c r="Y81">
        <f>COUNTBLANK(metadata!B81:Q81)=COLUMNS(metadata!B81:Q81)</f>
        <v>0</v>
      </c>
      <c r="Z81">
        <v>0</v>
      </c>
      <c r="AB81">
        <f>AND(IF(metadata!B81="",FALSE,TRUE),COUNTIF(metadata!B:B, metadata!B81) = 1,NOT(ISERROR(SUMPRODUCT(SEARCH(MID(metadata!B81,ROW(INDIRECT("1:"&amp;LEN(metadata!B81))), 1),"0123456789abcdefghijklmnopqrstuvwxyzABCDEFGHIJKLMNOPQRSTUVWXYZ.")))))</f>
        <v>0</v>
      </c>
      <c r="AC81">
        <f>OR(AND(IF(metadata!C81="",FALSE,TRUE),OR(exact(metadata!C81,"missing: not collected"),exact(metadata!C81,"missing: not provided"),exact(metadata!C81,"missing: restricted access"))),AND(IF(metadata!C81="",FALSE,TRUE),AND(AND(IFERROR(INT(LEFT(metadata!C81,4))&gt;1900,FALSE),IFERROR(INT(LEFT(metadata!C81,4))&lt;=YEAR(NOW()),FALSE)), OR(MID(metadata!C81,5,1)="", AND(AND(MID(metadata!C81,5,1)="-",IFERROR(INT(MID(metadata!C81,6,1))&gt;=0,FALSE),IFERROR(INT(MID(metadata!C81,6,1))&lt;=1,FALSE),NOT(MID(metadata!C81,7,1)=""),IFERROR(INT(MID(metadata!C81,6,2))&gt;=1,FALSE),IFERROR(INT(MID(metadata!C81,6,2))&lt;=12,FALSE)), OR(MID(metadata!C81,8,1)="", AND(AND(MID(metadata!C81,8,1)="-",IFERROR(INT(MID(metadata!C81,9,1))&gt;=0,FALSE),IFERROR(INT(MID(metadata!C81,9,1))&lt;=3,FALSE),NOT(MID(metadata!C81,10,1)=""),IFERROR(INT(MID(metadata!C81,9,2))&gt;=1,FALSE),IFERROR(INT(MID(metadata!C81,9,2))&lt;=31,FALSE)), OR(MID(metadata!C81,11,1)="", AND(AND(MID(metadata!C81,11,1)=" ",IFERROR(INT(MID(metadata!C81,12,1))&gt;=0,FALSE),IFERROR(INT(MID(metadata!C81,12,1))&lt;=2,FALSE),NOT(MID(metadata!C81,13,1)=""),IFERROR(INT(MID(metadata!C81,12,2))&gt;=0,FALSE),IFERROR(INT(MID(metadata!C81,12,2))&lt;=23,FALSE)), OR(MID(metadata!C81,14,1)="", AND(AND(MID(metadata!C81,14,1)=":",IFERROR(INT(MID(metadata!C81,15,1))&gt;=0,FALSE),IFERROR(INT(MID(metadata!C81,15,1))&lt;=5,FALSE),NOT(MID(metadata!C81,16,1)=""),IFERROR(INT(MID(metadata!C81,15,2))&gt;=0,FALSE),IFERROR(INT(MID(metadata!C81,15,2))&lt;=59,FALSE)), OR(MID(metadata!C81,17,1)="", AND(AND(MID(metadata!C81,17,1)=":",IFERROR(INT(MID(metadata!C81,18,1))&gt;=0,FALSE),IFERROR(INT(MID(metadata!C81,18,1))&lt;=5,FALSE),NOT(MID(metadata!C81,19,1)=""),IFERROR(INT(MID(metadata!C81,18,2))&gt;=0,FALSE),IFERROR(INT(MID(metadata!C81,18,2))&lt;=59,FALSE)), LEN(metadata!C81)&lt;=19)))))))))))))</f>
        <v>0</v>
      </c>
      <c r="AD81">
        <f>IF(metadata!D81="",FALSE,TRUE)</f>
        <v>0</v>
      </c>
      <c r="AE81">
        <f>OR(AND(IF(metadata!E81="",FALSE,TRUE),OR(exact(metadata!E81,"missing: not collected"),exact(metadata!E81,"missing: not provided"))),AND(IF(metadata!E81="",FALSE,TRUE),OR(exact(metadata!E81,"TRUE"),exact(metadata!E81,"FALSE"))))</f>
        <v>0</v>
      </c>
      <c r="AF81">
        <f>IF(metadata!F81="",FALSE,TRUE)</f>
        <v>0</v>
      </c>
      <c r="AG81">
        <f>IF(metadata!G81="",FALSE,TRUE)</f>
        <v>0</v>
      </c>
      <c r="AH81">
        <f>IF(metadata!H81="",FALSE,TRUE)</f>
        <v>0</v>
      </c>
      <c r="AI81">
        <f>OR(AND(IF(metadata!I81="",FALSE,TRUE),OR(exact(metadata!I81,"missing: not collected"),exact(metadata!I81,"missing: not provided"),exact(metadata!I81,"missing: restricted access"))),AND(IF(metadata!I81="",FALSE,TRUE),OR(exact(metadata!I81,"air"),exact(metadata!I81,"built environment"),exact(metadata!I81,"host-associated"),exact(metadata!I81,"human-associated"),exact(metadata!I81,"human-skin"),exact(metadata!I81,"human-oral"),exact(metadata!I81,"human-gut"),exact(metadata!I81,"human-vaginal"),exact(metadata!I81,"microbial mat/biofilm"),exact(metadata!I81,"misc environment"),exact(metadata!I81,"plant-associated"),exact(metadata!I81,"sediment"),exact(metadata!I81,"soil"),exact(metadata!I81,"wastewater/sludge"),exact(metadata!I81,"water"))))</f>
        <v>0</v>
      </c>
      <c r="AJ81">
        <f>IF(metadata!J81="",FALSE,TRUE)</f>
        <v>0</v>
      </c>
      <c r="AK81">
        <f>OR(AND(IF(metadata!K81="",FALSE,TRUE),OR(exact(metadata!K81,"missing: not collected"),exact(metadata!K81,"missing: not provided"),exact(metadata!K81,"missing: restricted access"))),AND(IF(metadata!K81="",FALSE,ISNUMBER(VALUE(metadata!K81))),metadata!K81&gt;=-90.00,metadata!K81&lt;=90.00))</f>
        <v>0</v>
      </c>
      <c r="AL81">
        <f>OR(AND(IF(metadata!L81="",FALSE,TRUE),OR(exact(metadata!L81,"missing: not collected"),exact(metadata!L81,"missing: not provided"),exact(metadata!L81,"missing: restricted access"))),AND(IF(metadata!L81="",FALSE,ISNUMBER(VALUE(metadata!L81))),metadata!L81&gt;=-180.00,metadata!L81&lt;=180.00))</f>
        <v>0</v>
      </c>
      <c r="AM81">
        <f>IF(metadata!M81="",FALSE,TRUE)</f>
        <v>0</v>
      </c>
      <c r="AN81">
        <f>OR(AND(IF(metadata!N81="",FALSE,TRUE),OR(exact(metadata!N81,"missing: not collected"),exact(metadata!N81,"missing: not provided"),exact(metadata!N81,"missing: restricted access"))),AND(IF(metadata!N81="",FALSE,TRUE),OR(exact(metadata!N81,"TRUE"),exact(metadata!N81,"FALSE"))))</f>
        <v>0</v>
      </c>
      <c r="AO81">
        <f>IF(metadata!O81="",FALSE,TRUE)</f>
        <v>0</v>
      </c>
      <c r="AP81">
        <f>OR(AND(IF(metadata!P81="",FALSE,TRUE),OR(exact(metadata!P81,"missing: not collected"),exact(metadata!P81,"missing: not provided"))),AND(IF(metadata!P81="",FALSE,IF(ISERROR(INT(metadata!P81)),FALSE,INT(metadata!P81)=metadata!P81)),metadata!P81&gt;0))</f>
        <v>0</v>
      </c>
      <c r="AQ81">
        <f>IF(metadata!Q81="",FALSE,TRUE)</f>
        <v>0</v>
      </c>
    </row>
    <row r="82" spans="1:43">
      <c r="A82" s="5">
        <f>IF(B82=" "," ",HYPERLINK(CONCATENATE("#metadata!",ADDRESS(INDEX($W$2:$W$1001,MATCH(ROWS($U$2:U82),$U$2:$U$1001,0),0),1)),INDEX($Z$2:$Z$1001,MATCH(ROWS($U$2:U82),$U$2:$U$1001,0),0)))</f>
        <v>0</v>
      </c>
      <c r="B82" s="4">
        <f>IF(OR(INDEX($V$2:$V$1001,MATCH(ROWS($U$2:U82),$U$2:$U$1001,0),1)&gt;=100000,INDEX($AB$1005:$AQ$1005,1,MATCH(COLUMNS($AB$1006:AB1006),$AB$1006:$AQ$1006,0))&gt;=100000), " ",IF(INDEX($AB$2:$AQ$1001,MATCH(ROWS($U$2:U82),$U$2:$U$1001,0),MATCH(COLUMNS($AB$1006:AB1006),$AB$1006:$AQ$1006,0)), HYPERLINK("#",""), HYPERLINK(CONCATENATE("#metadata!", ADDRESS(INDEX($W$2:$W$1001,MATCH(ROWS($U$2:U82),$U$2:$U$1001,0),0), INDEX($AB$1004:$AQ$1004,1,MATCH(COLUMNS($AB$1006:AB1006),$AB$1006:$AQ$1006,0)))),"Fix")))</f>
        <v>0</v>
      </c>
      <c r="C82" s="4">
        <f>IF(OR(INDEX($V$2:$V$1001,MATCH(ROWS($U$2:U82),$U$2:$U$1001,0),1)&gt;=100000,INDEX($AB$1005:$AQ$1005,1,MATCH(COLUMNS($AB$1006:AC1006),$AB$1006:$AQ$1006,0))&gt;=100000), " ",IF(INDEX($AB$2:$AQ$1001,MATCH(ROWS($U$2:U82),$U$2:$U$1001,0),MATCH(COLUMNS($AB$1006:AC1006),$AB$1006:$AQ$1006,0)), HYPERLINK("#",""), HYPERLINK(CONCATENATE("#metadata!", ADDRESS(INDEX($W$2:$W$1001,MATCH(ROWS($U$2:U82),$U$2:$U$1001,0),0), INDEX($AB$1004:$AQ$1004,1,MATCH(COLUMNS($AB$1006:AC1006),$AB$1006:$AQ$1006,0)))),"Fix")))</f>
        <v>0</v>
      </c>
      <c r="D82" s="4">
        <f>IF(OR(INDEX($V$2:$V$1001,MATCH(ROWS($U$2:U82),$U$2:$U$1001,0),1)&gt;=100000,INDEX($AB$1005:$AQ$1005,1,MATCH(COLUMNS($AB$1006:AD1006),$AB$1006:$AQ$1006,0))&gt;=100000), " ",IF(INDEX($AB$2:$AQ$1001,MATCH(ROWS($U$2:U82),$U$2:$U$1001,0),MATCH(COLUMNS($AB$1006:AD1006),$AB$1006:$AQ$1006,0)), HYPERLINK("#",""), HYPERLINK(CONCATENATE("#metadata!", ADDRESS(INDEX($W$2:$W$1001,MATCH(ROWS($U$2:U82),$U$2:$U$1001,0),0), INDEX($AB$1004:$AQ$1004,1,MATCH(COLUMNS($AB$1006:AD1006),$AB$1006:$AQ$1006,0)))),"Fix")))</f>
        <v>0</v>
      </c>
      <c r="E82" s="4">
        <f>IF(OR(INDEX($V$2:$V$1001,MATCH(ROWS($U$2:U82),$U$2:$U$1001,0),1)&gt;=100000,INDEX($AB$1005:$AQ$1005,1,MATCH(COLUMNS($AB$1006:AE1006),$AB$1006:$AQ$1006,0))&gt;=100000), " ",IF(INDEX($AB$2:$AQ$1001,MATCH(ROWS($U$2:U82),$U$2:$U$1001,0),MATCH(COLUMNS($AB$1006:AE1006),$AB$1006:$AQ$1006,0)), HYPERLINK("#",""), HYPERLINK(CONCATENATE("#metadata!", ADDRESS(INDEX($W$2:$W$1001,MATCH(ROWS($U$2:U82),$U$2:$U$1001,0),0), INDEX($AB$1004:$AQ$1004,1,MATCH(COLUMNS($AB$1006:AE1006),$AB$1006:$AQ$1006,0)))),"Fix")))</f>
        <v>0</v>
      </c>
      <c r="F82" s="4">
        <f>IF(OR(INDEX($V$2:$V$1001,MATCH(ROWS($U$2:U82),$U$2:$U$1001,0),1)&gt;=100000,INDEX($AB$1005:$AQ$1005,1,MATCH(COLUMNS($AB$1006:AF1006),$AB$1006:$AQ$1006,0))&gt;=100000), " ",IF(INDEX($AB$2:$AQ$1001,MATCH(ROWS($U$2:U82),$U$2:$U$1001,0),MATCH(COLUMNS($AB$1006:AF1006),$AB$1006:$AQ$1006,0)), HYPERLINK("#",""), HYPERLINK(CONCATENATE("#metadata!", ADDRESS(INDEX($W$2:$W$1001,MATCH(ROWS($U$2:U82),$U$2:$U$1001,0),0), INDEX($AB$1004:$AQ$1004,1,MATCH(COLUMNS($AB$1006:AF1006),$AB$1006:$AQ$1006,0)))),"Fix")))</f>
        <v>0</v>
      </c>
      <c r="G82" s="4">
        <f>IF(OR(INDEX($V$2:$V$1001,MATCH(ROWS($U$2:U82),$U$2:$U$1001,0),1)&gt;=100000,INDEX($AB$1005:$AQ$1005,1,MATCH(COLUMNS($AB$1006:AG1006),$AB$1006:$AQ$1006,0))&gt;=100000), " ",IF(INDEX($AB$2:$AQ$1001,MATCH(ROWS($U$2:U82),$U$2:$U$1001,0),MATCH(COLUMNS($AB$1006:AG1006),$AB$1006:$AQ$1006,0)), HYPERLINK("#",""), HYPERLINK(CONCATENATE("#metadata!", ADDRESS(INDEX($W$2:$W$1001,MATCH(ROWS($U$2:U82),$U$2:$U$1001,0),0), INDEX($AB$1004:$AQ$1004,1,MATCH(COLUMNS($AB$1006:AG1006),$AB$1006:$AQ$1006,0)))),"Fix")))</f>
        <v>0</v>
      </c>
      <c r="H82" s="4">
        <f>IF(OR(INDEX($V$2:$V$1001,MATCH(ROWS($U$2:U82),$U$2:$U$1001,0),1)&gt;=100000,INDEX($AB$1005:$AQ$1005,1,MATCH(COLUMNS($AB$1006:AH1006),$AB$1006:$AQ$1006,0))&gt;=100000), " ",IF(INDEX($AB$2:$AQ$1001,MATCH(ROWS($U$2:U82),$U$2:$U$1001,0),MATCH(COLUMNS($AB$1006:AH1006),$AB$1006:$AQ$1006,0)), HYPERLINK("#",""), HYPERLINK(CONCATENATE("#metadata!", ADDRESS(INDEX($W$2:$W$1001,MATCH(ROWS($U$2:U82),$U$2:$U$1001,0),0), INDEX($AB$1004:$AQ$1004,1,MATCH(COLUMNS($AB$1006:AH1006),$AB$1006:$AQ$1006,0)))),"Fix")))</f>
        <v>0</v>
      </c>
      <c r="I82" s="4">
        <f>IF(OR(INDEX($V$2:$V$1001,MATCH(ROWS($U$2:U82),$U$2:$U$1001,0),1)&gt;=100000,INDEX($AB$1005:$AQ$1005,1,MATCH(COLUMNS($AB$1006:AI1006),$AB$1006:$AQ$1006,0))&gt;=100000), " ",IF(INDEX($AB$2:$AQ$1001,MATCH(ROWS($U$2:U82),$U$2:$U$1001,0),MATCH(COLUMNS($AB$1006:AI1006),$AB$1006:$AQ$1006,0)), HYPERLINK("#",""), HYPERLINK(CONCATENATE("#metadata!", ADDRESS(INDEX($W$2:$W$1001,MATCH(ROWS($U$2:U82),$U$2:$U$1001,0),0), INDEX($AB$1004:$AQ$1004,1,MATCH(COLUMNS($AB$1006:AI1006),$AB$1006:$AQ$1006,0)))),"Fix")))</f>
        <v>0</v>
      </c>
      <c r="J82" s="4">
        <f>IF(OR(INDEX($V$2:$V$1001,MATCH(ROWS($U$2:U82),$U$2:$U$1001,0),1)&gt;=100000,INDEX($AB$1005:$AQ$1005,1,MATCH(COLUMNS($AB$1006:AJ1006),$AB$1006:$AQ$1006,0))&gt;=100000), " ",IF(INDEX($AB$2:$AQ$1001,MATCH(ROWS($U$2:U82),$U$2:$U$1001,0),MATCH(COLUMNS($AB$1006:AJ1006),$AB$1006:$AQ$1006,0)), HYPERLINK("#",""), HYPERLINK(CONCATENATE("#metadata!", ADDRESS(INDEX($W$2:$W$1001,MATCH(ROWS($U$2:U82),$U$2:$U$1001,0),0), INDEX($AB$1004:$AQ$1004,1,MATCH(COLUMNS($AB$1006:AJ1006),$AB$1006:$AQ$1006,0)))),"Fix")))</f>
        <v>0</v>
      </c>
      <c r="K82" s="4">
        <f>IF(OR(INDEX($V$2:$V$1001,MATCH(ROWS($U$2:U82),$U$2:$U$1001,0),1)&gt;=100000,INDEX($AB$1005:$AQ$1005,1,MATCH(COLUMNS($AB$1006:AK1006),$AB$1006:$AQ$1006,0))&gt;=100000), " ",IF(INDEX($AB$2:$AQ$1001,MATCH(ROWS($U$2:U82),$U$2:$U$1001,0),MATCH(COLUMNS($AB$1006:AK1006),$AB$1006:$AQ$1006,0)), HYPERLINK("#",""), HYPERLINK(CONCATENATE("#metadata!", ADDRESS(INDEX($W$2:$W$1001,MATCH(ROWS($U$2:U82),$U$2:$U$1001,0),0), INDEX($AB$1004:$AQ$1004,1,MATCH(COLUMNS($AB$1006:AK1006),$AB$1006:$AQ$1006,0)))),"Fix")))</f>
        <v>0</v>
      </c>
      <c r="L82" s="4">
        <f>IF(OR(INDEX($V$2:$V$1001,MATCH(ROWS($U$2:U82),$U$2:$U$1001,0),1)&gt;=100000,INDEX($AB$1005:$AQ$1005,1,MATCH(COLUMNS($AB$1006:AL1006),$AB$1006:$AQ$1006,0))&gt;=100000), " ",IF(INDEX($AB$2:$AQ$1001,MATCH(ROWS($U$2:U82),$U$2:$U$1001,0),MATCH(COLUMNS($AB$1006:AL1006),$AB$1006:$AQ$1006,0)), HYPERLINK("#",""), HYPERLINK(CONCATENATE("#metadata!", ADDRESS(INDEX($W$2:$W$1001,MATCH(ROWS($U$2:U82),$U$2:$U$1001,0),0), INDEX($AB$1004:$AQ$1004,1,MATCH(COLUMNS($AB$1006:AL1006),$AB$1006:$AQ$1006,0)))),"Fix")))</f>
        <v>0</v>
      </c>
      <c r="M82" s="4">
        <f>IF(OR(INDEX($V$2:$V$1001,MATCH(ROWS($U$2:U82),$U$2:$U$1001,0),1)&gt;=100000,INDEX($AB$1005:$AQ$1005,1,MATCH(COLUMNS($AB$1006:AM1006),$AB$1006:$AQ$1006,0))&gt;=100000), " ",IF(INDEX($AB$2:$AQ$1001,MATCH(ROWS($U$2:U82),$U$2:$U$1001,0),MATCH(COLUMNS($AB$1006:AM1006),$AB$1006:$AQ$1006,0)), HYPERLINK("#",""), HYPERLINK(CONCATENATE("#metadata!", ADDRESS(INDEX($W$2:$W$1001,MATCH(ROWS($U$2:U82),$U$2:$U$1001,0),0), INDEX($AB$1004:$AQ$1004,1,MATCH(COLUMNS($AB$1006:AM1006),$AB$1006:$AQ$1006,0)))),"Fix")))</f>
        <v>0</v>
      </c>
      <c r="N82" s="4">
        <f>IF(OR(INDEX($V$2:$V$1001,MATCH(ROWS($U$2:U82),$U$2:$U$1001,0),1)&gt;=100000,INDEX($AB$1005:$AQ$1005,1,MATCH(COLUMNS($AB$1006:AN1006),$AB$1006:$AQ$1006,0))&gt;=100000), " ",IF(INDEX($AB$2:$AQ$1001,MATCH(ROWS($U$2:U82),$U$2:$U$1001,0),MATCH(COLUMNS($AB$1006:AN1006),$AB$1006:$AQ$1006,0)), HYPERLINK("#",""), HYPERLINK(CONCATENATE("#metadata!", ADDRESS(INDEX($W$2:$W$1001,MATCH(ROWS($U$2:U82),$U$2:$U$1001,0),0), INDEX($AB$1004:$AQ$1004,1,MATCH(COLUMNS($AB$1006:AN1006),$AB$1006:$AQ$1006,0)))),"Fix")))</f>
        <v>0</v>
      </c>
      <c r="O82" s="4">
        <f>IF(OR(INDEX($V$2:$V$1001,MATCH(ROWS($U$2:U82),$U$2:$U$1001,0),1)&gt;=100000,INDEX($AB$1005:$AQ$1005,1,MATCH(COLUMNS($AB$1006:AO1006),$AB$1006:$AQ$1006,0))&gt;=100000), " ",IF(INDEX($AB$2:$AQ$1001,MATCH(ROWS($U$2:U82),$U$2:$U$1001,0),MATCH(COLUMNS($AB$1006:AO1006),$AB$1006:$AQ$1006,0)), HYPERLINK("#",""), HYPERLINK(CONCATENATE("#metadata!", ADDRESS(INDEX($W$2:$W$1001,MATCH(ROWS($U$2:U82),$U$2:$U$1001,0),0), INDEX($AB$1004:$AQ$1004,1,MATCH(COLUMNS($AB$1006:AO1006),$AB$1006:$AQ$1006,0)))),"Fix")))</f>
        <v>0</v>
      </c>
      <c r="P82" s="4">
        <f>IF(OR(INDEX($V$2:$V$1001,MATCH(ROWS($U$2:U82),$U$2:$U$1001,0),1)&gt;=100000,INDEX($AB$1005:$AQ$1005,1,MATCH(COLUMNS($AB$1006:AP1006),$AB$1006:$AQ$1006,0))&gt;=100000), " ",IF(INDEX($AB$2:$AQ$1001,MATCH(ROWS($U$2:U82),$U$2:$U$1001,0),MATCH(COLUMNS($AB$1006:AP1006),$AB$1006:$AQ$1006,0)), HYPERLINK("#",""), HYPERLINK(CONCATENATE("#metadata!", ADDRESS(INDEX($W$2:$W$1001,MATCH(ROWS($U$2:U82),$U$2:$U$1001,0),0), INDEX($AB$1004:$AQ$1004,1,MATCH(COLUMNS($AB$1006:AP1006),$AB$1006:$AQ$1006,0)))),"Fix")))</f>
        <v>0</v>
      </c>
      <c r="Q82" s="4">
        <f>IF(OR(INDEX($V$2:$V$1001,MATCH(ROWS($U$2:U82),$U$2:$U$1001,0),1)&gt;=100000,INDEX($AB$1005:$AQ$1005,1,MATCH(COLUMNS($AB$1006:AQ1006),$AB$1006:$AQ$1006,0))&gt;=100000), " ",IF(INDEX($AB$2:$AQ$1001,MATCH(ROWS($U$2:U82),$U$2:$U$1001,0),MATCH(COLUMNS($AB$1006:AQ1006),$AB$1006:$AQ$1006,0)), HYPERLINK("#",""), HYPERLINK(CONCATENATE("#metadata!", ADDRESS(INDEX($W$2:$W$1001,MATCH(ROWS($U$2:U82),$U$2:$U$1001,0),0), INDEX($AB$1004:$AQ$1004,1,MATCH(COLUMNS($AB$1006:AQ1006),$AB$1006:$AQ$1006,0)))),"Fix")))</f>
        <v>0</v>
      </c>
      <c r="U82">
        <v>0</v>
      </c>
      <c r="V82">
        <v>0</v>
      </c>
      <c r="W82">
        <v>0</v>
      </c>
      <c r="X82">
        <f>IF(Y82,TRUE,AND(AB82:AQ82))</f>
        <v>0</v>
      </c>
      <c r="Y82">
        <f>COUNTBLANK(metadata!B82:Q82)=COLUMNS(metadata!B82:Q82)</f>
        <v>0</v>
      </c>
      <c r="Z82">
        <v>0</v>
      </c>
      <c r="AB82">
        <f>AND(IF(metadata!B82="",FALSE,TRUE),COUNTIF(metadata!B:B, metadata!B82) = 1,NOT(ISERROR(SUMPRODUCT(SEARCH(MID(metadata!B82,ROW(INDIRECT("1:"&amp;LEN(metadata!B82))), 1),"0123456789abcdefghijklmnopqrstuvwxyzABCDEFGHIJKLMNOPQRSTUVWXYZ.")))))</f>
        <v>0</v>
      </c>
      <c r="AC82">
        <f>OR(AND(IF(metadata!C82="",FALSE,TRUE),OR(exact(metadata!C82,"missing: not collected"),exact(metadata!C82,"missing: not provided"),exact(metadata!C82,"missing: restricted access"))),AND(IF(metadata!C82="",FALSE,TRUE),AND(AND(IFERROR(INT(LEFT(metadata!C82,4))&gt;1900,FALSE),IFERROR(INT(LEFT(metadata!C82,4))&lt;=YEAR(NOW()),FALSE)), OR(MID(metadata!C82,5,1)="", AND(AND(MID(metadata!C82,5,1)="-",IFERROR(INT(MID(metadata!C82,6,1))&gt;=0,FALSE),IFERROR(INT(MID(metadata!C82,6,1))&lt;=1,FALSE),NOT(MID(metadata!C82,7,1)=""),IFERROR(INT(MID(metadata!C82,6,2))&gt;=1,FALSE),IFERROR(INT(MID(metadata!C82,6,2))&lt;=12,FALSE)), OR(MID(metadata!C82,8,1)="", AND(AND(MID(metadata!C82,8,1)="-",IFERROR(INT(MID(metadata!C82,9,1))&gt;=0,FALSE),IFERROR(INT(MID(metadata!C82,9,1))&lt;=3,FALSE),NOT(MID(metadata!C82,10,1)=""),IFERROR(INT(MID(metadata!C82,9,2))&gt;=1,FALSE),IFERROR(INT(MID(metadata!C82,9,2))&lt;=31,FALSE)), OR(MID(metadata!C82,11,1)="", AND(AND(MID(metadata!C82,11,1)=" ",IFERROR(INT(MID(metadata!C82,12,1))&gt;=0,FALSE),IFERROR(INT(MID(metadata!C82,12,1))&lt;=2,FALSE),NOT(MID(metadata!C82,13,1)=""),IFERROR(INT(MID(metadata!C82,12,2))&gt;=0,FALSE),IFERROR(INT(MID(metadata!C82,12,2))&lt;=23,FALSE)), OR(MID(metadata!C82,14,1)="", AND(AND(MID(metadata!C82,14,1)=":",IFERROR(INT(MID(metadata!C82,15,1))&gt;=0,FALSE),IFERROR(INT(MID(metadata!C82,15,1))&lt;=5,FALSE),NOT(MID(metadata!C82,16,1)=""),IFERROR(INT(MID(metadata!C82,15,2))&gt;=0,FALSE),IFERROR(INT(MID(metadata!C82,15,2))&lt;=59,FALSE)), OR(MID(metadata!C82,17,1)="", AND(AND(MID(metadata!C82,17,1)=":",IFERROR(INT(MID(metadata!C82,18,1))&gt;=0,FALSE),IFERROR(INT(MID(metadata!C82,18,1))&lt;=5,FALSE),NOT(MID(metadata!C82,19,1)=""),IFERROR(INT(MID(metadata!C82,18,2))&gt;=0,FALSE),IFERROR(INT(MID(metadata!C82,18,2))&lt;=59,FALSE)), LEN(metadata!C82)&lt;=19)))))))))))))</f>
        <v>0</v>
      </c>
      <c r="AD82">
        <f>IF(metadata!D82="",FALSE,TRUE)</f>
        <v>0</v>
      </c>
      <c r="AE82">
        <f>OR(AND(IF(metadata!E82="",FALSE,TRUE),OR(exact(metadata!E82,"missing: not collected"),exact(metadata!E82,"missing: not provided"))),AND(IF(metadata!E82="",FALSE,TRUE),OR(exact(metadata!E82,"TRUE"),exact(metadata!E82,"FALSE"))))</f>
        <v>0</v>
      </c>
      <c r="AF82">
        <f>IF(metadata!F82="",FALSE,TRUE)</f>
        <v>0</v>
      </c>
      <c r="AG82">
        <f>IF(metadata!G82="",FALSE,TRUE)</f>
        <v>0</v>
      </c>
      <c r="AH82">
        <f>IF(metadata!H82="",FALSE,TRUE)</f>
        <v>0</v>
      </c>
      <c r="AI82">
        <f>OR(AND(IF(metadata!I82="",FALSE,TRUE),OR(exact(metadata!I82,"missing: not collected"),exact(metadata!I82,"missing: not provided"),exact(metadata!I82,"missing: restricted access"))),AND(IF(metadata!I82="",FALSE,TRUE),OR(exact(metadata!I82,"air"),exact(metadata!I82,"built environment"),exact(metadata!I82,"host-associated"),exact(metadata!I82,"human-associated"),exact(metadata!I82,"human-skin"),exact(metadata!I82,"human-oral"),exact(metadata!I82,"human-gut"),exact(metadata!I82,"human-vaginal"),exact(metadata!I82,"microbial mat/biofilm"),exact(metadata!I82,"misc environment"),exact(metadata!I82,"plant-associated"),exact(metadata!I82,"sediment"),exact(metadata!I82,"soil"),exact(metadata!I82,"wastewater/sludge"),exact(metadata!I82,"water"))))</f>
        <v>0</v>
      </c>
      <c r="AJ82">
        <f>IF(metadata!J82="",FALSE,TRUE)</f>
        <v>0</v>
      </c>
      <c r="AK82">
        <f>OR(AND(IF(metadata!K82="",FALSE,TRUE),OR(exact(metadata!K82,"missing: not collected"),exact(metadata!K82,"missing: not provided"),exact(metadata!K82,"missing: restricted access"))),AND(IF(metadata!K82="",FALSE,ISNUMBER(VALUE(metadata!K82))),metadata!K82&gt;=-90.00,metadata!K82&lt;=90.00))</f>
        <v>0</v>
      </c>
      <c r="AL82">
        <f>OR(AND(IF(metadata!L82="",FALSE,TRUE),OR(exact(metadata!L82,"missing: not collected"),exact(metadata!L82,"missing: not provided"),exact(metadata!L82,"missing: restricted access"))),AND(IF(metadata!L82="",FALSE,ISNUMBER(VALUE(metadata!L82))),metadata!L82&gt;=-180.00,metadata!L82&lt;=180.00))</f>
        <v>0</v>
      </c>
      <c r="AM82">
        <f>IF(metadata!M82="",FALSE,TRUE)</f>
        <v>0</v>
      </c>
      <c r="AN82">
        <f>OR(AND(IF(metadata!N82="",FALSE,TRUE),OR(exact(metadata!N82,"missing: not collected"),exact(metadata!N82,"missing: not provided"),exact(metadata!N82,"missing: restricted access"))),AND(IF(metadata!N82="",FALSE,TRUE),OR(exact(metadata!N82,"TRUE"),exact(metadata!N82,"FALSE"))))</f>
        <v>0</v>
      </c>
      <c r="AO82">
        <f>IF(metadata!O82="",FALSE,TRUE)</f>
        <v>0</v>
      </c>
      <c r="AP82">
        <f>OR(AND(IF(metadata!P82="",FALSE,TRUE),OR(exact(metadata!P82,"missing: not collected"),exact(metadata!P82,"missing: not provided"))),AND(IF(metadata!P82="",FALSE,IF(ISERROR(INT(metadata!P82)),FALSE,INT(metadata!P82)=metadata!P82)),metadata!P82&gt;0))</f>
        <v>0</v>
      </c>
      <c r="AQ82">
        <f>IF(metadata!Q82="",FALSE,TRUE)</f>
        <v>0</v>
      </c>
    </row>
    <row r="83" spans="1:43">
      <c r="A83" s="5">
        <f>IF(B83=" "," ",HYPERLINK(CONCATENATE("#metadata!",ADDRESS(INDEX($W$2:$W$1001,MATCH(ROWS($U$2:U83),$U$2:$U$1001,0),0),1)),INDEX($Z$2:$Z$1001,MATCH(ROWS($U$2:U83),$U$2:$U$1001,0),0)))</f>
        <v>0</v>
      </c>
      <c r="B83" s="4">
        <f>IF(OR(INDEX($V$2:$V$1001,MATCH(ROWS($U$2:U83),$U$2:$U$1001,0),1)&gt;=100000,INDEX($AB$1005:$AQ$1005,1,MATCH(COLUMNS($AB$1006:AB1006),$AB$1006:$AQ$1006,0))&gt;=100000), " ",IF(INDEX($AB$2:$AQ$1001,MATCH(ROWS($U$2:U83),$U$2:$U$1001,0),MATCH(COLUMNS($AB$1006:AB1006),$AB$1006:$AQ$1006,0)), HYPERLINK("#",""), HYPERLINK(CONCATENATE("#metadata!", ADDRESS(INDEX($W$2:$W$1001,MATCH(ROWS($U$2:U83),$U$2:$U$1001,0),0), INDEX($AB$1004:$AQ$1004,1,MATCH(COLUMNS($AB$1006:AB1006),$AB$1006:$AQ$1006,0)))),"Fix")))</f>
        <v>0</v>
      </c>
      <c r="C83" s="4">
        <f>IF(OR(INDEX($V$2:$V$1001,MATCH(ROWS($U$2:U83),$U$2:$U$1001,0),1)&gt;=100000,INDEX($AB$1005:$AQ$1005,1,MATCH(COLUMNS($AB$1006:AC1006),$AB$1006:$AQ$1006,0))&gt;=100000), " ",IF(INDEX($AB$2:$AQ$1001,MATCH(ROWS($U$2:U83),$U$2:$U$1001,0),MATCH(COLUMNS($AB$1006:AC1006),$AB$1006:$AQ$1006,0)), HYPERLINK("#",""), HYPERLINK(CONCATENATE("#metadata!", ADDRESS(INDEX($W$2:$W$1001,MATCH(ROWS($U$2:U83),$U$2:$U$1001,0),0), INDEX($AB$1004:$AQ$1004,1,MATCH(COLUMNS($AB$1006:AC1006),$AB$1006:$AQ$1006,0)))),"Fix")))</f>
        <v>0</v>
      </c>
      <c r="D83" s="4">
        <f>IF(OR(INDEX($V$2:$V$1001,MATCH(ROWS($U$2:U83),$U$2:$U$1001,0),1)&gt;=100000,INDEX($AB$1005:$AQ$1005,1,MATCH(COLUMNS($AB$1006:AD1006),$AB$1006:$AQ$1006,0))&gt;=100000), " ",IF(INDEX($AB$2:$AQ$1001,MATCH(ROWS($U$2:U83),$U$2:$U$1001,0),MATCH(COLUMNS($AB$1006:AD1006),$AB$1006:$AQ$1006,0)), HYPERLINK("#",""), HYPERLINK(CONCATENATE("#metadata!", ADDRESS(INDEX($W$2:$W$1001,MATCH(ROWS($U$2:U83),$U$2:$U$1001,0),0), INDEX($AB$1004:$AQ$1004,1,MATCH(COLUMNS($AB$1006:AD1006),$AB$1006:$AQ$1006,0)))),"Fix")))</f>
        <v>0</v>
      </c>
      <c r="E83" s="4">
        <f>IF(OR(INDEX($V$2:$V$1001,MATCH(ROWS($U$2:U83),$U$2:$U$1001,0),1)&gt;=100000,INDEX($AB$1005:$AQ$1005,1,MATCH(COLUMNS($AB$1006:AE1006),$AB$1006:$AQ$1006,0))&gt;=100000), " ",IF(INDEX($AB$2:$AQ$1001,MATCH(ROWS($U$2:U83),$U$2:$U$1001,0),MATCH(COLUMNS($AB$1006:AE1006),$AB$1006:$AQ$1006,0)), HYPERLINK("#",""), HYPERLINK(CONCATENATE("#metadata!", ADDRESS(INDEX($W$2:$W$1001,MATCH(ROWS($U$2:U83),$U$2:$U$1001,0),0), INDEX($AB$1004:$AQ$1004,1,MATCH(COLUMNS($AB$1006:AE1006),$AB$1006:$AQ$1006,0)))),"Fix")))</f>
        <v>0</v>
      </c>
      <c r="F83" s="4">
        <f>IF(OR(INDEX($V$2:$V$1001,MATCH(ROWS($U$2:U83),$U$2:$U$1001,0),1)&gt;=100000,INDEX($AB$1005:$AQ$1005,1,MATCH(COLUMNS($AB$1006:AF1006),$AB$1006:$AQ$1006,0))&gt;=100000), " ",IF(INDEX($AB$2:$AQ$1001,MATCH(ROWS($U$2:U83),$U$2:$U$1001,0),MATCH(COLUMNS($AB$1006:AF1006),$AB$1006:$AQ$1006,0)), HYPERLINK("#",""), HYPERLINK(CONCATENATE("#metadata!", ADDRESS(INDEX($W$2:$W$1001,MATCH(ROWS($U$2:U83),$U$2:$U$1001,0),0), INDEX($AB$1004:$AQ$1004,1,MATCH(COLUMNS($AB$1006:AF1006),$AB$1006:$AQ$1006,0)))),"Fix")))</f>
        <v>0</v>
      </c>
      <c r="G83" s="4">
        <f>IF(OR(INDEX($V$2:$V$1001,MATCH(ROWS($U$2:U83),$U$2:$U$1001,0),1)&gt;=100000,INDEX($AB$1005:$AQ$1005,1,MATCH(COLUMNS($AB$1006:AG1006),$AB$1006:$AQ$1006,0))&gt;=100000), " ",IF(INDEX($AB$2:$AQ$1001,MATCH(ROWS($U$2:U83),$U$2:$U$1001,0),MATCH(COLUMNS($AB$1006:AG1006),$AB$1006:$AQ$1006,0)), HYPERLINK("#",""), HYPERLINK(CONCATENATE("#metadata!", ADDRESS(INDEX($W$2:$W$1001,MATCH(ROWS($U$2:U83),$U$2:$U$1001,0),0), INDEX($AB$1004:$AQ$1004,1,MATCH(COLUMNS($AB$1006:AG1006),$AB$1006:$AQ$1006,0)))),"Fix")))</f>
        <v>0</v>
      </c>
      <c r="H83" s="4">
        <f>IF(OR(INDEX($V$2:$V$1001,MATCH(ROWS($U$2:U83),$U$2:$U$1001,0),1)&gt;=100000,INDEX($AB$1005:$AQ$1005,1,MATCH(COLUMNS($AB$1006:AH1006),$AB$1006:$AQ$1006,0))&gt;=100000), " ",IF(INDEX($AB$2:$AQ$1001,MATCH(ROWS($U$2:U83),$U$2:$U$1001,0),MATCH(COLUMNS($AB$1006:AH1006),$AB$1006:$AQ$1006,0)), HYPERLINK("#",""), HYPERLINK(CONCATENATE("#metadata!", ADDRESS(INDEX($W$2:$W$1001,MATCH(ROWS($U$2:U83),$U$2:$U$1001,0),0), INDEX($AB$1004:$AQ$1004,1,MATCH(COLUMNS($AB$1006:AH1006),$AB$1006:$AQ$1006,0)))),"Fix")))</f>
        <v>0</v>
      </c>
      <c r="I83" s="4">
        <f>IF(OR(INDEX($V$2:$V$1001,MATCH(ROWS($U$2:U83),$U$2:$U$1001,0),1)&gt;=100000,INDEX($AB$1005:$AQ$1005,1,MATCH(COLUMNS($AB$1006:AI1006),$AB$1006:$AQ$1006,0))&gt;=100000), " ",IF(INDEX($AB$2:$AQ$1001,MATCH(ROWS($U$2:U83),$U$2:$U$1001,0),MATCH(COLUMNS($AB$1006:AI1006),$AB$1006:$AQ$1006,0)), HYPERLINK("#",""), HYPERLINK(CONCATENATE("#metadata!", ADDRESS(INDEX($W$2:$W$1001,MATCH(ROWS($U$2:U83),$U$2:$U$1001,0),0), INDEX($AB$1004:$AQ$1004,1,MATCH(COLUMNS($AB$1006:AI1006),$AB$1006:$AQ$1006,0)))),"Fix")))</f>
        <v>0</v>
      </c>
      <c r="J83" s="4">
        <f>IF(OR(INDEX($V$2:$V$1001,MATCH(ROWS($U$2:U83),$U$2:$U$1001,0),1)&gt;=100000,INDEX($AB$1005:$AQ$1005,1,MATCH(COLUMNS($AB$1006:AJ1006),$AB$1006:$AQ$1006,0))&gt;=100000), " ",IF(INDEX($AB$2:$AQ$1001,MATCH(ROWS($U$2:U83),$U$2:$U$1001,0),MATCH(COLUMNS($AB$1006:AJ1006),$AB$1006:$AQ$1006,0)), HYPERLINK("#",""), HYPERLINK(CONCATENATE("#metadata!", ADDRESS(INDEX($W$2:$W$1001,MATCH(ROWS($U$2:U83),$U$2:$U$1001,0),0), INDEX($AB$1004:$AQ$1004,1,MATCH(COLUMNS($AB$1006:AJ1006),$AB$1006:$AQ$1006,0)))),"Fix")))</f>
        <v>0</v>
      </c>
      <c r="K83" s="4">
        <f>IF(OR(INDEX($V$2:$V$1001,MATCH(ROWS($U$2:U83),$U$2:$U$1001,0),1)&gt;=100000,INDEX($AB$1005:$AQ$1005,1,MATCH(COLUMNS($AB$1006:AK1006),$AB$1006:$AQ$1006,0))&gt;=100000), " ",IF(INDEX($AB$2:$AQ$1001,MATCH(ROWS($U$2:U83),$U$2:$U$1001,0),MATCH(COLUMNS($AB$1006:AK1006),$AB$1006:$AQ$1006,0)), HYPERLINK("#",""), HYPERLINK(CONCATENATE("#metadata!", ADDRESS(INDEX($W$2:$W$1001,MATCH(ROWS($U$2:U83),$U$2:$U$1001,0),0), INDEX($AB$1004:$AQ$1004,1,MATCH(COLUMNS($AB$1006:AK1006),$AB$1006:$AQ$1006,0)))),"Fix")))</f>
        <v>0</v>
      </c>
      <c r="L83" s="4">
        <f>IF(OR(INDEX($V$2:$V$1001,MATCH(ROWS($U$2:U83),$U$2:$U$1001,0),1)&gt;=100000,INDEX($AB$1005:$AQ$1005,1,MATCH(COLUMNS($AB$1006:AL1006),$AB$1006:$AQ$1006,0))&gt;=100000), " ",IF(INDEX($AB$2:$AQ$1001,MATCH(ROWS($U$2:U83),$U$2:$U$1001,0),MATCH(COLUMNS($AB$1006:AL1006),$AB$1006:$AQ$1006,0)), HYPERLINK("#",""), HYPERLINK(CONCATENATE("#metadata!", ADDRESS(INDEX($W$2:$W$1001,MATCH(ROWS($U$2:U83),$U$2:$U$1001,0),0), INDEX($AB$1004:$AQ$1004,1,MATCH(COLUMNS($AB$1006:AL1006),$AB$1006:$AQ$1006,0)))),"Fix")))</f>
        <v>0</v>
      </c>
      <c r="M83" s="4">
        <f>IF(OR(INDEX($V$2:$V$1001,MATCH(ROWS($U$2:U83),$U$2:$U$1001,0),1)&gt;=100000,INDEX($AB$1005:$AQ$1005,1,MATCH(COLUMNS($AB$1006:AM1006),$AB$1006:$AQ$1006,0))&gt;=100000), " ",IF(INDEX($AB$2:$AQ$1001,MATCH(ROWS($U$2:U83),$U$2:$U$1001,0),MATCH(COLUMNS($AB$1006:AM1006),$AB$1006:$AQ$1006,0)), HYPERLINK("#",""), HYPERLINK(CONCATENATE("#metadata!", ADDRESS(INDEX($W$2:$W$1001,MATCH(ROWS($U$2:U83),$U$2:$U$1001,0),0), INDEX($AB$1004:$AQ$1004,1,MATCH(COLUMNS($AB$1006:AM1006),$AB$1006:$AQ$1006,0)))),"Fix")))</f>
        <v>0</v>
      </c>
      <c r="N83" s="4">
        <f>IF(OR(INDEX($V$2:$V$1001,MATCH(ROWS($U$2:U83),$U$2:$U$1001,0),1)&gt;=100000,INDEX($AB$1005:$AQ$1005,1,MATCH(COLUMNS($AB$1006:AN1006),$AB$1006:$AQ$1006,0))&gt;=100000), " ",IF(INDEX($AB$2:$AQ$1001,MATCH(ROWS($U$2:U83),$U$2:$U$1001,0),MATCH(COLUMNS($AB$1006:AN1006),$AB$1006:$AQ$1006,0)), HYPERLINK("#",""), HYPERLINK(CONCATENATE("#metadata!", ADDRESS(INDEX($W$2:$W$1001,MATCH(ROWS($U$2:U83),$U$2:$U$1001,0),0), INDEX($AB$1004:$AQ$1004,1,MATCH(COLUMNS($AB$1006:AN1006),$AB$1006:$AQ$1006,0)))),"Fix")))</f>
        <v>0</v>
      </c>
      <c r="O83" s="4">
        <f>IF(OR(INDEX($V$2:$V$1001,MATCH(ROWS($U$2:U83),$U$2:$U$1001,0),1)&gt;=100000,INDEX($AB$1005:$AQ$1005,1,MATCH(COLUMNS($AB$1006:AO1006),$AB$1006:$AQ$1006,0))&gt;=100000), " ",IF(INDEX($AB$2:$AQ$1001,MATCH(ROWS($U$2:U83),$U$2:$U$1001,0),MATCH(COLUMNS($AB$1006:AO1006),$AB$1006:$AQ$1006,0)), HYPERLINK("#",""), HYPERLINK(CONCATENATE("#metadata!", ADDRESS(INDEX($W$2:$W$1001,MATCH(ROWS($U$2:U83),$U$2:$U$1001,0),0), INDEX($AB$1004:$AQ$1004,1,MATCH(COLUMNS($AB$1006:AO1006),$AB$1006:$AQ$1006,0)))),"Fix")))</f>
        <v>0</v>
      </c>
      <c r="P83" s="4">
        <f>IF(OR(INDEX($V$2:$V$1001,MATCH(ROWS($U$2:U83),$U$2:$U$1001,0),1)&gt;=100000,INDEX($AB$1005:$AQ$1005,1,MATCH(COLUMNS($AB$1006:AP1006),$AB$1006:$AQ$1006,0))&gt;=100000), " ",IF(INDEX($AB$2:$AQ$1001,MATCH(ROWS($U$2:U83),$U$2:$U$1001,0),MATCH(COLUMNS($AB$1006:AP1006),$AB$1006:$AQ$1006,0)), HYPERLINK("#",""), HYPERLINK(CONCATENATE("#metadata!", ADDRESS(INDEX($W$2:$W$1001,MATCH(ROWS($U$2:U83),$U$2:$U$1001,0),0), INDEX($AB$1004:$AQ$1004,1,MATCH(COLUMNS($AB$1006:AP1006),$AB$1006:$AQ$1006,0)))),"Fix")))</f>
        <v>0</v>
      </c>
      <c r="Q83" s="4">
        <f>IF(OR(INDEX($V$2:$V$1001,MATCH(ROWS($U$2:U83),$U$2:$U$1001,0),1)&gt;=100000,INDEX($AB$1005:$AQ$1005,1,MATCH(COLUMNS($AB$1006:AQ1006),$AB$1006:$AQ$1006,0))&gt;=100000), " ",IF(INDEX($AB$2:$AQ$1001,MATCH(ROWS($U$2:U83),$U$2:$U$1001,0),MATCH(COLUMNS($AB$1006:AQ1006),$AB$1006:$AQ$1006,0)), HYPERLINK("#",""), HYPERLINK(CONCATENATE("#metadata!", ADDRESS(INDEX($W$2:$W$1001,MATCH(ROWS($U$2:U83),$U$2:$U$1001,0),0), INDEX($AB$1004:$AQ$1004,1,MATCH(COLUMNS($AB$1006:AQ1006),$AB$1006:$AQ$1006,0)))),"Fix")))</f>
        <v>0</v>
      </c>
      <c r="U83">
        <v>0</v>
      </c>
      <c r="V83">
        <v>0</v>
      </c>
      <c r="W83">
        <v>0</v>
      </c>
      <c r="X83">
        <f>IF(Y83,TRUE,AND(AB83:AQ83))</f>
        <v>0</v>
      </c>
      <c r="Y83">
        <f>COUNTBLANK(metadata!B83:Q83)=COLUMNS(metadata!B83:Q83)</f>
        <v>0</v>
      </c>
      <c r="Z83">
        <v>0</v>
      </c>
      <c r="AB83">
        <f>AND(IF(metadata!B83="",FALSE,TRUE),COUNTIF(metadata!B:B, metadata!B83) = 1,NOT(ISERROR(SUMPRODUCT(SEARCH(MID(metadata!B83,ROW(INDIRECT("1:"&amp;LEN(metadata!B83))), 1),"0123456789abcdefghijklmnopqrstuvwxyzABCDEFGHIJKLMNOPQRSTUVWXYZ.")))))</f>
        <v>0</v>
      </c>
      <c r="AC83">
        <f>OR(AND(IF(metadata!C83="",FALSE,TRUE),OR(exact(metadata!C83,"missing: not collected"),exact(metadata!C83,"missing: not provided"),exact(metadata!C83,"missing: restricted access"))),AND(IF(metadata!C83="",FALSE,TRUE),AND(AND(IFERROR(INT(LEFT(metadata!C83,4))&gt;1900,FALSE),IFERROR(INT(LEFT(metadata!C83,4))&lt;=YEAR(NOW()),FALSE)), OR(MID(metadata!C83,5,1)="", AND(AND(MID(metadata!C83,5,1)="-",IFERROR(INT(MID(metadata!C83,6,1))&gt;=0,FALSE),IFERROR(INT(MID(metadata!C83,6,1))&lt;=1,FALSE),NOT(MID(metadata!C83,7,1)=""),IFERROR(INT(MID(metadata!C83,6,2))&gt;=1,FALSE),IFERROR(INT(MID(metadata!C83,6,2))&lt;=12,FALSE)), OR(MID(metadata!C83,8,1)="", AND(AND(MID(metadata!C83,8,1)="-",IFERROR(INT(MID(metadata!C83,9,1))&gt;=0,FALSE),IFERROR(INT(MID(metadata!C83,9,1))&lt;=3,FALSE),NOT(MID(metadata!C83,10,1)=""),IFERROR(INT(MID(metadata!C83,9,2))&gt;=1,FALSE),IFERROR(INT(MID(metadata!C83,9,2))&lt;=31,FALSE)), OR(MID(metadata!C83,11,1)="", AND(AND(MID(metadata!C83,11,1)=" ",IFERROR(INT(MID(metadata!C83,12,1))&gt;=0,FALSE),IFERROR(INT(MID(metadata!C83,12,1))&lt;=2,FALSE),NOT(MID(metadata!C83,13,1)=""),IFERROR(INT(MID(metadata!C83,12,2))&gt;=0,FALSE),IFERROR(INT(MID(metadata!C83,12,2))&lt;=23,FALSE)), OR(MID(metadata!C83,14,1)="", AND(AND(MID(metadata!C83,14,1)=":",IFERROR(INT(MID(metadata!C83,15,1))&gt;=0,FALSE),IFERROR(INT(MID(metadata!C83,15,1))&lt;=5,FALSE),NOT(MID(metadata!C83,16,1)=""),IFERROR(INT(MID(metadata!C83,15,2))&gt;=0,FALSE),IFERROR(INT(MID(metadata!C83,15,2))&lt;=59,FALSE)), OR(MID(metadata!C83,17,1)="", AND(AND(MID(metadata!C83,17,1)=":",IFERROR(INT(MID(metadata!C83,18,1))&gt;=0,FALSE),IFERROR(INT(MID(metadata!C83,18,1))&lt;=5,FALSE),NOT(MID(metadata!C83,19,1)=""),IFERROR(INT(MID(metadata!C83,18,2))&gt;=0,FALSE),IFERROR(INT(MID(metadata!C83,18,2))&lt;=59,FALSE)), LEN(metadata!C83)&lt;=19)))))))))))))</f>
        <v>0</v>
      </c>
      <c r="AD83">
        <f>IF(metadata!D83="",FALSE,TRUE)</f>
        <v>0</v>
      </c>
      <c r="AE83">
        <f>OR(AND(IF(metadata!E83="",FALSE,TRUE),OR(exact(metadata!E83,"missing: not collected"),exact(metadata!E83,"missing: not provided"))),AND(IF(metadata!E83="",FALSE,TRUE),OR(exact(metadata!E83,"TRUE"),exact(metadata!E83,"FALSE"))))</f>
        <v>0</v>
      </c>
      <c r="AF83">
        <f>IF(metadata!F83="",FALSE,TRUE)</f>
        <v>0</v>
      </c>
      <c r="AG83">
        <f>IF(metadata!G83="",FALSE,TRUE)</f>
        <v>0</v>
      </c>
      <c r="AH83">
        <f>IF(metadata!H83="",FALSE,TRUE)</f>
        <v>0</v>
      </c>
      <c r="AI83">
        <f>OR(AND(IF(metadata!I83="",FALSE,TRUE),OR(exact(metadata!I83,"missing: not collected"),exact(metadata!I83,"missing: not provided"),exact(metadata!I83,"missing: restricted access"))),AND(IF(metadata!I83="",FALSE,TRUE),OR(exact(metadata!I83,"air"),exact(metadata!I83,"built environment"),exact(metadata!I83,"host-associated"),exact(metadata!I83,"human-associated"),exact(metadata!I83,"human-skin"),exact(metadata!I83,"human-oral"),exact(metadata!I83,"human-gut"),exact(metadata!I83,"human-vaginal"),exact(metadata!I83,"microbial mat/biofilm"),exact(metadata!I83,"misc environment"),exact(metadata!I83,"plant-associated"),exact(metadata!I83,"sediment"),exact(metadata!I83,"soil"),exact(metadata!I83,"wastewater/sludge"),exact(metadata!I83,"water"))))</f>
        <v>0</v>
      </c>
      <c r="AJ83">
        <f>IF(metadata!J83="",FALSE,TRUE)</f>
        <v>0</v>
      </c>
      <c r="AK83">
        <f>OR(AND(IF(metadata!K83="",FALSE,TRUE),OR(exact(metadata!K83,"missing: not collected"),exact(metadata!K83,"missing: not provided"),exact(metadata!K83,"missing: restricted access"))),AND(IF(metadata!K83="",FALSE,ISNUMBER(VALUE(metadata!K83))),metadata!K83&gt;=-90.00,metadata!K83&lt;=90.00))</f>
        <v>0</v>
      </c>
      <c r="AL83">
        <f>OR(AND(IF(metadata!L83="",FALSE,TRUE),OR(exact(metadata!L83,"missing: not collected"),exact(metadata!L83,"missing: not provided"),exact(metadata!L83,"missing: restricted access"))),AND(IF(metadata!L83="",FALSE,ISNUMBER(VALUE(metadata!L83))),metadata!L83&gt;=-180.00,metadata!L83&lt;=180.00))</f>
        <v>0</v>
      </c>
      <c r="AM83">
        <f>IF(metadata!M83="",FALSE,TRUE)</f>
        <v>0</v>
      </c>
      <c r="AN83">
        <f>OR(AND(IF(metadata!N83="",FALSE,TRUE),OR(exact(metadata!N83,"missing: not collected"),exact(metadata!N83,"missing: not provided"),exact(metadata!N83,"missing: restricted access"))),AND(IF(metadata!N83="",FALSE,TRUE),OR(exact(metadata!N83,"TRUE"),exact(metadata!N83,"FALSE"))))</f>
        <v>0</v>
      </c>
      <c r="AO83">
        <f>IF(metadata!O83="",FALSE,TRUE)</f>
        <v>0</v>
      </c>
      <c r="AP83">
        <f>OR(AND(IF(metadata!P83="",FALSE,TRUE),OR(exact(metadata!P83,"missing: not collected"),exact(metadata!P83,"missing: not provided"))),AND(IF(metadata!P83="",FALSE,IF(ISERROR(INT(metadata!P83)),FALSE,INT(metadata!P83)=metadata!P83)),metadata!P83&gt;0))</f>
        <v>0</v>
      </c>
      <c r="AQ83">
        <f>IF(metadata!Q83="",FALSE,TRUE)</f>
        <v>0</v>
      </c>
    </row>
    <row r="84" spans="1:43">
      <c r="A84" s="5">
        <f>IF(B84=" "," ",HYPERLINK(CONCATENATE("#metadata!",ADDRESS(INDEX($W$2:$W$1001,MATCH(ROWS($U$2:U84),$U$2:$U$1001,0),0),1)),INDEX($Z$2:$Z$1001,MATCH(ROWS($U$2:U84),$U$2:$U$1001,0),0)))</f>
        <v>0</v>
      </c>
      <c r="B84" s="4">
        <f>IF(OR(INDEX($V$2:$V$1001,MATCH(ROWS($U$2:U84),$U$2:$U$1001,0),1)&gt;=100000,INDEX($AB$1005:$AQ$1005,1,MATCH(COLUMNS($AB$1006:AB1006),$AB$1006:$AQ$1006,0))&gt;=100000), " ",IF(INDEX($AB$2:$AQ$1001,MATCH(ROWS($U$2:U84),$U$2:$U$1001,0),MATCH(COLUMNS($AB$1006:AB1006),$AB$1006:$AQ$1006,0)), HYPERLINK("#",""), HYPERLINK(CONCATENATE("#metadata!", ADDRESS(INDEX($W$2:$W$1001,MATCH(ROWS($U$2:U84),$U$2:$U$1001,0),0), INDEX($AB$1004:$AQ$1004,1,MATCH(COLUMNS($AB$1006:AB1006),$AB$1006:$AQ$1006,0)))),"Fix")))</f>
        <v>0</v>
      </c>
      <c r="C84" s="4">
        <f>IF(OR(INDEX($V$2:$V$1001,MATCH(ROWS($U$2:U84),$U$2:$U$1001,0),1)&gt;=100000,INDEX($AB$1005:$AQ$1005,1,MATCH(COLUMNS($AB$1006:AC1006),$AB$1006:$AQ$1006,0))&gt;=100000), " ",IF(INDEX($AB$2:$AQ$1001,MATCH(ROWS($U$2:U84),$U$2:$U$1001,0),MATCH(COLUMNS($AB$1006:AC1006),$AB$1006:$AQ$1006,0)), HYPERLINK("#",""), HYPERLINK(CONCATENATE("#metadata!", ADDRESS(INDEX($W$2:$W$1001,MATCH(ROWS($U$2:U84),$U$2:$U$1001,0),0), INDEX($AB$1004:$AQ$1004,1,MATCH(COLUMNS($AB$1006:AC1006),$AB$1006:$AQ$1006,0)))),"Fix")))</f>
        <v>0</v>
      </c>
      <c r="D84" s="4">
        <f>IF(OR(INDEX($V$2:$V$1001,MATCH(ROWS($U$2:U84),$U$2:$U$1001,0),1)&gt;=100000,INDEX($AB$1005:$AQ$1005,1,MATCH(COLUMNS($AB$1006:AD1006),$AB$1006:$AQ$1006,0))&gt;=100000), " ",IF(INDEX($AB$2:$AQ$1001,MATCH(ROWS($U$2:U84),$U$2:$U$1001,0),MATCH(COLUMNS($AB$1006:AD1006),$AB$1006:$AQ$1006,0)), HYPERLINK("#",""), HYPERLINK(CONCATENATE("#metadata!", ADDRESS(INDEX($W$2:$W$1001,MATCH(ROWS($U$2:U84),$U$2:$U$1001,0),0), INDEX($AB$1004:$AQ$1004,1,MATCH(COLUMNS($AB$1006:AD1006),$AB$1006:$AQ$1006,0)))),"Fix")))</f>
        <v>0</v>
      </c>
      <c r="E84" s="4">
        <f>IF(OR(INDEX($V$2:$V$1001,MATCH(ROWS($U$2:U84),$U$2:$U$1001,0),1)&gt;=100000,INDEX($AB$1005:$AQ$1005,1,MATCH(COLUMNS($AB$1006:AE1006),$AB$1006:$AQ$1006,0))&gt;=100000), " ",IF(INDEX($AB$2:$AQ$1001,MATCH(ROWS($U$2:U84),$U$2:$U$1001,0),MATCH(COLUMNS($AB$1006:AE1006),$AB$1006:$AQ$1006,0)), HYPERLINK("#",""), HYPERLINK(CONCATENATE("#metadata!", ADDRESS(INDEX($W$2:$W$1001,MATCH(ROWS($U$2:U84),$U$2:$U$1001,0),0), INDEX($AB$1004:$AQ$1004,1,MATCH(COLUMNS($AB$1006:AE1006),$AB$1006:$AQ$1006,0)))),"Fix")))</f>
        <v>0</v>
      </c>
      <c r="F84" s="4">
        <f>IF(OR(INDEX($V$2:$V$1001,MATCH(ROWS($U$2:U84),$U$2:$U$1001,0),1)&gt;=100000,INDEX($AB$1005:$AQ$1005,1,MATCH(COLUMNS($AB$1006:AF1006),$AB$1006:$AQ$1006,0))&gt;=100000), " ",IF(INDEX($AB$2:$AQ$1001,MATCH(ROWS($U$2:U84),$U$2:$U$1001,0),MATCH(COLUMNS($AB$1006:AF1006),$AB$1006:$AQ$1006,0)), HYPERLINK("#",""), HYPERLINK(CONCATENATE("#metadata!", ADDRESS(INDEX($W$2:$W$1001,MATCH(ROWS($U$2:U84),$U$2:$U$1001,0),0), INDEX($AB$1004:$AQ$1004,1,MATCH(COLUMNS($AB$1006:AF1006),$AB$1006:$AQ$1006,0)))),"Fix")))</f>
        <v>0</v>
      </c>
      <c r="G84" s="4">
        <f>IF(OR(INDEX($V$2:$V$1001,MATCH(ROWS($U$2:U84),$U$2:$U$1001,0),1)&gt;=100000,INDEX($AB$1005:$AQ$1005,1,MATCH(COLUMNS($AB$1006:AG1006),$AB$1006:$AQ$1006,0))&gt;=100000), " ",IF(INDEX($AB$2:$AQ$1001,MATCH(ROWS($U$2:U84),$U$2:$U$1001,0),MATCH(COLUMNS($AB$1006:AG1006),$AB$1006:$AQ$1006,0)), HYPERLINK("#",""), HYPERLINK(CONCATENATE("#metadata!", ADDRESS(INDEX($W$2:$W$1001,MATCH(ROWS($U$2:U84),$U$2:$U$1001,0),0), INDEX($AB$1004:$AQ$1004,1,MATCH(COLUMNS($AB$1006:AG1006),$AB$1006:$AQ$1006,0)))),"Fix")))</f>
        <v>0</v>
      </c>
      <c r="H84" s="4">
        <f>IF(OR(INDEX($V$2:$V$1001,MATCH(ROWS($U$2:U84),$U$2:$U$1001,0),1)&gt;=100000,INDEX($AB$1005:$AQ$1005,1,MATCH(COLUMNS($AB$1006:AH1006),$AB$1006:$AQ$1006,0))&gt;=100000), " ",IF(INDEX($AB$2:$AQ$1001,MATCH(ROWS($U$2:U84),$U$2:$U$1001,0),MATCH(COLUMNS($AB$1006:AH1006),$AB$1006:$AQ$1006,0)), HYPERLINK("#",""), HYPERLINK(CONCATENATE("#metadata!", ADDRESS(INDEX($W$2:$W$1001,MATCH(ROWS($U$2:U84),$U$2:$U$1001,0),0), INDEX($AB$1004:$AQ$1004,1,MATCH(COLUMNS($AB$1006:AH1006),$AB$1006:$AQ$1006,0)))),"Fix")))</f>
        <v>0</v>
      </c>
      <c r="I84" s="4">
        <f>IF(OR(INDEX($V$2:$V$1001,MATCH(ROWS($U$2:U84),$U$2:$U$1001,0),1)&gt;=100000,INDEX($AB$1005:$AQ$1005,1,MATCH(COLUMNS($AB$1006:AI1006),$AB$1006:$AQ$1006,0))&gt;=100000), " ",IF(INDEX($AB$2:$AQ$1001,MATCH(ROWS($U$2:U84),$U$2:$U$1001,0),MATCH(COLUMNS($AB$1006:AI1006),$AB$1006:$AQ$1006,0)), HYPERLINK("#",""), HYPERLINK(CONCATENATE("#metadata!", ADDRESS(INDEX($W$2:$W$1001,MATCH(ROWS($U$2:U84),$U$2:$U$1001,0),0), INDEX($AB$1004:$AQ$1004,1,MATCH(COLUMNS($AB$1006:AI1006),$AB$1006:$AQ$1006,0)))),"Fix")))</f>
        <v>0</v>
      </c>
      <c r="J84" s="4">
        <f>IF(OR(INDEX($V$2:$V$1001,MATCH(ROWS($U$2:U84),$U$2:$U$1001,0),1)&gt;=100000,INDEX($AB$1005:$AQ$1005,1,MATCH(COLUMNS($AB$1006:AJ1006),$AB$1006:$AQ$1006,0))&gt;=100000), " ",IF(INDEX($AB$2:$AQ$1001,MATCH(ROWS($U$2:U84),$U$2:$U$1001,0),MATCH(COLUMNS($AB$1006:AJ1006),$AB$1006:$AQ$1006,0)), HYPERLINK("#",""), HYPERLINK(CONCATENATE("#metadata!", ADDRESS(INDEX($W$2:$W$1001,MATCH(ROWS($U$2:U84),$U$2:$U$1001,0),0), INDEX($AB$1004:$AQ$1004,1,MATCH(COLUMNS($AB$1006:AJ1006),$AB$1006:$AQ$1006,0)))),"Fix")))</f>
        <v>0</v>
      </c>
      <c r="K84" s="4">
        <f>IF(OR(INDEX($V$2:$V$1001,MATCH(ROWS($U$2:U84),$U$2:$U$1001,0),1)&gt;=100000,INDEX($AB$1005:$AQ$1005,1,MATCH(COLUMNS($AB$1006:AK1006),$AB$1006:$AQ$1006,0))&gt;=100000), " ",IF(INDEX($AB$2:$AQ$1001,MATCH(ROWS($U$2:U84),$U$2:$U$1001,0),MATCH(COLUMNS($AB$1006:AK1006),$AB$1006:$AQ$1006,0)), HYPERLINK("#",""), HYPERLINK(CONCATENATE("#metadata!", ADDRESS(INDEX($W$2:$W$1001,MATCH(ROWS($U$2:U84),$U$2:$U$1001,0),0), INDEX($AB$1004:$AQ$1004,1,MATCH(COLUMNS($AB$1006:AK1006),$AB$1006:$AQ$1006,0)))),"Fix")))</f>
        <v>0</v>
      </c>
      <c r="L84" s="4">
        <f>IF(OR(INDEX($V$2:$V$1001,MATCH(ROWS($U$2:U84),$U$2:$U$1001,0),1)&gt;=100000,INDEX($AB$1005:$AQ$1005,1,MATCH(COLUMNS($AB$1006:AL1006),$AB$1006:$AQ$1006,0))&gt;=100000), " ",IF(INDEX($AB$2:$AQ$1001,MATCH(ROWS($U$2:U84),$U$2:$U$1001,0),MATCH(COLUMNS($AB$1006:AL1006),$AB$1006:$AQ$1006,0)), HYPERLINK("#",""), HYPERLINK(CONCATENATE("#metadata!", ADDRESS(INDEX($W$2:$W$1001,MATCH(ROWS($U$2:U84),$U$2:$U$1001,0),0), INDEX($AB$1004:$AQ$1004,1,MATCH(COLUMNS($AB$1006:AL1006),$AB$1006:$AQ$1006,0)))),"Fix")))</f>
        <v>0</v>
      </c>
      <c r="M84" s="4">
        <f>IF(OR(INDEX($V$2:$V$1001,MATCH(ROWS($U$2:U84),$U$2:$U$1001,0),1)&gt;=100000,INDEX($AB$1005:$AQ$1005,1,MATCH(COLUMNS($AB$1006:AM1006),$AB$1006:$AQ$1006,0))&gt;=100000), " ",IF(INDEX($AB$2:$AQ$1001,MATCH(ROWS($U$2:U84),$U$2:$U$1001,0),MATCH(COLUMNS($AB$1006:AM1006),$AB$1006:$AQ$1006,0)), HYPERLINK("#",""), HYPERLINK(CONCATENATE("#metadata!", ADDRESS(INDEX($W$2:$W$1001,MATCH(ROWS($U$2:U84),$U$2:$U$1001,0),0), INDEX($AB$1004:$AQ$1004,1,MATCH(COLUMNS($AB$1006:AM1006),$AB$1006:$AQ$1006,0)))),"Fix")))</f>
        <v>0</v>
      </c>
      <c r="N84" s="4">
        <f>IF(OR(INDEX($V$2:$V$1001,MATCH(ROWS($U$2:U84),$U$2:$U$1001,0),1)&gt;=100000,INDEX($AB$1005:$AQ$1005,1,MATCH(COLUMNS($AB$1006:AN1006),$AB$1006:$AQ$1006,0))&gt;=100000), " ",IF(INDEX($AB$2:$AQ$1001,MATCH(ROWS($U$2:U84),$U$2:$U$1001,0),MATCH(COLUMNS($AB$1006:AN1006),$AB$1006:$AQ$1006,0)), HYPERLINK("#",""), HYPERLINK(CONCATENATE("#metadata!", ADDRESS(INDEX($W$2:$W$1001,MATCH(ROWS($U$2:U84),$U$2:$U$1001,0),0), INDEX($AB$1004:$AQ$1004,1,MATCH(COLUMNS($AB$1006:AN1006),$AB$1006:$AQ$1006,0)))),"Fix")))</f>
        <v>0</v>
      </c>
      <c r="O84" s="4">
        <f>IF(OR(INDEX($V$2:$V$1001,MATCH(ROWS($U$2:U84),$U$2:$U$1001,0),1)&gt;=100000,INDEX($AB$1005:$AQ$1005,1,MATCH(COLUMNS($AB$1006:AO1006),$AB$1006:$AQ$1006,0))&gt;=100000), " ",IF(INDEX($AB$2:$AQ$1001,MATCH(ROWS($U$2:U84),$U$2:$U$1001,0),MATCH(COLUMNS($AB$1006:AO1006),$AB$1006:$AQ$1006,0)), HYPERLINK("#",""), HYPERLINK(CONCATENATE("#metadata!", ADDRESS(INDEX($W$2:$W$1001,MATCH(ROWS($U$2:U84),$U$2:$U$1001,0),0), INDEX($AB$1004:$AQ$1004,1,MATCH(COLUMNS($AB$1006:AO1006),$AB$1006:$AQ$1006,0)))),"Fix")))</f>
        <v>0</v>
      </c>
      <c r="P84" s="4">
        <f>IF(OR(INDEX($V$2:$V$1001,MATCH(ROWS($U$2:U84),$U$2:$U$1001,0),1)&gt;=100000,INDEX($AB$1005:$AQ$1005,1,MATCH(COLUMNS($AB$1006:AP1006),$AB$1006:$AQ$1006,0))&gt;=100000), " ",IF(INDEX($AB$2:$AQ$1001,MATCH(ROWS($U$2:U84),$U$2:$U$1001,0),MATCH(COLUMNS($AB$1006:AP1006),$AB$1006:$AQ$1006,0)), HYPERLINK("#",""), HYPERLINK(CONCATENATE("#metadata!", ADDRESS(INDEX($W$2:$W$1001,MATCH(ROWS($U$2:U84),$U$2:$U$1001,0),0), INDEX($AB$1004:$AQ$1004,1,MATCH(COLUMNS($AB$1006:AP1006),$AB$1006:$AQ$1006,0)))),"Fix")))</f>
        <v>0</v>
      </c>
      <c r="Q84" s="4">
        <f>IF(OR(INDEX($V$2:$V$1001,MATCH(ROWS($U$2:U84),$U$2:$U$1001,0),1)&gt;=100000,INDEX($AB$1005:$AQ$1005,1,MATCH(COLUMNS($AB$1006:AQ1006),$AB$1006:$AQ$1006,0))&gt;=100000), " ",IF(INDEX($AB$2:$AQ$1001,MATCH(ROWS($U$2:U84),$U$2:$U$1001,0),MATCH(COLUMNS($AB$1006:AQ1006),$AB$1006:$AQ$1006,0)), HYPERLINK("#",""), HYPERLINK(CONCATENATE("#metadata!", ADDRESS(INDEX($W$2:$W$1001,MATCH(ROWS($U$2:U84),$U$2:$U$1001,0),0), INDEX($AB$1004:$AQ$1004,1,MATCH(COLUMNS($AB$1006:AQ1006),$AB$1006:$AQ$1006,0)))),"Fix")))</f>
        <v>0</v>
      </c>
      <c r="U84">
        <v>0</v>
      </c>
      <c r="V84">
        <v>0</v>
      </c>
      <c r="W84">
        <v>0</v>
      </c>
      <c r="X84">
        <f>IF(Y84,TRUE,AND(AB84:AQ84))</f>
        <v>0</v>
      </c>
      <c r="Y84">
        <f>COUNTBLANK(metadata!B84:Q84)=COLUMNS(metadata!B84:Q84)</f>
        <v>0</v>
      </c>
      <c r="Z84">
        <v>0</v>
      </c>
      <c r="AB84">
        <f>AND(IF(metadata!B84="",FALSE,TRUE),COUNTIF(metadata!B:B, metadata!B84) = 1,NOT(ISERROR(SUMPRODUCT(SEARCH(MID(metadata!B84,ROW(INDIRECT("1:"&amp;LEN(metadata!B84))), 1),"0123456789abcdefghijklmnopqrstuvwxyzABCDEFGHIJKLMNOPQRSTUVWXYZ.")))))</f>
        <v>0</v>
      </c>
      <c r="AC84">
        <f>OR(AND(IF(metadata!C84="",FALSE,TRUE),OR(exact(metadata!C84,"missing: not collected"),exact(metadata!C84,"missing: not provided"),exact(metadata!C84,"missing: restricted access"))),AND(IF(metadata!C84="",FALSE,TRUE),AND(AND(IFERROR(INT(LEFT(metadata!C84,4))&gt;1900,FALSE),IFERROR(INT(LEFT(metadata!C84,4))&lt;=YEAR(NOW()),FALSE)), OR(MID(metadata!C84,5,1)="", AND(AND(MID(metadata!C84,5,1)="-",IFERROR(INT(MID(metadata!C84,6,1))&gt;=0,FALSE),IFERROR(INT(MID(metadata!C84,6,1))&lt;=1,FALSE),NOT(MID(metadata!C84,7,1)=""),IFERROR(INT(MID(metadata!C84,6,2))&gt;=1,FALSE),IFERROR(INT(MID(metadata!C84,6,2))&lt;=12,FALSE)), OR(MID(metadata!C84,8,1)="", AND(AND(MID(metadata!C84,8,1)="-",IFERROR(INT(MID(metadata!C84,9,1))&gt;=0,FALSE),IFERROR(INT(MID(metadata!C84,9,1))&lt;=3,FALSE),NOT(MID(metadata!C84,10,1)=""),IFERROR(INT(MID(metadata!C84,9,2))&gt;=1,FALSE),IFERROR(INT(MID(metadata!C84,9,2))&lt;=31,FALSE)), OR(MID(metadata!C84,11,1)="", AND(AND(MID(metadata!C84,11,1)=" ",IFERROR(INT(MID(metadata!C84,12,1))&gt;=0,FALSE),IFERROR(INT(MID(metadata!C84,12,1))&lt;=2,FALSE),NOT(MID(metadata!C84,13,1)=""),IFERROR(INT(MID(metadata!C84,12,2))&gt;=0,FALSE),IFERROR(INT(MID(metadata!C84,12,2))&lt;=23,FALSE)), OR(MID(metadata!C84,14,1)="", AND(AND(MID(metadata!C84,14,1)=":",IFERROR(INT(MID(metadata!C84,15,1))&gt;=0,FALSE),IFERROR(INT(MID(metadata!C84,15,1))&lt;=5,FALSE),NOT(MID(metadata!C84,16,1)=""),IFERROR(INT(MID(metadata!C84,15,2))&gt;=0,FALSE),IFERROR(INT(MID(metadata!C84,15,2))&lt;=59,FALSE)), OR(MID(metadata!C84,17,1)="", AND(AND(MID(metadata!C84,17,1)=":",IFERROR(INT(MID(metadata!C84,18,1))&gt;=0,FALSE),IFERROR(INT(MID(metadata!C84,18,1))&lt;=5,FALSE),NOT(MID(metadata!C84,19,1)=""),IFERROR(INT(MID(metadata!C84,18,2))&gt;=0,FALSE),IFERROR(INT(MID(metadata!C84,18,2))&lt;=59,FALSE)), LEN(metadata!C84)&lt;=19)))))))))))))</f>
        <v>0</v>
      </c>
      <c r="AD84">
        <f>IF(metadata!D84="",FALSE,TRUE)</f>
        <v>0</v>
      </c>
      <c r="AE84">
        <f>OR(AND(IF(metadata!E84="",FALSE,TRUE),OR(exact(metadata!E84,"missing: not collected"),exact(metadata!E84,"missing: not provided"))),AND(IF(metadata!E84="",FALSE,TRUE),OR(exact(metadata!E84,"TRUE"),exact(metadata!E84,"FALSE"))))</f>
        <v>0</v>
      </c>
      <c r="AF84">
        <f>IF(metadata!F84="",FALSE,TRUE)</f>
        <v>0</v>
      </c>
      <c r="AG84">
        <f>IF(metadata!G84="",FALSE,TRUE)</f>
        <v>0</v>
      </c>
      <c r="AH84">
        <f>IF(metadata!H84="",FALSE,TRUE)</f>
        <v>0</v>
      </c>
      <c r="AI84">
        <f>OR(AND(IF(metadata!I84="",FALSE,TRUE),OR(exact(metadata!I84,"missing: not collected"),exact(metadata!I84,"missing: not provided"),exact(metadata!I84,"missing: restricted access"))),AND(IF(metadata!I84="",FALSE,TRUE),OR(exact(metadata!I84,"air"),exact(metadata!I84,"built environment"),exact(metadata!I84,"host-associated"),exact(metadata!I84,"human-associated"),exact(metadata!I84,"human-skin"),exact(metadata!I84,"human-oral"),exact(metadata!I84,"human-gut"),exact(metadata!I84,"human-vaginal"),exact(metadata!I84,"microbial mat/biofilm"),exact(metadata!I84,"misc environment"),exact(metadata!I84,"plant-associated"),exact(metadata!I84,"sediment"),exact(metadata!I84,"soil"),exact(metadata!I84,"wastewater/sludge"),exact(metadata!I84,"water"))))</f>
        <v>0</v>
      </c>
      <c r="AJ84">
        <f>IF(metadata!J84="",FALSE,TRUE)</f>
        <v>0</v>
      </c>
      <c r="AK84">
        <f>OR(AND(IF(metadata!K84="",FALSE,TRUE),OR(exact(metadata!K84,"missing: not collected"),exact(metadata!K84,"missing: not provided"),exact(metadata!K84,"missing: restricted access"))),AND(IF(metadata!K84="",FALSE,ISNUMBER(VALUE(metadata!K84))),metadata!K84&gt;=-90.00,metadata!K84&lt;=90.00))</f>
        <v>0</v>
      </c>
      <c r="AL84">
        <f>OR(AND(IF(metadata!L84="",FALSE,TRUE),OR(exact(metadata!L84,"missing: not collected"),exact(metadata!L84,"missing: not provided"),exact(metadata!L84,"missing: restricted access"))),AND(IF(metadata!L84="",FALSE,ISNUMBER(VALUE(metadata!L84))),metadata!L84&gt;=-180.00,metadata!L84&lt;=180.00))</f>
        <v>0</v>
      </c>
      <c r="AM84">
        <f>IF(metadata!M84="",FALSE,TRUE)</f>
        <v>0</v>
      </c>
      <c r="AN84">
        <f>OR(AND(IF(metadata!N84="",FALSE,TRUE),OR(exact(metadata!N84,"missing: not collected"),exact(metadata!N84,"missing: not provided"),exact(metadata!N84,"missing: restricted access"))),AND(IF(metadata!N84="",FALSE,TRUE),OR(exact(metadata!N84,"TRUE"),exact(metadata!N84,"FALSE"))))</f>
        <v>0</v>
      </c>
      <c r="AO84">
        <f>IF(metadata!O84="",FALSE,TRUE)</f>
        <v>0</v>
      </c>
      <c r="AP84">
        <f>OR(AND(IF(metadata!P84="",FALSE,TRUE),OR(exact(metadata!P84,"missing: not collected"),exact(metadata!P84,"missing: not provided"))),AND(IF(metadata!P84="",FALSE,IF(ISERROR(INT(metadata!P84)),FALSE,INT(metadata!P84)=metadata!P84)),metadata!P84&gt;0))</f>
        <v>0</v>
      </c>
      <c r="AQ84">
        <f>IF(metadata!Q84="",FALSE,TRUE)</f>
        <v>0</v>
      </c>
    </row>
    <row r="85" spans="1:43">
      <c r="A85" s="5">
        <f>IF(B85=" "," ",HYPERLINK(CONCATENATE("#metadata!",ADDRESS(INDEX($W$2:$W$1001,MATCH(ROWS($U$2:U85),$U$2:$U$1001,0),0),1)),INDEX($Z$2:$Z$1001,MATCH(ROWS($U$2:U85),$U$2:$U$1001,0),0)))</f>
        <v>0</v>
      </c>
      <c r="B85" s="4">
        <f>IF(OR(INDEX($V$2:$V$1001,MATCH(ROWS($U$2:U85),$U$2:$U$1001,0),1)&gt;=100000,INDEX($AB$1005:$AQ$1005,1,MATCH(COLUMNS($AB$1006:AB1006),$AB$1006:$AQ$1006,0))&gt;=100000), " ",IF(INDEX($AB$2:$AQ$1001,MATCH(ROWS($U$2:U85),$U$2:$U$1001,0),MATCH(COLUMNS($AB$1006:AB1006),$AB$1006:$AQ$1006,0)), HYPERLINK("#",""), HYPERLINK(CONCATENATE("#metadata!", ADDRESS(INDEX($W$2:$W$1001,MATCH(ROWS($U$2:U85),$U$2:$U$1001,0),0), INDEX($AB$1004:$AQ$1004,1,MATCH(COLUMNS($AB$1006:AB1006),$AB$1006:$AQ$1006,0)))),"Fix")))</f>
        <v>0</v>
      </c>
      <c r="C85" s="4">
        <f>IF(OR(INDEX($V$2:$V$1001,MATCH(ROWS($U$2:U85),$U$2:$U$1001,0),1)&gt;=100000,INDEX($AB$1005:$AQ$1005,1,MATCH(COLUMNS($AB$1006:AC1006),$AB$1006:$AQ$1006,0))&gt;=100000), " ",IF(INDEX($AB$2:$AQ$1001,MATCH(ROWS($U$2:U85),$U$2:$U$1001,0),MATCH(COLUMNS($AB$1006:AC1006),$AB$1006:$AQ$1006,0)), HYPERLINK("#",""), HYPERLINK(CONCATENATE("#metadata!", ADDRESS(INDEX($W$2:$W$1001,MATCH(ROWS($U$2:U85),$U$2:$U$1001,0),0), INDEX($AB$1004:$AQ$1004,1,MATCH(COLUMNS($AB$1006:AC1006),$AB$1006:$AQ$1006,0)))),"Fix")))</f>
        <v>0</v>
      </c>
      <c r="D85" s="4">
        <f>IF(OR(INDEX($V$2:$V$1001,MATCH(ROWS($U$2:U85),$U$2:$U$1001,0),1)&gt;=100000,INDEX($AB$1005:$AQ$1005,1,MATCH(COLUMNS($AB$1006:AD1006),$AB$1006:$AQ$1006,0))&gt;=100000), " ",IF(INDEX($AB$2:$AQ$1001,MATCH(ROWS($U$2:U85),$U$2:$U$1001,0),MATCH(COLUMNS($AB$1006:AD1006),$AB$1006:$AQ$1006,0)), HYPERLINK("#",""), HYPERLINK(CONCATENATE("#metadata!", ADDRESS(INDEX($W$2:$W$1001,MATCH(ROWS($U$2:U85),$U$2:$U$1001,0),0), INDEX($AB$1004:$AQ$1004,1,MATCH(COLUMNS($AB$1006:AD1006),$AB$1006:$AQ$1006,0)))),"Fix")))</f>
        <v>0</v>
      </c>
      <c r="E85" s="4">
        <f>IF(OR(INDEX($V$2:$V$1001,MATCH(ROWS($U$2:U85),$U$2:$U$1001,0),1)&gt;=100000,INDEX($AB$1005:$AQ$1005,1,MATCH(COLUMNS($AB$1006:AE1006),$AB$1006:$AQ$1006,0))&gt;=100000), " ",IF(INDEX($AB$2:$AQ$1001,MATCH(ROWS($U$2:U85),$U$2:$U$1001,0),MATCH(COLUMNS($AB$1006:AE1006),$AB$1006:$AQ$1006,0)), HYPERLINK("#",""), HYPERLINK(CONCATENATE("#metadata!", ADDRESS(INDEX($W$2:$W$1001,MATCH(ROWS($U$2:U85),$U$2:$U$1001,0),0), INDEX($AB$1004:$AQ$1004,1,MATCH(COLUMNS($AB$1006:AE1006),$AB$1006:$AQ$1006,0)))),"Fix")))</f>
        <v>0</v>
      </c>
      <c r="F85" s="4">
        <f>IF(OR(INDEX($V$2:$V$1001,MATCH(ROWS($U$2:U85),$U$2:$U$1001,0),1)&gt;=100000,INDEX($AB$1005:$AQ$1005,1,MATCH(COLUMNS($AB$1006:AF1006),$AB$1006:$AQ$1006,0))&gt;=100000), " ",IF(INDEX($AB$2:$AQ$1001,MATCH(ROWS($U$2:U85),$U$2:$U$1001,0),MATCH(COLUMNS($AB$1006:AF1006),$AB$1006:$AQ$1006,0)), HYPERLINK("#",""), HYPERLINK(CONCATENATE("#metadata!", ADDRESS(INDEX($W$2:$W$1001,MATCH(ROWS($U$2:U85),$U$2:$U$1001,0),0), INDEX($AB$1004:$AQ$1004,1,MATCH(COLUMNS($AB$1006:AF1006),$AB$1006:$AQ$1006,0)))),"Fix")))</f>
        <v>0</v>
      </c>
      <c r="G85" s="4">
        <f>IF(OR(INDEX($V$2:$V$1001,MATCH(ROWS($U$2:U85),$U$2:$U$1001,0),1)&gt;=100000,INDEX($AB$1005:$AQ$1005,1,MATCH(COLUMNS($AB$1006:AG1006),$AB$1006:$AQ$1006,0))&gt;=100000), " ",IF(INDEX($AB$2:$AQ$1001,MATCH(ROWS($U$2:U85),$U$2:$U$1001,0),MATCH(COLUMNS($AB$1006:AG1006),$AB$1006:$AQ$1006,0)), HYPERLINK("#",""), HYPERLINK(CONCATENATE("#metadata!", ADDRESS(INDEX($W$2:$W$1001,MATCH(ROWS($U$2:U85),$U$2:$U$1001,0),0), INDEX($AB$1004:$AQ$1004,1,MATCH(COLUMNS($AB$1006:AG1006),$AB$1006:$AQ$1006,0)))),"Fix")))</f>
        <v>0</v>
      </c>
      <c r="H85" s="4">
        <f>IF(OR(INDEX($V$2:$V$1001,MATCH(ROWS($U$2:U85),$U$2:$U$1001,0),1)&gt;=100000,INDEX($AB$1005:$AQ$1005,1,MATCH(COLUMNS($AB$1006:AH1006),$AB$1006:$AQ$1006,0))&gt;=100000), " ",IF(INDEX($AB$2:$AQ$1001,MATCH(ROWS($U$2:U85),$U$2:$U$1001,0),MATCH(COLUMNS($AB$1006:AH1006),$AB$1006:$AQ$1006,0)), HYPERLINK("#",""), HYPERLINK(CONCATENATE("#metadata!", ADDRESS(INDEX($W$2:$W$1001,MATCH(ROWS($U$2:U85),$U$2:$U$1001,0),0), INDEX($AB$1004:$AQ$1004,1,MATCH(COLUMNS($AB$1006:AH1006),$AB$1006:$AQ$1006,0)))),"Fix")))</f>
        <v>0</v>
      </c>
      <c r="I85" s="4">
        <f>IF(OR(INDEX($V$2:$V$1001,MATCH(ROWS($U$2:U85),$U$2:$U$1001,0),1)&gt;=100000,INDEX($AB$1005:$AQ$1005,1,MATCH(COLUMNS($AB$1006:AI1006),$AB$1006:$AQ$1006,0))&gt;=100000), " ",IF(INDEX($AB$2:$AQ$1001,MATCH(ROWS($U$2:U85),$U$2:$U$1001,0),MATCH(COLUMNS($AB$1006:AI1006),$AB$1006:$AQ$1006,0)), HYPERLINK("#",""), HYPERLINK(CONCATENATE("#metadata!", ADDRESS(INDEX($W$2:$W$1001,MATCH(ROWS($U$2:U85),$U$2:$U$1001,0),0), INDEX($AB$1004:$AQ$1004,1,MATCH(COLUMNS($AB$1006:AI1006),$AB$1006:$AQ$1006,0)))),"Fix")))</f>
        <v>0</v>
      </c>
      <c r="J85" s="4">
        <f>IF(OR(INDEX($V$2:$V$1001,MATCH(ROWS($U$2:U85),$U$2:$U$1001,0),1)&gt;=100000,INDEX($AB$1005:$AQ$1005,1,MATCH(COLUMNS($AB$1006:AJ1006),$AB$1006:$AQ$1006,0))&gt;=100000), " ",IF(INDEX($AB$2:$AQ$1001,MATCH(ROWS($U$2:U85),$U$2:$U$1001,0),MATCH(COLUMNS($AB$1006:AJ1006),$AB$1006:$AQ$1006,0)), HYPERLINK("#",""), HYPERLINK(CONCATENATE("#metadata!", ADDRESS(INDEX($W$2:$W$1001,MATCH(ROWS($U$2:U85),$U$2:$U$1001,0),0), INDEX($AB$1004:$AQ$1004,1,MATCH(COLUMNS($AB$1006:AJ1006),$AB$1006:$AQ$1006,0)))),"Fix")))</f>
        <v>0</v>
      </c>
      <c r="K85" s="4">
        <f>IF(OR(INDEX($V$2:$V$1001,MATCH(ROWS($U$2:U85),$U$2:$U$1001,0),1)&gt;=100000,INDEX($AB$1005:$AQ$1005,1,MATCH(COLUMNS($AB$1006:AK1006),$AB$1006:$AQ$1006,0))&gt;=100000), " ",IF(INDEX($AB$2:$AQ$1001,MATCH(ROWS($U$2:U85),$U$2:$U$1001,0),MATCH(COLUMNS($AB$1006:AK1006),$AB$1006:$AQ$1006,0)), HYPERLINK("#",""), HYPERLINK(CONCATENATE("#metadata!", ADDRESS(INDEX($W$2:$W$1001,MATCH(ROWS($U$2:U85),$U$2:$U$1001,0),0), INDEX($AB$1004:$AQ$1004,1,MATCH(COLUMNS($AB$1006:AK1006),$AB$1006:$AQ$1006,0)))),"Fix")))</f>
        <v>0</v>
      </c>
      <c r="L85" s="4">
        <f>IF(OR(INDEX($V$2:$V$1001,MATCH(ROWS($U$2:U85),$U$2:$U$1001,0),1)&gt;=100000,INDEX($AB$1005:$AQ$1005,1,MATCH(COLUMNS($AB$1006:AL1006),$AB$1006:$AQ$1006,0))&gt;=100000), " ",IF(INDEX($AB$2:$AQ$1001,MATCH(ROWS($U$2:U85),$U$2:$U$1001,0),MATCH(COLUMNS($AB$1006:AL1006),$AB$1006:$AQ$1006,0)), HYPERLINK("#",""), HYPERLINK(CONCATENATE("#metadata!", ADDRESS(INDEX($W$2:$W$1001,MATCH(ROWS($U$2:U85),$U$2:$U$1001,0),0), INDEX($AB$1004:$AQ$1004,1,MATCH(COLUMNS($AB$1006:AL1006),$AB$1006:$AQ$1006,0)))),"Fix")))</f>
        <v>0</v>
      </c>
      <c r="M85" s="4">
        <f>IF(OR(INDEX($V$2:$V$1001,MATCH(ROWS($U$2:U85),$U$2:$U$1001,0),1)&gt;=100000,INDEX($AB$1005:$AQ$1005,1,MATCH(COLUMNS($AB$1006:AM1006),$AB$1006:$AQ$1006,0))&gt;=100000), " ",IF(INDEX($AB$2:$AQ$1001,MATCH(ROWS($U$2:U85),$U$2:$U$1001,0),MATCH(COLUMNS($AB$1006:AM1006),$AB$1006:$AQ$1006,0)), HYPERLINK("#",""), HYPERLINK(CONCATENATE("#metadata!", ADDRESS(INDEX($W$2:$W$1001,MATCH(ROWS($U$2:U85),$U$2:$U$1001,0),0), INDEX($AB$1004:$AQ$1004,1,MATCH(COLUMNS($AB$1006:AM1006),$AB$1006:$AQ$1006,0)))),"Fix")))</f>
        <v>0</v>
      </c>
      <c r="N85" s="4">
        <f>IF(OR(INDEX($V$2:$V$1001,MATCH(ROWS($U$2:U85),$U$2:$U$1001,0),1)&gt;=100000,INDEX($AB$1005:$AQ$1005,1,MATCH(COLUMNS($AB$1006:AN1006),$AB$1006:$AQ$1006,0))&gt;=100000), " ",IF(INDEX($AB$2:$AQ$1001,MATCH(ROWS($U$2:U85),$U$2:$U$1001,0),MATCH(COLUMNS($AB$1006:AN1006),$AB$1006:$AQ$1006,0)), HYPERLINK("#",""), HYPERLINK(CONCATENATE("#metadata!", ADDRESS(INDEX($W$2:$W$1001,MATCH(ROWS($U$2:U85),$U$2:$U$1001,0),0), INDEX($AB$1004:$AQ$1004,1,MATCH(COLUMNS($AB$1006:AN1006),$AB$1006:$AQ$1006,0)))),"Fix")))</f>
        <v>0</v>
      </c>
      <c r="O85" s="4">
        <f>IF(OR(INDEX($V$2:$V$1001,MATCH(ROWS($U$2:U85),$U$2:$U$1001,0),1)&gt;=100000,INDEX($AB$1005:$AQ$1005,1,MATCH(COLUMNS($AB$1006:AO1006),$AB$1006:$AQ$1006,0))&gt;=100000), " ",IF(INDEX($AB$2:$AQ$1001,MATCH(ROWS($U$2:U85),$U$2:$U$1001,0),MATCH(COLUMNS($AB$1006:AO1006),$AB$1006:$AQ$1006,0)), HYPERLINK("#",""), HYPERLINK(CONCATENATE("#metadata!", ADDRESS(INDEX($W$2:$W$1001,MATCH(ROWS($U$2:U85),$U$2:$U$1001,0),0), INDEX($AB$1004:$AQ$1004,1,MATCH(COLUMNS($AB$1006:AO1006),$AB$1006:$AQ$1006,0)))),"Fix")))</f>
        <v>0</v>
      </c>
      <c r="P85" s="4">
        <f>IF(OR(INDEX($V$2:$V$1001,MATCH(ROWS($U$2:U85),$U$2:$U$1001,0),1)&gt;=100000,INDEX($AB$1005:$AQ$1005,1,MATCH(COLUMNS($AB$1006:AP1006),$AB$1006:$AQ$1006,0))&gt;=100000), " ",IF(INDEX($AB$2:$AQ$1001,MATCH(ROWS($U$2:U85),$U$2:$U$1001,0),MATCH(COLUMNS($AB$1006:AP1006),$AB$1006:$AQ$1006,0)), HYPERLINK("#",""), HYPERLINK(CONCATENATE("#metadata!", ADDRESS(INDEX($W$2:$W$1001,MATCH(ROWS($U$2:U85),$U$2:$U$1001,0),0), INDEX($AB$1004:$AQ$1004,1,MATCH(COLUMNS($AB$1006:AP1006),$AB$1006:$AQ$1006,0)))),"Fix")))</f>
        <v>0</v>
      </c>
      <c r="Q85" s="4">
        <f>IF(OR(INDEX($V$2:$V$1001,MATCH(ROWS($U$2:U85),$U$2:$U$1001,0),1)&gt;=100000,INDEX($AB$1005:$AQ$1005,1,MATCH(COLUMNS($AB$1006:AQ1006),$AB$1006:$AQ$1006,0))&gt;=100000), " ",IF(INDEX($AB$2:$AQ$1001,MATCH(ROWS($U$2:U85),$U$2:$U$1001,0),MATCH(COLUMNS($AB$1006:AQ1006),$AB$1006:$AQ$1006,0)), HYPERLINK("#",""), HYPERLINK(CONCATENATE("#metadata!", ADDRESS(INDEX($W$2:$W$1001,MATCH(ROWS($U$2:U85),$U$2:$U$1001,0),0), INDEX($AB$1004:$AQ$1004,1,MATCH(COLUMNS($AB$1006:AQ1006),$AB$1006:$AQ$1006,0)))),"Fix")))</f>
        <v>0</v>
      </c>
      <c r="U85">
        <v>0</v>
      </c>
      <c r="V85">
        <v>0</v>
      </c>
      <c r="W85">
        <v>0</v>
      </c>
      <c r="X85">
        <f>IF(Y85,TRUE,AND(AB85:AQ85))</f>
        <v>0</v>
      </c>
      <c r="Y85">
        <f>COUNTBLANK(metadata!B85:Q85)=COLUMNS(metadata!B85:Q85)</f>
        <v>0</v>
      </c>
      <c r="Z85">
        <v>0</v>
      </c>
      <c r="AB85">
        <f>AND(IF(metadata!B85="",FALSE,TRUE),COUNTIF(metadata!B:B, metadata!B85) = 1,NOT(ISERROR(SUMPRODUCT(SEARCH(MID(metadata!B85,ROW(INDIRECT("1:"&amp;LEN(metadata!B85))), 1),"0123456789abcdefghijklmnopqrstuvwxyzABCDEFGHIJKLMNOPQRSTUVWXYZ.")))))</f>
        <v>0</v>
      </c>
      <c r="AC85">
        <f>OR(AND(IF(metadata!C85="",FALSE,TRUE),OR(exact(metadata!C85,"missing: not collected"),exact(metadata!C85,"missing: not provided"),exact(metadata!C85,"missing: restricted access"))),AND(IF(metadata!C85="",FALSE,TRUE),AND(AND(IFERROR(INT(LEFT(metadata!C85,4))&gt;1900,FALSE),IFERROR(INT(LEFT(metadata!C85,4))&lt;=YEAR(NOW()),FALSE)), OR(MID(metadata!C85,5,1)="", AND(AND(MID(metadata!C85,5,1)="-",IFERROR(INT(MID(metadata!C85,6,1))&gt;=0,FALSE),IFERROR(INT(MID(metadata!C85,6,1))&lt;=1,FALSE),NOT(MID(metadata!C85,7,1)=""),IFERROR(INT(MID(metadata!C85,6,2))&gt;=1,FALSE),IFERROR(INT(MID(metadata!C85,6,2))&lt;=12,FALSE)), OR(MID(metadata!C85,8,1)="", AND(AND(MID(metadata!C85,8,1)="-",IFERROR(INT(MID(metadata!C85,9,1))&gt;=0,FALSE),IFERROR(INT(MID(metadata!C85,9,1))&lt;=3,FALSE),NOT(MID(metadata!C85,10,1)=""),IFERROR(INT(MID(metadata!C85,9,2))&gt;=1,FALSE),IFERROR(INT(MID(metadata!C85,9,2))&lt;=31,FALSE)), OR(MID(metadata!C85,11,1)="", AND(AND(MID(metadata!C85,11,1)=" ",IFERROR(INT(MID(metadata!C85,12,1))&gt;=0,FALSE),IFERROR(INT(MID(metadata!C85,12,1))&lt;=2,FALSE),NOT(MID(metadata!C85,13,1)=""),IFERROR(INT(MID(metadata!C85,12,2))&gt;=0,FALSE),IFERROR(INT(MID(metadata!C85,12,2))&lt;=23,FALSE)), OR(MID(metadata!C85,14,1)="", AND(AND(MID(metadata!C85,14,1)=":",IFERROR(INT(MID(metadata!C85,15,1))&gt;=0,FALSE),IFERROR(INT(MID(metadata!C85,15,1))&lt;=5,FALSE),NOT(MID(metadata!C85,16,1)=""),IFERROR(INT(MID(metadata!C85,15,2))&gt;=0,FALSE),IFERROR(INT(MID(metadata!C85,15,2))&lt;=59,FALSE)), OR(MID(metadata!C85,17,1)="", AND(AND(MID(metadata!C85,17,1)=":",IFERROR(INT(MID(metadata!C85,18,1))&gt;=0,FALSE),IFERROR(INT(MID(metadata!C85,18,1))&lt;=5,FALSE),NOT(MID(metadata!C85,19,1)=""),IFERROR(INT(MID(metadata!C85,18,2))&gt;=0,FALSE),IFERROR(INT(MID(metadata!C85,18,2))&lt;=59,FALSE)), LEN(metadata!C85)&lt;=19)))))))))))))</f>
        <v>0</v>
      </c>
      <c r="AD85">
        <f>IF(metadata!D85="",FALSE,TRUE)</f>
        <v>0</v>
      </c>
      <c r="AE85">
        <f>OR(AND(IF(metadata!E85="",FALSE,TRUE),OR(exact(metadata!E85,"missing: not collected"),exact(metadata!E85,"missing: not provided"))),AND(IF(metadata!E85="",FALSE,TRUE),OR(exact(metadata!E85,"TRUE"),exact(metadata!E85,"FALSE"))))</f>
        <v>0</v>
      </c>
      <c r="AF85">
        <f>IF(metadata!F85="",FALSE,TRUE)</f>
        <v>0</v>
      </c>
      <c r="AG85">
        <f>IF(metadata!G85="",FALSE,TRUE)</f>
        <v>0</v>
      </c>
      <c r="AH85">
        <f>IF(metadata!H85="",FALSE,TRUE)</f>
        <v>0</v>
      </c>
      <c r="AI85">
        <f>OR(AND(IF(metadata!I85="",FALSE,TRUE),OR(exact(metadata!I85,"missing: not collected"),exact(metadata!I85,"missing: not provided"),exact(metadata!I85,"missing: restricted access"))),AND(IF(metadata!I85="",FALSE,TRUE),OR(exact(metadata!I85,"air"),exact(metadata!I85,"built environment"),exact(metadata!I85,"host-associated"),exact(metadata!I85,"human-associated"),exact(metadata!I85,"human-skin"),exact(metadata!I85,"human-oral"),exact(metadata!I85,"human-gut"),exact(metadata!I85,"human-vaginal"),exact(metadata!I85,"microbial mat/biofilm"),exact(metadata!I85,"misc environment"),exact(metadata!I85,"plant-associated"),exact(metadata!I85,"sediment"),exact(metadata!I85,"soil"),exact(metadata!I85,"wastewater/sludge"),exact(metadata!I85,"water"))))</f>
        <v>0</v>
      </c>
      <c r="AJ85">
        <f>IF(metadata!J85="",FALSE,TRUE)</f>
        <v>0</v>
      </c>
      <c r="AK85">
        <f>OR(AND(IF(metadata!K85="",FALSE,TRUE),OR(exact(metadata!K85,"missing: not collected"),exact(metadata!K85,"missing: not provided"),exact(metadata!K85,"missing: restricted access"))),AND(IF(metadata!K85="",FALSE,ISNUMBER(VALUE(metadata!K85))),metadata!K85&gt;=-90.00,metadata!K85&lt;=90.00))</f>
        <v>0</v>
      </c>
      <c r="AL85">
        <f>OR(AND(IF(metadata!L85="",FALSE,TRUE),OR(exact(metadata!L85,"missing: not collected"),exact(metadata!L85,"missing: not provided"),exact(metadata!L85,"missing: restricted access"))),AND(IF(metadata!L85="",FALSE,ISNUMBER(VALUE(metadata!L85))),metadata!L85&gt;=-180.00,metadata!L85&lt;=180.00))</f>
        <v>0</v>
      </c>
      <c r="AM85">
        <f>IF(metadata!M85="",FALSE,TRUE)</f>
        <v>0</v>
      </c>
      <c r="AN85">
        <f>OR(AND(IF(metadata!N85="",FALSE,TRUE),OR(exact(metadata!N85,"missing: not collected"),exact(metadata!N85,"missing: not provided"),exact(metadata!N85,"missing: restricted access"))),AND(IF(metadata!N85="",FALSE,TRUE),OR(exact(metadata!N85,"TRUE"),exact(metadata!N85,"FALSE"))))</f>
        <v>0</v>
      </c>
      <c r="AO85">
        <f>IF(metadata!O85="",FALSE,TRUE)</f>
        <v>0</v>
      </c>
      <c r="AP85">
        <f>OR(AND(IF(metadata!P85="",FALSE,TRUE),OR(exact(metadata!P85,"missing: not collected"),exact(metadata!P85,"missing: not provided"))),AND(IF(metadata!P85="",FALSE,IF(ISERROR(INT(metadata!P85)),FALSE,INT(metadata!P85)=metadata!P85)),metadata!P85&gt;0))</f>
        <v>0</v>
      </c>
      <c r="AQ85">
        <f>IF(metadata!Q85="",FALSE,TRUE)</f>
        <v>0</v>
      </c>
    </row>
    <row r="86" spans="1:43">
      <c r="A86" s="5">
        <f>IF(B86=" "," ",HYPERLINK(CONCATENATE("#metadata!",ADDRESS(INDEX($W$2:$W$1001,MATCH(ROWS($U$2:U86),$U$2:$U$1001,0),0),1)),INDEX($Z$2:$Z$1001,MATCH(ROWS($U$2:U86),$U$2:$U$1001,0),0)))</f>
        <v>0</v>
      </c>
      <c r="B86" s="4">
        <f>IF(OR(INDEX($V$2:$V$1001,MATCH(ROWS($U$2:U86),$U$2:$U$1001,0),1)&gt;=100000,INDEX($AB$1005:$AQ$1005,1,MATCH(COLUMNS($AB$1006:AB1006),$AB$1006:$AQ$1006,0))&gt;=100000), " ",IF(INDEX($AB$2:$AQ$1001,MATCH(ROWS($U$2:U86),$U$2:$U$1001,0),MATCH(COLUMNS($AB$1006:AB1006),$AB$1006:$AQ$1006,0)), HYPERLINK("#",""), HYPERLINK(CONCATENATE("#metadata!", ADDRESS(INDEX($W$2:$W$1001,MATCH(ROWS($U$2:U86),$U$2:$U$1001,0),0), INDEX($AB$1004:$AQ$1004,1,MATCH(COLUMNS($AB$1006:AB1006),$AB$1006:$AQ$1006,0)))),"Fix")))</f>
        <v>0</v>
      </c>
      <c r="C86" s="4">
        <f>IF(OR(INDEX($V$2:$V$1001,MATCH(ROWS($U$2:U86),$U$2:$U$1001,0),1)&gt;=100000,INDEX($AB$1005:$AQ$1005,1,MATCH(COLUMNS($AB$1006:AC1006),$AB$1006:$AQ$1006,0))&gt;=100000), " ",IF(INDEX($AB$2:$AQ$1001,MATCH(ROWS($U$2:U86),$U$2:$U$1001,0),MATCH(COLUMNS($AB$1006:AC1006),$AB$1006:$AQ$1006,0)), HYPERLINK("#",""), HYPERLINK(CONCATENATE("#metadata!", ADDRESS(INDEX($W$2:$W$1001,MATCH(ROWS($U$2:U86),$U$2:$U$1001,0),0), INDEX($AB$1004:$AQ$1004,1,MATCH(COLUMNS($AB$1006:AC1006),$AB$1006:$AQ$1006,0)))),"Fix")))</f>
        <v>0</v>
      </c>
      <c r="D86" s="4">
        <f>IF(OR(INDEX($V$2:$V$1001,MATCH(ROWS($U$2:U86),$U$2:$U$1001,0),1)&gt;=100000,INDEX($AB$1005:$AQ$1005,1,MATCH(COLUMNS($AB$1006:AD1006),$AB$1006:$AQ$1006,0))&gt;=100000), " ",IF(INDEX($AB$2:$AQ$1001,MATCH(ROWS($U$2:U86),$U$2:$U$1001,0),MATCH(COLUMNS($AB$1006:AD1006),$AB$1006:$AQ$1006,0)), HYPERLINK("#",""), HYPERLINK(CONCATENATE("#metadata!", ADDRESS(INDEX($W$2:$W$1001,MATCH(ROWS($U$2:U86),$U$2:$U$1001,0),0), INDEX($AB$1004:$AQ$1004,1,MATCH(COLUMNS($AB$1006:AD1006),$AB$1006:$AQ$1006,0)))),"Fix")))</f>
        <v>0</v>
      </c>
      <c r="E86" s="4">
        <f>IF(OR(INDEX($V$2:$V$1001,MATCH(ROWS($U$2:U86),$U$2:$U$1001,0),1)&gt;=100000,INDEX($AB$1005:$AQ$1005,1,MATCH(COLUMNS($AB$1006:AE1006),$AB$1006:$AQ$1006,0))&gt;=100000), " ",IF(INDEX($AB$2:$AQ$1001,MATCH(ROWS($U$2:U86),$U$2:$U$1001,0),MATCH(COLUMNS($AB$1006:AE1006),$AB$1006:$AQ$1006,0)), HYPERLINK("#",""), HYPERLINK(CONCATENATE("#metadata!", ADDRESS(INDEX($W$2:$W$1001,MATCH(ROWS($U$2:U86),$U$2:$U$1001,0),0), INDEX($AB$1004:$AQ$1004,1,MATCH(COLUMNS($AB$1006:AE1006),$AB$1006:$AQ$1006,0)))),"Fix")))</f>
        <v>0</v>
      </c>
      <c r="F86" s="4">
        <f>IF(OR(INDEX($V$2:$V$1001,MATCH(ROWS($U$2:U86),$U$2:$U$1001,0),1)&gt;=100000,INDEX($AB$1005:$AQ$1005,1,MATCH(COLUMNS($AB$1006:AF1006),$AB$1006:$AQ$1006,0))&gt;=100000), " ",IF(INDEX($AB$2:$AQ$1001,MATCH(ROWS($U$2:U86),$U$2:$U$1001,0),MATCH(COLUMNS($AB$1006:AF1006),$AB$1006:$AQ$1006,0)), HYPERLINK("#",""), HYPERLINK(CONCATENATE("#metadata!", ADDRESS(INDEX($W$2:$W$1001,MATCH(ROWS($U$2:U86),$U$2:$U$1001,0),0), INDEX($AB$1004:$AQ$1004,1,MATCH(COLUMNS($AB$1006:AF1006),$AB$1006:$AQ$1006,0)))),"Fix")))</f>
        <v>0</v>
      </c>
      <c r="G86" s="4">
        <f>IF(OR(INDEX($V$2:$V$1001,MATCH(ROWS($U$2:U86),$U$2:$U$1001,0),1)&gt;=100000,INDEX($AB$1005:$AQ$1005,1,MATCH(COLUMNS($AB$1006:AG1006),$AB$1006:$AQ$1006,0))&gt;=100000), " ",IF(INDEX($AB$2:$AQ$1001,MATCH(ROWS($U$2:U86),$U$2:$U$1001,0),MATCH(COLUMNS($AB$1006:AG1006),$AB$1006:$AQ$1006,0)), HYPERLINK("#",""), HYPERLINK(CONCATENATE("#metadata!", ADDRESS(INDEX($W$2:$W$1001,MATCH(ROWS($U$2:U86),$U$2:$U$1001,0),0), INDEX($AB$1004:$AQ$1004,1,MATCH(COLUMNS($AB$1006:AG1006),$AB$1006:$AQ$1006,0)))),"Fix")))</f>
        <v>0</v>
      </c>
      <c r="H86" s="4">
        <f>IF(OR(INDEX($V$2:$V$1001,MATCH(ROWS($U$2:U86),$U$2:$U$1001,0),1)&gt;=100000,INDEX($AB$1005:$AQ$1005,1,MATCH(COLUMNS($AB$1006:AH1006),$AB$1006:$AQ$1006,0))&gt;=100000), " ",IF(INDEX($AB$2:$AQ$1001,MATCH(ROWS($U$2:U86),$U$2:$U$1001,0),MATCH(COLUMNS($AB$1006:AH1006),$AB$1006:$AQ$1006,0)), HYPERLINK("#",""), HYPERLINK(CONCATENATE("#metadata!", ADDRESS(INDEX($W$2:$W$1001,MATCH(ROWS($U$2:U86),$U$2:$U$1001,0),0), INDEX($AB$1004:$AQ$1004,1,MATCH(COLUMNS($AB$1006:AH1006),$AB$1006:$AQ$1006,0)))),"Fix")))</f>
        <v>0</v>
      </c>
      <c r="I86" s="4">
        <f>IF(OR(INDEX($V$2:$V$1001,MATCH(ROWS($U$2:U86),$U$2:$U$1001,0),1)&gt;=100000,INDEX($AB$1005:$AQ$1005,1,MATCH(COLUMNS($AB$1006:AI1006),$AB$1006:$AQ$1006,0))&gt;=100000), " ",IF(INDEX($AB$2:$AQ$1001,MATCH(ROWS($U$2:U86),$U$2:$U$1001,0),MATCH(COLUMNS($AB$1006:AI1006),$AB$1006:$AQ$1006,0)), HYPERLINK("#",""), HYPERLINK(CONCATENATE("#metadata!", ADDRESS(INDEX($W$2:$W$1001,MATCH(ROWS($U$2:U86),$U$2:$U$1001,0),0), INDEX($AB$1004:$AQ$1004,1,MATCH(COLUMNS($AB$1006:AI1006),$AB$1006:$AQ$1006,0)))),"Fix")))</f>
        <v>0</v>
      </c>
      <c r="J86" s="4">
        <f>IF(OR(INDEX($V$2:$V$1001,MATCH(ROWS($U$2:U86),$U$2:$U$1001,0),1)&gt;=100000,INDEX($AB$1005:$AQ$1005,1,MATCH(COLUMNS($AB$1006:AJ1006),$AB$1006:$AQ$1006,0))&gt;=100000), " ",IF(INDEX($AB$2:$AQ$1001,MATCH(ROWS($U$2:U86),$U$2:$U$1001,0),MATCH(COLUMNS($AB$1006:AJ1006),$AB$1006:$AQ$1006,0)), HYPERLINK("#",""), HYPERLINK(CONCATENATE("#metadata!", ADDRESS(INDEX($W$2:$W$1001,MATCH(ROWS($U$2:U86),$U$2:$U$1001,0),0), INDEX($AB$1004:$AQ$1004,1,MATCH(COLUMNS($AB$1006:AJ1006),$AB$1006:$AQ$1006,0)))),"Fix")))</f>
        <v>0</v>
      </c>
      <c r="K86" s="4">
        <f>IF(OR(INDEX($V$2:$V$1001,MATCH(ROWS($U$2:U86),$U$2:$U$1001,0),1)&gt;=100000,INDEX($AB$1005:$AQ$1005,1,MATCH(COLUMNS($AB$1006:AK1006),$AB$1006:$AQ$1006,0))&gt;=100000), " ",IF(INDEX($AB$2:$AQ$1001,MATCH(ROWS($U$2:U86),$U$2:$U$1001,0),MATCH(COLUMNS($AB$1006:AK1006),$AB$1006:$AQ$1006,0)), HYPERLINK("#",""), HYPERLINK(CONCATENATE("#metadata!", ADDRESS(INDEX($W$2:$W$1001,MATCH(ROWS($U$2:U86),$U$2:$U$1001,0),0), INDEX($AB$1004:$AQ$1004,1,MATCH(COLUMNS($AB$1006:AK1006),$AB$1006:$AQ$1006,0)))),"Fix")))</f>
        <v>0</v>
      </c>
      <c r="L86" s="4">
        <f>IF(OR(INDEX($V$2:$V$1001,MATCH(ROWS($U$2:U86),$U$2:$U$1001,0),1)&gt;=100000,INDEX($AB$1005:$AQ$1005,1,MATCH(COLUMNS($AB$1006:AL1006),$AB$1006:$AQ$1006,0))&gt;=100000), " ",IF(INDEX($AB$2:$AQ$1001,MATCH(ROWS($U$2:U86),$U$2:$U$1001,0),MATCH(COLUMNS($AB$1006:AL1006),$AB$1006:$AQ$1006,0)), HYPERLINK("#",""), HYPERLINK(CONCATENATE("#metadata!", ADDRESS(INDEX($W$2:$W$1001,MATCH(ROWS($U$2:U86),$U$2:$U$1001,0),0), INDEX($AB$1004:$AQ$1004,1,MATCH(COLUMNS($AB$1006:AL1006),$AB$1006:$AQ$1006,0)))),"Fix")))</f>
        <v>0</v>
      </c>
      <c r="M86" s="4">
        <f>IF(OR(INDEX($V$2:$V$1001,MATCH(ROWS($U$2:U86),$U$2:$U$1001,0),1)&gt;=100000,INDEX($AB$1005:$AQ$1005,1,MATCH(COLUMNS($AB$1006:AM1006),$AB$1006:$AQ$1006,0))&gt;=100000), " ",IF(INDEX($AB$2:$AQ$1001,MATCH(ROWS($U$2:U86),$U$2:$U$1001,0),MATCH(COLUMNS($AB$1006:AM1006),$AB$1006:$AQ$1006,0)), HYPERLINK("#",""), HYPERLINK(CONCATENATE("#metadata!", ADDRESS(INDEX($W$2:$W$1001,MATCH(ROWS($U$2:U86),$U$2:$U$1001,0),0), INDEX($AB$1004:$AQ$1004,1,MATCH(COLUMNS($AB$1006:AM1006),$AB$1006:$AQ$1006,0)))),"Fix")))</f>
        <v>0</v>
      </c>
      <c r="N86" s="4">
        <f>IF(OR(INDEX($V$2:$V$1001,MATCH(ROWS($U$2:U86),$U$2:$U$1001,0),1)&gt;=100000,INDEX($AB$1005:$AQ$1005,1,MATCH(COLUMNS($AB$1006:AN1006),$AB$1006:$AQ$1006,0))&gt;=100000), " ",IF(INDEX($AB$2:$AQ$1001,MATCH(ROWS($U$2:U86),$U$2:$U$1001,0),MATCH(COLUMNS($AB$1006:AN1006),$AB$1006:$AQ$1006,0)), HYPERLINK("#",""), HYPERLINK(CONCATENATE("#metadata!", ADDRESS(INDEX($W$2:$W$1001,MATCH(ROWS($U$2:U86),$U$2:$U$1001,0),0), INDEX($AB$1004:$AQ$1004,1,MATCH(COLUMNS($AB$1006:AN1006),$AB$1006:$AQ$1006,0)))),"Fix")))</f>
        <v>0</v>
      </c>
      <c r="O86" s="4">
        <f>IF(OR(INDEX($V$2:$V$1001,MATCH(ROWS($U$2:U86),$U$2:$U$1001,0),1)&gt;=100000,INDEX($AB$1005:$AQ$1005,1,MATCH(COLUMNS($AB$1006:AO1006),$AB$1006:$AQ$1006,0))&gt;=100000), " ",IF(INDEX($AB$2:$AQ$1001,MATCH(ROWS($U$2:U86),$U$2:$U$1001,0),MATCH(COLUMNS($AB$1006:AO1006),$AB$1006:$AQ$1006,0)), HYPERLINK("#",""), HYPERLINK(CONCATENATE("#metadata!", ADDRESS(INDEX($W$2:$W$1001,MATCH(ROWS($U$2:U86),$U$2:$U$1001,0),0), INDEX($AB$1004:$AQ$1004,1,MATCH(COLUMNS($AB$1006:AO1006),$AB$1006:$AQ$1006,0)))),"Fix")))</f>
        <v>0</v>
      </c>
      <c r="P86" s="4">
        <f>IF(OR(INDEX($V$2:$V$1001,MATCH(ROWS($U$2:U86),$U$2:$U$1001,0),1)&gt;=100000,INDEX($AB$1005:$AQ$1005,1,MATCH(COLUMNS($AB$1006:AP1006),$AB$1006:$AQ$1006,0))&gt;=100000), " ",IF(INDEX($AB$2:$AQ$1001,MATCH(ROWS($U$2:U86),$U$2:$U$1001,0),MATCH(COLUMNS($AB$1006:AP1006),$AB$1006:$AQ$1006,0)), HYPERLINK("#",""), HYPERLINK(CONCATENATE("#metadata!", ADDRESS(INDEX($W$2:$W$1001,MATCH(ROWS($U$2:U86),$U$2:$U$1001,0),0), INDEX($AB$1004:$AQ$1004,1,MATCH(COLUMNS($AB$1006:AP1006),$AB$1006:$AQ$1006,0)))),"Fix")))</f>
        <v>0</v>
      </c>
      <c r="Q86" s="4">
        <f>IF(OR(INDEX($V$2:$V$1001,MATCH(ROWS($U$2:U86),$U$2:$U$1001,0),1)&gt;=100000,INDEX($AB$1005:$AQ$1005,1,MATCH(COLUMNS($AB$1006:AQ1006),$AB$1006:$AQ$1006,0))&gt;=100000), " ",IF(INDEX($AB$2:$AQ$1001,MATCH(ROWS($U$2:U86),$U$2:$U$1001,0),MATCH(COLUMNS($AB$1006:AQ1006),$AB$1006:$AQ$1006,0)), HYPERLINK("#",""), HYPERLINK(CONCATENATE("#metadata!", ADDRESS(INDEX($W$2:$W$1001,MATCH(ROWS($U$2:U86),$U$2:$U$1001,0),0), INDEX($AB$1004:$AQ$1004,1,MATCH(COLUMNS($AB$1006:AQ1006),$AB$1006:$AQ$1006,0)))),"Fix")))</f>
        <v>0</v>
      </c>
      <c r="U86">
        <v>0</v>
      </c>
      <c r="V86">
        <v>0</v>
      </c>
      <c r="W86">
        <v>0</v>
      </c>
      <c r="X86">
        <f>IF(Y86,TRUE,AND(AB86:AQ86))</f>
        <v>0</v>
      </c>
      <c r="Y86">
        <f>COUNTBLANK(metadata!B86:Q86)=COLUMNS(metadata!B86:Q86)</f>
        <v>0</v>
      </c>
      <c r="Z86">
        <v>0</v>
      </c>
      <c r="AB86">
        <f>AND(IF(metadata!B86="",FALSE,TRUE),COUNTIF(metadata!B:B, metadata!B86) = 1,NOT(ISERROR(SUMPRODUCT(SEARCH(MID(metadata!B86,ROW(INDIRECT("1:"&amp;LEN(metadata!B86))), 1),"0123456789abcdefghijklmnopqrstuvwxyzABCDEFGHIJKLMNOPQRSTUVWXYZ.")))))</f>
        <v>0</v>
      </c>
      <c r="AC86">
        <f>OR(AND(IF(metadata!C86="",FALSE,TRUE),OR(exact(metadata!C86,"missing: not collected"),exact(metadata!C86,"missing: not provided"),exact(metadata!C86,"missing: restricted access"))),AND(IF(metadata!C86="",FALSE,TRUE),AND(AND(IFERROR(INT(LEFT(metadata!C86,4))&gt;1900,FALSE),IFERROR(INT(LEFT(metadata!C86,4))&lt;=YEAR(NOW()),FALSE)), OR(MID(metadata!C86,5,1)="", AND(AND(MID(metadata!C86,5,1)="-",IFERROR(INT(MID(metadata!C86,6,1))&gt;=0,FALSE),IFERROR(INT(MID(metadata!C86,6,1))&lt;=1,FALSE),NOT(MID(metadata!C86,7,1)=""),IFERROR(INT(MID(metadata!C86,6,2))&gt;=1,FALSE),IFERROR(INT(MID(metadata!C86,6,2))&lt;=12,FALSE)), OR(MID(metadata!C86,8,1)="", AND(AND(MID(metadata!C86,8,1)="-",IFERROR(INT(MID(metadata!C86,9,1))&gt;=0,FALSE),IFERROR(INT(MID(metadata!C86,9,1))&lt;=3,FALSE),NOT(MID(metadata!C86,10,1)=""),IFERROR(INT(MID(metadata!C86,9,2))&gt;=1,FALSE),IFERROR(INT(MID(metadata!C86,9,2))&lt;=31,FALSE)), OR(MID(metadata!C86,11,1)="", AND(AND(MID(metadata!C86,11,1)=" ",IFERROR(INT(MID(metadata!C86,12,1))&gt;=0,FALSE),IFERROR(INT(MID(metadata!C86,12,1))&lt;=2,FALSE),NOT(MID(metadata!C86,13,1)=""),IFERROR(INT(MID(metadata!C86,12,2))&gt;=0,FALSE),IFERROR(INT(MID(metadata!C86,12,2))&lt;=23,FALSE)), OR(MID(metadata!C86,14,1)="", AND(AND(MID(metadata!C86,14,1)=":",IFERROR(INT(MID(metadata!C86,15,1))&gt;=0,FALSE),IFERROR(INT(MID(metadata!C86,15,1))&lt;=5,FALSE),NOT(MID(metadata!C86,16,1)=""),IFERROR(INT(MID(metadata!C86,15,2))&gt;=0,FALSE),IFERROR(INT(MID(metadata!C86,15,2))&lt;=59,FALSE)), OR(MID(metadata!C86,17,1)="", AND(AND(MID(metadata!C86,17,1)=":",IFERROR(INT(MID(metadata!C86,18,1))&gt;=0,FALSE),IFERROR(INT(MID(metadata!C86,18,1))&lt;=5,FALSE),NOT(MID(metadata!C86,19,1)=""),IFERROR(INT(MID(metadata!C86,18,2))&gt;=0,FALSE),IFERROR(INT(MID(metadata!C86,18,2))&lt;=59,FALSE)), LEN(metadata!C86)&lt;=19)))))))))))))</f>
        <v>0</v>
      </c>
      <c r="AD86">
        <f>IF(metadata!D86="",FALSE,TRUE)</f>
        <v>0</v>
      </c>
      <c r="AE86">
        <f>OR(AND(IF(metadata!E86="",FALSE,TRUE),OR(exact(metadata!E86,"missing: not collected"),exact(metadata!E86,"missing: not provided"))),AND(IF(metadata!E86="",FALSE,TRUE),OR(exact(metadata!E86,"TRUE"),exact(metadata!E86,"FALSE"))))</f>
        <v>0</v>
      </c>
      <c r="AF86">
        <f>IF(metadata!F86="",FALSE,TRUE)</f>
        <v>0</v>
      </c>
      <c r="AG86">
        <f>IF(metadata!G86="",FALSE,TRUE)</f>
        <v>0</v>
      </c>
      <c r="AH86">
        <f>IF(metadata!H86="",FALSE,TRUE)</f>
        <v>0</v>
      </c>
      <c r="AI86">
        <f>OR(AND(IF(metadata!I86="",FALSE,TRUE),OR(exact(metadata!I86,"missing: not collected"),exact(metadata!I86,"missing: not provided"),exact(metadata!I86,"missing: restricted access"))),AND(IF(metadata!I86="",FALSE,TRUE),OR(exact(metadata!I86,"air"),exact(metadata!I86,"built environment"),exact(metadata!I86,"host-associated"),exact(metadata!I86,"human-associated"),exact(metadata!I86,"human-skin"),exact(metadata!I86,"human-oral"),exact(metadata!I86,"human-gut"),exact(metadata!I86,"human-vaginal"),exact(metadata!I86,"microbial mat/biofilm"),exact(metadata!I86,"misc environment"),exact(metadata!I86,"plant-associated"),exact(metadata!I86,"sediment"),exact(metadata!I86,"soil"),exact(metadata!I86,"wastewater/sludge"),exact(metadata!I86,"water"))))</f>
        <v>0</v>
      </c>
      <c r="AJ86">
        <f>IF(metadata!J86="",FALSE,TRUE)</f>
        <v>0</v>
      </c>
      <c r="AK86">
        <f>OR(AND(IF(metadata!K86="",FALSE,TRUE),OR(exact(metadata!K86,"missing: not collected"),exact(metadata!K86,"missing: not provided"),exact(metadata!K86,"missing: restricted access"))),AND(IF(metadata!K86="",FALSE,ISNUMBER(VALUE(metadata!K86))),metadata!K86&gt;=-90.00,metadata!K86&lt;=90.00))</f>
        <v>0</v>
      </c>
      <c r="AL86">
        <f>OR(AND(IF(metadata!L86="",FALSE,TRUE),OR(exact(metadata!L86,"missing: not collected"),exact(metadata!L86,"missing: not provided"),exact(metadata!L86,"missing: restricted access"))),AND(IF(metadata!L86="",FALSE,ISNUMBER(VALUE(metadata!L86))),metadata!L86&gt;=-180.00,metadata!L86&lt;=180.00))</f>
        <v>0</v>
      </c>
      <c r="AM86">
        <f>IF(metadata!M86="",FALSE,TRUE)</f>
        <v>0</v>
      </c>
      <c r="AN86">
        <f>OR(AND(IF(metadata!N86="",FALSE,TRUE),OR(exact(metadata!N86,"missing: not collected"),exact(metadata!N86,"missing: not provided"),exact(metadata!N86,"missing: restricted access"))),AND(IF(metadata!N86="",FALSE,TRUE),OR(exact(metadata!N86,"TRUE"),exact(metadata!N86,"FALSE"))))</f>
        <v>0</v>
      </c>
      <c r="AO86">
        <f>IF(metadata!O86="",FALSE,TRUE)</f>
        <v>0</v>
      </c>
      <c r="AP86">
        <f>OR(AND(IF(metadata!P86="",FALSE,TRUE),OR(exact(metadata!P86,"missing: not collected"),exact(metadata!P86,"missing: not provided"))),AND(IF(metadata!P86="",FALSE,IF(ISERROR(INT(metadata!P86)),FALSE,INT(metadata!P86)=metadata!P86)),metadata!P86&gt;0))</f>
        <v>0</v>
      </c>
      <c r="AQ86">
        <f>IF(metadata!Q86="",FALSE,TRUE)</f>
        <v>0</v>
      </c>
    </row>
    <row r="87" spans="1:43">
      <c r="A87" s="5">
        <f>IF(B87=" "," ",HYPERLINK(CONCATENATE("#metadata!",ADDRESS(INDEX($W$2:$W$1001,MATCH(ROWS($U$2:U87),$U$2:$U$1001,0),0),1)),INDEX($Z$2:$Z$1001,MATCH(ROWS($U$2:U87),$U$2:$U$1001,0),0)))</f>
        <v>0</v>
      </c>
      <c r="B87" s="4">
        <f>IF(OR(INDEX($V$2:$V$1001,MATCH(ROWS($U$2:U87),$U$2:$U$1001,0),1)&gt;=100000,INDEX($AB$1005:$AQ$1005,1,MATCH(COLUMNS($AB$1006:AB1006),$AB$1006:$AQ$1006,0))&gt;=100000), " ",IF(INDEX($AB$2:$AQ$1001,MATCH(ROWS($U$2:U87),$U$2:$U$1001,0),MATCH(COLUMNS($AB$1006:AB1006),$AB$1006:$AQ$1006,0)), HYPERLINK("#",""), HYPERLINK(CONCATENATE("#metadata!", ADDRESS(INDEX($W$2:$W$1001,MATCH(ROWS($U$2:U87),$U$2:$U$1001,0),0), INDEX($AB$1004:$AQ$1004,1,MATCH(COLUMNS($AB$1006:AB1006),$AB$1006:$AQ$1006,0)))),"Fix")))</f>
        <v>0</v>
      </c>
      <c r="C87" s="4">
        <f>IF(OR(INDEX($V$2:$V$1001,MATCH(ROWS($U$2:U87),$U$2:$U$1001,0),1)&gt;=100000,INDEX($AB$1005:$AQ$1005,1,MATCH(COLUMNS($AB$1006:AC1006),$AB$1006:$AQ$1006,0))&gt;=100000), " ",IF(INDEX($AB$2:$AQ$1001,MATCH(ROWS($U$2:U87),$U$2:$U$1001,0),MATCH(COLUMNS($AB$1006:AC1006),$AB$1006:$AQ$1006,0)), HYPERLINK("#",""), HYPERLINK(CONCATENATE("#metadata!", ADDRESS(INDEX($W$2:$W$1001,MATCH(ROWS($U$2:U87),$U$2:$U$1001,0),0), INDEX($AB$1004:$AQ$1004,1,MATCH(COLUMNS($AB$1006:AC1006),$AB$1006:$AQ$1006,0)))),"Fix")))</f>
        <v>0</v>
      </c>
      <c r="D87" s="4">
        <f>IF(OR(INDEX($V$2:$V$1001,MATCH(ROWS($U$2:U87),$U$2:$U$1001,0),1)&gt;=100000,INDEX($AB$1005:$AQ$1005,1,MATCH(COLUMNS($AB$1006:AD1006),$AB$1006:$AQ$1006,0))&gt;=100000), " ",IF(INDEX($AB$2:$AQ$1001,MATCH(ROWS($U$2:U87),$U$2:$U$1001,0),MATCH(COLUMNS($AB$1006:AD1006),$AB$1006:$AQ$1006,0)), HYPERLINK("#",""), HYPERLINK(CONCATENATE("#metadata!", ADDRESS(INDEX($W$2:$W$1001,MATCH(ROWS($U$2:U87),$U$2:$U$1001,0),0), INDEX($AB$1004:$AQ$1004,1,MATCH(COLUMNS($AB$1006:AD1006),$AB$1006:$AQ$1006,0)))),"Fix")))</f>
        <v>0</v>
      </c>
      <c r="E87" s="4">
        <f>IF(OR(INDEX($V$2:$V$1001,MATCH(ROWS($U$2:U87),$U$2:$U$1001,0),1)&gt;=100000,INDEX($AB$1005:$AQ$1005,1,MATCH(COLUMNS($AB$1006:AE1006),$AB$1006:$AQ$1006,0))&gt;=100000), " ",IF(INDEX($AB$2:$AQ$1001,MATCH(ROWS($U$2:U87),$U$2:$U$1001,0),MATCH(COLUMNS($AB$1006:AE1006),$AB$1006:$AQ$1006,0)), HYPERLINK("#",""), HYPERLINK(CONCATENATE("#metadata!", ADDRESS(INDEX($W$2:$W$1001,MATCH(ROWS($U$2:U87),$U$2:$U$1001,0),0), INDEX($AB$1004:$AQ$1004,1,MATCH(COLUMNS($AB$1006:AE1006),$AB$1006:$AQ$1006,0)))),"Fix")))</f>
        <v>0</v>
      </c>
      <c r="F87" s="4">
        <f>IF(OR(INDEX($V$2:$V$1001,MATCH(ROWS($U$2:U87),$U$2:$U$1001,0),1)&gt;=100000,INDEX($AB$1005:$AQ$1005,1,MATCH(COLUMNS($AB$1006:AF1006),$AB$1006:$AQ$1006,0))&gt;=100000), " ",IF(INDEX($AB$2:$AQ$1001,MATCH(ROWS($U$2:U87),$U$2:$U$1001,0),MATCH(COLUMNS($AB$1006:AF1006),$AB$1006:$AQ$1006,0)), HYPERLINK("#",""), HYPERLINK(CONCATENATE("#metadata!", ADDRESS(INDEX($W$2:$W$1001,MATCH(ROWS($U$2:U87),$U$2:$U$1001,0),0), INDEX($AB$1004:$AQ$1004,1,MATCH(COLUMNS($AB$1006:AF1006),$AB$1006:$AQ$1006,0)))),"Fix")))</f>
        <v>0</v>
      </c>
      <c r="G87" s="4">
        <f>IF(OR(INDEX($V$2:$V$1001,MATCH(ROWS($U$2:U87),$U$2:$U$1001,0),1)&gt;=100000,INDEX($AB$1005:$AQ$1005,1,MATCH(COLUMNS($AB$1006:AG1006),$AB$1006:$AQ$1006,0))&gt;=100000), " ",IF(INDEX($AB$2:$AQ$1001,MATCH(ROWS($U$2:U87),$U$2:$U$1001,0),MATCH(COLUMNS($AB$1006:AG1006),$AB$1006:$AQ$1006,0)), HYPERLINK("#",""), HYPERLINK(CONCATENATE("#metadata!", ADDRESS(INDEX($W$2:$W$1001,MATCH(ROWS($U$2:U87),$U$2:$U$1001,0),0), INDEX($AB$1004:$AQ$1004,1,MATCH(COLUMNS($AB$1006:AG1006),$AB$1006:$AQ$1006,0)))),"Fix")))</f>
        <v>0</v>
      </c>
      <c r="H87" s="4">
        <f>IF(OR(INDEX($V$2:$V$1001,MATCH(ROWS($U$2:U87),$U$2:$U$1001,0),1)&gt;=100000,INDEX($AB$1005:$AQ$1005,1,MATCH(COLUMNS($AB$1006:AH1006),$AB$1006:$AQ$1006,0))&gt;=100000), " ",IF(INDEX($AB$2:$AQ$1001,MATCH(ROWS($U$2:U87),$U$2:$U$1001,0),MATCH(COLUMNS($AB$1006:AH1006),$AB$1006:$AQ$1006,0)), HYPERLINK("#",""), HYPERLINK(CONCATENATE("#metadata!", ADDRESS(INDEX($W$2:$W$1001,MATCH(ROWS($U$2:U87),$U$2:$U$1001,0),0), INDEX($AB$1004:$AQ$1004,1,MATCH(COLUMNS($AB$1006:AH1006),$AB$1006:$AQ$1006,0)))),"Fix")))</f>
        <v>0</v>
      </c>
      <c r="I87" s="4">
        <f>IF(OR(INDEX($V$2:$V$1001,MATCH(ROWS($U$2:U87),$U$2:$U$1001,0),1)&gt;=100000,INDEX($AB$1005:$AQ$1005,1,MATCH(COLUMNS($AB$1006:AI1006),$AB$1006:$AQ$1006,0))&gt;=100000), " ",IF(INDEX($AB$2:$AQ$1001,MATCH(ROWS($U$2:U87),$U$2:$U$1001,0),MATCH(COLUMNS($AB$1006:AI1006),$AB$1006:$AQ$1006,0)), HYPERLINK("#",""), HYPERLINK(CONCATENATE("#metadata!", ADDRESS(INDEX($W$2:$W$1001,MATCH(ROWS($U$2:U87),$U$2:$U$1001,0),0), INDEX($AB$1004:$AQ$1004,1,MATCH(COLUMNS($AB$1006:AI1006),$AB$1006:$AQ$1006,0)))),"Fix")))</f>
        <v>0</v>
      </c>
      <c r="J87" s="4">
        <f>IF(OR(INDEX($V$2:$V$1001,MATCH(ROWS($U$2:U87),$U$2:$U$1001,0),1)&gt;=100000,INDEX($AB$1005:$AQ$1005,1,MATCH(COLUMNS($AB$1006:AJ1006),$AB$1006:$AQ$1006,0))&gt;=100000), " ",IF(INDEX($AB$2:$AQ$1001,MATCH(ROWS($U$2:U87),$U$2:$U$1001,0),MATCH(COLUMNS($AB$1006:AJ1006),$AB$1006:$AQ$1006,0)), HYPERLINK("#",""), HYPERLINK(CONCATENATE("#metadata!", ADDRESS(INDEX($W$2:$W$1001,MATCH(ROWS($U$2:U87),$U$2:$U$1001,0),0), INDEX($AB$1004:$AQ$1004,1,MATCH(COLUMNS($AB$1006:AJ1006),$AB$1006:$AQ$1006,0)))),"Fix")))</f>
        <v>0</v>
      </c>
      <c r="K87" s="4">
        <f>IF(OR(INDEX($V$2:$V$1001,MATCH(ROWS($U$2:U87),$U$2:$U$1001,0),1)&gt;=100000,INDEX($AB$1005:$AQ$1005,1,MATCH(COLUMNS($AB$1006:AK1006),$AB$1006:$AQ$1006,0))&gt;=100000), " ",IF(INDEX($AB$2:$AQ$1001,MATCH(ROWS($U$2:U87),$U$2:$U$1001,0),MATCH(COLUMNS($AB$1006:AK1006),$AB$1006:$AQ$1006,0)), HYPERLINK("#",""), HYPERLINK(CONCATENATE("#metadata!", ADDRESS(INDEX($W$2:$W$1001,MATCH(ROWS($U$2:U87),$U$2:$U$1001,0),0), INDEX($AB$1004:$AQ$1004,1,MATCH(COLUMNS($AB$1006:AK1006),$AB$1006:$AQ$1006,0)))),"Fix")))</f>
        <v>0</v>
      </c>
      <c r="L87" s="4">
        <f>IF(OR(INDEX($V$2:$V$1001,MATCH(ROWS($U$2:U87),$U$2:$U$1001,0),1)&gt;=100000,INDEX($AB$1005:$AQ$1005,1,MATCH(COLUMNS($AB$1006:AL1006),$AB$1006:$AQ$1006,0))&gt;=100000), " ",IF(INDEX($AB$2:$AQ$1001,MATCH(ROWS($U$2:U87),$U$2:$U$1001,0),MATCH(COLUMNS($AB$1006:AL1006),$AB$1006:$AQ$1006,0)), HYPERLINK("#",""), HYPERLINK(CONCATENATE("#metadata!", ADDRESS(INDEX($W$2:$W$1001,MATCH(ROWS($U$2:U87),$U$2:$U$1001,0),0), INDEX($AB$1004:$AQ$1004,1,MATCH(COLUMNS($AB$1006:AL1006),$AB$1006:$AQ$1006,0)))),"Fix")))</f>
        <v>0</v>
      </c>
      <c r="M87" s="4">
        <f>IF(OR(INDEX($V$2:$V$1001,MATCH(ROWS($U$2:U87),$U$2:$U$1001,0),1)&gt;=100000,INDEX($AB$1005:$AQ$1005,1,MATCH(COLUMNS($AB$1006:AM1006),$AB$1006:$AQ$1006,0))&gt;=100000), " ",IF(INDEX($AB$2:$AQ$1001,MATCH(ROWS($U$2:U87),$U$2:$U$1001,0),MATCH(COLUMNS($AB$1006:AM1006),$AB$1006:$AQ$1006,0)), HYPERLINK("#",""), HYPERLINK(CONCATENATE("#metadata!", ADDRESS(INDEX($W$2:$W$1001,MATCH(ROWS($U$2:U87),$U$2:$U$1001,0),0), INDEX($AB$1004:$AQ$1004,1,MATCH(COLUMNS($AB$1006:AM1006),$AB$1006:$AQ$1006,0)))),"Fix")))</f>
        <v>0</v>
      </c>
      <c r="N87" s="4">
        <f>IF(OR(INDEX($V$2:$V$1001,MATCH(ROWS($U$2:U87),$U$2:$U$1001,0),1)&gt;=100000,INDEX($AB$1005:$AQ$1005,1,MATCH(COLUMNS($AB$1006:AN1006),$AB$1006:$AQ$1006,0))&gt;=100000), " ",IF(INDEX($AB$2:$AQ$1001,MATCH(ROWS($U$2:U87),$U$2:$U$1001,0),MATCH(COLUMNS($AB$1006:AN1006),$AB$1006:$AQ$1006,0)), HYPERLINK("#",""), HYPERLINK(CONCATENATE("#metadata!", ADDRESS(INDEX($W$2:$W$1001,MATCH(ROWS($U$2:U87),$U$2:$U$1001,0),0), INDEX($AB$1004:$AQ$1004,1,MATCH(COLUMNS($AB$1006:AN1006),$AB$1006:$AQ$1006,0)))),"Fix")))</f>
        <v>0</v>
      </c>
      <c r="O87" s="4">
        <f>IF(OR(INDEX($V$2:$V$1001,MATCH(ROWS($U$2:U87),$U$2:$U$1001,0),1)&gt;=100000,INDEX($AB$1005:$AQ$1005,1,MATCH(COLUMNS($AB$1006:AO1006),$AB$1006:$AQ$1006,0))&gt;=100000), " ",IF(INDEX($AB$2:$AQ$1001,MATCH(ROWS($U$2:U87),$U$2:$U$1001,0),MATCH(COLUMNS($AB$1006:AO1006),$AB$1006:$AQ$1006,0)), HYPERLINK("#",""), HYPERLINK(CONCATENATE("#metadata!", ADDRESS(INDEX($W$2:$W$1001,MATCH(ROWS($U$2:U87),$U$2:$U$1001,0),0), INDEX($AB$1004:$AQ$1004,1,MATCH(COLUMNS($AB$1006:AO1006),$AB$1006:$AQ$1006,0)))),"Fix")))</f>
        <v>0</v>
      </c>
      <c r="P87" s="4">
        <f>IF(OR(INDEX($V$2:$V$1001,MATCH(ROWS($U$2:U87),$U$2:$U$1001,0),1)&gt;=100000,INDEX($AB$1005:$AQ$1005,1,MATCH(COLUMNS($AB$1006:AP1006),$AB$1006:$AQ$1006,0))&gt;=100000), " ",IF(INDEX($AB$2:$AQ$1001,MATCH(ROWS($U$2:U87),$U$2:$U$1001,0),MATCH(COLUMNS($AB$1006:AP1006),$AB$1006:$AQ$1006,0)), HYPERLINK("#",""), HYPERLINK(CONCATENATE("#metadata!", ADDRESS(INDEX($W$2:$W$1001,MATCH(ROWS($U$2:U87),$U$2:$U$1001,0),0), INDEX($AB$1004:$AQ$1004,1,MATCH(COLUMNS($AB$1006:AP1006),$AB$1006:$AQ$1006,0)))),"Fix")))</f>
        <v>0</v>
      </c>
      <c r="Q87" s="4">
        <f>IF(OR(INDEX($V$2:$V$1001,MATCH(ROWS($U$2:U87),$U$2:$U$1001,0),1)&gt;=100000,INDEX($AB$1005:$AQ$1005,1,MATCH(COLUMNS($AB$1006:AQ1006),$AB$1006:$AQ$1006,0))&gt;=100000), " ",IF(INDEX($AB$2:$AQ$1001,MATCH(ROWS($U$2:U87),$U$2:$U$1001,0),MATCH(COLUMNS($AB$1006:AQ1006),$AB$1006:$AQ$1006,0)), HYPERLINK("#",""), HYPERLINK(CONCATENATE("#metadata!", ADDRESS(INDEX($W$2:$W$1001,MATCH(ROWS($U$2:U87),$U$2:$U$1001,0),0), INDEX($AB$1004:$AQ$1004,1,MATCH(COLUMNS($AB$1006:AQ1006),$AB$1006:$AQ$1006,0)))),"Fix")))</f>
        <v>0</v>
      </c>
      <c r="U87">
        <v>0</v>
      </c>
      <c r="V87">
        <v>0</v>
      </c>
      <c r="W87">
        <v>0</v>
      </c>
      <c r="X87">
        <f>IF(Y87,TRUE,AND(AB87:AQ87))</f>
        <v>0</v>
      </c>
      <c r="Y87">
        <f>COUNTBLANK(metadata!B87:Q87)=COLUMNS(metadata!B87:Q87)</f>
        <v>0</v>
      </c>
      <c r="Z87">
        <v>0</v>
      </c>
      <c r="AB87">
        <f>AND(IF(metadata!B87="",FALSE,TRUE),COUNTIF(metadata!B:B, metadata!B87) = 1,NOT(ISERROR(SUMPRODUCT(SEARCH(MID(metadata!B87,ROW(INDIRECT("1:"&amp;LEN(metadata!B87))), 1),"0123456789abcdefghijklmnopqrstuvwxyzABCDEFGHIJKLMNOPQRSTUVWXYZ.")))))</f>
        <v>0</v>
      </c>
      <c r="AC87">
        <f>OR(AND(IF(metadata!C87="",FALSE,TRUE),OR(exact(metadata!C87,"missing: not collected"),exact(metadata!C87,"missing: not provided"),exact(metadata!C87,"missing: restricted access"))),AND(IF(metadata!C87="",FALSE,TRUE),AND(AND(IFERROR(INT(LEFT(metadata!C87,4))&gt;1900,FALSE),IFERROR(INT(LEFT(metadata!C87,4))&lt;=YEAR(NOW()),FALSE)), OR(MID(metadata!C87,5,1)="", AND(AND(MID(metadata!C87,5,1)="-",IFERROR(INT(MID(metadata!C87,6,1))&gt;=0,FALSE),IFERROR(INT(MID(metadata!C87,6,1))&lt;=1,FALSE),NOT(MID(metadata!C87,7,1)=""),IFERROR(INT(MID(metadata!C87,6,2))&gt;=1,FALSE),IFERROR(INT(MID(metadata!C87,6,2))&lt;=12,FALSE)), OR(MID(metadata!C87,8,1)="", AND(AND(MID(metadata!C87,8,1)="-",IFERROR(INT(MID(metadata!C87,9,1))&gt;=0,FALSE),IFERROR(INT(MID(metadata!C87,9,1))&lt;=3,FALSE),NOT(MID(metadata!C87,10,1)=""),IFERROR(INT(MID(metadata!C87,9,2))&gt;=1,FALSE),IFERROR(INT(MID(metadata!C87,9,2))&lt;=31,FALSE)), OR(MID(metadata!C87,11,1)="", AND(AND(MID(metadata!C87,11,1)=" ",IFERROR(INT(MID(metadata!C87,12,1))&gt;=0,FALSE),IFERROR(INT(MID(metadata!C87,12,1))&lt;=2,FALSE),NOT(MID(metadata!C87,13,1)=""),IFERROR(INT(MID(metadata!C87,12,2))&gt;=0,FALSE),IFERROR(INT(MID(metadata!C87,12,2))&lt;=23,FALSE)), OR(MID(metadata!C87,14,1)="", AND(AND(MID(metadata!C87,14,1)=":",IFERROR(INT(MID(metadata!C87,15,1))&gt;=0,FALSE),IFERROR(INT(MID(metadata!C87,15,1))&lt;=5,FALSE),NOT(MID(metadata!C87,16,1)=""),IFERROR(INT(MID(metadata!C87,15,2))&gt;=0,FALSE),IFERROR(INT(MID(metadata!C87,15,2))&lt;=59,FALSE)), OR(MID(metadata!C87,17,1)="", AND(AND(MID(metadata!C87,17,1)=":",IFERROR(INT(MID(metadata!C87,18,1))&gt;=0,FALSE),IFERROR(INT(MID(metadata!C87,18,1))&lt;=5,FALSE),NOT(MID(metadata!C87,19,1)=""),IFERROR(INT(MID(metadata!C87,18,2))&gt;=0,FALSE),IFERROR(INT(MID(metadata!C87,18,2))&lt;=59,FALSE)), LEN(metadata!C87)&lt;=19)))))))))))))</f>
        <v>0</v>
      </c>
      <c r="AD87">
        <f>IF(metadata!D87="",FALSE,TRUE)</f>
        <v>0</v>
      </c>
      <c r="AE87">
        <f>OR(AND(IF(metadata!E87="",FALSE,TRUE),OR(exact(metadata!E87,"missing: not collected"),exact(metadata!E87,"missing: not provided"))),AND(IF(metadata!E87="",FALSE,TRUE),OR(exact(metadata!E87,"TRUE"),exact(metadata!E87,"FALSE"))))</f>
        <v>0</v>
      </c>
      <c r="AF87">
        <f>IF(metadata!F87="",FALSE,TRUE)</f>
        <v>0</v>
      </c>
      <c r="AG87">
        <f>IF(metadata!G87="",FALSE,TRUE)</f>
        <v>0</v>
      </c>
      <c r="AH87">
        <f>IF(metadata!H87="",FALSE,TRUE)</f>
        <v>0</v>
      </c>
      <c r="AI87">
        <f>OR(AND(IF(metadata!I87="",FALSE,TRUE),OR(exact(metadata!I87,"missing: not collected"),exact(metadata!I87,"missing: not provided"),exact(metadata!I87,"missing: restricted access"))),AND(IF(metadata!I87="",FALSE,TRUE),OR(exact(metadata!I87,"air"),exact(metadata!I87,"built environment"),exact(metadata!I87,"host-associated"),exact(metadata!I87,"human-associated"),exact(metadata!I87,"human-skin"),exact(metadata!I87,"human-oral"),exact(metadata!I87,"human-gut"),exact(metadata!I87,"human-vaginal"),exact(metadata!I87,"microbial mat/biofilm"),exact(metadata!I87,"misc environment"),exact(metadata!I87,"plant-associated"),exact(metadata!I87,"sediment"),exact(metadata!I87,"soil"),exact(metadata!I87,"wastewater/sludge"),exact(metadata!I87,"water"))))</f>
        <v>0</v>
      </c>
      <c r="AJ87">
        <f>IF(metadata!J87="",FALSE,TRUE)</f>
        <v>0</v>
      </c>
      <c r="AK87">
        <f>OR(AND(IF(metadata!K87="",FALSE,TRUE),OR(exact(metadata!K87,"missing: not collected"),exact(metadata!K87,"missing: not provided"),exact(metadata!K87,"missing: restricted access"))),AND(IF(metadata!K87="",FALSE,ISNUMBER(VALUE(metadata!K87))),metadata!K87&gt;=-90.00,metadata!K87&lt;=90.00))</f>
        <v>0</v>
      </c>
      <c r="AL87">
        <f>OR(AND(IF(metadata!L87="",FALSE,TRUE),OR(exact(metadata!L87,"missing: not collected"),exact(metadata!L87,"missing: not provided"),exact(metadata!L87,"missing: restricted access"))),AND(IF(metadata!L87="",FALSE,ISNUMBER(VALUE(metadata!L87))),metadata!L87&gt;=-180.00,metadata!L87&lt;=180.00))</f>
        <v>0</v>
      </c>
      <c r="AM87">
        <f>IF(metadata!M87="",FALSE,TRUE)</f>
        <v>0</v>
      </c>
      <c r="AN87">
        <f>OR(AND(IF(metadata!N87="",FALSE,TRUE),OR(exact(metadata!N87,"missing: not collected"),exact(metadata!N87,"missing: not provided"),exact(metadata!N87,"missing: restricted access"))),AND(IF(metadata!N87="",FALSE,TRUE),OR(exact(metadata!N87,"TRUE"),exact(metadata!N87,"FALSE"))))</f>
        <v>0</v>
      </c>
      <c r="AO87">
        <f>IF(metadata!O87="",FALSE,TRUE)</f>
        <v>0</v>
      </c>
      <c r="AP87">
        <f>OR(AND(IF(metadata!P87="",FALSE,TRUE),OR(exact(metadata!P87,"missing: not collected"),exact(metadata!P87,"missing: not provided"))),AND(IF(metadata!P87="",FALSE,IF(ISERROR(INT(metadata!P87)),FALSE,INT(metadata!P87)=metadata!P87)),metadata!P87&gt;0))</f>
        <v>0</v>
      </c>
      <c r="AQ87">
        <f>IF(metadata!Q87="",FALSE,TRUE)</f>
        <v>0</v>
      </c>
    </row>
    <row r="88" spans="1:43">
      <c r="A88" s="5">
        <f>IF(B88=" "," ",HYPERLINK(CONCATENATE("#metadata!",ADDRESS(INDEX($W$2:$W$1001,MATCH(ROWS($U$2:U88),$U$2:$U$1001,0),0),1)),INDEX($Z$2:$Z$1001,MATCH(ROWS($U$2:U88),$U$2:$U$1001,0),0)))</f>
        <v>0</v>
      </c>
      <c r="B88" s="4">
        <f>IF(OR(INDEX($V$2:$V$1001,MATCH(ROWS($U$2:U88),$U$2:$U$1001,0),1)&gt;=100000,INDEX($AB$1005:$AQ$1005,1,MATCH(COLUMNS($AB$1006:AB1006),$AB$1006:$AQ$1006,0))&gt;=100000), " ",IF(INDEX($AB$2:$AQ$1001,MATCH(ROWS($U$2:U88),$U$2:$U$1001,0),MATCH(COLUMNS($AB$1006:AB1006),$AB$1006:$AQ$1006,0)), HYPERLINK("#",""), HYPERLINK(CONCATENATE("#metadata!", ADDRESS(INDEX($W$2:$W$1001,MATCH(ROWS($U$2:U88),$U$2:$U$1001,0),0), INDEX($AB$1004:$AQ$1004,1,MATCH(COLUMNS($AB$1006:AB1006),$AB$1006:$AQ$1006,0)))),"Fix")))</f>
        <v>0</v>
      </c>
      <c r="C88" s="4">
        <f>IF(OR(INDEX($V$2:$V$1001,MATCH(ROWS($U$2:U88),$U$2:$U$1001,0),1)&gt;=100000,INDEX($AB$1005:$AQ$1005,1,MATCH(COLUMNS($AB$1006:AC1006),$AB$1006:$AQ$1006,0))&gt;=100000), " ",IF(INDEX($AB$2:$AQ$1001,MATCH(ROWS($U$2:U88),$U$2:$U$1001,0),MATCH(COLUMNS($AB$1006:AC1006),$AB$1006:$AQ$1006,0)), HYPERLINK("#",""), HYPERLINK(CONCATENATE("#metadata!", ADDRESS(INDEX($W$2:$W$1001,MATCH(ROWS($U$2:U88),$U$2:$U$1001,0),0), INDEX($AB$1004:$AQ$1004,1,MATCH(COLUMNS($AB$1006:AC1006),$AB$1006:$AQ$1006,0)))),"Fix")))</f>
        <v>0</v>
      </c>
      <c r="D88" s="4">
        <f>IF(OR(INDEX($V$2:$V$1001,MATCH(ROWS($U$2:U88),$U$2:$U$1001,0),1)&gt;=100000,INDEX($AB$1005:$AQ$1005,1,MATCH(COLUMNS($AB$1006:AD1006),$AB$1006:$AQ$1006,0))&gt;=100000), " ",IF(INDEX($AB$2:$AQ$1001,MATCH(ROWS($U$2:U88),$U$2:$U$1001,0),MATCH(COLUMNS($AB$1006:AD1006),$AB$1006:$AQ$1006,0)), HYPERLINK("#",""), HYPERLINK(CONCATENATE("#metadata!", ADDRESS(INDEX($W$2:$W$1001,MATCH(ROWS($U$2:U88),$U$2:$U$1001,0),0), INDEX($AB$1004:$AQ$1004,1,MATCH(COLUMNS($AB$1006:AD1006),$AB$1006:$AQ$1006,0)))),"Fix")))</f>
        <v>0</v>
      </c>
      <c r="E88" s="4">
        <f>IF(OR(INDEX($V$2:$V$1001,MATCH(ROWS($U$2:U88),$U$2:$U$1001,0),1)&gt;=100000,INDEX($AB$1005:$AQ$1005,1,MATCH(COLUMNS($AB$1006:AE1006),$AB$1006:$AQ$1006,0))&gt;=100000), " ",IF(INDEX($AB$2:$AQ$1001,MATCH(ROWS($U$2:U88),$U$2:$U$1001,0),MATCH(COLUMNS($AB$1006:AE1006),$AB$1006:$AQ$1006,0)), HYPERLINK("#",""), HYPERLINK(CONCATENATE("#metadata!", ADDRESS(INDEX($W$2:$W$1001,MATCH(ROWS($U$2:U88),$U$2:$U$1001,0),0), INDEX($AB$1004:$AQ$1004,1,MATCH(COLUMNS($AB$1006:AE1006),$AB$1006:$AQ$1006,0)))),"Fix")))</f>
        <v>0</v>
      </c>
      <c r="F88" s="4">
        <f>IF(OR(INDEX($V$2:$V$1001,MATCH(ROWS($U$2:U88),$U$2:$U$1001,0),1)&gt;=100000,INDEX($AB$1005:$AQ$1005,1,MATCH(COLUMNS($AB$1006:AF1006),$AB$1006:$AQ$1006,0))&gt;=100000), " ",IF(INDEX($AB$2:$AQ$1001,MATCH(ROWS($U$2:U88),$U$2:$U$1001,0),MATCH(COLUMNS($AB$1006:AF1006),$AB$1006:$AQ$1006,0)), HYPERLINK("#",""), HYPERLINK(CONCATENATE("#metadata!", ADDRESS(INDEX($W$2:$W$1001,MATCH(ROWS($U$2:U88),$U$2:$U$1001,0),0), INDEX($AB$1004:$AQ$1004,1,MATCH(COLUMNS($AB$1006:AF1006),$AB$1006:$AQ$1006,0)))),"Fix")))</f>
        <v>0</v>
      </c>
      <c r="G88" s="4">
        <f>IF(OR(INDEX($V$2:$V$1001,MATCH(ROWS($U$2:U88),$U$2:$U$1001,0),1)&gt;=100000,INDEX($AB$1005:$AQ$1005,1,MATCH(COLUMNS($AB$1006:AG1006),$AB$1006:$AQ$1006,0))&gt;=100000), " ",IF(INDEX($AB$2:$AQ$1001,MATCH(ROWS($U$2:U88),$U$2:$U$1001,0),MATCH(COLUMNS($AB$1006:AG1006),$AB$1006:$AQ$1006,0)), HYPERLINK("#",""), HYPERLINK(CONCATENATE("#metadata!", ADDRESS(INDEX($W$2:$W$1001,MATCH(ROWS($U$2:U88),$U$2:$U$1001,0),0), INDEX($AB$1004:$AQ$1004,1,MATCH(COLUMNS($AB$1006:AG1006),$AB$1006:$AQ$1006,0)))),"Fix")))</f>
        <v>0</v>
      </c>
      <c r="H88" s="4">
        <f>IF(OR(INDEX($V$2:$V$1001,MATCH(ROWS($U$2:U88),$U$2:$U$1001,0),1)&gt;=100000,INDEX($AB$1005:$AQ$1005,1,MATCH(COLUMNS($AB$1006:AH1006),$AB$1006:$AQ$1006,0))&gt;=100000), " ",IF(INDEX($AB$2:$AQ$1001,MATCH(ROWS($U$2:U88),$U$2:$U$1001,0),MATCH(COLUMNS($AB$1006:AH1006),$AB$1006:$AQ$1006,0)), HYPERLINK("#",""), HYPERLINK(CONCATENATE("#metadata!", ADDRESS(INDEX($W$2:$W$1001,MATCH(ROWS($U$2:U88),$U$2:$U$1001,0),0), INDEX($AB$1004:$AQ$1004,1,MATCH(COLUMNS($AB$1006:AH1006),$AB$1006:$AQ$1006,0)))),"Fix")))</f>
        <v>0</v>
      </c>
      <c r="I88" s="4">
        <f>IF(OR(INDEX($V$2:$V$1001,MATCH(ROWS($U$2:U88),$U$2:$U$1001,0),1)&gt;=100000,INDEX($AB$1005:$AQ$1005,1,MATCH(COLUMNS($AB$1006:AI1006),$AB$1006:$AQ$1006,0))&gt;=100000), " ",IF(INDEX($AB$2:$AQ$1001,MATCH(ROWS($U$2:U88),$U$2:$U$1001,0),MATCH(COLUMNS($AB$1006:AI1006),$AB$1006:$AQ$1006,0)), HYPERLINK("#",""), HYPERLINK(CONCATENATE("#metadata!", ADDRESS(INDEX($W$2:$W$1001,MATCH(ROWS($U$2:U88),$U$2:$U$1001,0),0), INDEX($AB$1004:$AQ$1004,1,MATCH(COLUMNS($AB$1006:AI1006),$AB$1006:$AQ$1006,0)))),"Fix")))</f>
        <v>0</v>
      </c>
      <c r="J88" s="4">
        <f>IF(OR(INDEX($V$2:$V$1001,MATCH(ROWS($U$2:U88),$U$2:$U$1001,0),1)&gt;=100000,INDEX($AB$1005:$AQ$1005,1,MATCH(COLUMNS($AB$1006:AJ1006),$AB$1006:$AQ$1006,0))&gt;=100000), " ",IF(INDEX($AB$2:$AQ$1001,MATCH(ROWS($U$2:U88),$U$2:$U$1001,0),MATCH(COLUMNS($AB$1006:AJ1006),$AB$1006:$AQ$1006,0)), HYPERLINK("#",""), HYPERLINK(CONCATENATE("#metadata!", ADDRESS(INDEX($W$2:$W$1001,MATCH(ROWS($U$2:U88),$U$2:$U$1001,0),0), INDEX($AB$1004:$AQ$1004,1,MATCH(COLUMNS($AB$1006:AJ1006),$AB$1006:$AQ$1006,0)))),"Fix")))</f>
        <v>0</v>
      </c>
      <c r="K88" s="4">
        <f>IF(OR(INDEX($V$2:$V$1001,MATCH(ROWS($U$2:U88),$U$2:$U$1001,0),1)&gt;=100000,INDEX($AB$1005:$AQ$1005,1,MATCH(COLUMNS($AB$1006:AK1006),$AB$1006:$AQ$1006,0))&gt;=100000), " ",IF(INDEX($AB$2:$AQ$1001,MATCH(ROWS($U$2:U88),$U$2:$U$1001,0),MATCH(COLUMNS($AB$1006:AK1006),$AB$1006:$AQ$1006,0)), HYPERLINK("#",""), HYPERLINK(CONCATENATE("#metadata!", ADDRESS(INDEX($W$2:$W$1001,MATCH(ROWS($U$2:U88),$U$2:$U$1001,0),0), INDEX($AB$1004:$AQ$1004,1,MATCH(COLUMNS($AB$1006:AK1006),$AB$1006:$AQ$1006,0)))),"Fix")))</f>
        <v>0</v>
      </c>
      <c r="L88" s="4">
        <f>IF(OR(INDEX($V$2:$V$1001,MATCH(ROWS($U$2:U88),$U$2:$U$1001,0),1)&gt;=100000,INDEX($AB$1005:$AQ$1005,1,MATCH(COLUMNS($AB$1006:AL1006),$AB$1006:$AQ$1006,0))&gt;=100000), " ",IF(INDEX($AB$2:$AQ$1001,MATCH(ROWS($U$2:U88),$U$2:$U$1001,0),MATCH(COLUMNS($AB$1006:AL1006),$AB$1006:$AQ$1006,0)), HYPERLINK("#",""), HYPERLINK(CONCATENATE("#metadata!", ADDRESS(INDEX($W$2:$W$1001,MATCH(ROWS($U$2:U88),$U$2:$U$1001,0),0), INDEX($AB$1004:$AQ$1004,1,MATCH(COLUMNS($AB$1006:AL1006),$AB$1006:$AQ$1006,0)))),"Fix")))</f>
        <v>0</v>
      </c>
      <c r="M88" s="4">
        <f>IF(OR(INDEX($V$2:$V$1001,MATCH(ROWS($U$2:U88),$U$2:$U$1001,0),1)&gt;=100000,INDEX($AB$1005:$AQ$1005,1,MATCH(COLUMNS($AB$1006:AM1006),$AB$1006:$AQ$1006,0))&gt;=100000), " ",IF(INDEX($AB$2:$AQ$1001,MATCH(ROWS($U$2:U88),$U$2:$U$1001,0),MATCH(COLUMNS($AB$1006:AM1006),$AB$1006:$AQ$1006,0)), HYPERLINK("#",""), HYPERLINK(CONCATENATE("#metadata!", ADDRESS(INDEX($W$2:$W$1001,MATCH(ROWS($U$2:U88),$U$2:$U$1001,0),0), INDEX($AB$1004:$AQ$1004,1,MATCH(COLUMNS($AB$1006:AM1006),$AB$1006:$AQ$1006,0)))),"Fix")))</f>
        <v>0</v>
      </c>
      <c r="N88" s="4">
        <f>IF(OR(INDEX($V$2:$V$1001,MATCH(ROWS($U$2:U88),$U$2:$U$1001,0),1)&gt;=100000,INDEX($AB$1005:$AQ$1005,1,MATCH(COLUMNS($AB$1006:AN1006),$AB$1006:$AQ$1006,0))&gt;=100000), " ",IF(INDEX($AB$2:$AQ$1001,MATCH(ROWS($U$2:U88),$U$2:$U$1001,0),MATCH(COLUMNS($AB$1006:AN1006),$AB$1006:$AQ$1006,0)), HYPERLINK("#",""), HYPERLINK(CONCATENATE("#metadata!", ADDRESS(INDEX($W$2:$W$1001,MATCH(ROWS($U$2:U88),$U$2:$U$1001,0),0), INDEX($AB$1004:$AQ$1004,1,MATCH(COLUMNS($AB$1006:AN1006),$AB$1006:$AQ$1006,0)))),"Fix")))</f>
        <v>0</v>
      </c>
      <c r="O88" s="4">
        <f>IF(OR(INDEX($V$2:$V$1001,MATCH(ROWS($U$2:U88),$U$2:$U$1001,0),1)&gt;=100000,INDEX($AB$1005:$AQ$1005,1,MATCH(COLUMNS($AB$1006:AO1006),$AB$1006:$AQ$1006,0))&gt;=100000), " ",IF(INDEX($AB$2:$AQ$1001,MATCH(ROWS($U$2:U88),$U$2:$U$1001,0),MATCH(COLUMNS($AB$1006:AO1006),$AB$1006:$AQ$1006,0)), HYPERLINK("#",""), HYPERLINK(CONCATENATE("#metadata!", ADDRESS(INDEX($W$2:$W$1001,MATCH(ROWS($U$2:U88),$U$2:$U$1001,0),0), INDEX($AB$1004:$AQ$1004,1,MATCH(COLUMNS($AB$1006:AO1006),$AB$1006:$AQ$1006,0)))),"Fix")))</f>
        <v>0</v>
      </c>
      <c r="P88" s="4">
        <f>IF(OR(INDEX($V$2:$V$1001,MATCH(ROWS($U$2:U88),$U$2:$U$1001,0),1)&gt;=100000,INDEX($AB$1005:$AQ$1005,1,MATCH(COLUMNS($AB$1006:AP1006),$AB$1006:$AQ$1006,0))&gt;=100000), " ",IF(INDEX($AB$2:$AQ$1001,MATCH(ROWS($U$2:U88),$U$2:$U$1001,0),MATCH(COLUMNS($AB$1006:AP1006),$AB$1006:$AQ$1006,0)), HYPERLINK("#",""), HYPERLINK(CONCATENATE("#metadata!", ADDRESS(INDEX($W$2:$W$1001,MATCH(ROWS($U$2:U88),$U$2:$U$1001,0),0), INDEX($AB$1004:$AQ$1004,1,MATCH(COLUMNS($AB$1006:AP1006),$AB$1006:$AQ$1006,0)))),"Fix")))</f>
        <v>0</v>
      </c>
      <c r="Q88" s="4">
        <f>IF(OR(INDEX($V$2:$V$1001,MATCH(ROWS($U$2:U88),$U$2:$U$1001,0),1)&gt;=100000,INDEX($AB$1005:$AQ$1005,1,MATCH(COLUMNS($AB$1006:AQ1006),$AB$1006:$AQ$1006,0))&gt;=100000), " ",IF(INDEX($AB$2:$AQ$1001,MATCH(ROWS($U$2:U88),$U$2:$U$1001,0),MATCH(COLUMNS($AB$1006:AQ1006),$AB$1006:$AQ$1006,0)), HYPERLINK("#",""), HYPERLINK(CONCATENATE("#metadata!", ADDRESS(INDEX($W$2:$W$1001,MATCH(ROWS($U$2:U88),$U$2:$U$1001,0),0), INDEX($AB$1004:$AQ$1004,1,MATCH(COLUMNS($AB$1006:AQ1006),$AB$1006:$AQ$1006,0)))),"Fix")))</f>
        <v>0</v>
      </c>
      <c r="U88">
        <v>0</v>
      </c>
      <c r="V88">
        <v>0</v>
      </c>
      <c r="W88">
        <v>0</v>
      </c>
      <c r="X88">
        <f>IF(Y88,TRUE,AND(AB88:AQ88))</f>
        <v>0</v>
      </c>
      <c r="Y88">
        <f>COUNTBLANK(metadata!B88:Q88)=COLUMNS(metadata!B88:Q88)</f>
        <v>0</v>
      </c>
      <c r="Z88">
        <v>0</v>
      </c>
      <c r="AB88">
        <f>AND(IF(metadata!B88="",FALSE,TRUE),COUNTIF(metadata!B:B, metadata!B88) = 1,NOT(ISERROR(SUMPRODUCT(SEARCH(MID(metadata!B88,ROW(INDIRECT("1:"&amp;LEN(metadata!B88))), 1),"0123456789abcdefghijklmnopqrstuvwxyzABCDEFGHIJKLMNOPQRSTUVWXYZ.")))))</f>
        <v>0</v>
      </c>
      <c r="AC88">
        <f>OR(AND(IF(metadata!C88="",FALSE,TRUE),OR(exact(metadata!C88,"missing: not collected"),exact(metadata!C88,"missing: not provided"),exact(metadata!C88,"missing: restricted access"))),AND(IF(metadata!C88="",FALSE,TRUE),AND(AND(IFERROR(INT(LEFT(metadata!C88,4))&gt;1900,FALSE),IFERROR(INT(LEFT(metadata!C88,4))&lt;=YEAR(NOW()),FALSE)), OR(MID(metadata!C88,5,1)="", AND(AND(MID(metadata!C88,5,1)="-",IFERROR(INT(MID(metadata!C88,6,1))&gt;=0,FALSE),IFERROR(INT(MID(metadata!C88,6,1))&lt;=1,FALSE),NOT(MID(metadata!C88,7,1)=""),IFERROR(INT(MID(metadata!C88,6,2))&gt;=1,FALSE),IFERROR(INT(MID(metadata!C88,6,2))&lt;=12,FALSE)), OR(MID(metadata!C88,8,1)="", AND(AND(MID(metadata!C88,8,1)="-",IFERROR(INT(MID(metadata!C88,9,1))&gt;=0,FALSE),IFERROR(INT(MID(metadata!C88,9,1))&lt;=3,FALSE),NOT(MID(metadata!C88,10,1)=""),IFERROR(INT(MID(metadata!C88,9,2))&gt;=1,FALSE),IFERROR(INT(MID(metadata!C88,9,2))&lt;=31,FALSE)), OR(MID(metadata!C88,11,1)="", AND(AND(MID(metadata!C88,11,1)=" ",IFERROR(INT(MID(metadata!C88,12,1))&gt;=0,FALSE),IFERROR(INT(MID(metadata!C88,12,1))&lt;=2,FALSE),NOT(MID(metadata!C88,13,1)=""),IFERROR(INT(MID(metadata!C88,12,2))&gt;=0,FALSE),IFERROR(INT(MID(metadata!C88,12,2))&lt;=23,FALSE)), OR(MID(metadata!C88,14,1)="", AND(AND(MID(metadata!C88,14,1)=":",IFERROR(INT(MID(metadata!C88,15,1))&gt;=0,FALSE),IFERROR(INT(MID(metadata!C88,15,1))&lt;=5,FALSE),NOT(MID(metadata!C88,16,1)=""),IFERROR(INT(MID(metadata!C88,15,2))&gt;=0,FALSE),IFERROR(INT(MID(metadata!C88,15,2))&lt;=59,FALSE)), OR(MID(metadata!C88,17,1)="", AND(AND(MID(metadata!C88,17,1)=":",IFERROR(INT(MID(metadata!C88,18,1))&gt;=0,FALSE),IFERROR(INT(MID(metadata!C88,18,1))&lt;=5,FALSE),NOT(MID(metadata!C88,19,1)=""),IFERROR(INT(MID(metadata!C88,18,2))&gt;=0,FALSE),IFERROR(INT(MID(metadata!C88,18,2))&lt;=59,FALSE)), LEN(metadata!C88)&lt;=19)))))))))))))</f>
        <v>0</v>
      </c>
      <c r="AD88">
        <f>IF(metadata!D88="",FALSE,TRUE)</f>
        <v>0</v>
      </c>
      <c r="AE88">
        <f>OR(AND(IF(metadata!E88="",FALSE,TRUE),OR(exact(metadata!E88,"missing: not collected"),exact(metadata!E88,"missing: not provided"))),AND(IF(metadata!E88="",FALSE,TRUE),OR(exact(metadata!E88,"TRUE"),exact(metadata!E88,"FALSE"))))</f>
        <v>0</v>
      </c>
      <c r="AF88">
        <f>IF(metadata!F88="",FALSE,TRUE)</f>
        <v>0</v>
      </c>
      <c r="AG88">
        <f>IF(metadata!G88="",FALSE,TRUE)</f>
        <v>0</v>
      </c>
      <c r="AH88">
        <f>IF(metadata!H88="",FALSE,TRUE)</f>
        <v>0</v>
      </c>
      <c r="AI88">
        <f>OR(AND(IF(metadata!I88="",FALSE,TRUE),OR(exact(metadata!I88,"missing: not collected"),exact(metadata!I88,"missing: not provided"),exact(metadata!I88,"missing: restricted access"))),AND(IF(metadata!I88="",FALSE,TRUE),OR(exact(metadata!I88,"air"),exact(metadata!I88,"built environment"),exact(metadata!I88,"host-associated"),exact(metadata!I88,"human-associated"),exact(metadata!I88,"human-skin"),exact(metadata!I88,"human-oral"),exact(metadata!I88,"human-gut"),exact(metadata!I88,"human-vaginal"),exact(metadata!I88,"microbial mat/biofilm"),exact(metadata!I88,"misc environment"),exact(metadata!I88,"plant-associated"),exact(metadata!I88,"sediment"),exact(metadata!I88,"soil"),exact(metadata!I88,"wastewater/sludge"),exact(metadata!I88,"water"))))</f>
        <v>0</v>
      </c>
      <c r="AJ88">
        <f>IF(metadata!J88="",FALSE,TRUE)</f>
        <v>0</v>
      </c>
      <c r="AK88">
        <f>OR(AND(IF(metadata!K88="",FALSE,TRUE),OR(exact(metadata!K88,"missing: not collected"),exact(metadata!K88,"missing: not provided"),exact(metadata!K88,"missing: restricted access"))),AND(IF(metadata!K88="",FALSE,ISNUMBER(VALUE(metadata!K88))),metadata!K88&gt;=-90.00,metadata!K88&lt;=90.00))</f>
        <v>0</v>
      </c>
      <c r="AL88">
        <f>OR(AND(IF(metadata!L88="",FALSE,TRUE),OR(exact(metadata!L88,"missing: not collected"),exact(metadata!L88,"missing: not provided"),exact(metadata!L88,"missing: restricted access"))),AND(IF(metadata!L88="",FALSE,ISNUMBER(VALUE(metadata!L88))),metadata!L88&gt;=-180.00,metadata!L88&lt;=180.00))</f>
        <v>0</v>
      </c>
      <c r="AM88">
        <f>IF(metadata!M88="",FALSE,TRUE)</f>
        <v>0</v>
      </c>
      <c r="AN88">
        <f>OR(AND(IF(metadata!N88="",FALSE,TRUE),OR(exact(metadata!N88,"missing: not collected"),exact(metadata!N88,"missing: not provided"),exact(metadata!N88,"missing: restricted access"))),AND(IF(metadata!N88="",FALSE,TRUE),OR(exact(metadata!N88,"TRUE"),exact(metadata!N88,"FALSE"))))</f>
        <v>0</v>
      </c>
      <c r="AO88">
        <f>IF(metadata!O88="",FALSE,TRUE)</f>
        <v>0</v>
      </c>
      <c r="AP88">
        <f>OR(AND(IF(metadata!P88="",FALSE,TRUE),OR(exact(metadata!P88,"missing: not collected"),exact(metadata!P88,"missing: not provided"))),AND(IF(metadata!P88="",FALSE,IF(ISERROR(INT(metadata!P88)),FALSE,INT(metadata!P88)=metadata!P88)),metadata!P88&gt;0))</f>
        <v>0</v>
      </c>
      <c r="AQ88">
        <f>IF(metadata!Q88="",FALSE,TRUE)</f>
        <v>0</v>
      </c>
    </row>
    <row r="89" spans="1:43">
      <c r="A89" s="5">
        <f>IF(B89=" "," ",HYPERLINK(CONCATENATE("#metadata!",ADDRESS(INDEX($W$2:$W$1001,MATCH(ROWS($U$2:U89),$U$2:$U$1001,0),0),1)),INDEX($Z$2:$Z$1001,MATCH(ROWS($U$2:U89),$U$2:$U$1001,0),0)))</f>
        <v>0</v>
      </c>
      <c r="B89" s="4">
        <f>IF(OR(INDEX($V$2:$V$1001,MATCH(ROWS($U$2:U89),$U$2:$U$1001,0),1)&gt;=100000,INDEX($AB$1005:$AQ$1005,1,MATCH(COLUMNS($AB$1006:AB1006),$AB$1006:$AQ$1006,0))&gt;=100000), " ",IF(INDEX($AB$2:$AQ$1001,MATCH(ROWS($U$2:U89),$U$2:$U$1001,0),MATCH(COLUMNS($AB$1006:AB1006),$AB$1006:$AQ$1006,0)), HYPERLINK("#",""), HYPERLINK(CONCATENATE("#metadata!", ADDRESS(INDEX($W$2:$W$1001,MATCH(ROWS($U$2:U89),$U$2:$U$1001,0),0), INDEX($AB$1004:$AQ$1004,1,MATCH(COLUMNS($AB$1006:AB1006),$AB$1006:$AQ$1006,0)))),"Fix")))</f>
        <v>0</v>
      </c>
      <c r="C89" s="4">
        <f>IF(OR(INDEX($V$2:$V$1001,MATCH(ROWS($U$2:U89),$U$2:$U$1001,0),1)&gt;=100000,INDEX($AB$1005:$AQ$1005,1,MATCH(COLUMNS($AB$1006:AC1006),$AB$1006:$AQ$1006,0))&gt;=100000), " ",IF(INDEX($AB$2:$AQ$1001,MATCH(ROWS($U$2:U89),$U$2:$U$1001,0),MATCH(COLUMNS($AB$1006:AC1006),$AB$1006:$AQ$1006,0)), HYPERLINK("#",""), HYPERLINK(CONCATENATE("#metadata!", ADDRESS(INDEX($W$2:$W$1001,MATCH(ROWS($U$2:U89),$U$2:$U$1001,0),0), INDEX($AB$1004:$AQ$1004,1,MATCH(COLUMNS($AB$1006:AC1006),$AB$1006:$AQ$1006,0)))),"Fix")))</f>
        <v>0</v>
      </c>
      <c r="D89" s="4">
        <f>IF(OR(INDEX($V$2:$V$1001,MATCH(ROWS($U$2:U89),$U$2:$U$1001,0),1)&gt;=100000,INDEX($AB$1005:$AQ$1005,1,MATCH(COLUMNS($AB$1006:AD1006),$AB$1006:$AQ$1006,0))&gt;=100000), " ",IF(INDEX($AB$2:$AQ$1001,MATCH(ROWS($U$2:U89),$U$2:$U$1001,0),MATCH(COLUMNS($AB$1006:AD1006),$AB$1006:$AQ$1006,0)), HYPERLINK("#",""), HYPERLINK(CONCATENATE("#metadata!", ADDRESS(INDEX($W$2:$W$1001,MATCH(ROWS($U$2:U89),$U$2:$U$1001,0),0), INDEX($AB$1004:$AQ$1004,1,MATCH(COLUMNS($AB$1006:AD1006),$AB$1006:$AQ$1006,0)))),"Fix")))</f>
        <v>0</v>
      </c>
      <c r="E89" s="4">
        <f>IF(OR(INDEX($V$2:$V$1001,MATCH(ROWS($U$2:U89),$U$2:$U$1001,0),1)&gt;=100000,INDEX($AB$1005:$AQ$1005,1,MATCH(COLUMNS($AB$1006:AE1006),$AB$1006:$AQ$1006,0))&gt;=100000), " ",IF(INDEX($AB$2:$AQ$1001,MATCH(ROWS($U$2:U89),$U$2:$U$1001,0),MATCH(COLUMNS($AB$1006:AE1006),$AB$1006:$AQ$1006,0)), HYPERLINK("#",""), HYPERLINK(CONCATENATE("#metadata!", ADDRESS(INDEX($W$2:$W$1001,MATCH(ROWS($U$2:U89),$U$2:$U$1001,0),0), INDEX($AB$1004:$AQ$1004,1,MATCH(COLUMNS($AB$1006:AE1006),$AB$1006:$AQ$1006,0)))),"Fix")))</f>
        <v>0</v>
      </c>
      <c r="F89" s="4">
        <f>IF(OR(INDEX($V$2:$V$1001,MATCH(ROWS($U$2:U89),$U$2:$U$1001,0),1)&gt;=100000,INDEX($AB$1005:$AQ$1005,1,MATCH(COLUMNS($AB$1006:AF1006),$AB$1006:$AQ$1006,0))&gt;=100000), " ",IF(INDEX($AB$2:$AQ$1001,MATCH(ROWS($U$2:U89),$U$2:$U$1001,0),MATCH(COLUMNS($AB$1006:AF1006),$AB$1006:$AQ$1006,0)), HYPERLINK("#",""), HYPERLINK(CONCATENATE("#metadata!", ADDRESS(INDEX($W$2:$W$1001,MATCH(ROWS($U$2:U89),$U$2:$U$1001,0),0), INDEX($AB$1004:$AQ$1004,1,MATCH(COLUMNS($AB$1006:AF1006),$AB$1006:$AQ$1006,0)))),"Fix")))</f>
        <v>0</v>
      </c>
      <c r="G89" s="4">
        <f>IF(OR(INDEX($V$2:$V$1001,MATCH(ROWS($U$2:U89),$U$2:$U$1001,0),1)&gt;=100000,INDEX($AB$1005:$AQ$1005,1,MATCH(COLUMNS($AB$1006:AG1006),$AB$1006:$AQ$1006,0))&gt;=100000), " ",IF(INDEX($AB$2:$AQ$1001,MATCH(ROWS($U$2:U89),$U$2:$U$1001,0),MATCH(COLUMNS($AB$1006:AG1006),$AB$1006:$AQ$1006,0)), HYPERLINK("#",""), HYPERLINK(CONCATENATE("#metadata!", ADDRESS(INDEX($W$2:$W$1001,MATCH(ROWS($U$2:U89),$U$2:$U$1001,0),0), INDEX($AB$1004:$AQ$1004,1,MATCH(COLUMNS($AB$1006:AG1006),$AB$1006:$AQ$1006,0)))),"Fix")))</f>
        <v>0</v>
      </c>
      <c r="H89" s="4">
        <f>IF(OR(INDEX($V$2:$V$1001,MATCH(ROWS($U$2:U89),$U$2:$U$1001,0),1)&gt;=100000,INDEX($AB$1005:$AQ$1005,1,MATCH(COLUMNS($AB$1006:AH1006),$AB$1006:$AQ$1006,0))&gt;=100000), " ",IF(INDEX($AB$2:$AQ$1001,MATCH(ROWS($U$2:U89),$U$2:$U$1001,0),MATCH(COLUMNS($AB$1006:AH1006),$AB$1006:$AQ$1006,0)), HYPERLINK("#",""), HYPERLINK(CONCATENATE("#metadata!", ADDRESS(INDEX($W$2:$W$1001,MATCH(ROWS($U$2:U89),$U$2:$U$1001,0),0), INDEX($AB$1004:$AQ$1004,1,MATCH(COLUMNS($AB$1006:AH1006),$AB$1006:$AQ$1006,0)))),"Fix")))</f>
        <v>0</v>
      </c>
      <c r="I89" s="4">
        <f>IF(OR(INDEX($V$2:$V$1001,MATCH(ROWS($U$2:U89),$U$2:$U$1001,0),1)&gt;=100000,INDEX($AB$1005:$AQ$1005,1,MATCH(COLUMNS($AB$1006:AI1006),$AB$1006:$AQ$1006,0))&gt;=100000), " ",IF(INDEX($AB$2:$AQ$1001,MATCH(ROWS($U$2:U89),$U$2:$U$1001,0),MATCH(COLUMNS($AB$1006:AI1006),$AB$1006:$AQ$1006,0)), HYPERLINK("#",""), HYPERLINK(CONCATENATE("#metadata!", ADDRESS(INDEX($W$2:$W$1001,MATCH(ROWS($U$2:U89),$U$2:$U$1001,0),0), INDEX($AB$1004:$AQ$1004,1,MATCH(COLUMNS($AB$1006:AI1006),$AB$1006:$AQ$1006,0)))),"Fix")))</f>
        <v>0</v>
      </c>
      <c r="J89" s="4">
        <f>IF(OR(INDEX($V$2:$V$1001,MATCH(ROWS($U$2:U89),$U$2:$U$1001,0),1)&gt;=100000,INDEX($AB$1005:$AQ$1005,1,MATCH(COLUMNS($AB$1006:AJ1006),$AB$1006:$AQ$1006,0))&gt;=100000), " ",IF(INDEX($AB$2:$AQ$1001,MATCH(ROWS($U$2:U89),$U$2:$U$1001,0),MATCH(COLUMNS($AB$1006:AJ1006),$AB$1006:$AQ$1006,0)), HYPERLINK("#",""), HYPERLINK(CONCATENATE("#metadata!", ADDRESS(INDEX($W$2:$W$1001,MATCH(ROWS($U$2:U89),$U$2:$U$1001,0),0), INDEX($AB$1004:$AQ$1004,1,MATCH(COLUMNS($AB$1006:AJ1006),$AB$1006:$AQ$1006,0)))),"Fix")))</f>
        <v>0</v>
      </c>
      <c r="K89" s="4">
        <f>IF(OR(INDEX($V$2:$V$1001,MATCH(ROWS($U$2:U89),$U$2:$U$1001,0),1)&gt;=100000,INDEX($AB$1005:$AQ$1005,1,MATCH(COLUMNS($AB$1006:AK1006),$AB$1006:$AQ$1006,0))&gt;=100000), " ",IF(INDEX($AB$2:$AQ$1001,MATCH(ROWS($U$2:U89),$U$2:$U$1001,0),MATCH(COLUMNS($AB$1006:AK1006),$AB$1006:$AQ$1006,0)), HYPERLINK("#",""), HYPERLINK(CONCATENATE("#metadata!", ADDRESS(INDEX($W$2:$W$1001,MATCH(ROWS($U$2:U89),$U$2:$U$1001,0),0), INDEX($AB$1004:$AQ$1004,1,MATCH(COLUMNS($AB$1006:AK1006),$AB$1006:$AQ$1006,0)))),"Fix")))</f>
        <v>0</v>
      </c>
      <c r="L89" s="4">
        <f>IF(OR(INDEX($V$2:$V$1001,MATCH(ROWS($U$2:U89),$U$2:$U$1001,0),1)&gt;=100000,INDEX($AB$1005:$AQ$1005,1,MATCH(COLUMNS($AB$1006:AL1006),$AB$1006:$AQ$1006,0))&gt;=100000), " ",IF(INDEX($AB$2:$AQ$1001,MATCH(ROWS($U$2:U89),$U$2:$U$1001,0),MATCH(COLUMNS($AB$1006:AL1006),$AB$1006:$AQ$1006,0)), HYPERLINK("#",""), HYPERLINK(CONCATENATE("#metadata!", ADDRESS(INDEX($W$2:$W$1001,MATCH(ROWS($U$2:U89),$U$2:$U$1001,0),0), INDEX($AB$1004:$AQ$1004,1,MATCH(COLUMNS($AB$1006:AL1006),$AB$1006:$AQ$1006,0)))),"Fix")))</f>
        <v>0</v>
      </c>
      <c r="M89" s="4">
        <f>IF(OR(INDEX($V$2:$V$1001,MATCH(ROWS($U$2:U89),$U$2:$U$1001,0),1)&gt;=100000,INDEX($AB$1005:$AQ$1005,1,MATCH(COLUMNS($AB$1006:AM1006),$AB$1006:$AQ$1006,0))&gt;=100000), " ",IF(INDEX($AB$2:$AQ$1001,MATCH(ROWS($U$2:U89),$U$2:$U$1001,0),MATCH(COLUMNS($AB$1006:AM1006),$AB$1006:$AQ$1006,0)), HYPERLINK("#",""), HYPERLINK(CONCATENATE("#metadata!", ADDRESS(INDEX($W$2:$W$1001,MATCH(ROWS($U$2:U89),$U$2:$U$1001,0),0), INDEX($AB$1004:$AQ$1004,1,MATCH(COLUMNS($AB$1006:AM1006),$AB$1006:$AQ$1006,0)))),"Fix")))</f>
        <v>0</v>
      </c>
      <c r="N89" s="4">
        <f>IF(OR(INDEX($V$2:$V$1001,MATCH(ROWS($U$2:U89),$U$2:$U$1001,0),1)&gt;=100000,INDEX($AB$1005:$AQ$1005,1,MATCH(COLUMNS($AB$1006:AN1006),$AB$1006:$AQ$1006,0))&gt;=100000), " ",IF(INDEX($AB$2:$AQ$1001,MATCH(ROWS($U$2:U89),$U$2:$U$1001,0),MATCH(COLUMNS($AB$1006:AN1006),$AB$1006:$AQ$1006,0)), HYPERLINK("#",""), HYPERLINK(CONCATENATE("#metadata!", ADDRESS(INDEX($W$2:$W$1001,MATCH(ROWS($U$2:U89),$U$2:$U$1001,0),0), INDEX($AB$1004:$AQ$1004,1,MATCH(COLUMNS($AB$1006:AN1006),$AB$1006:$AQ$1006,0)))),"Fix")))</f>
        <v>0</v>
      </c>
      <c r="O89" s="4">
        <f>IF(OR(INDEX($V$2:$V$1001,MATCH(ROWS($U$2:U89),$U$2:$U$1001,0),1)&gt;=100000,INDEX($AB$1005:$AQ$1005,1,MATCH(COLUMNS($AB$1006:AO1006),$AB$1006:$AQ$1006,0))&gt;=100000), " ",IF(INDEX($AB$2:$AQ$1001,MATCH(ROWS($U$2:U89),$U$2:$U$1001,0),MATCH(COLUMNS($AB$1006:AO1006),$AB$1006:$AQ$1006,0)), HYPERLINK("#",""), HYPERLINK(CONCATENATE("#metadata!", ADDRESS(INDEX($W$2:$W$1001,MATCH(ROWS($U$2:U89),$U$2:$U$1001,0),0), INDEX($AB$1004:$AQ$1004,1,MATCH(COLUMNS($AB$1006:AO1006),$AB$1006:$AQ$1006,0)))),"Fix")))</f>
        <v>0</v>
      </c>
      <c r="P89" s="4">
        <f>IF(OR(INDEX($V$2:$V$1001,MATCH(ROWS($U$2:U89),$U$2:$U$1001,0),1)&gt;=100000,INDEX($AB$1005:$AQ$1005,1,MATCH(COLUMNS($AB$1006:AP1006),$AB$1006:$AQ$1006,0))&gt;=100000), " ",IF(INDEX($AB$2:$AQ$1001,MATCH(ROWS($U$2:U89),$U$2:$U$1001,0),MATCH(COLUMNS($AB$1006:AP1006),$AB$1006:$AQ$1006,0)), HYPERLINK("#",""), HYPERLINK(CONCATENATE("#metadata!", ADDRESS(INDEX($W$2:$W$1001,MATCH(ROWS($U$2:U89),$U$2:$U$1001,0),0), INDEX($AB$1004:$AQ$1004,1,MATCH(COLUMNS($AB$1006:AP1006),$AB$1006:$AQ$1006,0)))),"Fix")))</f>
        <v>0</v>
      </c>
      <c r="Q89" s="4">
        <f>IF(OR(INDEX($V$2:$V$1001,MATCH(ROWS($U$2:U89),$U$2:$U$1001,0),1)&gt;=100000,INDEX($AB$1005:$AQ$1005,1,MATCH(COLUMNS($AB$1006:AQ1006),$AB$1006:$AQ$1006,0))&gt;=100000), " ",IF(INDEX($AB$2:$AQ$1001,MATCH(ROWS($U$2:U89),$U$2:$U$1001,0),MATCH(COLUMNS($AB$1006:AQ1006),$AB$1006:$AQ$1006,0)), HYPERLINK("#",""), HYPERLINK(CONCATENATE("#metadata!", ADDRESS(INDEX($W$2:$W$1001,MATCH(ROWS($U$2:U89),$U$2:$U$1001,0),0), INDEX($AB$1004:$AQ$1004,1,MATCH(COLUMNS($AB$1006:AQ1006),$AB$1006:$AQ$1006,0)))),"Fix")))</f>
        <v>0</v>
      </c>
      <c r="U89">
        <v>0</v>
      </c>
      <c r="V89">
        <v>0</v>
      </c>
      <c r="W89">
        <v>0</v>
      </c>
      <c r="X89">
        <f>IF(Y89,TRUE,AND(AB89:AQ89))</f>
        <v>0</v>
      </c>
      <c r="Y89">
        <f>COUNTBLANK(metadata!B89:Q89)=COLUMNS(metadata!B89:Q89)</f>
        <v>0</v>
      </c>
      <c r="Z89">
        <v>0</v>
      </c>
      <c r="AB89">
        <f>AND(IF(metadata!B89="",FALSE,TRUE),COUNTIF(metadata!B:B, metadata!B89) = 1,NOT(ISERROR(SUMPRODUCT(SEARCH(MID(metadata!B89,ROW(INDIRECT("1:"&amp;LEN(metadata!B89))), 1),"0123456789abcdefghijklmnopqrstuvwxyzABCDEFGHIJKLMNOPQRSTUVWXYZ.")))))</f>
        <v>0</v>
      </c>
      <c r="AC89">
        <f>OR(AND(IF(metadata!C89="",FALSE,TRUE),OR(exact(metadata!C89,"missing: not collected"),exact(metadata!C89,"missing: not provided"),exact(metadata!C89,"missing: restricted access"))),AND(IF(metadata!C89="",FALSE,TRUE),AND(AND(IFERROR(INT(LEFT(metadata!C89,4))&gt;1900,FALSE),IFERROR(INT(LEFT(metadata!C89,4))&lt;=YEAR(NOW()),FALSE)), OR(MID(metadata!C89,5,1)="", AND(AND(MID(metadata!C89,5,1)="-",IFERROR(INT(MID(metadata!C89,6,1))&gt;=0,FALSE),IFERROR(INT(MID(metadata!C89,6,1))&lt;=1,FALSE),NOT(MID(metadata!C89,7,1)=""),IFERROR(INT(MID(metadata!C89,6,2))&gt;=1,FALSE),IFERROR(INT(MID(metadata!C89,6,2))&lt;=12,FALSE)), OR(MID(metadata!C89,8,1)="", AND(AND(MID(metadata!C89,8,1)="-",IFERROR(INT(MID(metadata!C89,9,1))&gt;=0,FALSE),IFERROR(INT(MID(metadata!C89,9,1))&lt;=3,FALSE),NOT(MID(metadata!C89,10,1)=""),IFERROR(INT(MID(metadata!C89,9,2))&gt;=1,FALSE),IFERROR(INT(MID(metadata!C89,9,2))&lt;=31,FALSE)), OR(MID(metadata!C89,11,1)="", AND(AND(MID(metadata!C89,11,1)=" ",IFERROR(INT(MID(metadata!C89,12,1))&gt;=0,FALSE),IFERROR(INT(MID(metadata!C89,12,1))&lt;=2,FALSE),NOT(MID(metadata!C89,13,1)=""),IFERROR(INT(MID(metadata!C89,12,2))&gt;=0,FALSE),IFERROR(INT(MID(metadata!C89,12,2))&lt;=23,FALSE)), OR(MID(metadata!C89,14,1)="", AND(AND(MID(metadata!C89,14,1)=":",IFERROR(INT(MID(metadata!C89,15,1))&gt;=0,FALSE),IFERROR(INT(MID(metadata!C89,15,1))&lt;=5,FALSE),NOT(MID(metadata!C89,16,1)=""),IFERROR(INT(MID(metadata!C89,15,2))&gt;=0,FALSE),IFERROR(INT(MID(metadata!C89,15,2))&lt;=59,FALSE)), OR(MID(metadata!C89,17,1)="", AND(AND(MID(metadata!C89,17,1)=":",IFERROR(INT(MID(metadata!C89,18,1))&gt;=0,FALSE),IFERROR(INT(MID(metadata!C89,18,1))&lt;=5,FALSE),NOT(MID(metadata!C89,19,1)=""),IFERROR(INT(MID(metadata!C89,18,2))&gt;=0,FALSE),IFERROR(INT(MID(metadata!C89,18,2))&lt;=59,FALSE)), LEN(metadata!C89)&lt;=19)))))))))))))</f>
        <v>0</v>
      </c>
      <c r="AD89">
        <f>IF(metadata!D89="",FALSE,TRUE)</f>
        <v>0</v>
      </c>
      <c r="AE89">
        <f>OR(AND(IF(metadata!E89="",FALSE,TRUE),OR(exact(metadata!E89,"missing: not collected"),exact(metadata!E89,"missing: not provided"))),AND(IF(metadata!E89="",FALSE,TRUE),OR(exact(metadata!E89,"TRUE"),exact(metadata!E89,"FALSE"))))</f>
        <v>0</v>
      </c>
      <c r="AF89">
        <f>IF(metadata!F89="",FALSE,TRUE)</f>
        <v>0</v>
      </c>
      <c r="AG89">
        <f>IF(metadata!G89="",FALSE,TRUE)</f>
        <v>0</v>
      </c>
      <c r="AH89">
        <f>IF(metadata!H89="",FALSE,TRUE)</f>
        <v>0</v>
      </c>
      <c r="AI89">
        <f>OR(AND(IF(metadata!I89="",FALSE,TRUE),OR(exact(metadata!I89,"missing: not collected"),exact(metadata!I89,"missing: not provided"),exact(metadata!I89,"missing: restricted access"))),AND(IF(metadata!I89="",FALSE,TRUE),OR(exact(metadata!I89,"air"),exact(metadata!I89,"built environment"),exact(metadata!I89,"host-associated"),exact(metadata!I89,"human-associated"),exact(metadata!I89,"human-skin"),exact(metadata!I89,"human-oral"),exact(metadata!I89,"human-gut"),exact(metadata!I89,"human-vaginal"),exact(metadata!I89,"microbial mat/biofilm"),exact(metadata!I89,"misc environment"),exact(metadata!I89,"plant-associated"),exact(metadata!I89,"sediment"),exact(metadata!I89,"soil"),exact(metadata!I89,"wastewater/sludge"),exact(metadata!I89,"water"))))</f>
        <v>0</v>
      </c>
      <c r="AJ89">
        <f>IF(metadata!J89="",FALSE,TRUE)</f>
        <v>0</v>
      </c>
      <c r="AK89">
        <f>OR(AND(IF(metadata!K89="",FALSE,TRUE),OR(exact(metadata!K89,"missing: not collected"),exact(metadata!K89,"missing: not provided"),exact(metadata!K89,"missing: restricted access"))),AND(IF(metadata!K89="",FALSE,ISNUMBER(VALUE(metadata!K89))),metadata!K89&gt;=-90.00,metadata!K89&lt;=90.00))</f>
        <v>0</v>
      </c>
      <c r="AL89">
        <f>OR(AND(IF(metadata!L89="",FALSE,TRUE),OR(exact(metadata!L89,"missing: not collected"),exact(metadata!L89,"missing: not provided"),exact(metadata!L89,"missing: restricted access"))),AND(IF(metadata!L89="",FALSE,ISNUMBER(VALUE(metadata!L89))),metadata!L89&gt;=-180.00,metadata!L89&lt;=180.00))</f>
        <v>0</v>
      </c>
      <c r="AM89">
        <f>IF(metadata!M89="",FALSE,TRUE)</f>
        <v>0</v>
      </c>
      <c r="AN89">
        <f>OR(AND(IF(metadata!N89="",FALSE,TRUE),OR(exact(metadata!N89,"missing: not collected"),exact(metadata!N89,"missing: not provided"),exact(metadata!N89,"missing: restricted access"))),AND(IF(metadata!N89="",FALSE,TRUE),OR(exact(metadata!N89,"TRUE"),exact(metadata!N89,"FALSE"))))</f>
        <v>0</v>
      </c>
      <c r="AO89">
        <f>IF(metadata!O89="",FALSE,TRUE)</f>
        <v>0</v>
      </c>
      <c r="AP89">
        <f>OR(AND(IF(metadata!P89="",FALSE,TRUE),OR(exact(metadata!P89,"missing: not collected"),exact(metadata!P89,"missing: not provided"))),AND(IF(metadata!P89="",FALSE,IF(ISERROR(INT(metadata!P89)),FALSE,INT(metadata!P89)=metadata!P89)),metadata!P89&gt;0))</f>
        <v>0</v>
      </c>
      <c r="AQ89">
        <f>IF(metadata!Q89="",FALSE,TRUE)</f>
        <v>0</v>
      </c>
    </row>
    <row r="90" spans="1:43">
      <c r="A90" s="5">
        <f>IF(B90=" "," ",HYPERLINK(CONCATENATE("#metadata!",ADDRESS(INDEX($W$2:$W$1001,MATCH(ROWS($U$2:U90),$U$2:$U$1001,0),0),1)),INDEX($Z$2:$Z$1001,MATCH(ROWS($U$2:U90),$U$2:$U$1001,0),0)))</f>
        <v>0</v>
      </c>
      <c r="B90" s="4">
        <f>IF(OR(INDEX($V$2:$V$1001,MATCH(ROWS($U$2:U90),$U$2:$U$1001,0),1)&gt;=100000,INDEX($AB$1005:$AQ$1005,1,MATCH(COLUMNS($AB$1006:AB1006),$AB$1006:$AQ$1006,0))&gt;=100000), " ",IF(INDEX($AB$2:$AQ$1001,MATCH(ROWS($U$2:U90),$U$2:$U$1001,0),MATCH(COLUMNS($AB$1006:AB1006),$AB$1006:$AQ$1006,0)), HYPERLINK("#",""), HYPERLINK(CONCATENATE("#metadata!", ADDRESS(INDEX($W$2:$W$1001,MATCH(ROWS($U$2:U90),$U$2:$U$1001,0),0), INDEX($AB$1004:$AQ$1004,1,MATCH(COLUMNS($AB$1006:AB1006),$AB$1006:$AQ$1006,0)))),"Fix")))</f>
        <v>0</v>
      </c>
      <c r="C90" s="4">
        <f>IF(OR(INDEX($V$2:$V$1001,MATCH(ROWS($U$2:U90),$U$2:$U$1001,0),1)&gt;=100000,INDEX($AB$1005:$AQ$1005,1,MATCH(COLUMNS($AB$1006:AC1006),$AB$1006:$AQ$1006,0))&gt;=100000), " ",IF(INDEX($AB$2:$AQ$1001,MATCH(ROWS($U$2:U90),$U$2:$U$1001,0),MATCH(COLUMNS($AB$1006:AC1006),$AB$1006:$AQ$1006,0)), HYPERLINK("#",""), HYPERLINK(CONCATENATE("#metadata!", ADDRESS(INDEX($W$2:$W$1001,MATCH(ROWS($U$2:U90),$U$2:$U$1001,0),0), INDEX($AB$1004:$AQ$1004,1,MATCH(COLUMNS($AB$1006:AC1006),$AB$1006:$AQ$1006,0)))),"Fix")))</f>
        <v>0</v>
      </c>
      <c r="D90" s="4">
        <f>IF(OR(INDEX($V$2:$V$1001,MATCH(ROWS($U$2:U90),$U$2:$U$1001,0),1)&gt;=100000,INDEX($AB$1005:$AQ$1005,1,MATCH(COLUMNS($AB$1006:AD1006),$AB$1006:$AQ$1006,0))&gt;=100000), " ",IF(INDEX($AB$2:$AQ$1001,MATCH(ROWS($U$2:U90),$U$2:$U$1001,0),MATCH(COLUMNS($AB$1006:AD1006),$AB$1006:$AQ$1006,0)), HYPERLINK("#",""), HYPERLINK(CONCATENATE("#metadata!", ADDRESS(INDEX($W$2:$W$1001,MATCH(ROWS($U$2:U90),$U$2:$U$1001,0),0), INDEX($AB$1004:$AQ$1004,1,MATCH(COLUMNS($AB$1006:AD1006),$AB$1006:$AQ$1006,0)))),"Fix")))</f>
        <v>0</v>
      </c>
      <c r="E90" s="4">
        <f>IF(OR(INDEX($V$2:$V$1001,MATCH(ROWS($U$2:U90),$U$2:$U$1001,0),1)&gt;=100000,INDEX($AB$1005:$AQ$1005,1,MATCH(COLUMNS($AB$1006:AE1006),$AB$1006:$AQ$1006,0))&gt;=100000), " ",IF(INDEX($AB$2:$AQ$1001,MATCH(ROWS($U$2:U90),$U$2:$U$1001,0),MATCH(COLUMNS($AB$1006:AE1006),$AB$1006:$AQ$1006,0)), HYPERLINK("#",""), HYPERLINK(CONCATENATE("#metadata!", ADDRESS(INDEX($W$2:$W$1001,MATCH(ROWS($U$2:U90),$U$2:$U$1001,0),0), INDEX($AB$1004:$AQ$1004,1,MATCH(COLUMNS($AB$1006:AE1006),$AB$1006:$AQ$1006,0)))),"Fix")))</f>
        <v>0</v>
      </c>
      <c r="F90" s="4">
        <f>IF(OR(INDEX($V$2:$V$1001,MATCH(ROWS($U$2:U90),$U$2:$U$1001,0),1)&gt;=100000,INDEX($AB$1005:$AQ$1005,1,MATCH(COLUMNS($AB$1006:AF1006),$AB$1006:$AQ$1006,0))&gt;=100000), " ",IF(INDEX($AB$2:$AQ$1001,MATCH(ROWS($U$2:U90),$U$2:$U$1001,0),MATCH(COLUMNS($AB$1006:AF1006),$AB$1006:$AQ$1006,0)), HYPERLINK("#",""), HYPERLINK(CONCATENATE("#metadata!", ADDRESS(INDEX($W$2:$W$1001,MATCH(ROWS($U$2:U90),$U$2:$U$1001,0),0), INDEX($AB$1004:$AQ$1004,1,MATCH(COLUMNS($AB$1006:AF1006),$AB$1006:$AQ$1006,0)))),"Fix")))</f>
        <v>0</v>
      </c>
      <c r="G90" s="4">
        <f>IF(OR(INDEX($V$2:$V$1001,MATCH(ROWS($U$2:U90),$U$2:$U$1001,0),1)&gt;=100000,INDEX($AB$1005:$AQ$1005,1,MATCH(COLUMNS($AB$1006:AG1006),$AB$1006:$AQ$1006,0))&gt;=100000), " ",IF(INDEX($AB$2:$AQ$1001,MATCH(ROWS($U$2:U90),$U$2:$U$1001,0),MATCH(COLUMNS($AB$1006:AG1006),$AB$1006:$AQ$1006,0)), HYPERLINK("#",""), HYPERLINK(CONCATENATE("#metadata!", ADDRESS(INDEX($W$2:$W$1001,MATCH(ROWS($U$2:U90),$U$2:$U$1001,0),0), INDEX($AB$1004:$AQ$1004,1,MATCH(COLUMNS($AB$1006:AG1006),$AB$1006:$AQ$1006,0)))),"Fix")))</f>
        <v>0</v>
      </c>
      <c r="H90" s="4">
        <f>IF(OR(INDEX($V$2:$V$1001,MATCH(ROWS($U$2:U90),$U$2:$U$1001,0),1)&gt;=100000,INDEX($AB$1005:$AQ$1005,1,MATCH(COLUMNS($AB$1006:AH1006),$AB$1006:$AQ$1006,0))&gt;=100000), " ",IF(INDEX($AB$2:$AQ$1001,MATCH(ROWS($U$2:U90),$U$2:$U$1001,0),MATCH(COLUMNS($AB$1006:AH1006),$AB$1006:$AQ$1006,0)), HYPERLINK("#",""), HYPERLINK(CONCATENATE("#metadata!", ADDRESS(INDEX($W$2:$W$1001,MATCH(ROWS($U$2:U90),$U$2:$U$1001,0),0), INDEX($AB$1004:$AQ$1004,1,MATCH(COLUMNS($AB$1006:AH1006),$AB$1006:$AQ$1006,0)))),"Fix")))</f>
        <v>0</v>
      </c>
      <c r="I90" s="4">
        <f>IF(OR(INDEX($V$2:$V$1001,MATCH(ROWS($U$2:U90),$U$2:$U$1001,0),1)&gt;=100000,INDEX($AB$1005:$AQ$1005,1,MATCH(COLUMNS($AB$1006:AI1006),$AB$1006:$AQ$1006,0))&gt;=100000), " ",IF(INDEX($AB$2:$AQ$1001,MATCH(ROWS($U$2:U90),$U$2:$U$1001,0),MATCH(COLUMNS($AB$1006:AI1006),$AB$1006:$AQ$1006,0)), HYPERLINK("#",""), HYPERLINK(CONCATENATE("#metadata!", ADDRESS(INDEX($W$2:$W$1001,MATCH(ROWS($U$2:U90),$U$2:$U$1001,0),0), INDEX($AB$1004:$AQ$1004,1,MATCH(COLUMNS($AB$1006:AI1006),$AB$1006:$AQ$1006,0)))),"Fix")))</f>
        <v>0</v>
      </c>
      <c r="J90" s="4">
        <f>IF(OR(INDEX($V$2:$V$1001,MATCH(ROWS($U$2:U90),$U$2:$U$1001,0),1)&gt;=100000,INDEX($AB$1005:$AQ$1005,1,MATCH(COLUMNS($AB$1006:AJ1006),$AB$1006:$AQ$1006,0))&gt;=100000), " ",IF(INDEX($AB$2:$AQ$1001,MATCH(ROWS($U$2:U90),$U$2:$U$1001,0),MATCH(COLUMNS($AB$1006:AJ1006),$AB$1006:$AQ$1006,0)), HYPERLINK("#",""), HYPERLINK(CONCATENATE("#metadata!", ADDRESS(INDEX($W$2:$W$1001,MATCH(ROWS($U$2:U90),$U$2:$U$1001,0),0), INDEX($AB$1004:$AQ$1004,1,MATCH(COLUMNS($AB$1006:AJ1006),$AB$1006:$AQ$1006,0)))),"Fix")))</f>
        <v>0</v>
      </c>
      <c r="K90" s="4">
        <f>IF(OR(INDEX($V$2:$V$1001,MATCH(ROWS($U$2:U90),$U$2:$U$1001,0),1)&gt;=100000,INDEX($AB$1005:$AQ$1005,1,MATCH(COLUMNS($AB$1006:AK1006),$AB$1006:$AQ$1006,0))&gt;=100000), " ",IF(INDEX($AB$2:$AQ$1001,MATCH(ROWS($U$2:U90),$U$2:$U$1001,0),MATCH(COLUMNS($AB$1006:AK1006),$AB$1006:$AQ$1006,0)), HYPERLINK("#",""), HYPERLINK(CONCATENATE("#metadata!", ADDRESS(INDEX($W$2:$W$1001,MATCH(ROWS($U$2:U90),$U$2:$U$1001,0),0), INDEX($AB$1004:$AQ$1004,1,MATCH(COLUMNS($AB$1006:AK1006),$AB$1006:$AQ$1006,0)))),"Fix")))</f>
        <v>0</v>
      </c>
      <c r="L90" s="4">
        <f>IF(OR(INDEX($V$2:$V$1001,MATCH(ROWS($U$2:U90),$U$2:$U$1001,0),1)&gt;=100000,INDEX($AB$1005:$AQ$1005,1,MATCH(COLUMNS($AB$1006:AL1006),$AB$1006:$AQ$1006,0))&gt;=100000), " ",IF(INDEX($AB$2:$AQ$1001,MATCH(ROWS($U$2:U90),$U$2:$U$1001,0),MATCH(COLUMNS($AB$1006:AL1006),$AB$1006:$AQ$1006,0)), HYPERLINK("#",""), HYPERLINK(CONCATENATE("#metadata!", ADDRESS(INDEX($W$2:$W$1001,MATCH(ROWS($U$2:U90),$U$2:$U$1001,0),0), INDEX($AB$1004:$AQ$1004,1,MATCH(COLUMNS($AB$1006:AL1006),$AB$1006:$AQ$1006,0)))),"Fix")))</f>
        <v>0</v>
      </c>
      <c r="M90" s="4">
        <f>IF(OR(INDEX($V$2:$V$1001,MATCH(ROWS($U$2:U90),$U$2:$U$1001,0),1)&gt;=100000,INDEX($AB$1005:$AQ$1005,1,MATCH(COLUMNS($AB$1006:AM1006),$AB$1006:$AQ$1006,0))&gt;=100000), " ",IF(INDEX($AB$2:$AQ$1001,MATCH(ROWS($U$2:U90),$U$2:$U$1001,0),MATCH(COLUMNS($AB$1006:AM1006),$AB$1006:$AQ$1006,0)), HYPERLINK("#",""), HYPERLINK(CONCATENATE("#metadata!", ADDRESS(INDEX($W$2:$W$1001,MATCH(ROWS($U$2:U90),$U$2:$U$1001,0),0), INDEX($AB$1004:$AQ$1004,1,MATCH(COLUMNS($AB$1006:AM1006),$AB$1006:$AQ$1006,0)))),"Fix")))</f>
        <v>0</v>
      </c>
      <c r="N90" s="4">
        <f>IF(OR(INDEX($V$2:$V$1001,MATCH(ROWS($U$2:U90),$U$2:$U$1001,0),1)&gt;=100000,INDEX($AB$1005:$AQ$1005,1,MATCH(COLUMNS($AB$1006:AN1006),$AB$1006:$AQ$1006,0))&gt;=100000), " ",IF(INDEX($AB$2:$AQ$1001,MATCH(ROWS($U$2:U90),$U$2:$U$1001,0),MATCH(COLUMNS($AB$1006:AN1006),$AB$1006:$AQ$1006,0)), HYPERLINK("#",""), HYPERLINK(CONCATENATE("#metadata!", ADDRESS(INDEX($W$2:$W$1001,MATCH(ROWS($U$2:U90),$U$2:$U$1001,0),0), INDEX($AB$1004:$AQ$1004,1,MATCH(COLUMNS($AB$1006:AN1006),$AB$1006:$AQ$1006,0)))),"Fix")))</f>
        <v>0</v>
      </c>
      <c r="O90" s="4">
        <f>IF(OR(INDEX($V$2:$V$1001,MATCH(ROWS($U$2:U90),$U$2:$U$1001,0),1)&gt;=100000,INDEX($AB$1005:$AQ$1005,1,MATCH(COLUMNS($AB$1006:AO1006),$AB$1006:$AQ$1006,0))&gt;=100000), " ",IF(INDEX($AB$2:$AQ$1001,MATCH(ROWS($U$2:U90),$U$2:$U$1001,0),MATCH(COLUMNS($AB$1006:AO1006),$AB$1006:$AQ$1006,0)), HYPERLINK("#",""), HYPERLINK(CONCATENATE("#metadata!", ADDRESS(INDEX($W$2:$W$1001,MATCH(ROWS($U$2:U90),$U$2:$U$1001,0),0), INDEX($AB$1004:$AQ$1004,1,MATCH(COLUMNS($AB$1006:AO1006),$AB$1006:$AQ$1006,0)))),"Fix")))</f>
        <v>0</v>
      </c>
      <c r="P90" s="4">
        <f>IF(OR(INDEX($V$2:$V$1001,MATCH(ROWS($U$2:U90),$U$2:$U$1001,0),1)&gt;=100000,INDEX($AB$1005:$AQ$1005,1,MATCH(COLUMNS($AB$1006:AP1006),$AB$1006:$AQ$1006,0))&gt;=100000), " ",IF(INDEX($AB$2:$AQ$1001,MATCH(ROWS($U$2:U90),$U$2:$U$1001,0),MATCH(COLUMNS($AB$1006:AP1006),$AB$1006:$AQ$1006,0)), HYPERLINK("#",""), HYPERLINK(CONCATENATE("#metadata!", ADDRESS(INDEX($W$2:$W$1001,MATCH(ROWS($U$2:U90),$U$2:$U$1001,0),0), INDEX($AB$1004:$AQ$1004,1,MATCH(COLUMNS($AB$1006:AP1006),$AB$1006:$AQ$1006,0)))),"Fix")))</f>
        <v>0</v>
      </c>
      <c r="Q90" s="4">
        <f>IF(OR(INDEX($V$2:$V$1001,MATCH(ROWS($U$2:U90),$U$2:$U$1001,0),1)&gt;=100000,INDEX($AB$1005:$AQ$1005,1,MATCH(COLUMNS($AB$1006:AQ1006),$AB$1006:$AQ$1006,0))&gt;=100000), " ",IF(INDEX($AB$2:$AQ$1001,MATCH(ROWS($U$2:U90),$U$2:$U$1001,0),MATCH(COLUMNS($AB$1006:AQ1006),$AB$1006:$AQ$1006,0)), HYPERLINK("#",""), HYPERLINK(CONCATENATE("#metadata!", ADDRESS(INDEX($W$2:$W$1001,MATCH(ROWS($U$2:U90),$U$2:$U$1001,0),0), INDEX($AB$1004:$AQ$1004,1,MATCH(COLUMNS($AB$1006:AQ1006),$AB$1006:$AQ$1006,0)))),"Fix")))</f>
        <v>0</v>
      </c>
      <c r="U90">
        <v>0</v>
      </c>
      <c r="V90">
        <v>0</v>
      </c>
      <c r="W90">
        <v>0</v>
      </c>
      <c r="X90">
        <f>IF(Y90,TRUE,AND(AB90:AQ90))</f>
        <v>0</v>
      </c>
      <c r="Y90">
        <f>COUNTBLANK(metadata!B90:Q90)=COLUMNS(metadata!B90:Q90)</f>
        <v>0</v>
      </c>
      <c r="Z90">
        <v>0</v>
      </c>
      <c r="AB90">
        <f>AND(IF(metadata!B90="",FALSE,TRUE),COUNTIF(metadata!B:B, metadata!B90) = 1,NOT(ISERROR(SUMPRODUCT(SEARCH(MID(metadata!B90,ROW(INDIRECT("1:"&amp;LEN(metadata!B90))), 1),"0123456789abcdefghijklmnopqrstuvwxyzABCDEFGHIJKLMNOPQRSTUVWXYZ.")))))</f>
        <v>0</v>
      </c>
      <c r="AC90">
        <f>OR(AND(IF(metadata!C90="",FALSE,TRUE),OR(exact(metadata!C90,"missing: not collected"),exact(metadata!C90,"missing: not provided"),exact(metadata!C90,"missing: restricted access"))),AND(IF(metadata!C90="",FALSE,TRUE),AND(AND(IFERROR(INT(LEFT(metadata!C90,4))&gt;1900,FALSE),IFERROR(INT(LEFT(metadata!C90,4))&lt;=YEAR(NOW()),FALSE)), OR(MID(metadata!C90,5,1)="", AND(AND(MID(metadata!C90,5,1)="-",IFERROR(INT(MID(metadata!C90,6,1))&gt;=0,FALSE),IFERROR(INT(MID(metadata!C90,6,1))&lt;=1,FALSE),NOT(MID(metadata!C90,7,1)=""),IFERROR(INT(MID(metadata!C90,6,2))&gt;=1,FALSE),IFERROR(INT(MID(metadata!C90,6,2))&lt;=12,FALSE)), OR(MID(metadata!C90,8,1)="", AND(AND(MID(metadata!C90,8,1)="-",IFERROR(INT(MID(metadata!C90,9,1))&gt;=0,FALSE),IFERROR(INT(MID(metadata!C90,9,1))&lt;=3,FALSE),NOT(MID(metadata!C90,10,1)=""),IFERROR(INT(MID(metadata!C90,9,2))&gt;=1,FALSE),IFERROR(INT(MID(metadata!C90,9,2))&lt;=31,FALSE)), OR(MID(metadata!C90,11,1)="", AND(AND(MID(metadata!C90,11,1)=" ",IFERROR(INT(MID(metadata!C90,12,1))&gt;=0,FALSE),IFERROR(INT(MID(metadata!C90,12,1))&lt;=2,FALSE),NOT(MID(metadata!C90,13,1)=""),IFERROR(INT(MID(metadata!C90,12,2))&gt;=0,FALSE),IFERROR(INT(MID(metadata!C90,12,2))&lt;=23,FALSE)), OR(MID(metadata!C90,14,1)="", AND(AND(MID(metadata!C90,14,1)=":",IFERROR(INT(MID(metadata!C90,15,1))&gt;=0,FALSE),IFERROR(INT(MID(metadata!C90,15,1))&lt;=5,FALSE),NOT(MID(metadata!C90,16,1)=""),IFERROR(INT(MID(metadata!C90,15,2))&gt;=0,FALSE),IFERROR(INT(MID(metadata!C90,15,2))&lt;=59,FALSE)), OR(MID(metadata!C90,17,1)="", AND(AND(MID(metadata!C90,17,1)=":",IFERROR(INT(MID(metadata!C90,18,1))&gt;=0,FALSE),IFERROR(INT(MID(metadata!C90,18,1))&lt;=5,FALSE),NOT(MID(metadata!C90,19,1)=""),IFERROR(INT(MID(metadata!C90,18,2))&gt;=0,FALSE),IFERROR(INT(MID(metadata!C90,18,2))&lt;=59,FALSE)), LEN(metadata!C90)&lt;=19)))))))))))))</f>
        <v>0</v>
      </c>
      <c r="AD90">
        <f>IF(metadata!D90="",FALSE,TRUE)</f>
        <v>0</v>
      </c>
      <c r="AE90">
        <f>OR(AND(IF(metadata!E90="",FALSE,TRUE),OR(exact(metadata!E90,"missing: not collected"),exact(metadata!E90,"missing: not provided"))),AND(IF(metadata!E90="",FALSE,TRUE),OR(exact(metadata!E90,"TRUE"),exact(metadata!E90,"FALSE"))))</f>
        <v>0</v>
      </c>
      <c r="AF90">
        <f>IF(metadata!F90="",FALSE,TRUE)</f>
        <v>0</v>
      </c>
      <c r="AG90">
        <f>IF(metadata!G90="",FALSE,TRUE)</f>
        <v>0</v>
      </c>
      <c r="AH90">
        <f>IF(metadata!H90="",FALSE,TRUE)</f>
        <v>0</v>
      </c>
      <c r="AI90">
        <f>OR(AND(IF(metadata!I90="",FALSE,TRUE),OR(exact(metadata!I90,"missing: not collected"),exact(metadata!I90,"missing: not provided"),exact(metadata!I90,"missing: restricted access"))),AND(IF(metadata!I90="",FALSE,TRUE),OR(exact(metadata!I90,"air"),exact(metadata!I90,"built environment"),exact(metadata!I90,"host-associated"),exact(metadata!I90,"human-associated"),exact(metadata!I90,"human-skin"),exact(metadata!I90,"human-oral"),exact(metadata!I90,"human-gut"),exact(metadata!I90,"human-vaginal"),exact(metadata!I90,"microbial mat/biofilm"),exact(metadata!I90,"misc environment"),exact(metadata!I90,"plant-associated"),exact(metadata!I90,"sediment"),exact(metadata!I90,"soil"),exact(metadata!I90,"wastewater/sludge"),exact(metadata!I90,"water"))))</f>
        <v>0</v>
      </c>
      <c r="AJ90">
        <f>IF(metadata!J90="",FALSE,TRUE)</f>
        <v>0</v>
      </c>
      <c r="AK90">
        <f>OR(AND(IF(metadata!K90="",FALSE,TRUE),OR(exact(metadata!K90,"missing: not collected"),exact(metadata!K90,"missing: not provided"),exact(metadata!K90,"missing: restricted access"))),AND(IF(metadata!K90="",FALSE,ISNUMBER(VALUE(metadata!K90))),metadata!K90&gt;=-90.00,metadata!K90&lt;=90.00))</f>
        <v>0</v>
      </c>
      <c r="AL90">
        <f>OR(AND(IF(metadata!L90="",FALSE,TRUE),OR(exact(metadata!L90,"missing: not collected"),exact(metadata!L90,"missing: not provided"),exact(metadata!L90,"missing: restricted access"))),AND(IF(metadata!L90="",FALSE,ISNUMBER(VALUE(metadata!L90))),metadata!L90&gt;=-180.00,metadata!L90&lt;=180.00))</f>
        <v>0</v>
      </c>
      <c r="AM90">
        <f>IF(metadata!M90="",FALSE,TRUE)</f>
        <v>0</v>
      </c>
      <c r="AN90">
        <f>OR(AND(IF(metadata!N90="",FALSE,TRUE),OR(exact(metadata!N90,"missing: not collected"),exact(metadata!N90,"missing: not provided"),exact(metadata!N90,"missing: restricted access"))),AND(IF(metadata!N90="",FALSE,TRUE),OR(exact(metadata!N90,"TRUE"),exact(metadata!N90,"FALSE"))))</f>
        <v>0</v>
      </c>
      <c r="AO90">
        <f>IF(metadata!O90="",FALSE,TRUE)</f>
        <v>0</v>
      </c>
      <c r="AP90">
        <f>OR(AND(IF(metadata!P90="",FALSE,TRUE),OR(exact(metadata!P90,"missing: not collected"),exact(metadata!P90,"missing: not provided"))),AND(IF(metadata!P90="",FALSE,IF(ISERROR(INT(metadata!P90)),FALSE,INT(metadata!P90)=metadata!P90)),metadata!P90&gt;0))</f>
        <v>0</v>
      </c>
      <c r="AQ90">
        <f>IF(metadata!Q90="",FALSE,TRUE)</f>
        <v>0</v>
      </c>
    </row>
    <row r="91" spans="1:43">
      <c r="A91" s="5">
        <f>IF(B91=" "," ",HYPERLINK(CONCATENATE("#metadata!",ADDRESS(INDEX($W$2:$W$1001,MATCH(ROWS($U$2:U91),$U$2:$U$1001,0),0),1)),INDEX($Z$2:$Z$1001,MATCH(ROWS($U$2:U91),$U$2:$U$1001,0),0)))</f>
        <v>0</v>
      </c>
      <c r="B91" s="4">
        <f>IF(OR(INDEX($V$2:$V$1001,MATCH(ROWS($U$2:U91),$U$2:$U$1001,0),1)&gt;=100000,INDEX($AB$1005:$AQ$1005,1,MATCH(COLUMNS($AB$1006:AB1006),$AB$1006:$AQ$1006,0))&gt;=100000), " ",IF(INDEX($AB$2:$AQ$1001,MATCH(ROWS($U$2:U91),$U$2:$U$1001,0),MATCH(COLUMNS($AB$1006:AB1006),$AB$1006:$AQ$1006,0)), HYPERLINK("#",""), HYPERLINK(CONCATENATE("#metadata!", ADDRESS(INDEX($W$2:$W$1001,MATCH(ROWS($U$2:U91),$U$2:$U$1001,0),0), INDEX($AB$1004:$AQ$1004,1,MATCH(COLUMNS($AB$1006:AB1006),$AB$1006:$AQ$1006,0)))),"Fix")))</f>
        <v>0</v>
      </c>
      <c r="C91" s="4">
        <f>IF(OR(INDEX($V$2:$V$1001,MATCH(ROWS($U$2:U91),$U$2:$U$1001,0),1)&gt;=100000,INDEX($AB$1005:$AQ$1005,1,MATCH(COLUMNS($AB$1006:AC1006),$AB$1006:$AQ$1006,0))&gt;=100000), " ",IF(INDEX($AB$2:$AQ$1001,MATCH(ROWS($U$2:U91),$U$2:$U$1001,0),MATCH(COLUMNS($AB$1006:AC1006),$AB$1006:$AQ$1006,0)), HYPERLINK("#",""), HYPERLINK(CONCATENATE("#metadata!", ADDRESS(INDEX($W$2:$W$1001,MATCH(ROWS($U$2:U91),$U$2:$U$1001,0),0), INDEX($AB$1004:$AQ$1004,1,MATCH(COLUMNS($AB$1006:AC1006),$AB$1006:$AQ$1006,0)))),"Fix")))</f>
        <v>0</v>
      </c>
      <c r="D91" s="4">
        <f>IF(OR(INDEX($V$2:$V$1001,MATCH(ROWS($U$2:U91),$U$2:$U$1001,0),1)&gt;=100000,INDEX($AB$1005:$AQ$1005,1,MATCH(COLUMNS($AB$1006:AD1006),$AB$1006:$AQ$1006,0))&gt;=100000), " ",IF(INDEX($AB$2:$AQ$1001,MATCH(ROWS($U$2:U91),$U$2:$U$1001,0),MATCH(COLUMNS($AB$1006:AD1006),$AB$1006:$AQ$1006,0)), HYPERLINK("#",""), HYPERLINK(CONCATENATE("#metadata!", ADDRESS(INDEX($W$2:$W$1001,MATCH(ROWS($U$2:U91),$U$2:$U$1001,0),0), INDEX($AB$1004:$AQ$1004,1,MATCH(COLUMNS($AB$1006:AD1006),$AB$1006:$AQ$1006,0)))),"Fix")))</f>
        <v>0</v>
      </c>
      <c r="E91" s="4">
        <f>IF(OR(INDEX($V$2:$V$1001,MATCH(ROWS($U$2:U91),$U$2:$U$1001,0),1)&gt;=100000,INDEX($AB$1005:$AQ$1005,1,MATCH(COLUMNS($AB$1006:AE1006),$AB$1006:$AQ$1006,0))&gt;=100000), " ",IF(INDEX($AB$2:$AQ$1001,MATCH(ROWS($U$2:U91),$U$2:$U$1001,0),MATCH(COLUMNS($AB$1006:AE1006),$AB$1006:$AQ$1006,0)), HYPERLINK("#",""), HYPERLINK(CONCATENATE("#metadata!", ADDRESS(INDEX($W$2:$W$1001,MATCH(ROWS($U$2:U91),$U$2:$U$1001,0),0), INDEX($AB$1004:$AQ$1004,1,MATCH(COLUMNS($AB$1006:AE1006),$AB$1006:$AQ$1006,0)))),"Fix")))</f>
        <v>0</v>
      </c>
      <c r="F91" s="4">
        <f>IF(OR(INDEX($V$2:$V$1001,MATCH(ROWS($U$2:U91),$U$2:$U$1001,0),1)&gt;=100000,INDEX($AB$1005:$AQ$1005,1,MATCH(COLUMNS($AB$1006:AF1006),$AB$1006:$AQ$1006,0))&gt;=100000), " ",IF(INDEX($AB$2:$AQ$1001,MATCH(ROWS($U$2:U91),$U$2:$U$1001,0),MATCH(COLUMNS($AB$1006:AF1006),$AB$1006:$AQ$1006,0)), HYPERLINK("#",""), HYPERLINK(CONCATENATE("#metadata!", ADDRESS(INDEX($W$2:$W$1001,MATCH(ROWS($U$2:U91),$U$2:$U$1001,0),0), INDEX($AB$1004:$AQ$1004,1,MATCH(COLUMNS($AB$1006:AF1006),$AB$1006:$AQ$1006,0)))),"Fix")))</f>
        <v>0</v>
      </c>
      <c r="G91" s="4">
        <f>IF(OR(INDEX($V$2:$V$1001,MATCH(ROWS($U$2:U91),$U$2:$U$1001,0),1)&gt;=100000,INDEX($AB$1005:$AQ$1005,1,MATCH(COLUMNS($AB$1006:AG1006),$AB$1006:$AQ$1006,0))&gt;=100000), " ",IF(INDEX($AB$2:$AQ$1001,MATCH(ROWS($U$2:U91),$U$2:$U$1001,0),MATCH(COLUMNS($AB$1006:AG1006),$AB$1006:$AQ$1006,0)), HYPERLINK("#",""), HYPERLINK(CONCATENATE("#metadata!", ADDRESS(INDEX($W$2:$W$1001,MATCH(ROWS($U$2:U91),$U$2:$U$1001,0),0), INDEX($AB$1004:$AQ$1004,1,MATCH(COLUMNS($AB$1006:AG1006),$AB$1006:$AQ$1006,0)))),"Fix")))</f>
        <v>0</v>
      </c>
      <c r="H91" s="4">
        <f>IF(OR(INDEX($V$2:$V$1001,MATCH(ROWS($U$2:U91),$U$2:$U$1001,0),1)&gt;=100000,INDEX($AB$1005:$AQ$1005,1,MATCH(COLUMNS($AB$1006:AH1006),$AB$1006:$AQ$1006,0))&gt;=100000), " ",IF(INDEX($AB$2:$AQ$1001,MATCH(ROWS($U$2:U91),$U$2:$U$1001,0),MATCH(COLUMNS($AB$1006:AH1006),$AB$1006:$AQ$1006,0)), HYPERLINK("#",""), HYPERLINK(CONCATENATE("#metadata!", ADDRESS(INDEX($W$2:$W$1001,MATCH(ROWS($U$2:U91),$U$2:$U$1001,0),0), INDEX($AB$1004:$AQ$1004,1,MATCH(COLUMNS($AB$1006:AH1006),$AB$1006:$AQ$1006,0)))),"Fix")))</f>
        <v>0</v>
      </c>
      <c r="I91" s="4">
        <f>IF(OR(INDEX($V$2:$V$1001,MATCH(ROWS($U$2:U91),$U$2:$U$1001,0),1)&gt;=100000,INDEX($AB$1005:$AQ$1005,1,MATCH(COLUMNS($AB$1006:AI1006),$AB$1006:$AQ$1006,0))&gt;=100000), " ",IF(INDEX($AB$2:$AQ$1001,MATCH(ROWS($U$2:U91),$U$2:$U$1001,0),MATCH(COLUMNS($AB$1006:AI1006),$AB$1006:$AQ$1006,0)), HYPERLINK("#",""), HYPERLINK(CONCATENATE("#metadata!", ADDRESS(INDEX($W$2:$W$1001,MATCH(ROWS($U$2:U91),$U$2:$U$1001,0),0), INDEX($AB$1004:$AQ$1004,1,MATCH(COLUMNS($AB$1006:AI1006),$AB$1006:$AQ$1006,0)))),"Fix")))</f>
        <v>0</v>
      </c>
      <c r="J91" s="4">
        <f>IF(OR(INDEX($V$2:$V$1001,MATCH(ROWS($U$2:U91),$U$2:$U$1001,0),1)&gt;=100000,INDEX($AB$1005:$AQ$1005,1,MATCH(COLUMNS($AB$1006:AJ1006),$AB$1006:$AQ$1006,0))&gt;=100000), " ",IF(INDEX($AB$2:$AQ$1001,MATCH(ROWS($U$2:U91),$U$2:$U$1001,0),MATCH(COLUMNS($AB$1006:AJ1006),$AB$1006:$AQ$1006,0)), HYPERLINK("#",""), HYPERLINK(CONCATENATE("#metadata!", ADDRESS(INDEX($W$2:$W$1001,MATCH(ROWS($U$2:U91),$U$2:$U$1001,0),0), INDEX($AB$1004:$AQ$1004,1,MATCH(COLUMNS($AB$1006:AJ1006),$AB$1006:$AQ$1006,0)))),"Fix")))</f>
        <v>0</v>
      </c>
      <c r="K91" s="4">
        <f>IF(OR(INDEX($V$2:$V$1001,MATCH(ROWS($U$2:U91),$U$2:$U$1001,0),1)&gt;=100000,INDEX($AB$1005:$AQ$1005,1,MATCH(COLUMNS($AB$1006:AK1006),$AB$1006:$AQ$1006,0))&gt;=100000), " ",IF(INDEX($AB$2:$AQ$1001,MATCH(ROWS($U$2:U91),$U$2:$U$1001,0),MATCH(COLUMNS($AB$1006:AK1006),$AB$1006:$AQ$1006,0)), HYPERLINK("#",""), HYPERLINK(CONCATENATE("#metadata!", ADDRESS(INDEX($W$2:$W$1001,MATCH(ROWS($U$2:U91),$U$2:$U$1001,0),0), INDEX($AB$1004:$AQ$1004,1,MATCH(COLUMNS($AB$1006:AK1006),$AB$1006:$AQ$1006,0)))),"Fix")))</f>
        <v>0</v>
      </c>
      <c r="L91" s="4">
        <f>IF(OR(INDEX($V$2:$V$1001,MATCH(ROWS($U$2:U91),$U$2:$U$1001,0),1)&gt;=100000,INDEX($AB$1005:$AQ$1005,1,MATCH(COLUMNS($AB$1006:AL1006),$AB$1006:$AQ$1006,0))&gt;=100000), " ",IF(INDEX($AB$2:$AQ$1001,MATCH(ROWS($U$2:U91),$U$2:$U$1001,0),MATCH(COLUMNS($AB$1006:AL1006),$AB$1006:$AQ$1006,0)), HYPERLINK("#",""), HYPERLINK(CONCATENATE("#metadata!", ADDRESS(INDEX($W$2:$W$1001,MATCH(ROWS($U$2:U91),$U$2:$U$1001,0),0), INDEX($AB$1004:$AQ$1004,1,MATCH(COLUMNS($AB$1006:AL1006),$AB$1006:$AQ$1006,0)))),"Fix")))</f>
        <v>0</v>
      </c>
      <c r="M91" s="4">
        <f>IF(OR(INDEX($V$2:$V$1001,MATCH(ROWS($U$2:U91),$U$2:$U$1001,0),1)&gt;=100000,INDEX($AB$1005:$AQ$1005,1,MATCH(COLUMNS($AB$1006:AM1006),$AB$1006:$AQ$1006,0))&gt;=100000), " ",IF(INDEX($AB$2:$AQ$1001,MATCH(ROWS($U$2:U91),$U$2:$U$1001,0),MATCH(COLUMNS($AB$1006:AM1006),$AB$1006:$AQ$1006,0)), HYPERLINK("#",""), HYPERLINK(CONCATENATE("#metadata!", ADDRESS(INDEX($W$2:$W$1001,MATCH(ROWS($U$2:U91),$U$2:$U$1001,0),0), INDEX($AB$1004:$AQ$1004,1,MATCH(COLUMNS($AB$1006:AM1006),$AB$1006:$AQ$1006,0)))),"Fix")))</f>
        <v>0</v>
      </c>
      <c r="N91" s="4">
        <f>IF(OR(INDEX($V$2:$V$1001,MATCH(ROWS($U$2:U91),$U$2:$U$1001,0),1)&gt;=100000,INDEX($AB$1005:$AQ$1005,1,MATCH(COLUMNS($AB$1006:AN1006),$AB$1006:$AQ$1006,0))&gt;=100000), " ",IF(INDEX($AB$2:$AQ$1001,MATCH(ROWS($U$2:U91),$U$2:$U$1001,0),MATCH(COLUMNS($AB$1006:AN1006),$AB$1006:$AQ$1006,0)), HYPERLINK("#",""), HYPERLINK(CONCATENATE("#metadata!", ADDRESS(INDEX($W$2:$W$1001,MATCH(ROWS($U$2:U91),$U$2:$U$1001,0),0), INDEX($AB$1004:$AQ$1004,1,MATCH(COLUMNS($AB$1006:AN1006),$AB$1006:$AQ$1006,0)))),"Fix")))</f>
        <v>0</v>
      </c>
      <c r="O91" s="4">
        <f>IF(OR(INDEX($V$2:$V$1001,MATCH(ROWS($U$2:U91),$U$2:$U$1001,0),1)&gt;=100000,INDEX($AB$1005:$AQ$1005,1,MATCH(COLUMNS($AB$1006:AO1006),$AB$1006:$AQ$1006,0))&gt;=100000), " ",IF(INDEX($AB$2:$AQ$1001,MATCH(ROWS($U$2:U91),$U$2:$U$1001,0),MATCH(COLUMNS($AB$1006:AO1006),$AB$1006:$AQ$1006,0)), HYPERLINK("#",""), HYPERLINK(CONCATENATE("#metadata!", ADDRESS(INDEX($W$2:$W$1001,MATCH(ROWS($U$2:U91),$U$2:$U$1001,0),0), INDEX($AB$1004:$AQ$1004,1,MATCH(COLUMNS($AB$1006:AO1006),$AB$1006:$AQ$1006,0)))),"Fix")))</f>
        <v>0</v>
      </c>
      <c r="P91" s="4">
        <f>IF(OR(INDEX($V$2:$V$1001,MATCH(ROWS($U$2:U91),$U$2:$U$1001,0),1)&gt;=100000,INDEX($AB$1005:$AQ$1005,1,MATCH(COLUMNS($AB$1006:AP1006),$AB$1006:$AQ$1006,0))&gt;=100000), " ",IF(INDEX($AB$2:$AQ$1001,MATCH(ROWS($U$2:U91),$U$2:$U$1001,0),MATCH(COLUMNS($AB$1006:AP1006),$AB$1006:$AQ$1006,0)), HYPERLINK("#",""), HYPERLINK(CONCATENATE("#metadata!", ADDRESS(INDEX($W$2:$W$1001,MATCH(ROWS($U$2:U91),$U$2:$U$1001,0),0), INDEX($AB$1004:$AQ$1004,1,MATCH(COLUMNS($AB$1006:AP1006),$AB$1006:$AQ$1006,0)))),"Fix")))</f>
        <v>0</v>
      </c>
      <c r="Q91" s="4">
        <f>IF(OR(INDEX($V$2:$V$1001,MATCH(ROWS($U$2:U91),$U$2:$U$1001,0),1)&gt;=100000,INDEX($AB$1005:$AQ$1005,1,MATCH(COLUMNS($AB$1006:AQ1006),$AB$1006:$AQ$1006,0))&gt;=100000), " ",IF(INDEX($AB$2:$AQ$1001,MATCH(ROWS($U$2:U91),$U$2:$U$1001,0),MATCH(COLUMNS($AB$1006:AQ1006),$AB$1006:$AQ$1006,0)), HYPERLINK("#",""), HYPERLINK(CONCATENATE("#metadata!", ADDRESS(INDEX($W$2:$W$1001,MATCH(ROWS($U$2:U91),$U$2:$U$1001,0),0), INDEX($AB$1004:$AQ$1004,1,MATCH(COLUMNS($AB$1006:AQ1006),$AB$1006:$AQ$1006,0)))),"Fix")))</f>
        <v>0</v>
      </c>
      <c r="U91">
        <v>0</v>
      </c>
      <c r="V91">
        <v>0</v>
      </c>
      <c r="W91">
        <v>0</v>
      </c>
      <c r="X91">
        <f>IF(Y91,TRUE,AND(AB91:AQ91))</f>
        <v>0</v>
      </c>
      <c r="Y91">
        <f>COUNTBLANK(metadata!B91:Q91)=COLUMNS(metadata!B91:Q91)</f>
        <v>0</v>
      </c>
      <c r="Z91">
        <v>0</v>
      </c>
      <c r="AB91">
        <f>AND(IF(metadata!B91="",FALSE,TRUE),COUNTIF(metadata!B:B, metadata!B91) = 1,NOT(ISERROR(SUMPRODUCT(SEARCH(MID(metadata!B91,ROW(INDIRECT("1:"&amp;LEN(metadata!B91))), 1),"0123456789abcdefghijklmnopqrstuvwxyzABCDEFGHIJKLMNOPQRSTUVWXYZ.")))))</f>
        <v>0</v>
      </c>
      <c r="AC91">
        <f>OR(AND(IF(metadata!C91="",FALSE,TRUE),OR(exact(metadata!C91,"missing: not collected"),exact(metadata!C91,"missing: not provided"),exact(metadata!C91,"missing: restricted access"))),AND(IF(metadata!C91="",FALSE,TRUE),AND(AND(IFERROR(INT(LEFT(metadata!C91,4))&gt;1900,FALSE),IFERROR(INT(LEFT(metadata!C91,4))&lt;=YEAR(NOW()),FALSE)), OR(MID(metadata!C91,5,1)="", AND(AND(MID(metadata!C91,5,1)="-",IFERROR(INT(MID(metadata!C91,6,1))&gt;=0,FALSE),IFERROR(INT(MID(metadata!C91,6,1))&lt;=1,FALSE),NOT(MID(metadata!C91,7,1)=""),IFERROR(INT(MID(metadata!C91,6,2))&gt;=1,FALSE),IFERROR(INT(MID(metadata!C91,6,2))&lt;=12,FALSE)), OR(MID(metadata!C91,8,1)="", AND(AND(MID(metadata!C91,8,1)="-",IFERROR(INT(MID(metadata!C91,9,1))&gt;=0,FALSE),IFERROR(INT(MID(metadata!C91,9,1))&lt;=3,FALSE),NOT(MID(metadata!C91,10,1)=""),IFERROR(INT(MID(metadata!C91,9,2))&gt;=1,FALSE),IFERROR(INT(MID(metadata!C91,9,2))&lt;=31,FALSE)), OR(MID(metadata!C91,11,1)="", AND(AND(MID(metadata!C91,11,1)=" ",IFERROR(INT(MID(metadata!C91,12,1))&gt;=0,FALSE),IFERROR(INT(MID(metadata!C91,12,1))&lt;=2,FALSE),NOT(MID(metadata!C91,13,1)=""),IFERROR(INT(MID(metadata!C91,12,2))&gt;=0,FALSE),IFERROR(INT(MID(metadata!C91,12,2))&lt;=23,FALSE)), OR(MID(metadata!C91,14,1)="", AND(AND(MID(metadata!C91,14,1)=":",IFERROR(INT(MID(metadata!C91,15,1))&gt;=0,FALSE),IFERROR(INT(MID(metadata!C91,15,1))&lt;=5,FALSE),NOT(MID(metadata!C91,16,1)=""),IFERROR(INT(MID(metadata!C91,15,2))&gt;=0,FALSE),IFERROR(INT(MID(metadata!C91,15,2))&lt;=59,FALSE)), OR(MID(metadata!C91,17,1)="", AND(AND(MID(metadata!C91,17,1)=":",IFERROR(INT(MID(metadata!C91,18,1))&gt;=0,FALSE),IFERROR(INT(MID(metadata!C91,18,1))&lt;=5,FALSE),NOT(MID(metadata!C91,19,1)=""),IFERROR(INT(MID(metadata!C91,18,2))&gt;=0,FALSE),IFERROR(INT(MID(metadata!C91,18,2))&lt;=59,FALSE)), LEN(metadata!C91)&lt;=19)))))))))))))</f>
        <v>0</v>
      </c>
      <c r="AD91">
        <f>IF(metadata!D91="",FALSE,TRUE)</f>
        <v>0</v>
      </c>
      <c r="AE91">
        <f>OR(AND(IF(metadata!E91="",FALSE,TRUE),OR(exact(metadata!E91,"missing: not collected"),exact(metadata!E91,"missing: not provided"))),AND(IF(metadata!E91="",FALSE,TRUE),OR(exact(metadata!E91,"TRUE"),exact(metadata!E91,"FALSE"))))</f>
        <v>0</v>
      </c>
      <c r="AF91">
        <f>IF(metadata!F91="",FALSE,TRUE)</f>
        <v>0</v>
      </c>
      <c r="AG91">
        <f>IF(metadata!G91="",FALSE,TRUE)</f>
        <v>0</v>
      </c>
      <c r="AH91">
        <f>IF(metadata!H91="",FALSE,TRUE)</f>
        <v>0</v>
      </c>
      <c r="AI91">
        <f>OR(AND(IF(metadata!I91="",FALSE,TRUE),OR(exact(metadata!I91,"missing: not collected"),exact(metadata!I91,"missing: not provided"),exact(metadata!I91,"missing: restricted access"))),AND(IF(metadata!I91="",FALSE,TRUE),OR(exact(metadata!I91,"air"),exact(metadata!I91,"built environment"),exact(metadata!I91,"host-associated"),exact(metadata!I91,"human-associated"),exact(metadata!I91,"human-skin"),exact(metadata!I91,"human-oral"),exact(metadata!I91,"human-gut"),exact(metadata!I91,"human-vaginal"),exact(metadata!I91,"microbial mat/biofilm"),exact(metadata!I91,"misc environment"),exact(metadata!I91,"plant-associated"),exact(metadata!I91,"sediment"),exact(metadata!I91,"soil"),exact(metadata!I91,"wastewater/sludge"),exact(metadata!I91,"water"))))</f>
        <v>0</v>
      </c>
      <c r="AJ91">
        <f>IF(metadata!J91="",FALSE,TRUE)</f>
        <v>0</v>
      </c>
      <c r="AK91">
        <f>OR(AND(IF(metadata!K91="",FALSE,TRUE),OR(exact(metadata!K91,"missing: not collected"),exact(metadata!K91,"missing: not provided"),exact(metadata!K91,"missing: restricted access"))),AND(IF(metadata!K91="",FALSE,ISNUMBER(VALUE(metadata!K91))),metadata!K91&gt;=-90.00,metadata!K91&lt;=90.00))</f>
        <v>0</v>
      </c>
      <c r="AL91">
        <f>OR(AND(IF(metadata!L91="",FALSE,TRUE),OR(exact(metadata!L91,"missing: not collected"),exact(metadata!L91,"missing: not provided"),exact(metadata!L91,"missing: restricted access"))),AND(IF(metadata!L91="",FALSE,ISNUMBER(VALUE(metadata!L91))),metadata!L91&gt;=-180.00,metadata!L91&lt;=180.00))</f>
        <v>0</v>
      </c>
      <c r="AM91">
        <f>IF(metadata!M91="",FALSE,TRUE)</f>
        <v>0</v>
      </c>
      <c r="AN91">
        <f>OR(AND(IF(metadata!N91="",FALSE,TRUE),OR(exact(metadata!N91,"missing: not collected"),exact(metadata!N91,"missing: not provided"),exact(metadata!N91,"missing: restricted access"))),AND(IF(metadata!N91="",FALSE,TRUE),OR(exact(metadata!N91,"TRUE"),exact(metadata!N91,"FALSE"))))</f>
        <v>0</v>
      </c>
      <c r="AO91">
        <f>IF(metadata!O91="",FALSE,TRUE)</f>
        <v>0</v>
      </c>
      <c r="AP91">
        <f>OR(AND(IF(metadata!P91="",FALSE,TRUE),OR(exact(metadata!P91,"missing: not collected"),exact(metadata!P91,"missing: not provided"))),AND(IF(metadata!P91="",FALSE,IF(ISERROR(INT(metadata!P91)),FALSE,INT(metadata!P91)=metadata!P91)),metadata!P91&gt;0))</f>
        <v>0</v>
      </c>
      <c r="AQ91">
        <f>IF(metadata!Q91="",FALSE,TRUE)</f>
        <v>0</v>
      </c>
    </row>
    <row r="92" spans="1:43">
      <c r="A92" s="5">
        <f>IF(B92=" "," ",HYPERLINK(CONCATENATE("#metadata!",ADDRESS(INDEX($W$2:$W$1001,MATCH(ROWS($U$2:U92),$U$2:$U$1001,0),0),1)),INDEX($Z$2:$Z$1001,MATCH(ROWS($U$2:U92),$U$2:$U$1001,0),0)))</f>
        <v>0</v>
      </c>
      <c r="B92" s="4">
        <f>IF(OR(INDEX($V$2:$V$1001,MATCH(ROWS($U$2:U92),$U$2:$U$1001,0),1)&gt;=100000,INDEX($AB$1005:$AQ$1005,1,MATCH(COLUMNS($AB$1006:AB1006),$AB$1006:$AQ$1006,0))&gt;=100000), " ",IF(INDEX($AB$2:$AQ$1001,MATCH(ROWS($U$2:U92),$U$2:$U$1001,0),MATCH(COLUMNS($AB$1006:AB1006),$AB$1006:$AQ$1006,0)), HYPERLINK("#",""), HYPERLINK(CONCATENATE("#metadata!", ADDRESS(INDEX($W$2:$W$1001,MATCH(ROWS($U$2:U92),$U$2:$U$1001,0),0), INDEX($AB$1004:$AQ$1004,1,MATCH(COLUMNS($AB$1006:AB1006),$AB$1006:$AQ$1006,0)))),"Fix")))</f>
        <v>0</v>
      </c>
      <c r="C92" s="4">
        <f>IF(OR(INDEX($V$2:$V$1001,MATCH(ROWS($U$2:U92),$U$2:$U$1001,0),1)&gt;=100000,INDEX($AB$1005:$AQ$1005,1,MATCH(COLUMNS($AB$1006:AC1006),$AB$1006:$AQ$1006,0))&gt;=100000), " ",IF(INDEX($AB$2:$AQ$1001,MATCH(ROWS($U$2:U92),$U$2:$U$1001,0),MATCH(COLUMNS($AB$1006:AC1006),$AB$1006:$AQ$1006,0)), HYPERLINK("#",""), HYPERLINK(CONCATENATE("#metadata!", ADDRESS(INDEX($W$2:$W$1001,MATCH(ROWS($U$2:U92),$U$2:$U$1001,0),0), INDEX($AB$1004:$AQ$1004,1,MATCH(COLUMNS($AB$1006:AC1006),$AB$1006:$AQ$1006,0)))),"Fix")))</f>
        <v>0</v>
      </c>
      <c r="D92" s="4">
        <f>IF(OR(INDEX($V$2:$V$1001,MATCH(ROWS($U$2:U92),$U$2:$U$1001,0),1)&gt;=100000,INDEX($AB$1005:$AQ$1005,1,MATCH(COLUMNS($AB$1006:AD1006),$AB$1006:$AQ$1006,0))&gt;=100000), " ",IF(INDEX($AB$2:$AQ$1001,MATCH(ROWS($U$2:U92),$U$2:$U$1001,0),MATCH(COLUMNS($AB$1006:AD1006),$AB$1006:$AQ$1006,0)), HYPERLINK("#",""), HYPERLINK(CONCATENATE("#metadata!", ADDRESS(INDEX($W$2:$W$1001,MATCH(ROWS($U$2:U92),$U$2:$U$1001,0),0), INDEX($AB$1004:$AQ$1004,1,MATCH(COLUMNS($AB$1006:AD1006),$AB$1006:$AQ$1006,0)))),"Fix")))</f>
        <v>0</v>
      </c>
      <c r="E92" s="4">
        <f>IF(OR(INDEX($V$2:$V$1001,MATCH(ROWS($U$2:U92),$U$2:$U$1001,0),1)&gt;=100000,INDEX($AB$1005:$AQ$1005,1,MATCH(COLUMNS($AB$1006:AE1006),$AB$1006:$AQ$1006,0))&gt;=100000), " ",IF(INDEX($AB$2:$AQ$1001,MATCH(ROWS($U$2:U92),$U$2:$U$1001,0),MATCH(COLUMNS($AB$1006:AE1006),$AB$1006:$AQ$1006,0)), HYPERLINK("#",""), HYPERLINK(CONCATENATE("#metadata!", ADDRESS(INDEX($W$2:$W$1001,MATCH(ROWS($U$2:U92),$U$2:$U$1001,0),0), INDEX($AB$1004:$AQ$1004,1,MATCH(COLUMNS($AB$1006:AE1006),$AB$1006:$AQ$1006,0)))),"Fix")))</f>
        <v>0</v>
      </c>
      <c r="F92" s="4">
        <f>IF(OR(INDEX($V$2:$V$1001,MATCH(ROWS($U$2:U92),$U$2:$U$1001,0),1)&gt;=100000,INDEX($AB$1005:$AQ$1005,1,MATCH(COLUMNS($AB$1006:AF1006),$AB$1006:$AQ$1006,0))&gt;=100000), " ",IF(INDEX($AB$2:$AQ$1001,MATCH(ROWS($U$2:U92),$U$2:$U$1001,0),MATCH(COLUMNS($AB$1006:AF1006),$AB$1006:$AQ$1006,0)), HYPERLINK("#",""), HYPERLINK(CONCATENATE("#metadata!", ADDRESS(INDEX($W$2:$W$1001,MATCH(ROWS($U$2:U92),$U$2:$U$1001,0),0), INDEX($AB$1004:$AQ$1004,1,MATCH(COLUMNS($AB$1006:AF1006),$AB$1006:$AQ$1006,0)))),"Fix")))</f>
        <v>0</v>
      </c>
      <c r="G92" s="4">
        <f>IF(OR(INDEX($V$2:$V$1001,MATCH(ROWS($U$2:U92),$U$2:$U$1001,0),1)&gt;=100000,INDEX($AB$1005:$AQ$1005,1,MATCH(COLUMNS($AB$1006:AG1006),$AB$1006:$AQ$1006,0))&gt;=100000), " ",IF(INDEX($AB$2:$AQ$1001,MATCH(ROWS($U$2:U92),$U$2:$U$1001,0),MATCH(COLUMNS($AB$1006:AG1006),$AB$1006:$AQ$1006,0)), HYPERLINK("#",""), HYPERLINK(CONCATENATE("#metadata!", ADDRESS(INDEX($W$2:$W$1001,MATCH(ROWS($U$2:U92),$U$2:$U$1001,0),0), INDEX($AB$1004:$AQ$1004,1,MATCH(COLUMNS($AB$1006:AG1006),$AB$1006:$AQ$1006,0)))),"Fix")))</f>
        <v>0</v>
      </c>
      <c r="H92" s="4">
        <f>IF(OR(INDEX($V$2:$V$1001,MATCH(ROWS($U$2:U92),$U$2:$U$1001,0),1)&gt;=100000,INDEX($AB$1005:$AQ$1005,1,MATCH(COLUMNS($AB$1006:AH1006),$AB$1006:$AQ$1006,0))&gt;=100000), " ",IF(INDEX($AB$2:$AQ$1001,MATCH(ROWS($U$2:U92),$U$2:$U$1001,0),MATCH(COLUMNS($AB$1006:AH1006),$AB$1006:$AQ$1006,0)), HYPERLINK("#",""), HYPERLINK(CONCATENATE("#metadata!", ADDRESS(INDEX($W$2:$W$1001,MATCH(ROWS($U$2:U92),$U$2:$U$1001,0),0), INDEX($AB$1004:$AQ$1004,1,MATCH(COLUMNS($AB$1006:AH1006),$AB$1006:$AQ$1006,0)))),"Fix")))</f>
        <v>0</v>
      </c>
      <c r="I92" s="4">
        <f>IF(OR(INDEX($V$2:$V$1001,MATCH(ROWS($U$2:U92),$U$2:$U$1001,0),1)&gt;=100000,INDEX($AB$1005:$AQ$1005,1,MATCH(COLUMNS($AB$1006:AI1006),$AB$1006:$AQ$1006,0))&gt;=100000), " ",IF(INDEX($AB$2:$AQ$1001,MATCH(ROWS($U$2:U92),$U$2:$U$1001,0),MATCH(COLUMNS($AB$1006:AI1006),$AB$1006:$AQ$1006,0)), HYPERLINK("#",""), HYPERLINK(CONCATENATE("#metadata!", ADDRESS(INDEX($W$2:$W$1001,MATCH(ROWS($U$2:U92),$U$2:$U$1001,0),0), INDEX($AB$1004:$AQ$1004,1,MATCH(COLUMNS($AB$1006:AI1006),$AB$1006:$AQ$1006,0)))),"Fix")))</f>
        <v>0</v>
      </c>
      <c r="J92" s="4">
        <f>IF(OR(INDEX($V$2:$V$1001,MATCH(ROWS($U$2:U92),$U$2:$U$1001,0),1)&gt;=100000,INDEX($AB$1005:$AQ$1005,1,MATCH(COLUMNS($AB$1006:AJ1006),$AB$1006:$AQ$1006,0))&gt;=100000), " ",IF(INDEX($AB$2:$AQ$1001,MATCH(ROWS($U$2:U92),$U$2:$U$1001,0),MATCH(COLUMNS($AB$1006:AJ1006),$AB$1006:$AQ$1006,0)), HYPERLINK("#",""), HYPERLINK(CONCATENATE("#metadata!", ADDRESS(INDEX($W$2:$W$1001,MATCH(ROWS($U$2:U92),$U$2:$U$1001,0),0), INDEX($AB$1004:$AQ$1004,1,MATCH(COLUMNS($AB$1006:AJ1006),$AB$1006:$AQ$1006,0)))),"Fix")))</f>
        <v>0</v>
      </c>
      <c r="K92" s="4">
        <f>IF(OR(INDEX($V$2:$V$1001,MATCH(ROWS($U$2:U92),$U$2:$U$1001,0),1)&gt;=100000,INDEX($AB$1005:$AQ$1005,1,MATCH(COLUMNS($AB$1006:AK1006),$AB$1006:$AQ$1006,0))&gt;=100000), " ",IF(INDEX($AB$2:$AQ$1001,MATCH(ROWS($U$2:U92),$U$2:$U$1001,0),MATCH(COLUMNS($AB$1006:AK1006),$AB$1006:$AQ$1006,0)), HYPERLINK("#",""), HYPERLINK(CONCATENATE("#metadata!", ADDRESS(INDEX($W$2:$W$1001,MATCH(ROWS($U$2:U92),$U$2:$U$1001,0),0), INDEX($AB$1004:$AQ$1004,1,MATCH(COLUMNS($AB$1006:AK1006),$AB$1006:$AQ$1006,0)))),"Fix")))</f>
        <v>0</v>
      </c>
      <c r="L92" s="4">
        <f>IF(OR(INDEX($V$2:$V$1001,MATCH(ROWS($U$2:U92),$U$2:$U$1001,0),1)&gt;=100000,INDEX($AB$1005:$AQ$1005,1,MATCH(COLUMNS($AB$1006:AL1006),$AB$1006:$AQ$1006,0))&gt;=100000), " ",IF(INDEX($AB$2:$AQ$1001,MATCH(ROWS($U$2:U92),$U$2:$U$1001,0),MATCH(COLUMNS($AB$1006:AL1006),$AB$1006:$AQ$1006,0)), HYPERLINK("#",""), HYPERLINK(CONCATENATE("#metadata!", ADDRESS(INDEX($W$2:$W$1001,MATCH(ROWS($U$2:U92),$U$2:$U$1001,0),0), INDEX($AB$1004:$AQ$1004,1,MATCH(COLUMNS($AB$1006:AL1006),$AB$1006:$AQ$1006,0)))),"Fix")))</f>
        <v>0</v>
      </c>
      <c r="M92" s="4">
        <f>IF(OR(INDEX($V$2:$V$1001,MATCH(ROWS($U$2:U92),$U$2:$U$1001,0),1)&gt;=100000,INDEX($AB$1005:$AQ$1005,1,MATCH(COLUMNS($AB$1006:AM1006),$AB$1006:$AQ$1006,0))&gt;=100000), " ",IF(INDEX($AB$2:$AQ$1001,MATCH(ROWS($U$2:U92),$U$2:$U$1001,0),MATCH(COLUMNS($AB$1006:AM1006),$AB$1006:$AQ$1006,0)), HYPERLINK("#",""), HYPERLINK(CONCATENATE("#metadata!", ADDRESS(INDEX($W$2:$W$1001,MATCH(ROWS($U$2:U92),$U$2:$U$1001,0),0), INDEX($AB$1004:$AQ$1004,1,MATCH(COLUMNS($AB$1006:AM1006),$AB$1006:$AQ$1006,0)))),"Fix")))</f>
        <v>0</v>
      </c>
      <c r="N92" s="4">
        <f>IF(OR(INDEX($V$2:$V$1001,MATCH(ROWS($U$2:U92),$U$2:$U$1001,0),1)&gt;=100000,INDEX($AB$1005:$AQ$1005,1,MATCH(COLUMNS($AB$1006:AN1006),$AB$1006:$AQ$1006,0))&gt;=100000), " ",IF(INDEX($AB$2:$AQ$1001,MATCH(ROWS($U$2:U92),$U$2:$U$1001,0),MATCH(COLUMNS($AB$1006:AN1006),$AB$1006:$AQ$1006,0)), HYPERLINK("#",""), HYPERLINK(CONCATENATE("#metadata!", ADDRESS(INDEX($W$2:$W$1001,MATCH(ROWS($U$2:U92),$U$2:$U$1001,0),0), INDEX($AB$1004:$AQ$1004,1,MATCH(COLUMNS($AB$1006:AN1006),$AB$1006:$AQ$1006,0)))),"Fix")))</f>
        <v>0</v>
      </c>
      <c r="O92" s="4">
        <f>IF(OR(INDEX($V$2:$V$1001,MATCH(ROWS($U$2:U92),$U$2:$U$1001,0),1)&gt;=100000,INDEX($AB$1005:$AQ$1005,1,MATCH(COLUMNS($AB$1006:AO1006),$AB$1006:$AQ$1006,0))&gt;=100000), " ",IF(INDEX($AB$2:$AQ$1001,MATCH(ROWS($U$2:U92),$U$2:$U$1001,0),MATCH(COLUMNS($AB$1006:AO1006),$AB$1006:$AQ$1006,0)), HYPERLINK("#",""), HYPERLINK(CONCATENATE("#metadata!", ADDRESS(INDEX($W$2:$W$1001,MATCH(ROWS($U$2:U92),$U$2:$U$1001,0),0), INDEX($AB$1004:$AQ$1004,1,MATCH(COLUMNS($AB$1006:AO1006),$AB$1006:$AQ$1006,0)))),"Fix")))</f>
        <v>0</v>
      </c>
      <c r="P92" s="4">
        <f>IF(OR(INDEX($V$2:$V$1001,MATCH(ROWS($U$2:U92),$U$2:$U$1001,0),1)&gt;=100000,INDEX($AB$1005:$AQ$1005,1,MATCH(COLUMNS($AB$1006:AP1006),$AB$1006:$AQ$1006,0))&gt;=100000), " ",IF(INDEX($AB$2:$AQ$1001,MATCH(ROWS($U$2:U92),$U$2:$U$1001,0),MATCH(COLUMNS($AB$1006:AP1006),$AB$1006:$AQ$1006,0)), HYPERLINK("#",""), HYPERLINK(CONCATENATE("#metadata!", ADDRESS(INDEX($W$2:$W$1001,MATCH(ROWS($U$2:U92),$U$2:$U$1001,0),0), INDEX($AB$1004:$AQ$1004,1,MATCH(COLUMNS($AB$1006:AP1006),$AB$1006:$AQ$1006,0)))),"Fix")))</f>
        <v>0</v>
      </c>
      <c r="Q92" s="4">
        <f>IF(OR(INDEX($V$2:$V$1001,MATCH(ROWS($U$2:U92),$U$2:$U$1001,0),1)&gt;=100000,INDEX($AB$1005:$AQ$1005,1,MATCH(COLUMNS($AB$1006:AQ1006),$AB$1006:$AQ$1006,0))&gt;=100000), " ",IF(INDEX($AB$2:$AQ$1001,MATCH(ROWS($U$2:U92),$U$2:$U$1001,0),MATCH(COLUMNS($AB$1006:AQ1006),$AB$1006:$AQ$1006,0)), HYPERLINK("#",""), HYPERLINK(CONCATENATE("#metadata!", ADDRESS(INDEX($W$2:$W$1001,MATCH(ROWS($U$2:U92),$U$2:$U$1001,0),0), INDEX($AB$1004:$AQ$1004,1,MATCH(COLUMNS($AB$1006:AQ1006),$AB$1006:$AQ$1006,0)))),"Fix")))</f>
        <v>0</v>
      </c>
      <c r="U92">
        <v>0</v>
      </c>
      <c r="V92">
        <v>0</v>
      </c>
      <c r="W92">
        <v>0</v>
      </c>
      <c r="X92">
        <f>IF(Y92,TRUE,AND(AB92:AQ92))</f>
        <v>0</v>
      </c>
      <c r="Y92">
        <f>COUNTBLANK(metadata!B92:Q92)=COLUMNS(metadata!B92:Q92)</f>
        <v>0</v>
      </c>
      <c r="Z92">
        <v>0</v>
      </c>
      <c r="AB92">
        <f>AND(IF(metadata!B92="",FALSE,TRUE),COUNTIF(metadata!B:B, metadata!B92) = 1,NOT(ISERROR(SUMPRODUCT(SEARCH(MID(metadata!B92,ROW(INDIRECT("1:"&amp;LEN(metadata!B92))), 1),"0123456789abcdefghijklmnopqrstuvwxyzABCDEFGHIJKLMNOPQRSTUVWXYZ.")))))</f>
        <v>0</v>
      </c>
      <c r="AC92">
        <f>OR(AND(IF(metadata!C92="",FALSE,TRUE),OR(exact(metadata!C92,"missing: not collected"),exact(metadata!C92,"missing: not provided"),exact(metadata!C92,"missing: restricted access"))),AND(IF(metadata!C92="",FALSE,TRUE),AND(AND(IFERROR(INT(LEFT(metadata!C92,4))&gt;1900,FALSE),IFERROR(INT(LEFT(metadata!C92,4))&lt;=YEAR(NOW()),FALSE)), OR(MID(metadata!C92,5,1)="", AND(AND(MID(metadata!C92,5,1)="-",IFERROR(INT(MID(metadata!C92,6,1))&gt;=0,FALSE),IFERROR(INT(MID(metadata!C92,6,1))&lt;=1,FALSE),NOT(MID(metadata!C92,7,1)=""),IFERROR(INT(MID(metadata!C92,6,2))&gt;=1,FALSE),IFERROR(INT(MID(metadata!C92,6,2))&lt;=12,FALSE)), OR(MID(metadata!C92,8,1)="", AND(AND(MID(metadata!C92,8,1)="-",IFERROR(INT(MID(metadata!C92,9,1))&gt;=0,FALSE),IFERROR(INT(MID(metadata!C92,9,1))&lt;=3,FALSE),NOT(MID(metadata!C92,10,1)=""),IFERROR(INT(MID(metadata!C92,9,2))&gt;=1,FALSE),IFERROR(INT(MID(metadata!C92,9,2))&lt;=31,FALSE)), OR(MID(metadata!C92,11,1)="", AND(AND(MID(metadata!C92,11,1)=" ",IFERROR(INT(MID(metadata!C92,12,1))&gt;=0,FALSE),IFERROR(INT(MID(metadata!C92,12,1))&lt;=2,FALSE),NOT(MID(metadata!C92,13,1)=""),IFERROR(INT(MID(metadata!C92,12,2))&gt;=0,FALSE),IFERROR(INT(MID(metadata!C92,12,2))&lt;=23,FALSE)), OR(MID(metadata!C92,14,1)="", AND(AND(MID(metadata!C92,14,1)=":",IFERROR(INT(MID(metadata!C92,15,1))&gt;=0,FALSE),IFERROR(INT(MID(metadata!C92,15,1))&lt;=5,FALSE),NOT(MID(metadata!C92,16,1)=""),IFERROR(INT(MID(metadata!C92,15,2))&gt;=0,FALSE),IFERROR(INT(MID(metadata!C92,15,2))&lt;=59,FALSE)), OR(MID(metadata!C92,17,1)="", AND(AND(MID(metadata!C92,17,1)=":",IFERROR(INT(MID(metadata!C92,18,1))&gt;=0,FALSE),IFERROR(INT(MID(metadata!C92,18,1))&lt;=5,FALSE),NOT(MID(metadata!C92,19,1)=""),IFERROR(INT(MID(metadata!C92,18,2))&gt;=0,FALSE),IFERROR(INT(MID(metadata!C92,18,2))&lt;=59,FALSE)), LEN(metadata!C92)&lt;=19)))))))))))))</f>
        <v>0</v>
      </c>
      <c r="AD92">
        <f>IF(metadata!D92="",FALSE,TRUE)</f>
        <v>0</v>
      </c>
      <c r="AE92">
        <f>OR(AND(IF(metadata!E92="",FALSE,TRUE),OR(exact(metadata!E92,"missing: not collected"),exact(metadata!E92,"missing: not provided"))),AND(IF(metadata!E92="",FALSE,TRUE),OR(exact(metadata!E92,"TRUE"),exact(metadata!E92,"FALSE"))))</f>
        <v>0</v>
      </c>
      <c r="AF92">
        <f>IF(metadata!F92="",FALSE,TRUE)</f>
        <v>0</v>
      </c>
      <c r="AG92">
        <f>IF(metadata!G92="",FALSE,TRUE)</f>
        <v>0</v>
      </c>
      <c r="AH92">
        <f>IF(metadata!H92="",FALSE,TRUE)</f>
        <v>0</v>
      </c>
      <c r="AI92">
        <f>OR(AND(IF(metadata!I92="",FALSE,TRUE),OR(exact(metadata!I92,"missing: not collected"),exact(metadata!I92,"missing: not provided"),exact(metadata!I92,"missing: restricted access"))),AND(IF(metadata!I92="",FALSE,TRUE),OR(exact(metadata!I92,"air"),exact(metadata!I92,"built environment"),exact(metadata!I92,"host-associated"),exact(metadata!I92,"human-associated"),exact(metadata!I92,"human-skin"),exact(metadata!I92,"human-oral"),exact(metadata!I92,"human-gut"),exact(metadata!I92,"human-vaginal"),exact(metadata!I92,"microbial mat/biofilm"),exact(metadata!I92,"misc environment"),exact(metadata!I92,"plant-associated"),exact(metadata!I92,"sediment"),exact(metadata!I92,"soil"),exact(metadata!I92,"wastewater/sludge"),exact(metadata!I92,"water"))))</f>
        <v>0</v>
      </c>
      <c r="AJ92">
        <f>IF(metadata!J92="",FALSE,TRUE)</f>
        <v>0</v>
      </c>
      <c r="AK92">
        <f>OR(AND(IF(metadata!K92="",FALSE,TRUE),OR(exact(metadata!K92,"missing: not collected"),exact(metadata!K92,"missing: not provided"),exact(metadata!K92,"missing: restricted access"))),AND(IF(metadata!K92="",FALSE,ISNUMBER(VALUE(metadata!K92))),metadata!K92&gt;=-90.00,metadata!K92&lt;=90.00))</f>
        <v>0</v>
      </c>
      <c r="AL92">
        <f>OR(AND(IF(metadata!L92="",FALSE,TRUE),OR(exact(metadata!L92,"missing: not collected"),exact(metadata!L92,"missing: not provided"),exact(metadata!L92,"missing: restricted access"))),AND(IF(metadata!L92="",FALSE,ISNUMBER(VALUE(metadata!L92))),metadata!L92&gt;=-180.00,metadata!L92&lt;=180.00))</f>
        <v>0</v>
      </c>
      <c r="AM92">
        <f>IF(metadata!M92="",FALSE,TRUE)</f>
        <v>0</v>
      </c>
      <c r="AN92">
        <f>OR(AND(IF(metadata!N92="",FALSE,TRUE),OR(exact(metadata!N92,"missing: not collected"),exact(metadata!N92,"missing: not provided"),exact(metadata!N92,"missing: restricted access"))),AND(IF(metadata!N92="",FALSE,TRUE),OR(exact(metadata!N92,"TRUE"),exact(metadata!N92,"FALSE"))))</f>
        <v>0</v>
      </c>
      <c r="AO92">
        <f>IF(metadata!O92="",FALSE,TRUE)</f>
        <v>0</v>
      </c>
      <c r="AP92">
        <f>OR(AND(IF(metadata!P92="",FALSE,TRUE),OR(exact(metadata!P92,"missing: not collected"),exact(metadata!P92,"missing: not provided"))),AND(IF(metadata!P92="",FALSE,IF(ISERROR(INT(metadata!P92)),FALSE,INT(metadata!P92)=metadata!P92)),metadata!P92&gt;0))</f>
        <v>0</v>
      </c>
      <c r="AQ92">
        <f>IF(metadata!Q92="",FALSE,TRUE)</f>
        <v>0</v>
      </c>
    </row>
    <row r="93" spans="1:43">
      <c r="A93" s="5">
        <f>IF(B93=" "," ",HYPERLINK(CONCATENATE("#metadata!",ADDRESS(INDEX($W$2:$W$1001,MATCH(ROWS($U$2:U93),$U$2:$U$1001,0),0),1)),INDEX($Z$2:$Z$1001,MATCH(ROWS($U$2:U93),$U$2:$U$1001,0),0)))</f>
        <v>0</v>
      </c>
      <c r="B93" s="4">
        <f>IF(OR(INDEX($V$2:$V$1001,MATCH(ROWS($U$2:U93),$U$2:$U$1001,0),1)&gt;=100000,INDEX($AB$1005:$AQ$1005,1,MATCH(COLUMNS($AB$1006:AB1006),$AB$1006:$AQ$1006,0))&gt;=100000), " ",IF(INDEX($AB$2:$AQ$1001,MATCH(ROWS($U$2:U93),$U$2:$U$1001,0),MATCH(COLUMNS($AB$1006:AB1006),$AB$1006:$AQ$1006,0)), HYPERLINK("#",""), HYPERLINK(CONCATENATE("#metadata!", ADDRESS(INDEX($W$2:$W$1001,MATCH(ROWS($U$2:U93),$U$2:$U$1001,0),0), INDEX($AB$1004:$AQ$1004,1,MATCH(COLUMNS($AB$1006:AB1006),$AB$1006:$AQ$1006,0)))),"Fix")))</f>
        <v>0</v>
      </c>
      <c r="C93" s="4">
        <f>IF(OR(INDEX($V$2:$V$1001,MATCH(ROWS($U$2:U93),$U$2:$U$1001,0),1)&gt;=100000,INDEX($AB$1005:$AQ$1005,1,MATCH(COLUMNS($AB$1006:AC1006),$AB$1006:$AQ$1006,0))&gt;=100000), " ",IF(INDEX($AB$2:$AQ$1001,MATCH(ROWS($U$2:U93),$U$2:$U$1001,0),MATCH(COLUMNS($AB$1006:AC1006),$AB$1006:$AQ$1006,0)), HYPERLINK("#",""), HYPERLINK(CONCATENATE("#metadata!", ADDRESS(INDEX($W$2:$W$1001,MATCH(ROWS($U$2:U93),$U$2:$U$1001,0),0), INDEX($AB$1004:$AQ$1004,1,MATCH(COLUMNS($AB$1006:AC1006),$AB$1006:$AQ$1006,0)))),"Fix")))</f>
        <v>0</v>
      </c>
      <c r="D93" s="4">
        <f>IF(OR(INDEX($V$2:$V$1001,MATCH(ROWS($U$2:U93),$U$2:$U$1001,0),1)&gt;=100000,INDEX($AB$1005:$AQ$1005,1,MATCH(COLUMNS($AB$1006:AD1006),$AB$1006:$AQ$1006,0))&gt;=100000), " ",IF(INDEX($AB$2:$AQ$1001,MATCH(ROWS($U$2:U93),$U$2:$U$1001,0),MATCH(COLUMNS($AB$1006:AD1006),$AB$1006:$AQ$1006,0)), HYPERLINK("#",""), HYPERLINK(CONCATENATE("#metadata!", ADDRESS(INDEX($W$2:$W$1001,MATCH(ROWS($U$2:U93),$U$2:$U$1001,0),0), INDEX($AB$1004:$AQ$1004,1,MATCH(COLUMNS($AB$1006:AD1006),$AB$1006:$AQ$1006,0)))),"Fix")))</f>
        <v>0</v>
      </c>
      <c r="E93" s="4">
        <f>IF(OR(INDEX($V$2:$V$1001,MATCH(ROWS($U$2:U93),$U$2:$U$1001,0),1)&gt;=100000,INDEX($AB$1005:$AQ$1005,1,MATCH(COLUMNS($AB$1006:AE1006),$AB$1006:$AQ$1006,0))&gt;=100000), " ",IF(INDEX($AB$2:$AQ$1001,MATCH(ROWS($U$2:U93),$U$2:$U$1001,0),MATCH(COLUMNS($AB$1006:AE1006),$AB$1006:$AQ$1006,0)), HYPERLINK("#",""), HYPERLINK(CONCATENATE("#metadata!", ADDRESS(INDEX($W$2:$W$1001,MATCH(ROWS($U$2:U93),$U$2:$U$1001,0),0), INDEX($AB$1004:$AQ$1004,1,MATCH(COLUMNS($AB$1006:AE1006),$AB$1006:$AQ$1006,0)))),"Fix")))</f>
        <v>0</v>
      </c>
      <c r="F93" s="4">
        <f>IF(OR(INDEX($V$2:$V$1001,MATCH(ROWS($U$2:U93),$U$2:$U$1001,0),1)&gt;=100000,INDEX($AB$1005:$AQ$1005,1,MATCH(COLUMNS($AB$1006:AF1006),$AB$1006:$AQ$1006,0))&gt;=100000), " ",IF(INDEX($AB$2:$AQ$1001,MATCH(ROWS($U$2:U93),$U$2:$U$1001,0),MATCH(COLUMNS($AB$1006:AF1006),$AB$1006:$AQ$1006,0)), HYPERLINK("#",""), HYPERLINK(CONCATENATE("#metadata!", ADDRESS(INDEX($W$2:$W$1001,MATCH(ROWS($U$2:U93),$U$2:$U$1001,0),0), INDEX($AB$1004:$AQ$1004,1,MATCH(COLUMNS($AB$1006:AF1006),$AB$1006:$AQ$1006,0)))),"Fix")))</f>
        <v>0</v>
      </c>
      <c r="G93" s="4">
        <f>IF(OR(INDEX($V$2:$V$1001,MATCH(ROWS($U$2:U93),$U$2:$U$1001,0),1)&gt;=100000,INDEX($AB$1005:$AQ$1005,1,MATCH(COLUMNS($AB$1006:AG1006),$AB$1006:$AQ$1006,0))&gt;=100000), " ",IF(INDEX($AB$2:$AQ$1001,MATCH(ROWS($U$2:U93),$U$2:$U$1001,0),MATCH(COLUMNS($AB$1006:AG1006),$AB$1006:$AQ$1006,0)), HYPERLINK("#",""), HYPERLINK(CONCATENATE("#metadata!", ADDRESS(INDEX($W$2:$W$1001,MATCH(ROWS($U$2:U93),$U$2:$U$1001,0),0), INDEX($AB$1004:$AQ$1004,1,MATCH(COLUMNS($AB$1006:AG1006),$AB$1006:$AQ$1006,0)))),"Fix")))</f>
        <v>0</v>
      </c>
      <c r="H93" s="4">
        <f>IF(OR(INDEX($V$2:$V$1001,MATCH(ROWS($U$2:U93),$U$2:$U$1001,0),1)&gt;=100000,INDEX($AB$1005:$AQ$1005,1,MATCH(COLUMNS($AB$1006:AH1006),$AB$1006:$AQ$1006,0))&gt;=100000), " ",IF(INDEX($AB$2:$AQ$1001,MATCH(ROWS($U$2:U93),$U$2:$U$1001,0),MATCH(COLUMNS($AB$1006:AH1006),$AB$1006:$AQ$1006,0)), HYPERLINK("#",""), HYPERLINK(CONCATENATE("#metadata!", ADDRESS(INDEX($W$2:$W$1001,MATCH(ROWS($U$2:U93),$U$2:$U$1001,0),0), INDEX($AB$1004:$AQ$1004,1,MATCH(COLUMNS($AB$1006:AH1006),$AB$1006:$AQ$1006,0)))),"Fix")))</f>
        <v>0</v>
      </c>
      <c r="I93" s="4">
        <f>IF(OR(INDEX($V$2:$V$1001,MATCH(ROWS($U$2:U93),$U$2:$U$1001,0),1)&gt;=100000,INDEX($AB$1005:$AQ$1005,1,MATCH(COLUMNS($AB$1006:AI1006),$AB$1006:$AQ$1006,0))&gt;=100000), " ",IF(INDEX($AB$2:$AQ$1001,MATCH(ROWS($U$2:U93),$U$2:$U$1001,0),MATCH(COLUMNS($AB$1006:AI1006),$AB$1006:$AQ$1006,0)), HYPERLINK("#",""), HYPERLINK(CONCATENATE("#metadata!", ADDRESS(INDEX($W$2:$W$1001,MATCH(ROWS($U$2:U93),$U$2:$U$1001,0),0), INDEX($AB$1004:$AQ$1004,1,MATCH(COLUMNS($AB$1006:AI1006),$AB$1006:$AQ$1006,0)))),"Fix")))</f>
        <v>0</v>
      </c>
      <c r="J93" s="4">
        <f>IF(OR(INDEX($V$2:$V$1001,MATCH(ROWS($U$2:U93),$U$2:$U$1001,0),1)&gt;=100000,INDEX($AB$1005:$AQ$1005,1,MATCH(COLUMNS($AB$1006:AJ1006),$AB$1006:$AQ$1006,0))&gt;=100000), " ",IF(INDEX($AB$2:$AQ$1001,MATCH(ROWS($U$2:U93),$U$2:$U$1001,0),MATCH(COLUMNS($AB$1006:AJ1006),$AB$1006:$AQ$1006,0)), HYPERLINK("#",""), HYPERLINK(CONCATENATE("#metadata!", ADDRESS(INDEX($W$2:$W$1001,MATCH(ROWS($U$2:U93),$U$2:$U$1001,0),0), INDEX($AB$1004:$AQ$1004,1,MATCH(COLUMNS($AB$1006:AJ1006),$AB$1006:$AQ$1006,0)))),"Fix")))</f>
        <v>0</v>
      </c>
      <c r="K93" s="4">
        <f>IF(OR(INDEX($V$2:$V$1001,MATCH(ROWS($U$2:U93),$U$2:$U$1001,0),1)&gt;=100000,INDEX($AB$1005:$AQ$1005,1,MATCH(COLUMNS($AB$1006:AK1006),$AB$1006:$AQ$1006,0))&gt;=100000), " ",IF(INDEX($AB$2:$AQ$1001,MATCH(ROWS($U$2:U93),$U$2:$U$1001,0),MATCH(COLUMNS($AB$1006:AK1006),$AB$1006:$AQ$1006,0)), HYPERLINK("#",""), HYPERLINK(CONCATENATE("#metadata!", ADDRESS(INDEX($W$2:$W$1001,MATCH(ROWS($U$2:U93),$U$2:$U$1001,0),0), INDEX($AB$1004:$AQ$1004,1,MATCH(COLUMNS($AB$1006:AK1006),$AB$1006:$AQ$1006,0)))),"Fix")))</f>
        <v>0</v>
      </c>
      <c r="L93" s="4">
        <f>IF(OR(INDEX($V$2:$V$1001,MATCH(ROWS($U$2:U93),$U$2:$U$1001,0),1)&gt;=100000,INDEX($AB$1005:$AQ$1005,1,MATCH(COLUMNS($AB$1006:AL1006),$AB$1006:$AQ$1006,0))&gt;=100000), " ",IF(INDEX($AB$2:$AQ$1001,MATCH(ROWS($U$2:U93),$U$2:$U$1001,0),MATCH(COLUMNS($AB$1006:AL1006),$AB$1006:$AQ$1006,0)), HYPERLINK("#",""), HYPERLINK(CONCATENATE("#metadata!", ADDRESS(INDEX($W$2:$W$1001,MATCH(ROWS($U$2:U93),$U$2:$U$1001,0),0), INDEX($AB$1004:$AQ$1004,1,MATCH(COLUMNS($AB$1006:AL1006),$AB$1006:$AQ$1006,0)))),"Fix")))</f>
        <v>0</v>
      </c>
      <c r="M93" s="4">
        <f>IF(OR(INDEX($V$2:$V$1001,MATCH(ROWS($U$2:U93),$U$2:$U$1001,0),1)&gt;=100000,INDEX($AB$1005:$AQ$1005,1,MATCH(COLUMNS($AB$1006:AM1006),$AB$1006:$AQ$1006,0))&gt;=100000), " ",IF(INDEX($AB$2:$AQ$1001,MATCH(ROWS($U$2:U93),$U$2:$U$1001,0),MATCH(COLUMNS($AB$1006:AM1006),$AB$1006:$AQ$1006,0)), HYPERLINK("#",""), HYPERLINK(CONCATENATE("#metadata!", ADDRESS(INDEX($W$2:$W$1001,MATCH(ROWS($U$2:U93),$U$2:$U$1001,0),0), INDEX($AB$1004:$AQ$1004,1,MATCH(COLUMNS($AB$1006:AM1006),$AB$1006:$AQ$1006,0)))),"Fix")))</f>
        <v>0</v>
      </c>
      <c r="N93" s="4">
        <f>IF(OR(INDEX($V$2:$V$1001,MATCH(ROWS($U$2:U93),$U$2:$U$1001,0),1)&gt;=100000,INDEX($AB$1005:$AQ$1005,1,MATCH(COLUMNS($AB$1006:AN1006),$AB$1006:$AQ$1006,0))&gt;=100000), " ",IF(INDEX($AB$2:$AQ$1001,MATCH(ROWS($U$2:U93),$U$2:$U$1001,0),MATCH(COLUMNS($AB$1006:AN1006),$AB$1006:$AQ$1006,0)), HYPERLINK("#",""), HYPERLINK(CONCATENATE("#metadata!", ADDRESS(INDEX($W$2:$W$1001,MATCH(ROWS($U$2:U93),$U$2:$U$1001,0),0), INDEX($AB$1004:$AQ$1004,1,MATCH(COLUMNS($AB$1006:AN1006),$AB$1006:$AQ$1006,0)))),"Fix")))</f>
        <v>0</v>
      </c>
      <c r="O93" s="4">
        <f>IF(OR(INDEX($V$2:$V$1001,MATCH(ROWS($U$2:U93),$U$2:$U$1001,0),1)&gt;=100000,INDEX($AB$1005:$AQ$1005,1,MATCH(COLUMNS($AB$1006:AO1006),$AB$1006:$AQ$1006,0))&gt;=100000), " ",IF(INDEX($AB$2:$AQ$1001,MATCH(ROWS($U$2:U93),$U$2:$U$1001,0),MATCH(COLUMNS($AB$1006:AO1006),$AB$1006:$AQ$1006,0)), HYPERLINK("#",""), HYPERLINK(CONCATENATE("#metadata!", ADDRESS(INDEX($W$2:$W$1001,MATCH(ROWS($U$2:U93),$U$2:$U$1001,0),0), INDEX($AB$1004:$AQ$1004,1,MATCH(COLUMNS($AB$1006:AO1006),$AB$1006:$AQ$1006,0)))),"Fix")))</f>
        <v>0</v>
      </c>
      <c r="P93" s="4">
        <f>IF(OR(INDEX($V$2:$V$1001,MATCH(ROWS($U$2:U93),$U$2:$U$1001,0),1)&gt;=100000,INDEX($AB$1005:$AQ$1005,1,MATCH(COLUMNS($AB$1006:AP1006),$AB$1006:$AQ$1006,0))&gt;=100000), " ",IF(INDEX($AB$2:$AQ$1001,MATCH(ROWS($U$2:U93),$U$2:$U$1001,0),MATCH(COLUMNS($AB$1006:AP1006),$AB$1006:$AQ$1006,0)), HYPERLINK("#",""), HYPERLINK(CONCATENATE("#metadata!", ADDRESS(INDEX($W$2:$W$1001,MATCH(ROWS($U$2:U93),$U$2:$U$1001,0),0), INDEX($AB$1004:$AQ$1004,1,MATCH(COLUMNS($AB$1006:AP1006),$AB$1006:$AQ$1006,0)))),"Fix")))</f>
        <v>0</v>
      </c>
      <c r="Q93" s="4">
        <f>IF(OR(INDEX($V$2:$V$1001,MATCH(ROWS($U$2:U93),$U$2:$U$1001,0),1)&gt;=100000,INDEX($AB$1005:$AQ$1005,1,MATCH(COLUMNS($AB$1006:AQ1006),$AB$1006:$AQ$1006,0))&gt;=100000), " ",IF(INDEX($AB$2:$AQ$1001,MATCH(ROWS($U$2:U93),$U$2:$U$1001,0),MATCH(COLUMNS($AB$1006:AQ1006),$AB$1006:$AQ$1006,0)), HYPERLINK("#",""), HYPERLINK(CONCATENATE("#metadata!", ADDRESS(INDEX($W$2:$W$1001,MATCH(ROWS($U$2:U93),$U$2:$U$1001,0),0), INDEX($AB$1004:$AQ$1004,1,MATCH(COLUMNS($AB$1006:AQ1006),$AB$1006:$AQ$1006,0)))),"Fix")))</f>
        <v>0</v>
      </c>
      <c r="U93">
        <v>0</v>
      </c>
      <c r="V93">
        <v>0</v>
      </c>
      <c r="W93">
        <v>0</v>
      </c>
      <c r="X93">
        <f>IF(Y93,TRUE,AND(AB93:AQ93))</f>
        <v>0</v>
      </c>
      <c r="Y93">
        <f>COUNTBLANK(metadata!B93:Q93)=COLUMNS(metadata!B93:Q93)</f>
        <v>0</v>
      </c>
      <c r="Z93">
        <v>0</v>
      </c>
      <c r="AB93">
        <f>AND(IF(metadata!B93="",FALSE,TRUE),COUNTIF(metadata!B:B, metadata!B93) = 1,NOT(ISERROR(SUMPRODUCT(SEARCH(MID(metadata!B93,ROW(INDIRECT("1:"&amp;LEN(metadata!B93))), 1),"0123456789abcdefghijklmnopqrstuvwxyzABCDEFGHIJKLMNOPQRSTUVWXYZ.")))))</f>
        <v>0</v>
      </c>
      <c r="AC93">
        <f>OR(AND(IF(metadata!C93="",FALSE,TRUE),OR(exact(metadata!C93,"missing: not collected"),exact(metadata!C93,"missing: not provided"),exact(metadata!C93,"missing: restricted access"))),AND(IF(metadata!C93="",FALSE,TRUE),AND(AND(IFERROR(INT(LEFT(metadata!C93,4))&gt;1900,FALSE),IFERROR(INT(LEFT(metadata!C93,4))&lt;=YEAR(NOW()),FALSE)), OR(MID(metadata!C93,5,1)="", AND(AND(MID(metadata!C93,5,1)="-",IFERROR(INT(MID(metadata!C93,6,1))&gt;=0,FALSE),IFERROR(INT(MID(metadata!C93,6,1))&lt;=1,FALSE),NOT(MID(metadata!C93,7,1)=""),IFERROR(INT(MID(metadata!C93,6,2))&gt;=1,FALSE),IFERROR(INT(MID(metadata!C93,6,2))&lt;=12,FALSE)), OR(MID(metadata!C93,8,1)="", AND(AND(MID(metadata!C93,8,1)="-",IFERROR(INT(MID(metadata!C93,9,1))&gt;=0,FALSE),IFERROR(INT(MID(metadata!C93,9,1))&lt;=3,FALSE),NOT(MID(metadata!C93,10,1)=""),IFERROR(INT(MID(metadata!C93,9,2))&gt;=1,FALSE),IFERROR(INT(MID(metadata!C93,9,2))&lt;=31,FALSE)), OR(MID(metadata!C93,11,1)="", AND(AND(MID(metadata!C93,11,1)=" ",IFERROR(INT(MID(metadata!C93,12,1))&gt;=0,FALSE),IFERROR(INT(MID(metadata!C93,12,1))&lt;=2,FALSE),NOT(MID(metadata!C93,13,1)=""),IFERROR(INT(MID(metadata!C93,12,2))&gt;=0,FALSE),IFERROR(INT(MID(metadata!C93,12,2))&lt;=23,FALSE)), OR(MID(metadata!C93,14,1)="", AND(AND(MID(metadata!C93,14,1)=":",IFERROR(INT(MID(metadata!C93,15,1))&gt;=0,FALSE),IFERROR(INT(MID(metadata!C93,15,1))&lt;=5,FALSE),NOT(MID(metadata!C93,16,1)=""),IFERROR(INT(MID(metadata!C93,15,2))&gt;=0,FALSE),IFERROR(INT(MID(metadata!C93,15,2))&lt;=59,FALSE)), OR(MID(metadata!C93,17,1)="", AND(AND(MID(metadata!C93,17,1)=":",IFERROR(INT(MID(metadata!C93,18,1))&gt;=0,FALSE),IFERROR(INT(MID(metadata!C93,18,1))&lt;=5,FALSE),NOT(MID(metadata!C93,19,1)=""),IFERROR(INT(MID(metadata!C93,18,2))&gt;=0,FALSE),IFERROR(INT(MID(metadata!C93,18,2))&lt;=59,FALSE)), LEN(metadata!C93)&lt;=19)))))))))))))</f>
        <v>0</v>
      </c>
      <c r="AD93">
        <f>IF(metadata!D93="",FALSE,TRUE)</f>
        <v>0</v>
      </c>
      <c r="AE93">
        <f>OR(AND(IF(metadata!E93="",FALSE,TRUE),OR(exact(metadata!E93,"missing: not collected"),exact(metadata!E93,"missing: not provided"))),AND(IF(metadata!E93="",FALSE,TRUE),OR(exact(metadata!E93,"TRUE"),exact(metadata!E93,"FALSE"))))</f>
        <v>0</v>
      </c>
      <c r="AF93">
        <f>IF(metadata!F93="",FALSE,TRUE)</f>
        <v>0</v>
      </c>
      <c r="AG93">
        <f>IF(metadata!G93="",FALSE,TRUE)</f>
        <v>0</v>
      </c>
      <c r="AH93">
        <f>IF(metadata!H93="",FALSE,TRUE)</f>
        <v>0</v>
      </c>
      <c r="AI93">
        <f>OR(AND(IF(metadata!I93="",FALSE,TRUE),OR(exact(metadata!I93,"missing: not collected"),exact(metadata!I93,"missing: not provided"),exact(metadata!I93,"missing: restricted access"))),AND(IF(metadata!I93="",FALSE,TRUE),OR(exact(metadata!I93,"air"),exact(metadata!I93,"built environment"),exact(metadata!I93,"host-associated"),exact(metadata!I93,"human-associated"),exact(metadata!I93,"human-skin"),exact(metadata!I93,"human-oral"),exact(metadata!I93,"human-gut"),exact(metadata!I93,"human-vaginal"),exact(metadata!I93,"microbial mat/biofilm"),exact(metadata!I93,"misc environment"),exact(metadata!I93,"plant-associated"),exact(metadata!I93,"sediment"),exact(metadata!I93,"soil"),exact(metadata!I93,"wastewater/sludge"),exact(metadata!I93,"water"))))</f>
        <v>0</v>
      </c>
      <c r="AJ93">
        <f>IF(metadata!J93="",FALSE,TRUE)</f>
        <v>0</v>
      </c>
      <c r="AK93">
        <f>OR(AND(IF(metadata!K93="",FALSE,TRUE),OR(exact(metadata!K93,"missing: not collected"),exact(metadata!K93,"missing: not provided"),exact(metadata!K93,"missing: restricted access"))),AND(IF(metadata!K93="",FALSE,ISNUMBER(VALUE(metadata!K93))),metadata!K93&gt;=-90.00,metadata!K93&lt;=90.00))</f>
        <v>0</v>
      </c>
      <c r="AL93">
        <f>OR(AND(IF(metadata!L93="",FALSE,TRUE),OR(exact(metadata!L93,"missing: not collected"),exact(metadata!L93,"missing: not provided"),exact(metadata!L93,"missing: restricted access"))),AND(IF(metadata!L93="",FALSE,ISNUMBER(VALUE(metadata!L93))),metadata!L93&gt;=-180.00,metadata!L93&lt;=180.00))</f>
        <v>0</v>
      </c>
      <c r="AM93">
        <f>IF(metadata!M93="",FALSE,TRUE)</f>
        <v>0</v>
      </c>
      <c r="AN93">
        <f>OR(AND(IF(metadata!N93="",FALSE,TRUE),OR(exact(metadata!N93,"missing: not collected"),exact(metadata!N93,"missing: not provided"),exact(metadata!N93,"missing: restricted access"))),AND(IF(metadata!N93="",FALSE,TRUE),OR(exact(metadata!N93,"TRUE"),exact(metadata!N93,"FALSE"))))</f>
        <v>0</v>
      </c>
      <c r="AO93">
        <f>IF(metadata!O93="",FALSE,TRUE)</f>
        <v>0</v>
      </c>
      <c r="AP93">
        <f>OR(AND(IF(metadata!P93="",FALSE,TRUE),OR(exact(metadata!P93,"missing: not collected"),exact(metadata!P93,"missing: not provided"))),AND(IF(metadata!P93="",FALSE,IF(ISERROR(INT(metadata!P93)),FALSE,INT(metadata!P93)=metadata!P93)),metadata!P93&gt;0))</f>
        <v>0</v>
      </c>
      <c r="AQ93">
        <f>IF(metadata!Q93="",FALSE,TRUE)</f>
        <v>0</v>
      </c>
    </row>
    <row r="94" spans="1:43">
      <c r="A94" s="5">
        <f>IF(B94=" "," ",HYPERLINK(CONCATENATE("#metadata!",ADDRESS(INDEX($W$2:$W$1001,MATCH(ROWS($U$2:U94),$U$2:$U$1001,0),0),1)),INDEX($Z$2:$Z$1001,MATCH(ROWS($U$2:U94),$U$2:$U$1001,0),0)))</f>
        <v>0</v>
      </c>
      <c r="B94" s="4">
        <f>IF(OR(INDEX($V$2:$V$1001,MATCH(ROWS($U$2:U94),$U$2:$U$1001,0),1)&gt;=100000,INDEX($AB$1005:$AQ$1005,1,MATCH(COLUMNS($AB$1006:AB1006),$AB$1006:$AQ$1006,0))&gt;=100000), " ",IF(INDEX($AB$2:$AQ$1001,MATCH(ROWS($U$2:U94),$U$2:$U$1001,0),MATCH(COLUMNS($AB$1006:AB1006),$AB$1006:$AQ$1006,0)), HYPERLINK("#",""), HYPERLINK(CONCATENATE("#metadata!", ADDRESS(INDEX($W$2:$W$1001,MATCH(ROWS($U$2:U94),$U$2:$U$1001,0),0), INDEX($AB$1004:$AQ$1004,1,MATCH(COLUMNS($AB$1006:AB1006),$AB$1006:$AQ$1006,0)))),"Fix")))</f>
        <v>0</v>
      </c>
      <c r="C94" s="4">
        <f>IF(OR(INDEX($V$2:$V$1001,MATCH(ROWS($U$2:U94),$U$2:$U$1001,0),1)&gt;=100000,INDEX($AB$1005:$AQ$1005,1,MATCH(COLUMNS($AB$1006:AC1006),$AB$1006:$AQ$1006,0))&gt;=100000), " ",IF(INDEX($AB$2:$AQ$1001,MATCH(ROWS($U$2:U94),$U$2:$U$1001,0),MATCH(COLUMNS($AB$1006:AC1006),$AB$1006:$AQ$1006,0)), HYPERLINK("#",""), HYPERLINK(CONCATENATE("#metadata!", ADDRESS(INDEX($W$2:$W$1001,MATCH(ROWS($U$2:U94),$U$2:$U$1001,0),0), INDEX($AB$1004:$AQ$1004,1,MATCH(COLUMNS($AB$1006:AC1006),$AB$1006:$AQ$1006,0)))),"Fix")))</f>
        <v>0</v>
      </c>
      <c r="D94" s="4">
        <f>IF(OR(INDEX($V$2:$V$1001,MATCH(ROWS($U$2:U94),$U$2:$U$1001,0),1)&gt;=100000,INDEX($AB$1005:$AQ$1005,1,MATCH(COLUMNS($AB$1006:AD1006),$AB$1006:$AQ$1006,0))&gt;=100000), " ",IF(INDEX($AB$2:$AQ$1001,MATCH(ROWS($U$2:U94),$U$2:$U$1001,0),MATCH(COLUMNS($AB$1006:AD1006),$AB$1006:$AQ$1006,0)), HYPERLINK("#",""), HYPERLINK(CONCATENATE("#metadata!", ADDRESS(INDEX($W$2:$W$1001,MATCH(ROWS($U$2:U94),$U$2:$U$1001,0),0), INDEX($AB$1004:$AQ$1004,1,MATCH(COLUMNS($AB$1006:AD1006),$AB$1006:$AQ$1006,0)))),"Fix")))</f>
        <v>0</v>
      </c>
      <c r="E94" s="4">
        <f>IF(OR(INDEX($V$2:$V$1001,MATCH(ROWS($U$2:U94),$U$2:$U$1001,0),1)&gt;=100000,INDEX($AB$1005:$AQ$1005,1,MATCH(COLUMNS($AB$1006:AE1006),$AB$1006:$AQ$1006,0))&gt;=100000), " ",IF(INDEX($AB$2:$AQ$1001,MATCH(ROWS($U$2:U94),$U$2:$U$1001,0),MATCH(COLUMNS($AB$1006:AE1006),$AB$1006:$AQ$1006,0)), HYPERLINK("#",""), HYPERLINK(CONCATENATE("#metadata!", ADDRESS(INDEX($W$2:$W$1001,MATCH(ROWS($U$2:U94),$U$2:$U$1001,0),0), INDEX($AB$1004:$AQ$1004,1,MATCH(COLUMNS($AB$1006:AE1006),$AB$1006:$AQ$1006,0)))),"Fix")))</f>
        <v>0</v>
      </c>
      <c r="F94" s="4">
        <f>IF(OR(INDEX($V$2:$V$1001,MATCH(ROWS($U$2:U94),$U$2:$U$1001,0),1)&gt;=100000,INDEX($AB$1005:$AQ$1005,1,MATCH(COLUMNS($AB$1006:AF1006),$AB$1006:$AQ$1006,0))&gt;=100000), " ",IF(INDEX($AB$2:$AQ$1001,MATCH(ROWS($U$2:U94),$U$2:$U$1001,0),MATCH(COLUMNS($AB$1006:AF1006),$AB$1006:$AQ$1006,0)), HYPERLINK("#",""), HYPERLINK(CONCATENATE("#metadata!", ADDRESS(INDEX($W$2:$W$1001,MATCH(ROWS($U$2:U94),$U$2:$U$1001,0),0), INDEX($AB$1004:$AQ$1004,1,MATCH(COLUMNS($AB$1006:AF1006),$AB$1006:$AQ$1006,0)))),"Fix")))</f>
        <v>0</v>
      </c>
      <c r="G94" s="4">
        <f>IF(OR(INDEX($V$2:$V$1001,MATCH(ROWS($U$2:U94),$U$2:$U$1001,0),1)&gt;=100000,INDEX($AB$1005:$AQ$1005,1,MATCH(COLUMNS($AB$1006:AG1006),$AB$1006:$AQ$1006,0))&gt;=100000), " ",IF(INDEX($AB$2:$AQ$1001,MATCH(ROWS($U$2:U94),$U$2:$U$1001,0),MATCH(COLUMNS($AB$1006:AG1006),$AB$1006:$AQ$1006,0)), HYPERLINK("#",""), HYPERLINK(CONCATENATE("#metadata!", ADDRESS(INDEX($W$2:$W$1001,MATCH(ROWS($U$2:U94),$U$2:$U$1001,0),0), INDEX($AB$1004:$AQ$1004,1,MATCH(COLUMNS($AB$1006:AG1006),$AB$1006:$AQ$1006,0)))),"Fix")))</f>
        <v>0</v>
      </c>
      <c r="H94" s="4">
        <f>IF(OR(INDEX($V$2:$V$1001,MATCH(ROWS($U$2:U94),$U$2:$U$1001,0),1)&gt;=100000,INDEX($AB$1005:$AQ$1005,1,MATCH(COLUMNS($AB$1006:AH1006),$AB$1006:$AQ$1006,0))&gt;=100000), " ",IF(INDEX($AB$2:$AQ$1001,MATCH(ROWS($U$2:U94),$U$2:$U$1001,0),MATCH(COLUMNS($AB$1006:AH1006),$AB$1006:$AQ$1006,0)), HYPERLINK("#",""), HYPERLINK(CONCATENATE("#metadata!", ADDRESS(INDEX($W$2:$W$1001,MATCH(ROWS($U$2:U94),$U$2:$U$1001,0),0), INDEX($AB$1004:$AQ$1004,1,MATCH(COLUMNS($AB$1006:AH1006),$AB$1006:$AQ$1006,0)))),"Fix")))</f>
        <v>0</v>
      </c>
      <c r="I94" s="4">
        <f>IF(OR(INDEX($V$2:$V$1001,MATCH(ROWS($U$2:U94),$U$2:$U$1001,0),1)&gt;=100000,INDEX($AB$1005:$AQ$1005,1,MATCH(COLUMNS($AB$1006:AI1006),$AB$1006:$AQ$1006,0))&gt;=100000), " ",IF(INDEX($AB$2:$AQ$1001,MATCH(ROWS($U$2:U94),$U$2:$U$1001,0),MATCH(COLUMNS($AB$1006:AI1006),$AB$1006:$AQ$1006,0)), HYPERLINK("#",""), HYPERLINK(CONCATENATE("#metadata!", ADDRESS(INDEX($W$2:$W$1001,MATCH(ROWS($U$2:U94),$U$2:$U$1001,0),0), INDEX($AB$1004:$AQ$1004,1,MATCH(COLUMNS($AB$1006:AI1006),$AB$1006:$AQ$1006,0)))),"Fix")))</f>
        <v>0</v>
      </c>
      <c r="J94" s="4">
        <f>IF(OR(INDEX($V$2:$V$1001,MATCH(ROWS($U$2:U94),$U$2:$U$1001,0),1)&gt;=100000,INDEX($AB$1005:$AQ$1005,1,MATCH(COLUMNS($AB$1006:AJ1006),$AB$1006:$AQ$1006,0))&gt;=100000), " ",IF(INDEX($AB$2:$AQ$1001,MATCH(ROWS($U$2:U94),$U$2:$U$1001,0),MATCH(COLUMNS($AB$1006:AJ1006),$AB$1006:$AQ$1006,0)), HYPERLINK("#",""), HYPERLINK(CONCATENATE("#metadata!", ADDRESS(INDEX($W$2:$W$1001,MATCH(ROWS($U$2:U94),$U$2:$U$1001,0),0), INDEX($AB$1004:$AQ$1004,1,MATCH(COLUMNS($AB$1006:AJ1006),$AB$1006:$AQ$1006,0)))),"Fix")))</f>
        <v>0</v>
      </c>
      <c r="K94" s="4">
        <f>IF(OR(INDEX($V$2:$V$1001,MATCH(ROWS($U$2:U94),$U$2:$U$1001,0),1)&gt;=100000,INDEX($AB$1005:$AQ$1005,1,MATCH(COLUMNS($AB$1006:AK1006),$AB$1006:$AQ$1006,0))&gt;=100000), " ",IF(INDEX($AB$2:$AQ$1001,MATCH(ROWS($U$2:U94),$U$2:$U$1001,0),MATCH(COLUMNS($AB$1006:AK1006),$AB$1006:$AQ$1006,0)), HYPERLINK("#",""), HYPERLINK(CONCATENATE("#metadata!", ADDRESS(INDEX($W$2:$W$1001,MATCH(ROWS($U$2:U94),$U$2:$U$1001,0),0), INDEX($AB$1004:$AQ$1004,1,MATCH(COLUMNS($AB$1006:AK1006),$AB$1006:$AQ$1006,0)))),"Fix")))</f>
        <v>0</v>
      </c>
      <c r="L94" s="4">
        <f>IF(OR(INDEX($V$2:$V$1001,MATCH(ROWS($U$2:U94),$U$2:$U$1001,0),1)&gt;=100000,INDEX($AB$1005:$AQ$1005,1,MATCH(COLUMNS($AB$1006:AL1006),$AB$1006:$AQ$1006,0))&gt;=100000), " ",IF(INDEX($AB$2:$AQ$1001,MATCH(ROWS($U$2:U94),$U$2:$U$1001,0),MATCH(COLUMNS($AB$1006:AL1006),$AB$1006:$AQ$1006,0)), HYPERLINK("#",""), HYPERLINK(CONCATENATE("#metadata!", ADDRESS(INDEX($W$2:$W$1001,MATCH(ROWS($U$2:U94),$U$2:$U$1001,0),0), INDEX($AB$1004:$AQ$1004,1,MATCH(COLUMNS($AB$1006:AL1006),$AB$1006:$AQ$1006,0)))),"Fix")))</f>
        <v>0</v>
      </c>
      <c r="M94" s="4">
        <f>IF(OR(INDEX($V$2:$V$1001,MATCH(ROWS($U$2:U94),$U$2:$U$1001,0),1)&gt;=100000,INDEX($AB$1005:$AQ$1005,1,MATCH(COLUMNS($AB$1006:AM1006),$AB$1006:$AQ$1006,0))&gt;=100000), " ",IF(INDEX($AB$2:$AQ$1001,MATCH(ROWS($U$2:U94),$U$2:$U$1001,0),MATCH(COLUMNS($AB$1006:AM1006),$AB$1006:$AQ$1006,0)), HYPERLINK("#",""), HYPERLINK(CONCATENATE("#metadata!", ADDRESS(INDEX($W$2:$W$1001,MATCH(ROWS($U$2:U94),$U$2:$U$1001,0),0), INDEX($AB$1004:$AQ$1004,1,MATCH(COLUMNS($AB$1006:AM1006),$AB$1006:$AQ$1006,0)))),"Fix")))</f>
        <v>0</v>
      </c>
      <c r="N94" s="4">
        <f>IF(OR(INDEX($V$2:$V$1001,MATCH(ROWS($U$2:U94),$U$2:$U$1001,0),1)&gt;=100000,INDEX($AB$1005:$AQ$1005,1,MATCH(COLUMNS($AB$1006:AN1006),$AB$1006:$AQ$1006,0))&gt;=100000), " ",IF(INDEX($AB$2:$AQ$1001,MATCH(ROWS($U$2:U94),$U$2:$U$1001,0),MATCH(COLUMNS($AB$1006:AN1006),$AB$1006:$AQ$1006,0)), HYPERLINK("#",""), HYPERLINK(CONCATENATE("#metadata!", ADDRESS(INDEX($W$2:$W$1001,MATCH(ROWS($U$2:U94),$U$2:$U$1001,0),0), INDEX($AB$1004:$AQ$1004,1,MATCH(COLUMNS($AB$1006:AN1006),$AB$1006:$AQ$1006,0)))),"Fix")))</f>
        <v>0</v>
      </c>
      <c r="O94" s="4">
        <f>IF(OR(INDEX($V$2:$V$1001,MATCH(ROWS($U$2:U94),$U$2:$U$1001,0),1)&gt;=100000,INDEX($AB$1005:$AQ$1005,1,MATCH(COLUMNS($AB$1006:AO1006),$AB$1006:$AQ$1006,0))&gt;=100000), " ",IF(INDEX($AB$2:$AQ$1001,MATCH(ROWS($U$2:U94),$U$2:$U$1001,0),MATCH(COLUMNS($AB$1006:AO1006),$AB$1006:$AQ$1006,0)), HYPERLINK("#",""), HYPERLINK(CONCATENATE("#metadata!", ADDRESS(INDEX($W$2:$W$1001,MATCH(ROWS($U$2:U94),$U$2:$U$1001,0),0), INDEX($AB$1004:$AQ$1004,1,MATCH(COLUMNS($AB$1006:AO1006),$AB$1006:$AQ$1006,0)))),"Fix")))</f>
        <v>0</v>
      </c>
      <c r="P94" s="4">
        <f>IF(OR(INDEX($V$2:$V$1001,MATCH(ROWS($U$2:U94),$U$2:$U$1001,0),1)&gt;=100000,INDEX($AB$1005:$AQ$1005,1,MATCH(COLUMNS($AB$1006:AP1006),$AB$1006:$AQ$1006,0))&gt;=100000), " ",IF(INDEX($AB$2:$AQ$1001,MATCH(ROWS($U$2:U94),$U$2:$U$1001,0),MATCH(COLUMNS($AB$1006:AP1006),$AB$1006:$AQ$1006,0)), HYPERLINK("#",""), HYPERLINK(CONCATENATE("#metadata!", ADDRESS(INDEX($W$2:$W$1001,MATCH(ROWS($U$2:U94),$U$2:$U$1001,0),0), INDEX($AB$1004:$AQ$1004,1,MATCH(COLUMNS($AB$1006:AP1006),$AB$1006:$AQ$1006,0)))),"Fix")))</f>
        <v>0</v>
      </c>
      <c r="Q94" s="4">
        <f>IF(OR(INDEX($V$2:$V$1001,MATCH(ROWS($U$2:U94),$U$2:$U$1001,0),1)&gt;=100000,INDEX($AB$1005:$AQ$1005,1,MATCH(COLUMNS($AB$1006:AQ1006),$AB$1006:$AQ$1006,0))&gt;=100000), " ",IF(INDEX($AB$2:$AQ$1001,MATCH(ROWS($U$2:U94),$U$2:$U$1001,0),MATCH(COLUMNS($AB$1006:AQ1006),$AB$1006:$AQ$1006,0)), HYPERLINK("#",""), HYPERLINK(CONCATENATE("#metadata!", ADDRESS(INDEX($W$2:$W$1001,MATCH(ROWS($U$2:U94),$U$2:$U$1001,0),0), INDEX($AB$1004:$AQ$1004,1,MATCH(COLUMNS($AB$1006:AQ1006),$AB$1006:$AQ$1006,0)))),"Fix")))</f>
        <v>0</v>
      </c>
      <c r="U94">
        <v>0</v>
      </c>
      <c r="V94">
        <v>0</v>
      </c>
      <c r="W94">
        <v>0</v>
      </c>
      <c r="X94">
        <f>IF(Y94,TRUE,AND(AB94:AQ94))</f>
        <v>0</v>
      </c>
      <c r="Y94">
        <f>COUNTBLANK(metadata!B94:Q94)=COLUMNS(metadata!B94:Q94)</f>
        <v>0</v>
      </c>
      <c r="Z94">
        <v>0</v>
      </c>
      <c r="AB94">
        <f>AND(IF(metadata!B94="",FALSE,TRUE),COUNTIF(metadata!B:B, metadata!B94) = 1,NOT(ISERROR(SUMPRODUCT(SEARCH(MID(metadata!B94,ROW(INDIRECT("1:"&amp;LEN(metadata!B94))), 1),"0123456789abcdefghijklmnopqrstuvwxyzABCDEFGHIJKLMNOPQRSTUVWXYZ.")))))</f>
        <v>0</v>
      </c>
      <c r="AC94">
        <f>OR(AND(IF(metadata!C94="",FALSE,TRUE),OR(exact(metadata!C94,"missing: not collected"),exact(metadata!C94,"missing: not provided"),exact(metadata!C94,"missing: restricted access"))),AND(IF(metadata!C94="",FALSE,TRUE),AND(AND(IFERROR(INT(LEFT(metadata!C94,4))&gt;1900,FALSE),IFERROR(INT(LEFT(metadata!C94,4))&lt;=YEAR(NOW()),FALSE)), OR(MID(metadata!C94,5,1)="", AND(AND(MID(metadata!C94,5,1)="-",IFERROR(INT(MID(metadata!C94,6,1))&gt;=0,FALSE),IFERROR(INT(MID(metadata!C94,6,1))&lt;=1,FALSE),NOT(MID(metadata!C94,7,1)=""),IFERROR(INT(MID(metadata!C94,6,2))&gt;=1,FALSE),IFERROR(INT(MID(metadata!C94,6,2))&lt;=12,FALSE)), OR(MID(metadata!C94,8,1)="", AND(AND(MID(metadata!C94,8,1)="-",IFERROR(INT(MID(metadata!C94,9,1))&gt;=0,FALSE),IFERROR(INT(MID(metadata!C94,9,1))&lt;=3,FALSE),NOT(MID(metadata!C94,10,1)=""),IFERROR(INT(MID(metadata!C94,9,2))&gt;=1,FALSE),IFERROR(INT(MID(metadata!C94,9,2))&lt;=31,FALSE)), OR(MID(metadata!C94,11,1)="", AND(AND(MID(metadata!C94,11,1)=" ",IFERROR(INT(MID(metadata!C94,12,1))&gt;=0,FALSE),IFERROR(INT(MID(metadata!C94,12,1))&lt;=2,FALSE),NOT(MID(metadata!C94,13,1)=""),IFERROR(INT(MID(metadata!C94,12,2))&gt;=0,FALSE),IFERROR(INT(MID(metadata!C94,12,2))&lt;=23,FALSE)), OR(MID(metadata!C94,14,1)="", AND(AND(MID(metadata!C94,14,1)=":",IFERROR(INT(MID(metadata!C94,15,1))&gt;=0,FALSE),IFERROR(INT(MID(metadata!C94,15,1))&lt;=5,FALSE),NOT(MID(metadata!C94,16,1)=""),IFERROR(INT(MID(metadata!C94,15,2))&gt;=0,FALSE),IFERROR(INT(MID(metadata!C94,15,2))&lt;=59,FALSE)), OR(MID(metadata!C94,17,1)="", AND(AND(MID(metadata!C94,17,1)=":",IFERROR(INT(MID(metadata!C94,18,1))&gt;=0,FALSE),IFERROR(INT(MID(metadata!C94,18,1))&lt;=5,FALSE),NOT(MID(metadata!C94,19,1)=""),IFERROR(INT(MID(metadata!C94,18,2))&gt;=0,FALSE),IFERROR(INT(MID(metadata!C94,18,2))&lt;=59,FALSE)), LEN(metadata!C94)&lt;=19)))))))))))))</f>
        <v>0</v>
      </c>
      <c r="AD94">
        <f>IF(metadata!D94="",FALSE,TRUE)</f>
        <v>0</v>
      </c>
      <c r="AE94">
        <f>OR(AND(IF(metadata!E94="",FALSE,TRUE),OR(exact(metadata!E94,"missing: not collected"),exact(metadata!E94,"missing: not provided"))),AND(IF(metadata!E94="",FALSE,TRUE),OR(exact(metadata!E94,"TRUE"),exact(metadata!E94,"FALSE"))))</f>
        <v>0</v>
      </c>
      <c r="AF94">
        <f>IF(metadata!F94="",FALSE,TRUE)</f>
        <v>0</v>
      </c>
      <c r="AG94">
        <f>IF(metadata!G94="",FALSE,TRUE)</f>
        <v>0</v>
      </c>
      <c r="AH94">
        <f>IF(metadata!H94="",FALSE,TRUE)</f>
        <v>0</v>
      </c>
      <c r="AI94">
        <f>OR(AND(IF(metadata!I94="",FALSE,TRUE),OR(exact(metadata!I94,"missing: not collected"),exact(metadata!I94,"missing: not provided"),exact(metadata!I94,"missing: restricted access"))),AND(IF(metadata!I94="",FALSE,TRUE),OR(exact(metadata!I94,"air"),exact(metadata!I94,"built environment"),exact(metadata!I94,"host-associated"),exact(metadata!I94,"human-associated"),exact(metadata!I94,"human-skin"),exact(metadata!I94,"human-oral"),exact(metadata!I94,"human-gut"),exact(metadata!I94,"human-vaginal"),exact(metadata!I94,"microbial mat/biofilm"),exact(metadata!I94,"misc environment"),exact(metadata!I94,"plant-associated"),exact(metadata!I94,"sediment"),exact(metadata!I94,"soil"),exact(metadata!I94,"wastewater/sludge"),exact(metadata!I94,"water"))))</f>
        <v>0</v>
      </c>
      <c r="AJ94">
        <f>IF(metadata!J94="",FALSE,TRUE)</f>
        <v>0</v>
      </c>
      <c r="AK94">
        <f>OR(AND(IF(metadata!K94="",FALSE,TRUE),OR(exact(metadata!K94,"missing: not collected"),exact(metadata!K94,"missing: not provided"),exact(metadata!K94,"missing: restricted access"))),AND(IF(metadata!K94="",FALSE,ISNUMBER(VALUE(metadata!K94))),metadata!K94&gt;=-90.00,metadata!K94&lt;=90.00))</f>
        <v>0</v>
      </c>
      <c r="AL94">
        <f>OR(AND(IF(metadata!L94="",FALSE,TRUE),OR(exact(metadata!L94,"missing: not collected"),exact(metadata!L94,"missing: not provided"),exact(metadata!L94,"missing: restricted access"))),AND(IF(metadata!L94="",FALSE,ISNUMBER(VALUE(metadata!L94))),metadata!L94&gt;=-180.00,metadata!L94&lt;=180.00))</f>
        <v>0</v>
      </c>
      <c r="AM94">
        <f>IF(metadata!M94="",FALSE,TRUE)</f>
        <v>0</v>
      </c>
      <c r="AN94">
        <f>OR(AND(IF(metadata!N94="",FALSE,TRUE),OR(exact(metadata!N94,"missing: not collected"),exact(metadata!N94,"missing: not provided"),exact(metadata!N94,"missing: restricted access"))),AND(IF(metadata!N94="",FALSE,TRUE),OR(exact(metadata!N94,"TRUE"),exact(metadata!N94,"FALSE"))))</f>
        <v>0</v>
      </c>
      <c r="AO94">
        <f>IF(metadata!O94="",FALSE,TRUE)</f>
        <v>0</v>
      </c>
      <c r="AP94">
        <f>OR(AND(IF(metadata!P94="",FALSE,TRUE),OR(exact(metadata!P94,"missing: not collected"),exact(metadata!P94,"missing: not provided"))),AND(IF(metadata!P94="",FALSE,IF(ISERROR(INT(metadata!P94)),FALSE,INT(metadata!P94)=metadata!P94)),metadata!P94&gt;0))</f>
        <v>0</v>
      </c>
      <c r="AQ94">
        <f>IF(metadata!Q94="",FALSE,TRUE)</f>
        <v>0</v>
      </c>
    </row>
    <row r="95" spans="1:43">
      <c r="A95" s="5">
        <f>IF(B95=" "," ",HYPERLINK(CONCATENATE("#metadata!",ADDRESS(INDEX($W$2:$W$1001,MATCH(ROWS($U$2:U95),$U$2:$U$1001,0),0),1)),INDEX($Z$2:$Z$1001,MATCH(ROWS($U$2:U95),$U$2:$U$1001,0),0)))</f>
        <v>0</v>
      </c>
      <c r="B95" s="4">
        <f>IF(OR(INDEX($V$2:$V$1001,MATCH(ROWS($U$2:U95),$U$2:$U$1001,0),1)&gt;=100000,INDEX($AB$1005:$AQ$1005,1,MATCH(COLUMNS($AB$1006:AB1006),$AB$1006:$AQ$1006,0))&gt;=100000), " ",IF(INDEX($AB$2:$AQ$1001,MATCH(ROWS($U$2:U95),$U$2:$U$1001,0),MATCH(COLUMNS($AB$1006:AB1006),$AB$1006:$AQ$1006,0)), HYPERLINK("#",""), HYPERLINK(CONCATENATE("#metadata!", ADDRESS(INDEX($W$2:$W$1001,MATCH(ROWS($U$2:U95),$U$2:$U$1001,0),0), INDEX($AB$1004:$AQ$1004,1,MATCH(COLUMNS($AB$1006:AB1006),$AB$1006:$AQ$1006,0)))),"Fix")))</f>
        <v>0</v>
      </c>
      <c r="C95" s="4">
        <f>IF(OR(INDEX($V$2:$V$1001,MATCH(ROWS($U$2:U95),$U$2:$U$1001,0),1)&gt;=100000,INDEX($AB$1005:$AQ$1005,1,MATCH(COLUMNS($AB$1006:AC1006),$AB$1006:$AQ$1006,0))&gt;=100000), " ",IF(INDEX($AB$2:$AQ$1001,MATCH(ROWS($U$2:U95),$U$2:$U$1001,0),MATCH(COLUMNS($AB$1006:AC1006),$AB$1006:$AQ$1006,0)), HYPERLINK("#",""), HYPERLINK(CONCATENATE("#metadata!", ADDRESS(INDEX($W$2:$W$1001,MATCH(ROWS($U$2:U95),$U$2:$U$1001,0),0), INDEX($AB$1004:$AQ$1004,1,MATCH(COLUMNS($AB$1006:AC1006),$AB$1006:$AQ$1006,0)))),"Fix")))</f>
        <v>0</v>
      </c>
      <c r="D95" s="4">
        <f>IF(OR(INDEX($V$2:$V$1001,MATCH(ROWS($U$2:U95),$U$2:$U$1001,0),1)&gt;=100000,INDEX($AB$1005:$AQ$1005,1,MATCH(COLUMNS($AB$1006:AD1006),$AB$1006:$AQ$1006,0))&gt;=100000), " ",IF(INDEX($AB$2:$AQ$1001,MATCH(ROWS($U$2:U95),$U$2:$U$1001,0),MATCH(COLUMNS($AB$1006:AD1006),$AB$1006:$AQ$1006,0)), HYPERLINK("#",""), HYPERLINK(CONCATENATE("#metadata!", ADDRESS(INDEX($W$2:$W$1001,MATCH(ROWS($U$2:U95),$U$2:$U$1001,0),0), INDEX($AB$1004:$AQ$1004,1,MATCH(COLUMNS($AB$1006:AD1006),$AB$1006:$AQ$1006,0)))),"Fix")))</f>
        <v>0</v>
      </c>
      <c r="E95" s="4">
        <f>IF(OR(INDEX($V$2:$V$1001,MATCH(ROWS($U$2:U95),$U$2:$U$1001,0),1)&gt;=100000,INDEX($AB$1005:$AQ$1005,1,MATCH(COLUMNS($AB$1006:AE1006),$AB$1006:$AQ$1006,0))&gt;=100000), " ",IF(INDEX($AB$2:$AQ$1001,MATCH(ROWS($U$2:U95),$U$2:$U$1001,0),MATCH(COLUMNS($AB$1006:AE1006),$AB$1006:$AQ$1006,0)), HYPERLINK("#",""), HYPERLINK(CONCATENATE("#metadata!", ADDRESS(INDEX($W$2:$W$1001,MATCH(ROWS($U$2:U95),$U$2:$U$1001,0),0), INDEX($AB$1004:$AQ$1004,1,MATCH(COLUMNS($AB$1006:AE1006),$AB$1006:$AQ$1006,0)))),"Fix")))</f>
        <v>0</v>
      </c>
      <c r="F95" s="4">
        <f>IF(OR(INDEX($V$2:$V$1001,MATCH(ROWS($U$2:U95),$U$2:$U$1001,0),1)&gt;=100000,INDEX($AB$1005:$AQ$1005,1,MATCH(COLUMNS($AB$1006:AF1006),$AB$1006:$AQ$1006,0))&gt;=100000), " ",IF(INDEX($AB$2:$AQ$1001,MATCH(ROWS($U$2:U95),$U$2:$U$1001,0),MATCH(COLUMNS($AB$1006:AF1006),$AB$1006:$AQ$1006,0)), HYPERLINK("#",""), HYPERLINK(CONCATENATE("#metadata!", ADDRESS(INDEX($W$2:$W$1001,MATCH(ROWS($U$2:U95),$U$2:$U$1001,0),0), INDEX($AB$1004:$AQ$1004,1,MATCH(COLUMNS($AB$1006:AF1006),$AB$1006:$AQ$1006,0)))),"Fix")))</f>
        <v>0</v>
      </c>
      <c r="G95" s="4">
        <f>IF(OR(INDEX($V$2:$V$1001,MATCH(ROWS($U$2:U95),$U$2:$U$1001,0),1)&gt;=100000,INDEX($AB$1005:$AQ$1005,1,MATCH(COLUMNS($AB$1006:AG1006),$AB$1006:$AQ$1006,0))&gt;=100000), " ",IF(INDEX($AB$2:$AQ$1001,MATCH(ROWS($U$2:U95),$U$2:$U$1001,0),MATCH(COLUMNS($AB$1006:AG1006),$AB$1006:$AQ$1006,0)), HYPERLINK("#",""), HYPERLINK(CONCATENATE("#metadata!", ADDRESS(INDEX($W$2:$W$1001,MATCH(ROWS($U$2:U95),$U$2:$U$1001,0),0), INDEX($AB$1004:$AQ$1004,1,MATCH(COLUMNS($AB$1006:AG1006),$AB$1006:$AQ$1006,0)))),"Fix")))</f>
        <v>0</v>
      </c>
      <c r="H95" s="4">
        <f>IF(OR(INDEX($V$2:$V$1001,MATCH(ROWS($U$2:U95),$U$2:$U$1001,0),1)&gt;=100000,INDEX($AB$1005:$AQ$1005,1,MATCH(COLUMNS($AB$1006:AH1006),$AB$1006:$AQ$1006,0))&gt;=100000), " ",IF(INDEX($AB$2:$AQ$1001,MATCH(ROWS($U$2:U95),$U$2:$U$1001,0),MATCH(COLUMNS($AB$1006:AH1006),$AB$1006:$AQ$1006,0)), HYPERLINK("#",""), HYPERLINK(CONCATENATE("#metadata!", ADDRESS(INDEX($W$2:$W$1001,MATCH(ROWS($U$2:U95),$U$2:$U$1001,0),0), INDEX($AB$1004:$AQ$1004,1,MATCH(COLUMNS($AB$1006:AH1006),$AB$1006:$AQ$1006,0)))),"Fix")))</f>
        <v>0</v>
      </c>
      <c r="I95" s="4">
        <f>IF(OR(INDEX($V$2:$V$1001,MATCH(ROWS($U$2:U95),$U$2:$U$1001,0),1)&gt;=100000,INDEX($AB$1005:$AQ$1005,1,MATCH(COLUMNS($AB$1006:AI1006),$AB$1006:$AQ$1006,0))&gt;=100000), " ",IF(INDEX($AB$2:$AQ$1001,MATCH(ROWS($U$2:U95),$U$2:$U$1001,0),MATCH(COLUMNS($AB$1006:AI1006),$AB$1006:$AQ$1006,0)), HYPERLINK("#",""), HYPERLINK(CONCATENATE("#metadata!", ADDRESS(INDEX($W$2:$W$1001,MATCH(ROWS($U$2:U95),$U$2:$U$1001,0),0), INDEX($AB$1004:$AQ$1004,1,MATCH(COLUMNS($AB$1006:AI1006),$AB$1006:$AQ$1006,0)))),"Fix")))</f>
        <v>0</v>
      </c>
      <c r="J95" s="4">
        <f>IF(OR(INDEX($V$2:$V$1001,MATCH(ROWS($U$2:U95),$U$2:$U$1001,0),1)&gt;=100000,INDEX($AB$1005:$AQ$1005,1,MATCH(COLUMNS($AB$1006:AJ1006),$AB$1006:$AQ$1006,0))&gt;=100000), " ",IF(INDEX($AB$2:$AQ$1001,MATCH(ROWS($U$2:U95),$U$2:$U$1001,0),MATCH(COLUMNS($AB$1006:AJ1006),$AB$1006:$AQ$1006,0)), HYPERLINK("#",""), HYPERLINK(CONCATENATE("#metadata!", ADDRESS(INDEX($W$2:$W$1001,MATCH(ROWS($U$2:U95),$U$2:$U$1001,0),0), INDEX($AB$1004:$AQ$1004,1,MATCH(COLUMNS($AB$1006:AJ1006),$AB$1006:$AQ$1006,0)))),"Fix")))</f>
        <v>0</v>
      </c>
      <c r="K95" s="4">
        <f>IF(OR(INDEX($V$2:$V$1001,MATCH(ROWS($U$2:U95),$U$2:$U$1001,0),1)&gt;=100000,INDEX($AB$1005:$AQ$1005,1,MATCH(COLUMNS($AB$1006:AK1006),$AB$1006:$AQ$1006,0))&gt;=100000), " ",IF(INDEX($AB$2:$AQ$1001,MATCH(ROWS($U$2:U95),$U$2:$U$1001,0),MATCH(COLUMNS($AB$1006:AK1006),$AB$1006:$AQ$1006,0)), HYPERLINK("#",""), HYPERLINK(CONCATENATE("#metadata!", ADDRESS(INDEX($W$2:$W$1001,MATCH(ROWS($U$2:U95),$U$2:$U$1001,0),0), INDEX($AB$1004:$AQ$1004,1,MATCH(COLUMNS($AB$1006:AK1006),$AB$1006:$AQ$1006,0)))),"Fix")))</f>
        <v>0</v>
      </c>
      <c r="L95" s="4">
        <f>IF(OR(INDEX($V$2:$V$1001,MATCH(ROWS($U$2:U95),$U$2:$U$1001,0),1)&gt;=100000,INDEX($AB$1005:$AQ$1005,1,MATCH(COLUMNS($AB$1006:AL1006),$AB$1006:$AQ$1006,0))&gt;=100000), " ",IF(INDEX($AB$2:$AQ$1001,MATCH(ROWS($U$2:U95),$U$2:$U$1001,0),MATCH(COLUMNS($AB$1006:AL1006),$AB$1006:$AQ$1006,0)), HYPERLINK("#",""), HYPERLINK(CONCATENATE("#metadata!", ADDRESS(INDEX($W$2:$W$1001,MATCH(ROWS($U$2:U95),$U$2:$U$1001,0),0), INDEX($AB$1004:$AQ$1004,1,MATCH(COLUMNS($AB$1006:AL1006),$AB$1006:$AQ$1006,0)))),"Fix")))</f>
        <v>0</v>
      </c>
      <c r="M95" s="4">
        <f>IF(OR(INDEX($V$2:$V$1001,MATCH(ROWS($U$2:U95),$U$2:$U$1001,0),1)&gt;=100000,INDEX($AB$1005:$AQ$1005,1,MATCH(COLUMNS($AB$1006:AM1006),$AB$1006:$AQ$1006,0))&gt;=100000), " ",IF(INDEX($AB$2:$AQ$1001,MATCH(ROWS($U$2:U95),$U$2:$U$1001,0),MATCH(COLUMNS($AB$1006:AM1006),$AB$1006:$AQ$1006,0)), HYPERLINK("#",""), HYPERLINK(CONCATENATE("#metadata!", ADDRESS(INDEX($W$2:$W$1001,MATCH(ROWS($U$2:U95),$U$2:$U$1001,0),0), INDEX($AB$1004:$AQ$1004,1,MATCH(COLUMNS($AB$1006:AM1006),$AB$1006:$AQ$1006,0)))),"Fix")))</f>
        <v>0</v>
      </c>
      <c r="N95" s="4">
        <f>IF(OR(INDEX($V$2:$V$1001,MATCH(ROWS($U$2:U95),$U$2:$U$1001,0),1)&gt;=100000,INDEX($AB$1005:$AQ$1005,1,MATCH(COLUMNS($AB$1006:AN1006),$AB$1006:$AQ$1006,0))&gt;=100000), " ",IF(INDEX($AB$2:$AQ$1001,MATCH(ROWS($U$2:U95),$U$2:$U$1001,0),MATCH(COLUMNS($AB$1006:AN1006),$AB$1006:$AQ$1006,0)), HYPERLINK("#",""), HYPERLINK(CONCATENATE("#metadata!", ADDRESS(INDEX($W$2:$W$1001,MATCH(ROWS($U$2:U95),$U$2:$U$1001,0),0), INDEX($AB$1004:$AQ$1004,1,MATCH(COLUMNS($AB$1006:AN1006),$AB$1006:$AQ$1006,0)))),"Fix")))</f>
        <v>0</v>
      </c>
      <c r="O95" s="4">
        <f>IF(OR(INDEX($V$2:$V$1001,MATCH(ROWS($U$2:U95),$U$2:$U$1001,0),1)&gt;=100000,INDEX($AB$1005:$AQ$1005,1,MATCH(COLUMNS($AB$1006:AO1006),$AB$1006:$AQ$1006,0))&gt;=100000), " ",IF(INDEX($AB$2:$AQ$1001,MATCH(ROWS($U$2:U95),$U$2:$U$1001,0),MATCH(COLUMNS($AB$1006:AO1006),$AB$1006:$AQ$1006,0)), HYPERLINK("#",""), HYPERLINK(CONCATENATE("#metadata!", ADDRESS(INDEX($W$2:$W$1001,MATCH(ROWS($U$2:U95),$U$2:$U$1001,0),0), INDEX($AB$1004:$AQ$1004,1,MATCH(COLUMNS($AB$1006:AO1006),$AB$1006:$AQ$1006,0)))),"Fix")))</f>
        <v>0</v>
      </c>
      <c r="P95" s="4">
        <f>IF(OR(INDEX($V$2:$V$1001,MATCH(ROWS($U$2:U95),$U$2:$U$1001,0),1)&gt;=100000,INDEX($AB$1005:$AQ$1005,1,MATCH(COLUMNS($AB$1006:AP1006),$AB$1006:$AQ$1006,0))&gt;=100000), " ",IF(INDEX($AB$2:$AQ$1001,MATCH(ROWS($U$2:U95),$U$2:$U$1001,0),MATCH(COLUMNS($AB$1006:AP1006),$AB$1006:$AQ$1006,0)), HYPERLINK("#",""), HYPERLINK(CONCATENATE("#metadata!", ADDRESS(INDEX($W$2:$W$1001,MATCH(ROWS($U$2:U95),$U$2:$U$1001,0),0), INDEX($AB$1004:$AQ$1004,1,MATCH(COLUMNS($AB$1006:AP1006),$AB$1006:$AQ$1006,0)))),"Fix")))</f>
        <v>0</v>
      </c>
      <c r="Q95" s="4">
        <f>IF(OR(INDEX($V$2:$V$1001,MATCH(ROWS($U$2:U95),$U$2:$U$1001,0),1)&gt;=100000,INDEX($AB$1005:$AQ$1005,1,MATCH(COLUMNS($AB$1006:AQ1006),$AB$1006:$AQ$1006,0))&gt;=100000), " ",IF(INDEX($AB$2:$AQ$1001,MATCH(ROWS($U$2:U95),$U$2:$U$1001,0),MATCH(COLUMNS($AB$1006:AQ1006),$AB$1006:$AQ$1006,0)), HYPERLINK("#",""), HYPERLINK(CONCATENATE("#metadata!", ADDRESS(INDEX($W$2:$W$1001,MATCH(ROWS($U$2:U95),$U$2:$U$1001,0),0), INDEX($AB$1004:$AQ$1004,1,MATCH(COLUMNS($AB$1006:AQ1006),$AB$1006:$AQ$1006,0)))),"Fix")))</f>
        <v>0</v>
      </c>
      <c r="U95">
        <v>0</v>
      </c>
      <c r="V95">
        <v>0</v>
      </c>
      <c r="W95">
        <v>0</v>
      </c>
      <c r="X95">
        <f>IF(Y95,TRUE,AND(AB95:AQ95))</f>
        <v>0</v>
      </c>
      <c r="Y95">
        <f>COUNTBLANK(metadata!B95:Q95)=COLUMNS(metadata!B95:Q95)</f>
        <v>0</v>
      </c>
      <c r="Z95">
        <v>0</v>
      </c>
      <c r="AB95">
        <f>AND(IF(metadata!B95="",FALSE,TRUE),COUNTIF(metadata!B:B, metadata!B95) = 1,NOT(ISERROR(SUMPRODUCT(SEARCH(MID(metadata!B95,ROW(INDIRECT("1:"&amp;LEN(metadata!B95))), 1),"0123456789abcdefghijklmnopqrstuvwxyzABCDEFGHIJKLMNOPQRSTUVWXYZ.")))))</f>
        <v>0</v>
      </c>
      <c r="AC95">
        <f>OR(AND(IF(metadata!C95="",FALSE,TRUE),OR(exact(metadata!C95,"missing: not collected"),exact(metadata!C95,"missing: not provided"),exact(metadata!C95,"missing: restricted access"))),AND(IF(metadata!C95="",FALSE,TRUE),AND(AND(IFERROR(INT(LEFT(metadata!C95,4))&gt;1900,FALSE),IFERROR(INT(LEFT(metadata!C95,4))&lt;=YEAR(NOW()),FALSE)), OR(MID(metadata!C95,5,1)="", AND(AND(MID(metadata!C95,5,1)="-",IFERROR(INT(MID(metadata!C95,6,1))&gt;=0,FALSE),IFERROR(INT(MID(metadata!C95,6,1))&lt;=1,FALSE),NOT(MID(metadata!C95,7,1)=""),IFERROR(INT(MID(metadata!C95,6,2))&gt;=1,FALSE),IFERROR(INT(MID(metadata!C95,6,2))&lt;=12,FALSE)), OR(MID(metadata!C95,8,1)="", AND(AND(MID(metadata!C95,8,1)="-",IFERROR(INT(MID(metadata!C95,9,1))&gt;=0,FALSE),IFERROR(INT(MID(metadata!C95,9,1))&lt;=3,FALSE),NOT(MID(metadata!C95,10,1)=""),IFERROR(INT(MID(metadata!C95,9,2))&gt;=1,FALSE),IFERROR(INT(MID(metadata!C95,9,2))&lt;=31,FALSE)), OR(MID(metadata!C95,11,1)="", AND(AND(MID(metadata!C95,11,1)=" ",IFERROR(INT(MID(metadata!C95,12,1))&gt;=0,FALSE),IFERROR(INT(MID(metadata!C95,12,1))&lt;=2,FALSE),NOT(MID(metadata!C95,13,1)=""),IFERROR(INT(MID(metadata!C95,12,2))&gt;=0,FALSE),IFERROR(INT(MID(metadata!C95,12,2))&lt;=23,FALSE)), OR(MID(metadata!C95,14,1)="", AND(AND(MID(metadata!C95,14,1)=":",IFERROR(INT(MID(metadata!C95,15,1))&gt;=0,FALSE),IFERROR(INT(MID(metadata!C95,15,1))&lt;=5,FALSE),NOT(MID(metadata!C95,16,1)=""),IFERROR(INT(MID(metadata!C95,15,2))&gt;=0,FALSE),IFERROR(INT(MID(metadata!C95,15,2))&lt;=59,FALSE)), OR(MID(metadata!C95,17,1)="", AND(AND(MID(metadata!C95,17,1)=":",IFERROR(INT(MID(metadata!C95,18,1))&gt;=0,FALSE),IFERROR(INT(MID(metadata!C95,18,1))&lt;=5,FALSE),NOT(MID(metadata!C95,19,1)=""),IFERROR(INT(MID(metadata!C95,18,2))&gt;=0,FALSE),IFERROR(INT(MID(metadata!C95,18,2))&lt;=59,FALSE)), LEN(metadata!C95)&lt;=19)))))))))))))</f>
        <v>0</v>
      </c>
      <c r="AD95">
        <f>IF(metadata!D95="",FALSE,TRUE)</f>
        <v>0</v>
      </c>
      <c r="AE95">
        <f>OR(AND(IF(metadata!E95="",FALSE,TRUE),OR(exact(metadata!E95,"missing: not collected"),exact(metadata!E95,"missing: not provided"))),AND(IF(metadata!E95="",FALSE,TRUE),OR(exact(metadata!E95,"TRUE"),exact(metadata!E95,"FALSE"))))</f>
        <v>0</v>
      </c>
      <c r="AF95">
        <f>IF(metadata!F95="",FALSE,TRUE)</f>
        <v>0</v>
      </c>
      <c r="AG95">
        <f>IF(metadata!G95="",FALSE,TRUE)</f>
        <v>0</v>
      </c>
      <c r="AH95">
        <f>IF(metadata!H95="",FALSE,TRUE)</f>
        <v>0</v>
      </c>
      <c r="AI95">
        <f>OR(AND(IF(metadata!I95="",FALSE,TRUE),OR(exact(metadata!I95,"missing: not collected"),exact(metadata!I95,"missing: not provided"),exact(metadata!I95,"missing: restricted access"))),AND(IF(metadata!I95="",FALSE,TRUE),OR(exact(metadata!I95,"air"),exact(metadata!I95,"built environment"),exact(metadata!I95,"host-associated"),exact(metadata!I95,"human-associated"),exact(metadata!I95,"human-skin"),exact(metadata!I95,"human-oral"),exact(metadata!I95,"human-gut"),exact(metadata!I95,"human-vaginal"),exact(metadata!I95,"microbial mat/biofilm"),exact(metadata!I95,"misc environment"),exact(metadata!I95,"plant-associated"),exact(metadata!I95,"sediment"),exact(metadata!I95,"soil"),exact(metadata!I95,"wastewater/sludge"),exact(metadata!I95,"water"))))</f>
        <v>0</v>
      </c>
      <c r="AJ95">
        <f>IF(metadata!J95="",FALSE,TRUE)</f>
        <v>0</v>
      </c>
      <c r="AK95">
        <f>OR(AND(IF(metadata!K95="",FALSE,TRUE),OR(exact(metadata!K95,"missing: not collected"),exact(metadata!K95,"missing: not provided"),exact(metadata!K95,"missing: restricted access"))),AND(IF(metadata!K95="",FALSE,ISNUMBER(VALUE(metadata!K95))),metadata!K95&gt;=-90.00,metadata!K95&lt;=90.00))</f>
        <v>0</v>
      </c>
      <c r="AL95">
        <f>OR(AND(IF(metadata!L95="",FALSE,TRUE),OR(exact(metadata!L95,"missing: not collected"),exact(metadata!L95,"missing: not provided"),exact(metadata!L95,"missing: restricted access"))),AND(IF(metadata!L95="",FALSE,ISNUMBER(VALUE(metadata!L95))),metadata!L95&gt;=-180.00,metadata!L95&lt;=180.00))</f>
        <v>0</v>
      </c>
      <c r="AM95">
        <f>IF(metadata!M95="",FALSE,TRUE)</f>
        <v>0</v>
      </c>
      <c r="AN95">
        <f>OR(AND(IF(metadata!N95="",FALSE,TRUE),OR(exact(metadata!N95,"missing: not collected"),exact(metadata!N95,"missing: not provided"),exact(metadata!N95,"missing: restricted access"))),AND(IF(metadata!N95="",FALSE,TRUE),OR(exact(metadata!N95,"TRUE"),exact(metadata!N95,"FALSE"))))</f>
        <v>0</v>
      </c>
      <c r="AO95">
        <f>IF(metadata!O95="",FALSE,TRUE)</f>
        <v>0</v>
      </c>
      <c r="AP95">
        <f>OR(AND(IF(metadata!P95="",FALSE,TRUE),OR(exact(metadata!P95,"missing: not collected"),exact(metadata!P95,"missing: not provided"))),AND(IF(metadata!P95="",FALSE,IF(ISERROR(INT(metadata!P95)),FALSE,INT(metadata!P95)=metadata!P95)),metadata!P95&gt;0))</f>
        <v>0</v>
      </c>
      <c r="AQ95">
        <f>IF(metadata!Q95="",FALSE,TRUE)</f>
        <v>0</v>
      </c>
    </row>
    <row r="96" spans="1:43">
      <c r="A96" s="5">
        <f>IF(B96=" "," ",HYPERLINK(CONCATENATE("#metadata!",ADDRESS(INDEX($W$2:$W$1001,MATCH(ROWS($U$2:U96),$U$2:$U$1001,0),0),1)),INDEX($Z$2:$Z$1001,MATCH(ROWS($U$2:U96),$U$2:$U$1001,0),0)))</f>
        <v>0</v>
      </c>
      <c r="B96" s="4">
        <f>IF(OR(INDEX($V$2:$V$1001,MATCH(ROWS($U$2:U96),$U$2:$U$1001,0),1)&gt;=100000,INDEX($AB$1005:$AQ$1005,1,MATCH(COLUMNS($AB$1006:AB1006),$AB$1006:$AQ$1006,0))&gt;=100000), " ",IF(INDEX($AB$2:$AQ$1001,MATCH(ROWS($U$2:U96),$U$2:$U$1001,0),MATCH(COLUMNS($AB$1006:AB1006),$AB$1006:$AQ$1006,0)), HYPERLINK("#",""), HYPERLINK(CONCATENATE("#metadata!", ADDRESS(INDEX($W$2:$W$1001,MATCH(ROWS($U$2:U96),$U$2:$U$1001,0),0), INDEX($AB$1004:$AQ$1004,1,MATCH(COLUMNS($AB$1006:AB1006),$AB$1006:$AQ$1006,0)))),"Fix")))</f>
        <v>0</v>
      </c>
      <c r="C96" s="4">
        <f>IF(OR(INDEX($V$2:$V$1001,MATCH(ROWS($U$2:U96),$U$2:$U$1001,0),1)&gt;=100000,INDEX($AB$1005:$AQ$1005,1,MATCH(COLUMNS($AB$1006:AC1006),$AB$1006:$AQ$1006,0))&gt;=100000), " ",IF(INDEX($AB$2:$AQ$1001,MATCH(ROWS($U$2:U96),$U$2:$U$1001,0),MATCH(COLUMNS($AB$1006:AC1006),$AB$1006:$AQ$1006,0)), HYPERLINK("#",""), HYPERLINK(CONCATENATE("#metadata!", ADDRESS(INDEX($W$2:$W$1001,MATCH(ROWS($U$2:U96),$U$2:$U$1001,0),0), INDEX($AB$1004:$AQ$1004,1,MATCH(COLUMNS($AB$1006:AC1006),$AB$1006:$AQ$1006,0)))),"Fix")))</f>
        <v>0</v>
      </c>
      <c r="D96" s="4">
        <f>IF(OR(INDEX($V$2:$V$1001,MATCH(ROWS($U$2:U96),$U$2:$U$1001,0),1)&gt;=100000,INDEX($AB$1005:$AQ$1005,1,MATCH(COLUMNS($AB$1006:AD1006),$AB$1006:$AQ$1006,0))&gt;=100000), " ",IF(INDEX($AB$2:$AQ$1001,MATCH(ROWS($U$2:U96),$U$2:$U$1001,0),MATCH(COLUMNS($AB$1006:AD1006),$AB$1006:$AQ$1006,0)), HYPERLINK("#",""), HYPERLINK(CONCATENATE("#metadata!", ADDRESS(INDEX($W$2:$W$1001,MATCH(ROWS($U$2:U96),$U$2:$U$1001,0),0), INDEX($AB$1004:$AQ$1004,1,MATCH(COLUMNS($AB$1006:AD1006),$AB$1006:$AQ$1006,0)))),"Fix")))</f>
        <v>0</v>
      </c>
      <c r="E96" s="4">
        <f>IF(OR(INDEX($V$2:$V$1001,MATCH(ROWS($U$2:U96),$U$2:$U$1001,0),1)&gt;=100000,INDEX($AB$1005:$AQ$1005,1,MATCH(COLUMNS($AB$1006:AE1006),$AB$1006:$AQ$1006,0))&gt;=100000), " ",IF(INDEX($AB$2:$AQ$1001,MATCH(ROWS($U$2:U96),$U$2:$U$1001,0),MATCH(COLUMNS($AB$1006:AE1006),$AB$1006:$AQ$1006,0)), HYPERLINK("#",""), HYPERLINK(CONCATENATE("#metadata!", ADDRESS(INDEX($W$2:$W$1001,MATCH(ROWS($U$2:U96),$U$2:$U$1001,0),0), INDEX($AB$1004:$AQ$1004,1,MATCH(COLUMNS($AB$1006:AE1006),$AB$1006:$AQ$1006,0)))),"Fix")))</f>
        <v>0</v>
      </c>
      <c r="F96" s="4">
        <f>IF(OR(INDEX($V$2:$V$1001,MATCH(ROWS($U$2:U96),$U$2:$U$1001,0),1)&gt;=100000,INDEX($AB$1005:$AQ$1005,1,MATCH(COLUMNS($AB$1006:AF1006),$AB$1006:$AQ$1006,0))&gt;=100000), " ",IF(INDEX($AB$2:$AQ$1001,MATCH(ROWS($U$2:U96),$U$2:$U$1001,0),MATCH(COLUMNS($AB$1006:AF1006),$AB$1006:$AQ$1006,0)), HYPERLINK("#",""), HYPERLINK(CONCATENATE("#metadata!", ADDRESS(INDEX($W$2:$W$1001,MATCH(ROWS($U$2:U96),$U$2:$U$1001,0),0), INDEX($AB$1004:$AQ$1004,1,MATCH(COLUMNS($AB$1006:AF1006),$AB$1006:$AQ$1006,0)))),"Fix")))</f>
        <v>0</v>
      </c>
      <c r="G96" s="4">
        <f>IF(OR(INDEX($V$2:$V$1001,MATCH(ROWS($U$2:U96),$U$2:$U$1001,0),1)&gt;=100000,INDEX($AB$1005:$AQ$1005,1,MATCH(COLUMNS($AB$1006:AG1006),$AB$1006:$AQ$1006,0))&gt;=100000), " ",IF(INDEX($AB$2:$AQ$1001,MATCH(ROWS($U$2:U96),$U$2:$U$1001,0),MATCH(COLUMNS($AB$1006:AG1006),$AB$1006:$AQ$1006,0)), HYPERLINK("#",""), HYPERLINK(CONCATENATE("#metadata!", ADDRESS(INDEX($W$2:$W$1001,MATCH(ROWS($U$2:U96),$U$2:$U$1001,0),0), INDEX($AB$1004:$AQ$1004,1,MATCH(COLUMNS($AB$1006:AG1006),$AB$1006:$AQ$1006,0)))),"Fix")))</f>
        <v>0</v>
      </c>
      <c r="H96" s="4">
        <f>IF(OR(INDEX($V$2:$V$1001,MATCH(ROWS($U$2:U96),$U$2:$U$1001,0),1)&gt;=100000,INDEX($AB$1005:$AQ$1005,1,MATCH(COLUMNS($AB$1006:AH1006),$AB$1006:$AQ$1006,0))&gt;=100000), " ",IF(INDEX($AB$2:$AQ$1001,MATCH(ROWS($U$2:U96),$U$2:$U$1001,0),MATCH(COLUMNS($AB$1006:AH1006),$AB$1006:$AQ$1006,0)), HYPERLINK("#",""), HYPERLINK(CONCATENATE("#metadata!", ADDRESS(INDEX($W$2:$W$1001,MATCH(ROWS($U$2:U96),$U$2:$U$1001,0),0), INDEX($AB$1004:$AQ$1004,1,MATCH(COLUMNS($AB$1006:AH1006),$AB$1006:$AQ$1006,0)))),"Fix")))</f>
        <v>0</v>
      </c>
      <c r="I96" s="4">
        <f>IF(OR(INDEX($V$2:$V$1001,MATCH(ROWS($U$2:U96),$U$2:$U$1001,0),1)&gt;=100000,INDEX($AB$1005:$AQ$1005,1,MATCH(COLUMNS($AB$1006:AI1006),$AB$1006:$AQ$1006,0))&gt;=100000), " ",IF(INDEX($AB$2:$AQ$1001,MATCH(ROWS($U$2:U96),$U$2:$U$1001,0),MATCH(COLUMNS($AB$1006:AI1006),$AB$1006:$AQ$1006,0)), HYPERLINK("#",""), HYPERLINK(CONCATENATE("#metadata!", ADDRESS(INDEX($W$2:$W$1001,MATCH(ROWS($U$2:U96),$U$2:$U$1001,0),0), INDEX($AB$1004:$AQ$1004,1,MATCH(COLUMNS($AB$1006:AI1006),$AB$1006:$AQ$1006,0)))),"Fix")))</f>
        <v>0</v>
      </c>
      <c r="J96" s="4">
        <f>IF(OR(INDEX($V$2:$V$1001,MATCH(ROWS($U$2:U96),$U$2:$U$1001,0),1)&gt;=100000,INDEX($AB$1005:$AQ$1005,1,MATCH(COLUMNS($AB$1006:AJ1006),$AB$1006:$AQ$1006,0))&gt;=100000), " ",IF(INDEX($AB$2:$AQ$1001,MATCH(ROWS($U$2:U96),$U$2:$U$1001,0),MATCH(COLUMNS($AB$1006:AJ1006),$AB$1006:$AQ$1006,0)), HYPERLINK("#",""), HYPERLINK(CONCATENATE("#metadata!", ADDRESS(INDEX($W$2:$W$1001,MATCH(ROWS($U$2:U96),$U$2:$U$1001,0),0), INDEX($AB$1004:$AQ$1004,1,MATCH(COLUMNS($AB$1006:AJ1006),$AB$1006:$AQ$1006,0)))),"Fix")))</f>
        <v>0</v>
      </c>
      <c r="K96" s="4">
        <f>IF(OR(INDEX($V$2:$V$1001,MATCH(ROWS($U$2:U96),$U$2:$U$1001,0),1)&gt;=100000,INDEX($AB$1005:$AQ$1005,1,MATCH(COLUMNS($AB$1006:AK1006),$AB$1006:$AQ$1006,0))&gt;=100000), " ",IF(INDEX($AB$2:$AQ$1001,MATCH(ROWS($U$2:U96),$U$2:$U$1001,0),MATCH(COLUMNS($AB$1006:AK1006),$AB$1006:$AQ$1006,0)), HYPERLINK("#",""), HYPERLINK(CONCATENATE("#metadata!", ADDRESS(INDEX($W$2:$W$1001,MATCH(ROWS($U$2:U96),$U$2:$U$1001,0),0), INDEX($AB$1004:$AQ$1004,1,MATCH(COLUMNS($AB$1006:AK1006),$AB$1006:$AQ$1006,0)))),"Fix")))</f>
        <v>0</v>
      </c>
      <c r="L96" s="4">
        <f>IF(OR(INDEX($V$2:$V$1001,MATCH(ROWS($U$2:U96),$U$2:$U$1001,0),1)&gt;=100000,INDEX($AB$1005:$AQ$1005,1,MATCH(COLUMNS($AB$1006:AL1006),$AB$1006:$AQ$1006,0))&gt;=100000), " ",IF(INDEX($AB$2:$AQ$1001,MATCH(ROWS($U$2:U96),$U$2:$U$1001,0),MATCH(COLUMNS($AB$1006:AL1006),$AB$1006:$AQ$1006,0)), HYPERLINK("#",""), HYPERLINK(CONCATENATE("#metadata!", ADDRESS(INDEX($W$2:$W$1001,MATCH(ROWS($U$2:U96),$U$2:$U$1001,0),0), INDEX($AB$1004:$AQ$1004,1,MATCH(COLUMNS($AB$1006:AL1006),$AB$1006:$AQ$1006,0)))),"Fix")))</f>
        <v>0</v>
      </c>
      <c r="M96" s="4">
        <f>IF(OR(INDEX($V$2:$V$1001,MATCH(ROWS($U$2:U96),$U$2:$U$1001,0),1)&gt;=100000,INDEX($AB$1005:$AQ$1005,1,MATCH(COLUMNS($AB$1006:AM1006),$AB$1006:$AQ$1006,0))&gt;=100000), " ",IF(INDEX($AB$2:$AQ$1001,MATCH(ROWS($U$2:U96),$U$2:$U$1001,0),MATCH(COLUMNS($AB$1006:AM1006),$AB$1006:$AQ$1006,0)), HYPERLINK("#",""), HYPERLINK(CONCATENATE("#metadata!", ADDRESS(INDEX($W$2:$W$1001,MATCH(ROWS($U$2:U96),$U$2:$U$1001,0),0), INDEX($AB$1004:$AQ$1004,1,MATCH(COLUMNS($AB$1006:AM1006),$AB$1006:$AQ$1006,0)))),"Fix")))</f>
        <v>0</v>
      </c>
      <c r="N96" s="4">
        <f>IF(OR(INDEX($V$2:$V$1001,MATCH(ROWS($U$2:U96),$U$2:$U$1001,0),1)&gt;=100000,INDEX($AB$1005:$AQ$1005,1,MATCH(COLUMNS($AB$1006:AN1006),$AB$1006:$AQ$1006,0))&gt;=100000), " ",IF(INDEX($AB$2:$AQ$1001,MATCH(ROWS($U$2:U96),$U$2:$U$1001,0),MATCH(COLUMNS($AB$1006:AN1006),$AB$1006:$AQ$1006,0)), HYPERLINK("#",""), HYPERLINK(CONCATENATE("#metadata!", ADDRESS(INDEX($W$2:$W$1001,MATCH(ROWS($U$2:U96),$U$2:$U$1001,0),0), INDEX($AB$1004:$AQ$1004,1,MATCH(COLUMNS($AB$1006:AN1006),$AB$1006:$AQ$1006,0)))),"Fix")))</f>
        <v>0</v>
      </c>
      <c r="O96" s="4">
        <f>IF(OR(INDEX($V$2:$V$1001,MATCH(ROWS($U$2:U96),$U$2:$U$1001,0),1)&gt;=100000,INDEX($AB$1005:$AQ$1005,1,MATCH(COLUMNS($AB$1006:AO1006),$AB$1006:$AQ$1006,0))&gt;=100000), " ",IF(INDEX($AB$2:$AQ$1001,MATCH(ROWS($U$2:U96),$U$2:$U$1001,0),MATCH(COLUMNS($AB$1006:AO1006),$AB$1006:$AQ$1006,0)), HYPERLINK("#",""), HYPERLINK(CONCATENATE("#metadata!", ADDRESS(INDEX($W$2:$W$1001,MATCH(ROWS($U$2:U96),$U$2:$U$1001,0),0), INDEX($AB$1004:$AQ$1004,1,MATCH(COLUMNS($AB$1006:AO1006),$AB$1006:$AQ$1006,0)))),"Fix")))</f>
        <v>0</v>
      </c>
      <c r="P96" s="4">
        <f>IF(OR(INDEX($V$2:$V$1001,MATCH(ROWS($U$2:U96),$U$2:$U$1001,0),1)&gt;=100000,INDEX($AB$1005:$AQ$1005,1,MATCH(COLUMNS($AB$1006:AP1006),$AB$1006:$AQ$1006,0))&gt;=100000), " ",IF(INDEX($AB$2:$AQ$1001,MATCH(ROWS($U$2:U96),$U$2:$U$1001,0),MATCH(COLUMNS($AB$1006:AP1006),$AB$1006:$AQ$1006,0)), HYPERLINK("#",""), HYPERLINK(CONCATENATE("#metadata!", ADDRESS(INDEX($W$2:$W$1001,MATCH(ROWS($U$2:U96),$U$2:$U$1001,0),0), INDEX($AB$1004:$AQ$1004,1,MATCH(COLUMNS($AB$1006:AP1006),$AB$1006:$AQ$1006,0)))),"Fix")))</f>
        <v>0</v>
      </c>
      <c r="Q96" s="4">
        <f>IF(OR(INDEX($V$2:$V$1001,MATCH(ROWS($U$2:U96),$U$2:$U$1001,0),1)&gt;=100000,INDEX($AB$1005:$AQ$1005,1,MATCH(COLUMNS($AB$1006:AQ1006),$AB$1006:$AQ$1006,0))&gt;=100000), " ",IF(INDEX($AB$2:$AQ$1001,MATCH(ROWS($U$2:U96),$U$2:$U$1001,0),MATCH(COLUMNS($AB$1006:AQ1006),$AB$1006:$AQ$1006,0)), HYPERLINK("#",""), HYPERLINK(CONCATENATE("#metadata!", ADDRESS(INDEX($W$2:$W$1001,MATCH(ROWS($U$2:U96),$U$2:$U$1001,0),0), INDEX($AB$1004:$AQ$1004,1,MATCH(COLUMNS($AB$1006:AQ1006),$AB$1006:$AQ$1006,0)))),"Fix")))</f>
        <v>0</v>
      </c>
      <c r="U96">
        <v>0</v>
      </c>
      <c r="V96">
        <v>0</v>
      </c>
      <c r="W96">
        <v>0</v>
      </c>
      <c r="X96">
        <f>IF(Y96,TRUE,AND(AB96:AQ96))</f>
        <v>0</v>
      </c>
      <c r="Y96">
        <f>COUNTBLANK(metadata!B96:Q96)=COLUMNS(metadata!B96:Q96)</f>
        <v>0</v>
      </c>
      <c r="Z96">
        <v>0</v>
      </c>
      <c r="AB96">
        <f>AND(IF(metadata!B96="",FALSE,TRUE),COUNTIF(metadata!B:B, metadata!B96) = 1,NOT(ISERROR(SUMPRODUCT(SEARCH(MID(metadata!B96,ROW(INDIRECT("1:"&amp;LEN(metadata!B96))), 1),"0123456789abcdefghijklmnopqrstuvwxyzABCDEFGHIJKLMNOPQRSTUVWXYZ.")))))</f>
        <v>0</v>
      </c>
      <c r="AC96">
        <f>OR(AND(IF(metadata!C96="",FALSE,TRUE),OR(exact(metadata!C96,"missing: not collected"),exact(metadata!C96,"missing: not provided"),exact(metadata!C96,"missing: restricted access"))),AND(IF(metadata!C96="",FALSE,TRUE),AND(AND(IFERROR(INT(LEFT(metadata!C96,4))&gt;1900,FALSE),IFERROR(INT(LEFT(metadata!C96,4))&lt;=YEAR(NOW()),FALSE)), OR(MID(metadata!C96,5,1)="", AND(AND(MID(metadata!C96,5,1)="-",IFERROR(INT(MID(metadata!C96,6,1))&gt;=0,FALSE),IFERROR(INT(MID(metadata!C96,6,1))&lt;=1,FALSE),NOT(MID(metadata!C96,7,1)=""),IFERROR(INT(MID(metadata!C96,6,2))&gt;=1,FALSE),IFERROR(INT(MID(metadata!C96,6,2))&lt;=12,FALSE)), OR(MID(metadata!C96,8,1)="", AND(AND(MID(metadata!C96,8,1)="-",IFERROR(INT(MID(metadata!C96,9,1))&gt;=0,FALSE),IFERROR(INT(MID(metadata!C96,9,1))&lt;=3,FALSE),NOT(MID(metadata!C96,10,1)=""),IFERROR(INT(MID(metadata!C96,9,2))&gt;=1,FALSE),IFERROR(INT(MID(metadata!C96,9,2))&lt;=31,FALSE)), OR(MID(metadata!C96,11,1)="", AND(AND(MID(metadata!C96,11,1)=" ",IFERROR(INT(MID(metadata!C96,12,1))&gt;=0,FALSE),IFERROR(INT(MID(metadata!C96,12,1))&lt;=2,FALSE),NOT(MID(metadata!C96,13,1)=""),IFERROR(INT(MID(metadata!C96,12,2))&gt;=0,FALSE),IFERROR(INT(MID(metadata!C96,12,2))&lt;=23,FALSE)), OR(MID(metadata!C96,14,1)="", AND(AND(MID(metadata!C96,14,1)=":",IFERROR(INT(MID(metadata!C96,15,1))&gt;=0,FALSE),IFERROR(INT(MID(metadata!C96,15,1))&lt;=5,FALSE),NOT(MID(metadata!C96,16,1)=""),IFERROR(INT(MID(metadata!C96,15,2))&gt;=0,FALSE),IFERROR(INT(MID(metadata!C96,15,2))&lt;=59,FALSE)), OR(MID(metadata!C96,17,1)="", AND(AND(MID(metadata!C96,17,1)=":",IFERROR(INT(MID(metadata!C96,18,1))&gt;=0,FALSE),IFERROR(INT(MID(metadata!C96,18,1))&lt;=5,FALSE),NOT(MID(metadata!C96,19,1)=""),IFERROR(INT(MID(metadata!C96,18,2))&gt;=0,FALSE),IFERROR(INT(MID(metadata!C96,18,2))&lt;=59,FALSE)), LEN(metadata!C96)&lt;=19)))))))))))))</f>
        <v>0</v>
      </c>
      <c r="AD96">
        <f>IF(metadata!D96="",FALSE,TRUE)</f>
        <v>0</v>
      </c>
      <c r="AE96">
        <f>OR(AND(IF(metadata!E96="",FALSE,TRUE),OR(exact(metadata!E96,"missing: not collected"),exact(metadata!E96,"missing: not provided"))),AND(IF(metadata!E96="",FALSE,TRUE),OR(exact(metadata!E96,"TRUE"),exact(metadata!E96,"FALSE"))))</f>
        <v>0</v>
      </c>
      <c r="AF96">
        <f>IF(metadata!F96="",FALSE,TRUE)</f>
        <v>0</v>
      </c>
      <c r="AG96">
        <f>IF(metadata!G96="",FALSE,TRUE)</f>
        <v>0</v>
      </c>
      <c r="AH96">
        <f>IF(metadata!H96="",FALSE,TRUE)</f>
        <v>0</v>
      </c>
      <c r="AI96">
        <f>OR(AND(IF(metadata!I96="",FALSE,TRUE),OR(exact(metadata!I96,"missing: not collected"),exact(metadata!I96,"missing: not provided"),exact(metadata!I96,"missing: restricted access"))),AND(IF(metadata!I96="",FALSE,TRUE),OR(exact(metadata!I96,"air"),exact(metadata!I96,"built environment"),exact(metadata!I96,"host-associated"),exact(metadata!I96,"human-associated"),exact(metadata!I96,"human-skin"),exact(metadata!I96,"human-oral"),exact(metadata!I96,"human-gut"),exact(metadata!I96,"human-vaginal"),exact(metadata!I96,"microbial mat/biofilm"),exact(metadata!I96,"misc environment"),exact(metadata!I96,"plant-associated"),exact(metadata!I96,"sediment"),exact(metadata!I96,"soil"),exact(metadata!I96,"wastewater/sludge"),exact(metadata!I96,"water"))))</f>
        <v>0</v>
      </c>
      <c r="AJ96">
        <f>IF(metadata!J96="",FALSE,TRUE)</f>
        <v>0</v>
      </c>
      <c r="AK96">
        <f>OR(AND(IF(metadata!K96="",FALSE,TRUE),OR(exact(metadata!K96,"missing: not collected"),exact(metadata!K96,"missing: not provided"),exact(metadata!K96,"missing: restricted access"))),AND(IF(metadata!K96="",FALSE,ISNUMBER(VALUE(metadata!K96))),metadata!K96&gt;=-90.00,metadata!K96&lt;=90.00))</f>
        <v>0</v>
      </c>
      <c r="AL96">
        <f>OR(AND(IF(metadata!L96="",FALSE,TRUE),OR(exact(metadata!L96,"missing: not collected"),exact(metadata!L96,"missing: not provided"),exact(metadata!L96,"missing: restricted access"))),AND(IF(metadata!L96="",FALSE,ISNUMBER(VALUE(metadata!L96))),metadata!L96&gt;=-180.00,metadata!L96&lt;=180.00))</f>
        <v>0</v>
      </c>
      <c r="AM96">
        <f>IF(metadata!M96="",FALSE,TRUE)</f>
        <v>0</v>
      </c>
      <c r="AN96">
        <f>OR(AND(IF(metadata!N96="",FALSE,TRUE),OR(exact(metadata!N96,"missing: not collected"),exact(metadata!N96,"missing: not provided"),exact(metadata!N96,"missing: restricted access"))),AND(IF(metadata!N96="",FALSE,TRUE),OR(exact(metadata!N96,"TRUE"),exact(metadata!N96,"FALSE"))))</f>
        <v>0</v>
      </c>
      <c r="AO96">
        <f>IF(metadata!O96="",FALSE,TRUE)</f>
        <v>0</v>
      </c>
      <c r="AP96">
        <f>OR(AND(IF(metadata!P96="",FALSE,TRUE),OR(exact(metadata!P96,"missing: not collected"),exact(metadata!P96,"missing: not provided"))),AND(IF(metadata!P96="",FALSE,IF(ISERROR(INT(metadata!P96)),FALSE,INT(metadata!P96)=metadata!P96)),metadata!P96&gt;0))</f>
        <v>0</v>
      </c>
      <c r="AQ96">
        <f>IF(metadata!Q96="",FALSE,TRUE)</f>
        <v>0</v>
      </c>
    </row>
    <row r="97" spans="1:43">
      <c r="A97" s="5">
        <f>IF(B97=" "," ",HYPERLINK(CONCATENATE("#metadata!",ADDRESS(INDEX($W$2:$W$1001,MATCH(ROWS($U$2:U97),$U$2:$U$1001,0),0),1)),INDEX($Z$2:$Z$1001,MATCH(ROWS($U$2:U97),$U$2:$U$1001,0),0)))</f>
        <v>0</v>
      </c>
      <c r="B97" s="4">
        <f>IF(OR(INDEX($V$2:$V$1001,MATCH(ROWS($U$2:U97),$U$2:$U$1001,0),1)&gt;=100000,INDEX($AB$1005:$AQ$1005,1,MATCH(COLUMNS($AB$1006:AB1006),$AB$1006:$AQ$1006,0))&gt;=100000), " ",IF(INDEX($AB$2:$AQ$1001,MATCH(ROWS($U$2:U97),$U$2:$U$1001,0),MATCH(COLUMNS($AB$1006:AB1006),$AB$1006:$AQ$1006,0)), HYPERLINK("#",""), HYPERLINK(CONCATENATE("#metadata!", ADDRESS(INDEX($W$2:$W$1001,MATCH(ROWS($U$2:U97),$U$2:$U$1001,0),0), INDEX($AB$1004:$AQ$1004,1,MATCH(COLUMNS($AB$1006:AB1006),$AB$1006:$AQ$1006,0)))),"Fix")))</f>
        <v>0</v>
      </c>
      <c r="C97" s="4">
        <f>IF(OR(INDEX($V$2:$V$1001,MATCH(ROWS($U$2:U97),$U$2:$U$1001,0),1)&gt;=100000,INDEX($AB$1005:$AQ$1005,1,MATCH(COLUMNS($AB$1006:AC1006),$AB$1006:$AQ$1006,0))&gt;=100000), " ",IF(INDEX($AB$2:$AQ$1001,MATCH(ROWS($U$2:U97),$U$2:$U$1001,0),MATCH(COLUMNS($AB$1006:AC1006),$AB$1006:$AQ$1006,0)), HYPERLINK("#",""), HYPERLINK(CONCATENATE("#metadata!", ADDRESS(INDEX($W$2:$W$1001,MATCH(ROWS($U$2:U97),$U$2:$U$1001,0),0), INDEX($AB$1004:$AQ$1004,1,MATCH(COLUMNS($AB$1006:AC1006),$AB$1006:$AQ$1006,0)))),"Fix")))</f>
        <v>0</v>
      </c>
      <c r="D97" s="4">
        <f>IF(OR(INDEX($V$2:$V$1001,MATCH(ROWS($U$2:U97),$U$2:$U$1001,0),1)&gt;=100000,INDEX($AB$1005:$AQ$1005,1,MATCH(COLUMNS($AB$1006:AD1006),$AB$1006:$AQ$1006,0))&gt;=100000), " ",IF(INDEX($AB$2:$AQ$1001,MATCH(ROWS($U$2:U97),$U$2:$U$1001,0),MATCH(COLUMNS($AB$1006:AD1006),$AB$1006:$AQ$1006,0)), HYPERLINK("#",""), HYPERLINK(CONCATENATE("#metadata!", ADDRESS(INDEX($W$2:$W$1001,MATCH(ROWS($U$2:U97),$U$2:$U$1001,0),0), INDEX($AB$1004:$AQ$1004,1,MATCH(COLUMNS($AB$1006:AD1006),$AB$1006:$AQ$1006,0)))),"Fix")))</f>
        <v>0</v>
      </c>
      <c r="E97" s="4">
        <f>IF(OR(INDEX($V$2:$V$1001,MATCH(ROWS($U$2:U97),$U$2:$U$1001,0),1)&gt;=100000,INDEX($AB$1005:$AQ$1005,1,MATCH(COLUMNS($AB$1006:AE1006),$AB$1006:$AQ$1006,0))&gt;=100000), " ",IF(INDEX($AB$2:$AQ$1001,MATCH(ROWS($U$2:U97),$U$2:$U$1001,0),MATCH(COLUMNS($AB$1006:AE1006),$AB$1006:$AQ$1006,0)), HYPERLINK("#",""), HYPERLINK(CONCATENATE("#metadata!", ADDRESS(INDEX($W$2:$W$1001,MATCH(ROWS($U$2:U97),$U$2:$U$1001,0),0), INDEX($AB$1004:$AQ$1004,1,MATCH(COLUMNS($AB$1006:AE1006),$AB$1006:$AQ$1006,0)))),"Fix")))</f>
        <v>0</v>
      </c>
      <c r="F97" s="4">
        <f>IF(OR(INDEX($V$2:$V$1001,MATCH(ROWS($U$2:U97),$U$2:$U$1001,0),1)&gt;=100000,INDEX($AB$1005:$AQ$1005,1,MATCH(COLUMNS($AB$1006:AF1006),$AB$1006:$AQ$1006,0))&gt;=100000), " ",IF(INDEX($AB$2:$AQ$1001,MATCH(ROWS($U$2:U97),$U$2:$U$1001,0),MATCH(COLUMNS($AB$1006:AF1006),$AB$1006:$AQ$1006,0)), HYPERLINK("#",""), HYPERLINK(CONCATENATE("#metadata!", ADDRESS(INDEX($W$2:$W$1001,MATCH(ROWS($U$2:U97),$U$2:$U$1001,0),0), INDEX($AB$1004:$AQ$1004,1,MATCH(COLUMNS($AB$1006:AF1006),$AB$1006:$AQ$1006,0)))),"Fix")))</f>
        <v>0</v>
      </c>
      <c r="G97" s="4">
        <f>IF(OR(INDEX($V$2:$V$1001,MATCH(ROWS($U$2:U97),$U$2:$U$1001,0),1)&gt;=100000,INDEX($AB$1005:$AQ$1005,1,MATCH(COLUMNS($AB$1006:AG1006),$AB$1006:$AQ$1006,0))&gt;=100000), " ",IF(INDEX($AB$2:$AQ$1001,MATCH(ROWS($U$2:U97),$U$2:$U$1001,0),MATCH(COLUMNS($AB$1006:AG1006),$AB$1006:$AQ$1006,0)), HYPERLINK("#",""), HYPERLINK(CONCATENATE("#metadata!", ADDRESS(INDEX($W$2:$W$1001,MATCH(ROWS($U$2:U97),$U$2:$U$1001,0),0), INDEX($AB$1004:$AQ$1004,1,MATCH(COLUMNS($AB$1006:AG1006),$AB$1006:$AQ$1006,0)))),"Fix")))</f>
        <v>0</v>
      </c>
      <c r="H97" s="4">
        <f>IF(OR(INDEX($V$2:$V$1001,MATCH(ROWS($U$2:U97),$U$2:$U$1001,0),1)&gt;=100000,INDEX($AB$1005:$AQ$1005,1,MATCH(COLUMNS($AB$1006:AH1006),$AB$1006:$AQ$1006,0))&gt;=100000), " ",IF(INDEX($AB$2:$AQ$1001,MATCH(ROWS($U$2:U97),$U$2:$U$1001,0),MATCH(COLUMNS($AB$1006:AH1006),$AB$1006:$AQ$1006,0)), HYPERLINK("#",""), HYPERLINK(CONCATENATE("#metadata!", ADDRESS(INDEX($W$2:$W$1001,MATCH(ROWS($U$2:U97),$U$2:$U$1001,0),0), INDEX($AB$1004:$AQ$1004,1,MATCH(COLUMNS($AB$1006:AH1006),$AB$1006:$AQ$1006,0)))),"Fix")))</f>
        <v>0</v>
      </c>
      <c r="I97" s="4">
        <f>IF(OR(INDEX($V$2:$V$1001,MATCH(ROWS($U$2:U97),$U$2:$U$1001,0),1)&gt;=100000,INDEX($AB$1005:$AQ$1005,1,MATCH(COLUMNS($AB$1006:AI1006),$AB$1006:$AQ$1006,0))&gt;=100000), " ",IF(INDEX($AB$2:$AQ$1001,MATCH(ROWS($U$2:U97),$U$2:$U$1001,0),MATCH(COLUMNS($AB$1006:AI1006),$AB$1006:$AQ$1006,0)), HYPERLINK("#",""), HYPERLINK(CONCATENATE("#metadata!", ADDRESS(INDEX($W$2:$W$1001,MATCH(ROWS($U$2:U97),$U$2:$U$1001,0),0), INDEX($AB$1004:$AQ$1004,1,MATCH(COLUMNS($AB$1006:AI1006),$AB$1006:$AQ$1006,0)))),"Fix")))</f>
        <v>0</v>
      </c>
      <c r="J97" s="4">
        <f>IF(OR(INDEX($V$2:$V$1001,MATCH(ROWS($U$2:U97),$U$2:$U$1001,0),1)&gt;=100000,INDEX($AB$1005:$AQ$1005,1,MATCH(COLUMNS($AB$1006:AJ1006),$AB$1006:$AQ$1006,0))&gt;=100000), " ",IF(INDEX($AB$2:$AQ$1001,MATCH(ROWS($U$2:U97),$U$2:$U$1001,0),MATCH(COLUMNS($AB$1006:AJ1006),$AB$1006:$AQ$1006,0)), HYPERLINK("#",""), HYPERLINK(CONCATENATE("#metadata!", ADDRESS(INDEX($W$2:$W$1001,MATCH(ROWS($U$2:U97),$U$2:$U$1001,0),0), INDEX($AB$1004:$AQ$1004,1,MATCH(COLUMNS($AB$1006:AJ1006),$AB$1006:$AQ$1006,0)))),"Fix")))</f>
        <v>0</v>
      </c>
      <c r="K97" s="4">
        <f>IF(OR(INDEX($V$2:$V$1001,MATCH(ROWS($U$2:U97),$U$2:$U$1001,0),1)&gt;=100000,INDEX($AB$1005:$AQ$1005,1,MATCH(COLUMNS($AB$1006:AK1006),$AB$1006:$AQ$1006,0))&gt;=100000), " ",IF(INDEX($AB$2:$AQ$1001,MATCH(ROWS($U$2:U97),$U$2:$U$1001,0),MATCH(COLUMNS($AB$1006:AK1006),$AB$1006:$AQ$1006,0)), HYPERLINK("#",""), HYPERLINK(CONCATENATE("#metadata!", ADDRESS(INDEX($W$2:$W$1001,MATCH(ROWS($U$2:U97),$U$2:$U$1001,0),0), INDEX($AB$1004:$AQ$1004,1,MATCH(COLUMNS($AB$1006:AK1006),$AB$1006:$AQ$1006,0)))),"Fix")))</f>
        <v>0</v>
      </c>
      <c r="L97" s="4">
        <f>IF(OR(INDEX($V$2:$V$1001,MATCH(ROWS($U$2:U97),$U$2:$U$1001,0),1)&gt;=100000,INDEX($AB$1005:$AQ$1005,1,MATCH(COLUMNS($AB$1006:AL1006),$AB$1006:$AQ$1006,0))&gt;=100000), " ",IF(INDEX($AB$2:$AQ$1001,MATCH(ROWS($U$2:U97),$U$2:$U$1001,0),MATCH(COLUMNS($AB$1006:AL1006),$AB$1006:$AQ$1006,0)), HYPERLINK("#",""), HYPERLINK(CONCATENATE("#metadata!", ADDRESS(INDEX($W$2:$W$1001,MATCH(ROWS($U$2:U97),$U$2:$U$1001,0),0), INDEX($AB$1004:$AQ$1004,1,MATCH(COLUMNS($AB$1006:AL1006),$AB$1006:$AQ$1006,0)))),"Fix")))</f>
        <v>0</v>
      </c>
      <c r="M97" s="4">
        <f>IF(OR(INDEX($V$2:$V$1001,MATCH(ROWS($U$2:U97),$U$2:$U$1001,0),1)&gt;=100000,INDEX($AB$1005:$AQ$1005,1,MATCH(COLUMNS($AB$1006:AM1006),$AB$1006:$AQ$1006,0))&gt;=100000), " ",IF(INDEX($AB$2:$AQ$1001,MATCH(ROWS($U$2:U97),$U$2:$U$1001,0),MATCH(COLUMNS($AB$1006:AM1006),$AB$1006:$AQ$1006,0)), HYPERLINK("#",""), HYPERLINK(CONCATENATE("#metadata!", ADDRESS(INDEX($W$2:$W$1001,MATCH(ROWS($U$2:U97),$U$2:$U$1001,0),0), INDEX($AB$1004:$AQ$1004,1,MATCH(COLUMNS($AB$1006:AM1006),$AB$1006:$AQ$1006,0)))),"Fix")))</f>
        <v>0</v>
      </c>
      <c r="N97" s="4">
        <f>IF(OR(INDEX($V$2:$V$1001,MATCH(ROWS($U$2:U97),$U$2:$U$1001,0),1)&gt;=100000,INDEX($AB$1005:$AQ$1005,1,MATCH(COLUMNS($AB$1006:AN1006),$AB$1006:$AQ$1006,0))&gt;=100000), " ",IF(INDEX($AB$2:$AQ$1001,MATCH(ROWS($U$2:U97),$U$2:$U$1001,0),MATCH(COLUMNS($AB$1006:AN1006),$AB$1006:$AQ$1006,0)), HYPERLINK("#",""), HYPERLINK(CONCATENATE("#metadata!", ADDRESS(INDEX($W$2:$W$1001,MATCH(ROWS($U$2:U97),$U$2:$U$1001,0),0), INDEX($AB$1004:$AQ$1004,1,MATCH(COLUMNS($AB$1006:AN1006),$AB$1006:$AQ$1006,0)))),"Fix")))</f>
        <v>0</v>
      </c>
      <c r="O97" s="4">
        <f>IF(OR(INDEX($V$2:$V$1001,MATCH(ROWS($U$2:U97),$U$2:$U$1001,0),1)&gt;=100000,INDEX($AB$1005:$AQ$1005,1,MATCH(COLUMNS($AB$1006:AO1006),$AB$1006:$AQ$1006,0))&gt;=100000), " ",IF(INDEX($AB$2:$AQ$1001,MATCH(ROWS($U$2:U97),$U$2:$U$1001,0),MATCH(COLUMNS($AB$1006:AO1006),$AB$1006:$AQ$1006,0)), HYPERLINK("#",""), HYPERLINK(CONCATENATE("#metadata!", ADDRESS(INDEX($W$2:$W$1001,MATCH(ROWS($U$2:U97),$U$2:$U$1001,0),0), INDEX($AB$1004:$AQ$1004,1,MATCH(COLUMNS($AB$1006:AO1006),$AB$1006:$AQ$1006,0)))),"Fix")))</f>
        <v>0</v>
      </c>
      <c r="P97" s="4">
        <f>IF(OR(INDEX($V$2:$V$1001,MATCH(ROWS($U$2:U97),$U$2:$U$1001,0),1)&gt;=100000,INDEX($AB$1005:$AQ$1005,1,MATCH(COLUMNS($AB$1006:AP1006),$AB$1006:$AQ$1006,0))&gt;=100000), " ",IF(INDEX($AB$2:$AQ$1001,MATCH(ROWS($U$2:U97),$U$2:$U$1001,0),MATCH(COLUMNS($AB$1006:AP1006),$AB$1006:$AQ$1006,0)), HYPERLINK("#",""), HYPERLINK(CONCATENATE("#metadata!", ADDRESS(INDEX($W$2:$W$1001,MATCH(ROWS($U$2:U97),$U$2:$U$1001,0),0), INDEX($AB$1004:$AQ$1004,1,MATCH(COLUMNS($AB$1006:AP1006),$AB$1006:$AQ$1006,0)))),"Fix")))</f>
        <v>0</v>
      </c>
      <c r="Q97" s="4">
        <f>IF(OR(INDEX($V$2:$V$1001,MATCH(ROWS($U$2:U97),$U$2:$U$1001,0),1)&gt;=100000,INDEX($AB$1005:$AQ$1005,1,MATCH(COLUMNS($AB$1006:AQ1006),$AB$1006:$AQ$1006,0))&gt;=100000), " ",IF(INDEX($AB$2:$AQ$1001,MATCH(ROWS($U$2:U97),$U$2:$U$1001,0),MATCH(COLUMNS($AB$1006:AQ1006),$AB$1006:$AQ$1006,0)), HYPERLINK("#",""), HYPERLINK(CONCATENATE("#metadata!", ADDRESS(INDEX($W$2:$W$1001,MATCH(ROWS($U$2:U97),$U$2:$U$1001,0),0), INDEX($AB$1004:$AQ$1004,1,MATCH(COLUMNS($AB$1006:AQ1006),$AB$1006:$AQ$1006,0)))),"Fix")))</f>
        <v>0</v>
      </c>
      <c r="U97">
        <v>0</v>
      </c>
      <c r="V97">
        <v>0</v>
      </c>
      <c r="W97">
        <v>0</v>
      </c>
      <c r="X97">
        <f>IF(Y97,TRUE,AND(AB97:AQ97))</f>
        <v>0</v>
      </c>
      <c r="Y97">
        <f>COUNTBLANK(metadata!B97:Q97)=COLUMNS(metadata!B97:Q97)</f>
        <v>0</v>
      </c>
      <c r="Z97">
        <v>0</v>
      </c>
      <c r="AB97">
        <f>AND(IF(metadata!B97="",FALSE,TRUE),COUNTIF(metadata!B:B, metadata!B97) = 1,NOT(ISERROR(SUMPRODUCT(SEARCH(MID(metadata!B97,ROW(INDIRECT("1:"&amp;LEN(metadata!B97))), 1),"0123456789abcdefghijklmnopqrstuvwxyzABCDEFGHIJKLMNOPQRSTUVWXYZ.")))))</f>
        <v>0</v>
      </c>
      <c r="AC97">
        <f>OR(AND(IF(metadata!C97="",FALSE,TRUE),OR(exact(metadata!C97,"missing: not collected"),exact(metadata!C97,"missing: not provided"),exact(metadata!C97,"missing: restricted access"))),AND(IF(metadata!C97="",FALSE,TRUE),AND(AND(IFERROR(INT(LEFT(metadata!C97,4))&gt;1900,FALSE),IFERROR(INT(LEFT(metadata!C97,4))&lt;=YEAR(NOW()),FALSE)), OR(MID(metadata!C97,5,1)="", AND(AND(MID(metadata!C97,5,1)="-",IFERROR(INT(MID(metadata!C97,6,1))&gt;=0,FALSE),IFERROR(INT(MID(metadata!C97,6,1))&lt;=1,FALSE),NOT(MID(metadata!C97,7,1)=""),IFERROR(INT(MID(metadata!C97,6,2))&gt;=1,FALSE),IFERROR(INT(MID(metadata!C97,6,2))&lt;=12,FALSE)), OR(MID(metadata!C97,8,1)="", AND(AND(MID(metadata!C97,8,1)="-",IFERROR(INT(MID(metadata!C97,9,1))&gt;=0,FALSE),IFERROR(INT(MID(metadata!C97,9,1))&lt;=3,FALSE),NOT(MID(metadata!C97,10,1)=""),IFERROR(INT(MID(metadata!C97,9,2))&gt;=1,FALSE),IFERROR(INT(MID(metadata!C97,9,2))&lt;=31,FALSE)), OR(MID(metadata!C97,11,1)="", AND(AND(MID(metadata!C97,11,1)=" ",IFERROR(INT(MID(metadata!C97,12,1))&gt;=0,FALSE),IFERROR(INT(MID(metadata!C97,12,1))&lt;=2,FALSE),NOT(MID(metadata!C97,13,1)=""),IFERROR(INT(MID(metadata!C97,12,2))&gt;=0,FALSE),IFERROR(INT(MID(metadata!C97,12,2))&lt;=23,FALSE)), OR(MID(metadata!C97,14,1)="", AND(AND(MID(metadata!C97,14,1)=":",IFERROR(INT(MID(metadata!C97,15,1))&gt;=0,FALSE),IFERROR(INT(MID(metadata!C97,15,1))&lt;=5,FALSE),NOT(MID(metadata!C97,16,1)=""),IFERROR(INT(MID(metadata!C97,15,2))&gt;=0,FALSE),IFERROR(INT(MID(metadata!C97,15,2))&lt;=59,FALSE)), OR(MID(metadata!C97,17,1)="", AND(AND(MID(metadata!C97,17,1)=":",IFERROR(INT(MID(metadata!C97,18,1))&gt;=0,FALSE),IFERROR(INT(MID(metadata!C97,18,1))&lt;=5,FALSE),NOT(MID(metadata!C97,19,1)=""),IFERROR(INT(MID(metadata!C97,18,2))&gt;=0,FALSE),IFERROR(INT(MID(metadata!C97,18,2))&lt;=59,FALSE)), LEN(metadata!C97)&lt;=19)))))))))))))</f>
        <v>0</v>
      </c>
      <c r="AD97">
        <f>IF(metadata!D97="",FALSE,TRUE)</f>
        <v>0</v>
      </c>
      <c r="AE97">
        <f>OR(AND(IF(metadata!E97="",FALSE,TRUE),OR(exact(metadata!E97,"missing: not collected"),exact(metadata!E97,"missing: not provided"))),AND(IF(metadata!E97="",FALSE,TRUE),OR(exact(metadata!E97,"TRUE"),exact(metadata!E97,"FALSE"))))</f>
        <v>0</v>
      </c>
      <c r="AF97">
        <f>IF(metadata!F97="",FALSE,TRUE)</f>
        <v>0</v>
      </c>
      <c r="AG97">
        <f>IF(metadata!G97="",FALSE,TRUE)</f>
        <v>0</v>
      </c>
      <c r="AH97">
        <f>IF(metadata!H97="",FALSE,TRUE)</f>
        <v>0</v>
      </c>
      <c r="AI97">
        <f>OR(AND(IF(metadata!I97="",FALSE,TRUE),OR(exact(metadata!I97,"missing: not collected"),exact(metadata!I97,"missing: not provided"),exact(metadata!I97,"missing: restricted access"))),AND(IF(metadata!I97="",FALSE,TRUE),OR(exact(metadata!I97,"air"),exact(metadata!I97,"built environment"),exact(metadata!I97,"host-associated"),exact(metadata!I97,"human-associated"),exact(metadata!I97,"human-skin"),exact(metadata!I97,"human-oral"),exact(metadata!I97,"human-gut"),exact(metadata!I97,"human-vaginal"),exact(metadata!I97,"microbial mat/biofilm"),exact(metadata!I97,"misc environment"),exact(metadata!I97,"plant-associated"),exact(metadata!I97,"sediment"),exact(metadata!I97,"soil"),exact(metadata!I97,"wastewater/sludge"),exact(metadata!I97,"water"))))</f>
        <v>0</v>
      </c>
      <c r="AJ97">
        <f>IF(metadata!J97="",FALSE,TRUE)</f>
        <v>0</v>
      </c>
      <c r="AK97">
        <f>OR(AND(IF(metadata!K97="",FALSE,TRUE),OR(exact(metadata!K97,"missing: not collected"),exact(metadata!K97,"missing: not provided"),exact(metadata!K97,"missing: restricted access"))),AND(IF(metadata!K97="",FALSE,ISNUMBER(VALUE(metadata!K97))),metadata!K97&gt;=-90.00,metadata!K97&lt;=90.00))</f>
        <v>0</v>
      </c>
      <c r="AL97">
        <f>OR(AND(IF(metadata!L97="",FALSE,TRUE),OR(exact(metadata!L97,"missing: not collected"),exact(metadata!L97,"missing: not provided"),exact(metadata!L97,"missing: restricted access"))),AND(IF(metadata!L97="",FALSE,ISNUMBER(VALUE(metadata!L97))),metadata!L97&gt;=-180.00,metadata!L97&lt;=180.00))</f>
        <v>0</v>
      </c>
      <c r="AM97">
        <f>IF(metadata!M97="",FALSE,TRUE)</f>
        <v>0</v>
      </c>
      <c r="AN97">
        <f>OR(AND(IF(metadata!N97="",FALSE,TRUE),OR(exact(metadata!N97,"missing: not collected"),exact(metadata!N97,"missing: not provided"),exact(metadata!N97,"missing: restricted access"))),AND(IF(metadata!N97="",FALSE,TRUE),OR(exact(metadata!N97,"TRUE"),exact(metadata!N97,"FALSE"))))</f>
        <v>0</v>
      </c>
      <c r="AO97">
        <f>IF(metadata!O97="",FALSE,TRUE)</f>
        <v>0</v>
      </c>
      <c r="AP97">
        <f>OR(AND(IF(metadata!P97="",FALSE,TRUE),OR(exact(metadata!P97,"missing: not collected"),exact(metadata!P97,"missing: not provided"))),AND(IF(metadata!P97="",FALSE,IF(ISERROR(INT(metadata!P97)),FALSE,INT(metadata!P97)=metadata!P97)),metadata!P97&gt;0))</f>
        <v>0</v>
      </c>
      <c r="AQ97">
        <f>IF(metadata!Q97="",FALSE,TRUE)</f>
        <v>0</v>
      </c>
    </row>
    <row r="98" spans="1:43">
      <c r="A98" s="5">
        <f>IF(B98=" "," ",HYPERLINK(CONCATENATE("#metadata!",ADDRESS(INDEX($W$2:$W$1001,MATCH(ROWS($U$2:U98),$U$2:$U$1001,0),0),1)),INDEX($Z$2:$Z$1001,MATCH(ROWS($U$2:U98),$U$2:$U$1001,0),0)))</f>
        <v>0</v>
      </c>
      <c r="B98" s="4">
        <f>IF(OR(INDEX($V$2:$V$1001,MATCH(ROWS($U$2:U98),$U$2:$U$1001,0),1)&gt;=100000,INDEX($AB$1005:$AQ$1005,1,MATCH(COLUMNS($AB$1006:AB1006),$AB$1006:$AQ$1006,0))&gt;=100000), " ",IF(INDEX($AB$2:$AQ$1001,MATCH(ROWS($U$2:U98),$U$2:$U$1001,0),MATCH(COLUMNS($AB$1006:AB1006),$AB$1006:$AQ$1006,0)), HYPERLINK("#",""), HYPERLINK(CONCATENATE("#metadata!", ADDRESS(INDEX($W$2:$W$1001,MATCH(ROWS($U$2:U98),$U$2:$U$1001,0),0), INDEX($AB$1004:$AQ$1004,1,MATCH(COLUMNS($AB$1006:AB1006),$AB$1006:$AQ$1006,0)))),"Fix")))</f>
        <v>0</v>
      </c>
      <c r="C98" s="4">
        <f>IF(OR(INDEX($V$2:$V$1001,MATCH(ROWS($U$2:U98),$U$2:$U$1001,0),1)&gt;=100000,INDEX($AB$1005:$AQ$1005,1,MATCH(COLUMNS($AB$1006:AC1006),$AB$1006:$AQ$1006,0))&gt;=100000), " ",IF(INDEX($AB$2:$AQ$1001,MATCH(ROWS($U$2:U98),$U$2:$U$1001,0),MATCH(COLUMNS($AB$1006:AC1006),$AB$1006:$AQ$1006,0)), HYPERLINK("#",""), HYPERLINK(CONCATENATE("#metadata!", ADDRESS(INDEX($W$2:$W$1001,MATCH(ROWS($U$2:U98),$U$2:$U$1001,0),0), INDEX($AB$1004:$AQ$1004,1,MATCH(COLUMNS($AB$1006:AC1006),$AB$1006:$AQ$1006,0)))),"Fix")))</f>
        <v>0</v>
      </c>
      <c r="D98" s="4">
        <f>IF(OR(INDEX($V$2:$V$1001,MATCH(ROWS($U$2:U98),$U$2:$U$1001,0),1)&gt;=100000,INDEX($AB$1005:$AQ$1005,1,MATCH(COLUMNS($AB$1006:AD1006),$AB$1006:$AQ$1006,0))&gt;=100000), " ",IF(INDEX($AB$2:$AQ$1001,MATCH(ROWS($U$2:U98),$U$2:$U$1001,0),MATCH(COLUMNS($AB$1006:AD1006),$AB$1006:$AQ$1006,0)), HYPERLINK("#",""), HYPERLINK(CONCATENATE("#metadata!", ADDRESS(INDEX($W$2:$W$1001,MATCH(ROWS($U$2:U98),$U$2:$U$1001,0),0), INDEX($AB$1004:$AQ$1004,1,MATCH(COLUMNS($AB$1006:AD1006),$AB$1006:$AQ$1006,0)))),"Fix")))</f>
        <v>0</v>
      </c>
      <c r="E98" s="4">
        <f>IF(OR(INDEX($V$2:$V$1001,MATCH(ROWS($U$2:U98),$U$2:$U$1001,0),1)&gt;=100000,INDEX($AB$1005:$AQ$1005,1,MATCH(COLUMNS($AB$1006:AE1006),$AB$1006:$AQ$1006,0))&gt;=100000), " ",IF(INDEX($AB$2:$AQ$1001,MATCH(ROWS($U$2:U98),$U$2:$U$1001,0),MATCH(COLUMNS($AB$1006:AE1006),$AB$1006:$AQ$1006,0)), HYPERLINK("#",""), HYPERLINK(CONCATENATE("#metadata!", ADDRESS(INDEX($W$2:$W$1001,MATCH(ROWS($U$2:U98),$U$2:$U$1001,0),0), INDEX($AB$1004:$AQ$1004,1,MATCH(COLUMNS($AB$1006:AE1006),$AB$1006:$AQ$1006,0)))),"Fix")))</f>
        <v>0</v>
      </c>
      <c r="F98" s="4">
        <f>IF(OR(INDEX($V$2:$V$1001,MATCH(ROWS($U$2:U98),$U$2:$U$1001,0),1)&gt;=100000,INDEX($AB$1005:$AQ$1005,1,MATCH(COLUMNS($AB$1006:AF1006),$AB$1006:$AQ$1006,0))&gt;=100000), " ",IF(INDEX($AB$2:$AQ$1001,MATCH(ROWS($U$2:U98),$U$2:$U$1001,0),MATCH(COLUMNS($AB$1006:AF1006),$AB$1006:$AQ$1006,0)), HYPERLINK("#",""), HYPERLINK(CONCATENATE("#metadata!", ADDRESS(INDEX($W$2:$W$1001,MATCH(ROWS($U$2:U98),$U$2:$U$1001,0),0), INDEX($AB$1004:$AQ$1004,1,MATCH(COLUMNS($AB$1006:AF1006),$AB$1006:$AQ$1006,0)))),"Fix")))</f>
        <v>0</v>
      </c>
      <c r="G98" s="4">
        <f>IF(OR(INDEX($V$2:$V$1001,MATCH(ROWS($U$2:U98),$U$2:$U$1001,0),1)&gt;=100000,INDEX($AB$1005:$AQ$1005,1,MATCH(COLUMNS($AB$1006:AG1006),$AB$1006:$AQ$1006,0))&gt;=100000), " ",IF(INDEX($AB$2:$AQ$1001,MATCH(ROWS($U$2:U98),$U$2:$U$1001,0),MATCH(COLUMNS($AB$1006:AG1006),$AB$1006:$AQ$1006,0)), HYPERLINK("#",""), HYPERLINK(CONCATENATE("#metadata!", ADDRESS(INDEX($W$2:$W$1001,MATCH(ROWS($U$2:U98),$U$2:$U$1001,0),0), INDEX($AB$1004:$AQ$1004,1,MATCH(COLUMNS($AB$1006:AG1006),$AB$1006:$AQ$1006,0)))),"Fix")))</f>
        <v>0</v>
      </c>
      <c r="H98" s="4">
        <f>IF(OR(INDEX($V$2:$V$1001,MATCH(ROWS($U$2:U98),$U$2:$U$1001,0),1)&gt;=100000,INDEX($AB$1005:$AQ$1005,1,MATCH(COLUMNS($AB$1006:AH1006),$AB$1006:$AQ$1006,0))&gt;=100000), " ",IF(INDEX($AB$2:$AQ$1001,MATCH(ROWS($U$2:U98),$U$2:$U$1001,0),MATCH(COLUMNS($AB$1006:AH1006),$AB$1006:$AQ$1006,0)), HYPERLINK("#",""), HYPERLINK(CONCATENATE("#metadata!", ADDRESS(INDEX($W$2:$W$1001,MATCH(ROWS($U$2:U98),$U$2:$U$1001,0),0), INDEX($AB$1004:$AQ$1004,1,MATCH(COLUMNS($AB$1006:AH1006),$AB$1006:$AQ$1006,0)))),"Fix")))</f>
        <v>0</v>
      </c>
      <c r="I98" s="4">
        <f>IF(OR(INDEX($V$2:$V$1001,MATCH(ROWS($U$2:U98),$U$2:$U$1001,0),1)&gt;=100000,INDEX($AB$1005:$AQ$1005,1,MATCH(COLUMNS($AB$1006:AI1006),$AB$1006:$AQ$1006,0))&gt;=100000), " ",IF(INDEX($AB$2:$AQ$1001,MATCH(ROWS($U$2:U98),$U$2:$U$1001,0),MATCH(COLUMNS($AB$1006:AI1006),$AB$1006:$AQ$1006,0)), HYPERLINK("#",""), HYPERLINK(CONCATENATE("#metadata!", ADDRESS(INDEX($W$2:$W$1001,MATCH(ROWS($U$2:U98),$U$2:$U$1001,0),0), INDEX($AB$1004:$AQ$1004,1,MATCH(COLUMNS($AB$1006:AI1006),$AB$1006:$AQ$1006,0)))),"Fix")))</f>
        <v>0</v>
      </c>
      <c r="J98" s="4">
        <f>IF(OR(INDEX($V$2:$V$1001,MATCH(ROWS($U$2:U98),$U$2:$U$1001,0),1)&gt;=100000,INDEX($AB$1005:$AQ$1005,1,MATCH(COLUMNS($AB$1006:AJ1006),$AB$1006:$AQ$1006,0))&gt;=100000), " ",IF(INDEX($AB$2:$AQ$1001,MATCH(ROWS($U$2:U98),$U$2:$U$1001,0),MATCH(COLUMNS($AB$1006:AJ1006),$AB$1006:$AQ$1006,0)), HYPERLINK("#",""), HYPERLINK(CONCATENATE("#metadata!", ADDRESS(INDEX($W$2:$W$1001,MATCH(ROWS($U$2:U98),$U$2:$U$1001,0),0), INDEX($AB$1004:$AQ$1004,1,MATCH(COLUMNS($AB$1006:AJ1006),$AB$1006:$AQ$1006,0)))),"Fix")))</f>
        <v>0</v>
      </c>
      <c r="K98" s="4">
        <f>IF(OR(INDEX($V$2:$V$1001,MATCH(ROWS($U$2:U98),$U$2:$U$1001,0),1)&gt;=100000,INDEX($AB$1005:$AQ$1005,1,MATCH(COLUMNS($AB$1006:AK1006),$AB$1006:$AQ$1006,0))&gt;=100000), " ",IF(INDEX($AB$2:$AQ$1001,MATCH(ROWS($U$2:U98),$U$2:$U$1001,0),MATCH(COLUMNS($AB$1006:AK1006),$AB$1006:$AQ$1006,0)), HYPERLINK("#",""), HYPERLINK(CONCATENATE("#metadata!", ADDRESS(INDEX($W$2:$W$1001,MATCH(ROWS($U$2:U98),$U$2:$U$1001,0),0), INDEX($AB$1004:$AQ$1004,1,MATCH(COLUMNS($AB$1006:AK1006),$AB$1006:$AQ$1006,0)))),"Fix")))</f>
        <v>0</v>
      </c>
      <c r="L98" s="4">
        <f>IF(OR(INDEX($V$2:$V$1001,MATCH(ROWS($U$2:U98),$U$2:$U$1001,0),1)&gt;=100000,INDEX($AB$1005:$AQ$1005,1,MATCH(COLUMNS($AB$1006:AL1006),$AB$1006:$AQ$1006,0))&gt;=100000), " ",IF(INDEX($AB$2:$AQ$1001,MATCH(ROWS($U$2:U98),$U$2:$U$1001,0),MATCH(COLUMNS($AB$1006:AL1006),$AB$1006:$AQ$1006,0)), HYPERLINK("#",""), HYPERLINK(CONCATENATE("#metadata!", ADDRESS(INDEX($W$2:$W$1001,MATCH(ROWS($U$2:U98),$U$2:$U$1001,0),0), INDEX($AB$1004:$AQ$1004,1,MATCH(COLUMNS($AB$1006:AL1006),$AB$1006:$AQ$1006,0)))),"Fix")))</f>
        <v>0</v>
      </c>
      <c r="M98" s="4">
        <f>IF(OR(INDEX($V$2:$V$1001,MATCH(ROWS($U$2:U98),$U$2:$U$1001,0),1)&gt;=100000,INDEX($AB$1005:$AQ$1005,1,MATCH(COLUMNS($AB$1006:AM1006),$AB$1006:$AQ$1006,0))&gt;=100000), " ",IF(INDEX($AB$2:$AQ$1001,MATCH(ROWS($U$2:U98),$U$2:$U$1001,0),MATCH(COLUMNS($AB$1006:AM1006),$AB$1006:$AQ$1006,0)), HYPERLINK("#",""), HYPERLINK(CONCATENATE("#metadata!", ADDRESS(INDEX($W$2:$W$1001,MATCH(ROWS($U$2:U98),$U$2:$U$1001,0),0), INDEX($AB$1004:$AQ$1004,1,MATCH(COLUMNS($AB$1006:AM1006),$AB$1006:$AQ$1006,0)))),"Fix")))</f>
        <v>0</v>
      </c>
      <c r="N98" s="4">
        <f>IF(OR(INDEX($V$2:$V$1001,MATCH(ROWS($U$2:U98),$U$2:$U$1001,0),1)&gt;=100000,INDEX($AB$1005:$AQ$1005,1,MATCH(COLUMNS($AB$1006:AN1006),$AB$1006:$AQ$1006,0))&gt;=100000), " ",IF(INDEX($AB$2:$AQ$1001,MATCH(ROWS($U$2:U98),$U$2:$U$1001,0),MATCH(COLUMNS($AB$1006:AN1006),$AB$1006:$AQ$1006,0)), HYPERLINK("#",""), HYPERLINK(CONCATENATE("#metadata!", ADDRESS(INDEX($W$2:$W$1001,MATCH(ROWS($U$2:U98),$U$2:$U$1001,0),0), INDEX($AB$1004:$AQ$1004,1,MATCH(COLUMNS($AB$1006:AN1006),$AB$1006:$AQ$1006,0)))),"Fix")))</f>
        <v>0</v>
      </c>
      <c r="O98" s="4">
        <f>IF(OR(INDEX($V$2:$V$1001,MATCH(ROWS($U$2:U98),$U$2:$U$1001,0),1)&gt;=100000,INDEX($AB$1005:$AQ$1005,1,MATCH(COLUMNS($AB$1006:AO1006),$AB$1006:$AQ$1006,0))&gt;=100000), " ",IF(INDEX($AB$2:$AQ$1001,MATCH(ROWS($U$2:U98),$U$2:$U$1001,0),MATCH(COLUMNS($AB$1006:AO1006),$AB$1006:$AQ$1006,0)), HYPERLINK("#",""), HYPERLINK(CONCATENATE("#metadata!", ADDRESS(INDEX($W$2:$W$1001,MATCH(ROWS($U$2:U98),$U$2:$U$1001,0),0), INDEX($AB$1004:$AQ$1004,1,MATCH(COLUMNS($AB$1006:AO1006),$AB$1006:$AQ$1006,0)))),"Fix")))</f>
        <v>0</v>
      </c>
      <c r="P98" s="4">
        <f>IF(OR(INDEX($V$2:$V$1001,MATCH(ROWS($U$2:U98),$U$2:$U$1001,0),1)&gt;=100000,INDEX($AB$1005:$AQ$1005,1,MATCH(COLUMNS($AB$1006:AP1006),$AB$1006:$AQ$1006,0))&gt;=100000), " ",IF(INDEX($AB$2:$AQ$1001,MATCH(ROWS($U$2:U98),$U$2:$U$1001,0),MATCH(COLUMNS($AB$1006:AP1006),$AB$1006:$AQ$1006,0)), HYPERLINK("#",""), HYPERLINK(CONCATENATE("#metadata!", ADDRESS(INDEX($W$2:$W$1001,MATCH(ROWS($U$2:U98),$U$2:$U$1001,0),0), INDEX($AB$1004:$AQ$1004,1,MATCH(COLUMNS($AB$1006:AP1006),$AB$1006:$AQ$1006,0)))),"Fix")))</f>
        <v>0</v>
      </c>
      <c r="Q98" s="4">
        <f>IF(OR(INDEX($V$2:$V$1001,MATCH(ROWS($U$2:U98),$U$2:$U$1001,0),1)&gt;=100000,INDEX($AB$1005:$AQ$1005,1,MATCH(COLUMNS($AB$1006:AQ1006),$AB$1006:$AQ$1006,0))&gt;=100000), " ",IF(INDEX($AB$2:$AQ$1001,MATCH(ROWS($U$2:U98),$U$2:$U$1001,0),MATCH(COLUMNS($AB$1006:AQ1006),$AB$1006:$AQ$1006,0)), HYPERLINK("#",""), HYPERLINK(CONCATENATE("#metadata!", ADDRESS(INDEX($W$2:$W$1001,MATCH(ROWS($U$2:U98),$U$2:$U$1001,0),0), INDEX($AB$1004:$AQ$1004,1,MATCH(COLUMNS($AB$1006:AQ1006),$AB$1006:$AQ$1006,0)))),"Fix")))</f>
        <v>0</v>
      </c>
      <c r="U98">
        <v>0</v>
      </c>
      <c r="V98">
        <v>0</v>
      </c>
      <c r="W98">
        <v>0</v>
      </c>
      <c r="X98">
        <f>IF(Y98,TRUE,AND(AB98:AQ98))</f>
        <v>0</v>
      </c>
      <c r="Y98">
        <f>COUNTBLANK(metadata!B98:Q98)=COLUMNS(metadata!B98:Q98)</f>
        <v>0</v>
      </c>
      <c r="Z98">
        <v>0</v>
      </c>
      <c r="AB98">
        <f>AND(IF(metadata!B98="",FALSE,TRUE),COUNTIF(metadata!B:B, metadata!B98) = 1,NOT(ISERROR(SUMPRODUCT(SEARCH(MID(metadata!B98,ROW(INDIRECT("1:"&amp;LEN(metadata!B98))), 1),"0123456789abcdefghijklmnopqrstuvwxyzABCDEFGHIJKLMNOPQRSTUVWXYZ.")))))</f>
        <v>0</v>
      </c>
      <c r="AC98">
        <f>OR(AND(IF(metadata!C98="",FALSE,TRUE),OR(exact(metadata!C98,"missing: not collected"),exact(metadata!C98,"missing: not provided"),exact(metadata!C98,"missing: restricted access"))),AND(IF(metadata!C98="",FALSE,TRUE),AND(AND(IFERROR(INT(LEFT(metadata!C98,4))&gt;1900,FALSE),IFERROR(INT(LEFT(metadata!C98,4))&lt;=YEAR(NOW()),FALSE)), OR(MID(metadata!C98,5,1)="", AND(AND(MID(metadata!C98,5,1)="-",IFERROR(INT(MID(metadata!C98,6,1))&gt;=0,FALSE),IFERROR(INT(MID(metadata!C98,6,1))&lt;=1,FALSE),NOT(MID(metadata!C98,7,1)=""),IFERROR(INT(MID(metadata!C98,6,2))&gt;=1,FALSE),IFERROR(INT(MID(metadata!C98,6,2))&lt;=12,FALSE)), OR(MID(metadata!C98,8,1)="", AND(AND(MID(metadata!C98,8,1)="-",IFERROR(INT(MID(metadata!C98,9,1))&gt;=0,FALSE),IFERROR(INT(MID(metadata!C98,9,1))&lt;=3,FALSE),NOT(MID(metadata!C98,10,1)=""),IFERROR(INT(MID(metadata!C98,9,2))&gt;=1,FALSE),IFERROR(INT(MID(metadata!C98,9,2))&lt;=31,FALSE)), OR(MID(metadata!C98,11,1)="", AND(AND(MID(metadata!C98,11,1)=" ",IFERROR(INT(MID(metadata!C98,12,1))&gt;=0,FALSE),IFERROR(INT(MID(metadata!C98,12,1))&lt;=2,FALSE),NOT(MID(metadata!C98,13,1)=""),IFERROR(INT(MID(metadata!C98,12,2))&gt;=0,FALSE),IFERROR(INT(MID(metadata!C98,12,2))&lt;=23,FALSE)), OR(MID(metadata!C98,14,1)="", AND(AND(MID(metadata!C98,14,1)=":",IFERROR(INT(MID(metadata!C98,15,1))&gt;=0,FALSE),IFERROR(INT(MID(metadata!C98,15,1))&lt;=5,FALSE),NOT(MID(metadata!C98,16,1)=""),IFERROR(INT(MID(metadata!C98,15,2))&gt;=0,FALSE),IFERROR(INT(MID(metadata!C98,15,2))&lt;=59,FALSE)), OR(MID(metadata!C98,17,1)="", AND(AND(MID(metadata!C98,17,1)=":",IFERROR(INT(MID(metadata!C98,18,1))&gt;=0,FALSE),IFERROR(INT(MID(metadata!C98,18,1))&lt;=5,FALSE),NOT(MID(metadata!C98,19,1)=""),IFERROR(INT(MID(metadata!C98,18,2))&gt;=0,FALSE),IFERROR(INT(MID(metadata!C98,18,2))&lt;=59,FALSE)), LEN(metadata!C98)&lt;=19)))))))))))))</f>
        <v>0</v>
      </c>
      <c r="AD98">
        <f>IF(metadata!D98="",FALSE,TRUE)</f>
        <v>0</v>
      </c>
      <c r="AE98">
        <f>OR(AND(IF(metadata!E98="",FALSE,TRUE),OR(exact(metadata!E98,"missing: not collected"),exact(metadata!E98,"missing: not provided"))),AND(IF(metadata!E98="",FALSE,TRUE),OR(exact(metadata!E98,"TRUE"),exact(metadata!E98,"FALSE"))))</f>
        <v>0</v>
      </c>
      <c r="AF98">
        <f>IF(metadata!F98="",FALSE,TRUE)</f>
        <v>0</v>
      </c>
      <c r="AG98">
        <f>IF(metadata!G98="",FALSE,TRUE)</f>
        <v>0</v>
      </c>
      <c r="AH98">
        <f>IF(metadata!H98="",FALSE,TRUE)</f>
        <v>0</v>
      </c>
      <c r="AI98">
        <f>OR(AND(IF(metadata!I98="",FALSE,TRUE),OR(exact(metadata!I98,"missing: not collected"),exact(metadata!I98,"missing: not provided"),exact(metadata!I98,"missing: restricted access"))),AND(IF(metadata!I98="",FALSE,TRUE),OR(exact(metadata!I98,"air"),exact(metadata!I98,"built environment"),exact(metadata!I98,"host-associated"),exact(metadata!I98,"human-associated"),exact(metadata!I98,"human-skin"),exact(metadata!I98,"human-oral"),exact(metadata!I98,"human-gut"),exact(metadata!I98,"human-vaginal"),exact(metadata!I98,"microbial mat/biofilm"),exact(metadata!I98,"misc environment"),exact(metadata!I98,"plant-associated"),exact(metadata!I98,"sediment"),exact(metadata!I98,"soil"),exact(metadata!I98,"wastewater/sludge"),exact(metadata!I98,"water"))))</f>
        <v>0</v>
      </c>
      <c r="AJ98">
        <f>IF(metadata!J98="",FALSE,TRUE)</f>
        <v>0</v>
      </c>
      <c r="AK98">
        <f>OR(AND(IF(metadata!K98="",FALSE,TRUE),OR(exact(metadata!K98,"missing: not collected"),exact(metadata!K98,"missing: not provided"),exact(metadata!K98,"missing: restricted access"))),AND(IF(metadata!K98="",FALSE,ISNUMBER(VALUE(metadata!K98))),metadata!K98&gt;=-90.00,metadata!K98&lt;=90.00))</f>
        <v>0</v>
      </c>
      <c r="AL98">
        <f>OR(AND(IF(metadata!L98="",FALSE,TRUE),OR(exact(metadata!L98,"missing: not collected"),exact(metadata!L98,"missing: not provided"),exact(metadata!L98,"missing: restricted access"))),AND(IF(metadata!L98="",FALSE,ISNUMBER(VALUE(metadata!L98))),metadata!L98&gt;=-180.00,metadata!L98&lt;=180.00))</f>
        <v>0</v>
      </c>
      <c r="AM98">
        <f>IF(metadata!M98="",FALSE,TRUE)</f>
        <v>0</v>
      </c>
      <c r="AN98">
        <f>OR(AND(IF(metadata!N98="",FALSE,TRUE),OR(exact(metadata!N98,"missing: not collected"),exact(metadata!N98,"missing: not provided"),exact(metadata!N98,"missing: restricted access"))),AND(IF(metadata!N98="",FALSE,TRUE),OR(exact(metadata!N98,"TRUE"),exact(metadata!N98,"FALSE"))))</f>
        <v>0</v>
      </c>
      <c r="AO98">
        <f>IF(metadata!O98="",FALSE,TRUE)</f>
        <v>0</v>
      </c>
      <c r="AP98">
        <f>OR(AND(IF(metadata!P98="",FALSE,TRUE),OR(exact(metadata!P98,"missing: not collected"),exact(metadata!P98,"missing: not provided"))),AND(IF(metadata!P98="",FALSE,IF(ISERROR(INT(metadata!P98)),FALSE,INT(metadata!P98)=metadata!P98)),metadata!P98&gt;0))</f>
        <v>0</v>
      </c>
      <c r="AQ98">
        <f>IF(metadata!Q98="",FALSE,TRUE)</f>
        <v>0</v>
      </c>
    </row>
    <row r="99" spans="1:43">
      <c r="A99" s="5">
        <f>IF(B99=" "," ",HYPERLINK(CONCATENATE("#metadata!",ADDRESS(INDEX($W$2:$W$1001,MATCH(ROWS($U$2:U99),$U$2:$U$1001,0),0),1)),INDEX($Z$2:$Z$1001,MATCH(ROWS($U$2:U99),$U$2:$U$1001,0),0)))</f>
        <v>0</v>
      </c>
      <c r="B99" s="4">
        <f>IF(OR(INDEX($V$2:$V$1001,MATCH(ROWS($U$2:U99),$U$2:$U$1001,0),1)&gt;=100000,INDEX($AB$1005:$AQ$1005,1,MATCH(COLUMNS($AB$1006:AB1006),$AB$1006:$AQ$1006,0))&gt;=100000), " ",IF(INDEX($AB$2:$AQ$1001,MATCH(ROWS($U$2:U99),$U$2:$U$1001,0),MATCH(COLUMNS($AB$1006:AB1006),$AB$1006:$AQ$1006,0)), HYPERLINK("#",""), HYPERLINK(CONCATENATE("#metadata!", ADDRESS(INDEX($W$2:$W$1001,MATCH(ROWS($U$2:U99),$U$2:$U$1001,0),0), INDEX($AB$1004:$AQ$1004,1,MATCH(COLUMNS($AB$1006:AB1006),$AB$1006:$AQ$1006,0)))),"Fix")))</f>
        <v>0</v>
      </c>
      <c r="C99" s="4">
        <f>IF(OR(INDEX($V$2:$V$1001,MATCH(ROWS($U$2:U99),$U$2:$U$1001,0),1)&gt;=100000,INDEX($AB$1005:$AQ$1005,1,MATCH(COLUMNS($AB$1006:AC1006),$AB$1006:$AQ$1006,0))&gt;=100000), " ",IF(INDEX($AB$2:$AQ$1001,MATCH(ROWS($U$2:U99),$U$2:$U$1001,0),MATCH(COLUMNS($AB$1006:AC1006),$AB$1006:$AQ$1006,0)), HYPERLINK("#",""), HYPERLINK(CONCATENATE("#metadata!", ADDRESS(INDEX($W$2:$W$1001,MATCH(ROWS($U$2:U99),$U$2:$U$1001,0),0), INDEX($AB$1004:$AQ$1004,1,MATCH(COLUMNS($AB$1006:AC1006),$AB$1006:$AQ$1006,0)))),"Fix")))</f>
        <v>0</v>
      </c>
      <c r="D99" s="4">
        <f>IF(OR(INDEX($V$2:$V$1001,MATCH(ROWS($U$2:U99),$U$2:$U$1001,0),1)&gt;=100000,INDEX($AB$1005:$AQ$1005,1,MATCH(COLUMNS($AB$1006:AD1006),$AB$1006:$AQ$1006,0))&gt;=100000), " ",IF(INDEX($AB$2:$AQ$1001,MATCH(ROWS($U$2:U99),$U$2:$U$1001,0),MATCH(COLUMNS($AB$1006:AD1006),$AB$1006:$AQ$1006,0)), HYPERLINK("#",""), HYPERLINK(CONCATENATE("#metadata!", ADDRESS(INDEX($W$2:$W$1001,MATCH(ROWS($U$2:U99),$U$2:$U$1001,0),0), INDEX($AB$1004:$AQ$1004,1,MATCH(COLUMNS($AB$1006:AD1006),$AB$1006:$AQ$1006,0)))),"Fix")))</f>
        <v>0</v>
      </c>
      <c r="E99" s="4">
        <f>IF(OR(INDEX($V$2:$V$1001,MATCH(ROWS($U$2:U99),$U$2:$U$1001,0),1)&gt;=100000,INDEX($AB$1005:$AQ$1005,1,MATCH(COLUMNS($AB$1006:AE1006),$AB$1006:$AQ$1006,0))&gt;=100000), " ",IF(INDEX($AB$2:$AQ$1001,MATCH(ROWS($U$2:U99),$U$2:$U$1001,0),MATCH(COLUMNS($AB$1006:AE1006),$AB$1006:$AQ$1006,0)), HYPERLINK("#",""), HYPERLINK(CONCATENATE("#metadata!", ADDRESS(INDEX($W$2:$W$1001,MATCH(ROWS($U$2:U99),$U$2:$U$1001,0),0), INDEX($AB$1004:$AQ$1004,1,MATCH(COLUMNS($AB$1006:AE1006),$AB$1006:$AQ$1006,0)))),"Fix")))</f>
        <v>0</v>
      </c>
      <c r="F99" s="4">
        <f>IF(OR(INDEX($V$2:$V$1001,MATCH(ROWS($U$2:U99),$U$2:$U$1001,0),1)&gt;=100000,INDEX($AB$1005:$AQ$1005,1,MATCH(COLUMNS($AB$1006:AF1006),$AB$1006:$AQ$1006,0))&gt;=100000), " ",IF(INDEX($AB$2:$AQ$1001,MATCH(ROWS($U$2:U99),$U$2:$U$1001,0),MATCH(COLUMNS($AB$1006:AF1006),$AB$1006:$AQ$1006,0)), HYPERLINK("#",""), HYPERLINK(CONCATENATE("#metadata!", ADDRESS(INDEX($W$2:$W$1001,MATCH(ROWS($U$2:U99),$U$2:$U$1001,0),0), INDEX($AB$1004:$AQ$1004,1,MATCH(COLUMNS($AB$1006:AF1006),$AB$1006:$AQ$1006,0)))),"Fix")))</f>
        <v>0</v>
      </c>
      <c r="G99" s="4">
        <f>IF(OR(INDEX($V$2:$V$1001,MATCH(ROWS($U$2:U99),$U$2:$U$1001,0),1)&gt;=100000,INDEX($AB$1005:$AQ$1005,1,MATCH(COLUMNS($AB$1006:AG1006),$AB$1006:$AQ$1006,0))&gt;=100000), " ",IF(INDEX($AB$2:$AQ$1001,MATCH(ROWS($U$2:U99),$U$2:$U$1001,0),MATCH(COLUMNS($AB$1006:AG1006),$AB$1006:$AQ$1006,0)), HYPERLINK("#",""), HYPERLINK(CONCATENATE("#metadata!", ADDRESS(INDEX($W$2:$W$1001,MATCH(ROWS($U$2:U99),$U$2:$U$1001,0),0), INDEX($AB$1004:$AQ$1004,1,MATCH(COLUMNS($AB$1006:AG1006),$AB$1006:$AQ$1006,0)))),"Fix")))</f>
        <v>0</v>
      </c>
      <c r="H99" s="4">
        <f>IF(OR(INDEX($V$2:$V$1001,MATCH(ROWS($U$2:U99),$U$2:$U$1001,0),1)&gt;=100000,INDEX($AB$1005:$AQ$1005,1,MATCH(COLUMNS($AB$1006:AH1006),$AB$1006:$AQ$1006,0))&gt;=100000), " ",IF(INDEX($AB$2:$AQ$1001,MATCH(ROWS($U$2:U99),$U$2:$U$1001,0),MATCH(COLUMNS($AB$1006:AH1006),$AB$1006:$AQ$1006,0)), HYPERLINK("#",""), HYPERLINK(CONCATENATE("#metadata!", ADDRESS(INDEX($W$2:$W$1001,MATCH(ROWS($U$2:U99),$U$2:$U$1001,0),0), INDEX($AB$1004:$AQ$1004,1,MATCH(COLUMNS($AB$1006:AH1006),$AB$1006:$AQ$1006,0)))),"Fix")))</f>
        <v>0</v>
      </c>
      <c r="I99" s="4">
        <f>IF(OR(INDEX($V$2:$V$1001,MATCH(ROWS($U$2:U99),$U$2:$U$1001,0),1)&gt;=100000,INDEX($AB$1005:$AQ$1005,1,MATCH(COLUMNS($AB$1006:AI1006),$AB$1006:$AQ$1006,0))&gt;=100000), " ",IF(INDEX($AB$2:$AQ$1001,MATCH(ROWS($U$2:U99),$U$2:$U$1001,0),MATCH(COLUMNS($AB$1006:AI1006),$AB$1006:$AQ$1006,0)), HYPERLINK("#",""), HYPERLINK(CONCATENATE("#metadata!", ADDRESS(INDEX($W$2:$W$1001,MATCH(ROWS($U$2:U99),$U$2:$U$1001,0),0), INDEX($AB$1004:$AQ$1004,1,MATCH(COLUMNS($AB$1006:AI1006),$AB$1006:$AQ$1006,0)))),"Fix")))</f>
        <v>0</v>
      </c>
      <c r="J99" s="4">
        <f>IF(OR(INDEX($V$2:$V$1001,MATCH(ROWS($U$2:U99),$U$2:$U$1001,0),1)&gt;=100000,INDEX($AB$1005:$AQ$1005,1,MATCH(COLUMNS($AB$1006:AJ1006),$AB$1006:$AQ$1006,0))&gt;=100000), " ",IF(INDEX($AB$2:$AQ$1001,MATCH(ROWS($U$2:U99),$U$2:$U$1001,0),MATCH(COLUMNS($AB$1006:AJ1006),$AB$1006:$AQ$1006,0)), HYPERLINK("#",""), HYPERLINK(CONCATENATE("#metadata!", ADDRESS(INDEX($W$2:$W$1001,MATCH(ROWS($U$2:U99),$U$2:$U$1001,0),0), INDEX($AB$1004:$AQ$1004,1,MATCH(COLUMNS($AB$1006:AJ1006),$AB$1006:$AQ$1006,0)))),"Fix")))</f>
        <v>0</v>
      </c>
      <c r="K99" s="4">
        <f>IF(OR(INDEX($V$2:$V$1001,MATCH(ROWS($U$2:U99),$U$2:$U$1001,0),1)&gt;=100000,INDEX($AB$1005:$AQ$1005,1,MATCH(COLUMNS($AB$1006:AK1006),$AB$1006:$AQ$1006,0))&gt;=100000), " ",IF(INDEX($AB$2:$AQ$1001,MATCH(ROWS($U$2:U99),$U$2:$U$1001,0),MATCH(COLUMNS($AB$1006:AK1006),$AB$1006:$AQ$1006,0)), HYPERLINK("#",""), HYPERLINK(CONCATENATE("#metadata!", ADDRESS(INDEX($W$2:$W$1001,MATCH(ROWS($U$2:U99),$U$2:$U$1001,0),0), INDEX($AB$1004:$AQ$1004,1,MATCH(COLUMNS($AB$1006:AK1006),$AB$1006:$AQ$1006,0)))),"Fix")))</f>
        <v>0</v>
      </c>
      <c r="L99" s="4">
        <f>IF(OR(INDEX($V$2:$V$1001,MATCH(ROWS($U$2:U99),$U$2:$U$1001,0),1)&gt;=100000,INDEX($AB$1005:$AQ$1005,1,MATCH(COLUMNS($AB$1006:AL1006),$AB$1006:$AQ$1006,0))&gt;=100000), " ",IF(INDEX($AB$2:$AQ$1001,MATCH(ROWS($U$2:U99),$U$2:$U$1001,0),MATCH(COLUMNS($AB$1006:AL1006),$AB$1006:$AQ$1006,0)), HYPERLINK("#",""), HYPERLINK(CONCATENATE("#metadata!", ADDRESS(INDEX($W$2:$W$1001,MATCH(ROWS($U$2:U99),$U$2:$U$1001,0),0), INDEX($AB$1004:$AQ$1004,1,MATCH(COLUMNS($AB$1006:AL1006),$AB$1006:$AQ$1006,0)))),"Fix")))</f>
        <v>0</v>
      </c>
      <c r="M99" s="4">
        <f>IF(OR(INDEX($V$2:$V$1001,MATCH(ROWS($U$2:U99),$U$2:$U$1001,0),1)&gt;=100000,INDEX($AB$1005:$AQ$1005,1,MATCH(COLUMNS($AB$1006:AM1006),$AB$1006:$AQ$1006,0))&gt;=100000), " ",IF(INDEX($AB$2:$AQ$1001,MATCH(ROWS($U$2:U99),$U$2:$U$1001,0),MATCH(COLUMNS($AB$1006:AM1006),$AB$1006:$AQ$1006,0)), HYPERLINK("#",""), HYPERLINK(CONCATENATE("#metadata!", ADDRESS(INDEX($W$2:$W$1001,MATCH(ROWS($U$2:U99),$U$2:$U$1001,0),0), INDEX($AB$1004:$AQ$1004,1,MATCH(COLUMNS($AB$1006:AM1006),$AB$1006:$AQ$1006,0)))),"Fix")))</f>
        <v>0</v>
      </c>
      <c r="N99" s="4">
        <f>IF(OR(INDEX($V$2:$V$1001,MATCH(ROWS($U$2:U99),$U$2:$U$1001,0),1)&gt;=100000,INDEX($AB$1005:$AQ$1005,1,MATCH(COLUMNS($AB$1006:AN1006),$AB$1006:$AQ$1006,0))&gt;=100000), " ",IF(INDEX($AB$2:$AQ$1001,MATCH(ROWS($U$2:U99),$U$2:$U$1001,0),MATCH(COLUMNS($AB$1006:AN1006),$AB$1006:$AQ$1006,0)), HYPERLINK("#",""), HYPERLINK(CONCATENATE("#metadata!", ADDRESS(INDEX($W$2:$W$1001,MATCH(ROWS($U$2:U99),$U$2:$U$1001,0),0), INDEX($AB$1004:$AQ$1004,1,MATCH(COLUMNS($AB$1006:AN1006),$AB$1006:$AQ$1006,0)))),"Fix")))</f>
        <v>0</v>
      </c>
      <c r="O99" s="4">
        <f>IF(OR(INDEX($V$2:$V$1001,MATCH(ROWS($U$2:U99),$U$2:$U$1001,0),1)&gt;=100000,INDEX($AB$1005:$AQ$1005,1,MATCH(COLUMNS($AB$1006:AO1006),$AB$1006:$AQ$1006,0))&gt;=100000), " ",IF(INDEX($AB$2:$AQ$1001,MATCH(ROWS($U$2:U99),$U$2:$U$1001,0),MATCH(COLUMNS($AB$1006:AO1006),$AB$1006:$AQ$1006,0)), HYPERLINK("#",""), HYPERLINK(CONCATENATE("#metadata!", ADDRESS(INDEX($W$2:$W$1001,MATCH(ROWS($U$2:U99),$U$2:$U$1001,0),0), INDEX($AB$1004:$AQ$1004,1,MATCH(COLUMNS($AB$1006:AO1006),$AB$1006:$AQ$1006,0)))),"Fix")))</f>
        <v>0</v>
      </c>
      <c r="P99" s="4">
        <f>IF(OR(INDEX($V$2:$V$1001,MATCH(ROWS($U$2:U99),$U$2:$U$1001,0),1)&gt;=100000,INDEX($AB$1005:$AQ$1005,1,MATCH(COLUMNS($AB$1006:AP1006),$AB$1006:$AQ$1006,0))&gt;=100000), " ",IF(INDEX($AB$2:$AQ$1001,MATCH(ROWS($U$2:U99),$U$2:$U$1001,0),MATCH(COLUMNS($AB$1006:AP1006),$AB$1006:$AQ$1006,0)), HYPERLINK("#",""), HYPERLINK(CONCATENATE("#metadata!", ADDRESS(INDEX($W$2:$W$1001,MATCH(ROWS($U$2:U99),$U$2:$U$1001,0),0), INDEX($AB$1004:$AQ$1004,1,MATCH(COLUMNS($AB$1006:AP1006),$AB$1006:$AQ$1006,0)))),"Fix")))</f>
        <v>0</v>
      </c>
      <c r="Q99" s="4">
        <f>IF(OR(INDEX($V$2:$V$1001,MATCH(ROWS($U$2:U99),$U$2:$U$1001,0),1)&gt;=100000,INDEX($AB$1005:$AQ$1005,1,MATCH(COLUMNS($AB$1006:AQ1006),$AB$1006:$AQ$1006,0))&gt;=100000), " ",IF(INDEX($AB$2:$AQ$1001,MATCH(ROWS($U$2:U99),$U$2:$U$1001,0),MATCH(COLUMNS($AB$1006:AQ1006),$AB$1006:$AQ$1006,0)), HYPERLINK("#",""), HYPERLINK(CONCATENATE("#metadata!", ADDRESS(INDEX($W$2:$W$1001,MATCH(ROWS($U$2:U99),$U$2:$U$1001,0),0), INDEX($AB$1004:$AQ$1004,1,MATCH(COLUMNS($AB$1006:AQ1006),$AB$1006:$AQ$1006,0)))),"Fix")))</f>
        <v>0</v>
      </c>
      <c r="U99">
        <v>0</v>
      </c>
      <c r="V99">
        <v>0</v>
      </c>
      <c r="W99">
        <v>0</v>
      </c>
      <c r="X99">
        <f>IF(Y99,TRUE,AND(AB99:AQ99))</f>
        <v>0</v>
      </c>
      <c r="Y99">
        <f>COUNTBLANK(metadata!B99:Q99)=COLUMNS(metadata!B99:Q99)</f>
        <v>0</v>
      </c>
      <c r="Z99">
        <v>0</v>
      </c>
      <c r="AB99">
        <f>AND(IF(metadata!B99="",FALSE,TRUE),COUNTIF(metadata!B:B, metadata!B99) = 1,NOT(ISERROR(SUMPRODUCT(SEARCH(MID(metadata!B99,ROW(INDIRECT("1:"&amp;LEN(metadata!B99))), 1),"0123456789abcdefghijklmnopqrstuvwxyzABCDEFGHIJKLMNOPQRSTUVWXYZ.")))))</f>
        <v>0</v>
      </c>
      <c r="AC99">
        <f>OR(AND(IF(metadata!C99="",FALSE,TRUE),OR(exact(metadata!C99,"missing: not collected"),exact(metadata!C99,"missing: not provided"),exact(metadata!C99,"missing: restricted access"))),AND(IF(metadata!C99="",FALSE,TRUE),AND(AND(IFERROR(INT(LEFT(metadata!C99,4))&gt;1900,FALSE),IFERROR(INT(LEFT(metadata!C99,4))&lt;=YEAR(NOW()),FALSE)), OR(MID(metadata!C99,5,1)="", AND(AND(MID(metadata!C99,5,1)="-",IFERROR(INT(MID(metadata!C99,6,1))&gt;=0,FALSE),IFERROR(INT(MID(metadata!C99,6,1))&lt;=1,FALSE),NOT(MID(metadata!C99,7,1)=""),IFERROR(INT(MID(metadata!C99,6,2))&gt;=1,FALSE),IFERROR(INT(MID(metadata!C99,6,2))&lt;=12,FALSE)), OR(MID(metadata!C99,8,1)="", AND(AND(MID(metadata!C99,8,1)="-",IFERROR(INT(MID(metadata!C99,9,1))&gt;=0,FALSE),IFERROR(INT(MID(metadata!C99,9,1))&lt;=3,FALSE),NOT(MID(metadata!C99,10,1)=""),IFERROR(INT(MID(metadata!C99,9,2))&gt;=1,FALSE),IFERROR(INT(MID(metadata!C99,9,2))&lt;=31,FALSE)), OR(MID(metadata!C99,11,1)="", AND(AND(MID(metadata!C99,11,1)=" ",IFERROR(INT(MID(metadata!C99,12,1))&gt;=0,FALSE),IFERROR(INT(MID(metadata!C99,12,1))&lt;=2,FALSE),NOT(MID(metadata!C99,13,1)=""),IFERROR(INT(MID(metadata!C99,12,2))&gt;=0,FALSE),IFERROR(INT(MID(metadata!C99,12,2))&lt;=23,FALSE)), OR(MID(metadata!C99,14,1)="", AND(AND(MID(metadata!C99,14,1)=":",IFERROR(INT(MID(metadata!C99,15,1))&gt;=0,FALSE),IFERROR(INT(MID(metadata!C99,15,1))&lt;=5,FALSE),NOT(MID(metadata!C99,16,1)=""),IFERROR(INT(MID(metadata!C99,15,2))&gt;=0,FALSE),IFERROR(INT(MID(metadata!C99,15,2))&lt;=59,FALSE)), OR(MID(metadata!C99,17,1)="", AND(AND(MID(metadata!C99,17,1)=":",IFERROR(INT(MID(metadata!C99,18,1))&gt;=0,FALSE),IFERROR(INT(MID(metadata!C99,18,1))&lt;=5,FALSE),NOT(MID(metadata!C99,19,1)=""),IFERROR(INT(MID(metadata!C99,18,2))&gt;=0,FALSE),IFERROR(INT(MID(metadata!C99,18,2))&lt;=59,FALSE)), LEN(metadata!C99)&lt;=19)))))))))))))</f>
        <v>0</v>
      </c>
      <c r="AD99">
        <f>IF(metadata!D99="",FALSE,TRUE)</f>
        <v>0</v>
      </c>
      <c r="AE99">
        <f>OR(AND(IF(metadata!E99="",FALSE,TRUE),OR(exact(metadata!E99,"missing: not collected"),exact(metadata!E99,"missing: not provided"))),AND(IF(metadata!E99="",FALSE,TRUE),OR(exact(metadata!E99,"TRUE"),exact(metadata!E99,"FALSE"))))</f>
        <v>0</v>
      </c>
      <c r="AF99">
        <f>IF(metadata!F99="",FALSE,TRUE)</f>
        <v>0</v>
      </c>
      <c r="AG99">
        <f>IF(metadata!G99="",FALSE,TRUE)</f>
        <v>0</v>
      </c>
      <c r="AH99">
        <f>IF(metadata!H99="",FALSE,TRUE)</f>
        <v>0</v>
      </c>
      <c r="AI99">
        <f>OR(AND(IF(metadata!I99="",FALSE,TRUE),OR(exact(metadata!I99,"missing: not collected"),exact(metadata!I99,"missing: not provided"),exact(metadata!I99,"missing: restricted access"))),AND(IF(metadata!I99="",FALSE,TRUE),OR(exact(metadata!I99,"air"),exact(metadata!I99,"built environment"),exact(metadata!I99,"host-associated"),exact(metadata!I99,"human-associated"),exact(metadata!I99,"human-skin"),exact(metadata!I99,"human-oral"),exact(metadata!I99,"human-gut"),exact(metadata!I99,"human-vaginal"),exact(metadata!I99,"microbial mat/biofilm"),exact(metadata!I99,"misc environment"),exact(metadata!I99,"plant-associated"),exact(metadata!I99,"sediment"),exact(metadata!I99,"soil"),exact(metadata!I99,"wastewater/sludge"),exact(metadata!I99,"water"))))</f>
        <v>0</v>
      </c>
      <c r="AJ99">
        <f>IF(metadata!J99="",FALSE,TRUE)</f>
        <v>0</v>
      </c>
      <c r="AK99">
        <f>OR(AND(IF(metadata!K99="",FALSE,TRUE),OR(exact(metadata!K99,"missing: not collected"),exact(metadata!K99,"missing: not provided"),exact(metadata!K99,"missing: restricted access"))),AND(IF(metadata!K99="",FALSE,ISNUMBER(VALUE(metadata!K99))),metadata!K99&gt;=-90.00,metadata!K99&lt;=90.00))</f>
        <v>0</v>
      </c>
      <c r="AL99">
        <f>OR(AND(IF(metadata!L99="",FALSE,TRUE),OR(exact(metadata!L99,"missing: not collected"),exact(metadata!L99,"missing: not provided"),exact(metadata!L99,"missing: restricted access"))),AND(IF(metadata!L99="",FALSE,ISNUMBER(VALUE(metadata!L99))),metadata!L99&gt;=-180.00,metadata!L99&lt;=180.00))</f>
        <v>0</v>
      </c>
      <c r="AM99">
        <f>IF(metadata!M99="",FALSE,TRUE)</f>
        <v>0</v>
      </c>
      <c r="AN99">
        <f>OR(AND(IF(metadata!N99="",FALSE,TRUE),OR(exact(metadata!N99,"missing: not collected"),exact(metadata!N99,"missing: not provided"),exact(metadata!N99,"missing: restricted access"))),AND(IF(metadata!N99="",FALSE,TRUE),OR(exact(metadata!N99,"TRUE"),exact(metadata!N99,"FALSE"))))</f>
        <v>0</v>
      </c>
      <c r="AO99">
        <f>IF(metadata!O99="",FALSE,TRUE)</f>
        <v>0</v>
      </c>
      <c r="AP99">
        <f>OR(AND(IF(metadata!P99="",FALSE,TRUE),OR(exact(metadata!P99,"missing: not collected"),exact(metadata!P99,"missing: not provided"))),AND(IF(metadata!P99="",FALSE,IF(ISERROR(INT(metadata!P99)),FALSE,INT(metadata!P99)=metadata!P99)),metadata!P99&gt;0))</f>
        <v>0</v>
      </c>
      <c r="AQ99">
        <f>IF(metadata!Q99="",FALSE,TRUE)</f>
        <v>0</v>
      </c>
    </row>
    <row r="100" spans="1:43">
      <c r="A100" s="5">
        <f>IF(B100=" "," ",HYPERLINK(CONCATENATE("#metadata!",ADDRESS(INDEX($W$2:$W$1001,MATCH(ROWS($U$2:U100),$U$2:$U$1001,0),0),1)),INDEX($Z$2:$Z$1001,MATCH(ROWS($U$2:U100),$U$2:$U$1001,0),0)))</f>
        <v>0</v>
      </c>
      <c r="B100" s="4">
        <f>IF(OR(INDEX($V$2:$V$1001,MATCH(ROWS($U$2:U100),$U$2:$U$1001,0),1)&gt;=100000,INDEX($AB$1005:$AQ$1005,1,MATCH(COLUMNS($AB$1006:AB1006),$AB$1006:$AQ$1006,0))&gt;=100000), " ",IF(INDEX($AB$2:$AQ$1001,MATCH(ROWS($U$2:U100),$U$2:$U$1001,0),MATCH(COLUMNS($AB$1006:AB1006),$AB$1006:$AQ$1006,0)), HYPERLINK("#",""), HYPERLINK(CONCATENATE("#metadata!", ADDRESS(INDEX($W$2:$W$1001,MATCH(ROWS($U$2:U100),$U$2:$U$1001,0),0), INDEX($AB$1004:$AQ$1004,1,MATCH(COLUMNS($AB$1006:AB1006),$AB$1006:$AQ$1006,0)))),"Fix")))</f>
        <v>0</v>
      </c>
      <c r="C100" s="4">
        <f>IF(OR(INDEX($V$2:$V$1001,MATCH(ROWS($U$2:U100),$U$2:$U$1001,0),1)&gt;=100000,INDEX($AB$1005:$AQ$1005,1,MATCH(COLUMNS($AB$1006:AC1006),$AB$1006:$AQ$1006,0))&gt;=100000), " ",IF(INDEX($AB$2:$AQ$1001,MATCH(ROWS($U$2:U100),$U$2:$U$1001,0),MATCH(COLUMNS($AB$1006:AC1006),$AB$1006:$AQ$1006,0)), HYPERLINK("#",""), HYPERLINK(CONCATENATE("#metadata!", ADDRESS(INDEX($W$2:$W$1001,MATCH(ROWS($U$2:U100),$U$2:$U$1001,0),0), INDEX($AB$1004:$AQ$1004,1,MATCH(COLUMNS($AB$1006:AC1006),$AB$1006:$AQ$1006,0)))),"Fix")))</f>
        <v>0</v>
      </c>
      <c r="D100" s="4">
        <f>IF(OR(INDEX($V$2:$V$1001,MATCH(ROWS($U$2:U100),$U$2:$U$1001,0),1)&gt;=100000,INDEX($AB$1005:$AQ$1005,1,MATCH(COLUMNS($AB$1006:AD1006),$AB$1006:$AQ$1006,0))&gt;=100000), " ",IF(INDEX($AB$2:$AQ$1001,MATCH(ROWS($U$2:U100),$U$2:$U$1001,0),MATCH(COLUMNS($AB$1006:AD1006),$AB$1006:$AQ$1006,0)), HYPERLINK("#",""), HYPERLINK(CONCATENATE("#metadata!", ADDRESS(INDEX($W$2:$W$1001,MATCH(ROWS($U$2:U100),$U$2:$U$1001,0),0), INDEX($AB$1004:$AQ$1004,1,MATCH(COLUMNS($AB$1006:AD1006),$AB$1006:$AQ$1006,0)))),"Fix")))</f>
        <v>0</v>
      </c>
      <c r="E100" s="4">
        <f>IF(OR(INDEX($V$2:$V$1001,MATCH(ROWS($U$2:U100),$U$2:$U$1001,0),1)&gt;=100000,INDEX($AB$1005:$AQ$1005,1,MATCH(COLUMNS($AB$1006:AE1006),$AB$1006:$AQ$1006,0))&gt;=100000), " ",IF(INDEX($AB$2:$AQ$1001,MATCH(ROWS($U$2:U100),$U$2:$U$1001,0),MATCH(COLUMNS($AB$1006:AE1006),$AB$1006:$AQ$1006,0)), HYPERLINK("#",""), HYPERLINK(CONCATENATE("#metadata!", ADDRESS(INDEX($W$2:$W$1001,MATCH(ROWS($U$2:U100),$U$2:$U$1001,0),0), INDEX($AB$1004:$AQ$1004,1,MATCH(COLUMNS($AB$1006:AE1006),$AB$1006:$AQ$1006,0)))),"Fix")))</f>
        <v>0</v>
      </c>
      <c r="F100" s="4">
        <f>IF(OR(INDEX($V$2:$V$1001,MATCH(ROWS($U$2:U100),$U$2:$U$1001,0),1)&gt;=100000,INDEX($AB$1005:$AQ$1005,1,MATCH(COLUMNS($AB$1006:AF1006),$AB$1006:$AQ$1006,0))&gt;=100000), " ",IF(INDEX($AB$2:$AQ$1001,MATCH(ROWS($U$2:U100),$U$2:$U$1001,0),MATCH(COLUMNS($AB$1006:AF1006),$AB$1006:$AQ$1006,0)), HYPERLINK("#",""), HYPERLINK(CONCATENATE("#metadata!", ADDRESS(INDEX($W$2:$W$1001,MATCH(ROWS($U$2:U100),$U$2:$U$1001,0),0), INDEX($AB$1004:$AQ$1004,1,MATCH(COLUMNS($AB$1006:AF1006),$AB$1006:$AQ$1006,0)))),"Fix")))</f>
        <v>0</v>
      </c>
      <c r="G100" s="4">
        <f>IF(OR(INDEX($V$2:$V$1001,MATCH(ROWS($U$2:U100),$U$2:$U$1001,0),1)&gt;=100000,INDEX($AB$1005:$AQ$1005,1,MATCH(COLUMNS($AB$1006:AG1006),$AB$1006:$AQ$1006,0))&gt;=100000), " ",IF(INDEX($AB$2:$AQ$1001,MATCH(ROWS($U$2:U100),$U$2:$U$1001,0),MATCH(COLUMNS($AB$1006:AG1006),$AB$1006:$AQ$1006,0)), HYPERLINK("#",""), HYPERLINK(CONCATENATE("#metadata!", ADDRESS(INDEX($W$2:$W$1001,MATCH(ROWS($U$2:U100),$U$2:$U$1001,0),0), INDEX($AB$1004:$AQ$1004,1,MATCH(COLUMNS($AB$1006:AG1006),$AB$1006:$AQ$1006,0)))),"Fix")))</f>
        <v>0</v>
      </c>
      <c r="H100" s="4">
        <f>IF(OR(INDEX($V$2:$V$1001,MATCH(ROWS($U$2:U100),$U$2:$U$1001,0),1)&gt;=100000,INDEX($AB$1005:$AQ$1005,1,MATCH(COLUMNS($AB$1006:AH1006),$AB$1006:$AQ$1006,0))&gt;=100000), " ",IF(INDEX($AB$2:$AQ$1001,MATCH(ROWS($U$2:U100),$U$2:$U$1001,0),MATCH(COLUMNS($AB$1006:AH1006),$AB$1006:$AQ$1006,0)), HYPERLINK("#",""), HYPERLINK(CONCATENATE("#metadata!", ADDRESS(INDEX($W$2:$W$1001,MATCH(ROWS($U$2:U100),$U$2:$U$1001,0),0), INDEX($AB$1004:$AQ$1004,1,MATCH(COLUMNS($AB$1006:AH1006),$AB$1006:$AQ$1006,0)))),"Fix")))</f>
        <v>0</v>
      </c>
      <c r="I100" s="4">
        <f>IF(OR(INDEX($V$2:$V$1001,MATCH(ROWS($U$2:U100),$U$2:$U$1001,0),1)&gt;=100000,INDEX($AB$1005:$AQ$1005,1,MATCH(COLUMNS($AB$1006:AI1006),$AB$1006:$AQ$1006,0))&gt;=100000), " ",IF(INDEX($AB$2:$AQ$1001,MATCH(ROWS($U$2:U100),$U$2:$U$1001,0),MATCH(COLUMNS($AB$1006:AI1006),$AB$1006:$AQ$1006,0)), HYPERLINK("#",""), HYPERLINK(CONCATENATE("#metadata!", ADDRESS(INDEX($W$2:$W$1001,MATCH(ROWS($U$2:U100),$U$2:$U$1001,0),0), INDEX($AB$1004:$AQ$1004,1,MATCH(COLUMNS($AB$1006:AI1006),$AB$1006:$AQ$1006,0)))),"Fix")))</f>
        <v>0</v>
      </c>
      <c r="J100" s="4">
        <f>IF(OR(INDEX($V$2:$V$1001,MATCH(ROWS($U$2:U100),$U$2:$U$1001,0),1)&gt;=100000,INDEX($AB$1005:$AQ$1005,1,MATCH(COLUMNS($AB$1006:AJ1006),$AB$1006:$AQ$1006,0))&gt;=100000), " ",IF(INDEX($AB$2:$AQ$1001,MATCH(ROWS($U$2:U100),$U$2:$U$1001,0),MATCH(COLUMNS($AB$1006:AJ1006),$AB$1006:$AQ$1006,0)), HYPERLINK("#",""), HYPERLINK(CONCATENATE("#metadata!", ADDRESS(INDEX($W$2:$W$1001,MATCH(ROWS($U$2:U100),$U$2:$U$1001,0),0), INDEX($AB$1004:$AQ$1004,1,MATCH(COLUMNS($AB$1006:AJ1006),$AB$1006:$AQ$1006,0)))),"Fix")))</f>
        <v>0</v>
      </c>
      <c r="K100" s="4">
        <f>IF(OR(INDEX($V$2:$V$1001,MATCH(ROWS($U$2:U100),$U$2:$U$1001,0),1)&gt;=100000,INDEX($AB$1005:$AQ$1005,1,MATCH(COLUMNS($AB$1006:AK1006),$AB$1006:$AQ$1006,0))&gt;=100000), " ",IF(INDEX($AB$2:$AQ$1001,MATCH(ROWS($U$2:U100),$U$2:$U$1001,0),MATCH(COLUMNS($AB$1006:AK1006),$AB$1006:$AQ$1006,0)), HYPERLINK("#",""), HYPERLINK(CONCATENATE("#metadata!", ADDRESS(INDEX($W$2:$W$1001,MATCH(ROWS($U$2:U100),$U$2:$U$1001,0),0), INDEX($AB$1004:$AQ$1004,1,MATCH(COLUMNS($AB$1006:AK1006),$AB$1006:$AQ$1006,0)))),"Fix")))</f>
        <v>0</v>
      </c>
      <c r="L100" s="4">
        <f>IF(OR(INDEX($V$2:$V$1001,MATCH(ROWS($U$2:U100),$U$2:$U$1001,0),1)&gt;=100000,INDEX($AB$1005:$AQ$1005,1,MATCH(COLUMNS($AB$1006:AL1006),$AB$1006:$AQ$1006,0))&gt;=100000), " ",IF(INDEX($AB$2:$AQ$1001,MATCH(ROWS($U$2:U100),$U$2:$U$1001,0),MATCH(COLUMNS($AB$1006:AL1006),$AB$1006:$AQ$1006,0)), HYPERLINK("#",""), HYPERLINK(CONCATENATE("#metadata!", ADDRESS(INDEX($W$2:$W$1001,MATCH(ROWS($U$2:U100),$U$2:$U$1001,0),0), INDEX($AB$1004:$AQ$1004,1,MATCH(COLUMNS($AB$1006:AL1006),$AB$1006:$AQ$1006,0)))),"Fix")))</f>
        <v>0</v>
      </c>
      <c r="M100" s="4">
        <f>IF(OR(INDEX($V$2:$V$1001,MATCH(ROWS($U$2:U100),$U$2:$U$1001,0),1)&gt;=100000,INDEX($AB$1005:$AQ$1005,1,MATCH(COLUMNS($AB$1006:AM1006),$AB$1006:$AQ$1006,0))&gt;=100000), " ",IF(INDEX($AB$2:$AQ$1001,MATCH(ROWS($U$2:U100),$U$2:$U$1001,0),MATCH(COLUMNS($AB$1006:AM1006),$AB$1006:$AQ$1006,0)), HYPERLINK("#",""), HYPERLINK(CONCATENATE("#metadata!", ADDRESS(INDEX($W$2:$W$1001,MATCH(ROWS($U$2:U100),$U$2:$U$1001,0),0), INDEX($AB$1004:$AQ$1004,1,MATCH(COLUMNS($AB$1006:AM1006),$AB$1006:$AQ$1006,0)))),"Fix")))</f>
        <v>0</v>
      </c>
      <c r="N100" s="4">
        <f>IF(OR(INDEX($V$2:$V$1001,MATCH(ROWS($U$2:U100),$U$2:$U$1001,0),1)&gt;=100000,INDEX($AB$1005:$AQ$1005,1,MATCH(COLUMNS($AB$1006:AN1006),$AB$1006:$AQ$1006,0))&gt;=100000), " ",IF(INDEX($AB$2:$AQ$1001,MATCH(ROWS($U$2:U100),$U$2:$U$1001,0),MATCH(COLUMNS($AB$1006:AN1006),$AB$1006:$AQ$1006,0)), HYPERLINK("#",""), HYPERLINK(CONCATENATE("#metadata!", ADDRESS(INDEX($W$2:$W$1001,MATCH(ROWS($U$2:U100),$U$2:$U$1001,0),0), INDEX($AB$1004:$AQ$1004,1,MATCH(COLUMNS($AB$1006:AN1006),$AB$1006:$AQ$1006,0)))),"Fix")))</f>
        <v>0</v>
      </c>
      <c r="O100" s="4">
        <f>IF(OR(INDEX($V$2:$V$1001,MATCH(ROWS($U$2:U100),$U$2:$U$1001,0),1)&gt;=100000,INDEX($AB$1005:$AQ$1005,1,MATCH(COLUMNS($AB$1006:AO1006),$AB$1006:$AQ$1006,0))&gt;=100000), " ",IF(INDEX($AB$2:$AQ$1001,MATCH(ROWS($U$2:U100),$U$2:$U$1001,0),MATCH(COLUMNS($AB$1006:AO1006),$AB$1006:$AQ$1006,0)), HYPERLINK("#",""), HYPERLINK(CONCATENATE("#metadata!", ADDRESS(INDEX($W$2:$W$1001,MATCH(ROWS($U$2:U100),$U$2:$U$1001,0),0), INDEX($AB$1004:$AQ$1004,1,MATCH(COLUMNS($AB$1006:AO1006),$AB$1006:$AQ$1006,0)))),"Fix")))</f>
        <v>0</v>
      </c>
      <c r="P100" s="4">
        <f>IF(OR(INDEX($V$2:$V$1001,MATCH(ROWS($U$2:U100),$U$2:$U$1001,0),1)&gt;=100000,INDEX($AB$1005:$AQ$1005,1,MATCH(COLUMNS($AB$1006:AP1006),$AB$1006:$AQ$1006,0))&gt;=100000), " ",IF(INDEX($AB$2:$AQ$1001,MATCH(ROWS($U$2:U100),$U$2:$U$1001,0),MATCH(COLUMNS($AB$1006:AP1006),$AB$1006:$AQ$1006,0)), HYPERLINK("#",""), HYPERLINK(CONCATENATE("#metadata!", ADDRESS(INDEX($W$2:$W$1001,MATCH(ROWS($U$2:U100),$U$2:$U$1001,0),0), INDEX($AB$1004:$AQ$1004,1,MATCH(COLUMNS($AB$1006:AP1006),$AB$1006:$AQ$1006,0)))),"Fix")))</f>
        <v>0</v>
      </c>
      <c r="Q100" s="4">
        <f>IF(OR(INDEX($V$2:$V$1001,MATCH(ROWS($U$2:U100),$U$2:$U$1001,0),1)&gt;=100000,INDEX($AB$1005:$AQ$1005,1,MATCH(COLUMNS($AB$1006:AQ1006),$AB$1006:$AQ$1006,0))&gt;=100000), " ",IF(INDEX($AB$2:$AQ$1001,MATCH(ROWS($U$2:U100),$U$2:$U$1001,0),MATCH(COLUMNS($AB$1006:AQ1006),$AB$1006:$AQ$1006,0)), HYPERLINK("#",""), HYPERLINK(CONCATENATE("#metadata!", ADDRESS(INDEX($W$2:$W$1001,MATCH(ROWS($U$2:U100),$U$2:$U$1001,0),0), INDEX($AB$1004:$AQ$1004,1,MATCH(COLUMNS($AB$1006:AQ1006),$AB$1006:$AQ$1006,0)))),"Fix")))</f>
        <v>0</v>
      </c>
      <c r="U100">
        <v>0</v>
      </c>
      <c r="V100">
        <v>0</v>
      </c>
      <c r="W100">
        <v>0</v>
      </c>
      <c r="X100">
        <f>IF(Y100,TRUE,AND(AB100:AQ100))</f>
        <v>0</v>
      </c>
      <c r="Y100">
        <f>COUNTBLANK(metadata!B100:Q100)=COLUMNS(metadata!B100:Q100)</f>
        <v>0</v>
      </c>
      <c r="Z100">
        <v>0</v>
      </c>
      <c r="AB100">
        <f>AND(IF(metadata!B100="",FALSE,TRUE),COUNTIF(metadata!B:B, metadata!B100) = 1,NOT(ISERROR(SUMPRODUCT(SEARCH(MID(metadata!B100,ROW(INDIRECT("1:"&amp;LEN(metadata!B100))), 1),"0123456789abcdefghijklmnopqrstuvwxyzABCDEFGHIJKLMNOPQRSTUVWXYZ.")))))</f>
        <v>0</v>
      </c>
      <c r="AC100">
        <f>OR(AND(IF(metadata!C100="",FALSE,TRUE),OR(exact(metadata!C100,"missing: not collected"),exact(metadata!C100,"missing: not provided"),exact(metadata!C100,"missing: restricted access"))),AND(IF(metadata!C100="",FALSE,TRUE),AND(AND(IFERROR(INT(LEFT(metadata!C100,4))&gt;1900,FALSE),IFERROR(INT(LEFT(metadata!C100,4))&lt;=YEAR(NOW()),FALSE)), OR(MID(metadata!C100,5,1)="", AND(AND(MID(metadata!C100,5,1)="-",IFERROR(INT(MID(metadata!C100,6,1))&gt;=0,FALSE),IFERROR(INT(MID(metadata!C100,6,1))&lt;=1,FALSE),NOT(MID(metadata!C100,7,1)=""),IFERROR(INT(MID(metadata!C100,6,2))&gt;=1,FALSE),IFERROR(INT(MID(metadata!C100,6,2))&lt;=12,FALSE)), OR(MID(metadata!C100,8,1)="", AND(AND(MID(metadata!C100,8,1)="-",IFERROR(INT(MID(metadata!C100,9,1))&gt;=0,FALSE),IFERROR(INT(MID(metadata!C100,9,1))&lt;=3,FALSE),NOT(MID(metadata!C100,10,1)=""),IFERROR(INT(MID(metadata!C100,9,2))&gt;=1,FALSE),IFERROR(INT(MID(metadata!C100,9,2))&lt;=31,FALSE)), OR(MID(metadata!C100,11,1)="", AND(AND(MID(metadata!C100,11,1)=" ",IFERROR(INT(MID(metadata!C100,12,1))&gt;=0,FALSE),IFERROR(INT(MID(metadata!C100,12,1))&lt;=2,FALSE),NOT(MID(metadata!C100,13,1)=""),IFERROR(INT(MID(metadata!C100,12,2))&gt;=0,FALSE),IFERROR(INT(MID(metadata!C100,12,2))&lt;=23,FALSE)), OR(MID(metadata!C100,14,1)="", AND(AND(MID(metadata!C100,14,1)=":",IFERROR(INT(MID(metadata!C100,15,1))&gt;=0,FALSE),IFERROR(INT(MID(metadata!C100,15,1))&lt;=5,FALSE),NOT(MID(metadata!C100,16,1)=""),IFERROR(INT(MID(metadata!C100,15,2))&gt;=0,FALSE),IFERROR(INT(MID(metadata!C100,15,2))&lt;=59,FALSE)), OR(MID(metadata!C100,17,1)="", AND(AND(MID(metadata!C100,17,1)=":",IFERROR(INT(MID(metadata!C100,18,1))&gt;=0,FALSE),IFERROR(INT(MID(metadata!C100,18,1))&lt;=5,FALSE),NOT(MID(metadata!C100,19,1)=""),IFERROR(INT(MID(metadata!C100,18,2))&gt;=0,FALSE),IFERROR(INT(MID(metadata!C100,18,2))&lt;=59,FALSE)), LEN(metadata!C100)&lt;=19)))))))))))))</f>
        <v>0</v>
      </c>
      <c r="AD100">
        <f>IF(metadata!D100="",FALSE,TRUE)</f>
        <v>0</v>
      </c>
      <c r="AE100">
        <f>OR(AND(IF(metadata!E100="",FALSE,TRUE),OR(exact(metadata!E100,"missing: not collected"),exact(metadata!E100,"missing: not provided"))),AND(IF(metadata!E100="",FALSE,TRUE),OR(exact(metadata!E100,"TRUE"),exact(metadata!E100,"FALSE"))))</f>
        <v>0</v>
      </c>
      <c r="AF100">
        <f>IF(metadata!F100="",FALSE,TRUE)</f>
        <v>0</v>
      </c>
      <c r="AG100">
        <f>IF(metadata!G100="",FALSE,TRUE)</f>
        <v>0</v>
      </c>
      <c r="AH100">
        <f>IF(metadata!H100="",FALSE,TRUE)</f>
        <v>0</v>
      </c>
      <c r="AI100">
        <f>OR(AND(IF(metadata!I100="",FALSE,TRUE),OR(exact(metadata!I100,"missing: not collected"),exact(metadata!I100,"missing: not provided"),exact(metadata!I100,"missing: restricted access"))),AND(IF(metadata!I100="",FALSE,TRUE),OR(exact(metadata!I100,"air"),exact(metadata!I100,"built environment"),exact(metadata!I100,"host-associated"),exact(metadata!I100,"human-associated"),exact(metadata!I100,"human-skin"),exact(metadata!I100,"human-oral"),exact(metadata!I100,"human-gut"),exact(metadata!I100,"human-vaginal"),exact(metadata!I100,"microbial mat/biofilm"),exact(metadata!I100,"misc environment"),exact(metadata!I100,"plant-associated"),exact(metadata!I100,"sediment"),exact(metadata!I100,"soil"),exact(metadata!I100,"wastewater/sludge"),exact(metadata!I100,"water"))))</f>
        <v>0</v>
      </c>
      <c r="AJ100">
        <f>IF(metadata!J100="",FALSE,TRUE)</f>
        <v>0</v>
      </c>
      <c r="AK100">
        <f>OR(AND(IF(metadata!K100="",FALSE,TRUE),OR(exact(metadata!K100,"missing: not collected"),exact(metadata!K100,"missing: not provided"),exact(metadata!K100,"missing: restricted access"))),AND(IF(metadata!K100="",FALSE,ISNUMBER(VALUE(metadata!K100))),metadata!K100&gt;=-90.00,metadata!K100&lt;=90.00))</f>
        <v>0</v>
      </c>
      <c r="AL100">
        <f>OR(AND(IF(metadata!L100="",FALSE,TRUE),OR(exact(metadata!L100,"missing: not collected"),exact(metadata!L100,"missing: not provided"),exact(metadata!L100,"missing: restricted access"))),AND(IF(metadata!L100="",FALSE,ISNUMBER(VALUE(metadata!L100))),metadata!L100&gt;=-180.00,metadata!L100&lt;=180.00))</f>
        <v>0</v>
      </c>
      <c r="AM100">
        <f>IF(metadata!M100="",FALSE,TRUE)</f>
        <v>0</v>
      </c>
      <c r="AN100">
        <f>OR(AND(IF(metadata!N100="",FALSE,TRUE),OR(exact(metadata!N100,"missing: not collected"),exact(metadata!N100,"missing: not provided"),exact(metadata!N100,"missing: restricted access"))),AND(IF(metadata!N100="",FALSE,TRUE),OR(exact(metadata!N100,"TRUE"),exact(metadata!N100,"FALSE"))))</f>
        <v>0</v>
      </c>
      <c r="AO100">
        <f>IF(metadata!O100="",FALSE,TRUE)</f>
        <v>0</v>
      </c>
      <c r="AP100">
        <f>OR(AND(IF(metadata!P100="",FALSE,TRUE),OR(exact(metadata!P100,"missing: not collected"),exact(metadata!P100,"missing: not provided"))),AND(IF(metadata!P100="",FALSE,IF(ISERROR(INT(metadata!P100)),FALSE,INT(metadata!P100)=metadata!P100)),metadata!P100&gt;0))</f>
        <v>0</v>
      </c>
      <c r="AQ100">
        <f>IF(metadata!Q100="",FALSE,TRUE)</f>
        <v>0</v>
      </c>
    </row>
    <row r="101" spans="1:43">
      <c r="A101" s="5">
        <f>IF(B101=" "," ",HYPERLINK(CONCATENATE("#metadata!",ADDRESS(INDEX($W$2:$W$1001,MATCH(ROWS($U$2:U101),$U$2:$U$1001,0),0),1)),INDEX($Z$2:$Z$1001,MATCH(ROWS($U$2:U101),$U$2:$U$1001,0),0)))</f>
        <v>0</v>
      </c>
      <c r="B101" s="4">
        <f>IF(OR(INDEX($V$2:$V$1001,MATCH(ROWS($U$2:U101),$U$2:$U$1001,0),1)&gt;=100000,INDEX($AB$1005:$AQ$1005,1,MATCH(COLUMNS($AB$1006:AB1006),$AB$1006:$AQ$1006,0))&gt;=100000), " ",IF(INDEX($AB$2:$AQ$1001,MATCH(ROWS($U$2:U101),$U$2:$U$1001,0),MATCH(COLUMNS($AB$1006:AB1006),$AB$1006:$AQ$1006,0)), HYPERLINK("#",""), HYPERLINK(CONCATENATE("#metadata!", ADDRESS(INDEX($W$2:$W$1001,MATCH(ROWS($U$2:U101),$U$2:$U$1001,0),0), INDEX($AB$1004:$AQ$1004,1,MATCH(COLUMNS($AB$1006:AB1006),$AB$1006:$AQ$1006,0)))),"Fix")))</f>
        <v>0</v>
      </c>
      <c r="C101" s="4">
        <f>IF(OR(INDEX($V$2:$V$1001,MATCH(ROWS($U$2:U101),$U$2:$U$1001,0),1)&gt;=100000,INDEX($AB$1005:$AQ$1005,1,MATCH(COLUMNS($AB$1006:AC1006),$AB$1006:$AQ$1006,0))&gt;=100000), " ",IF(INDEX($AB$2:$AQ$1001,MATCH(ROWS($U$2:U101),$U$2:$U$1001,0),MATCH(COLUMNS($AB$1006:AC1006),$AB$1006:$AQ$1006,0)), HYPERLINK("#",""), HYPERLINK(CONCATENATE("#metadata!", ADDRESS(INDEX($W$2:$W$1001,MATCH(ROWS($U$2:U101),$U$2:$U$1001,0),0), INDEX($AB$1004:$AQ$1004,1,MATCH(COLUMNS($AB$1006:AC1006),$AB$1006:$AQ$1006,0)))),"Fix")))</f>
        <v>0</v>
      </c>
      <c r="D101" s="4">
        <f>IF(OR(INDEX($V$2:$V$1001,MATCH(ROWS($U$2:U101),$U$2:$U$1001,0),1)&gt;=100000,INDEX($AB$1005:$AQ$1005,1,MATCH(COLUMNS($AB$1006:AD1006),$AB$1006:$AQ$1006,0))&gt;=100000), " ",IF(INDEX($AB$2:$AQ$1001,MATCH(ROWS($U$2:U101),$U$2:$U$1001,0),MATCH(COLUMNS($AB$1006:AD1006),$AB$1006:$AQ$1006,0)), HYPERLINK("#",""), HYPERLINK(CONCATENATE("#metadata!", ADDRESS(INDEX($W$2:$W$1001,MATCH(ROWS($U$2:U101),$U$2:$U$1001,0),0), INDEX($AB$1004:$AQ$1004,1,MATCH(COLUMNS($AB$1006:AD1006),$AB$1006:$AQ$1006,0)))),"Fix")))</f>
        <v>0</v>
      </c>
      <c r="E101" s="4">
        <f>IF(OR(INDEX($V$2:$V$1001,MATCH(ROWS($U$2:U101),$U$2:$U$1001,0),1)&gt;=100000,INDEX($AB$1005:$AQ$1005,1,MATCH(COLUMNS($AB$1006:AE1006),$AB$1006:$AQ$1006,0))&gt;=100000), " ",IF(INDEX($AB$2:$AQ$1001,MATCH(ROWS($U$2:U101),$U$2:$U$1001,0),MATCH(COLUMNS($AB$1006:AE1006),$AB$1006:$AQ$1006,0)), HYPERLINK("#",""), HYPERLINK(CONCATENATE("#metadata!", ADDRESS(INDEX($W$2:$W$1001,MATCH(ROWS($U$2:U101),$U$2:$U$1001,0),0), INDEX($AB$1004:$AQ$1004,1,MATCH(COLUMNS($AB$1006:AE1006),$AB$1006:$AQ$1006,0)))),"Fix")))</f>
        <v>0</v>
      </c>
      <c r="F101" s="4">
        <f>IF(OR(INDEX($V$2:$V$1001,MATCH(ROWS($U$2:U101),$U$2:$U$1001,0),1)&gt;=100000,INDEX($AB$1005:$AQ$1005,1,MATCH(COLUMNS($AB$1006:AF1006),$AB$1006:$AQ$1006,0))&gt;=100000), " ",IF(INDEX($AB$2:$AQ$1001,MATCH(ROWS($U$2:U101),$U$2:$U$1001,0),MATCH(COLUMNS($AB$1006:AF1006),$AB$1006:$AQ$1006,0)), HYPERLINK("#",""), HYPERLINK(CONCATENATE("#metadata!", ADDRESS(INDEX($W$2:$W$1001,MATCH(ROWS($U$2:U101),$U$2:$U$1001,0),0), INDEX($AB$1004:$AQ$1004,1,MATCH(COLUMNS($AB$1006:AF1006),$AB$1006:$AQ$1006,0)))),"Fix")))</f>
        <v>0</v>
      </c>
      <c r="G101" s="4">
        <f>IF(OR(INDEX($V$2:$V$1001,MATCH(ROWS($U$2:U101),$U$2:$U$1001,0),1)&gt;=100000,INDEX($AB$1005:$AQ$1005,1,MATCH(COLUMNS($AB$1006:AG1006),$AB$1006:$AQ$1006,0))&gt;=100000), " ",IF(INDEX($AB$2:$AQ$1001,MATCH(ROWS($U$2:U101),$U$2:$U$1001,0),MATCH(COLUMNS($AB$1006:AG1006),$AB$1006:$AQ$1006,0)), HYPERLINK("#",""), HYPERLINK(CONCATENATE("#metadata!", ADDRESS(INDEX($W$2:$W$1001,MATCH(ROWS($U$2:U101),$U$2:$U$1001,0),0), INDEX($AB$1004:$AQ$1004,1,MATCH(COLUMNS($AB$1006:AG1006),$AB$1006:$AQ$1006,0)))),"Fix")))</f>
        <v>0</v>
      </c>
      <c r="H101" s="4">
        <f>IF(OR(INDEX($V$2:$V$1001,MATCH(ROWS($U$2:U101),$U$2:$U$1001,0),1)&gt;=100000,INDEX($AB$1005:$AQ$1005,1,MATCH(COLUMNS($AB$1006:AH1006),$AB$1006:$AQ$1006,0))&gt;=100000), " ",IF(INDEX($AB$2:$AQ$1001,MATCH(ROWS($U$2:U101),$U$2:$U$1001,0),MATCH(COLUMNS($AB$1006:AH1006),$AB$1006:$AQ$1006,0)), HYPERLINK("#",""), HYPERLINK(CONCATENATE("#metadata!", ADDRESS(INDEX($W$2:$W$1001,MATCH(ROWS($U$2:U101),$U$2:$U$1001,0),0), INDEX($AB$1004:$AQ$1004,1,MATCH(COLUMNS($AB$1006:AH1006),$AB$1006:$AQ$1006,0)))),"Fix")))</f>
        <v>0</v>
      </c>
      <c r="I101" s="4">
        <f>IF(OR(INDEX($V$2:$V$1001,MATCH(ROWS($U$2:U101),$U$2:$U$1001,0),1)&gt;=100000,INDEX($AB$1005:$AQ$1005,1,MATCH(COLUMNS($AB$1006:AI1006),$AB$1006:$AQ$1006,0))&gt;=100000), " ",IF(INDEX($AB$2:$AQ$1001,MATCH(ROWS($U$2:U101),$U$2:$U$1001,0),MATCH(COLUMNS($AB$1006:AI1006),$AB$1006:$AQ$1006,0)), HYPERLINK("#",""), HYPERLINK(CONCATENATE("#metadata!", ADDRESS(INDEX($W$2:$W$1001,MATCH(ROWS($U$2:U101),$U$2:$U$1001,0),0), INDEX($AB$1004:$AQ$1004,1,MATCH(COLUMNS($AB$1006:AI1006),$AB$1006:$AQ$1006,0)))),"Fix")))</f>
        <v>0</v>
      </c>
      <c r="J101" s="4">
        <f>IF(OR(INDEX($V$2:$V$1001,MATCH(ROWS($U$2:U101),$U$2:$U$1001,0),1)&gt;=100000,INDEX($AB$1005:$AQ$1005,1,MATCH(COLUMNS($AB$1006:AJ1006),$AB$1006:$AQ$1006,0))&gt;=100000), " ",IF(INDEX($AB$2:$AQ$1001,MATCH(ROWS($U$2:U101),$U$2:$U$1001,0),MATCH(COLUMNS($AB$1006:AJ1006),$AB$1006:$AQ$1006,0)), HYPERLINK("#",""), HYPERLINK(CONCATENATE("#metadata!", ADDRESS(INDEX($W$2:$W$1001,MATCH(ROWS($U$2:U101),$U$2:$U$1001,0),0), INDEX($AB$1004:$AQ$1004,1,MATCH(COLUMNS($AB$1006:AJ1006),$AB$1006:$AQ$1006,0)))),"Fix")))</f>
        <v>0</v>
      </c>
      <c r="K101" s="4">
        <f>IF(OR(INDEX($V$2:$V$1001,MATCH(ROWS($U$2:U101),$U$2:$U$1001,0),1)&gt;=100000,INDEX($AB$1005:$AQ$1005,1,MATCH(COLUMNS($AB$1006:AK1006),$AB$1006:$AQ$1006,0))&gt;=100000), " ",IF(INDEX($AB$2:$AQ$1001,MATCH(ROWS($U$2:U101),$U$2:$U$1001,0),MATCH(COLUMNS($AB$1006:AK1006),$AB$1006:$AQ$1006,0)), HYPERLINK("#",""), HYPERLINK(CONCATENATE("#metadata!", ADDRESS(INDEX($W$2:$W$1001,MATCH(ROWS($U$2:U101),$U$2:$U$1001,0),0), INDEX($AB$1004:$AQ$1004,1,MATCH(COLUMNS($AB$1006:AK1006),$AB$1006:$AQ$1006,0)))),"Fix")))</f>
        <v>0</v>
      </c>
      <c r="L101" s="4">
        <f>IF(OR(INDEX($V$2:$V$1001,MATCH(ROWS($U$2:U101),$U$2:$U$1001,0),1)&gt;=100000,INDEX($AB$1005:$AQ$1005,1,MATCH(COLUMNS($AB$1006:AL1006),$AB$1006:$AQ$1006,0))&gt;=100000), " ",IF(INDEX($AB$2:$AQ$1001,MATCH(ROWS($U$2:U101),$U$2:$U$1001,0),MATCH(COLUMNS($AB$1006:AL1006),$AB$1006:$AQ$1006,0)), HYPERLINK("#",""), HYPERLINK(CONCATENATE("#metadata!", ADDRESS(INDEX($W$2:$W$1001,MATCH(ROWS($U$2:U101),$U$2:$U$1001,0),0), INDEX($AB$1004:$AQ$1004,1,MATCH(COLUMNS($AB$1006:AL1006),$AB$1006:$AQ$1006,0)))),"Fix")))</f>
        <v>0</v>
      </c>
      <c r="M101" s="4">
        <f>IF(OR(INDEX($V$2:$V$1001,MATCH(ROWS($U$2:U101),$U$2:$U$1001,0),1)&gt;=100000,INDEX($AB$1005:$AQ$1005,1,MATCH(COLUMNS($AB$1006:AM1006),$AB$1006:$AQ$1006,0))&gt;=100000), " ",IF(INDEX($AB$2:$AQ$1001,MATCH(ROWS($U$2:U101),$U$2:$U$1001,0),MATCH(COLUMNS($AB$1006:AM1006),$AB$1006:$AQ$1006,0)), HYPERLINK("#",""), HYPERLINK(CONCATENATE("#metadata!", ADDRESS(INDEX($W$2:$W$1001,MATCH(ROWS($U$2:U101),$U$2:$U$1001,0),0), INDEX($AB$1004:$AQ$1004,1,MATCH(COLUMNS($AB$1006:AM1006),$AB$1006:$AQ$1006,0)))),"Fix")))</f>
        <v>0</v>
      </c>
      <c r="N101" s="4">
        <f>IF(OR(INDEX($V$2:$V$1001,MATCH(ROWS($U$2:U101),$U$2:$U$1001,0),1)&gt;=100000,INDEX($AB$1005:$AQ$1005,1,MATCH(COLUMNS($AB$1006:AN1006),$AB$1006:$AQ$1006,0))&gt;=100000), " ",IF(INDEX($AB$2:$AQ$1001,MATCH(ROWS($U$2:U101),$U$2:$U$1001,0),MATCH(COLUMNS($AB$1006:AN1006),$AB$1006:$AQ$1006,0)), HYPERLINK("#",""), HYPERLINK(CONCATENATE("#metadata!", ADDRESS(INDEX($W$2:$W$1001,MATCH(ROWS($U$2:U101),$U$2:$U$1001,0),0), INDEX($AB$1004:$AQ$1004,1,MATCH(COLUMNS($AB$1006:AN1006),$AB$1006:$AQ$1006,0)))),"Fix")))</f>
        <v>0</v>
      </c>
      <c r="O101" s="4">
        <f>IF(OR(INDEX($V$2:$V$1001,MATCH(ROWS($U$2:U101),$U$2:$U$1001,0),1)&gt;=100000,INDEX($AB$1005:$AQ$1005,1,MATCH(COLUMNS($AB$1006:AO1006),$AB$1006:$AQ$1006,0))&gt;=100000), " ",IF(INDEX($AB$2:$AQ$1001,MATCH(ROWS($U$2:U101),$U$2:$U$1001,0),MATCH(COLUMNS($AB$1006:AO1006),$AB$1006:$AQ$1006,0)), HYPERLINK("#",""), HYPERLINK(CONCATENATE("#metadata!", ADDRESS(INDEX($W$2:$W$1001,MATCH(ROWS($U$2:U101),$U$2:$U$1001,0),0), INDEX($AB$1004:$AQ$1004,1,MATCH(COLUMNS($AB$1006:AO1006),$AB$1006:$AQ$1006,0)))),"Fix")))</f>
        <v>0</v>
      </c>
      <c r="P101" s="4">
        <f>IF(OR(INDEX($V$2:$V$1001,MATCH(ROWS($U$2:U101),$U$2:$U$1001,0),1)&gt;=100000,INDEX($AB$1005:$AQ$1005,1,MATCH(COLUMNS($AB$1006:AP1006),$AB$1006:$AQ$1006,0))&gt;=100000), " ",IF(INDEX($AB$2:$AQ$1001,MATCH(ROWS($U$2:U101),$U$2:$U$1001,0),MATCH(COLUMNS($AB$1006:AP1006),$AB$1006:$AQ$1006,0)), HYPERLINK("#",""), HYPERLINK(CONCATENATE("#metadata!", ADDRESS(INDEX($W$2:$W$1001,MATCH(ROWS($U$2:U101),$U$2:$U$1001,0),0), INDEX($AB$1004:$AQ$1004,1,MATCH(COLUMNS($AB$1006:AP1006),$AB$1006:$AQ$1006,0)))),"Fix")))</f>
        <v>0</v>
      </c>
      <c r="Q101" s="4">
        <f>IF(OR(INDEX($V$2:$V$1001,MATCH(ROWS($U$2:U101),$U$2:$U$1001,0),1)&gt;=100000,INDEX($AB$1005:$AQ$1005,1,MATCH(COLUMNS($AB$1006:AQ1006),$AB$1006:$AQ$1006,0))&gt;=100000), " ",IF(INDEX($AB$2:$AQ$1001,MATCH(ROWS($U$2:U101),$U$2:$U$1001,0),MATCH(COLUMNS($AB$1006:AQ1006),$AB$1006:$AQ$1006,0)), HYPERLINK("#",""), HYPERLINK(CONCATENATE("#metadata!", ADDRESS(INDEX($W$2:$W$1001,MATCH(ROWS($U$2:U101),$U$2:$U$1001,0),0), INDEX($AB$1004:$AQ$1004,1,MATCH(COLUMNS($AB$1006:AQ1006),$AB$1006:$AQ$1006,0)))),"Fix")))</f>
        <v>0</v>
      </c>
      <c r="U101">
        <v>0</v>
      </c>
      <c r="V101">
        <v>0</v>
      </c>
      <c r="W101">
        <v>0</v>
      </c>
      <c r="X101">
        <f>IF(Y101,TRUE,AND(AB101:AQ101))</f>
        <v>0</v>
      </c>
      <c r="Y101">
        <f>COUNTBLANK(metadata!B101:Q101)=COLUMNS(metadata!B101:Q101)</f>
        <v>0</v>
      </c>
      <c r="Z101">
        <v>0</v>
      </c>
      <c r="AB101">
        <f>AND(IF(metadata!B101="",FALSE,TRUE),COUNTIF(metadata!B:B, metadata!B101) = 1,NOT(ISERROR(SUMPRODUCT(SEARCH(MID(metadata!B101,ROW(INDIRECT("1:"&amp;LEN(metadata!B101))), 1),"0123456789abcdefghijklmnopqrstuvwxyzABCDEFGHIJKLMNOPQRSTUVWXYZ.")))))</f>
        <v>0</v>
      </c>
      <c r="AC101">
        <f>OR(AND(IF(metadata!C101="",FALSE,TRUE),OR(exact(metadata!C101,"missing: not collected"),exact(metadata!C101,"missing: not provided"),exact(metadata!C101,"missing: restricted access"))),AND(IF(metadata!C101="",FALSE,TRUE),AND(AND(IFERROR(INT(LEFT(metadata!C101,4))&gt;1900,FALSE),IFERROR(INT(LEFT(metadata!C101,4))&lt;=YEAR(NOW()),FALSE)), OR(MID(metadata!C101,5,1)="", AND(AND(MID(metadata!C101,5,1)="-",IFERROR(INT(MID(metadata!C101,6,1))&gt;=0,FALSE),IFERROR(INT(MID(metadata!C101,6,1))&lt;=1,FALSE),NOT(MID(metadata!C101,7,1)=""),IFERROR(INT(MID(metadata!C101,6,2))&gt;=1,FALSE),IFERROR(INT(MID(metadata!C101,6,2))&lt;=12,FALSE)), OR(MID(metadata!C101,8,1)="", AND(AND(MID(metadata!C101,8,1)="-",IFERROR(INT(MID(metadata!C101,9,1))&gt;=0,FALSE),IFERROR(INT(MID(metadata!C101,9,1))&lt;=3,FALSE),NOT(MID(metadata!C101,10,1)=""),IFERROR(INT(MID(metadata!C101,9,2))&gt;=1,FALSE),IFERROR(INT(MID(metadata!C101,9,2))&lt;=31,FALSE)), OR(MID(metadata!C101,11,1)="", AND(AND(MID(metadata!C101,11,1)=" ",IFERROR(INT(MID(metadata!C101,12,1))&gt;=0,FALSE),IFERROR(INT(MID(metadata!C101,12,1))&lt;=2,FALSE),NOT(MID(metadata!C101,13,1)=""),IFERROR(INT(MID(metadata!C101,12,2))&gt;=0,FALSE),IFERROR(INT(MID(metadata!C101,12,2))&lt;=23,FALSE)), OR(MID(metadata!C101,14,1)="", AND(AND(MID(metadata!C101,14,1)=":",IFERROR(INT(MID(metadata!C101,15,1))&gt;=0,FALSE),IFERROR(INT(MID(metadata!C101,15,1))&lt;=5,FALSE),NOT(MID(metadata!C101,16,1)=""),IFERROR(INT(MID(metadata!C101,15,2))&gt;=0,FALSE),IFERROR(INT(MID(metadata!C101,15,2))&lt;=59,FALSE)), OR(MID(metadata!C101,17,1)="", AND(AND(MID(metadata!C101,17,1)=":",IFERROR(INT(MID(metadata!C101,18,1))&gt;=0,FALSE),IFERROR(INT(MID(metadata!C101,18,1))&lt;=5,FALSE),NOT(MID(metadata!C101,19,1)=""),IFERROR(INT(MID(metadata!C101,18,2))&gt;=0,FALSE),IFERROR(INT(MID(metadata!C101,18,2))&lt;=59,FALSE)), LEN(metadata!C101)&lt;=19)))))))))))))</f>
        <v>0</v>
      </c>
      <c r="AD101">
        <f>IF(metadata!D101="",FALSE,TRUE)</f>
        <v>0</v>
      </c>
      <c r="AE101">
        <f>OR(AND(IF(metadata!E101="",FALSE,TRUE),OR(exact(metadata!E101,"missing: not collected"),exact(metadata!E101,"missing: not provided"))),AND(IF(metadata!E101="",FALSE,TRUE),OR(exact(metadata!E101,"TRUE"),exact(metadata!E101,"FALSE"))))</f>
        <v>0</v>
      </c>
      <c r="AF101">
        <f>IF(metadata!F101="",FALSE,TRUE)</f>
        <v>0</v>
      </c>
      <c r="AG101">
        <f>IF(metadata!G101="",FALSE,TRUE)</f>
        <v>0</v>
      </c>
      <c r="AH101">
        <f>IF(metadata!H101="",FALSE,TRUE)</f>
        <v>0</v>
      </c>
      <c r="AI101">
        <f>OR(AND(IF(metadata!I101="",FALSE,TRUE),OR(exact(metadata!I101,"missing: not collected"),exact(metadata!I101,"missing: not provided"),exact(metadata!I101,"missing: restricted access"))),AND(IF(metadata!I101="",FALSE,TRUE),OR(exact(metadata!I101,"air"),exact(metadata!I101,"built environment"),exact(metadata!I101,"host-associated"),exact(metadata!I101,"human-associated"),exact(metadata!I101,"human-skin"),exact(metadata!I101,"human-oral"),exact(metadata!I101,"human-gut"),exact(metadata!I101,"human-vaginal"),exact(metadata!I101,"microbial mat/biofilm"),exact(metadata!I101,"misc environment"),exact(metadata!I101,"plant-associated"),exact(metadata!I101,"sediment"),exact(metadata!I101,"soil"),exact(metadata!I101,"wastewater/sludge"),exact(metadata!I101,"water"))))</f>
        <v>0</v>
      </c>
      <c r="AJ101">
        <f>IF(metadata!J101="",FALSE,TRUE)</f>
        <v>0</v>
      </c>
      <c r="AK101">
        <f>OR(AND(IF(metadata!K101="",FALSE,TRUE),OR(exact(metadata!K101,"missing: not collected"),exact(metadata!K101,"missing: not provided"),exact(metadata!K101,"missing: restricted access"))),AND(IF(metadata!K101="",FALSE,ISNUMBER(VALUE(metadata!K101))),metadata!K101&gt;=-90.00,metadata!K101&lt;=90.00))</f>
        <v>0</v>
      </c>
      <c r="AL101">
        <f>OR(AND(IF(metadata!L101="",FALSE,TRUE),OR(exact(metadata!L101,"missing: not collected"),exact(metadata!L101,"missing: not provided"),exact(metadata!L101,"missing: restricted access"))),AND(IF(metadata!L101="",FALSE,ISNUMBER(VALUE(metadata!L101))),metadata!L101&gt;=-180.00,metadata!L101&lt;=180.00))</f>
        <v>0</v>
      </c>
      <c r="AM101">
        <f>IF(metadata!M101="",FALSE,TRUE)</f>
        <v>0</v>
      </c>
      <c r="AN101">
        <f>OR(AND(IF(metadata!N101="",FALSE,TRUE),OR(exact(metadata!N101,"missing: not collected"),exact(metadata!N101,"missing: not provided"),exact(metadata!N101,"missing: restricted access"))),AND(IF(metadata!N101="",FALSE,TRUE),OR(exact(metadata!N101,"TRUE"),exact(metadata!N101,"FALSE"))))</f>
        <v>0</v>
      </c>
      <c r="AO101">
        <f>IF(metadata!O101="",FALSE,TRUE)</f>
        <v>0</v>
      </c>
      <c r="AP101">
        <f>OR(AND(IF(metadata!P101="",FALSE,TRUE),OR(exact(metadata!P101,"missing: not collected"),exact(metadata!P101,"missing: not provided"))),AND(IF(metadata!P101="",FALSE,IF(ISERROR(INT(metadata!P101)),FALSE,INT(metadata!P101)=metadata!P101)),metadata!P101&gt;0))</f>
        <v>0</v>
      </c>
      <c r="AQ101">
        <f>IF(metadata!Q101="",FALSE,TRUE)</f>
        <v>0</v>
      </c>
    </row>
    <row r="102" spans="1:43">
      <c r="A102" s="5">
        <f>IF(B102=" "," ",HYPERLINK(CONCATENATE("#metadata!",ADDRESS(INDEX($W$2:$W$1001,MATCH(ROWS($U$2:U102),$U$2:$U$1001,0),0),1)),INDEX($Z$2:$Z$1001,MATCH(ROWS($U$2:U102),$U$2:$U$1001,0),0)))</f>
        <v>0</v>
      </c>
      <c r="B102" s="4">
        <f>IF(OR(INDEX($V$2:$V$1001,MATCH(ROWS($U$2:U102),$U$2:$U$1001,0),1)&gt;=100000,INDEX($AB$1005:$AQ$1005,1,MATCH(COLUMNS($AB$1006:AB1006),$AB$1006:$AQ$1006,0))&gt;=100000), " ",IF(INDEX($AB$2:$AQ$1001,MATCH(ROWS($U$2:U102),$U$2:$U$1001,0),MATCH(COLUMNS($AB$1006:AB1006),$AB$1006:$AQ$1006,0)), HYPERLINK("#",""), HYPERLINK(CONCATENATE("#metadata!", ADDRESS(INDEX($W$2:$W$1001,MATCH(ROWS($U$2:U102),$U$2:$U$1001,0),0), INDEX($AB$1004:$AQ$1004,1,MATCH(COLUMNS($AB$1006:AB1006),$AB$1006:$AQ$1006,0)))),"Fix")))</f>
        <v>0</v>
      </c>
      <c r="C102" s="4">
        <f>IF(OR(INDEX($V$2:$V$1001,MATCH(ROWS($U$2:U102),$U$2:$U$1001,0),1)&gt;=100000,INDEX($AB$1005:$AQ$1005,1,MATCH(COLUMNS($AB$1006:AC1006),$AB$1006:$AQ$1006,0))&gt;=100000), " ",IF(INDEX($AB$2:$AQ$1001,MATCH(ROWS($U$2:U102),$U$2:$U$1001,0),MATCH(COLUMNS($AB$1006:AC1006),$AB$1006:$AQ$1006,0)), HYPERLINK("#",""), HYPERLINK(CONCATENATE("#metadata!", ADDRESS(INDEX($W$2:$W$1001,MATCH(ROWS($U$2:U102),$U$2:$U$1001,0),0), INDEX($AB$1004:$AQ$1004,1,MATCH(COLUMNS($AB$1006:AC1006),$AB$1006:$AQ$1006,0)))),"Fix")))</f>
        <v>0</v>
      </c>
      <c r="D102" s="4">
        <f>IF(OR(INDEX($V$2:$V$1001,MATCH(ROWS($U$2:U102),$U$2:$U$1001,0),1)&gt;=100000,INDEX($AB$1005:$AQ$1005,1,MATCH(COLUMNS($AB$1006:AD1006),$AB$1006:$AQ$1006,0))&gt;=100000), " ",IF(INDEX($AB$2:$AQ$1001,MATCH(ROWS($U$2:U102),$U$2:$U$1001,0),MATCH(COLUMNS($AB$1006:AD1006),$AB$1006:$AQ$1006,0)), HYPERLINK("#",""), HYPERLINK(CONCATENATE("#metadata!", ADDRESS(INDEX($W$2:$W$1001,MATCH(ROWS($U$2:U102),$U$2:$U$1001,0),0), INDEX($AB$1004:$AQ$1004,1,MATCH(COLUMNS($AB$1006:AD1006),$AB$1006:$AQ$1006,0)))),"Fix")))</f>
        <v>0</v>
      </c>
      <c r="E102" s="4">
        <f>IF(OR(INDEX($V$2:$V$1001,MATCH(ROWS($U$2:U102),$U$2:$U$1001,0),1)&gt;=100000,INDEX($AB$1005:$AQ$1005,1,MATCH(COLUMNS($AB$1006:AE1006),$AB$1006:$AQ$1006,0))&gt;=100000), " ",IF(INDEX($AB$2:$AQ$1001,MATCH(ROWS($U$2:U102),$U$2:$U$1001,0),MATCH(COLUMNS($AB$1006:AE1006),$AB$1006:$AQ$1006,0)), HYPERLINK("#",""), HYPERLINK(CONCATENATE("#metadata!", ADDRESS(INDEX($W$2:$W$1001,MATCH(ROWS($U$2:U102),$U$2:$U$1001,0),0), INDEX($AB$1004:$AQ$1004,1,MATCH(COLUMNS($AB$1006:AE1006),$AB$1006:$AQ$1006,0)))),"Fix")))</f>
        <v>0</v>
      </c>
      <c r="F102" s="4">
        <f>IF(OR(INDEX($V$2:$V$1001,MATCH(ROWS($U$2:U102),$U$2:$U$1001,0),1)&gt;=100000,INDEX($AB$1005:$AQ$1005,1,MATCH(COLUMNS($AB$1006:AF1006),$AB$1006:$AQ$1006,0))&gt;=100000), " ",IF(INDEX($AB$2:$AQ$1001,MATCH(ROWS($U$2:U102),$U$2:$U$1001,0),MATCH(COLUMNS($AB$1006:AF1006),$AB$1006:$AQ$1006,0)), HYPERLINK("#",""), HYPERLINK(CONCATENATE("#metadata!", ADDRESS(INDEX($W$2:$W$1001,MATCH(ROWS($U$2:U102),$U$2:$U$1001,0),0), INDEX($AB$1004:$AQ$1004,1,MATCH(COLUMNS($AB$1006:AF1006),$AB$1006:$AQ$1006,0)))),"Fix")))</f>
        <v>0</v>
      </c>
      <c r="G102" s="4">
        <f>IF(OR(INDEX($V$2:$V$1001,MATCH(ROWS($U$2:U102),$U$2:$U$1001,0),1)&gt;=100000,INDEX($AB$1005:$AQ$1005,1,MATCH(COLUMNS($AB$1006:AG1006),$AB$1006:$AQ$1006,0))&gt;=100000), " ",IF(INDEX($AB$2:$AQ$1001,MATCH(ROWS($U$2:U102),$U$2:$U$1001,0),MATCH(COLUMNS($AB$1006:AG1006),$AB$1006:$AQ$1006,0)), HYPERLINK("#",""), HYPERLINK(CONCATENATE("#metadata!", ADDRESS(INDEX($W$2:$W$1001,MATCH(ROWS($U$2:U102),$U$2:$U$1001,0),0), INDEX($AB$1004:$AQ$1004,1,MATCH(COLUMNS($AB$1006:AG1006),$AB$1006:$AQ$1006,0)))),"Fix")))</f>
        <v>0</v>
      </c>
      <c r="H102" s="4">
        <f>IF(OR(INDEX($V$2:$V$1001,MATCH(ROWS($U$2:U102),$U$2:$U$1001,0),1)&gt;=100000,INDEX($AB$1005:$AQ$1005,1,MATCH(COLUMNS($AB$1006:AH1006),$AB$1006:$AQ$1006,0))&gt;=100000), " ",IF(INDEX($AB$2:$AQ$1001,MATCH(ROWS($U$2:U102),$U$2:$U$1001,0),MATCH(COLUMNS($AB$1006:AH1006),$AB$1006:$AQ$1006,0)), HYPERLINK("#",""), HYPERLINK(CONCATENATE("#metadata!", ADDRESS(INDEX($W$2:$W$1001,MATCH(ROWS($U$2:U102),$U$2:$U$1001,0),0), INDEX($AB$1004:$AQ$1004,1,MATCH(COLUMNS($AB$1006:AH1006),$AB$1006:$AQ$1006,0)))),"Fix")))</f>
        <v>0</v>
      </c>
      <c r="I102" s="4">
        <f>IF(OR(INDEX($V$2:$V$1001,MATCH(ROWS($U$2:U102),$U$2:$U$1001,0),1)&gt;=100000,INDEX($AB$1005:$AQ$1005,1,MATCH(COLUMNS($AB$1006:AI1006),$AB$1006:$AQ$1006,0))&gt;=100000), " ",IF(INDEX($AB$2:$AQ$1001,MATCH(ROWS($U$2:U102),$U$2:$U$1001,0),MATCH(COLUMNS($AB$1006:AI1006),$AB$1006:$AQ$1006,0)), HYPERLINK("#",""), HYPERLINK(CONCATENATE("#metadata!", ADDRESS(INDEX($W$2:$W$1001,MATCH(ROWS($U$2:U102),$U$2:$U$1001,0),0), INDEX($AB$1004:$AQ$1004,1,MATCH(COLUMNS($AB$1006:AI1006),$AB$1006:$AQ$1006,0)))),"Fix")))</f>
        <v>0</v>
      </c>
      <c r="J102" s="4">
        <f>IF(OR(INDEX($V$2:$V$1001,MATCH(ROWS($U$2:U102),$U$2:$U$1001,0),1)&gt;=100000,INDEX($AB$1005:$AQ$1005,1,MATCH(COLUMNS($AB$1006:AJ1006),$AB$1006:$AQ$1006,0))&gt;=100000), " ",IF(INDEX($AB$2:$AQ$1001,MATCH(ROWS($U$2:U102),$U$2:$U$1001,0),MATCH(COLUMNS($AB$1006:AJ1006),$AB$1006:$AQ$1006,0)), HYPERLINK("#",""), HYPERLINK(CONCATENATE("#metadata!", ADDRESS(INDEX($W$2:$W$1001,MATCH(ROWS($U$2:U102),$U$2:$U$1001,0),0), INDEX($AB$1004:$AQ$1004,1,MATCH(COLUMNS($AB$1006:AJ1006),$AB$1006:$AQ$1006,0)))),"Fix")))</f>
        <v>0</v>
      </c>
      <c r="K102" s="4">
        <f>IF(OR(INDEX($V$2:$V$1001,MATCH(ROWS($U$2:U102),$U$2:$U$1001,0),1)&gt;=100000,INDEX($AB$1005:$AQ$1005,1,MATCH(COLUMNS($AB$1006:AK1006),$AB$1006:$AQ$1006,0))&gt;=100000), " ",IF(INDEX($AB$2:$AQ$1001,MATCH(ROWS($U$2:U102),$U$2:$U$1001,0),MATCH(COLUMNS($AB$1006:AK1006),$AB$1006:$AQ$1006,0)), HYPERLINK("#",""), HYPERLINK(CONCATENATE("#metadata!", ADDRESS(INDEX($W$2:$W$1001,MATCH(ROWS($U$2:U102),$U$2:$U$1001,0),0), INDEX($AB$1004:$AQ$1004,1,MATCH(COLUMNS($AB$1006:AK1006),$AB$1006:$AQ$1006,0)))),"Fix")))</f>
        <v>0</v>
      </c>
      <c r="L102" s="4">
        <f>IF(OR(INDEX($V$2:$V$1001,MATCH(ROWS($U$2:U102),$U$2:$U$1001,0),1)&gt;=100000,INDEX($AB$1005:$AQ$1005,1,MATCH(COLUMNS($AB$1006:AL1006),$AB$1006:$AQ$1006,0))&gt;=100000), " ",IF(INDEX($AB$2:$AQ$1001,MATCH(ROWS($U$2:U102),$U$2:$U$1001,0),MATCH(COLUMNS($AB$1006:AL1006),$AB$1006:$AQ$1006,0)), HYPERLINK("#",""), HYPERLINK(CONCATENATE("#metadata!", ADDRESS(INDEX($W$2:$W$1001,MATCH(ROWS($U$2:U102),$U$2:$U$1001,0),0), INDEX($AB$1004:$AQ$1004,1,MATCH(COLUMNS($AB$1006:AL1006),$AB$1006:$AQ$1006,0)))),"Fix")))</f>
        <v>0</v>
      </c>
      <c r="M102" s="4">
        <f>IF(OR(INDEX($V$2:$V$1001,MATCH(ROWS($U$2:U102),$U$2:$U$1001,0),1)&gt;=100000,INDEX($AB$1005:$AQ$1005,1,MATCH(COLUMNS($AB$1006:AM1006),$AB$1006:$AQ$1006,0))&gt;=100000), " ",IF(INDEX($AB$2:$AQ$1001,MATCH(ROWS($U$2:U102),$U$2:$U$1001,0),MATCH(COLUMNS($AB$1006:AM1006),$AB$1006:$AQ$1006,0)), HYPERLINK("#",""), HYPERLINK(CONCATENATE("#metadata!", ADDRESS(INDEX($W$2:$W$1001,MATCH(ROWS($U$2:U102),$U$2:$U$1001,0),0), INDEX($AB$1004:$AQ$1004,1,MATCH(COLUMNS($AB$1006:AM1006),$AB$1006:$AQ$1006,0)))),"Fix")))</f>
        <v>0</v>
      </c>
      <c r="N102" s="4">
        <f>IF(OR(INDEX($V$2:$V$1001,MATCH(ROWS($U$2:U102),$U$2:$U$1001,0),1)&gt;=100000,INDEX($AB$1005:$AQ$1005,1,MATCH(COLUMNS($AB$1006:AN1006),$AB$1006:$AQ$1006,0))&gt;=100000), " ",IF(INDEX($AB$2:$AQ$1001,MATCH(ROWS($U$2:U102),$U$2:$U$1001,0),MATCH(COLUMNS($AB$1006:AN1006),$AB$1006:$AQ$1006,0)), HYPERLINK("#",""), HYPERLINK(CONCATENATE("#metadata!", ADDRESS(INDEX($W$2:$W$1001,MATCH(ROWS($U$2:U102),$U$2:$U$1001,0),0), INDEX($AB$1004:$AQ$1004,1,MATCH(COLUMNS($AB$1006:AN1006),$AB$1006:$AQ$1006,0)))),"Fix")))</f>
        <v>0</v>
      </c>
      <c r="O102" s="4">
        <f>IF(OR(INDEX($V$2:$V$1001,MATCH(ROWS($U$2:U102),$U$2:$U$1001,0),1)&gt;=100000,INDEX($AB$1005:$AQ$1005,1,MATCH(COLUMNS($AB$1006:AO1006),$AB$1006:$AQ$1006,0))&gt;=100000), " ",IF(INDEX($AB$2:$AQ$1001,MATCH(ROWS($U$2:U102),$U$2:$U$1001,0),MATCH(COLUMNS($AB$1006:AO1006),$AB$1006:$AQ$1006,0)), HYPERLINK("#",""), HYPERLINK(CONCATENATE("#metadata!", ADDRESS(INDEX($W$2:$W$1001,MATCH(ROWS($U$2:U102),$U$2:$U$1001,0),0), INDEX($AB$1004:$AQ$1004,1,MATCH(COLUMNS($AB$1006:AO1006),$AB$1006:$AQ$1006,0)))),"Fix")))</f>
        <v>0</v>
      </c>
      <c r="P102" s="4">
        <f>IF(OR(INDEX($V$2:$V$1001,MATCH(ROWS($U$2:U102),$U$2:$U$1001,0),1)&gt;=100000,INDEX($AB$1005:$AQ$1005,1,MATCH(COLUMNS($AB$1006:AP1006),$AB$1006:$AQ$1006,0))&gt;=100000), " ",IF(INDEX($AB$2:$AQ$1001,MATCH(ROWS($U$2:U102),$U$2:$U$1001,0),MATCH(COLUMNS($AB$1006:AP1006),$AB$1006:$AQ$1006,0)), HYPERLINK("#",""), HYPERLINK(CONCATENATE("#metadata!", ADDRESS(INDEX($W$2:$W$1001,MATCH(ROWS($U$2:U102),$U$2:$U$1001,0),0), INDEX($AB$1004:$AQ$1004,1,MATCH(COLUMNS($AB$1006:AP1006),$AB$1006:$AQ$1006,0)))),"Fix")))</f>
        <v>0</v>
      </c>
      <c r="Q102" s="4">
        <f>IF(OR(INDEX($V$2:$V$1001,MATCH(ROWS($U$2:U102),$U$2:$U$1001,0),1)&gt;=100000,INDEX($AB$1005:$AQ$1005,1,MATCH(COLUMNS($AB$1006:AQ1006),$AB$1006:$AQ$1006,0))&gt;=100000), " ",IF(INDEX($AB$2:$AQ$1001,MATCH(ROWS($U$2:U102),$U$2:$U$1001,0),MATCH(COLUMNS($AB$1006:AQ1006),$AB$1006:$AQ$1006,0)), HYPERLINK("#",""), HYPERLINK(CONCATENATE("#metadata!", ADDRESS(INDEX($W$2:$W$1001,MATCH(ROWS($U$2:U102),$U$2:$U$1001,0),0), INDEX($AB$1004:$AQ$1004,1,MATCH(COLUMNS($AB$1006:AQ1006),$AB$1006:$AQ$1006,0)))),"Fix")))</f>
        <v>0</v>
      </c>
      <c r="U102">
        <v>0</v>
      </c>
      <c r="V102">
        <v>0</v>
      </c>
      <c r="W102">
        <v>0</v>
      </c>
      <c r="X102">
        <f>IF(Y102,TRUE,AND(AB102:AQ102))</f>
        <v>0</v>
      </c>
      <c r="Y102">
        <f>COUNTBLANK(metadata!B102:Q102)=COLUMNS(metadata!B102:Q102)</f>
        <v>0</v>
      </c>
      <c r="Z102">
        <v>0</v>
      </c>
      <c r="AB102">
        <f>AND(IF(metadata!B102="",FALSE,TRUE),COUNTIF(metadata!B:B, metadata!B102) = 1,NOT(ISERROR(SUMPRODUCT(SEARCH(MID(metadata!B102,ROW(INDIRECT("1:"&amp;LEN(metadata!B102))), 1),"0123456789abcdefghijklmnopqrstuvwxyzABCDEFGHIJKLMNOPQRSTUVWXYZ.")))))</f>
        <v>0</v>
      </c>
      <c r="AC102">
        <f>OR(AND(IF(metadata!C102="",FALSE,TRUE),OR(exact(metadata!C102,"missing: not collected"),exact(metadata!C102,"missing: not provided"),exact(metadata!C102,"missing: restricted access"))),AND(IF(metadata!C102="",FALSE,TRUE),AND(AND(IFERROR(INT(LEFT(metadata!C102,4))&gt;1900,FALSE),IFERROR(INT(LEFT(metadata!C102,4))&lt;=YEAR(NOW()),FALSE)), OR(MID(metadata!C102,5,1)="", AND(AND(MID(metadata!C102,5,1)="-",IFERROR(INT(MID(metadata!C102,6,1))&gt;=0,FALSE),IFERROR(INT(MID(metadata!C102,6,1))&lt;=1,FALSE),NOT(MID(metadata!C102,7,1)=""),IFERROR(INT(MID(metadata!C102,6,2))&gt;=1,FALSE),IFERROR(INT(MID(metadata!C102,6,2))&lt;=12,FALSE)), OR(MID(metadata!C102,8,1)="", AND(AND(MID(metadata!C102,8,1)="-",IFERROR(INT(MID(metadata!C102,9,1))&gt;=0,FALSE),IFERROR(INT(MID(metadata!C102,9,1))&lt;=3,FALSE),NOT(MID(metadata!C102,10,1)=""),IFERROR(INT(MID(metadata!C102,9,2))&gt;=1,FALSE),IFERROR(INT(MID(metadata!C102,9,2))&lt;=31,FALSE)), OR(MID(metadata!C102,11,1)="", AND(AND(MID(metadata!C102,11,1)=" ",IFERROR(INT(MID(metadata!C102,12,1))&gt;=0,FALSE),IFERROR(INT(MID(metadata!C102,12,1))&lt;=2,FALSE),NOT(MID(metadata!C102,13,1)=""),IFERROR(INT(MID(metadata!C102,12,2))&gt;=0,FALSE),IFERROR(INT(MID(metadata!C102,12,2))&lt;=23,FALSE)), OR(MID(metadata!C102,14,1)="", AND(AND(MID(metadata!C102,14,1)=":",IFERROR(INT(MID(metadata!C102,15,1))&gt;=0,FALSE),IFERROR(INT(MID(metadata!C102,15,1))&lt;=5,FALSE),NOT(MID(metadata!C102,16,1)=""),IFERROR(INT(MID(metadata!C102,15,2))&gt;=0,FALSE),IFERROR(INT(MID(metadata!C102,15,2))&lt;=59,FALSE)), OR(MID(metadata!C102,17,1)="", AND(AND(MID(metadata!C102,17,1)=":",IFERROR(INT(MID(metadata!C102,18,1))&gt;=0,FALSE),IFERROR(INT(MID(metadata!C102,18,1))&lt;=5,FALSE),NOT(MID(metadata!C102,19,1)=""),IFERROR(INT(MID(metadata!C102,18,2))&gt;=0,FALSE),IFERROR(INT(MID(metadata!C102,18,2))&lt;=59,FALSE)), LEN(metadata!C102)&lt;=19)))))))))))))</f>
        <v>0</v>
      </c>
      <c r="AD102">
        <f>IF(metadata!D102="",FALSE,TRUE)</f>
        <v>0</v>
      </c>
      <c r="AE102">
        <f>OR(AND(IF(metadata!E102="",FALSE,TRUE),OR(exact(metadata!E102,"missing: not collected"),exact(metadata!E102,"missing: not provided"))),AND(IF(metadata!E102="",FALSE,TRUE),OR(exact(metadata!E102,"TRUE"),exact(metadata!E102,"FALSE"))))</f>
        <v>0</v>
      </c>
      <c r="AF102">
        <f>IF(metadata!F102="",FALSE,TRUE)</f>
        <v>0</v>
      </c>
      <c r="AG102">
        <f>IF(metadata!G102="",FALSE,TRUE)</f>
        <v>0</v>
      </c>
      <c r="AH102">
        <f>IF(metadata!H102="",FALSE,TRUE)</f>
        <v>0</v>
      </c>
      <c r="AI102">
        <f>OR(AND(IF(metadata!I102="",FALSE,TRUE),OR(exact(metadata!I102,"missing: not collected"),exact(metadata!I102,"missing: not provided"),exact(metadata!I102,"missing: restricted access"))),AND(IF(metadata!I102="",FALSE,TRUE),OR(exact(metadata!I102,"air"),exact(metadata!I102,"built environment"),exact(metadata!I102,"host-associated"),exact(metadata!I102,"human-associated"),exact(metadata!I102,"human-skin"),exact(metadata!I102,"human-oral"),exact(metadata!I102,"human-gut"),exact(metadata!I102,"human-vaginal"),exact(metadata!I102,"microbial mat/biofilm"),exact(metadata!I102,"misc environment"),exact(metadata!I102,"plant-associated"),exact(metadata!I102,"sediment"),exact(metadata!I102,"soil"),exact(metadata!I102,"wastewater/sludge"),exact(metadata!I102,"water"))))</f>
        <v>0</v>
      </c>
      <c r="AJ102">
        <f>IF(metadata!J102="",FALSE,TRUE)</f>
        <v>0</v>
      </c>
      <c r="AK102">
        <f>OR(AND(IF(metadata!K102="",FALSE,TRUE),OR(exact(metadata!K102,"missing: not collected"),exact(metadata!K102,"missing: not provided"),exact(metadata!K102,"missing: restricted access"))),AND(IF(metadata!K102="",FALSE,ISNUMBER(VALUE(metadata!K102))),metadata!K102&gt;=-90.00,metadata!K102&lt;=90.00))</f>
        <v>0</v>
      </c>
      <c r="AL102">
        <f>OR(AND(IF(metadata!L102="",FALSE,TRUE),OR(exact(metadata!L102,"missing: not collected"),exact(metadata!L102,"missing: not provided"),exact(metadata!L102,"missing: restricted access"))),AND(IF(metadata!L102="",FALSE,ISNUMBER(VALUE(metadata!L102))),metadata!L102&gt;=-180.00,metadata!L102&lt;=180.00))</f>
        <v>0</v>
      </c>
      <c r="AM102">
        <f>IF(metadata!M102="",FALSE,TRUE)</f>
        <v>0</v>
      </c>
      <c r="AN102">
        <f>OR(AND(IF(metadata!N102="",FALSE,TRUE),OR(exact(metadata!N102,"missing: not collected"),exact(metadata!N102,"missing: not provided"),exact(metadata!N102,"missing: restricted access"))),AND(IF(metadata!N102="",FALSE,TRUE),OR(exact(metadata!N102,"TRUE"),exact(metadata!N102,"FALSE"))))</f>
        <v>0</v>
      </c>
      <c r="AO102">
        <f>IF(metadata!O102="",FALSE,TRUE)</f>
        <v>0</v>
      </c>
      <c r="AP102">
        <f>OR(AND(IF(metadata!P102="",FALSE,TRUE),OR(exact(metadata!P102,"missing: not collected"),exact(metadata!P102,"missing: not provided"))),AND(IF(metadata!P102="",FALSE,IF(ISERROR(INT(metadata!P102)),FALSE,INT(metadata!P102)=metadata!P102)),metadata!P102&gt;0))</f>
        <v>0</v>
      </c>
      <c r="AQ102">
        <f>IF(metadata!Q102="",FALSE,TRUE)</f>
        <v>0</v>
      </c>
    </row>
    <row r="103" spans="1:43">
      <c r="A103" s="5">
        <f>IF(B103=" "," ",HYPERLINK(CONCATENATE("#metadata!",ADDRESS(INDEX($W$2:$W$1001,MATCH(ROWS($U$2:U103),$U$2:$U$1001,0),0),1)),INDEX($Z$2:$Z$1001,MATCH(ROWS($U$2:U103),$U$2:$U$1001,0),0)))</f>
        <v>0</v>
      </c>
      <c r="B103" s="4">
        <f>IF(OR(INDEX($V$2:$V$1001,MATCH(ROWS($U$2:U103),$U$2:$U$1001,0),1)&gt;=100000,INDEX($AB$1005:$AQ$1005,1,MATCH(COLUMNS($AB$1006:AB1006),$AB$1006:$AQ$1006,0))&gt;=100000), " ",IF(INDEX($AB$2:$AQ$1001,MATCH(ROWS($U$2:U103),$U$2:$U$1001,0),MATCH(COLUMNS($AB$1006:AB1006),$AB$1006:$AQ$1006,0)), HYPERLINK("#",""), HYPERLINK(CONCATENATE("#metadata!", ADDRESS(INDEX($W$2:$W$1001,MATCH(ROWS($U$2:U103),$U$2:$U$1001,0),0), INDEX($AB$1004:$AQ$1004,1,MATCH(COLUMNS($AB$1006:AB1006),$AB$1006:$AQ$1006,0)))),"Fix")))</f>
        <v>0</v>
      </c>
      <c r="C103" s="4">
        <f>IF(OR(INDEX($V$2:$V$1001,MATCH(ROWS($U$2:U103),$U$2:$U$1001,0),1)&gt;=100000,INDEX($AB$1005:$AQ$1005,1,MATCH(COLUMNS($AB$1006:AC1006),$AB$1006:$AQ$1006,0))&gt;=100000), " ",IF(INDEX($AB$2:$AQ$1001,MATCH(ROWS($U$2:U103),$U$2:$U$1001,0),MATCH(COLUMNS($AB$1006:AC1006),$AB$1006:$AQ$1006,0)), HYPERLINK("#",""), HYPERLINK(CONCATENATE("#metadata!", ADDRESS(INDEX($W$2:$W$1001,MATCH(ROWS($U$2:U103),$U$2:$U$1001,0),0), INDEX($AB$1004:$AQ$1004,1,MATCH(COLUMNS($AB$1006:AC1006),$AB$1006:$AQ$1006,0)))),"Fix")))</f>
        <v>0</v>
      </c>
      <c r="D103" s="4">
        <f>IF(OR(INDEX($V$2:$V$1001,MATCH(ROWS($U$2:U103),$U$2:$U$1001,0),1)&gt;=100000,INDEX($AB$1005:$AQ$1005,1,MATCH(COLUMNS($AB$1006:AD1006),$AB$1006:$AQ$1006,0))&gt;=100000), " ",IF(INDEX($AB$2:$AQ$1001,MATCH(ROWS($U$2:U103),$U$2:$U$1001,0),MATCH(COLUMNS($AB$1006:AD1006),$AB$1006:$AQ$1006,0)), HYPERLINK("#",""), HYPERLINK(CONCATENATE("#metadata!", ADDRESS(INDEX($W$2:$W$1001,MATCH(ROWS($U$2:U103),$U$2:$U$1001,0),0), INDEX($AB$1004:$AQ$1004,1,MATCH(COLUMNS($AB$1006:AD1006),$AB$1006:$AQ$1006,0)))),"Fix")))</f>
        <v>0</v>
      </c>
      <c r="E103" s="4">
        <f>IF(OR(INDEX($V$2:$V$1001,MATCH(ROWS($U$2:U103),$U$2:$U$1001,0),1)&gt;=100000,INDEX($AB$1005:$AQ$1005,1,MATCH(COLUMNS($AB$1006:AE1006),$AB$1006:$AQ$1006,0))&gt;=100000), " ",IF(INDEX($AB$2:$AQ$1001,MATCH(ROWS($U$2:U103),$U$2:$U$1001,0),MATCH(COLUMNS($AB$1006:AE1006),$AB$1006:$AQ$1006,0)), HYPERLINK("#",""), HYPERLINK(CONCATENATE("#metadata!", ADDRESS(INDEX($W$2:$W$1001,MATCH(ROWS($U$2:U103),$U$2:$U$1001,0),0), INDEX($AB$1004:$AQ$1004,1,MATCH(COLUMNS($AB$1006:AE1006),$AB$1006:$AQ$1006,0)))),"Fix")))</f>
        <v>0</v>
      </c>
      <c r="F103" s="4">
        <f>IF(OR(INDEX($V$2:$V$1001,MATCH(ROWS($U$2:U103),$U$2:$U$1001,0),1)&gt;=100000,INDEX($AB$1005:$AQ$1005,1,MATCH(COLUMNS($AB$1006:AF1006),$AB$1006:$AQ$1006,0))&gt;=100000), " ",IF(INDEX($AB$2:$AQ$1001,MATCH(ROWS($U$2:U103),$U$2:$U$1001,0),MATCH(COLUMNS($AB$1006:AF1006),$AB$1006:$AQ$1006,0)), HYPERLINK("#",""), HYPERLINK(CONCATENATE("#metadata!", ADDRESS(INDEX($W$2:$W$1001,MATCH(ROWS($U$2:U103),$U$2:$U$1001,0),0), INDEX($AB$1004:$AQ$1004,1,MATCH(COLUMNS($AB$1006:AF1006),$AB$1006:$AQ$1006,0)))),"Fix")))</f>
        <v>0</v>
      </c>
      <c r="G103" s="4">
        <f>IF(OR(INDEX($V$2:$V$1001,MATCH(ROWS($U$2:U103),$U$2:$U$1001,0),1)&gt;=100000,INDEX($AB$1005:$AQ$1005,1,MATCH(COLUMNS($AB$1006:AG1006),$AB$1006:$AQ$1006,0))&gt;=100000), " ",IF(INDEX($AB$2:$AQ$1001,MATCH(ROWS($U$2:U103),$U$2:$U$1001,0),MATCH(COLUMNS($AB$1006:AG1006),$AB$1006:$AQ$1006,0)), HYPERLINK("#",""), HYPERLINK(CONCATENATE("#metadata!", ADDRESS(INDEX($W$2:$W$1001,MATCH(ROWS($U$2:U103),$U$2:$U$1001,0),0), INDEX($AB$1004:$AQ$1004,1,MATCH(COLUMNS($AB$1006:AG1006),$AB$1006:$AQ$1006,0)))),"Fix")))</f>
        <v>0</v>
      </c>
      <c r="H103" s="4">
        <f>IF(OR(INDEX($V$2:$V$1001,MATCH(ROWS($U$2:U103),$U$2:$U$1001,0),1)&gt;=100000,INDEX($AB$1005:$AQ$1005,1,MATCH(COLUMNS($AB$1006:AH1006),$AB$1006:$AQ$1006,0))&gt;=100000), " ",IF(INDEX($AB$2:$AQ$1001,MATCH(ROWS($U$2:U103),$U$2:$U$1001,0),MATCH(COLUMNS($AB$1006:AH1006),$AB$1006:$AQ$1006,0)), HYPERLINK("#",""), HYPERLINK(CONCATENATE("#metadata!", ADDRESS(INDEX($W$2:$W$1001,MATCH(ROWS($U$2:U103),$U$2:$U$1001,0),0), INDEX($AB$1004:$AQ$1004,1,MATCH(COLUMNS($AB$1006:AH1006),$AB$1006:$AQ$1006,0)))),"Fix")))</f>
        <v>0</v>
      </c>
      <c r="I103" s="4">
        <f>IF(OR(INDEX($V$2:$V$1001,MATCH(ROWS($U$2:U103),$U$2:$U$1001,0),1)&gt;=100000,INDEX($AB$1005:$AQ$1005,1,MATCH(COLUMNS($AB$1006:AI1006),$AB$1006:$AQ$1006,0))&gt;=100000), " ",IF(INDEX($AB$2:$AQ$1001,MATCH(ROWS($U$2:U103),$U$2:$U$1001,0),MATCH(COLUMNS($AB$1006:AI1006),$AB$1006:$AQ$1006,0)), HYPERLINK("#",""), HYPERLINK(CONCATENATE("#metadata!", ADDRESS(INDEX($W$2:$W$1001,MATCH(ROWS($U$2:U103),$U$2:$U$1001,0),0), INDEX($AB$1004:$AQ$1004,1,MATCH(COLUMNS($AB$1006:AI1006),$AB$1006:$AQ$1006,0)))),"Fix")))</f>
        <v>0</v>
      </c>
      <c r="J103" s="4">
        <f>IF(OR(INDEX($V$2:$V$1001,MATCH(ROWS($U$2:U103),$U$2:$U$1001,0),1)&gt;=100000,INDEX($AB$1005:$AQ$1005,1,MATCH(COLUMNS($AB$1006:AJ1006),$AB$1006:$AQ$1006,0))&gt;=100000), " ",IF(INDEX($AB$2:$AQ$1001,MATCH(ROWS($U$2:U103),$U$2:$U$1001,0),MATCH(COLUMNS($AB$1006:AJ1006),$AB$1006:$AQ$1006,0)), HYPERLINK("#",""), HYPERLINK(CONCATENATE("#metadata!", ADDRESS(INDEX($W$2:$W$1001,MATCH(ROWS($U$2:U103),$U$2:$U$1001,0),0), INDEX($AB$1004:$AQ$1004,1,MATCH(COLUMNS($AB$1006:AJ1006),$AB$1006:$AQ$1006,0)))),"Fix")))</f>
        <v>0</v>
      </c>
      <c r="K103" s="4">
        <f>IF(OR(INDEX($V$2:$V$1001,MATCH(ROWS($U$2:U103),$U$2:$U$1001,0),1)&gt;=100000,INDEX($AB$1005:$AQ$1005,1,MATCH(COLUMNS($AB$1006:AK1006),$AB$1006:$AQ$1006,0))&gt;=100000), " ",IF(INDEX($AB$2:$AQ$1001,MATCH(ROWS($U$2:U103),$U$2:$U$1001,0),MATCH(COLUMNS($AB$1006:AK1006),$AB$1006:$AQ$1006,0)), HYPERLINK("#",""), HYPERLINK(CONCATENATE("#metadata!", ADDRESS(INDEX($W$2:$W$1001,MATCH(ROWS($U$2:U103),$U$2:$U$1001,0),0), INDEX($AB$1004:$AQ$1004,1,MATCH(COLUMNS($AB$1006:AK1006),$AB$1006:$AQ$1006,0)))),"Fix")))</f>
        <v>0</v>
      </c>
      <c r="L103" s="4">
        <f>IF(OR(INDEX($V$2:$V$1001,MATCH(ROWS($U$2:U103),$U$2:$U$1001,0),1)&gt;=100000,INDEX($AB$1005:$AQ$1005,1,MATCH(COLUMNS($AB$1006:AL1006),$AB$1006:$AQ$1006,0))&gt;=100000), " ",IF(INDEX($AB$2:$AQ$1001,MATCH(ROWS($U$2:U103),$U$2:$U$1001,0),MATCH(COLUMNS($AB$1006:AL1006),$AB$1006:$AQ$1006,0)), HYPERLINK("#",""), HYPERLINK(CONCATENATE("#metadata!", ADDRESS(INDEX($W$2:$W$1001,MATCH(ROWS($U$2:U103),$U$2:$U$1001,0),0), INDEX($AB$1004:$AQ$1004,1,MATCH(COLUMNS($AB$1006:AL1006),$AB$1006:$AQ$1006,0)))),"Fix")))</f>
        <v>0</v>
      </c>
      <c r="M103" s="4">
        <f>IF(OR(INDEX($V$2:$V$1001,MATCH(ROWS($U$2:U103),$U$2:$U$1001,0),1)&gt;=100000,INDEX($AB$1005:$AQ$1005,1,MATCH(COLUMNS($AB$1006:AM1006),$AB$1006:$AQ$1006,0))&gt;=100000), " ",IF(INDEX($AB$2:$AQ$1001,MATCH(ROWS($U$2:U103),$U$2:$U$1001,0),MATCH(COLUMNS($AB$1006:AM1006),$AB$1006:$AQ$1006,0)), HYPERLINK("#",""), HYPERLINK(CONCATENATE("#metadata!", ADDRESS(INDEX($W$2:$W$1001,MATCH(ROWS($U$2:U103),$U$2:$U$1001,0),0), INDEX($AB$1004:$AQ$1004,1,MATCH(COLUMNS($AB$1006:AM1006),$AB$1006:$AQ$1006,0)))),"Fix")))</f>
        <v>0</v>
      </c>
      <c r="N103" s="4">
        <f>IF(OR(INDEX($V$2:$V$1001,MATCH(ROWS($U$2:U103),$U$2:$U$1001,0),1)&gt;=100000,INDEX($AB$1005:$AQ$1005,1,MATCH(COLUMNS($AB$1006:AN1006),$AB$1006:$AQ$1006,0))&gt;=100000), " ",IF(INDEX($AB$2:$AQ$1001,MATCH(ROWS($U$2:U103),$U$2:$U$1001,0),MATCH(COLUMNS($AB$1006:AN1006),$AB$1006:$AQ$1006,0)), HYPERLINK("#",""), HYPERLINK(CONCATENATE("#metadata!", ADDRESS(INDEX($W$2:$W$1001,MATCH(ROWS($U$2:U103),$U$2:$U$1001,0),0), INDEX($AB$1004:$AQ$1004,1,MATCH(COLUMNS($AB$1006:AN1006),$AB$1006:$AQ$1006,0)))),"Fix")))</f>
        <v>0</v>
      </c>
      <c r="O103" s="4">
        <f>IF(OR(INDEX($V$2:$V$1001,MATCH(ROWS($U$2:U103),$U$2:$U$1001,0),1)&gt;=100000,INDEX($AB$1005:$AQ$1005,1,MATCH(COLUMNS($AB$1006:AO1006),$AB$1006:$AQ$1006,0))&gt;=100000), " ",IF(INDEX($AB$2:$AQ$1001,MATCH(ROWS($U$2:U103),$U$2:$U$1001,0),MATCH(COLUMNS($AB$1006:AO1006),$AB$1006:$AQ$1006,0)), HYPERLINK("#",""), HYPERLINK(CONCATENATE("#metadata!", ADDRESS(INDEX($W$2:$W$1001,MATCH(ROWS($U$2:U103),$U$2:$U$1001,0),0), INDEX($AB$1004:$AQ$1004,1,MATCH(COLUMNS($AB$1006:AO1006),$AB$1006:$AQ$1006,0)))),"Fix")))</f>
        <v>0</v>
      </c>
      <c r="P103" s="4">
        <f>IF(OR(INDEX($V$2:$V$1001,MATCH(ROWS($U$2:U103),$U$2:$U$1001,0),1)&gt;=100000,INDEX($AB$1005:$AQ$1005,1,MATCH(COLUMNS($AB$1006:AP1006),$AB$1006:$AQ$1006,0))&gt;=100000), " ",IF(INDEX($AB$2:$AQ$1001,MATCH(ROWS($U$2:U103),$U$2:$U$1001,0),MATCH(COLUMNS($AB$1006:AP1006),$AB$1006:$AQ$1006,0)), HYPERLINK("#",""), HYPERLINK(CONCATENATE("#metadata!", ADDRESS(INDEX($W$2:$W$1001,MATCH(ROWS($U$2:U103),$U$2:$U$1001,0),0), INDEX($AB$1004:$AQ$1004,1,MATCH(COLUMNS($AB$1006:AP1006),$AB$1006:$AQ$1006,0)))),"Fix")))</f>
        <v>0</v>
      </c>
      <c r="Q103" s="4">
        <f>IF(OR(INDEX($V$2:$V$1001,MATCH(ROWS($U$2:U103),$U$2:$U$1001,0),1)&gt;=100000,INDEX($AB$1005:$AQ$1005,1,MATCH(COLUMNS($AB$1006:AQ1006),$AB$1006:$AQ$1006,0))&gt;=100000), " ",IF(INDEX($AB$2:$AQ$1001,MATCH(ROWS($U$2:U103),$U$2:$U$1001,0),MATCH(COLUMNS($AB$1006:AQ1006),$AB$1006:$AQ$1006,0)), HYPERLINK("#",""), HYPERLINK(CONCATENATE("#metadata!", ADDRESS(INDEX($W$2:$W$1001,MATCH(ROWS($U$2:U103),$U$2:$U$1001,0),0), INDEX($AB$1004:$AQ$1004,1,MATCH(COLUMNS($AB$1006:AQ1006),$AB$1006:$AQ$1006,0)))),"Fix")))</f>
        <v>0</v>
      </c>
      <c r="U103">
        <v>0</v>
      </c>
      <c r="V103">
        <v>0</v>
      </c>
      <c r="W103">
        <v>0</v>
      </c>
      <c r="X103">
        <f>IF(Y103,TRUE,AND(AB103:AQ103))</f>
        <v>0</v>
      </c>
      <c r="Y103">
        <f>COUNTBLANK(metadata!B103:Q103)=COLUMNS(metadata!B103:Q103)</f>
        <v>0</v>
      </c>
      <c r="Z103">
        <v>0</v>
      </c>
      <c r="AB103">
        <f>AND(IF(metadata!B103="",FALSE,TRUE),COUNTIF(metadata!B:B, metadata!B103) = 1,NOT(ISERROR(SUMPRODUCT(SEARCH(MID(metadata!B103,ROW(INDIRECT("1:"&amp;LEN(metadata!B103))), 1),"0123456789abcdefghijklmnopqrstuvwxyzABCDEFGHIJKLMNOPQRSTUVWXYZ.")))))</f>
        <v>0</v>
      </c>
      <c r="AC103">
        <f>OR(AND(IF(metadata!C103="",FALSE,TRUE),OR(exact(metadata!C103,"missing: not collected"),exact(metadata!C103,"missing: not provided"),exact(metadata!C103,"missing: restricted access"))),AND(IF(metadata!C103="",FALSE,TRUE),AND(AND(IFERROR(INT(LEFT(metadata!C103,4))&gt;1900,FALSE),IFERROR(INT(LEFT(metadata!C103,4))&lt;=YEAR(NOW()),FALSE)), OR(MID(metadata!C103,5,1)="", AND(AND(MID(metadata!C103,5,1)="-",IFERROR(INT(MID(metadata!C103,6,1))&gt;=0,FALSE),IFERROR(INT(MID(metadata!C103,6,1))&lt;=1,FALSE),NOT(MID(metadata!C103,7,1)=""),IFERROR(INT(MID(metadata!C103,6,2))&gt;=1,FALSE),IFERROR(INT(MID(metadata!C103,6,2))&lt;=12,FALSE)), OR(MID(metadata!C103,8,1)="", AND(AND(MID(metadata!C103,8,1)="-",IFERROR(INT(MID(metadata!C103,9,1))&gt;=0,FALSE),IFERROR(INT(MID(metadata!C103,9,1))&lt;=3,FALSE),NOT(MID(metadata!C103,10,1)=""),IFERROR(INT(MID(metadata!C103,9,2))&gt;=1,FALSE),IFERROR(INT(MID(metadata!C103,9,2))&lt;=31,FALSE)), OR(MID(metadata!C103,11,1)="", AND(AND(MID(metadata!C103,11,1)=" ",IFERROR(INT(MID(metadata!C103,12,1))&gt;=0,FALSE),IFERROR(INT(MID(metadata!C103,12,1))&lt;=2,FALSE),NOT(MID(metadata!C103,13,1)=""),IFERROR(INT(MID(metadata!C103,12,2))&gt;=0,FALSE),IFERROR(INT(MID(metadata!C103,12,2))&lt;=23,FALSE)), OR(MID(metadata!C103,14,1)="", AND(AND(MID(metadata!C103,14,1)=":",IFERROR(INT(MID(metadata!C103,15,1))&gt;=0,FALSE),IFERROR(INT(MID(metadata!C103,15,1))&lt;=5,FALSE),NOT(MID(metadata!C103,16,1)=""),IFERROR(INT(MID(metadata!C103,15,2))&gt;=0,FALSE),IFERROR(INT(MID(metadata!C103,15,2))&lt;=59,FALSE)), OR(MID(metadata!C103,17,1)="", AND(AND(MID(metadata!C103,17,1)=":",IFERROR(INT(MID(metadata!C103,18,1))&gt;=0,FALSE),IFERROR(INT(MID(metadata!C103,18,1))&lt;=5,FALSE),NOT(MID(metadata!C103,19,1)=""),IFERROR(INT(MID(metadata!C103,18,2))&gt;=0,FALSE),IFERROR(INT(MID(metadata!C103,18,2))&lt;=59,FALSE)), LEN(metadata!C103)&lt;=19)))))))))))))</f>
        <v>0</v>
      </c>
      <c r="AD103">
        <f>IF(metadata!D103="",FALSE,TRUE)</f>
        <v>0</v>
      </c>
      <c r="AE103">
        <f>OR(AND(IF(metadata!E103="",FALSE,TRUE),OR(exact(metadata!E103,"missing: not collected"),exact(metadata!E103,"missing: not provided"))),AND(IF(metadata!E103="",FALSE,TRUE),OR(exact(metadata!E103,"TRUE"),exact(metadata!E103,"FALSE"))))</f>
        <v>0</v>
      </c>
      <c r="AF103">
        <f>IF(metadata!F103="",FALSE,TRUE)</f>
        <v>0</v>
      </c>
      <c r="AG103">
        <f>IF(metadata!G103="",FALSE,TRUE)</f>
        <v>0</v>
      </c>
      <c r="AH103">
        <f>IF(metadata!H103="",FALSE,TRUE)</f>
        <v>0</v>
      </c>
      <c r="AI103">
        <f>OR(AND(IF(metadata!I103="",FALSE,TRUE),OR(exact(metadata!I103,"missing: not collected"),exact(metadata!I103,"missing: not provided"),exact(metadata!I103,"missing: restricted access"))),AND(IF(metadata!I103="",FALSE,TRUE),OR(exact(metadata!I103,"air"),exact(metadata!I103,"built environment"),exact(metadata!I103,"host-associated"),exact(metadata!I103,"human-associated"),exact(metadata!I103,"human-skin"),exact(metadata!I103,"human-oral"),exact(metadata!I103,"human-gut"),exact(metadata!I103,"human-vaginal"),exact(metadata!I103,"microbial mat/biofilm"),exact(metadata!I103,"misc environment"),exact(metadata!I103,"plant-associated"),exact(metadata!I103,"sediment"),exact(metadata!I103,"soil"),exact(metadata!I103,"wastewater/sludge"),exact(metadata!I103,"water"))))</f>
        <v>0</v>
      </c>
      <c r="AJ103">
        <f>IF(metadata!J103="",FALSE,TRUE)</f>
        <v>0</v>
      </c>
      <c r="AK103">
        <f>OR(AND(IF(metadata!K103="",FALSE,TRUE),OR(exact(metadata!K103,"missing: not collected"),exact(metadata!K103,"missing: not provided"),exact(metadata!K103,"missing: restricted access"))),AND(IF(metadata!K103="",FALSE,ISNUMBER(VALUE(metadata!K103))),metadata!K103&gt;=-90.00,metadata!K103&lt;=90.00))</f>
        <v>0</v>
      </c>
      <c r="AL103">
        <f>OR(AND(IF(metadata!L103="",FALSE,TRUE),OR(exact(metadata!L103,"missing: not collected"),exact(metadata!L103,"missing: not provided"),exact(metadata!L103,"missing: restricted access"))),AND(IF(metadata!L103="",FALSE,ISNUMBER(VALUE(metadata!L103))),metadata!L103&gt;=-180.00,metadata!L103&lt;=180.00))</f>
        <v>0</v>
      </c>
      <c r="AM103">
        <f>IF(metadata!M103="",FALSE,TRUE)</f>
        <v>0</v>
      </c>
      <c r="AN103">
        <f>OR(AND(IF(metadata!N103="",FALSE,TRUE),OR(exact(metadata!N103,"missing: not collected"),exact(metadata!N103,"missing: not provided"),exact(metadata!N103,"missing: restricted access"))),AND(IF(metadata!N103="",FALSE,TRUE),OR(exact(metadata!N103,"TRUE"),exact(metadata!N103,"FALSE"))))</f>
        <v>0</v>
      </c>
      <c r="AO103">
        <f>IF(metadata!O103="",FALSE,TRUE)</f>
        <v>0</v>
      </c>
      <c r="AP103">
        <f>OR(AND(IF(metadata!P103="",FALSE,TRUE),OR(exact(metadata!P103,"missing: not collected"),exact(metadata!P103,"missing: not provided"))),AND(IF(metadata!P103="",FALSE,IF(ISERROR(INT(metadata!P103)),FALSE,INT(metadata!P103)=metadata!P103)),metadata!P103&gt;0))</f>
        <v>0</v>
      </c>
      <c r="AQ103">
        <f>IF(metadata!Q103="",FALSE,TRUE)</f>
        <v>0</v>
      </c>
    </row>
    <row r="104" spans="1:43">
      <c r="A104" s="5">
        <f>IF(B104=" "," ",HYPERLINK(CONCATENATE("#metadata!",ADDRESS(INDEX($W$2:$W$1001,MATCH(ROWS($U$2:U104),$U$2:$U$1001,0),0),1)),INDEX($Z$2:$Z$1001,MATCH(ROWS($U$2:U104),$U$2:$U$1001,0),0)))</f>
        <v>0</v>
      </c>
      <c r="B104" s="4">
        <f>IF(OR(INDEX($V$2:$V$1001,MATCH(ROWS($U$2:U104),$U$2:$U$1001,0),1)&gt;=100000,INDEX($AB$1005:$AQ$1005,1,MATCH(COLUMNS($AB$1006:AB1006),$AB$1006:$AQ$1006,0))&gt;=100000), " ",IF(INDEX($AB$2:$AQ$1001,MATCH(ROWS($U$2:U104),$U$2:$U$1001,0),MATCH(COLUMNS($AB$1006:AB1006),$AB$1006:$AQ$1006,0)), HYPERLINK("#",""), HYPERLINK(CONCATENATE("#metadata!", ADDRESS(INDEX($W$2:$W$1001,MATCH(ROWS($U$2:U104),$U$2:$U$1001,0),0), INDEX($AB$1004:$AQ$1004,1,MATCH(COLUMNS($AB$1006:AB1006),$AB$1006:$AQ$1006,0)))),"Fix")))</f>
        <v>0</v>
      </c>
      <c r="C104" s="4">
        <f>IF(OR(INDEX($V$2:$V$1001,MATCH(ROWS($U$2:U104),$U$2:$U$1001,0),1)&gt;=100000,INDEX($AB$1005:$AQ$1005,1,MATCH(COLUMNS($AB$1006:AC1006),$AB$1006:$AQ$1006,0))&gt;=100000), " ",IF(INDEX($AB$2:$AQ$1001,MATCH(ROWS($U$2:U104),$U$2:$U$1001,0),MATCH(COLUMNS($AB$1006:AC1006),$AB$1006:$AQ$1006,0)), HYPERLINK("#",""), HYPERLINK(CONCATENATE("#metadata!", ADDRESS(INDEX($W$2:$W$1001,MATCH(ROWS($U$2:U104),$U$2:$U$1001,0),0), INDEX($AB$1004:$AQ$1004,1,MATCH(COLUMNS($AB$1006:AC1006),$AB$1006:$AQ$1006,0)))),"Fix")))</f>
        <v>0</v>
      </c>
      <c r="D104" s="4">
        <f>IF(OR(INDEX($V$2:$V$1001,MATCH(ROWS($U$2:U104),$U$2:$U$1001,0),1)&gt;=100000,INDEX($AB$1005:$AQ$1005,1,MATCH(COLUMNS($AB$1006:AD1006),$AB$1006:$AQ$1006,0))&gt;=100000), " ",IF(INDEX($AB$2:$AQ$1001,MATCH(ROWS($U$2:U104),$U$2:$U$1001,0),MATCH(COLUMNS($AB$1006:AD1006),$AB$1006:$AQ$1006,0)), HYPERLINK("#",""), HYPERLINK(CONCATENATE("#metadata!", ADDRESS(INDEX($W$2:$W$1001,MATCH(ROWS($U$2:U104),$U$2:$U$1001,0),0), INDEX($AB$1004:$AQ$1004,1,MATCH(COLUMNS($AB$1006:AD1006),$AB$1006:$AQ$1006,0)))),"Fix")))</f>
        <v>0</v>
      </c>
      <c r="E104" s="4">
        <f>IF(OR(INDEX($V$2:$V$1001,MATCH(ROWS($U$2:U104),$U$2:$U$1001,0),1)&gt;=100000,INDEX($AB$1005:$AQ$1005,1,MATCH(COLUMNS($AB$1006:AE1006),$AB$1006:$AQ$1006,0))&gt;=100000), " ",IF(INDEX($AB$2:$AQ$1001,MATCH(ROWS($U$2:U104),$U$2:$U$1001,0),MATCH(COLUMNS($AB$1006:AE1006),$AB$1006:$AQ$1006,0)), HYPERLINK("#",""), HYPERLINK(CONCATENATE("#metadata!", ADDRESS(INDEX($W$2:$W$1001,MATCH(ROWS($U$2:U104),$U$2:$U$1001,0),0), INDEX($AB$1004:$AQ$1004,1,MATCH(COLUMNS($AB$1006:AE1006),$AB$1006:$AQ$1006,0)))),"Fix")))</f>
        <v>0</v>
      </c>
      <c r="F104" s="4">
        <f>IF(OR(INDEX($V$2:$V$1001,MATCH(ROWS($U$2:U104),$U$2:$U$1001,0),1)&gt;=100000,INDEX($AB$1005:$AQ$1005,1,MATCH(COLUMNS($AB$1006:AF1006),$AB$1006:$AQ$1006,0))&gt;=100000), " ",IF(INDEX($AB$2:$AQ$1001,MATCH(ROWS($U$2:U104),$U$2:$U$1001,0),MATCH(COLUMNS($AB$1006:AF1006),$AB$1006:$AQ$1006,0)), HYPERLINK("#",""), HYPERLINK(CONCATENATE("#metadata!", ADDRESS(INDEX($W$2:$W$1001,MATCH(ROWS($U$2:U104),$U$2:$U$1001,0),0), INDEX($AB$1004:$AQ$1004,1,MATCH(COLUMNS($AB$1006:AF1006),$AB$1006:$AQ$1006,0)))),"Fix")))</f>
        <v>0</v>
      </c>
      <c r="G104" s="4">
        <f>IF(OR(INDEX($V$2:$V$1001,MATCH(ROWS($U$2:U104),$U$2:$U$1001,0),1)&gt;=100000,INDEX($AB$1005:$AQ$1005,1,MATCH(COLUMNS($AB$1006:AG1006),$AB$1006:$AQ$1006,0))&gt;=100000), " ",IF(INDEX($AB$2:$AQ$1001,MATCH(ROWS($U$2:U104),$U$2:$U$1001,0),MATCH(COLUMNS($AB$1006:AG1006),$AB$1006:$AQ$1006,0)), HYPERLINK("#",""), HYPERLINK(CONCATENATE("#metadata!", ADDRESS(INDEX($W$2:$W$1001,MATCH(ROWS($U$2:U104),$U$2:$U$1001,0),0), INDEX($AB$1004:$AQ$1004,1,MATCH(COLUMNS($AB$1006:AG1006),$AB$1006:$AQ$1006,0)))),"Fix")))</f>
        <v>0</v>
      </c>
      <c r="H104" s="4">
        <f>IF(OR(INDEX($V$2:$V$1001,MATCH(ROWS($U$2:U104),$U$2:$U$1001,0),1)&gt;=100000,INDEX($AB$1005:$AQ$1005,1,MATCH(COLUMNS($AB$1006:AH1006),$AB$1006:$AQ$1006,0))&gt;=100000), " ",IF(INDEX($AB$2:$AQ$1001,MATCH(ROWS($U$2:U104),$U$2:$U$1001,0),MATCH(COLUMNS($AB$1006:AH1006),$AB$1006:$AQ$1006,0)), HYPERLINK("#",""), HYPERLINK(CONCATENATE("#metadata!", ADDRESS(INDEX($W$2:$W$1001,MATCH(ROWS($U$2:U104),$U$2:$U$1001,0),0), INDEX($AB$1004:$AQ$1004,1,MATCH(COLUMNS($AB$1006:AH1006),$AB$1006:$AQ$1006,0)))),"Fix")))</f>
        <v>0</v>
      </c>
      <c r="I104" s="4">
        <f>IF(OR(INDEX($V$2:$V$1001,MATCH(ROWS($U$2:U104),$U$2:$U$1001,0),1)&gt;=100000,INDEX($AB$1005:$AQ$1005,1,MATCH(COLUMNS($AB$1006:AI1006),$AB$1006:$AQ$1006,0))&gt;=100000), " ",IF(INDEX($AB$2:$AQ$1001,MATCH(ROWS($U$2:U104),$U$2:$U$1001,0),MATCH(COLUMNS($AB$1006:AI1006),$AB$1006:$AQ$1006,0)), HYPERLINK("#",""), HYPERLINK(CONCATENATE("#metadata!", ADDRESS(INDEX($W$2:$W$1001,MATCH(ROWS($U$2:U104),$U$2:$U$1001,0),0), INDEX($AB$1004:$AQ$1004,1,MATCH(COLUMNS($AB$1006:AI1006),$AB$1006:$AQ$1006,0)))),"Fix")))</f>
        <v>0</v>
      </c>
      <c r="J104" s="4">
        <f>IF(OR(INDEX($V$2:$V$1001,MATCH(ROWS($U$2:U104),$U$2:$U$1001,0),1)&gt;=100000,INDEX($AB$1005:$AQ$1005,1,MATCH(COLUMNS($AB$1006:AJ1006),$AB$1006:$AQ$1006,0))&gt;=100000), " ",IF(INDEX($AB$2:$AQ$1001,MATCH(ROWS($U$2:U104),$U$2:$U$1001,0),MATCH(COLUMNS($AB$1006:AJ1006),$AB$1006:$AQ$1006,0)), HYPERLINK("#",""), HYPERLINK(CONCATENATE("#metadata!", ADDRESS(INDEX($W$2:$W$1001,MATCH(ROWS($U$2:U104),$U$2:$U$1001,0),0), INDEX($AB$1004:$AQ$1004,1,MATCH(COLUMNS($AB$1006:AJ1006),$AB$1006:$AQ$1006,0)))),"Fix")))</f>
        <v>0</v>
      </c>
      <c r="K104" s="4">
        <f>IF(OR(INDEX($V$2:$V$1001,MATCH(ROWS($U$2:U104),$U$2:$U$1001,0),1)&gt;=100000,INDEX($AB$1005:$AQ$1005,1,MATCH(COLUMNS($AB$1006:AK1006),$AB$1006:$AQ$1006,0))&gt;=100000), " ",IF(INDEX($AB$2:$AQ$1001,MATCH(ROWS($U$2:U104),$U$2:$U$1001,0),MATCH(COLUMNS($AB$1006:AK1006),$AB$1006:$AQ$1006,0)), HYPERLINK("#",""), HYPERLINK(CONCATENATE("#metadata!", ADDRESS(INDEX($W$2:$W$1001,MATCH(ROWS($U$2:U104),$U$2:$U$1001,0),0), INDEX($AB$1004:$AQ$1004,1,MATCH(COLUMNS($AB$1006:AK1006),$AB$1006:$AQ$1006,0)))),"Fix")))</f>
        <v>0</v>
      </c>
      <c r="L104" s="4">
        <f>IF(OR(INDEX($V$2:$V$1001,MATCH(ROWS($U$2:U104),$U$2:$U$1001,0),1)&gt;=100000,INDEX($AB$1005:$AQ$1005,1,MATCH(COLUMNS($AB$1006:AL1006),$AB$1006:$AQ$1006,0))&gt;=100000), " ",IF(INDEX($AB$2:$AQ$1001,MATCH(ROWS($U$2:U104),$U$2:$U$1001,0),MATCH(COLUMNS($AB$1006:AL1006),$AB$1006:$AQ$1006,0)), HYPERLINK("#",""), HYPERLINK(CONCATENATE("#metadata!", ADDRESS(INDEX($W$2:$W$1001,MATCH(ROWS($U$2:U104),$U$2:$U$1001,0),0), INDEX($AB$1004:$AQ$1004,1,MATCH(COLUMNS($AB$1006:AL1006),$AB$1006:$AQ$1006,0)))),"Fix")))</f>
        <v>0</v>
      </c>
      <c r="M104" s="4">
        <f>IF(OR(INDEX($V$2:$V$1001,MATCH(ROWS($U$2:U104),$U$2:$U$1001,0),1)&gt;=100000,INDEX($AB$1005:$AQ$1005,1,MATCH(COLUMNS($AB$1006:AM1006),$AB$1006:$AQ$1006,0))&gt;=100000), " ",IF(INDEX($AB$2:$AQ$1001,MATCH(ROWS($U$2:U104),$U$2:$U$1001,0),MATCH(COLUMNS($AB$1006:AM1006),$AB$1006:$AQ$1006,0)), HYPERLINK("#",""), HYPERLINK(CONCATENATE("#metadata!", ADDRESS(INDEX($W$2:$W$1001,MATCH(ROWS($U$2:U104),$U$2:$U$1001,0),0), INDEX($AB$1004:$AQ$1004,1,MATCH(COLUMNS($AB$1006:AM1006),$AB$1006:$AQ$1006,0)))),"Fix")))</f>
        <v>0</v>
      </c>
      <c r="N104" s="4">
        <f>IF(OR(INDEX($V$2:$V$1001,MATCH(ROWS($U$2:U104),$U$2:$U$1001,0),1)&gt;=100000,INDEX($AB$1005:$AQ$1005,1,MATCH(COLUMNS($AB$1006:AN1006),$AB$1006:$AQ$1006,0))&gt;=100000), " ",IF(INDEX($AB$2:$AQ$1001,MATCH(ROWS($U$2:U104),$U$2:$U$1001,0),MATCH(COLUMNS($AB$1006:AN1006),$AB$1006:$AQ$1006,0)), HYPERLINK("#",""), HYPERLINK(CONCATENATE("#metadata!", ADDRESS(INDEX($W$2:$W$1001,MATCH(ROWS($U$2:U104),$U$2:$U$1001,0),0), INDEX($AB$1004:$AQ$1004,1,MATCH(COLUMNS($AB$1006:AN1006),$AB$1006:$AQ$1006,0)))),"Fix")))</f>
        <v>0</v>
      </c>
      <c r="O104" s="4">
        <f>IF(OR(INDEX($V$2:$V$1001,MATCH(ROWS($U$2:U104),$U$2:$U$1001,0),1)&gt;=100000,INDEX($AB$1005:$AQ$1005,1,MATCH(COLUMNS($AB$1006:AO1006),$AB$1006:$AQ$1006,0))&gt;=100000), " ",IF(INDEX($AB$2:$AQ$1001,MATCH(ROWS($U$2:U104),$U$2:$U$1001,0),MATCH(COLUMNS($AB$1006:AO1006),$AB$1006:$AQ$1006,0)), HYPERLINK("#",""), HYPERLINK(CONCATENATE("#metadata!", ADDRESS(INDEX($W$2:$W$1001,MATCH(ROWS($U$2:U104),$U$2:$U$1001,0),0), INDEX($AB$1004:$AQ$1004,1,MATCH(COLUMNS($AB$1006:AO1006),$AB$1006:$AQ$1006,0)))),"Fix")))</f>
        <v>0</v>
      </c>
      <c r="P104" s="4">
        <f>IF(OR(INDEX($V$2:$V$1001,MATCH(ROWS($U$2:U104),$U$2:$U$1001,0),1)&gt;=100000,INDEX($AB$1005:$AQ$1005,1,MATCH(COLUMNS($AB$1006:AP1006),$AB$1006:$AQ$1006,0))&gt;=100000), " ",IF(INDEX($AB$2:$AQ$1001,MATCH(ROWS($U$2:U104),$U$2:$U$1001,0),MATCH(COLUMNS($AB$1006:AP1006),$AB$1006:$AQ$1006,0)), HYPERLINK("#",""), HYPERLINK(CONCATENATE("#metadata!", ADDRESS(INDEX($W$2:$W$1001,MATCH(ROWS($U$2:U104),$U$2:$U$1001,0),0), INDEX($AB$1004:$AQ$1004,1,MATCH(COLUMNS($AB$1006:AP1006),$AB$1006:$AQ$1006,0)))),"Fix")))</f>
        <v>0</v>
      </c>
      <c r="Q104" s="4">
        <f>IF(OR(INDEX($V$2:$V$1001,MATCH(ROWS($U$2:U104),$U$2:$U$1001,0),1)&gt;=100000,INDEX($AB$1005:$AQ$1005,1,MATCH(COLUMNS($AB$1006:AQ1006),$AB$1006:$AQ$1006,0))&gt;=100000), " ",IF(INDEX($AB$2:$AQ$1001,MATCH(ROWS($U$2:U104),$U$2:$U$1001,0),MATCH(COLUMNS($AB$1006:AQ1006),$AB$1006:$AQ$1006,0)), HYPERLINK("#",""), HYPERLINK(CONCATENATE("#metadata!", ADDRESS(INDEX($W$2:$W$1001,MATCH(ROWS($U$2:U104),$U$2:$U$1001,0),0), INDEX($AB$1004:$AQ$1004,1,MATCH(COLUMNS($AB$1006:AQ1006),$AB$1006:$AQ$1006,0)))),"Fix")))</f>
        <v>0</v>
      </c>
      <c r="U104">
        <v>0</v>
      </c>
      <c r="V104">
        <v>0</v>
      </c>
      <c r="W104">
        <v>0</v>
      </c>
      <c r="X104">
        <f>IF(Y104,TRUE,AND(AB104:AQ104))</f>
        <v>0</v>
      </c>
      <c r="Y104">
        <f>COUNTBLANK(metadata!B104:Q104)=COLUMNS(metadata!B104:Q104)</f>
        <v>0</v>
      </c>
      <c r="Z104">
        <v>0</v>
      </c>
      <c r="AB104">
        <f>AND(IF(metadata!B104="",FALSE,TRUE),COUNTIF(metadata!B:B, metadata!B104) = 1,NOT(ISERROR(SUMPRODUCT(SEARCH(MID(metadata!B104,ROW(INDIRECT("1:"&amp;LEN(metadata!B104))), 1),"0123456789abcdefghijklmnopqrstuvwxyzABCDEFGHIJKLMNOPQRSTUVWXYZ.")))))</f>
        <v>0</v>
      </c>
      <c r="AC104">
        <f>OR(AND(IF(metadata!C104="",FALSE,TRUE),OR(exact(metadata!C104,"missing: not collected"),exact(metadata!C104,"missing: not provided"),exact(metadata!C104,"missing: restricted access"))),AND(IF(metadata!C104="",FALSE,TRUE),AND(AND(IFERROR(INT(LEFT(metadata!C104,4))&gt;1900,FALSE),IFERROR(INT(LEFT(metadata!C104,4))&lt;=YEAR(NOW()),FALSE)), OR(MID(metadata!C104,5,1)="", AND(AND(MID(metadata!C104,5,1)="-",IFERROR(INT(MID(metadata!C104,6,1))&gt;=0,FALSE),IFERROR(INT(MID(metadata!C104,6,1))&lt;=1,FALSE),NOT(MID(metadata!C104,7,1)=""),IFERROR(INT(MID(metadata!C104,6,2))&gt;=1,FALSE),IFERROR(INT(MID(metadata!C104,6,2))&lt;=12,FALSE)), OR(MID(metadata!C104,8,1)="", AND(AND(MID(metadata!C104,8,1)="-",IFERROR(INT(MID(metadata!C104,9,1))&gt;=0,FALSE),IFERROR(INT(MID(metadata!C104,9,1))&lt;=3,FALSE),NOT(MID(metadata!C104,10,1)=""),IFERROR(INT(MID(metadata!C104,9,2))&gt;=1,FALSE),IFERROR(INT(MID(metadata!C104,9,2))&lt;=31,FALSE)), OR(MID(metadata!C104,11,1)="", AND(AND(MID(metadata!C104,11,1)=" ",IFERROR(INT(MID(metadata!C104,12,1))&gt;=0,FALSE),IFERROR(INT(MID(metadata!C104,12,1))&lt;=2,FALSE),NOT(MID(metadata!C104,13,1)=""),IFERROR(INT(MID(metadata!C104,12,2))&gt;=0,FALSE),IFERROR(INT(MID(metadata!C104,12,2))&lt;=23,FALSE)), OR(MID(metadata!C104,14,1)="", AND(AND(MID(metadata!C104,14,1)=":",IFERROR(INT(MID(metadata!C104,15,1))&gt;=0,FALSE),IFERROR(INT(MID(metadata!C104,15,1))&lt;=5,FALSE),NOT(MID(metadata!C104,16,1)=""),IFERROR(INT(MID(metadata!C104,15,2))&gt;=0,FALSE),IFERROR(INT(MID(metadata!C104,15,2))&lt;=59,FALSE)), OR(MID(metadata!C104,17,1)="", AND(AND(MID(metadata!C104,17,1)=":",IFERROR(INT(MID(metadata!C104,18,1))&gt;=0,FALSE),IFERROR(INT(MID(metadata!C104,18,1))&lt;=5,FALSE),NOT(MID(metadata!C104,19,1)=""),IFERROR(INT(MID(metadata!C104,18,2))&gt;=0,FALSE),IFERROR(INT(MID(metadata!C104,18,2))&lt;=59,FALSE)), LEN(metadata!C104)&lt;=19)))))))))))))</f>
        <v>0</v>
      </c>
      <c r="AD104">
        <f>IF(metadata!D104="",FALSE,TRUE)</f>
        <v>0</v>
      </c>
      <c r="AE104">
        <f>OR(AND(IF(metadata!E104="",FALSE,TRUE),OR(exact(metadata!E104,"missing: not collected"),exact(metadata!E104,"missing: not provided"))),AND(IF(metadata!E104="",FALSE,TRUE),OR(exact(metadata!E104,"TRUE"),exact(metadata!E104,"FALSE"))))</f>
        <v>0</v>
      </c>
      <c r="AF104">
        <f>IF(metadata!F104="",FALSE,TRUE)</f>
        <v>0</v>
      </c>
      <c r="AG104">
        <f>IF(metadata!G104="",FALSE,TRUE)</f>
        <v>0</v>
      </c>
      <c r="AH104">
        <f>IF(metadata!H104="",FALSE,TRUE)</f>
        <v>0</v>
      </c>
      <c r="AI104">
        <f>OR(AND(IF(metadata!I104="",FALSE,TRUE),OR(exact(metadata!I104,"missing: not collected"),exact(metadata!I104,"missing: not provided"),exact(metadata!I104,"missing: restricted access"))),AND(IF(metadata!I104="",FALSE,TRUE),OR(exact(metadata!I104,"air"),exact(metadata!I104,"built environment"),exact(metadata!I104,"host-associated"),exact(metadata!I104,"human-associated"),exact(metadata!I104,"human-skin"),exact(metadata!I104,"human-oral"),exact(metadata!I104,"human-gut"),exact(metadata!I104,"human-vaginal"),exact(metadata!I104,"microbial mat/biofilm"),exact(metadata!I104,"misc environment"),exact(metadata!I104,"plant-associated"),exact(metadata!I104,"sediment"),exact(metadata!I104,"soil"),exact(metadata!I104,"wastewater/sludge"),exact(metadata!I104,"water"))))</f>
        <v>0</v>
      </c>
      <c r="AJ104">
        <f>IF(metadata!J104="",FALSE,TRUE)</f>
        <v>0</v>
      </c>
      <c r="AK104">
        <f>OR(AND(IF(metadata!K104="",FALSE,TRUE),OR(exact(metadata!K104,"missing: not collected"),exact(metadata!K104,"missing: not provided"),exact(metadata!K104,"missing: restricted access"))),AND(IF(metadata!K104="",FALSE,ISNUMBER(VALUE(metadata!K104))),metadata!K104&gt;=-90.00,metadata!K104&lt;=90.00))</f>
        <v>0</v>
      </c>
      <c r="AL104">
        <f>OR(AND(IF(metadata!L104="",FALSE,TRUE),OR(exact(metadata!L104,"missing: not collected"),exact(metadata!L104,"missing: not provided"),exact(metadata!L104,"missing: restricted access"))),AND(IF(metadata!L104="",FALSE,ISNUMBER(VALUE(metadata!L104))),metadata!L104&gt;=-180.00,metadata!L104&lt;=180.00))</f>
        <v>0</v>
      </c>
      <c r="AM104">
        <f>IF(metadata!M104="",FALSE,TRUE)</f>
        <v>0</v>
      </c>
      <c r="AN104">
        <f>OR(AND(IF(metadata!N104="",FALSE,TRUE),OR(exact(metadata!N104,"missing: not collected"),exact(metadata!N104,"missing: not provided"),exact(metadata!N104,"missing: restricted access"))),AND(IF(metadata!N104="",FALSE,TRUE),OR(exact(metadata!N104,"TRUE"),exact(metadata!N104,"FALSE"))))</f>
        <v>0</v>
      </c>
      <c r="AO104">
        <f>IF(metadata!O104="",FALSE,TRUE)</f>
        <v>0</v>
      </c>
      <c r="AP104">
        <f>OR(AND(IF(metadata!P104="",FALSE,TRUE),OR(exact(metadata!P104,"missing: not collected"),exact(metadata!P104,"missing: not provided"))),AND(IF(metadata!P104="",FALSE,IF(ISERROR(INT(metadata!P104)),FALSE,INT(metadata!P104)=metadata!P104)),metadata!P104&gt;0))</f>
        <v>0</v>
      </c>
      <c r="AQ104">
        <f>IF(metadata!Q104="",FALSE,TRUE)</f>
        <v>0</v>
      </c>
    </row>
    <row r="105" spans="1:43">
      <c r="A105" s="5">
        <f>IF(B105=" "," ",HYPERLINK(CONCATENATE("#metadata!",ADDRESS(INDEX($W$2:$W$1001,MATCH(ROWS($U$2:U105),$U$2:$U$1001,0),0),1)),INDEX($Z$2:$Z$1001,MATCH(ROWS($U$2:U105),$U$2:$U$1001,0),0)))</f>
        <v>0</v>
      </c>
      <c r="B105" s="4">
        <f>IF(OR(INDEX($V$2:$V$1001,MATCH(ROWS($U$2:U105),$U$2:$U$1001,0),1)&gt;=100000,INDEX($AB$1005:$AQ$1005,1,MATCH(COLUMNS($AB$1006:AB1006),$AB$1006:$AQ$1006,0))&gt;=100000), " ",IF(INDEX($AB$2:$AQ$1001,MATCH(ROWS($U$2:U105),$U$2:$U$1001,0),MATCH(COLUMNS($AB$1006:AB1006),$AB$1006:$AQ$1006,0)), HYPERLINK("#",""), HYPERLINK(CONCATENATE("#metadata!", ADDRESS(INDEX($W$2:$W$1001,MATCH(ROWS($U$2:U105),$U$2:$U$1001,0),0), INDEX($AB$1004:$AQ$1004,1,MATCH(COLUMNS($AB$1006:AB1006),$AB$1006:$AQ$1006,0)))),"Fix")))</f>
        <v>0</v>
      </c>
      <c r="C105" s="4">
        <f>IF(OR(INDEX($V$2:$V$1001,MATCH(ROWS($U$2:U105),$U$2:$U$1001,0),1)&gt;=100000,INDEX($AB$1005:$AQ$1005,1,MATCH(COLUMNS($AB$1006:AC1006),$AB$1006:$AQ$1006,0))&gt;=100000), " ",IF(INDEX($AB$2:$AQ$1001,MATCH(ROWS($U$2:U105),$U$2:$U$1001,0),MATCH(COLUMNS($AB$1006:AC1006),$AB$1006:$AQ$1006,0)), HYPERLINK("#",""), HYPERLINK(CONCATENATE("#metadata!", ADDRESS(INDEX($W$2:$W$1001,MATCH(ROWS($U$2:U105),$U$2:$U$1001,0),0), INDEX($AB$1004:$AQ$1004,1,MATCH(COLUMNS($AB$1006:AC1006),$AB$1006:$AQ$1006,0)))),"Fix")))</f>
        <v>0</v>
      </c>
      <c r="D105" s="4">
        <f>IF(OR(INDEX($V$2:$V$1001,MATCH(ROWS($U$2:U105),$U$2:$U$1001,0),1)&gt;=100000,INDEX($AB$1005:$AQ$1005,1,MATCH(COLUMNS($AB$1006:AD1006),$AB$1006:$AQ$1006,0))&gt;=100000), " ",IF(INDEX($AB$2:$AQ$1001,MATCH(ROWS($U$2:U105),$U$2:$U$1001,0),MATCH(COLUMNS($AB$1006:AD1006),$AB$1006:$AQ$1006,0)), HYPERLINK("#",""), HYPERLINK(CONCATENATE("#metadata!", ADDRESS(INDEX($W$2:$W$1001,MATCH(ROWS($U$2:U105),$U$2:$U$1001,0),0), INDEX($AB$1004:$AQ$1004,1,MATCH(COLUMNS($AB$1006:AD1006),$AB$1006:$AQ$1006,0)))),"Fix")))</f>
        <v>0</v>
      </c>
      <c r="E105" s="4">
        <f>IF(OR(INDEX($V$2:$V$1001,MATCH(ROWS($U$2:U105),$U$2:$U$1001,0),1)&gt;=100000,INDEX($AB$1005:$AQ$1005,1,MATCH(COLUMNS($AB$1006:AE1006),$AB$1006:$AQ$1006,0))&gt;=100000), " ",IF(INDEX($AB$2:$AQ$1001,MATCH(ROWS($U$2:U105),$U$2:$U$1001,0),MATCH(COLUMNS($AB$1006:AE1006),$AB$1006:$AQ$1006,0)), HYPERLINK("#",""), HYPERLINK(CONCATENATE("#metadata!", ADDRESS(INDEX($W$2:$W$1001,MATCH(ROWS($U$2:U105),$U$2:$U$1001,0),0), INDEX($AB$1004:$AQ$1004,1,MATCH(COLUMNS($AB$1006:AE1006),$AB$1006:$AQ$1006,0)))),"Fix")))</f>
        <v>0</v>
      </c>
      <c r="F105" s="4">
        <f>IF(OR(INDEX($V$2:$V$1001,MATCH(ROWS($U$2:U105),$U$2:$U$1001,0),1)&gt;=100000,INDEX($AB$1005:$AQ$1005,1,MATCH(COLUMNS($AB$1006:AF1006),$AB$1006:$AQ$1006,0))&gt;=100000), " ",IF(INDEX($AB$2:$AQ$1001,MATCH(ROWS($U$2:U105),$U$2:$U$1001,0),MATCH(COLUMNS($AB$1006:AF1006),$AB$1006:$AQ$1006,0)), HYPERLINK("#",""), HYPERLINK(CONCATENATE("#metadata!", ADDRESS(INDEX($W$2:$W$1001,MATCH(ROWS($U$2:U105),$U$2:$U$1001,0),0), INDEX($AB$1004:$AQ$1004,1,MATCH(COLUMNS($AB$1006:AF1006),$AB$1006:$AQ$1006,0)))),"Fix")))</f>
        <v>0</v>
      </c>
      <c r="G105" s="4">
        <f>IF(OR(INDEX($V$2:$V$1001,MATCH(ROWS($U$2:U105),$U$2:$U$1001,0),1)&gt;=100000,INDEX($AB$1005:$AQ$1005,1,MATCH(COLUMNS($AB$1006:AG1006),$AB$1006:$AQ$1006,0))&gt;=100000), " ",IF(INDEX($AB$2:$AQ$1001,MATCH(ROWS($U$2:U105),$U$2:$U$1001,0),MATCH(COLUMNS($AB$1006:AG1006),$AB$1006:$AQ$1006,0)), HYPERLINK("#",""), HYPERLINK(CONCATENATE("#metadata!", ADDRESS(INDEX($W$2:$W$1001,MATCH(ROWS($U$2:U105),$U$2:$U$1001,0),0), INDEX($AB$1004:$AQ$1004,1,MATCH(COLUMNS($AB$1006:AG1006),$AB$1006:$AQ$1006,0)))),"Fix")))</f>
        <v>0</v>
      </c>
      <c r="H105" s="4">
        <f>IF(OR(INDEX($V$2:$V$1001,MATCH(ROWS($U$2:U105),$U$2:$U$1001,0),1)&gt;=100000,INDEX($AB$1005:$AQ$1005,1,MATCH(COLUMNS($AB$1006:AH1006),$AB$1006:$AQ$1006,0))&gt;=100000), " ",IF(INDEX($AB$2:$AQ$1001,MATCH(ROWS($U$2:U105),$U$2:$U$1001,0),MATCH(COLUMNS($AB$1006:AH1006),$AB$1006:$AQ$1006,0)), HYPERLINK("#",""), HYPERLINK(CONCATENATE("#metadata!", ADDRESS(INDEX($W$2:$W$1001,MATCH(ROWS($U$2:U105),$U$2:$U$1001,0),0), INDEX($AB$1004:$AQ$1004,1,MATCH(COLUMNS($AB$1006:AH1006),$AB$1006:$AQ$1006,0)))),"Fix")))</f>
        <v>0</v>
      </c>
      <c r="I105" s="4">
        <f>IF(OR(INDEX($V$2:$V$1001,MATCH(ROWS($U$2:U105),$U$2:$U$1001,0),1)&gt;=100000,INDEX($AB$1005:$AQ$1005,1,MATCH(COLUMNS($AB$1006:AI1006),$AB$1006:$AQ$1006,0))&gt;=100000), " ",IF(INDEX($AB$2:$AQ$1001,MATCH(ROWS($U$2:U105),$U$2:$U$1001,0),MATCH(COLUMNS($AB$1006:AI1006),$AB$1006:$AQ$1006,0)), HYPERLINK("#",""), HYPERLINK(CONCATENATE("#metadata!", ADDRESS(INDEX($W$2:$W$1001,MATCH(ROWS($U$2:U105),$U$2:$U$1001,0),0), INDEX($AB$1004:$AQ$1004,1,MATCH(COLUMNS($AB$1006:AI1006),$AB$1006:$AQ$1006,0)))),"Fix")))</f>
        <v>0</v>
      </c>
      <c r="J105" s="4">
        <f>IF(OR(INDEX($V$2:$V$1001,MATCH(ROWS($U$2:U105),$U$2:$U$1001,0),1)&gt;=100000,INDEX($AB$1005:$AQ$1005,1,MATCH(COLUMNS($AB$1006:AJ1006),$AB$1006:$AQ$1006,0))&gt;=100000), " ",IF(INDEX($AB$2:$AQ$1001,MATCH(ROWS($U$2:U105),$U$2:$U$1001,0),MATCH(COLUMNS($AB$1006:AJ1006),$AB$1006:$AQ$1006,0)), HYPERLINK("#",""), HYPERLINK(CONCATENATE("#metadata!", ADDRESS(INDEX($W$2:$W$1001,MATCH(ROWS($U$2:U105),$U$2:$U$1001,0),0), INDEX($AB$1004:$AQ$1004,1,MATCH(COLUMNS($AB$1006:AJ1006),$AB$1006:$AQ$1006,0)))),"Fix")))</f>
        <v>0</v>
      </c>
      <c r="K105" s="4">
        <f>IF(OR(INDEX($V$2:$V$1001,MATCH(ROWS($U$2:U105),$U$2:$U$1001,0),1)&gt;=100000,INDEX($AB$1005:$AQ$1005,1,MATCH(COLUMNS($AB$1006:AK1006),$AB$1006:$AQ$1006,0))&gt;=100000), " ",IF(INDEX($AB$2:$AQ$1001,MATCH(ROWS($U$2:U105),$U$2:$U$1001,0),MATCH(COLUMNS($AB$1006:AK1006),$AB$1006:$AQ$1006,0)), HYPERLINK("#",""), HYPERLINK(CONCATENATE("#metadata!", ADDRESS(INDEX($W$2:$W$1001,MATCH(ROWS($U$2:U105),$U$2:$U$1001,0),0), INDEX($AB$1004:$AQ$1004,1,MATCH(COLUMNS($AB$1006:AK1006),$AB$1006:$AQ$1006,0)))),"Fix")))</f>
        <v>0</v>
      </c>
      <c r="L105" s="4">
        <f>IF(OR(INDEX($V$2:$V$1001,MATCH(ROWS($U$2:U105),$U$2:$U$1001,0),1)&gt;=100000,INDEX($AB$1005:$AQ$1005,1,MATCH(COLUMNS($AB$1006:AL1006),$AB$1006:$AQ$1006,0))&gt;=100000), " ",IF(INDEX($AB$2:$AQ$1001,MATCH(ROWS($U$2:U105),$U$2:$U$1001,0),MATCH(COLUMNS($AB$1006:AL1006),$AB$1006:$AQ$1006,0)), HYPERLINK("#",""), HYPERLINK(CONCATENATE("#metadata!", ADDRESS(INDEX($W$2:$W$1001,MATCH(ROWS($U$2:U105),$U$2:$U$1001,0),0), INDEX($AB$1004:$AQ$1004,1,MATCH(COLUMNS($AB$1006:AL1006),$AB$1006:$AQ$1006,0)))),"Fix")))</f>
        <v>0</v>
      </c>
      <c r="M105" s="4">
        <f>IF(OR(INDEX($V$2:$V$1001,MATCH(ROWS($U$2:U105),$U$2:$U$1001,0),1)&gt;=100000,INDEX($AB$1005:$AQ$1005,1,MATCH(COLUMNS($AB$1006:AM1006),$AB$1006:$AQ$1006,0))&gt;=100000), " ",IF(INDEX($AB$2:$AQ$1001,MATCH(ROWS($U$2:U105),$U$2:$U$1001,0),MATCH(COLUMNS($AB$1006:AM1006),$AB$1006:$AQ$1006,0)), HYPERLINK("#",""), HYPERLINK(CONCATENATE("#metadata!", ADDRESS(INDEX($W$2:$W$1001,MATCH(ROWS($U$2:U105),$U$2:$U$1001,0),0), INDEX($AB$1004:$AQ$1004,1,MATCH(COLUMNS($AB$1006:AM1006),$AB$1006:$AQ$1006,0)))),"Fix")))</f>
        <v>0</v>
      </c>
      <c r="N105" s="4">
        <f>IF(OR(INDEX($V$2:$V$1001,MATCH(ROWS($U$2:U105),$U$2:$U$1001,0),1)&gt;=100000,INDEX($AB$1005:$AQ$1005,1,MATCH(COLUMNS($AB$1006:AN1006),$AB$1006:$AQ$1006,0))&gt;=100000), " ",IF(INDEX($AB$2:$AQ$1001,MATCH(ROWS($U$2:U105),$U$2:$U$1001,0),MATCH(COLUMNS($AB$1006:AN1006),$AB$1006:$AQ$1006,0)), HYPERLINK("#",""), HYPERLINK(CONCATENATE("#metadata!", ADDRESS(INDEX($W$2:$W$1001,MATCH(ROWS($U$2:U105),$U$2:$U$1001,0),0), INDEX($AB$1004:$AQ$1004,1,MATCH(COLUMNS($AB$1006:AN1006),$AB$1006:$AQ$1006,0)))),"Fix")))</f>
        <v>0</v>
      </c>
      <c r="O105" s="4">
        <f>IF(OR(INDEX($V$2:$V$1001,MATCH(ROWS($U$2:U105),$U$2:$U$1001,0),1)&gt;=100000,INDEX($AB$1005:$AQ$1005,1,MATCH(COLUMNS($AB$1006:AO1006),$AB$1006:$AQ$1006,0))&gt;=100000), " ",IF(INDEX($AB$2:$AQ$1001,MATCH(ROWS($U$2:U105),$U$2:$U$1001,0),MATCH(COLUMNS($AB$1006:AO1006),$AB$1006:$AQ$1006,0)), HYPERLINK("#",""), HYPERLINK(CONCATENATE("#metadata!", ADDRESS(INDEX($W$2:$W$1001,MATCH(ROWS($U$2:U105),$U$2:$U$1001,0),0), INDEX($AB$1004:$AQ$1004,1,MATCH(COLUMNS($AB$1006:AO1006),$AB$1006:$AQ$1006,0)))),"Fix")))</f>
        <v>0</v>
      </c>
      <c r="P105" s="4">
        <f>IF(OR(INDEX($V$2:$V$1001,MATCH(ROWS($U$2:U105),$U$2:$U$1001,0),1)&gt;=100000,INDEX($AB$1005:$AQ$1005,1,MATCH(COLUMNS($AB$1006:AP1006),$AB$1006:$AQ$1006,0))&gt;=100000), " ",IF(INDEX($AB$2:$AQ$1001,MATCH(ROWS($U$2:U105),$U$2:$U$1001,0),MATCH(COLUMNS($AB$1006:AP1006),$AB$1006:$AQ$1006,0)), HYPERLINK("#",""), HYPERLINK(CONCATENATE("#metadata!", ADDRESS(INDEX($W$2:$W$1001,MATCH(ROWS($U$2:U105),$U$2:$U$1001,0),0), INDEX($AB$1004:$AQ$1004,1,MATCH(COLUMNS($AB$1006:AP1006),$AB$1006:$AQ$1006,0)))),"Fix")))</f>
        <v>0</v>
      </c>
      <c r="Q105" s="4">
        <f>IF(OR(INDEX($V$2:$V$1001,MATCH(ROWS($U$2:U105),$U$2:$U$1001,0),1)&gt;=100000,INDEX($AB$1005:$AQ$1005,1,MATCH(COLUMNS($AB$1006:AQ1006),$AB$1006:$AQ$1006,0))&gt;=100000), " ",IF(INDEX($AB$2:$AQ$1001,MATCH(ROWS($U$2:U105),$U$2:$U$1001,0),MATCH(COLUMNS($AB$1006:AQ1006),$AB$1006:$AQ$1006,0)), HYPERLINK("#",""), HYPERLINK(CONCATENATE("#metadata!", ADDRESS(INDEX($W$2:$W$1001,MATCH(ROWS($U$2:U105),$U$2:$U$1001,0),0), INDEX($AB$1004:$AQ$1004,1,MATCH(COLUMNS($AB$1006:AQ1006),$AB$1006:$AQ$1006,0)))),"Fix")))</f>
        <v>0</v>
      </c>
      <c r="U105">
        <v>0</v>
      </c>
      <c r="V105">
        <v>0</v>
      </c>
      <c r="W105">
        <v>0</v>
      </c>
      <c r="X105">
        <f>IF(Y105,TRUE,AND(AB105:AQ105))</f>
        <v>0</v>
      </c>
      <c r="Y105">
        <f>COUNTBLANK(metadata!B105:Q105)=COLUMNS(metadata!B105:Q105)</f>
        <v>0</v>
      </c>
      <c r="Z105">
        <v>0</v>
      </c>
      <c r="AB105">
        <f>AND(IF(metadata!B105="",FALSE,TRUE),COUNTIF(metadata!B:B, metadata!B105) = 1,NOT(ISERROR(SUMPRODUCT(SEARCH(MID(metadata!B105,ROW(INDIRECT("1:"&amp;LEN(metadata!B105))), 1),"0123456789abcdefghijklmnopqrstuvwxyzABCDEFGHIJKLMNOPQRSTUVWXYZ.")))))</f>
        <v>0</v>
      </c>
      <c r="AC105">
        <f>OR(AND(IF(metadata!C105="",FALSE,TRUE),OR(exact(metadata!C105,"missing: not collected"),exact(metadata!C105,"missing: not provided"),exact(metadata!C105,"missing: restricted access"))),AND(IF(metadata!C105="",FALSE,TRUE),AND(AND(IFERROR(INT(LEFT(metadata!C105,4))&gt;1900,FALSE),IFERROR(INT(LEFT(metadata!C105,4))&lt;=YEAR(NOW()),FALSE)), OR(MID(metadata!C105,5,1)="", AND(AND(MID(metadata!C105,5,1)="-",IFERROR(INT(MID(metadata!C105,6,1))&gt;=0,FALSE),IFERROR(INT(MID(metadata!C105,6,1))&lt;=1,FALSE),NOT(MID(metadata!C105,7,1)=""),IFERROR(INT(MID(metadata!C105,6,2))&gt;=1,FALSE),IFERROR(INT(MID(metadata!C105,6,2))&lt;=12,FALSE)), OR(MID(metadata!C105,8,1)="", AND(AND(MID(metadata!C105,8,1)="-",IFERROR(INT(MID(metadata!C105,9,1))&gt;=0,FALSE),IFERROR(INT(MID(metadata!C105,9,1))&lt;=3,FALSE),NOT(MID(metadata!C105,10,1)=""),IFERROR(INT(MID(metadata!C105,9,2))&gt;=1,FALSE),IFERROR(INT(MID(metadata!C105,9,2))&lt;=31,FALSE)), OR(MID(metadata!C105,11,1)="", AND(AND(MID(metadata!C105,11,1)=" ",IFERROR(INT(MID(metadata!C105,12,1))&gt;=0,FALSE),IFERROR(INT(MID(metadata!C105,12,1))&lt;=2,FALSE),NOT(MID(metadata!C105,13,1)=""),IFERROR(INT(MID(metadata!C105,12,2))&gt;=0,FALSE),IFERROR(INT(MID(metadata!C105,12,2))&lt;=23,FALSE)), OR(MID(metadata!C105,14,1)="", AND(AND(MID(metadata!C105,14,1)=":",IFERROR(INT(MID(metadata!C105,15,1))&gt;=0,FALSE),IFERROR(INT(MID(metadata!C105,15,1))&lt;=5,FALSE),NOT(MID(metadata!C105,16,1)=""),IFERROR(INT(MID(metadata!C105,15,2))&gt;=0,FALSE),IFERROR(INT(MID(metadata!C105,15,2))&lt;=59,FALSE)), OR(MID(metadata!C105,17,1)="", AND(AND(MID(metadata!C105,17,1)=":",IFERROR(INT(MID(metadata!C105,18,1))&gt;=0,FALSE),IFERROR(INT(MID(metadata!C105,18,1))&lt;=5,FALSE),NOT(MID(metadata!C105,19,1)=""),IFERROR(INT(MID(metadata!C105,18,2))&gt;=0,FALSE),IFERROR(INT(MID(metadata!C105,18,2))&lt;=59,FALSE)), LEN(metadata!C105)&lt;=19)))))))))))))</f>
        <v>0</v>
      </c>
      <c r="AD105">
        <f>IF(metadata!D105="",FALSE,TRUE)</f>
        <v>0</v>
      </c>
      <c r="AE105">
        <f>OR(AND(IF(metadata!E105="",FALSE,TRUE),OR(exact(metadata!E105,"missing: not collected"),exact(metadata!E105,"missing: not provided"))),AND(IF(metadata!E105="",FALSE,TRUE),OR(exact(metadata!E105,"TRUE"),exact(metadata!E105,"FALSE"))))</f>
        <v>0</v>
      </c>
      <c r="AF105">
        <f>IF(metadata!F105="",FALSE,TRUE)</f>
        <v>0</v>
      </c>
      <c r="AG105">
        <f>IF(metadata!G105="",FALSE,TRUE)</f>
        <v>0</v>
      </c>
      <c r="AH105">
        <f>IF(metadata!H105="",FALSE,TRUE)</f>
        <v>0</v>
      </c>
      <c r="AI105">
        <f>OR(AND(IF(metadata!I105="",FALSE,TRUE),OR(exact(metadata!I105,"missing: not collected"),exact(metadata!I105,"missing: not provided"),exact(metadata!I105,"missing: restricted access"))),AND(IF(metadata!I105="",FALSE,TRUE),OR(exact(metadata!I105,"air"),exact(metadata!I105,"built environment"),exact(metadata!I105,"host-associated"),exact(metadata!I105,"human-associated"),exact(metadata!I105,"human-skin"),exact(metadata!I105,"human-oral"),exact(metadata!I105,"human-gut"),exact(metadata!I105,"human-vaginal"),exact(metadata!I105,"microbial mat/biofilm"),exact(metadata!I105,"misc environment"),exact(metadata!I105,"plant-associated"),exact(metadata!I105,"sediment"),exact(metadata!I105,"soil"),exact(metadata!I105,"wastewater/sludge"),exact(metadata!I105,"water"))))</f>
        <v>0</v>
      </c>
      <c r="AJ105">
        <f>IF(metadata!J105="",FALSE,TRUE)</f>
        <v>0</v>
      </c>
      <c r="AK105">
        <f>OR(AND(IF(metadata!K105="",FALSE,TRUE),OR(exact(metadata!K105,"missing: not collected"),exact(metadata!K105,"missing: not provided"),exact(metadata!K105,"missing: restricted access"))),AND(IF(metadata!K105="",FALSE,ISNUMBER(VALUE(metadata!K105))),metadata!K105&gt;=-90.00,metadata!K105&lt;=90.00))</f>
        <v>0</v>
      </c>
      <c r="AL105">
        <f>OR(AND(IF(metadata!L105="",FALSE,TRUE),OR(exact(metadata!L105,"missing: not collected"),exact(metadata!L105,"missing: not provided"),exact(metadata!L105,"missing: restricted access"))),AND(IF(metadata!L105="",FALSE,ISNUMBER(VALUE(metadata!L105))),metadata!L105&gt;=-180.00,metadata!L105&lt;=180.00))</f>
        <v>0</v>
      </c>
      <c r="AM105">
        <f>IF(metadata!M105="",FALSE,TRUE)</f>
        <v>0</v>
      </c>
      <c r="AN105">
        <f>OR(AND(IF(metadata!N105="",FALSE,TRUE),OR(exact(metadata!N105,"missing: not collected"),exact(metadata!N105,"missing: not provided"),exact(metadata!N105,"missing: restricted access"))),AND(IF(metadata!N105="",FALSE,TRUE),OR(exact(metadata!N105,"TRUE"),exact(metadata!N105,"FALSE"))))</f>
        <v>0</v>
      </c>
      <c r="AO105">
        <f>IF(metadata!O105="",FALSE,TRUE)</f>
        <v>0</v>
      </c>
      <c r="AP105">
        <f>OR(AND(IF(metadata!P105="",FALSE,TRUE),OR(exact(metadata!P105,"missing: not collected"),exact(metadata!P105,"missing: not provided"))),AND(IF(metadata!P105="",FALSE,IF(ISERROR(INT(metadata!P105)),FALSE,INT(metadata!P105)=metadata!P105)),metadata!P105&gt;0))</f>
        <v>0</v>
      </c>
      <c r="AQ105">
        <f>IF(metadata!Q105="",FALSE,TRUE)</f>
        <v>0</v>
      </c>
    </row>
    <row r="106" spans="1:43">
      <c r="A106" s="5">
        <f>IF(B106=" "," ",HYPERLINK(CONCATENATE("#metadata!",ADDRESS(INDEX($W$2:$W$1001,MATCH(ROWS($U$2:U106),$U$2:$U$1001,0),0),1)),INDEX($Z$2:$Z$1001,MATCH(ROWS($U$2:U106),$U$2:$U$1001,0),0)))</f>
        <v>0</v>
      </c>
      <c r="B106" s="4">
        <f>IF(OR(INDEX($V$2:$V$1001,MATCH(ROWS($U$2:U106),$U$2:$U$1001,0),1)&gt;=100000,INDEX($AB$1005:$AQ$1005,1,MATCH(COLUMNS($AB$1006:AB1006),$AB$1006:$AQ$1006,0))&gt;=100000), " ",IF(INDEX($AB$2:$AQ$1001,MATCH(ROWS($U$2:U106),$U$2:$U$1001,0),MATCH(COLUMNS($AB$1006:AB1006),$AB$1006:$AQ$1006,0)), HYPERLINK("#",""), HYPERLINK(CONCATENATE("#metadata!", ADDRESS(INDEX($W$2:$W$1001,MATCH(ROWS($U$2:U106),$U$2:$U$1001,0),0), INDEX($AB$1004:$AQ$1004,1,MATCH(COLUMNS($AB$1006:AB1006),$AB$1006:$AQ$1006,0)))),"Fix")))</f>
        <v>0</v>
      </c>
      <c r="C106" s="4">
        <f>IF(OR(INDEX($V$2:$V$1001,MATCH(ROWS($U$2:U106),$U$2:$U$1001,0),1)&gt;=100000,INDEX($AB$1005:$AQ$1005,1,MATCH(COLUMNS($AB$1006:AC1006),$AB$1006:$AQ$1006,0))&gt;=100000), " ",IF(INDEX($AB$2:$AQ$1001,MATCH(ROWS($U$2:U106),$U$2:$U$1001,0),MATCH(COLUMNS($AB$1006:AC1006),$AB$1006:$AQ$1006,0)), HYPERLINK("#",""), HYPERLINK(CONCATENATE("#metadata!", ADDRESS(INDEX($W$2:$W$1001,MATCH(ROWS($U$2:U106),$U$2:$U$1001,0),0), INDEX($AB$1004:$AQ$1004,1,MATCH(COLUMNS($AB$1006:AC1006),$AB$1006:$AQ$1006,0)))),"Fix")))</f>
        <v>0</v>
      </c>
      <c r="D106" s="4">
        <f>IF(OR(INDEX($V$2:$V$1001,MATCH(ROWS($U$2:U106),$U$2:$U$1001,0),1)&gt;=100000,INDEX($AB$1005:$AQ$1005,1,MATCH(COLUMNS($AB$1006:AD1006),$AB$1006:$AQ$1006,0))&gt;=100000), " ",IF(INDEX($AB$2:$AQ$1001,MATCH(ROWS($U$2:U106),$U$2:$U$1001,0),MATCH(COLUMNS($AB$1006:AD1006),$AB$1006:$AQ$1006,0)), HYPERLINK("#",""), HYPERLINK(CONCATENATE("#metadata!", ADDRESS(INDEX($W$2:$W$1001,MATCH(ROWS($U$2:U106),$U$2:$U$1001,0),0), INDEX($AB$1004:$AQ$1004,1,MATCH(COLUMNS($AB$1006:AD1006),$AB$1006:$AQ$1006,0)))),"Fix")))</f>
        <v>0</v>
      </c>
      <c r="E106" s="4">
        <f>IF(OR(INDEX($V$2:$V$1001,MATCH(ROWS($U$2:U106),$U$2:$U$1001,0),1)&gt;=100000,INDEX($AB$1005:$AQ$1005,1,MATCH(COLUMNS($AB$1006:AE1006),$AB$1006:$AQ$1006,0))&gt;=100000), " ",IF(INDEX($AB$2:$AQ$1001,MATCH(ROWS($U$2:U106),$U$2:$U$1001,0),MATCH(COLUMNS($AB$1006:AE1006),$AB$1006:$AQ$1006,0)), HYPERLINK("#",""), HYPERLINK(CONCATENATE("#metadata!", ADDRESS(INDEX($W$2:$W$1001,MATCH(ROWS($U$2:U106),$U$2:$U$1001,0),0), INDEX($AB$1004:$AQ$1004,1,MATCH(COLUMNS($AB$1006:AE1006),$AB$1006:$AQ$1006,0)))),"Fix")))</f>
        <v>0</v>
      </c>
      <c r="F106" s="4">
        <f>IF(OR(INDEX($V$2:$V$1001,MATCH(ROWS($U$2:U106),$U$2:$U$1001,0),1)&gt;=100000,INDEX($AB$1005:$AQ$1005,1,MATCH(COLUMNS($AB$1006:AF1006),$AB$1006:$AQ$1006,0))&gt;=100000), " ",IF(INDEX($AB$2:$AQ$1001,MATCH(ROWS($U$2:U106),$U$2:$U$1001,0),MATCH(COLUMNS($AB$1006:AF1006),$AB$1006:$AQ$1006,0)), HYPERLINK("#",""), HYPERLINK(CONCATENATE("#metadata!", ADDRESS(INDEX($W$2:$W$1001,MATCH(ROWS($U$2:U106),$U$2:$U$1001,0),0), INDEX($AB$1004:$AQ$1004,1,MATCH(COLUMNS($AB$1006:AF1006),$AB$1006:$AQ$1006,0)))),"Fix")))</f>
        <v>0</v>
      </c>
      <c r="G106" s="4">
        <f>IF(OR(INDEX($V$2:$V$1001,MATCH(ROWS($U$2:U106),$U$2:$U$1001,0),1)&gt;=100000,INDEX($AB$1005:$AQ$1005,1,MATCH(COLUMNS($AB$1006:AG1006),$AB$1006:$AQ$1006,0))&gt;=100000), " ",IF(INDEX($AB$2:$AQ$1001,MATCH(ROWS($U$2:U106),$U$2:$U$1001,0),MATCH(COLUMNS($AB$1006:AG1006),$AB$1006:$AQ$1006,0)), HYPERLINK("#",""), HYPERLINK(CONCATENATE("#metadata!", ADDRESS(INDEX($W$2:$W$1001,MATCH(ROWS($U$2:U106),$U$2:$U$1001,0),0), INDEX($AB$1004:$AQ$1004,1,MATCH(COLUMNS($AB$1006:AG1006),$AB$1006:$AQ$1006,0)))),"Fix")))</f>
        <v>0</v>
      </c>
      <c r="H106" s="4">
        <f>IF(OR(INDEX($V$2:$V$1001,MATCH(ROWS($U$2:U106),$U$2:$U$1001,0),1)&gt;=100000,INDEX($AB$1005:$AQ$1005,1,MATCH(COLUMNS($AB$1006:AH1006),$AB$1006:$AQ$1006,0))&gt;=100000), " ",IF(INDEX($AB$2:$AQ$1001,MATCH(ROWS($U$2:U106),$U$2:$U$1001,0),MATCH(COLUMNS($AB$1006:AH1006),$AB$1006:$AQ$1006,0)), HYPERLINK("#",""), HYPERLINK(CONCATENATE("#metadata!", ADDRESS(INDEX($W$2:$W$1001,MATCH(ROWS($U$2:U106),$U$2:$U$1001,0),0), INDEX($AB$1004:$AQ$1004,1,MATCH(COLUMNS($AB$1006:AH1006),$AB$1006:$AQ$1006,0)))),"Fix")))</f>
        <v>0</v>
      </c>
      <c r="I106" s="4">
        <f>IF(OR(INDEX($V$2:$V$1001,MATCH(ROWS($U$2:U106),$U$2:$U$1001,0),1)&gt;=100000,INDEX($AB$1005:$AQ$1005,1,MATCH(COLUMNS($AB$1006:AI1006),$AB$1006:$AQ$1006,0))&gt;=100000), " ",IF(INDEX($AB$2:$AQ$1001,MATCH(ROWS($U$2:U106),$U$2:$U$1001,0),MATCH(COLUMNS($AB$1006:AI1006),$AB$1006:$AQ$1006,0)), HYPERLINK("#",""), HYPERLINK(CONCATENATE("#metadata!", ADDRESS(INDEX($W$2:$W$1001,MATCH(ROWS($U$2:U106),$U$2:$U$1001,0),0), INDEX($AB$1004:$AQ$1004,1,MATCH(COLUMNS($AB$1006:AI1006),$AB$1006:$AQ$1006,0)))),"Fix")))</f>
        <v>0</v>
      </c>
      <c r="J106" s="4">
        <f>IF(OR(INDEX($V$2:$V$1001,MATCH(ROWS($U$2:U106),$U$2:$U$1001,0),1)&gt;=100000,INDEX($AB$1005:$AQ$1005,1,MATCH(COLUMNS($AB$1006:AJ1006),$AB$1006:$AQ$1006,0))&gt;=100000), " ",IF(INDEX($AB$2:$AQ$1001,MATCH(ROWS($U$2:U106),$U$2:$U$1001,0),MATCH(COLUMNS($AB$1006:AJ1006),$AB$1006:$AQ$1006,0)), HYPERLINK("#",""), HYPERLINK(CONCATENATE("#metadata!", ADDRESS(INDEX($W$2:$W$1001,MATCH(ROWS($U$2:U106),$U$2:$U$1001,0),0), INDEX($AB$1004:$AQ$1004,1,MATCH(COLUMNS($AB$1006:AJ1006),$AB$1006:$AQ$1006,0)))),"Fix")))</f>
        <v>0</v>
      </c>
      <c r="K106" s="4">
        <f>IF(OR(INDEX($V$2:$V$1001,MATCH(ROWS($U$2:U106),$U$2:$U$1001,0),1)&gt;=100000,INDEX($AB$1005:$AQ$1005,1,MATCH(COLUMNS($AB$1006:AK1006),$AB$1006:$AQ$1006,0))&gt;=100000), " ",IF(INDEX($AB$2:$AQ$1001,MATCH(ROWS($U$2:U106),$U$2:$U$1001,0),MATCH(COLUMNS($AB$1006:AK1006),$AB$1006:$AQ$1006,0)), HYPERLINK("#",""), HYPERLINK(CONCATENATE("#metadata!", ADDRESS(INDEX($W$2:$W$1001,MATCH(ROWS($U$2:U106),$U$2:$U$1001,0),0), INDEX($AB$1004:$AQ$1004,1,MATCH(COLUMNS($AB$1006:AK1006),$AB$1006:$AQ$1006,0)))),"Fix")))</f>
        <v>0</v>
      </c>
      <c r="L106" s="4">
        <f>IF(OR(INDEX($V$2:$V$1001,MATCH(ROWS($U$2:U106),$U$2:$U$1001,0),1)&gt;=100000,INDEX($AB$1005:$AQ$1005,1,MATCH(COLUMNS($AB$1006:AL1006),$AB$1006:$AQ$1006,0))&gt;=100000), " ",IF(INDEX($AB$2:$AQ$1001,MATCH(ROWS($U$2:U106),$U$2:$U$1001,0),MATCH(COLUMNS($AB$1006:AL1006),$AB$1006:$AQ$1006,0)), HYPERLINK("#",""), HYPERLINK(CONCATENATE("#metadata!", ADDRESS(INDEX($W$2:$W$1001,MATCH(ROWS($U$2:U106),$U$2:$U$1001,0),0), INDEX($AB$1004:$AQ$1004,1,MATCH(COLUMNS($AB$1006:AL1006),$AB$1006:$AQ$1006,0)))),"Fix")))</f>
        <v>0</v>
      </c>
      <c r="M106" s="4">
        <f>IF(OR(INDEX($V$2:$V$1001,MATCH(ROWS($U$2:U106),$U$2:$U$1001,0),1)&gt;=100000,INDEX($AB$1005:$AQ$1005,1,MATCH(COLUMNS($AB$1006:AM1006),$AB$1006:$AQ$1006,0))&gt;=100000), " ",IF(INDEX($AB$2:$AQ$1001,MATCH(ROWS($U$2:U106),$U$2:$U$1001,0),MATCH(COLUMNS($AB$1006:AM1006),$AB$1006:$AQ$1006,0)), HYPERLINK("#",""), HYPERLINK(CONCATENATE("#metadata!", ADDRESS(INDEX($W$2:$W$1001,MATCH(ROWS($U$2:U106),$U$2:$U$1001,0),0), INDEX($AB$1004:$AQ$1004,1,MATCH(COLUMNS($AB$1006:AM1006),$AB$1006:$AQ$1006,0)))),"Fix")))</f>
        <v>0</v>
      </c>
      <c r="N106" s="4">
        <f>IF(OR(INDEX($V$2:$V$1001,MATCH(ROWS($U$2:U106),$U$2:$U$1001,0),1)&gt;=100000,INDEX($AB$1005:$AQ$1005,1,MATCH(COLUMNS($AB$1006:AN1006),$AB$1006:$AQ$1006,0))&gt;=100000), " ",IF(INDEX($AB$2:$AQ$1001,MATCH(ROWS($U$2:U106),$U$2:$U$1001,0),MATCH(COLUMNS($AB$1006:AN1006),$AB$1006:$AQ$1006,0)), HYPERLINK("#",""), HYPERLINK(CONCATENATE("#metadata!", ADDRESS(INDEX($W$2:$W$1001,MATCH(ROWS($U$2:U106),$U$2:$U$1001,0),0), INDEX($AB$1004:$AQ$1004,1,MATCH(COLUMNS($AB$1006:AN1006),$AB$1006:$AQ$1006,0)))),"Fix")))</f>
        <v>0</v>
      </c>
      <c r="O106" s="4">
        <f>IF(OR(INDEX($V$2:$V$1001,MATCH(ROWS($U$2:U106),$U$2:$U$1001,0),1)&gt;=100000,INDEX($AB$1005:$AQ$1005,1,MATCH(COLUMNS($AB$1006:AO1006),$AB$1006:$AQ$1006,0))&gt;=100000), " ",IF(INDEX($AB$2:$AQ$1001,MATCH(ROWS($U$2:U106),$U$2:$U$1001,0),MATCH(COLUMNS($AB$1006:AO1006),$AB$1006:$AQ$1006,0)), HYPERLINK("#",""), HYPERLINK(CONCATENATE("#metadata!", ADDRESS(INDEX($W$2:$W$1001,MATCH(ROWS($U$2:U106),$U$2:$U$1001,0),0), INDEX($AB$1004:$AQ$1004,1,MATCH(COLUMNS($AB$1006:AO1006),$AB$1006:$AQ$1006,0)))),"Fix")))</f>
        <v>0</v>
      </c>
      <c r="P106" s="4">
        <f>IF(OR(INDEX($V$2:$V$1001,MATCH(ROWS($U$2:U106),$U$2:$U$1001,0),1)&gt;=100000,INDEX($AB$1005:$AQ$1005,1,MATCH(COLUMNS($AB$1006:AP1006),$AB$1006:$AQ$1006,0))&gt;=100000), " ",IF(INDEX($AB$2:$AQ$1001,MATCH(ROWS($U$2:U106),$U$2:$U$1001,0),MATCH(COLUMNS($AB$1006:AP1006),$AB$1006:$AQ$1006,0)), HYPERLINK("#",""), HYPERLINK(CONCATENATE("#metadata!", ADDRESS(INDEX($W$2:$W$1001,MATCH(ROWS($U$2:U106),$U$2:$U$1001,0),0), INDEX($AB$1004:$AQ$1004,1,MATCH(COLUMNS($AB$1006:AP1006),$AB$1006:$AQ$1006,0)))),"Fix")))</f>
        <v>0</v>
      </c>
      <c r="Q106" s="4">
        <f>IF(OR(INDEX($V$2:$V$1001,MATCH(ROWS($U$2:U106),$U$2:$U$1001,0),1)&gt;=100000,INDEX($AB$1005:$AQ$1005,1,MATCH(COLUMNS($AB$1006:AQ1006),$AB$1006:$AQ$1006,0))&gt;=100000), " ",IF(INDEX($AB$2:$AQ$1001,MATCH(ROWS($U$2:U106),$U$2:$U$1001,0),MATCH(COLUMNS($AB$1006:AQ1006),$AB$1006:$AQ$1006,0)), HYPERLINK("#",""), HYPERLINK(CONCATENATE("#metadata!", ADDRESS(INDEX($W$2:$W$1001,MATCH(ROWS($U$2:U106),$U$2:$U$1001,0),0), INDEX($AB$1004:$AQ$1004,1,MATCH(COLUMNS($AB$1006:AQ1006),$AB$1006:$AQ$1006,0)))),"Fix")))</f>
        <v>0</v>
      </c>
      <c r="U106">
        <v>0</v>
      </c>
      <c r="V106">
        <v>0</v>
      </c>
      <c r="W106">
        <v>0</v>
      </c>
      <c r="X106">
        <f>IF(Y106,TRUE,AND(AB106:AQ106))</f>
        <v>0</v>
      </c>
      <c r="Y106">
        <f>COUNTBLANK(metadata!B106:Q106)=COLUMNS(metadata!B106:Q106)</f>
        <v>0</v>
      </c>
      <c r="Z106">
        <v>0</v>
      </c>
      <c r="AB106">
        <f>AND(IF(metadata!B106="",FALSE,TRUE),COUNTIF(metadata!B:B, metadata!B106) = 1,NOT(ISERROR(SUMPRODUCT(SEARCH(MID(metadata!B106,ROW(INDIRECT("1:"&amp;LEN(metadata!B106))), 1),"0123456789abcdefghijklmnopqrstuvwxyzABCDEFGHIJKLMNOPQRSTUVWXYZ.")))))</f>
        <v>0</v>
      </c>
      <c r="AC106">
        <f>OR(AND(IF(metadata!C106="",FALSE,TRUE),OR(exact(metadata!C106,"missing: not collected"),exact(metadata!C106,"missing: not provided"),exact(metadata!C106,"missing: restricted access"))),AND(IF(metadata!C106="",FALSE,TRUE),AND(AND(IFERROR(INT(LEFT(metadata!C106,4))&gt;1900,FALSE),IFERROR(INT(LEFT(metadata!C106,4))&lt;=YEAR(NOW()),FALSE)), OR(MID(metadata!C106,5,1)="", AND(AND(MID(metadata!C106,5,1)="-",IFERROR(INT(MID(metadata!C106,6,1))&gt;=0,FALSE),IFERROR(INT(MID(metadata!C106,6,1))&lt;=1,FALSE),NOT(MID(metadata!C106,7,1)=""),IFERROR(INT(MID(metadata!C106,6,2))&gt;=1,FALSE),IFERROR(INT(MID(metadata!C106,6,2))&lt;=12,FALSE)), OR(MID(metadata!C106,8,1)="", AND(AND(MID(metadata!C106,8,1)="-",IFERROR(INT(MID(metadata!C106,9,1))&gt;=0,FALSE),IFERROR(INT(MID(metadata!C106,9,1))&lt;=3,FALSE),NOT(MID(metadata!C106,10,1)=""),IFERROR(INT(MID(metadata!C106,9,2))&gt;=1,FALSE),IFERROR(INT(MID(metadata!C106,9,2))&lt;=31,FALSE)), OR(MID(metadata!C106,11,1)="", AND(AND(MID(metadata!C106,11,1)=" ",IFERROR(INT(MID(metadata!C106,12,1))&gt;=0,FALSE),IFERROR(INT(MID(metadata!C106,12,1))&lt;=2,FALSE),NOT(MID(metadata!C106,13,1)=""),IFERROR(INT(MID(metadata!C106,12,2))&gt;=0,FALSE),IFERROR(INT(MID(metadata!C106,12,2))&lt;=23,FALSE)), OR(MID(metadata!C106,14,1)="", AND(AND(MID(metadata!C106,14,1)=":",IFERROR(INT(MID(metadata!C106,15,1))&gt;=0,FALSE),IFERROR(INT(MID(metadata!C106,15,1))&lt;=5,FALSE),NOT(MID(metadata!C106,16,1)=""),IFERROR(INT(MID(metadata!C106,15,2))&gt;=0,FALSE),IFERROR(INT(MID(metadata!C106,15,2))&lt;=59,FALSE)), OR(MID(metadata!C106,17,1)="", AND(AND(MID(metadata!C106,17,1)=":",IFERROR(INT(MID(metadata!C106,18,1))&gt;=0,FALSE),IFERROR(INT(MID(metadata!C106,18,1))&lt;=5,FALSE),NOT(MID(metadata!C106,19,1)=""),IFERROR(INT(MID(metadata!C106,18,2))&gt;=0,FALSE),IFERROR(INT(MID(metadata!C106,18,2))&lt;=59,FALSE)), LEN(metadata!C106)&lt;=19)))))))))))))</f>
        <v>0</v>
      </c>
      <c r="AD106">
        <f>IF(metadata!D106="",FALSE,TRUE)</f>
        <v>0</v>
      </c>
      <c r="AE106">
        <f>OR(AND(IF(metadata!E106="",FALSE,TRUE),OR(exact(metadata!E106,"missing: not collected"),exact(metadata!E106,"missing: not provided"))),AND(IF(metadata!E106="",FALSE,TRUE),OR(exact(metadata!E106,"TRUE"),exact(metadata!E106,"FALSE"))))</f>
        <v>0</v>
      </c>
      <c r="AF106">
        <f>IF(metadata!F106="",FALSE,TRUE)</f>
        <v>0</v>
      </c>
      <c r="AG106">
        <f>IF(metadata!G106="",FALSE,TRUE)</f>
        <v>0</v>
      </c>
      <c r="AH106">
        <f>IF(metadata!H106="",FALSE,TRUE)</f>
        <v>0</v>
      </c>
      <c r="AI106">
        <f>OR(AND(IF(metadata!I106="",FALSE,TRUE),OR(exact(metadata!I106,"missing: not collected"),exact(metadata!I106,"missing: not provided"),exact(metadata!I106,"missing: restricted access"))),AND(IF(metadata!I106="",FALSE,TRUE),OR(exact(metadata!I106,"air"),exact(metadata!I106,"built environment"),exact(metadata!I106,"host-associated"),exact(metadata!I106,"human-associated"),exact(metadata!I106,"human-skin"),exact(metadata!I106,"human-oral"),exact(metadata!I106,"human-gut"),exact(metadata!I106,"human-vaginal"),exact(metadata!I106,"microbial mat/biofilm"),exact(metadata!I106,"misc environment"),exact(metadata!I106,"plant-associated"),exact(metadata!I106,"sediment"),exact(metadata!I106,"soil"),exact(metadata!I106,"wastewater/sludge"),exact(metadata!I106,"water"))))</f>
        <v>0</v>
      </c>
      <c r="AJ106">
        <f>IF(metadata!J106="",FALSE,TRUE)</f>
        <v>0</v>
      </c>
      <c r="AK106">
        <f>OR(AND(IF(metadata!K106="",FALSE,TRUE),OR(exact(metadata!K106,"missing: not collected"),exact(metadata!K106,"missing: not provided"),exact(metadata!K106,"missing: restricted access"))),AND(IF(metadata!K106="",FALSE,ISNUMBER(VALUE(metadata!K106))),metadata!K106&gt;=-90.00,metadata!K106&lt;=90.00))</f>
        <v>0</v>
      </c>
      <c r="AL106">
        <f>OR(AND(IF(metadata!L106="",FALSE,TRUE),OR(exact(metadata!L106,"missing: not collected"),exact(metadata!L106,"missing: not provided"),exact(metadata!L106,"missing: restricted access"))),AND(IF(metadata!L106="",FALSE,ISNUMBER(VALUE(metadata!L106))),metadata!L106&gt;=-180.00,metadata!L106&lt;=180.00))</f>
        <v>0</v>
      </c>
      <c r="AM106">
        <f>IF(metadata!M106="",FALSE,TRUE)</f>
        <v>0</v>
      </c>
      <c r="AN106">
        <f>OR(AND(IF(metadata!N106="",FALSE,TRUE),OR(exact(metadata!N106,"missing: not collected"),exact(metadata!N106,"missing: not provided"),exact(metadata!N106,"missing: restricted access"))),AND(IF(metadata!N106="",FALSE,TRUE),OR(exact(metadata!N106,"TRUE"),exact(metadata!N106,"FALSE"))))</f>
        <v>0</v>
      </c>
      <c r="AO106">
        <f>IF(metadata!O106="",FALSE,TRUE)</f>
        <v>0</v>
      </c>
      <c r="AP106">
        <f>OR(AND(IF(metadata!P106="",FALSE,TRUE),OR(exact(metadata!P106,"missing: not collected"),exact(metadata!P106,"missing: not provided"))),AND(IF(metadata!P106="",FALSE,IF(ISERROR(INT(metadata!P106)),FALSE,INT(metadata!P106)=metadata!P106)),metadata!P106&gt;0))</f>
        <v>0</v>
      </c>
      <c r="AQ106">
        <f>IF(metadata!Q106="",FALSE,TRUE)</f>
        <v>0</v>
      </c>
    </row>
    <row r="107" spans="1:43">
      <c r="A107" s="5">
        <f>IF(B107=" "," ",HYPERLINK(CONCATENATE("#metadata!",ADDRESS(INDEX($W$2:$W$1001,MATCH(ROWS($U$2:U107),$U$2:$U$1001,0),0),1)),INDEX($Z$2:$Z$1001,MATCH(ROWS($U$2:U107),$U$2:$U$1001,0),0)))</f>
        <v>0</v>
      </c>
      <c r="B107" s="4">
        <f>IF(OR(INDEX($V$2:$V$1001,MATCH(ROWS($U$2:U107),$U$2:$U$1001,0),1)&gt;=100000,INDEX($AB$1005:$AQ$1005,1,MATCH(COLUMNS($AB$1006:AB1006),$AB$1006:$AQ$1006,0))&gt;=100000), " ",IF(INDEX($AB$2:$AQ$1001,MATCH(ROWS($U$2:U107),$U$2:$U$1001,0),MATCH(COLUMNS($AB$1006:AB1006),$AB$1006:$AQ$1006,0)), HYPERLINK("#",""), HYPERLINK(CONCATENATE("#metadata!", ADDRESS(INDEX($W$2:$W$1001,MATCH(ROWS($U$2:U107),$U$2:$U$1001,0),0), INDEX($AB$1004:$AQ$1004,1,MATCH(COLUMNS($AB$1006:AB1006),$AB$1006:$AQ$1006,0)))),"Fix")))</f>
        <v>0</v>
      </c>
      <c r="C107" s="4">
        <f>IF(OR(INDEX($V$2:$V$1001,MATCH(ROWS($U$2:U107),$U$2:$U$1001,0),1)&gt;=100000,INDEX($AB$1005:$AQ$1005,1,MATCH(COLUMNS($AB$1006:AC1006),$AB$1006:$AQ$1006,0))&gt;=100000), " ",IF(INDEX($AB$2:$AQ$1001,MATCH(ROWS($U$2:U107),$U$2:$U$1001,0),MATCH(COLUMNS($AB$1006:AC1006),$AB$1006:$AQ$1006,0)), HYPERLINK("#",""), HYPERLINK(CONCATENATE("#metadata!", ADDRESS(INDEX($W$2:$W$1001,MATCH(ROWS($U$2:U107),$U$2:$U$1001,0),0), INDEX($AB$1004:$AQ$1004,1,MATCH(COLUMNS($AB$1006:AC1006),$AB$1006:$AQ$1006,0)))),"Fix")))</f>
        <v>0</v>
      </c>
      <c r="D107" s="4">
        <f>IF(OR(INDEX($V$2:$V$1001,MATCH(ROWS($U$2:U107),$U$2:$U$1001,0),1)&gt;=100000,INDEX($AB$1005:$AQ$1005,1,MATCH(COLUMNS($AB$1006:AD1006),$AB$1006:$AQ$1006,0))&gt;=100000), " ",IF(INDEX($AB$2:$AQ$1001,MATCH(ROWS($U$2:U107),$U$2:$U$1001,0),MATCH(COLUMNS($AB$1006:AD1006),$AB$1006:$AQ$1006,0)), HYPERLINK("#",""), HYPERLINK(CONCATENATE("#metadata!", ADDRESS(INDEX($W$2:$W$1001,MATCH(ROWS($U$2:U107),$U$2:$U$1001,0),0), INDEX($AB$1004:$AQ$1004,1,MATCH(COLUMNS($AB$1006:AD1006),$AB$1006:$AQ$1006,0)))),"Fix")))</f>
        <v>0</v>
      </c>
      <c r="E107" s="4">
        <f>IF(OR(INDEX($V$2:$V$1001,MATCH(ROWS($U$2:U107),$U$2:$U$1001,0),1)&gt;=100000,INDEX($AB$1005:$AQ$1005,1,MATCH(COLUMNS($AB$1006:AE1006),$AB$1006:$AQ$1006,0))&gt;=100000), " ",IF(INDEX($AB$2:$AQ$1001,MATCH(ROWS($U$2:U107),$U$2:$U$1001,0),MATCH(COLUMNS($AB$1006:AE1006),$AB$1006:$AQ$1006,0)), HYPERLINK("#",""), HYPERLINK(CONCATENATE("#metadata!", ADDRESS(INDEX($W$2:$W$1001,MATCH(ROWS($U$2:U107),$U$2:$U$1001,0),0), INDEX($AB$1004:$AQ$1004,1,MATCH(COLUMNS($AB$1006:AE1006),$AB$1006:$AQ$1006,0)))),"Fix")))</f>
        <v>0</v>
      </c>
      <c r="F107" s="4">
        <f>IF(OR(INDEX($V$2:$V$1001,MATCH(ROWS($U$2:U107),$U$2:$U$1001,0),1)&gt;=100000,INDEX($AB$1005:$AQ$1005,1,MATCH(COLUMNS($AB$1006:AF1006),$AB$1006:$AQ$1006,0))&gt;=100000), " ",IF(INDEX($AB$2:$AQ$1001,MATCH(ROWS($U$2:U107),$U$2:$U$1001,0),MATCH(COLUMNS($AB$1006:AF1006),$AB$1006:$AQ$1006,0)), HYPERLINK("#",""), HYPERLINK(CONCATENATE("#metadata!", ADDRESS(INDEX($W$2:$W$1001,MATCH(ROWS($U$2:U107),$U$2:$U$1001,0),0), INDEX($AB$1004:$AQ$1004,1,MATCH(COLUMNS($AB$1006:AF1006),$AB$1006:$AQ$1006,0)))),"Fix")))</f>
        <v>0</v>
      </c>
      <c r="G107" s="4">
        <f>IF(OR(INDEX($V$2:$V$1001,MATCH(ROWS($U$2:U107),$U$2:$U$1001,0),1)&gt;=100000,INDEX($AB$1005:$AQ$1005,1,MATCH(COLUMNS($AB$1006:AG1006),$AB$1006:$AQ$1006,0))&gt;=100000), " ",IF(INDEX($AB$2:$AQ$1001,MATCH(ROWS($U$2:U107),$U$2:$U$1001,0),MATCH(COLUMNS($AB$1006:AG1006),$AB$1006:$AQ$1006,0)), HYPERLINK("#",""), HYPERLINK(CONCATENATE("#metadata!", ADDRESS(INDEX($W$2:$W$1001,MATCH(ROWS($U$2:U107),$U$2:$U$1001,0),0), INDEX($AB$1004:$AQ$1004,1,MATCH(COLUMNS($AB$1006:AG1006),$AB$1006:$AQ$1006,0)))),"Fix")))</f>
        <v>0</v>
      </c>
      <c r="H107" s="4">
        <f>IF(OR(INDEX($V$2:$V$1001,MATCH(ROWS($U$2:U107),$U$2:$U$1001,0),1)&gt;=100000,INDEX($AB$1005:$AQ$1005,1,MATCH(COLUMNS($AB$1006:AH1006),$AB$1006:$AQ$1006,0))&gt;=100000), " ",IF(INDEX($AB$2:$AQ$1001,MATCH(ROWS($U$2:U107),$U$2:$U$1001,0),MATCH(COLUMNS($AB$1006:AH1006),$AB$1006:$AQ$1006,0)), HYPERLINK("#",""), HYPERLINK(CONCATENATE("#metadata!", ADDRESS(INDEX($W$2:$W$1001,MATCH(ROWS($U$2:U107),$U$2:$U$1001,0),0), INDEX($AB$1004:$AQ$1004,1,MATCH(COLUMNS($AB$1006:AH1006),$AB$1006:$AQ$1006,0)))),"Fix")))</f>
        <v>0</v>
      </c>
      <c r="I107" s="4">
        <f>IF(OR(INDEX($V$2:$V$1001,MATCH(ROWS($U$2:U107),$U$2:$U$1001,0),1)&gt;=100000,INDEX($AB$1005:$AQ$1005,1,MATCH(COLUMNS($AB$1006:AI1006),$AB$1006:$AQ$1006,0))&gt;=100000), " ",IF(INDEX($AB$2:$AQ$1001,MATCH(ROWS($U$2:U107),$U$2:$U$1001,0),MATCH(COLUMNS($AB$1006:AI1006),$AB$1006:$AQ$1006,0)), HYPERLINK("#",""), HYPERLINK(CONCATENATE("#metadata!", ADDRESS(INDEX($W$2:$W$1001,MATCH(ROWS($U$2:U107),$U$2:$U$1001,0),0), INDEX($AB$1004:$AQ$1004,1,MATCH(COLUMNS($AB$1006:AI1006),$AB$1006:$AQ$1006,0)))),"Fix")))</f>
        <v>0</v>
      </c>
      <c r="J107" s="4">
        <f>IF(OR(INDEX($V$2:$V$1001,MATCH(ROWS($U$2:U107),$U$2:$U$1001,0),1)&gt;=100000,INDEX($AB$1005:$AQ$1005,1,MATCH(COLUMNS($AB$1006:AJ1006),$AB$1006:$AQ$1006,0))&gt;=100000), " ",IF(INDEX($AB$2:$AQ$1001,MATCH(ROWS($U$2:U107),$U$2:$U$1001,0),MATCH(COLUMNS($AB$1006:AJ1006),$AB$1006:$AQ$1006,0)), HYPERLINK("#",""), HYPERLINK(CONCATENATE("#metadata!", ADDRESS(INDEX($W$2:$W$1001,MATCH(ROWS($U$2:U107),$U$2:$U$1001,0),0), INDEX($AB$1004:$AQ$1004,1,MATCH(COLUMNS($AB$1006:AJ1006),$AB$1006:$AQ$1006,0)))),"Fix")))</f>
        <v>0</v>
      </c>
      <c r="K107" s="4">
        <f>IF(OR(INDEX($V$2:$V$1001,MATCH(ROWS($U$2:U107),$U$2:$U$1001,0),1)&gt;=100000,INDEX($AB$1005:$AQ$1005,1,MATCH(COLUMNS($AB$1006:AK1006),$AB$1006:$AQ$1006,0))&gt;=100000), " ",IF(INDEX($AB$2:$AQ$1001,MATCH(ROWS($U$2:U107),$U$2:$U$1001,0),MATCH(COLUMNS($AB$1006:AK1006),$AB$1006:$AQ$1006,0)), HYPERLINK("#",""), HYPERLINK(CONCATENATE("#metadata!", ADDRESS(INDEX($W$2:$W$1001,MATCH(ROWS($U$2:U107),$U$2:$U$1001,0),0), INDEX($AB$1004:$AQ$1004,1,MATCH(COLUMNS($AB$1006:AK1006),$AB$1006:$AQ$1006,0)))),"Fix")))</f>
        <v>0</v>
      </c>
      <c r="L107" s="4">
        <f>IF(OR(INDEX($V$2:$V$1001,MATCH(ROWS($U$2:U107),$U$2:$U$1001,0),1)&gt;=100000,INDEX($AB$1005:$AQ$1005,1,MATCH(COLUMNS($AB$1006:AL1006),$AB$1006:$AQ$1006,0))&gt;=100000), " ",IF(INDEX($AB$2:$AQ$1001,MATCH(ROWS($U$2:U107),$U$2:$U$1001,0),MATCH(COLUMNS($AB$1006:AL1006),$AB$1006:$AQ$1006,0)), HYPERLINK("#",""), HYPERLINK(CONCATENATE("#metadata!", ADDRESS(INDEX($W$2:$W$1001,MATCH(ROWS($U$2:U107),$U$2:$U$1001,0),0), INDEX($AB$1004:$AQ$1004,1,MATCH(COLUMNS($AB$1006:AL1006),$AB$1006:$AQ$1006,0)))),"Fix")))</f>
        <v>0</v>
      </c>
      <c r="M107" s="4">
        <f>IF(OR(INDEX($V$2:$V$1001,MATCH(ROWS($U$2:U107),$U$2:$U$1001,0),1)&gt;=100000,INDEX($AB$1005:$AQ$1005,1,MATCH(COLUMNS($AB$1006:AM1006),$AB$1006:$AQ$1006,0))&gt;=100000), " ",IF(INDEX($AB$2:$AQ$1001,MATCH(ROWS($U$2:U107),$U$2:$U$1001,0),MATCH(COLUMNS($AB$1006:AM1006),$AB$1006:$AQ$1006,0)), HYPERLINK("#",""), HYPERLINK(CONCATENATE("#metadata!", ADDRESS(INDEX($W$2:$W$1001,MATCH(ROWS($U$2:U107),$U$2:$U$1001,0),0), INDEX($AB$1004:$AQ$1004,1,MATCH(COLUMNS($AB$1006:AM1006),$AB$1006:$AQ$1006,0)))),"Fix")))</f>
        <v>0</v>
      </c>
      <c r="N107" s="4">
        <f>IF(OR(INDEX($V$2:$V$1001,MATCH(ROWS($U$2:U107),$U$2:$U$1001,0),1)&gt;=100000,INDEX($AB$1005:$AQ$1005,1,MATCH(COLUMNS($AB$1006:AN1006),$AB$1006:$AQ$1006,0))&gt;=100000), " ",IF(INDEX($AB$2:$AQ$1001,MATCH(ROWS($U$2:U107),$U$2:$U$1001,0),MATCH(COLUMNS($AB$1006:AN1006),$AB$1006:$AQ$1006,0)), HYPERLINK("#",""), HYPERLINK(CONCATENATE("#metadata!", ADDRESS(INDEX($W$2:$W$1001,MATCH(ROWS($U$2:U107),$U$2:$U$1001,0),0), INDEX($AB$1004:$AQ$1004,1,MATCH(COLUMNS($AB$1006:AN1006),$AB$1006:$AQ$1006,0)))),"Fix")))</f>
        <v>0</v>
      </c>
      <c r="O107" s="4">
        <f>IF(OR(INDEX($V$2:$V$1001,MATCH(ROWS($U$2:U107),$U$2:$U$1001,0),1)&gt;=100000,INDEX($AB$1005:$AQ$1005,1,MATCH(COLUMNS($AB$1006:AO1006),$AB$1006:$AQ$1006,0))&gt;=100000), " ",IF(INDEX($AB$2:$AQ$1001,MATCH(ROWS($U$2:U107),$U$2:$U$1001,0),MATCH(COLUMNS($AB$1006:AO1006),$AB$1006:$AQ$1006,0)), HYPERLINK("#",""), HYPERLINK(CONCATENATE("#metadata!", ADDRESS(INDEX($W$2:$W$1001,MATCH(ROWS($U$2:U107),$U$2:$U$1001,0),0), INDEX($AB$1004:$AQ$1004,1,MATCH(COLUMNS($AB$1006:AO1006),$AB$1006:$AQ$1006,0)))),"Fix")))</f>
        <v>0</v>
      </c>
      <c r="P107" s="4">
        <f>IF(OR(INDEX($V$2:$V$1001,MATCH(ROWS($U$2:U107),$U$2:$U$1001,0),1)&gt;=100000,INDEX($AB$1005:$AQ$1005,1,MATCH(COLUMNS($AB$1006:AP1006),$AB$1006:$AQ$1006,0))&gt;=100000), " ",IF(INDEX($AB$2:$AQ$1001,MATCH(ROWS($U$2:U107),$U$2:$U$1001,0),MATCH(COLUMNS($AB$1006:AP1006),$AB$1006:$AQ$1006,0)), HYPERLINK("#",""), HYPERLINK(CONCATENATE("#metadata!", ADDRESS(INDEX($W$2:$W$1001,MATCH(ROWS($U$2:U107),$U$2:$U$1001,0),0), INDEX($AB$1004:$AQ$1004,1,MATCH(COLUMNS($AB$1006:AP1006),$AB$1006:$AQ$1006,0)))),"Fix")))</f>
        <v>0</v>
      </c>
      <c r="Q107" s="4">
        <f>IF(OR(INDEX($V$2:$V$1001,MATCH(ROWS($U$2:U107),$U$2:$U$1001,0),1)&gt;=100000,INDEX($AB$1005:$AQ$1005,1,MATCH(COLUMNS($AB$1006:AQ1006),$AB$1006:$AQ$1006,0))&gt;=100000), " ",IF(INDEX($AB$2:$AQ$1001,MATCH(ROWS($U$2:U107),$U$2:$U$1001,0),MATCH(COLUMNS($AB$1006:AQ1006),$AB$1006:$AQ$1006,0)), HYPERLINK("#",""), HYPERLINK(CONCATENATE("#metadata!", ADDRESS(INDEX($W$2:$W$1001,MATCH(ROWS($U$2:U107),$U$2:$U$1001,0),0), INDEX($AB$1004:$AQ$1004,1,MATCH(COLUMNS($AB$1006:AQ1006),$AB$1006:$AQ$1006,0)))),"Fix")))</f>
        <v>0</v>
      </c>
      <c r="U107">
        <v>0</v>
      </c>
      <c r="V107">
        <v>0</v>
      </c>
      <c r="W107">
        <v>0</v>
      </c>
      <c r="X107">
        <f>IF(Y107,TRUE,AND(AB107:AQ107))</f>
        <v>0</v>
      </c>
      <c r="Y107">
        <f>COUNTBLANK(metadata!B107:Q107)=COLUMNS(metadata!B107:Q107)</f>
        <v>0</v>
      </c>
      <c r="Z107">
        <v>0</v>
      </c>
      <c r="AB107">
        <f>AND(IF(metadata!B107="",FALSE,TRUE),COUNTIF(metadata!B:B, metadata!B107) = 1,NOT(ISERROR(SUMPRODUCT(SEARCH(MID(metadata!B107,ROW(INDIRECT("1:"&amp;LEN(metadata!B107))), 1),"0123456789abcdefghijklmnopqrstuvwxyzABCDEFGHIJKLMNOPQRSTUVWXYZ.")))))</f>
        <v>0</v>
      </c>
      <c r="AC107">
        <f>OR(AND(IF(metadata!C107="",FALSE,TRUE),OR(exact(metadata!C107,"missing: not collected"),exact(metadata!C107,"missing: not provided"),exact(metadata!C107,"missing: restricted access"))),AND(IF(metadata!C107="",FALSE,TRUE),AND(AND(IFERROR(INT(LEFT(metadata!C107,4))&gt;1900,FALSE),IFERROR(INT(LEFT(metadata!C107,4))&lt;=YEAR(NOW()),FALSE)), OR(MID(metadata!C107,5,1)="", AND(AND(MID(metadata!C107,5,1)="-",IFERROR(INT(MID(metadata!C107,6,1))&gt;=0,FALSE),IFERROR(INT(MID(metadata!C107,6,1))&lt;=1,FALSE),NOT(MID(metadata!C107,7,1)=""),IFERROR(INT(MID(metadata!C107,6,2))&gt;=1,FALSE),IFERROR(INT(MID(metadata!C107,6,2))&lt;=12,FALSE)), OR(MID(metadata!C107,8,1)="", AND(AND(MID(metadata!C107,8,1)="-",IFERROR(INT(MID(metadata!C107,9,1))&gt;=0,FALSE),IFERROR(INT(MID(metadata!C107,9,1))&lt;=3,FALSE),NOT(MID(metadata!C107,10,1)=""),IFERROR(INT(MID(metadata!C107,9,2))&gt;=1,FALSE),IFERROR(INT(MID(metadata!C107,9,2))&lt;=31,FALSE)), OR(MID(metadata!C107,11,1)="", AND(AND(MID(metadata!C107,11,1)=" ",IFERROR(INT(MID(metadata!C107,12,1))&gt;=0,FALSE),IFERROR(INT(MID(metadata!C107,12,1))&lt;=2,FALSE),NOT(MID(metadata!C107,13,1)=""),IFERROR(INT(MID(metadata!C107,12,2))&gt;=0,FALSE),IFERROR(INT(MID(metadata!C107,12,2))&lt;=23,FALSE)), OR(MID(metadata!C107,14,1)="", AND(AND(MID(metadata!C107,14,1)=":",IFERROR(INT(MID(metadata!C107,15,1))&gt;=0,FALSE),IFERROR(INT(MID(metadata!C107,15,1))&lt;=5,FALSE),NOT(MID(metadata!C107,16,1)=""),IFERROR(INT(MID(metadata!C107,15,2))&gt;=0,FALSE),IFERROR(INT(MID(metadata!C107,15,2))&lt;=59,FALSE)), OR(MID(metadata!C107,17,1)="", AND(AND(MID(metadata!C107,17,1)=":",IFERROR(INT(MID(metadata!C107,18,1))&gt;=0,FALSE),IFERROR(INT(MID(metadata!C107,18,1))&lt;=5,FALSE),NOT(MID(metadata!C107,19,1)=""),IFERROR(INT(MID(metadata!C107,18,2))&gt;=0,FALSE),IFERROR(INT(MID(metadata!C107,18,2))&lt;=59,FALSE)), LEN(metadata!C107)&lt;=19)))))))))))))</f>
        <v>0</v>
      </c>
      <c r="AD107">
        <f>IF(metadata!D107="",FALSE,TRUE)</f>
        <v>0</v>
      </c>
      <c r="AE107">
        <f>OR(AND(IF(metadata!E107="",FALSE,TRUE),OR(exact(metadata!E107,"missing: not collected"),exact(metadata!E107,"missing: not provided"))),AND(IF(metadata!E107="",FALSE,TRUE),OR(exact(metadata!E107,"TRUE"),exact(metadata!E107,"FALSE"))))</f>
        <v>0</v>
      </c>
      <c r="AF107">
        <f>IF(metadata!F107="",FALSE,TRUE)</f>
        <v>0</v>
      </c>
      <c r="AG107">
        <f>IF(metadata!G107="",FALSE,TRUE)</f>
        <v>0</v>
      </c>
      <c r="AH107">
        <f>IF(metadata!H107="",FALSE,TRUE)</f>
        <v>0</v>
      </c>
      <c r="AI107">
        <f>OR(AND(IF(metadata!I107="",FALSE,TRUE),OR(exact(metadata!I107,"missing: not collected"),exact(metadata!I107,"missing: not provided"),exact(metadata!I107,"missing: restricted access"))),AND(IF(metadata!I107="",FALSE,TRUE),OR(exact(metadata!I107,"air"),exact(metadata!I107,"built environment"),exact(metadata!I107,"host-associated"),exact(metadata!I107,"human-associated"),exact(metadata!I107,"human-skin"),exact(metadata!I107,"human-oral"),exact(metadata!I107,"human-gut"),exact(metadata!I107,"human-vaginal"),exact(metadata!I107,"microbial mat/biofilm"),exact(metadata!I107,"misc environment"),exact(metadata!I107,"plant-associated"),exact(metadata!I107,"sediment"),exact(metadata!I107,"soil"),exact(metadata!I107,"wastewater/sludge"),exact(metadata!I107,"water"))))</f>
        <v>0</v>
      </c>
      <c r="AJ107">
        <f>IF(metadata!J107="",FALSE,TRUE)</f>
        <v>0</v>
      </c>
      <c r="AK107">
        <f>OR(AND(IF(metadata!K107="",FALSE,TRUE),OR(exact(metadata!K107,"missing: not collected"),exact(metadata!K107,"missing: not provided"),exact(metadata!K107,"missing: restricted access"))),AND(IF(metadata!K107="",FALSE,ISNUMBER(VALUE(metadata!K107))),metadata!K107&gt;=-90.00,metadata!K107&lt;=90.00))</f>
        <v>0</v>
      </c>
      <c r="AL107">
        <f>OR(AND(IF(metadata!L107="",FALSE,TRUE),OR(exact(metadata!L107,"missing: not collected"),exact(metadata!L107,"missing: not provided"),exact(metadata!L107,"missing: restricted access"))),AND(IF(metadata!L107="",FALSE,ISNUMBER(VALUE(metadata!L107))),metadata!L107&gt;=-180.00,metadata!L107&lt;=180.00))</f>
        <v>0</v>
      </c>
      <c r="AM107">
        <f>IF(metadata!M107="",FALSE,TRUE)</f>
        <v>0</v>
      </c>
      <c r="AN107">
        <f>OR(AND(IF(metadata!N107="",FALSE,TRUE),OR(exact(metadata!N107,"missing: not collected"),exact(metadata!N107,"missing: not provided"),exact(metadata!N107,"missing: restricted access"))),AND(IF(metadata!N107="",FALSE,TRUE),OR(exact(metadata!N107,"TRUE"),exact(metadata!N107,"FALSE"))))</f>
        <v>0</v>
      </c>
      <c r="AO107">
        <f>IF(metadata!O107="",FALSE,TRUE)</f>
        <v>0</v>
      </c>
      <c r="AP107">
        <f>OR(AND(IF(metadata!P107="",FALSE,TRUE),OR(exact(metadata!P107,"missing: not collected"),exact(metadata!P107,"missing: not provided"))),AND(IF(metadata!P107="",FALSE,IF(ISERROR(INT(metadata!P107)),FALSE,INT(metadata!P107)=metadata!P107)),metadata!P107&gt;0))</f>
        <v>0</v>
      </c>
      <c r="AQ107">
        <f>IF(metadata!Q107="",FALSE,TRUE)</f>
        <v>0</v>
      </c>
    </row>
    <row r="108" spans="1:43">
      <c r="A108" s="5">
        <f>IF(B108=" "," ",HYPERLINK(CONCATENATE("#metadata!",ADDRESS(INDEX($W$2:$W$1001,MATCH(ROWS($U$2:U108),$U$2:$U$1001,0),0),1)),INDEX($Z$2:$Z$1001,MATCH(ROWS($U$2:U108),$U$2:$U$1001,0),0)))</f>
        <v>0</v>
      </c>
      <c r="B108" s="4">
        <f>IF(OR(INDEX($V$2:$V$1001,MATCH(ROWS($U$2:U108),$U$2:$U$1001,0),1)&gt;=100000,INDEX($AB$1005:$AQ$1005,1,MATCH(COLUMNS($AB$1006:AB1006),$AB$1006:$AQ$1006,0))&gt;=100000), " ",IF(INDEX($AB$2:$AQ$1001,MATCH(ROWS($U$2:U108),$U$2:$U$1001,0),MATCH(COLUMNS($AB$1006:AB1006),$AB$1006:$AQ$1006,0)), HYPERLINK("#",""), HYPERLINK(CONCATENATE("#metadata!", ADDRESS(INDEX($W$2:$W$1001,MATCH(ROWS($U$2:U108),$U$2:$U$1001,0),0), INDEX($AB$1004:$AQ$1004,1,MATCH(COLUMNS($AB$1006:AB1006),$AB$1006:$AQ$1006,0)))),"Fix")))</f>
        <v>0</v>
      </c>
      <c r="C108" s="4">
        <f>IF(OR(INDEX($V$2:$V$1001,MATCH(ROWS($U$2:U108),$U$2:$U$1001,0),1)&gt;=100000,INDEX($AB$1005:$AQ$1005,1,MATCH(COLUMNS($AB$1006:AC1006),$AB$1006:$AQ$1006,0))&gt;=100000), " ",IF(INDEX($AB$2:$AQ$1001,MATCH(ROWS($U$2:U108),$U$2:$U$1001,0),MATCH(COLUMNS($AB$1006:AC1006),$AB$1006:$AQ$1006,0)), HYPERLINK("#",""), HYPERLINK(CONCATENATE("#metadata!", ADDRESS(INDEX($W$2:$W$1001,MATCH(ROWS($U$2:U108),$U$2:$U$1001,0),0), INDEX($AB$1004:$AQ$1004,1,MATCH(COLUMNS($AB$1006:AC1006),$AB$1006:$AQ$1006,0)))),"Fix")))</f>
        <v>0</v>
      </c>
      <c r="D108" s="4">
        <f>IF(OR(INDEX($V$2:$V$1001,MATCH(ROWS($U$2:U108),$U$2:$U$1001,0),1)&gt;=100000,INDEX($AB$1005:$AQ$1005,1,MATCH(COLUMNS($AB$1006:AD1006),$AB$1006:$AQ$1006,0))&gt;=100000), " ",IF(INDEX($AB$2:$AQ$1001,MATCH(ROWS($U$2:U108),$U$2:$U$1001,0),MATCH(COLUMNS($AB$1006:AD1006),$AB$1006:$AQ$1006,0)), HYPERLINK("#",""), HYPERLINK(CONCATENATE("#metadata!", ADDRESS(INDEX($W$2:$W$1001,MATCH(ROWS($U$2:U108),$U$2:$U$1001,0),0), INDEX($AB$1004:$AQ$1004,1,MATCH(COLUMNS($AB$1006:AD1006),$AB$1006:$AQ$1006,0)))),"Fix")))</f>
        <v>0</v>
      </c>
      <c r="E108" s="4">
        <f>IF(OR(INDEX($V$2:$V$1001,MATCH(ROWS($U$2:U108),$U$2:$U$1001,0),1)&gt;=100000,INDEX($AB$1005:$AQ$1005,1,MATCH(COLUMNS($AB$1006:AE1006),$AB$1006:$AQ$1006,0))&gt;=100000), " ",IF(INDEX($AB$2:$AQ$1001,MATCH(ROWS($U$2:U108),$U$2:$U$1001,0),MATCH(COLUMNS($AB$1006:AE1006),$AB$1006:$AQ$1006,0)), HYPERLINK("#",""), HYPERLINK(CONCATENATE("#metadata!", ADDRESS(INDEX($W$2:$W$1001,MATCH(ROWS($U$2:U108),$U$2:$U$1001,0),0), INDEX($AB$1004:$AQ$1004,1,MATCH(COLUMNS($AB$1006:AE1006),$AB$1006:$AQ$1006,0)))),"Fix")))</f>
        <v>0</v>
      </c>
      <c r="F108" s="4">
        <f>IF(OR(INDEX($V$2:$V$1001,MATCH(ROWS($U$2:U108),$U$2:$U$1001,0),1)&gt;=100000,INDEX($AB$1005:$AQ$1005,1,MATCH(COLUMNS($AB$1006:AF1006),$AB$1006:$AQ$1006,0))&gt;=100000), " ",IF(INDEX($AB$2:$AQ$1001,MATCH(ROWS($U$2:U108),$U$2:$U$1001,0),MATCH(COLUMNS($AB$1006:AF1006),$AB$1006:$AQ$1006,0)), HYPERLINK("#",""), HYPERLINK(CONCATENATE("#metadata!", ADDRESS(INDEX($W$2:$W$1001,MATCH(ROWS($U$2:U108),$U$2:$U$1001,0),0), INDEX($AB$1004:$AQ$1004,1,MATCH(COLUMNS($AB$1006:AF1006),$AB$1006:$AQ$1006,0)))),"Fix")))</f>
        <v>0</v>
      </c>
      <c r="G108" s="4">
        <f>IF(OR(INDEX($V$2:$V$1001,MATCH(ROWS($U$2:U108),$U$2:$U$1001,0),1)&gt;=100000,INDEX($AB$1005:$AQ$1005,1,MATCH(COLUMNS($AB$1006:AG1006),$AB$1006:$AQ$1006,0))&gt;=100000), " ",IF(INDEX($AB$2:$AQ$1001,MATCH(ROWS($U$2:U108),$U$2:$U$1001,0),MATCH(COLUMNS($AB$1006:AG1006),$AB$1006:$AQ$1006,0)), HYPERLINK("#",""), HYPERLINK(CONCATENATE("#metadata!", ADDRESS(INDEX($W$2:$W$1001,MATCH(ROWS($U$2:U108),$U$2:$U$1001,0),0), INDEX($AB$1004:$AQ$1004,1,MATCH(COLUMNS($AB$1006:AG1006),$AB$1006:$AQ$1006,0)))),"Fix")))</f>
        <v>0</v>
      </c>
      <c r="H108" s="4">
        <f>IF(OR(INDEX($V$2:$V$1001,MATCH(ROWS($U$2:U108),$U$2:$U$1001,0),1)&gt;=100000,INDEX($AB$1005:$AQ$1005,1,MATCH(COLUMNS($AB$1006:AH1006),$AB$1006:$AQ$1006,0))&gt;=100000), " ",IF(INDEX($AB$2:$AQ$1001,MATCH(ROWS($U$2:U108),$U$2:$U$1001,0),MATCH(COLUMNS($AB$1006:AH1006),$AB$1006:$AQ$1006,0)), HYPERLINK("#",""), HYPERLINK(CONCATENATE("#metadata!", ADDRESS(INDEX($W$2:$W$1001,MATCH(ROWS($U$2:U108),$U$2:$U$1001,0),0), INDEX($AB$1004:$AQ$1004,1,MATCH(COLUMNS($AB$1006:AH1006),$AB$1006:$AQ$1006,0)))),"Fix")))</f>
        <v>0</v>
      </c>
      <c r="I108" s="4">
        <f>IF(OR(INDEX($V$2:$V$1001,MATCH(ROWS($U$2:U108),$U$2:$U$1001,0),1)&gt;=100000,INDEX($AB$1005:$AQ$1005,1,MATCH(COLUMNS($AB$1006:AI1006),$AB$1006:$AQ$1006,0))&gt;=100000), " ",IF(INDEX($AB$2:$AQ$1001,MATCH(ROWS($U$2:U108),$U$2:$U$1001,0),MATCH(COLUMNS($AB$1006:AI1006),$AB$1006:$AQ$1006,0)), HYPERLINK("#",""), HYPERLINK(CONCATENATE("#metadata!", ADDRESS(INDEX($W$2:$W$1001,MATCH(ROWS($U$2:U108),$U$2:$U$1001,0),0), INDEX($AB$1004:$AQ$1004,1,MATCH(COLUMNS($AB$1006:AI1006),$AB$1006:$AQ$1006,0)))),"Fix")))</f>
        <v>0</v>
      </c>
      <c r="J108" s="4">
        <f>IF(OR(INDEX($V$2:$V$1001,MATCH(ROWS($U$2:U108),$U$2:$U$1001,0),1)&gt;=100000,INDEX($AB$1005:$AQ$1005,1,MATCH(COLUMNS($AB$1006:AJ1006),$AB$1006:$AQ$1006,0))&gt;=100000), " ",IF(INDEX($AB$2:$AQ$1001,MATCH(ROWS($U$2:U108),$U$2:$U$1001,0),MATCH(COLUMNS($AB$1006:AJ1006),$AB$1006:$AQ$1006,0)), HYPERLINK("#",""), HYPERLINK(CONCATENATE("#metadata!", ADDRESS(INDEX($W$2:$W$1001,MATCH(ROWS($U$2:U108),$U$2:$U$1001,0),0), INDEX($AB$1004:$AQ$1004,1,MATCH(COLUMNS($AB$1006:AJ1006),$AB$1006:$AQ$1006,0)))),"Fix")))</f>
        <v>0</v>
      </c>
      <c r="K108" s="4">
        <f>IF(OR(INDEX($V$2:$V$1001,MATCH(ROWS($U$2:U108),$U$2:$U$1001,0),1)&gt;=100000,INDEX($AB$1005:$AQ$1005,1,MATCH(COLUMNS($AB$1006:AK1006),$AB$1006:$AQ$1006,0))&gt;=100000), " ",IF(INDEX($AB$2:$AQ$1001,MATCH(ROWS($U$2:U108),$U$2:$U$1001,0),MATCH(COLUMNS($AB$1006:AK1006),$AB$1006:$AQ$1006,0)), HYPERLINK("#",""), HYPERLINK(CONCATENATE("#metadata!", ADDRESS(INDEX($W$2:$W$1001,MATCH(ROWS($U$2:U108),$U$2:$U$1001,0),0), INDEX($AB$1004:$AQ$1004,1,MATCH(COLUMNS($AB$1006:AK1006),$AB$1006:$AQ$1006,0)))),"Fix")))</f>
        <v>0</v>
      </c>
      <c r="L108" s="4">
        <f>IF(OR(INDEX($V$2:$V$1001,MATCH(ROWS($U$2:U108),$U$2:$U$1001,0),1)&gt;=100000,INDEX($AB$1005:$AQ$1005,1,MATCH(COLUMNS($AB$1006:AL1006),$AB$1006:$AQ$1006,0))&gt;=100000), " ",IF(INDEX($AB$2:$AQ$1001,MATCH(ROWS($U$2:U108),$U$2:$U$1001,0),MATCH(COLUMNS($AB$1006:AL1006),$AB$1006:$AQ$1006,0)), HYPERLINK("#",""), HYPERLINK(CONCATENATE("#metadata!", ADDRESS(INDEX($W$2:$W$1001,MATCH(ROWS($U$2:U108),$U$2:$U$1001,0),0), INDEX($AB$1004:$AQ$1004,1,MATCH(COLUMNS($AB$1006:AL1006),$AB$1006:$AQ$1006,0)))),"Fix")))</f>
        <v>0</v>
      </c>
      <c r="M108" s="4">
        <f>IF(OR(INDEX($V$2:$V$1001,MATCH(ROWS($U$2:U108),$U$2:$U$1001,0),1)&gt;=100000,INDEX($AB$1005:$AQ$1005,1,MATCH(COLUMNS($AB$1006:AM1006),$AB$1006:$AQ$1006,0))&gt;=100000), " ",IF(INDEX($AB$2:$AQ$1001,MATCH(ROWS($U$2:U108),$U$2:$U$1001,0),MATCH(COLUMNS($AB$1006:AM1006),$AB$1006:$AQ$1006,0)), HYPERLINK("#",""), HYPERLINK(CONCATENATE("#metadata!", ADDRESS(INDEX($W$2:$W$1001,MATCH(ROWS($U$2:U108),$U$2:$U$1001,0),0), INDEX($AB$1004:$AQ$1004,1,MATCH(COLUMNS($AB$1006:AM1006),$AB$1006:$AQ$1006,0)))),"Fix")))</f>
        <v>0</v>
      </c>
      <c r="N108" s="4">
        <f>IF(OR(INDEX($V$2:$V$1001,MATCH(ROWS($U$2:U108),$U$2:$U$1001,0),1)&gt;=100000,INDEX($AB$1005:$AQ$1005,1,MATCH(COLUMNS($AB$1006:AN1006),$AB$1006:$AQ$1006,0))&gt;=100000), " ",IF(INDEX($AB$2:$AQ$1001,MATCH(ROWS($U$2:U108),$U$2:$U$1001,0),MATCH(COLUMNS($AB$1006:AN1006),$AB$1006:$AQ$1006,0)), HYPERLINK("#",""), HYPERLINK(CONCATENATE("#metadata!", ADDRESS(INDEX($W$2:$W$1001,MATCH(ROWS($U$2:U108),$U$2:$U$1001,0),0), INDEX($AB$1004:$AQ$1004,1,MATCH(COLUMNS($AB$1006:AN1006),$AB$1006:$AQ$1006,0)))),"Fix")))</f>
        <v>0</v>
      </c>
      <c r="O108" s="4">
        <f>IF(OR(INDEX($V$2:$V$1001,MATCH(ROWS($U$2:U108),$U$2:$U$1001,0),1)&gt;=100000,INDEX($AB$1005:$AQ$1005,1,MATCH(COLUMNS($AB$1006:AO1006),$AB$1006:$AQ$1006,0))&gt;=100000), " ",IF(INDEX($AB$2:$AQ$1001,MATCH(ROWS($U$2:U108),$U$2:$U$1001,0),MATCH(COLUMNS($AB$1006:AO1006),$AB$1006:$AQ$1006,0)), HYPERLINK("#",""), HYPERLINK(CONCATENATE("#metadata!", ADDRESS(INDEX($W$2:$W$1001,MATCH(ROWS($U$2:U108),$U$2:$U$1001,0),0), INDEX($AB$1004:$AQ$1004,1,MATCH(COLUMNS($AB$1006:AO1006),$AB$1006:$AQ$1006,0)))),"Fix")))</f>
        <v>0</v>
      </c>
      <c r="P108" s="4">
        <f>IF(OR(INDEX($V$2:$V$1001,MATCH(ROWS($U$2:U108),$U$2:$U$1001,0),1)&gt;=100000,INDEX($AB$1005:$AQ$1005,1,MATCH(COLUMNS($AB$1006:AP1006),$AB$1006:$AQ$1006,0))&gt;=100000), " ",IF(INDEX($AB$2:$AQ$1001,MATCH(ROWS($U$2:U108),$U$2:$U$1001,0),MATCH(COLUMNS($AB$1006:AP1006),$AB$1006:$AQ$1006,0)), HYPERLINK("#",""), HYPERLINK(CONCATENATE("#metadata!", ADDRESS(INDEX($W$2:$W$1001,MATCH(ROWS($U$2:U108),$U$2:$U$1001,0),0), INDEX($AB$1004:$AQ$1004,1,MATCH(COLUMNS($AB$1006:AP1006),$AB$1006:$AQ$1006,0)))),"Fix")))</f>
        <v>0</v>
      </c>
      <c r="Q108" s="4">
        <f>IF(OR(INDEX($V$2:$V$1001,MATCH(ROWS($U$2:U108),$U$2:$U$1001,0),1)&gt;=100000,INDEX($AB$1005:$AQ$1005,1,MATCH(COLUMNS($AB$1006:AQ1006),$AB$1006:$AQ$1006,0))&gt;=100000), " ",IF(INDEX($AB$2:$AQ$1001,MATCH(ROWS($U$2:U108),$U$2:$U$1001,0),MATCH(COLUMNS($AB$1006:AQ1006),$AB$1006:$AQ$1006,0)), HYPERLINK("#",""), HYPERLINK(CONCATENATE("#metadata!", ADDRESS(INDEX($W$2:$W$1001,MATCH(ROWS($U$2:U108),$U$2:$U$1001,0),0), INDEX($AB$1004:$AQ$1004,1,MATCH(COLUMNS($AB$1006:AQ1006),$AB$1006:$AQ$1006,0)))),"Fix")))</f>
        <v>0</v>
      </c>
      <c r="U108">
        <v>0</v>
      </c>
      <c r="V108">
        <v>0</v>
      </c>
      <c r="W108">
        <v>0</v>
      </c>
      <c r="X108">
        <f>IF(Y108,TRUE,AND(AB108:AQ108))</f>
        <v>0</v>
      </c>
      <c r="Y108">
        <f>COUNTBLANK(metadata!B108:Q108)=COLUMNS(metadata!B108:Q108)</f>
        <v>0</v>
      </c>
      <c r="Z108">
        <v>0</v>
      </c>
      <c r="AB108">
        <f>AND(IF(metadata!B108="",FALSE,TRUE),COUNTIF(metadata!B:B, metadata!B108) = 1,NOT(ISERROR(SUMPRODUCT(SEARCH(MID(metadata!B108,ROW(INDIRECT("1:"&amp;LEN(metadata!B108))), 1),"0123456789abcdefghijklmnopqrstuvwxyzABCDEFGHIJKLMNOPQRSTUVWXYZ.")))))</f>
        <v>0</v>
      </c>
      <c r="AC108">
        <f>OR(AND(IF(metadata!C108="",FALSE,TRUE),OR(exact(metadata!C108,"missing: not collected"),exact(metadata!C108,"missing: not provided"),exact(metadata!C108,"missing: restricted access"))),AND(IF(metadata!C108="",FALSE,TRUE),AND(AND(IFERROR(INT(LEFT(metadata!C108,4))&gt;1900,FALSE),IFERROR(INT(LEFT(metadata!C108,4))&lt;=YEAR(NOW()),FALSE)), OR(MID(metadata!C108,5,1)="", AND(AND(MID(metadata!C108,5,1)="-",IFERROR(INT(MID(metadata!C108,6,1))&gt;=0,FALSE),IFERROR(INT(MID(metadata!C108,6,1))&lt;=1,FALSE),NOT(MID(metadata!C108,7,1)=""),IFERROR(INT(MID(metadata!C108,6,2))&gt;=1,FALSE),IFERROR(INT(MID(metadata!C108,6,2))&lt;=12,FALSE)), OR(MID(metadata!C108,8,1)="", AND(AND(MID(metadata!C108,8,1)="-",IFERROR(INT(MID(metadata!C108,9,1))&gt;=0,FALSE),IFERROR(INT(MID(metadata!C108,9,1))&lt;=3,FALSE),NOT(MID(metadata!C108,10,1)=""),IFERROR(INT(MID(metadata!C108,9,2))&gt;=1,FALSE),IFERROR(INT(MID(metadata!C108,9,2))&lt;=31,FALSE)), OR(MID(metadata!C108,11,1)="", AND(AND(MID(metadata!C108,11,1)=" ",IFERROR(INT(MID(metadata!C108,12,1))&gt;=0,FALSE),IFERROR(INT(MID(metadata!C108,12,1))&lt;=2,FALSE),NOT(MID(metadata!C108,13,1)=""),IFERROR(INT(MID(metadata!C108,12,2))&gt;=0,FALSE),IFERROR(INT(MID(metadata!C108,12,2))&lt;=23,FALSE)), OR(MID(metadata!C108,14,1)="", AND(AND(MID(metadata!C108,14,1)=":",IFERROR(INT(MID(metadata!C108,15,1))&gt;=0,FALSE),IFERROR(INT(MID(metadata!C108,15,1))&lt;=5,FALSE),NOT(MID(metadata!C108,16,1)=""),IFERROR(INT(MID(metadata!C108,15,2))&gt;=0,FALSE),IFERROR(INT(MID(metadata!C108,15,2))&lt;=59,FALSE)), OR(MID(metadata!C108,17,1)="", AND(AND(MID(metadata!C108,17,1)=":",IFERROR(INT(MID(metadata!C108,18,1))&gt;=0,FALSE),IFERROR(INT(MID(metadata!C108,18,1))&lt;=5,FALSE),NOT(MID(metadata!C108,19,1)=""),IFERROR(INT(MID(metadata!C108,18,2))&gt;=0,FALSE),IFERROR(INT(MID(metadata!C108,18,2))&lt;=59,FALSE)), LEN(metadata!C108)&lt;=19)))))))))))))</f>
        <v>0</v>
      </c>
      <c r="AD108">
        <f>IF(metadata!D108="",FALSE,TRUE)</f>
        <v>0</v>
      </c>
      <c r="AE108">
        <f>OR(AND(IF(metadata!E108="",FALSE,TRUE),OR(exact(metadata!E108,"missing: not collected"),exact(metadata!E108,"missing: not provided"))),AND(IF(metadata!E108="",FALSE,TRUE),OR(exact(metadata!E108,"TRUE"),exact(metadata!E108,"FALSE"))))</f>
        <v>0</v>
      </c>
      <c r="AF108">
        <f>IF(metadata!F108="",FALSE,TRUE)</f>
        <v>0</v>
      </c>
      <c r="AG108">
        <f>IF(metadata!G108="",FALSE,TRUE)</f>
        <v>0</v>
      </c>
      <c r="AH108">
        <f>IF(metadata!H108="",FALSE,TRUE)</f>
        <v>0</v>
      </c>
      <c r="AI108">
        <f>OR(AND(IF(metadata!I108="",FALSE,TRUE),OR(exact(metadata!I108,"missing: not collected"),exact(metadata!I108,"missing: not provided"),exact(metadata!I108,"missing: restricted access"))),AND(IF(metadata!I108="",FALSE,TRUE),OR(exact(metadata!I108,"air"),exact(metadata!I108,"built environment"),exact(metadata!I108,"host-associated"),exact(metadata!I108,"human-associated"),exact(metadata!I108,"human-skin"),exact(metadata!I108,"human-oral"),exact(metadata!I108,"human-gut"),exact(metadata!I108,"human-vaginal"),exact(metadata!I108,"microbial mat/biofilm"),exact(metadata!I108,"misc environment"),exact(metadata!I108,"plant-associated"),exact(metadata!I108,"sediment"),exact(metadata!I108,"soil"),exact(metadata!I108,"wastewater/sludge"),exact(metadata!I108,"water"))))</f>
        <v>0</v>
      </c>
      <c r="AJ108">
        <f>IF(metadata!J108="",FALSE,TRUE)</f>
        <v>0</v>
      </c>
      <c r="AK108">
        <f>OR(AND(IF(metadata!K108="",FALSE,TRUE),OR(exact(metadata!K108,"missing: not collected"),exact(metadata!K108,"missing: not provided"),exact(metadata!K108,"missing: restricted access"))),AND(IF(metadata!K108="",FALSE,ISNUMBER(VALUE(metadata!K108))),metadata!K108&gt;=-90.00,metadata!K108&lt;=90.00))</f>
        <v>0</v>
      </c>
      <c r="AL108">
        <f>OR(AND(IF(metadata!L108="",FALSE,TRUE),OR(exact(metadata!L108,"missing: not collected"),exact(metadata!L108,"missing: not provided"),exact(metadata!L108,"missing: restricted access"))),AND(IF(metadata!L108="",FALSE,ISNUMBER(VALUE(metadata!L108))),metadata!L108&gt;=-180.00,metadata!L108&lt;=180.00))</f>
        <v>0</v>
      </c>
      <c r="AM108">
        <f>IF(metadata!M108="",FALSE,TRUE)</f>
        <v>0</v>
      </c>
      <c r="AN108">
        <f>OR(AND(IF(metadata!N108="",FALSE,TRUE),OR(exact(metadata!N108,"missing: not collected"),exact(metadata!N108,"missing: not provided"),exact(metadata!N108,"missing: restricted access"))),AND(IF(metadata!N108="",FALSE,TRUE),OR(exact(metadata!N108,"TRUE"),exact(metadata!N108,"FALSE"))))</f>
        <v>0</v>
      </c>
      <c r="AO108">
        <f>IF(metadata!O108="",FALSE,TRUE)</f>
        <v>0</v>
      </c>
      <c r="AP108">
        <f>OR(AND(IF(metadata!P108="",FALSE,TRUE),OR(exact(metadata!P108,"missing: not collected"),exact(metadata!P108,"missing: not provided"))),AND(IF(metadata!P108="",FALSE,IF(ISERROR(INT(metadata!P108)),FALSE,INT(metadata!P108)=metadata!P108)),metadata!P108&gt;0))</f>
        <v>0</v>
      </c>
      <c r="AQ108">
        <f>IF(metadata!Q108="",FALSE,TRUE)</f>
        <v>0</v>
      </c>
    </row>
    <row r="109" spans="1:43">
      <c r="A109" s="5">
        <f>IF(B109=" "," ",HYPERLINK(CONCATENATE("#metadata!",ADDRESS(INDEX($W$2:$W$1001,MATCH(ROWS($U$2:U109),$U$2:$U$1001,0),0),1)),INDEX($Z$2:$Z$1001,MATCH(ROWS($U$2:U109),$U$2:$U$1001,0),0)))</f>
        <v>0</v>
      </c>
      <c r="B109" s="4">
        <f>IF(OR(INDEX($V$2:$V$1001,MATCH(ROWS($U$2:U109),$U$2:$U$1001,0),1)&gt;=100000,INDEX($AB$1005:$AQ$1005,1,MATCH(COLUMNS($AB$1006:AB1006),$AB$1006:$AQ$1006,0))&gt;=100000), " ",IF(INDEX($AB$2:$AQ$1001,MATCH(ROWS($U$2:U109),$U$2:$U$1001,0),MATCH(COLUMNS($AB$1006:AB1006),$AB$1006:$AQ$1006,0)), HYPERLINK("#",""), HYPERLINK(CONCATENATE("#metadata!", ADDRESS(INDEX($W$2:$W$1001,MATCH(ROWS($U$2:U109),$U$2:$U$1001,0),0), INDEX($AB$1004:$AQ$1004,1,MATCH(COLUMNS($AB$1006:AB1006),$AB$1006:$AQ$1006,0)))),"Fix")))</f>
        <v>0</v>
      </c>
      <c r="C109" s="4">
        <f>IF(OR(INDEX($V$2:$V$1001,MATCH(ROWS($U$2:U109),$U$2:$U$1001,0),1)&gt;=100000,INDEX($AB$1005:$AQ$1005,1,MATCH(COLUMNS($AB$1006:AC1006),$AB$1006:$AQ$1006,0))&gt;=100000), " ",IF(INDEX($AB$2:$AQ$1001,MATCH(ROWS($U$2:U109),$U$2:$U$1001,0),MATCH(COLUMNS($AB$1006:AC1006),$AB$1006:$AQ$1006,0)), HYPERLINK("#",""), HYPERLINK(CONCATENATE("#metadata!", ADDRESS(INDEX($W$2:$W$1001,MATCH(ROWS($U$2:U109),$U$2:$U$1001,0),0), INDEX($AB$1004:$AQ$1004,1,MATCH(COLUMNS($AB$1006:AC1006),$AB$1006:$AQ$1006,0)))),"Fix")))</f>
        <v>0</v>
      </c>
      <c r="D109" s="4">
        <f>IF(OR(INDEX($V$2:$V$1001,MATCH(ROWS($U$2:U109),$U$2:$U$1001,0),1)&gt;=100000,INDEX($AB$1005:$AQ$1005,1,MATCH(COLUMNS($AB$1006:AD1006),$AB$1006:$AQ$1006,0))&gt;=100000), " ",IF(INDEX($AB$2:$AQ$1001,MATCH(ROWS($U$2:U109),$U$2:$U$1001,0),MATCH(COLUMNS($AB$1006:AD1006),$AB$1006:$AQ$1006,0)), HYPERLINK("#",""), HYPERLINK(CONCATENATE("#metadata!", ADDRESS(INDEX($W$2:$W$1001,MATCH(ROWS($U$2:U109),$U$2:$U$1001,0),0), INDEX($AB$1004:$AQ$1004,1,MATCH(COLUMNS($AB$1006:AD1006),$AB$1006:$AQ$1006,0)))),"Fix")))</f>
        <v>0</v>
      </c>
      <c r="E109" s="4">
        <f>IF(OR(INDEX($V$2:$V$1001,MATCH(ROWS($U$2:U109),$U$2:$U$1001,0),1)&gt;=100000,INDEX($AB$1005:$AQ$1005,1,MATCH(COLUMNS($AB$1006:AE1006),$AB$1006:$AQ$1006,0))&gt;=100000), " ",IF(INDEX($AB$2:$AQ$1001,MATCH(ROWS($U$2:U109),$U$2:$U$1001,0),MATCH(COLUMNS($AB$1006:AE1006),$AB$1006:$AQ$1006,0)), HYPERLINK("#",""), HYPERLINK(CONCATENATE("#metadata!", ADDRESS(INDEX($W$2:$W$1001,MATCH(ROWS($U$2:U109),$U$2:$U$1001,0),0), INDEX($AB$1004:$AQ$1004,1,MATCH(COLUMNS($AB$1006:AE1006),$AB$1006:$AQ$1006,0)))),"Fix")))</f>
        <v>0</v>
      </c>
      <c r="F109" s="4">
        <f>IF(OR(INDEX($V$2:$V$1001,MATCH(ROWS($U$2:U109),$U$2:$U$1001,0),1)&gt;=100000,INDEX($AB$1005:$AQ$1005,1,MATCH(COLUMNS($AB$1006:AF1006),$AB$1006:$AQ$1006,0))&gt;=100000), " ",IF(INDEX($AB$2:$AQ$1001,MATCH(ROWS($U$2:U109),$U$2:$U$1001,0),MATCH(COLUMNS($AB$1006:AF1006),$AB$1006:$AQ$1006,0)), HYPERLINK("#",""), HYPERLINK(CONCATENATE("#metadata!", ADDRESS(INDEX($W$2:$W$1001,MATCH(ROWS($U$2:U109),$U$2:$U$1001,0),0), INDEX($AB$1004:$AQ$1004,1,MATCH(COLUMNS($AB$1006:AF1006),$AB$1006:$AQ$1006,0)))),"Fix")))</f>
        <v>0</v>
      </c>
      <c r="G109" s="4">
        <f>IF(OR(INDEX($V$2:$V$1001,MATCH(ROWS($U$2:U109),$U$2:$U$1001,0),1)&gt;=100000,INDEX($AB$1005:$AQ$1005,1,MATCH(COLUMNS($AB$1006:AG1006),$AB$1006:$AQ$1006,0))&gt;=100000), " ",IF(INDEX($AB$2:$AQ$1001,MATCH(ROWS($U$2:U109),$U$2:$U$1001,0),MATCH(COLUMNS($AB$1006:AG1006),$AB$1006:$AQ$1006,0)), HYPERLINK("#",""), HYPERLINK(CONCATENATE("#metadata!", ADDRESS(INDEX($W$2:$W$1001,MATCH(ROWS($U$2:U109),$U$2:$U$1001,0),0), INDEX($AB$1004:$AQ$1004,1,MATCH(COLUMNS($AB$1006:AG1006),$AB$1006:$AQ$1006,0)))),"Fix")))</f>
        <v>0</v>
      </c>
      <c r="H109" s="4">
        <f>IF(OR(INDEX($V$2:$V$1001,MATCH(ROWS($U$2:U109),$U$2:$U$1001,0),1)&gt;=100000,INDEX($AB$1005:$AQ$1005,1,MATCH(COLUMNS($AB$1006:AH1006),$AB$1006:$AQ$1006,0))&gt;=100000), " ",IF(INDEX($AB$2:$AQ$1001,MATCH(ROWS($U$2:U109),$U$2:$U$1001,0),MATCH(COLUMNS($AB$1006:AH1006),$AB$1006:$AQ$1006,0)), HYPERLINK("#",""), HYPERLINK(CONCATENATE("#metadata!", ADDRESS(INDEX($W$2:$W$1001,MATCH(ROWS($U$2:U109),$U$2:$U$1001,0),0), INDEX($AB$1004:$AQ$1004,1,MATCH(COLUMNS($AB$1006:AH1006),$AB$1006:$AQ$1006,0)))),"Fix")))</f>
        <v>0</v>
      </c>
      <c r="I109" s="4">
        <f>IF(OR(INDEX($V$2:$V$1001,MATCH(ROWS($U$2:U109),$U$2:$U$1001,0),1)&gt;=100000,INDEX($AB$1005:$AQ$1005,1,MATCH(COLUMNS($AB$1006:AI1006),$AB$1006:$AQ$1006,0))&gt;=100000), " ",IF(INDEX($AB$2:$AQ$1001,MATCH(ROWS($U$2:U109),$U$2:$U$1001,0),MATCH(COLUMNS($AB$1006:AI1006),$AB$1006:$AQ$1006,0)), HYPERLINK("#",""), HYPERLINK(CONCATENATE("#metadata!", ADDRESS(INDEX($W$2:$W$1001,MATCH(ROWS($U$2:U109),$U$2:$U$1001,0),0), INDEX($AB$1004:$AQ$1004,1,MATCH(COLUMNS($AB$1006:AI1006),$AB$1006:$AQ$1006,0)))),"Fix")))</f>
        <v>0</v>
      </c>
      <c r="J109" s="4">
        <f>IF(OR(INDEX($V$2:$V$1001,MATCH(ROWS($U$2:U109),$U$2:$U$1001,0),1)&gt;=100000,INDEX($AB$1005:$AQ$1005,1,MATCH(COLUMNS($AB$1006:AJ1006),$AB$1006:$AQ$1006,0))&gt;=100000), " ",IF(INDEX($AB$2:$AQ$1001,MATCH(ROWS($U$2:U109),$U$2:$U$1001,0),MATCH(COLUMNS($AB$1006:AJ1006),$AB$1006:$AQ$1006,0)), HYPERLINK("#",""), HYPERLINK(CONCATENATE("#metadata!", ADDRESS(INDEX($W$2:$W$1001,MATCH(ROWS($U$2:U109),$U$2:$U$1001,0),0), INDEX($AB$1004:$AQ$1004,1,MATCH(COLUMNS($AB$1006:AJ1006),$AB$1006:$AQ$1006,0)))),"Fix")))</f>
        <v>0</v>
      </c>
      <c r="K109" s="4">
        <f>IF(OR(INDEX($V$2:$V$1001,MATCH(ROWS($U$2:U109),$U$2:$U$1001,0),1)&gt;=100000,INDEX($AB$1005:$AQ$1005,1,MATCH(COLUMNS($AB$1006:AK1006),$AB$1006:$AQ$1006,0))&gt;=100000), " ",IF(INDEX($AB$2:$AQ$1001,MATCH(ROWS($U$2:U109),$U$2:$U$1001,0),MATCH(COLUMNS($AB$1006:AK1006),$AB$1006:$AQ$1006,0)), HYPERLINK("#",""), HYPERLINK(CONCATENATE("#metadata!", ADDRESS(INDEX($W$2:$W$1001,MATCH(ROWS($U$2:U109),$U$2:$U$1001,0),0), INDEX($AB$1004:$AQ$1004,1,MATCH(COLUMNS($AB$1006:AK1006),$AB$1006:$AQ$1006,0)))),"Fix")))</f>
        <v>0</v>
      </c>
      <c r="L109" s="4">
        <f>IF(OR(INDEX($V$2:$V$1001,MATCH(ROWS($U$2:U109),$U$2:$U$1001,0),1)&gt;=100000,INDEX($AB$1005:$AQ$1005,1,MATCH(COLUMNS($AB$1006:AL1006),$AB$1006:$AQ$1006,0))&gt;=100000), " ",IF(INDEX($AB$2:$AQ$1001,MATCH(ROWS($U$2:U109),$U$2:$U$1001,0),MATCH(COLUMNS($AB$1006:AL1006),$AB$1006:$AQ$1006,0)), HYPERLINK("#",""), HYPERLINK(CONCATENATE("#metadata!", ADDRESS(INDEX($W$2:$W$1001,MATCH(ROWS($U$2:U109),$U$2:$U$1001,0),0), INDEX($AB$1004:$AQ$1004,1,MATCH(COLUMNS($AB$1006:AL1006),$AB$1006:$AQ$1006,0)))),"Fix")))</f>
        <v>0</v>
      </c>
      <c r="M109" s="4">
        <f>IF(OR(INDEX($V$2:$V$1001,MATCH(ROWS($U$2:U109),$U$2:$U$1001,0),1)&gt;=100000,INDEX($AB$1005:$AQ$1005,1,MATCH(COLUMNS($AB$1006:AM1006),$AB$1006:$AQ$1006,0))&gt;=100000), " ",IF(INDEX($AB$2:$AQ$1001,MATCH(ROWS($U$2:U109),$U$2:$U$1001,0),MATCH(COLUMNS($AB$1006:AM1006),$AB$1006:$AQ$1006,0)), HYPERLINK("#",""), HYPERLINK(CONCATENATE("#metadata!", ADDRESS(INDEX($W$2:$W$1001,MATCH(ROWS($U$2:U109),$U$2:$U$1001,0),0), INDEX($AB$1004:$AQ$1004,1,MATCH(COLUMNS($AB$1006:AM1006),$AB$1006:$AQ$1006,0)))),"Fix")))</f>
        <v>0</v>
      </c>
      <c r="N109" s="4">
        <f>IF(OR(INDEX($V$2:$V$1001,MATCH(ROWS($U$2:U109),$U$2:$U$1001,0),1)&gt;=100000,INDEX($AB$1005:$AQ$1005,1,MATCH(COLUMNS($AB$1006:AN1006),$AB$1006:$AQ$1006,0))&gt;=100000), " ",IF(INDEX($AB$2:$AQ$1001,MATCH(ROWS($U$2:U109),$U$2:$U$1001,0),MATCH(COLUMNS($AB$1006:AN1006),$AB$1006:$AQ$1006,0)), HYPERLINK("#",""), HYPERLINK(CONCATENATE("#metadata!", ADDRESS(INDEX($W$2:$W$1001,MATCH(ROWS($U$2:U109),$U$2:$U$1001,0),0), INDEX($AB$1004:$AQ$1004,1,MATCH(COLUMNS($AB$1006:AN1006),$AB$1006:$AQ$1006,0)))),"Fix")))</f>
        <v>0</v>
      </c>
      <c r="O109" s="4">
        <f>IF(OR(INDEX($V$2:$V$1001,MATCH(ROWS($U$2:U109),$U$2:$U$1001,0),1)&gt;=100000,INDEX($AB$1005:$AQ$1005,1,MATCH(COLUMNS($AB$1006:AO1006),$AB$1006:$AQ$1006,0))&gt;=100000), " ",IF(INDEX($AB$2:$AQ$1001,MATCH(ROWS($U$2:U109),$U$2:$U$1001,0),MATCH(COLUMNS($AB$1006:AO1006),$AB$1006:$AQ$1006,0)), HYPERLINK("#",""), HYPERLINK(CONCATENATE("#metadata!", ADDRESS(INDEX($W$2:$W$1001,MATCH(ROWS($U$2:U109),$U$2:$U$1001,0),0), INDEX($AB$1004:$AQ$1004,1,MATCH(COLUMNS($AB$1006:AO1006),$AB$1006:$AQ$1006,0)))),"Fix")))</f>
        <v>0</v>
      </c>
      <c r="P109" s="4">
        <f>IF(OR(INDEX($V$2:$V$1001,MATCH(ROWS($U$2:U109),$U$2:$U$1001,0),1)&gt;=100000,INDEX($AB$1005:$AQ$1005,1,MATCH(COLUMNS($AB$1006:AP1006),$AB$1006:$AQ$1006,0))&gt;=100000), " ",IF(INDEX($AB$2:$AQ$1001,MATCH(ROWS($U$2:U109),$U$2:$U$1001,0),MATCH(COLUMNS($AB$1006:AP1006),$AB$1006:$AQ$1006,0)), HYPERLINK("#",""), HYPERLINK(CONCATENATE("#metadata!", ADDRESS(INDEX($W$2:$W$1001,MATCH(ROWS($U$2:U109),$U$2:$U$1001,0),0), INDEX($AB$1004:$AQ$1004,1,MATCH(COLUMNS($AB$1006:AP1006),$AB$1006:$AQ$1006,0)))),"Fix")))</f>
        <v>0</v>
      </c>
      <c r="Q109" s="4">
        <f>IF(OR(INDEX($V$2:$V$1001,MATCH(ROWS($U$2:U109),$U$2:$U$1001,0),1)&gt;=100000,INDEX($AB$1005:$AQ$1005,1,MATCH(COLUMNS($AB$1006:AQ1006),$AB$1006:$AQ$1006,0))&gt;=100000), " ",IF(INDEX($AB$2:$AQ$1001,MATCH(ROWS($U$2:U109),$U$2:$U$1001,0),MATCH(COLUMNS($AB$1006:AQ1006),$AB$1006:$AQ$1006,0)), HYPERLINK("#",""), HYPERLINK(CONCATENATE("#metadata!", ADDRESS(INDEX($W$2:$W$1001,MATCH(ROWS($U$2:U109),$U$2:$U$1001,0),0), INDEX($AB$1004:$AQ$1004,1,MATCH(COLUMNS($AB$1006:AQ1006),$AB$1006:$AQ$1006,0)))),"Fix")))</f>
        <v>0</v>
      </c>
      <c r="U109">
        <v>0</v>
      </c>
      <c r="V109">
        <v>0</v>
      </c>
      <c r="W109">
        <v>0</v>
      </c>
      <c r="X109">
        <f>IF(Y109,TRUE,AND(AB109:AQ109))</f>
        <v>0</v>
      </c>
      <c r="Y109">
        <f>COUNTBLANK(metadata!B109:Q109)=COLUMNS(metadata!B109:Q109)</f>
        <v>0</v>
      </c>
      <c r="Z109">
        <v>0</v>
      </c>
      <c r="AB109">
        <f>AND(IF(metadata!B109="",FALSE,TRUE),COUNTIF(metadata!B:B, metadata!B109) = 1,NOT(ISERROR(SUMPRODUCT(SEARCH(MID(metadata!B109,ROW(INDIRECT("1:"&amp;LEN(metadata!B109))), 1),"0123456789abcdefghijklmnopqrstuvwxyzABCDEFGHIJKLMNOPQRSTUVWXYZ.")))))</f>
        <v>0</v>
      </c>
      <c r="AC109">
        <f>OR(AND(IF(metadata!C109="",FALSE,TRUE),OR(exact(metadata!C109,"missing: not collected"),exact(metadata!C109,"missing: not provided"),exact(metadata!C109,"missing: restricted access"))),AND(IF(metadata!C109="",FALSE,TRUE),AND(AND(IFERROR(INT(LEFT(metadata!C109,4))&gt;1900,FALSE),IFERROR(INT(LEFT(metadata!C109,4))&lt;=YEAR(NOW()),FALSE)), OR(MID(metadata!C109,5,1)="", AND(AND(MID(metadata!C109,5,1)="-",IFERROR(INT(MID(metadata!C109,6,1))&gt;=0,FALSE),IFERROR(INT(MID(metadata!C109,6,1))&lt;=1,FALSE),NOT(MID(metadata!C109,7,1)=""),IFERROR(INT(MID(metadata!C109,6,2))&gt;=1,FALSE),IFERROR(INT(MID(metadata!C109,6,2))&lt;=12,FALSE)), OR(MID(metadata!C109,8,1)="", AND(AND(MID(metadata!C109,8,1)="-",IFERROR(INT(MID(metadata!C109,9,1))&gt;=0,FALSE),IFERROR(INT(MID(metadata!C109,9,1))&lt;=3,FALSE),NOT(MID(metadata!C109,10,1)=""),IFERROR(INT(MID(metadata!C109,9,2))&gt;=1,FALSE),IFERROR(INT(MID(metadata!C109,9,2))&lt;=31,FALSE)), OR(MID(metadata!C109,11,1)="", AND(AND(MID(metadata!C109,11,1)=" ",IFERROR(INT(MID(metadata!C109,12,1))&gt;=0,FALSE),IFERROR(INT(MID(metadata!C109,12,1))&lt;=2,FALSE),NOT(MID(metadata!C109,13,1)=""),IFERROR(INT(MID(metadata!C109,12,2))&gt;=0,FALSE),IFERROR(INT(MID(metadata!C109,12,2))&lt;=23,FALSE)), OR(MID(metadata!C109,14,1)="", AND(AND(MID(metadata!C109,14,1)=":",IFERROR(INT(MID(metadata!C109,15,1))&gt;=0,FALSE),IFERROR(INT(MID(metadata!C109,15,1))&lt;=5,FALSE),NOT(MID(metadata!C109,16,1)=""),IFERROR(INT(MID(metadata!C109,15,2))&gt;=0,FALSE),IFERROR(INT(MID(metadata!C109,15,2))&lt;=59,FALSE)), OR(MID(metadata!C109,17,1)="", AND(AND(MID(metadata!C109,17,1)=":",IFERROR(INT(MID(metadata!C109,18,1))&gt;=0,FALSE),IFERROR(INT(MID(metadata!C109,18,1))&lt;=5,FALSE),NOT(MID(metadata!C109,19,1)=""),IFERROR(INT(MID(metadata!C109,18,2))&gt;=0,FALSE),IFERROR(INT(MID(metadata!C109,18,2))&lt;=59,FALSE)), LEN(metadata!C109)&lt;=19)))))))))))))</f>
        <v>0</v>
      </c>
      <c r="AD109">
        <f>IF(metadata!D109="",FALSE,TRUE)</f>
        <v>0</v>
      </c>
      <c r="AE109">
        <f>OR(AND(IF(metadata!E109="",FALSE,TRUE),OR(exact(metadata!E109,"missing: not collected"),exact(metadata!E109,"missing: not provided"))),AND(IF(metadata!E109="",FALSE,TRUE),OR(exact(metadata!E109,"TRUE"),exact(metadata!E109,"FALSE"))))</f>
        <v>0</v>
      </c>
      <c r="AF109">
        <f>IF(metadata!F109="",FALSE,TRUE)</f>
        <v>0</v>
      </c>
      <c r="AG109">
        <f>IF(metadata!G109="",FALSE,TRUE)</f>
        <v>0</v>
      </c>
      <c r="AH109">
        <f>IF(metadata!H109="",FALSE,TRUE)</f>
        <v>0</v>
      </c>
      <c r="AI109">
        <f>OR(AND(IF(metadata!I109="",FALSE,TRUE),OR(exact(metadata!I109,"missing: not collected"),exact(metadata!I109,"missing: not provided"),exact(metadata!I109,"missing: restricted access"))),AND(IF(metadata!I109="",FALSE,TRUE),OR(exact(metadata!I109,"air"),exact(metadata!I109,"built environment"),exact(metadata!I109,"host-associated"),exact(metadata!I109,"human-associated"),exact(metadata!I109,"human-skin"),exact(metadata!I109,"human-oral"),exact(metadata!I109,"human-gut"),exact(metadata!I109,"human-vaginal"),exact(metadata!I109,"microbial mat/biofilm"),exact(metadata!I109,"misc environment"),exact(metadata!I109,"plant-associated"),exact(metadata!I109,"sediment"),exact(metadata!I109,"soil"),exact(metadata!I109,"wastewater/sludge"),exact(metadata!I109,"water"))))</f>
        <v>0</v>
      </c>
      <c r="AJ109">
        <f>IF(metadata!J109="",FALSE,TRUE)</f>
        <v>0</v>
      </c>
      <c r="AK109">
        <f>OR(AND(IF(metadata!K109="",FALSE,TRUE),OR(exact(metadata!K109,"missing: not collected"),exact(metadata!K109,"missing: not provided"),exact(metadata!K109,"missing: restricted access"))),AND(IF(metadata!K109="",FALSE,ISNUMBER(VALUE(metadata!K109))),metadata!K109&gt;=-90.00,metadata!K109&lt;=90.00))</f>
        <v>0</v>
      </c>
      <c r="AL109">
        <f>OR(AND(IF(metadata!L109="",FALSE,TRUE),OR(exact(metadata!L109,"missing: not collected"),exact(metadata!L109,"missing: not provided"),exact(metadata!L109,"missing: restricted access"))),AND(IF(metadata!L109="",FALSE,ISNUMBER(VALUE(metadata!L109))),metadata!L109&gt;=-180.00,metadata!L109&lt;=180.00))</f>
        <v>0</v>
      </c>
      <c r="AM109">
        <f>IF(metadata!M109="",FALSE,TRUE)</f>
        <v>0</v>
      </c>
      <c r="AN109">
        <f>OR(AND(IF(metadata!N109="",FALSE,TRUE),OR(exact(metadata!N109,"missing: not collected"),exact(metadata!N109,"missing: not provided"),exact(metadata!N109,"missing: restricted access"))),AND(IF(metadata!N109="",FALSE,TRUE),OR(exact(metadata!N109,"TRUE"),exact(metadata!N109,"FALSE"))))</f>
        <v>0</v>
      </c>
      <c r="AO109">
        <f>IF(metadata!O109="",FALSE,TRUE)</f>
        <v>0</v>
      </c>
      <c r="AP109">
        <f>OR(AND(IF(metadata!P109="",FALSE,TRUE),OR(exact(metadata!P109,"missing: not collected"),exact(metadata!P109,"missing: not provided"))),AND(IF(metadata!P109="",FALSE,IF(ISERROR(INT(metadata!P109)),FALSE,INT(metadata!P109)=metadata!P109)),metadata!P109&gt;0))</f>
        <v>0</v>
      </c>
      <c r="AQ109">
        <f>IF(metadata!Q109="",FALSE,TRUE)</f>
        <v>0</v>
      </c>
    </row>
    <row r="110" spans="1:43">
      <c r="A110" s="5">
        <f>IF(B110=" "," ",HYPERLINK(CONCATENATE("#metadata!",ADDRESS(INDEX($W$2:$W$1001,MATCH(ROWS($U$2:U110),$U$2:$U$1001,0),0),1)),INDEX($Z$2:$Z$1001,MATCH(ROWS($U$2:U110),$U$2:$U$1001,0),0)))</f>
        <v>0</v>
      </c>
      <c r="B110" s="4">
        <f>IF(OR(INDEX($V$2:$V$1001,MATCH(ROWS($U$2:U110),$U$2:$U$1001,0),1)&gt;=100000,INDEX($AB$1005:$AQ$1005,1,MATCH(COLUMNS($AB$1006:AB1006),$AB$1006:$AQ$1006,0))&gt;=100000), " ",IF(INDEX($AB$2:$AQ$1001,MATCH(ROWS($U$2:U110),$U$2:$U$1001,0),MATCH(COLUMNS($AB$1006:AB1006),$AB$1006:$AQ$1006,0)), HYPERLINK("#",""), HYPERLINK(CONCATENATE("#metadata!", ADDRESS(INDEX($W$2:$W$1001,MATCH(ROWS($U$2:U110),$U$2:$U$1001,0),0), INDEX($AB$1004:$AQ$1004,1,MATCH(COLUMNS($AB$1006:AB1006),$AB$1006:$AQ$1006,0)))),"Fix")))</f>
        <v>0</v>
      </c>
      <c r="C110" s="4">
        <f>IF(OR(INDEX($V$2:$V$1001,MATCH(ROWS($U$2:U110),$U$2:$U$1001,0),1)&gt;=100000,INDEX($AB$1005:$AQ$1005,1,MATCH(COLUMNS($AB$1006:AC1006),$AB$1006:$AQ$1006,0))&gt;=100000), " ",IF(INDEX($AB$2:$AQ$1001,MATCH(ROWS($U$2:U110),$U$2:$U$1001,0),MATCH(COLUMNS($AB$1006:AC1006),$AB$1006:$AQ$1006,0)), HYPERLINK("#",""), HYPERLINK(CONCATENATE("#metadata!", ADDRESS(INDEX($W$2:$W$1001,MATCH(ROWS($U$2:U110),$U$2:$U$1001,0),0), INDEX($AB$1004:$AQ$1004,1,MATCH(COLUMNS($AB$1006:AC1006),$AB$1006:$AQ$1006,0)))),"Fix")))</f>
        <v>0</v>
      </c>
      <c r="D110" s="4">
        <f>IF(OR(INDEX($V$2:$V$1001,MATCH(ROWS($U$2:U110),$U$2:$U$1001,0),1)&gt;=100000,INDEX($AB$1005:$AQ$1005,1,MATCH(COLUMNS($AB$1006:AD1006),$AB$1006:$AQ$1006,0))&gt;=100000), " ",IF(INDEX($AB$2:$AQ$1001,MATCH(ROWS($U$2:U110),$U$2:$U$1001,0),MATCH(COLUMNS($AB$1006:AD1006),$AB$1006:$AQ$1006,0)), HYPERLINK("#",""), HYPERLINK(CONCATENATE("#metadata!", ADDRESS(INDEX($W$2:$W$1001,MATCH(ROWS($U$2:U110),$U$2:$U$1001,0),0), INDEX($AB$1004:$AQ$1004,1,MATCH(COLUMNS($AB$1006:AD1006),$AB$1006:$AQ$1006,0)))),"Fix")))</f>
        <v>0</v>
      </c>
      <c r="E110" s="4">
        <f>IF(OR(INDEX($V$2:$V$1001,MATCH(ROWS($U$2:U110),$U$2:$U$1001,0),1)&gt;=100000,INDEX($AB$1005:$AQ$1005,1,MATCH(COLUMNS($AB$1006:AE1006),$AB$1006:$AQ$1006,0))&gt;=100000), " ",IF(INDEX($AB$2:$AQ$1001,MATCH(ROWS($U$2:U110),$U$2:$U$1001,0),MATCH(COLUMNS($AB$1006:AE1006),$AB$1006:$AQ$1006,0)), HYPERLINK("#",""), HYPERLINK(CONCATENATE("#metadata!", ADDRESS(INDEX($W$2:$W$1001,MATCH(ROWS($U$2:U110),$U$2:$U$1001,0),0), INDEX($AB$1004:$AQ$1004,1,MATCH(COLUMNS($AB$1006:AE1006),$AB$1006:$AQ$1006,0)))),"Fix")))</f>
        <v>0</v>
      </c>
      <c r="F110" s="4">
        <f>IF(OR(INDEX($V$2:$V$1001,MATCH(ROWS($U$2:U110),$U$2:$U$1001,0),1)&gt;=100000,INDEX($AB$1005:$AQ$1005,1,MATCH(COLUMNS($AB$1006:AF1006),$AB$1006:$AQ$1006,0))&gt;=100000), " ",IF(INDEX($AB$2:$AQ$1001,MATCH(ROWS($U$2:U110),$U$2:$U$1001,0),MATCH(COLUMNS($AB$1006:AF1006),$AB$1006:$AQ$1006,0)), HYPERLINK("#",""), HYPERLINK(CONCATENATE("#metadata!", ADDRESS(INDEX($W$2:$W$1001,MATCH(ROWS($U$2:U110),$U$2:$U$1001,0),0), INDEX($AB$1004:$AQ$1004,1,MATCH(COLUMNS($AB$1006:AF1006),$AB$1006:$AQ$1006,0)))),"Fix")))</f>
        <v>0</v>
      </c>
      <c r="G110" s="4">
        <f>IF(OR(INDEX($V$2:$V$1001,MATCH(ROWS($U$2:U110),$U$2:$U$1001,0),1)&gt;=100000,INDEX($AB$1005:$AQ$1005,1,MATCH(COLUMNS($AB$1006:AG1006),$AB$1006:$AQ$1006,0))&gt;=100000), " ",IF(INDEX($AB$2:$AQ$1001,MATCH(ROWS($U$2:U110),$U$2:$U$1001,0),MATCH(COLUMNS($AB$1006:AG1006),$AB$1006:$AQ$1006,0)), HYPERLINK("#",""), HYPERLINK(CONCATENATE("#metadata!", ADDRESS(INDEX($W$2:$W$1001,MATCH(ROWS($U$2:U110),$U$2:$U$1001,0),0), INDEX($AB$1004:$AQ$1004,1,MATCH(COLUMNS($AB$1006:AG1006),$AB$1006:$AQ$1006,0)))),"Fix")))</f>
        <v>0</v>
      </c>
      <c r="H110" s="4">
        <f>IF(OR(INDEX($V$2:$V$1001,MATCH(ROWS($U$2:U110),$U$2:$U$1001,0),1)&gt;=100000,INDEX($AB$1005:$AQ$1005,1,MATCH(COLUMNS($AB$1006:AH1006),$AB$1006:$AQ$1006,0))&gt;=100000), " ",IF(INDEX($AB$2:$AQ$1001,MATCH(ROWS($U$2:U110),$U$2:$U$1001,0),MATCH(COLUMNS($AB$1006:AH1006),$AB$1006:$AQ$1006,0)), HYPERLINK("#",""), HYPERLINK(CONCATENATE("#metadata!", ADDRESS(INDEX($W$2:$W$1001,MATCH(ROWS($U$2:U110),$U$2:$U$1001,0),0), INDEX($AB$1004:$AQ$1004,1,MATCH(COLUMNS($AB$1006:AH1006),$AB$1006:$AQ$1006,0)))),"Fix")))</f>
        <v>0</v>
      </c>
      <c r="I110" s="4">
        <f>IF(OR(INDEX($V$2:$V$1001,MATCH(ROWS($U$2:U110),$U$2:$U$1001,0),1)&gt;=100000,INDEX($AB$1005:$AQ$1005,1,MATCH(COLUMNS($AB$1006:AI1006),$AB$1006:$AQ$1006,0))&gt;=100000), " ",IF(INDEX($AB$2:$AQ$1001,MATCH(ROWS($U$2:U110),$U$2:$U$1001,0),MATCH(COLUMNS($AB$1006:AI1006),$AB$1006:$AQ$1006,0)), HYPERLINK("#",""), HYPERLINK(CONCATENATE("#metadata!", ADDRESS(INDEX($W$2:$W$1001,MATCH(ROWS($U$2:U110),$U$2:$U$1001,0),0), INDEX($AB$1004:$AQ$1004,1,MATCH(COLUMNS($AB$1006:AI1006),$AB$1006:$AQ$1006,0)))),"Fix")))</f>
        <v>0</v>
      </c>
      <c r="J110" s="4">
        <f>IF(OR(INDEX($V$2:$V$1001,MATCH(ROWS($U$2:U110),$U$2:$U$1001,0),1)&gt;=100000,INDEX($AB$1005:$AQ$1005,1,MATCH(COLUMNS($AB$1006:AJ1006),$AB$1006:$AQ$1006,0))&gt;=100000), " ",IF(INDEX($AB$2:$AQ$1001,MATCH(ROWS($U$2:U110),$U$2:$U$1001,0),MATCH(COLUMNS($AB$1006:AJ1006),$AB$1006:$AQ$1006,0)), HYPERLINK("#",""), HYPERLINK(CONCATENATE("#metadata!", ADDRESS(INDEX($W$2:$W$1001,MATCH(ROWS($U$2:U110),$U$2:$U$1001,0),0), INDEX($AB$1004:$AQ$1004,1,MATCH(COLUMNS($AB$1006:AJ1006),$AB$1006:$AQ$1006,0)))),"Fix")))</f>
        <v>0</v>
      </c>
      <c r="K110" s="4">
        <f>IF(OR(INDEX($V$2:$V$1001,MATCH(ROWS($U$2:U110),$U$2:$U$1001,0),1)&gt;=100000,INDEX($AB$1005:$AQ$1005,1,MATCH(COLUMNS($AB$1006:AK1006),$AB$1006:$AQ$1006,0))&gt;=100000), " ",IF(INDEX($AB$2:$AQ$1001,MATCH(ROWS($U$2:U110),$U$2:$U$1001,0),MATCH(COLUMNS($AB$1006:AK1006),$AB$1006:$AQ$1006,0)), HYPERLINK("#",""), HYPERLINK(CONCATENATE("#metadata!", ADDRESS(INDEX($W$2:$W$1001,MATCH(ROWS($U$2:U110),$U$2:$U$1001,0),0), INDEX($AB$1004:$AQ$1004,1,MATCH(COLUMNS($AB$1006:AK1006),$AB$1006:$AQ$1006,0)))),"Fix")))</f>
        <v>0</v>
      </c>
      <c r="L110" s="4">
        <f>IF(OR(INDEX($V$2:$V$1001,MATCH(ROWS($U$2:U110),$U$2:$U$1001,0),1)&gt;=100000,INDEX($AB$1005:$AQ$1005,1,MATCH(COLUMNS($AB$1006:AL1006),$AB$1006:$AQ$1006,0))&gt;=100000), " ",IF(INDEX($AB$2:$AQ$1001,MATCH(ROWS($U$2:U110),$U$2:$U$1001,0),MATCH(COLUMNS($AB$1006:AL1006),$AB$1006:$AQ$1006,0)), HYPERLINK("#",""), HYPERLINK(CONCATENATE("#metadata!", ADDRESS(INDEX($W$2:$W$1001,MATCH(ROWS($U$2:U110),$U$2:$U$1001,0),0), INDEX($AB$1004:$AQ$1004,1,MATCH(COLUMNS($AB$1006:AL1006),$AB$1006:$AQ$1006,0)))),"Fix")))</f>
        <v>0</v>
      </c>
      <c r="M110" s="4">
        <f>IF(OR(INDEX($V$2:$V$1001,MATCH(ROWS($U$2:U110),$U$2:$U$1001,0),1)&gt;=100000,INDEX($AB$1005:$AQ$1005,1,MATCH(COLUMNS($AB$1006:AM1006),$AB$1006:$AQ$1006,0))&gt;=100000), " ",IF(INDEX($AB$2:$AQ$1001,MATCH(ROWS($U$2:U110),$U$2:$U$1001,0),MATCH(COLUMNS($AB$1006:AM1006),$AB$1006:$AQ$1006,0)), HYPERLINK("#",""), HYPERLINK(CONCATENATE("#metadata!", ADDRESS(INDEX($W$2:$W$1001,MATCH(ROWS($U$2:U110),$U$2:$U$1001,0),0), INDEX($AB$1004:$AQ$1004,1,MATCH(COLUMNS($AB$1006:AM1006),$AB$1006:$AQ$1006,0)))),"Fix")))</f>
        <v>0</v>
      </c>
      <c r="N110" s="4">
        <f>IF(OR(INDEX($V$2:$V$1001,MATCH(ROWS($U$2:U110),$U$2:$U$1001,0),1)&gt;=100000,INDEX($AB$1005:$AQ$1005,1,MATCH(COLUMNS($AB$1006:AN1006),$AB$1006:$AQ$1006,0))&gt;=100000), " ",IF(INDEX($AB$2:$AQ$1001,MATCH(ROWS($U$2:U110),$U$2:$U$1001,0),MATCH(COLUMNS($AB$1006:AN1006),$AB$1006:$AQ$1006,0)), HYPERLINK("#",""), HYPERLINK(CONCATENATE("#metadata!", ADDRESS(INDEX($W$2:$W$1001,MATCH(ROWS($U$2:U110),$U$2:$U$1001,0),0), INDEX($AB$1004:$AQ$1004,1,MATCH(COLUMNS($AB$1006:AN1006),$AB$1006:$AQ$1006,0)))),"Fix")))</f>
        <v>0</v>
      </c>
      <c r="O110" s="4">
        <f>IF(OR(INDEX($V$2:$V$1001,MATCH(ROWS($U$2:U110),$U$2:$U$1001,0),1)&gt;=100000,INDEX($AB$1005:$AQ$1005,1,MATCH(COLUMNS($AB$1006:AO1006),$AB$1006:$AQ$1006,0))&gt;=100000), " ",IF(INDEX($AB$2:$AQ$1001,MATCH(ROWS($U$2:U110),$U$2:$U$1001,0),MATCH(COLUMNS($AB$1006:AO1006),$AB$1006:$AQ$1006,0)), HYPERLINK("#",""), HYPERLINK(CONCATENATE("#metadata!", ADDRESS(INDEX($W$2:$W$1001,MATCH(ROWS($U$2:U110),$U$2:$U$1001,0),0), INDEX($AB$1004:$AQ$1004,1,MATCH(COLUMNS($AB$1006:AO1006),$AB$1006:$AQ$1006,0)))),"Fix")))</f>
        <v>0</v>
      </c>
      <c r="P110" s="4">
        <f>IF(OR(INDEX($V$2:$V$1001,MATCH(ROWS($U$2:U110),$U$2:$U$1001,0),1)&gt;=100000,INDEX($AB$1005:$AQ$1005,1,MATCH(COLUMNS($AB$1006:AP1006),$AB$1006:$AQ$1006,0))&gt;=100000), " ",IF(INDEX($AB$2:$AQ$1001,MATCH(ROWS($U$2:U110),$U$2:$U$1001,0),MATCH(COLUMNS($AB$1006:AP1006),$AB$1006:$AQ$1006,0)), HYPERLINK("#",""), HYPERLINK(CONCATENATE("#metadata!", ADDRESS(INDEX($W$2:$W$1001,MATCH(ROWS($U$2:U110),$U$2:$U$1001,0),0), INDEX($AB$1004:$AQ$1004,1,MATCH(COLUMNS($AB$1006:AP1006),$AB$1006:$AQ$1006,0)))),"Fix")))</f>
        <v>0</v>
      </c>
      <c r="Q110" s="4">
        <f>IF(OR(INDEX($V$2:$V$1001,MATCH(ROWS($U$2:U110),$U$2:$U$1001,0),1)&gt;=100000,INDEX($AB$1005:$AQ$1005,1,MATCH(COLUMNS($AB$1006:AQ1006),$AB$1006:$AQ$1006,0))&gt;=100000), " ",IF(INDEX($AB$2:$AQ$1001,MATCH(ROWS($U$2:U110),$U$2:$U$1001,0),MATCH(COLUMNS($AB$1006:AQ1006),$AB$1006:$AQ$1006,0)), HYPERLINK("#",""), HYPERLINK(CONCATENATE("#metadata!", ADDRESS(INDEX($W$2:$W$1001,MATCH(ROWS($U$2:U110),$U$2:$U$1001,0),0), INDEX($AB$1004:$AQ$1004,1,MATCH(COLUMNS($AB$1006:AQ1006),$AB$1006:$AQ$1006,0)))),"Fix")))</f>
        <v>0</v>
      </c>
      <c r="U110">
        <v>0</v>
      </c>
      <c r="V110">
        <v>0</v>
      </c>
      <c r="W110">
        <v>0</v>
      </c>
      <c r="X110">
        <f>IF(Y110,TRUE,AND(AB110:AQ110))</f>
        <v>0</v>
      </c>
      <c r="Y110">
        <f>COUNTBLANK(metadata!B110:Q110)=COLUMNS(metadata!B110:Q110)</f>
        <v>0</v>
      </c>
      <c r="Z110">
        <v>0</v>
      </c>
      <c r="AB110">
        <f>AND(IF(metadata!B110="",FALSE,TRUE),COUNTIF(metadata!B:B, metadata!B110) = 1,NOT(ISERROR(SUMPRODUCT(SEARCH(MID(metadata!B110,ROW(INDIRECT("1:"&amp;LEN(metadata!B110))), 1),"0123456789abcdefghijklmnopqrstuvwxyzABCDEFGHIJKLMNOPQRSTUVWXYZ.")))))</f>
        <v>0</v>
      </c>
      <c r="AC110">
        <f>OR(AND(IF(metadata!C110="",FALSE,TRUE),OR(exact(metadata!C110,"missing: not collected"),exact(metadata!C110,"missing: not provided"),exact(metadata!C110,"missing: restricted access"))),AND(IF(metadata!C110="",FALSE,TRUE),AND(AND(IFERROR(INT(LEFT(metadata!C110,4))&gt;1900,FALSE),IFERROR(INT(LEFT(metadata!C110,4))&lt;=YEAR(NOW()),FALSE)), OR(MID(metadata!C110,5,1)="", AND(AND(MID(metadata!C110,5,1)="-",IFERROR(INT(MID(metadata!C110,6,1))&gt;=0,FALSE),IFERROR(INT(MID(metadata!C110,6,1))&lt;=1,FALSE),NOT(MID(metadata!C110,7,1)=""),IFERROR(INT(MID(metadata!C110,6,2))&gt;=1,FALSE),IFERROR(INT(MID(metadata!C110,6,2))&lt;=12,FALSE)), OR(MID(metadata!C110,8,1)="", AND(AND(MID(metadata!C110,8,1)="-",IFERROR(INT(MID(metadata!C110,9,1))&gt;=0,FALSE),IFERROR(INT(MID(metadata!C110,9,1))&lt;=3,FALSE),NOT(MID(metadata!C110,10,1)=""),IFERROR(INT(MID(metadata!C110,9,2))&gt;=1,FALSE),IFERROR(INT(MID(metadata!C110,9,2))&lt;=31,FALSE)), OR(MID(metadata!C110,11,1)="", AND(AND(MID(metadata!C110,11,1)=" ",IFERROR(INT(MID(metadata!C110,12,1))&gt;=0,FALSE),IFERROR(INT(MID(metadata!C110,12,1))&lt;=2,FALSE),NOT(MID(metadata!C110,13,1)=""),IFERROR(INT(MID(metadata!C110,12,2))&gt;=0,FALSE),IFERROR(INT(MID(metadata!C110,12,2))&lt;=23,FALSE)), OR(MID(metadata!C110,14,1)="", AND(AND(MID(metadata!C110,14,1)=":",IFERROR(INT(MID(metadata!C110,15,1))&gt;=0,FALSE),IFERROR(INT(MID(metadata!C110,15,1))&lt;=5,FALSE),NOT(MID(metadata!C110,16,1)=""),IFERROR(INT(MID(metadata!C110,15,2))&gt;=0,FALSE),IFERROR(INT(MID(metadata!C110,15,2))&lt;=59,FALSE)), OR(MID(metadata!C110,17,1)="", AND(AND(MID(metadata!C110,17,1)=":",IFERROR(INT(MID(metadata!C110,18,1))&gt;=0,FALSE),IFERROR(INT(MID(metadata!C110,18,1))&lt;=5,FALSE),NOT(MID(metadata!C110,19,1)=""),IFERROR(INT(MID(metadata!C110,18,2))&gt;=0,FALSE),IFERROR(INT(MID(metadata!C110,18,2))&lt;=59,FALSE)), LEN(metadata!C110)&lt;=19)))))))))))))</f>
        <v>0</v>
      </c>
      <c r="AD110">
        <f>IF(metadata!D110="",FALSE,TRUE)</f>
        <v>0</v>
      </c>
      <c r="AE110">
        <f>OR(AND(IF(metadata!E110="",FALSE,TRUE),OR(exact(metadata!E110,"missing: not collected"),exact(metadata!E110,"missing: not provided"))),AND(IF(metadata!E110="",FALSE,TRUE),OR(exact(metadata!E110,"TRUE"),exact(metadata!E110,"FALSE"))))</f>
        <v>0</v>
      </c>
      <c r="AF110">
        <f>IF(metadata!F110="",FALSE,TRUE)</f>
        <v>0</v>
      </c>
      <c r="AG110">
        <f>IF(metadata!G110="",FALSE,TRUE)</f>
        <v>0</v>
      </c>
      <c r="AH110">
        <f>IF(metadata!H110="",FALSE,TRUE)</f>
        <v>0</v>
      </c>
      <c r="AI110">
        <f>OR(AND(IF(metadata!I110="",FALSE,TRUE),OR(exact(metadata!I110,"missing: not collected"),exact(metadata!I110,"missing: not provided"),exact(metadata!I110,"missing: restricted access"))),AND(IF(metadata!I110="",FALSE,TRUE),OR(exact(metadata!I110,"air"),exact(metadata!I110,"built environment"),exact(metadata!I110,"host-associated"),exact(metadata!I110,"human-associated"),exact(metadata!I110,"human-skin"),exact(metadata!I110,"human-oral"),exact(metadata!I110,"human-gut"),exact(metadata!I110,"human-vaginal"),exact(metadata!I110,"microbial mat/biofilm"),exact(metadata!I110,"misc environment"),exact(metadata!I110,"plant-associated"),exact(metadata!I110,"sediment"),exact(metadata!I110,"soil"),exact(metadata!I110,"wastewater/sludge"),exact(metadata!I110,"water"))))</f>
        <v>0</v>
      </c>
      <c r="AJ110">
        <f>IF(metadata!J110="",FALSE,TRUE)</f>
        <v>0</v>
      </c>
      <c r="AK110">
        <f>OR(AND(IF(metadata!K110="",FALSE,TRUE),OR(exact(metadata!K110,"missing: not collected"),exact(metadata!K110,"missing: not provided"),exact(metadata!K110,"missing: restricted access"))),AND(IF(metadata!K110="",FALSE,ISNUMBER(VALUE(metadata!K110))),metadata!K110&gt;=-90.00,metadata!K110&lt;=90.00))</f>
        <v>0</v>
      </c>
      <c r="AL110">
        <f>OR(AND(IF(metadata!L110="",FALSE,TRUE),OR(exact(metadata!L110,"missing: not collected"),exact(metadata!L110,"missing: not provided"),exact(metadata!L110,"missing: restricted access"))),AND(IF(metadata!L110="",FALSE,ISNUMBER(VALUE(metadata!L110))),metadata!L110&gt;=-180.00,metadata!L110&lt;=180.00))</f>
        <v>0</v>
      </c>
      <c r="AM110">
        <f>IF(metadata!M110="",FALSE,TRUE)</f>
        <v>0</v>
      </c>
      <c r="AN110">
        <f>OR(AND(IF(metadata!N110="",FALSE,TRUE),OR(exact(metadata!N110,"missing: not collected"),exact(metadata!N110,"missing: not provided"),exact(metadata!N110,"missing: restricted access"))),AND(IF(metadata!N110="",FALSE,TRUE),OR(exact(metadata!N110,"TRUE"),exact(metadata!N110,"FALSE"))))</f>
        <v>0</v>
      </c>
      <c r="AO110">
        <f>IF(metadata!O110="",FALSE,TRUE)</f>
        <v>0</v>
      </c>
      <c r="AP110">
        <f>OR(AND(IF(metadata!P110="",FALSE,TRUE),OR(exact(metadata!P110,"missing: not collected"),exact(metadata!P110,"missing: not provided"))),AND(IF(metadata!P110="",FALSE,IF(ISERROR(INT(metadata!P110)),FALSE,INT(metadata!P110)=metadata!P110)),metadata!P110&gt;0))</f>
        <v>0</v>
      </c>
      <c r="AQ110">
        <f>IF(metadata!Q110="",FALSE,TRUE)</f>
        <v>0</v>
      </c>
    </row>
    <row r="111" spans="1:43">
      <c r="A111" s="5">
        <f>IF(B111=" "," ",HYPERLINK(CONCATENATE("#metadata!",ADDRESS(INDEX($W$2:$W$1001,MATCH(ROWS($U$2:U111),$U$2:$U$1001,0),0),1)),INDEX($Z$2:$Z$1001,MATCH(ROWS($U$2:U111),$U$2:$U$1001,0),0)))</f>
        <v>0</v>
      </c>
      <c r="B111" s="4">
        <f>IF(OR(INDEX($V$2:$V$1001,MATCH(ROWS($U$2:U111),$U$2:$U$1001,0),1)&gt;=100000,INDEX($AB$1005:$AQ$1005,1,MATCH(COLUMNS($AB$1006:AB1006),$AB$1006:$AQ$1006,0))&gt;=100000), " ",IF(INDEX($AB$2:$AQ$1001,MATCH(ROWS($U$2:U111),$U$2:$U$1001,0),MATCH(COLUMNS($AB$1006:AB1006),$AB$1006:$AQ$1006,0)), HYPERLINK("#",""), HYPERLINK(CONCATENATE("#metadata!", ADDRESS(INDEX($W$2:$W$1001,MATCH(ROWS($U$2:U111),$U$2:$U$1001,0),0), INDEX($AB$1004:$AQ$1004,1,MATCH(COLUMNS($AB$1006:AB1006),$AB$1006:$AQ$1006,0)))),"Fix")))</f>
        <v>0</v>
      </c>
      <c r="C111" s="4">
        <f>IF(OR(INDEX($V$2:$V$1001,MATCH(ROWS($U$2:U111),$U$2:$U$1001,0),1)&gt;=100000,INDEX($AB$1005:$AQ$1005,1,MATCH(COLUMNS($AB$1006:AC1006),$AB$1006:$AQ$1006,0))&gt;=100000), " ",IF(INDEX($AB$2:$AQ$1001,MATCH(ROWS($U$2:U111),$U$2:$U$1001,0),MATCH(COLUMNS($AB$1006:AC1006),$AB$1006:$AQ$1006,0)), HYPERLINK("#",""), HYPERLINK(CONCATENATE("#metadata!", ADDRESS(INDEX($W$2:$W$1001,MATCH(ROWS($U$2:U111),$U$2:$U$1001,0),0), INDEX($AB$1004:$AQ$1004,1,MATCH(COLUMNS($AB$1006:AC1006),$AB$1006:$AQ$1006,0)))),"Fix")))</f>
        <v>0</v>
      </c>
      <c r="D111" s="4">
        <f>IF(OR(INDEX($V$2:$V$1001,MATCH(ROWS($U$2:U111),$U$2:$U$1001,0),1)&gt;=100000,INDEX($AB$1005:$AQ$1005,1,MATCH(COLUMNS($AB$1006:AD1006),$AB$1006:$AQ$1006,0))&gt;=100000), " ",IF(INDEX($AB$2:$AQ$1001,MATCH(ROWS($U$2:U111),$U$2:$U$1001,0),MATCH(COLUMNS($AB$1006:AD1006),$AB$1006:$AQ$1006,0)), HYPERLINK("#",""), HYPERLINK(CONCATENATE("#metadata!", ADDRESS(INDEX($W$2:$W$1001,MATCH(ROWS($U$2:U111),$U$2:$U$1001,0),0), INDEX($AB$1004:$AQ$1004,1,MATCH(COLUMNS($AB$1006:AD1006),$AB$1006:$AQ$1006,0)))),"Fix")))</f>
        <v>0</v>
      </c>
      <c r="E111" s="4">
        <f>IF(OR(INDEX($V$2:$V$1001,MATCH(ROWS($U$2:U111),$U$2:$U$1001,0),1)&gt;=100000,INDEX($AB$1005:$AQ$1005,1,MATCH(COLUMNS($AB$1006:AE1006),$AB$1006:$AQ$1006,0))&gt;=100000), " ",IF(INDEX($AB$2:$AQ$1001,MATCH(ROWS($U$2:U111),$U$2:$U$1001,0),MATCH(COLUMNS($AB$1006:AE1006),$AB$1006:$AQ$1006,0)), HYPERLINK("#",""), HYPERLINK(CONCATENATE("#metadata!", ADDRESS(INDEX($W$2:$W$1001,MATCH(ROWS($U$2:U111),$U$2:$U$1001,0),0), INDEX($AB$1004:$AQ$1004,1,MATCH(COLUMNS($AB$1006:AE1006),$AB$1006:$AQ$1006,0)))),"Fix")))</f>
        <v>0</v>
      </c>
      <c r="F111" s="4">
        <f>IF(OR(INDEX($V$2:$V$1001,MATCH(ROWS($U$2:U111),$U$2:$U$1001,0),1)&gt;=100000,INDEX($AB$1005:$AQ$1005,1,MATCH(COLUMNS($AB$1006:AF1006),$AB$1006:$AQ$1006,0))&gt;=100000), " ",IF(INDEX($AB$2:$AQ$1001,MATCH(ROWS($U$2:U111),$U$2:$U$1001,0),MATCH(COLUMNS($AB$1006:AF1006),$AB$1006:$AQ$1006,0)), HYPERLINK("#",""), HYPERLINK(CONCATENATE("#metadata!", ADDRESS(INDEX($W$2:$W$1001,MATCH(ROWS($U$2:U111),$U$2:$U$1001,0),0), INDEX($AB$1004:$AQ$1004,1,MATCH(COLUMNS($AB$1006:AF1006),$AB$1006:$AQ$1006,0)))),"Fix")))</f>
        <v>0</v>
      </c>
      <c r="G111" s="4">
        <f>IF(OR(INDEX($V$2:$V$1001,MATCH(ROWS($U$2:U111),$U$2:$U$1001,0),1)&gt;=100000,INDEX($AB$1005:$AQ$1005,1,MATCH(COLUMNS($AB$1006:AG1006),$AB$1006:$AQ$1006,0))&gt;=100000), " ",IF(INDEX($AB$2:$AQ$1001,MATCH(ROWS($U$2:U111),$U$2:$U$1001,0),MATCH(COLUMNS($AB$1006:AG1006),$AB$1006:$AQ$1006,0)), HYPERLINK("#",""), HYPERLINK(CONCATENATE("#metadata!", ADDRESS(INDEX($W$2:$W$1001,MATCH(ROWS($U$2:U111),$U$2:$U$1001,0),0), INDEX($AB$1004:$AQ$1004,1,MATCH(COLUMNS($AB$1006:AG1006),$AB$1006:$AQ$1006,0)))),"Fix")))</f>
        <v>0</v>
      </c>
      <c r="H111" s="4">
        <f>IF(OR(INDEX($V$2:$V$1001,MATCH(ROWS($U$2:U111),$U$2:$U$1001,0),1)&gt;=100000,INDEX($AB$1005:$AQ$1005,1,MATCH(COLUMNS($AB$1006:AH1006),$AB$1006:$AQ$1006,0))&gt;=100000), " ",IF(INDEX($AB$2:$AQ$1001,MATCH(ROWS($U$2:U111),$U$2:$U$1001,0),MATCH(COLUMNS($AB$1006:AH1006),$AB$1006:$AQ$1006,0)), HYPERLINK("#",""), HYPERLINK(CONCATENATE("#metadata!", ADDRESS(INDEX($W$2:$W$1001,MATCH(ROWS($U$2:U111),$U$2:$U$1001,0),0), INDEX($AB$1004:$AQ$1004,1,MATCH(COLUMNS($AB$1006:AH1006),$AB$1006:$AQ$1006,0)))),"Fix")))</f>
        <v>0</v>
      </c>
      <c r="I111" s="4">
        <f>IF(OR(INDEX($V$2:$V$1001,MATCH(ROWS($U$2:U111),$U$2:$U$1001,0),1)&gt;=100000,INDEX($AB$1005:$AQ$1005,1,MATCH(COLUMNS($AB$1006:AI1006),$AB$1006:$AQ$1006,0))&gt;=100000), " ",IF(INDEX($AB$2:$AQ$1001,MATCH(ROWS($U$2:U111),$U$2:$U$1001,0),MATCH(COLUMNS($AB$1006:AI1006),$AB$1006:$AQ$1006,0)), HYPERLINK("#",""), HYPERLINK(CONCATENATE("#metadata!", ADDRESS(INDEX($W$2:$W$1001,MATCH(ROWS($U$2:U111),$U$2:$U$1001,0),0), INDEX($AB$1004:$AQ$1004,1,MATCH(COLUMNS($AB$1006:AI1006),$AB$1006:$AQ$1006,0)))),"Fix")))</f>
        <v>0</v>
      </c>
      <c r="J111" s="4">
        <f>IF(OR(INDEX($V$2:$V$1001,MATCH(ROWS($U$2:U111),$U$2:$U$1001,0),1)&gt;=100000,INDEX($AB$1005:$AQ$1005,1,MATCH(COLUMNS($AB$1006:AJ1006),$AB$1006:$AQ$1006,0))&gt;=100000), " ",IF(INDEX($AB$2:$AQ$1001,MATCH(ROWS($U$2:U111),$U$2:$U$1001,0),MATCH(COLUMNS($AB$1006:AJ1006),$AB$1006:$AQ$1006,0)), HYPERLINK("#",""), HYPERLINK(CONCATENATE("#metadata!", ADDRESS(INDEX($W$2:$W$1001,MATCH(ROWS($U$2:U111),$U$2:$U$1001,0),0), INDEX($AB$1004:$AQ$1004,1,MATCH(COLUMNS($AB$1006:AJ1006),$AB$1006:$AQ$1006,0)))),"Fix")))</f>
        <v>0</v>
      </c>
      <c r="K111" s="4">
        <f>IF(OR(INDEX($V$2:$V$1001,MATCH(ROWS($U$2:U111),$U$2:$U$1001,0),1)&gt;=100000,INDEX($AB$1005:$AQ$1005,1,MATCH(COLUMNS($AB$1006:AK1006),$AB$1006:$AQ$1006,0))&gt;=100000), " ",IF(INDEX($AB$2:$AQ$1001,MATCH(ROWS($U$2:U111),$U$2:$U$1001,0),MATCH(COLUMNS($AB$1006:AK1006),$AB$1006:$AQ$1006,0)), HYPERLINK("#",""), HYPERLINK(CONCATENATE("#metadata!", ADDRESS(INDEX($W$2:$W$1001,MATCH(ROWS($U$2:U111),$U$2:$U$1001,0),0), INDEX($AB$1004:$AQ$1004,1,MATCH(COLUMNS($AB$1006:AK1006),$AB$1006:$AQ$1006,0)))),"Fix")))</f>
        <v>0</v>
      </c>
      <c r="L111" s="4">
        <f>IF(OR(INDEX($V$2:$V$1001,MATCH(ROWS($U$2:U111),$U$2:$U$1001,0),1)&gt;=100000,INDEX($AB$1005:$AQ$1005,1,MATCH(COLUMNS($AB$1006:AL1006),$AB$1006:$AQ$1006,0))&gt;=100000), " ",IF(INDEX($AB$2:$AQ$1001,MATCH(ROWS($U$2:U111),$U$2:$U$1001,0),MATCH(COLUMNS($AB$1006:AL1006),$AB$1006:$AQ$1006,0)), HYPERLINK("#",""), HYPERLINK(CONCATENATE("#metadata!", ADDRESS(INDEX($W$2:$W$1001,MATCH(ROWS($U$2:U111),$U$2:$U$1001,0),0), INDEX($AB$1004:$AQ$1004,1,MATCH(COLUMNS($AB$1006:AL1006),$AB$1006:$AQ$1006,0)))),"Fix")))</f>
        <v>0</v>
      </c>
      <c r="M111" s="4">
        <f>IF(OR(INDEX($V$2:$V$1001,MATCH(ROWS($U$2:U111),$U$2:$U$1001,0),1)&gt;=100000,INDEX($AB$1005:$AQ$1005,1,MATCH(COLUMNS($AB$1006:AM1006),$AB$1006:$AQ$1006,0))&gt;=100000), " ",IF(INDEX($AB$2:$AQ$1001,MATCH(ROWS($U$2:U111),$U$2:$U$1001,0),MATCH(COLUMNS($AB$1006:AM1006),$AB$1006:$AQ$1006,0)), HYPERLINK("#",""), HYPERLINK(CONCATENATE("#metadata!", ADDRESS(INDEX($W$2:$W$1001,MATCH(ROWS($U$2:U111),$U$2:$U$1001,0),0), INDEX($AB$1004:$AQ$1004,1,MATCH(COLUMNS($AB$1006:AM1006),$AB$1006:$AQ$1006,0)))),"Fix")))</f>
        <v>0</v>
      </c>
      <c r="N111" s="4">
        <f>IF(OR(INDEX($V$2:$V$1001,MATCH(ROWS($U$2:U111),$U$2:$U$1001,0),1)&gt;=100000,INDEX($AB$1005:$AQ$1005,1,MATCH(COLUMNS($AB$1006:AN1006),$AB$1006:$AQ$1006,0))&gt;=100000), " ",IF(INDEX($AB$2:$AQ$1001,MATCH(ROWS($U$2:U111),$U$2:$U$1001,0),MATCH(COLUMNS($AB$1006:AN1006),$AB$1006:$AQ$1006,0)), HYPERLINK("#",""), HYPERLINK(CONCATENATE("#metadata!", ADDRESS(INDEX($W$2:$W$1001,MATCH(ROWS($U$2:U111),$U$2:$U$1001,0),0), INDEX($AB$1004:$AQ$1004,1,MATCH(COLUMNS($AB$1006:AN1006),$AB$1006:$AQ$1006,0)))),"Fix")))</f>
        <v>0</v>
      </c>
      <c r="O111" s="4">
        <f>IF(OR(INDEX($V$2:$V$1001,MATCH(ROWS($U$2:U111),$U$2:$U$1001,0),1)&gt;=100000,INDEX($AB$1005:$AQ$1005,1,MATCH(COLUMNS($AB$1006:AO1006),$AB$1006:$AQ$1006,0))&gt;=100000), " ",IF(INDEX($AB$2:$AQ$1001,MATCH(ROWS($U$2:U111),$U$2:$U$1001,0),MATCH(COLUMNS($AB$1006:AO1006),$AB$1006:$AQ$1006,0)), HYPERLINK("#",""), HYPERLINK(CONCATENATE("#metadata!", ADDRESS(INDEX($W$2:$W$1001,MATCH(ROWS($U$2:U111),$U$2:$U$1001,0),0), INDEX($AB$1004:$AQ$1004,1,MATCH(COLUMNS($AB$1006:AO1006),$AB$1006:$AQ$1006,0)))),"Fix")))</f>
        <v>0</v>
      </c>
      <c r="P111" s="4">
        <f>IF(OR(INDEX($V$2:$V$1001,MATCH(ROWS($U$2:U111),$U$2:$U$1001,0),1)&gt;=100000,INDEX($AB$1005:$AQ$1005,1,MATCH(COLUMNS($AB$1006:AP1006),$AB$1006:$AQ$1006,0))&gt;=100000), " ",IF(INDEX($AB$2:$AQ$1001,MATCH(ROWS($U$2:U111),$U$2:$U$1001,0),MATCH(COLUMNS($AB$1006:AP1006),$AB$1006:$AQ$1006,0)), HYPERLINK("#",""), HYPERLINK(CONCATENATE("#metadata!", ADDRESS(INDEX($W$2:$W$1001,MATCH(ROWS($U$2:U111),$U$2:$U$1001,0),0), INDEX($AB$1004:$AQ$1004,1,MATCH(COLUMNS($AB$1006:AP1006),$AB$1006:$AQ$1006,0)))),"Fix")))</f>
        <v>0</v>
      </c>
      <c r="Q111" s="4">
        <f>IF(OR(INDEX($V$2:$V$1001,MATCH(ROWS($U$2:U111),$U$2:$U$1001,0),1)&gt;=100000,INDEX($AB$1005:$AQ$1005,1,MATCH(COLUMNS($AB$1006:AQ1006),$AB$1006:$AQ$1006,0))&gt;=100000), " ",IF(INDEX($AB$2:$AQ$1001,MATCH(ROWS($U$2:U111),$U$2:$U$1001,0),MATCH(COLUMNS($AB$1006:AQ1006),$AB$1006:$AQ$1006,0)), HYPERLINK("#",""), HYPERLINK(CONCATENATE("#metadata!", ADDRESS(INDEX($W$2:$W$1001,MATCH(ROWS($U$2:U111),$U$2:$U$1001,0),0), INDEX($AB$1004:$AQ$1004,1,MATCH(COLUMNS($AB$1006:AQ1006),$AB$1006:$AQ$1006,0)))),"Fix")))</f>
        <v>0</v>
      </c>
      <c r="U111">
        <v>0</v>
      </c>
      <c r="V111">
        <v>0</v>
      </c>
      <c r="W111">
        <v>0</v>
      </c>
      <c r="X111">
        <f>IF(Y111,TRUE,AND(AB111:AQ111))</f>
        <v>0</v>
      </c>
      <c r="Y111">
        <f>COUNTBLANK(metadata!B111:Q111)=COLUMNS(metadata!B111:Q111)</f>
        <v>0</v>
      </c>
      <c r="Z111">
        <v>0</v>
      </c>
      <c r="AB111">
        <f>AND(IF(metadata!B111="",FALSE,TRUE),COUNTIF(metadata!B:B, metadata!B111) = 1,NOT(ISERROR(SUMPRODUCT(SEARCH(MID(metadata!B111,ROW(INDIRECT("1:"&amp;LEN(metadata!B111))), 1),"0123456789abcdefghijklmnopqrstuvwxyzABCDEFGHIJKLMNOPQRSTUVWXYZ.")))))</f>
        <v>0</v>
      </c>
      <c r="AC111">
        <f>OR(AND(IF(metadata!C111="",FALSE,TRUE),OR(exact(metadata!C111,"missing: not collected"),exact(metadata!C111,"missing: not provided"),exact(metadata!C111,"missing: restricted access"))),AND(IF(metadata!C111="",FALSE,TRUE),AND(AND(IFERROR(INT(LEFT(metadata!C111,4))&gt;1900,FALSE),IFERROR(INT(LEFT(metadata!C111,4))&lt;=YEAR(NOW()),FALSE)), OR(MID(metadata!C111,5,1)="", AND(AND(MID(metadata!C111,5,1)="-",IFERROR(INT(MID(metadata!C111,6,1))&gt;=0,FALSE),IFERROR(INT(MID(metadata!C111,6,1))&lt;=1,FALSE),NOT(MID(metadata!C111,7,1)=""),IFERROR(INT(MID(metadata!C111,6,2))&gt;=1,FALSE),IFERROR(INT(MID(metadata!C111,6,2))&lt;=12,FALSE)), OR(MID(metadata!C111,8,1)="", AND(AND(MID(metadata!C111,8,1)="-",IFERROR(INT(MID(metadata!C111,9,1))&gt;=0,FALSE),IFERROR(INT(MID(metadata!C111,9,1))&lt;=3,FALSE),NOT(MID(metadata!C111,10,1)=""),IFERROR(INT(MID(metadata!C111,9,2))&gt;=1,FALSE),IFERROR(INT(MID(metadata!C111,9,2))&lt;=31,FALSE)), OR(MID(metadata!C111,11,1)="", AND(AND(MID(metadata!C111,11,1)=" ",IFERROR(INT(MID(metadata!C111,12,1))&gt;=0,FALSE),IFERROR(INT(MID(metadata!C111,12,1))&lt;=2,FALSE),NOT(MID(metadata!C111,13,1)=""),IFERROR(INT(MID(metadata!C111,12,2))&gt;=0,FALSE),IFERROR(INT(MID(metadata!C111,12,2))&lt;=23,FALSE)), OR(MID(metadata!C111,14,1)="", AND(AND(MID(metadata!C111,14,1)=":",IFERROR(INT(MID(metadata!C111,15,1))&gt;=0,FALSE),IFERROR(INT(MID(metadata!C111,15,1))&lt;=5,FALSE),NOT(MID(metadata!C111,16,1)=""),IFERROR(INT(MID(metadata!C111,15,2))&gt;=0,FALSE),IFERROR(INT(MID(metadata!C111,15,2))&lt;=59,FALSE)), OR(MID(metadata!C111,17,1)="", AND(AND(MID(metadata!C111,17,1)=":",IFERROR(INT(MID(metadata!C111,18,1))&gt;=0,FALSE),IFERROR(INT(MID(metadata!C111,18,1))&lt;=5,FALSE),NOT(MID(metadata!C111,19,1)=""),IFERROR(INT(MID(metadata!C111,18,2))&gt;=0,FALSE),IFERROR(INT(MID(metadata!C111,18,2))&lt;=59,FALSE)), LEN(metadata!C111)&lt;=19)))))))))))))</f>
        <v>0</v>
      </c>
      <c r="AD111">
        <f>IF(metadata!D111="",FALSE,TRUE)</f>
        <v>0</v>
      </c>
      <c r="AE111">
        <f>OR(AND(IF(metadata!E111="",FALSE,TRUE),OR(exact(metadata!E111,"missing: not collected"),exact(metadata!E111,"missing: not provided"))),AND(IF(metadata!E111="",FALSE,TRUE),OR(exact(metadata!E111,"TRUE"),exact(metadata!E111,"FALSE"))))</f>
        <v>0</v>
      </c>
      <c r="AF111">
        <f>IF(metadata!F111="",FALSE,TRUE)</f>
        <v>0</v>
      </c>
      <c r="AG111">
        <f>IF(metadata!G111="",FALSE,TRUE)</f>
        <v>0</v>
      </c>
      <c r="AH111">
        <f>IF(metadata!H111="",FALSE,TRUE)</f>
        <v>0</v>
      </c>
      <c r="AI111">
        <f>OR(AND(IF(metadata!I111="",FALSE,TRUE),OR(exact(metadata!I111,"missing: not collected"),exact(metadata!I111,"missing: not provided"),exact(metadata!I111,"missing: restricted access"))),AND(IF(metadata!I111="",FALSE,TRUE),OR(exact(metadata!I111,"air"),exact(metadata!I111,"built environment"),exact(metadata!I111,"host-associated"),exact(metadata!I111,"human-associated"),exact(metadata!I111,"human-skin"),exact(metadata!I111,"human-oral"),exact(metadata!I111,"human-gut"),exact(metadata!I111,"human-vaginal"),exact(metadata!I111,"microbial mat/biofilm"),exact(metadata!I111,"misc environment"),exact(metadata!I111,"plant-associated"),exact(metadata!I111,"sediment"),exact(metadata!I111,"soil"),exact(metadata!I111,"wastewater/sludge"),exact(metadata!I111,"water"))))</f>
        <v>0</v>
      </c>
      <c r="AJ111">
        <f>IF(metadata!J111="",FALSE,TRUE)</f>
        <v>0</v>
      </c>
      <c r="AK111">
        <f>OR(AND(IF(metadata!K111="",FALSE,TRUE),OR(exact(metadata!K111,"missing: not collected"),exact(metadata!K111,"missing: not provided"),exact(metadata!K111,"missing: restricted access"))),AND(IF(metadata!K111="",FALSE,ISNUMBER(VALUE(metadata!K111))),metadata!K111&gt;=-90.00,metadata!K111&lt;=90.00))</f>
        <v>0</v>
      </c>
      <c r="AL111">
        <f>OR(AND(IF(metadata!L111="",FALSE,TRUE),OR(exact(metadata!L111,"missing: not collected"),exact(metadata!L111,"missing: not provided"),exact(metadata!L111,"missing: restricted access"))),AND(IF(metadata!L111="",FALSE,ISNUMBER(VALUE(metadata!L111))),metadata!L111&gt;=-180.00,metadata!L111&lt;=180.00))</f>
        <v>0</v>
      </c>
      <c r="AM111">
        <f>IF(metadata!M111="",FALSE,TRUE)</f>
        <v>0</v>
      </c>
      <c r="AN111">
        <f>OR(AND(IF(metadata!N111="",FALSE,TRUE),OR(exact(metadata!N111,"missing: not collected"),exact(metadata!N111,"missing: not provided"),exact(metadata!N111,"missing: restricted access"))),AND(IF(metadata!N111="",FALSE,TRUE),OR(exact(metadata!N111,"TRUE"),exact(metadata!N111,"FALSE"))))</f>
        <v>0</v>
      </c>
      <c r="AO111">
        <f>IF(metadata!O111="",FALSE,TRUE)</f>
        <v>0</v>
      </c>
      <c r="AP111">
        <f>OR(AND(IF(metadata!P111="",FALSE,TRUE),OR(exact(metadata!P111,"missing: not collected"),exact(metadata!P111,"missing: not provided"))),AND(IF(metadata!P111="",FALSE,IF(ISERROR(INT(metadata!P111)),FALSE,INT(metadata!P111)=metadata!P111)),metadata!P111&gt;0))</f>
        <v>0</v>
      </c>
      <c r="AQ111">
        <f>IF(metadata!Q111="",FALSE,TRUE)</f>
        <v>0</v>
      </c>
    </row>
    <row r="112" spans="1:43">
      <c r="A112" s="5">
        <f>IF(B112=" "," ",HYPERLINK(CONCATENATE("#metadata!",ADDRESS(INDEX($W$2:$W$1001,MATCH(ROWS($U$2:U112),$U$2:$U$1001,0),0),1)),INDEX($Z$2:$Z$1001,MATCH(ROWS($U$2:U112),$U$2:$U$1001,0),0)))</f>
        <v>0</v>
      </c>
      <c r="B112" s="4">
        <f>IF(OR(INDEX($V$2:$V$1001,MATCH(ROWS($U$2:U112),$U$2:$U$1001,0),1)&gt;=100000,INDEX($AB$1005:$AQ$1005,1,MATCH(COLUMNS($AB$1006:AB1006),$AB$1006:$AQ$1006,0))&gt;=100000), " ",IF(INDEX($AB$2:$AQ$1001,MATCH(ROWS($U$2:U112),$U$2:$U$1001,0),MATCH(COLUMNS($AB$1006:AB1006),$AB$1006:$AQ$1006,0)), HYPERLINK("#",""), HYPERLINK(CONCATENATE("#metadata!", ADDRESS(INDEX($W$2:$W$1001,MATCH(ROWS($U$2:U112),$U$2:$U$1001,0),0), INDEX($AB$1004:$AQ$1004,1,MATCH(COLUMNS($AB$1006:AB1006),$AB$1006:$AQ$1006,0)))),"Fix")))</f>
        <v>0</v>
      </c>
      <c r="C112" s="4">
        <f>IF(OR(INDEX($V$2:$V$1001,MATCH(ROWS($U$2:U112),$U$2:$U$1001,0),1)&gt;=100000,INDEX($AB$1005:$AQ$1005,1,MATCH(COLUMNS($AB$1006:AC1006),$AB$1006:$AQ$1006,0))&gt;=100000), " ",IF(INDEX($AB$2:$AQ$1001,MATCH(ROWS($U$2:U112),$U$2:$U$1001,0),MATCH(COLUMNS($AB$1006:AC1006),$AB$1006:$AQ$1006,0)), HYPERLINK("#",""), HYPERLINK(CONCATENATE("#metadata!", ADDRESS(INDEX($W$2:$W$1001,MATCH(ROWS($U$2:U112),$U$2:$U$1001,0),0), INDEX($AB$1004:$AQ$1004,1,MATCH(COLUMNS($AB$1006:AC1006),$AB$1006:$AQ$1006,0)))),"Fix")))</f>
        <v>0</v>
      </c>
      <c r="D112" s="4">
        <f>IF(OR(INDEX($V$2:$V$1001,MATCH(ROWS($U$2:U112),$U$2:$U$1001,0),1)&gt;=100000,INDEX($AB$1005:$AQ$1005,1,MATCH(COLUMNS($AB$1006:AD1006),$AB$1006:$AQ$1006,0))&gt;=100000), " ",IF(INDEX($AB$2:$AQ$1001,MATCH(ROWS($U$2:U112),$U$2:$U$1001,0),MATCH(COLUMNS($AB$1006:AD1006),$AB$1006:$AQ$1006,0)), HYPERLINK("#",""), HYPERLINK(CONCATENATE("#metadata!", ADDRESS(INDEX($W$2:$W$1001,MATCH(ROWS($U$2:U112),$U$2:$U$1001,0),0), INDEX($AB$1004:$AQ$1004,1,MATCH(COLUMNS($AB$1006:AD1006),$AB$1006:$AQ$1006,0)))),"Fix")))</f>
        <v>0</v>
      </c>
      <c r="E112" s="4">
        <f>IF(OR(INDEX($V$2:$V$1001,MATCH(ROWS($U$2:U112),$U$2:$U$1001,0),1)&gt;=100000,INDEX($AB$1005:$AQ$1005,1,MATCH(COLUMNS($AB$1006:AE1006),$AB$1006:$AQ$1006,0))&gt;=100000), " ",IF(INDEX($AB$2:$AQ$1001,MATCH(ROWS($U$2:U112),$U$2:$U$1001,0),MATCH(COLUMNS($AB$1006:AE1006),$AB$1006:$AQ$1006,0)), HYPERLINK("#",""), HYPERLINK(CONCATENATE("#metadata!", ADDRESS(INDEX($W$2:$W$1001,MATCH(ROWS($U$2:U112),$U$2:$U$1001,0),0), INDEX($AB$1004:$AQ$1004,1,MATCH(COLUMNS($AB$1006:AE1006),$AB$1006:$AQ$1006,0)))),"Fix")))</f>
        <v>0</v>
      </c>
      <c r="F112" s="4">
        <f>IF(OR(INDEX($V$2:$V$1001,MATCH(ROWS($U$2:U112),$U$2:$U$1001,0),1)&gt;=100000,INDEX($AB$1005:$AQ$1005,1,MATCH(COLUMNS($AB$1006:AF1006),$AB$1006:$AQ$1006,0))&gt;=100000), " ",IF(INDEX($AB$2:$AQ$1001,MATCH(ROWS($U$2:U112),$U$2:$U$1001,0),MATCH(COLUMNS($AB$1006:AF1006),$AB$1006:$AQ$1006,0)), HYPERLINK("#",""), HYPERLINK(CONCATENATE("#metadata!", ADDRESS(INDEX($W$2:$W$1001,MATCH(ROWS($U$2:U112),$U$2:$U$1001,0),0), INDEX($AB$1004:$AQ$1004,1,MATCH(COLUMNS($AB$1006:AF1006),$AB$1006:$AQ$1006,0)))),"Fix")))</f>
        <v>0</v>
      </c>
      <c r="G112" s="4">
        <f>IF(OR(INDEX($V$2:$V$1001,MATCH(ROWS($U$2:U112),$U$2:$U$1001,0),1)&gt;=100000,INDEX($AB$1005:$AQ$1005,1,MATCH(COLUMNS($AB$1006:AG1006),$AB$1006:$AQ$1006,0))&gt;=100000), " ",IF(INDEX($AB$2:$AQ$1001,MATCH(ROWS($U$2:U112),$U$2:$U$1001,0),MATCH(COLUMNS($AB$1006:AG1006),$AB$1006:$AQ$1006,0)), HYPERLINK("#",""), HYPERLINK(CONCATENATE("#metadata!", ADDRESS(INDEX($W$2:$W$1001,MATCH(ROWS($U$2:U112),$U$2:$U$1001,0),0), INDEX($AB$1004:$AQ$1004,1,MATCH(COLUMNS($AB$1006:AG1006),$AB$1006:$AQ$1006,0)))),"Fix")))</f>
        <v>0</v>
      </c>
      <c r="H112" s="4">
        <f>IF(OR(INDEX($V$2:$V$1001,MATCH(ROWS($U$2:U112),$U$2:$U$1001,0),1)&gt;=100000,INDEX($AB$1005:$AQ$1005,1,MATCH(COLUMNS($AB$1006:AH1006),$AB$1006:$AQ$1006,0))&gt;=100000), " ",IF(INDEX($AB$2:$AQ$1001,MATCH(ROWS($U$2:U112),$U$2:$U$1001,0),MATCH(COLUMNS($AB$1006:AH1006),$AB$1006:$AQ$1006,0)), HYPERLINK("#",""), HYPERLINK(CONCATENATE("#metadata!", ADDRESS(INDEX($W$2:$W$1001,MATCH(ROWS($U$2:U112),$U$2:$U$1001,0),0), INDEX($AB$1004:$AQ$1004,1,MATCH(COLUMNS($AB$1006:AH1006),$AB$1006:$AQ$1006,0)))),"Fix")))</f>
        <v>0</v>
      </c>
      <c r="I112" s="4">
        <f>IF(OR(INDEX($V$2:$V$1001,MATCH(ROWS($U$2:U112),$U$2:$U$1001,0),1)&gt;=100000,INDEX($AB$1005:$AQ$1005,1,MATCH(COLUMNS($AB$1006:AI1006),$AB$1006:$AQ$1006,0))&gt;=100000), " ",IF(INDEX($AB$2:$AQ$1001,MATCH(ROWS($U$2:U112),$U$2:$U$1001,0),MATCH(COLUMNS($AB$1006:AI1006),$AB$1006:$AQ$1006,0)), HYPERLINK("#",""), HYPERLINK(CONCATENATE("#metadata!", ADDRESS(INDEX($W$2:$W$1001,MATCH(ROWS($U$2:U112),$U$2:$U$1001,0),0), INDEX($AB$1004:$AQ$1004,1,MATCH(COLUMNS($AB$1006:AI1006),$AB$1006:$AQ$1006,0)))),"Fix")))</f>
        <v>0</v>
      </c>
      <c r="J112" s="4">
        <f>IF(OR(INDEX($V$2:$V$1001,MATCH(ROWS($U$2:U112),$U$2:$U$1001,0),1)&gt;=100000,INDEX($AB$1005:$AQ$1005,1,MATCH(COLUMNS($AB$1006:AJ1006),$AB$1006:$AQ$1006,0))&gt;=100000), " ",IF(INDEX($AB$2:$AQ$1001,MATCH(ROWS($U$2:U112),$U$2:$U$1001,0),MATCH(COLUMNS($AB$1006:AJ1006),$AB$1006:$AQ$1006,0)), HYPERLINK("#",""), HYPERLINK(CONCATENATE("#metadata!", ADDRESS(INDEX($W$2:$W$1001,MATCH(ROWS($U$2:U112),$U$2:$U$1001,0),0), INDEX($AB$1004:$AQ$1004,1,MATCH(COLUMNS($AB$1006:AJ1006),$AB$1006:$AQ$1006,0)))),"Fix")))</f>
        <v>0</v>
      </c>
      <c r="K112" s="4">
        <f>IF(OR(INDEX($V$2:$V$1001,MATCH(ROWS($U$2:U112),$U$2:$U$1001,0),1)&gt;=100000,INDEX($AB$1005:$AQ$1005,1,MATCH(COLUMNS($AB$1006:AK1006),$AB$1006:$AQ$1006,0))&gt;=100000), " ",IF(INDEX($AB$2:$AQ$1001,MATCH(ROWS($U$2:U112),$U$2:$U$1001,0),MATCH(COLUMNS($AB$1006:AK1006),$AB$1006:$AQ$1006,0)), HYPERLINK("#",""), HYPERLINK(CONCATENATE("#metadata!", ADDRESS(INDEX($W$2:$W$1001,MATCH(ROWS($U$2:U112),$U$2:$U$1001,0),0), INDEX($AB$1004:$AQ$1004,1,MATCH(COLUMNS($AB$1006:AK1006),$AB$1006:$AQ$1006,0)))),"Fix")))</f>
        <v>0</v>
      </c>
      <c r="L112" s="4">
        <f>IF(OR(INDEX($V$2:$V$1001,MATCH(ROWS($U$2:U112),$U$2:$U$1001,0),1)&gt;=100000,INDEX($AB$1005:$AQ$1005,1,MATCH(COLUMNS($AB$1006:AL1006),$AB$1006:$AQ$1006,0))&gt;=100000), " ",IF(INDEX($AB$2:$AQ$1001,MATCH(ROWS($U$2:U112),$U$2:$U$1001,0),MATCH(COLUMNS($AB$1006:AL1006),$AB$1006:$AQ$1006,0)), HYPERLINK("#",""), HYPERLINK(CONCATENATE("#metadata!", ADDRESS(INDEX($W$2:$W$1001,MATCH(ROWS($U$2:U112),$U$2:$U$1001,0),0), INDEX($AB$1004:$AQ$1004,1,MATCH(COLUMNS($AB$1006:AL1006),$AB$1006:$AQ$1006,0)))),"Fix")))</f>
        <v>0</v>
      </c>
      <c r="M112" s="4">
        <f>IF(OR(INDEX($V$2:$V$1001,MATCH(ROWS($U$2:U112),$U$2:$U$1001,0),1)&gt;=100000,INDEX($AB$1005:$AQ$1005,1,MATCH(COLUMNS($AB$1006:AM1006),$AB$1006:$AQ$1006,0))&gt;=100000), " ",IF(INDEX($AB$2:$AQ$1001,MATCH(ROWS($U$2:U112),$U$2:$U$1001,0),MATCH(COLUMNS($AB$1006:AM1006),$AB$1006:$AQ$1006,0)), HYPERLINK("#",""), HYPERLINK(CONCATENATE("#metadata!", ADDRESS(INDEX($W$2:$W$1001,MATCH(ROWS($U$2:U112),$U$2:$U$1001,0),0), INDEX($AB$1004:$AQ$1004,1,MATCH(COLUMNS($AB$1006:AM1006),$AB$1006:$AQ$1006,0)))),"Fix")))</f>
        <v>0</v>
      </c>
      <c r="N112" s="4">
        <f>IF(OR(INDEX($V$2:$V$1001,MATCH(ROWS($U$2:U112),$U$2:$U$1001,0),1)&gt;=100000,INDEX($AB$1005:$AQ$1005,1,MATCH(COLUMNS($AB$1006:AN1006),$AB$1006:$AQ$1006,0))&gt;=100000), " ",IF(INDEX($AB$2:$AQ$1001,MATCH(ROWS($U$2:U112),$U$2:$U$1001,0),MATCH(COLUMNS($AB$1006:AN1006),$AB$1006:$AQ$1006,0)), HYPERLINK("#",""), HYPERLINK(CONCATENATE("#metadata!", ADDRESS(INDEX($W$2:$W$1001,MATCH(ROWS($U$2:U112),$U$2:$U$1001,0),0), INDEX($AB$1004:$AQ$1004,1,MATCH(COLUMNS($AB$1006:AN1006),$AB$1006:$AQ$1006,0)))),"Fix")))</f>
        <v>0</v>
      </c>
      <c r="O112" s="4">
        <f>IF(OR(INDEX($V$2:$V$1001,MATCH(ROWS($U$2:U112),$U$2:$U$1001,0),1)&gt;=100000,INDEX($AB$1005:$AQ$1005,1,MATCH(COLUMNS($AB$1006:AO1006),$AB$1006:$AQ$1006,0))&gt;=100000), " ",IF(INDEX($AB$2:$AQ$1001,MATCH(ROWS($U$2:U112),$U$2:$U$1001,0),MATCH(COLUMNS($AB$1006:AO1006),$AB$1006:$AQ$1006,0)), HYPERLINK("#",""), HYPERLINK(CONCATENATE("#metadata!", ADDRESS(INDEX($W$2:$W$1001,MATCH(ROWS($U$2:U112),$U$2:$U$1001,0),0), INDEX($AB$1004:$AQ$1004,1,MATCH(COLUMNS($AB$1006:AO1006),$AB$1006:$AQ$1006,0)))),"Fix")))</f>
        <v>0</v>
      </c>
      <c r="P112" s="4">
        <f>IF(OR(INDEX($V$2:$V$1001,MATCH(ROWS($U$2:U112),$U$2:$U$1001,0),1)&gt;=100000,INDEX($AB$1005:$AQ$1005,1,MATCH(COLUMNS($AB$1006:AP1006),$AB$1006:$AQ$1006,0))&gt;=100000), " ",IF(INDEX($AB$2:$AQ$1001,MATCH(ROWS($U$2:U112),$U$2:$U$1001,0),MATCH(COLUMNS($AB$1006:AP1006),$AB$1006:$AQ$1006,0)), HYPERLINK("#",""), HYPERLINK(CONCATENATE("#metadata!", ADDRESS(INDEX($W$2:$W$1001,MATCH(ROWS($U$2:U112),$U$2:$U$1001,0),0), INDEX($AB$1004:$AQ$1004,1,MATCH(COLUMNS($AB$1006:AP1006),$AB$1006:$AQ$1006,0)))),"Fix")))</f>
        <v>0</v>
      </c>
      <c r="Q112" s="4">
        <f>IF(OR(INDEX($V$2:$V$1001,MATCH(ROWS($U$2:U112),$U$2:$U$1001,0),1)&gt;=100000,INDEX($AB$1005:$AQ$1005,1,MATCH(COLUMNS($AB$1006:AQ1006),$AB$1006:$AQ$1006,0))&gt;=100000), " ",IF(INDEX($AB$2:$AQ$1001,MATCH(ROWS($U$2:U112),$U$2:$U$1001,0),MATCH(COLUMNS($AB$1006:AQ1006),$AB$1006:$AQ$1006,0)), HYPERLINK("#",""), HYPERLINK(CONCATENATE("#metadata!", ADDRESS(INDEX($W$2:$W$1001,MATCH(ROWS($U$2:U112),$U$2:$U$1001,0),0), INDEX($AB$1004:$AQ$1004,1,MATCH(COLUMNS($AB$1006:AQ1006),$AB$1006:$AQ$1006,0)))),"Fix")))</f>
        <v>0</v>
      </c>
      <c r="U112">
        <v>0</v>
      </c>
      <c r="V112">
        <v>0</v>
      </c>
      <c r="W112">
        <v>0</v>
      </c>
      <c r="X112">
        <f>IF(Y112,TRUE,AND(AB112:AQ112))</f>
        <v>0</v>
      </c>
      <c r="Y112">
        <f>COUNTBLANK(metadata!B112:Q112)=COLUMNS(metadata!B112:Q112)</f>
        <v>0</v>
      </c>
      <c r="Z112">
        <v>0</v>
      </c>
      <c r="AB112">
        <f>AND(IF(metadata!B112="",FALSE,TRUE),COUNTIF(metadata!B:B, metadata!B112) = 1,NOT(ISERROR(SUMPRODUCT(SEARCH(MID(metadata!B112,ROW(INDIRECT("1:"&amp;LEN(metadata!B112))), 1),"0123456789abcdefghijklmnopqrstuvwxyzABCDEFGHIJKLMNOPQRSTUVWXYZ.")))))</f>
        <v>0</v>
      </c>
      <c r="AC112">
        <f>OR(AND(IF(metadata!C112="",FALSE,TRUE),OR(exact(metadata!C112,"missing: not collected"),exact(metadata!C112,"missing: not provided"),exact(metadata!C112,"missing: restricted access"))),AND(IF(metadata!C112="",FALSE,TRUE),AND(AND(IFERROR(INT(LEFT(metadata!C112,4))&gt;1900,FALSE),IFERROR(INT(LEFT(metadata!C112,4))&lt;=YEAR(NOW()),FALSE)), OR(MID(metadata!C112,5,1)="", AND(AND(MID(metadata!C112,5,1)="-",IFERROR(INT(MID(metadata!C112,6,1))&gt;=0,FALSE),IFERROR(INT(MID(metadata!C112,6,1))&lt;=1,FALSE),NOT(MID(metadata!C112,7,1)=""),IFERROR(INT(MID(metadata!C112,6,2))&gt;=1,FALSE),IFERROR(INT(MID(metadata!C112,6,2))&lt;=12,FALSE)), OR(MID(metadata!C112,8,1)="", AND(AND(MID(metadata!C112,8,1)="-",IFERROR(INT(MID(metadata!C112,9,1))&gt;=0,FALSE),IFERROR(INT(MID(metadata!C112,9,1))&lt;=3,FALSE),NOT(MID(metadata!C112,10,1)=""),IFERROR(INT(MID(metadata!C112,9,2))&gt;=1,FALSE),IFERROR(INT(MID(metadata!C112,9,2))&lt;=31,FALSE)), OR(MID(metadata!C112,11,1)="", AND(AND(MID(metadata!C112,11,1)=" ",IFERROR(INT(MID(metadata!C112,12,1))&gt;=0,FALSE),IFERROR(INT(MID(metadata!C112,12,1))&lt;=2,FALSE),NOT(MID(metadata!C112,13,1)=""),IFERROR(INT(MID(metadata!C112,12,2))&gt;=0,FALSE),IFERROR(INT(MID(metadata!C112,12,2))&lt;=23,FALSE)), OR(MID(metadata!C112,14,1)="", AND(AND(MID(metadata!C112,14,1)=":",IFERROR(INT(MID(metadata!C112,15,1))&gt;=0,FALSE),IFERROR(INT(MID(metadata!C112,15,1))&lt;=5,FALSE),NOT(MID(metadata!C112,16,1)=""),IFERROR(INT(MID(metadata!C112,15,2))&gt;=0,FALSE),IFERROR(INT(MID(metadata!C112,15,2))&lt;=59,FALSE)), OR(MID(metadata!C112,17,1)="", AND(AND(MID(metadata!C112,17,1)=":",IFERROR(INT(MID(metadata!C112,18,1))&gt;=0,FALSE),IFERROR(INT(MID(metadata!C112,18,1))&lt;=5,FALSE),NOT(MID(metadata!C112,19,1)=""),IFERROR(INT(MID(metadata!C112,18,2))&gt;=0,FALSE),IFERROR(INT(MID(metadata!C112,18,2))&lt;=59,FALSE)), LEN(metadata!C112)&lt;=19)))))))))))))</f>
        <v>0</v>
      </c>
      <c r="AD112">
        <f>IF(metadata!D112="",FALSE,TRUE)</f>
        <v>0</v>
      </c>
      <c r="AE112">
        <f>OR(AND(IF(metadata!E112="",FALSE,TRUE),OR(exact(metadata!E112,"missing: not collected"),exact(metadata!E112,"missing: not provided"))),AND(IF(metadata!E112="",FALSE,TRUE),OR(exact(metadata!E112,"TRUE"),exact(metadata!E112,"FALSE"))))</f>
        <v>0</v>
      </c>
      <c r="AF112">
        <f>IF(metadata!F112="",FALSE,TRUE)</f>
        <v>0</v>
      </c>
      <c r="AG112">
        <f>IF(metadata!G112="",FALSE,TRUE)</f>
        <v>0</v>
      </c>
      <c r="AH112">
        <f>IF(metadata!H112="",FALSE,TRUE)</f>
        <v>0</v>
      </c>
      <c r="AI112">
        <f>OR(AND(IF(metadata!I112="",FALSE,TRUE),OR(exact(metadata!I112,"missing: not collected"),exact(metadata!I112,"missing: not provided"),exact(metadata!I112,"missing: restricted access"))),AND(IF(metadata!I112="",FALSE,TRUE),OR(exact(metadata!I112,"air"),exact(metadata!I112,"built environment"),exact(metadata!I112,"host-associated"),exact(metadata!I112,"human-associated"),exact(metadata!I112,"human-skin"),exact(metadata!I112,"human-oral"),exact(metadata!I112,"human-gut"),exact(metadata!I112,"human-vaginal"),exact(metadata!I112,"microbial mat/biofilm"),exact(metadata!I112,"misc environment"),exact(metadata!I112,"plant-associated"),exact(metadata!I112,"sediment"),exact(metadata!I112,"soil"),exact(metadata!I112,"wastewater/sludge"),exact(metadata!I112,"water"))))</f>
        <v>0</v>
      </c>
      <c r="AJ112">
        <f>IF(metadata!J112="",FALSE,TRUE)</f>
        <v>0</v>
      </c>
      <c r="AK112">
        <f>OR(AND(IF(metadata!K112="",FALSE,TRUE),OR(exact(metadata!K112,"missing: not collected"),exact(metadata!K112,"missing: not provided"),exact(metadata!K112,"missing: restricted access"))),AND(IF(metadata!K112="",FALSE,ISNUMBER(VALUE(metadata!K112))),metadata!K112&gt;=-90.00,metadata!K112&lt;=90.00))</f>
        <v>0</v>
      </c>
      <c r="AL112">
        <f>OR(AND(IF(metadata!L112="",FALSE,TRUE),OR(exact(metadata!L112,"missing: not collected"),exact(metadata!L112,"missing: not provided"),exact(metadata!L112,"missing: restricted access"))),AND(IF(metadata!L112="",FALSE,ISNUMBER(VALUE(metadata!L112))),metadata!L112&gt;=-180.00,metadata!L112&lt;=180.00))</f>
        <v>0</v>
      </c>
      <c r="AM112">
        <f>IF(metadata!M112="",FALSE,TRUE)</f>
        <v>0</v>
      </c>
      <c r="AN112">
        <f>OR(AND(IF(metadata!N112="",FALSE,TRUE),OR(exact(metadata!N112,"missing: not collected"),exact(metadata!N112,"missing: not provided"),exact(metadata!N112,"missing: restricted access"))),AND(IF(metadata!N112="",FALSE,TRUE),OR(exact(metadata!N112,"TRUE"),exact(metadata!N112,"FALSE"))))</f>
        <v>0</v>
      </c>
      <c r="AO112">
        <f>IF(metadata!O112="",FALSE,TRUE)</f>
        <v>0</v>
      </c>
      <c r="AP112">
        <f>OR(AND(IF(metadata!P112="",FALSE,TRUE),OR(exact(metadata!P112,"missing: not collected"),exact(metadata!P112,"missing: not provided"))),AND(IF(metadata!P112="",FALSE,IF(ISERROR(INT(metadata!P112)),FALSE,INT(metadata!P112)=metadata!P112)),metadata!P112&gt;0))</f>
        <v>0</v>
      </c>
      <c r="AQ112">
        <f>IF(metadata!Q112="",FALSE,TRUE)</f>
        <v>0</v>
      </c>
    </row>
    <row r="113" spans="1:43">
      <c r="A113" s="5">
        <f>IF(B113=" "," ",HYPERLINK(CONCATENATE("#metadata!",ADDRESS(INDEX($W$2:$W$1001,MATCH(ROWS($U$2:U113),$U$2:$U$1001,0),0),1)),INDEX($Z$2:$Z$1001,MATCH(ROWS($U$2:U113),$U$2:$U$1001,0),0)))</f>
        <v>0</v>
      </c>
      <c r="B113" s="4">
        <f>IF(OR(INDEX($V$2:$V$1001,MATCH(ROWS($U$2:U113),$U$2:$U$1001,0),1)&gt;=100000,INDEX($AB$1005:$AQ$1005,1,MATCH(COLUMNS($AB$1006:AB1006),$AB$1006:$AQ$1006,0))&gt;=100000), " ",IF(INDEX($AB$2:$AQ$1001,MATCH(ROWS($U$2:U113),$U$2:$U$1001,0),MATCH(COLUMNS($AB$1006:AB1006),$AB$1006:$AQ$1006,0)), HYPERLINK("#",""), HYPERLINK(CONCATENATE("#metadata!", ADDRESS(INDEX($W$2:$W$1001,MATCH(ROWS($U$2:U113),$U$2:$U$1001,0),0), INDEX($AB$1004:$AQ$1004,1,MATCH(COLUMNS($AB$1006:AB1006),$AB$1006:$AQ$1006,0)))),"Fix")))</f>
        <v>0</v>
      </c>
      <c r="C113" s="4">
        <f>IF(OR(INDEX($V$2:$V$1001,MATCH(ROWS($U$2:U113),$U$2:$U$1001,0),1)&gt;=100000,INDEX($AB$1005:$AQ$1005,1,MATCH(COLUMNS($AB$1006:AC1006),$AB$1006:$AQ$1006,0))&gt;=100000), " ",IF(INDEX($AB$2:$AQ$1001,MATCH(ROWS($U$2:U113),$U$2:$U$1001,0),MATCH(COLUMNS($AB$1006:AC1006),$AB$1006:$AQ$1006,0)), HYPERLINK("#",""), HYPERLINK(CONCATENATE("#metadata!", ADDRESS(INDEX($W$2:$W$1001,MATCH(ROWS($U$2:U113),$U$2:$U$1001,0),0), INDEX($AB$1004:$AQ$1004,1,MATCH(COLUMNS($AB$1006:AC1006),$AB$1006:$AQ$1006,0)))),"Fix")))</f>
        <v>0</v>
      </c>
      <c r="D113" s="4">
        <f>IF(OR(INDEX($V$2:$V$1001,MATCH(ROWS($U$2:U113),$U$2:$U$1001,0),1)&gt;=100000,INDEX($AB$1005:$AQ$1005,1,MATCH(COLUMNS($AB$1006:AD1006),$AB$1006:$AQ$1006,0))&gt;=100000), " ",IF(INDEX($AB$2:$AQ$1001,MATCH(ROWS($U$2:U113),$U$2:$U$1001,0),MATCH(COLUMNS($AB$1006:AD1006),$AB$1006:$AQ$1006,0)), HYPERLINK("#",""), HYPERLINK(CONCATENATE("#metadata!", ADDRESS(INDEX($W$2:$W$1001,MATCH(ROWS($U$2:U113),$U$2:$U$1001,0),0), INDEX($AB$1004:$AQ$1004,1,MATCH(COLUMNS($AB$1006:AD1006),$AB$1006:$AQ$1006,0)))),"Fix")))</f>
        <v>0</v>
      </c>
      <c r="E113" s="4">
        <f>IF(OR(INDEX($V$2:$V$1001,MATCH(ROWS($U$2:U113),$U$2:$U$1001,0),1)&gt;=100000,INDEX($AB$1005:$AQ$1005,1,MATCH(COLUMNS($AB$1006:AE1006),$AB$1006:$AQ$1006,0))&gt;=100000), " ",IF(INDEX($AB$2:$AQ$1001,MATCH(ROWS($U$2:U113),$U$2:$U$1001,0),MATCH(COLUMNS($AB$1006:AE1006),$AB$1006:$AQ$1006,0)), HYPERLINK("#",""), HYPERLINK(CONCATENATE("#metadata!", ADDRESS(INDEX($W$2:$W$1001,MATCH(ROWS($U$2:U113),$U$2:$U$1001,0),0), INDEX($AB$1004:$AQ$1004,1,MATCH(COLUMNS($AB$1006:AE1006),$AB$1006:$AQ$1006,0)))),"Fix")))</f>
        <v>0</v>
      </c>
      <c r="F113" s="4">
        <f>IF(OR(INDEX($V$2:$V$1001,MATCH(ROWS($U$2:U113),$U$2:$U$1001,0),1)&gt;=100000,INDEX($AB$1005:$AQ$1005,1,MATCH(COLUMNS($AB$1006:AF1006),$AB$1006:$AQ$1006,0))&gt;=100000), " ",IF(INDEX($AB$2:$AQ$1001,MATCH(ROWS($U$2:U113),$U$2:$U$1001,0),MATCH(COLUMNS($AB$1006:AF1006),$AB$1006:$AQ$1006,0)), HYPERLINK("#",""), HYPERLINK(CONCATENATE("#metadata!", ADDRESS(INDEX($W$2:$W$1001,MATCH(ROWS($U$2:U113),$U$2:$U$1001,0),0), INDEX($AB$1004:$AQ$1004,1,MATCH(COLUMNS($AB$1006:AF1006),$AB$1006:$AQ$1006,0)))),"Fix")))</f>
        <v>0</v>
      </c>
      <c r="G113" s="4">
        <f>IF(OR(INDEX($V$2:$V$1001,MATCH(ROWS($U$2:U113),$U$2:$U$1001,0),1)&gt;=100000,INDEX($AB$1005:$AQ$1005,1,MATCH(COLUMNS($AB$1006:AG1006),$AB$1006:$AQ$1006,0))&gt;=100000), " ",IF(INDEX($AB$2:$AQ$1001,MATCH(ROWS($U$2:U113),$U$2:$U$1001,0),MATCH(COLUMNS($AB$1006:AG1006),$AB$1006:$AQ$1006,0)), HYPERLINK("#",""), HYPERLINK(CONCATENATE("#metadata!", ADDRESS(INDEX($W$2:$W$1001,MATCH(ROWS($U$2:U113),$U$2:$U$1001,0),0), INDEX($AB$1004:$AQ$1004,1,MATCH(COLUMNS($AB$1006:AG1006),$AB$1006:$AQ$1006,0)))),"Fix")))</f>
        <v>0</v>
      </c>
      <c r="H113" s="4">
        <f>IF(OR(INDEX($V$2:$V$1001,MATCH(ROWS($U$2:U113),$U$2:$U$1001,0),1)&gt;=100000,INDEX($AB$1005:$AQ$1005,1,MATCH(COLUMNS($AB$1006:AH1006),$AB$1006:$AQ$1006,0))&gt;=100000), " ",IF(INDEX($AB$2:$AQ$1001,MATCH(ROWS($U$2:U113),$U$2:$U$1001,0),MATCH(COLUMNS($AB$1006:AH1006),$AB$1006:$AQ$1006,0)), HYPERLINK("#",""), HYPERLINK(CONCATENATE("#metadata!", ADDRESS(INDEX($W$2:$W$1001,MATCH(ROWS($U$2:U113),$U$2:$U$1001,0),0), INDEX($AB$1004:$AQ$1004,1,MATCH(COLUMNS($AB$1006:AH1006),$AB$1006:$AQ$1006,0)))),"Fix")))</f>
        <v>0</v>
      </c>
      <c r="I113" s="4">
        <f>IF(OR(INDEX($V$2:$V$1001,MATCH(ROWS($U$2:U113),$U$2:$U$1001,0),1)&gt;=100000,INDEX($AB$1005:$AQ$1005,1,MATCH(COLUMNS($AB$1006:AI1006),$AB$1006:$AQ$1006,0))&gt;=100000), " ",IF(INDEX($AB$2:$AQ$1001,MATCH(ROWS($U$2:U113),$U$2:$U$1001,0),MATCH(COLUMNS($AB$1006:AI1006),$AB$1006:$AQ$1006,0)), HYPERLINK("#",""), HYPERLINK(CONCATENATE("#metadata!", ADDRESS(INDEX($W$2:$W$1001,MATCH(ROWS($U$2:U113),$U$2:$U$1001,0),0), INDEX($AB$1004:$AQ$1004,1,MATCH(COLUMNS($AB$1006:AI1006),$AB$1006:$AQ$1006,0)))),"Fix")))</f>
        <v>0</v>
      </c>
      <c r="J113" s="4">
        <f>IF(OR(INDEX($V$2:$V$1001,MATCH(ROWS($U$2:U113),$U$2:$U$1001,0),1)&gt;=100000,INDEX($AB$1005:$AQ$1005,1,MATCH(COLUMNS($AB$1006:AJ1006),$AB$1006:$AQ$1006,0))&gt;=100000), " ",IF(INDEX($AB$2:$AQ$1001,MATCH(ROWS($U$2:U113),$U$2:$U$1001,0),MATCH(COLUMNS($AB$1006:AJ1006),$AB$1006:$AQ$1006,0)), HYPERLINK("#",""), HYPERLINK(CONCATENATE("#metadata!", ADDRESS(INDEX($W$2:$W$1001,MATCH(ROWS($U$2:U113),$U$2:$U$1001,0),0), INDEX($AB$1004:$AQ$1004,1,MATCH(COLUMNS($AB$1006:AJ1006),$AB$1006:$AQ$1006,0)))),"Fix")))</f>
        <v>0</v>
      </c>
      <c r="K113" s="4">
        <f>IF(OR(INDEX($V$2:$V$1001,MATCH(ROWS($U$2:U113),$U$2:$U$1001,0),1)&gt;=100000,INDEX($AB$1005:$AQ$1005,1,MATCH(COLUMNS($AB$1006:AK1006),$AB$1006:$AQ$1006,0))&gt;=100000), " ",IF(INDEX($AB$2:$AQ$1001,MATCH(ROWS($U$2:U113),$U$2:$U$1001,0),MATCH(COLUMNS($AB$1006:AK1006),$AB$1006:$AQ$1006,0)), HYPERLINK("#",""), HYPERLINK(CONCATENATE("#metadata!", ADDRESS(INDEX($W$2:$W$1001,MATCH(ROWS($U$2:U113),$U$2:$U$1001,0),0), INDEX($AB$1004:$AQ$1004,1,MATCH(COLUMNS($AB$1006:AK1006),$AB$1006:$AQ$1006,0)))),"Fix")))</f>
        <v>0</v>
      </c>
      <c r="L113" s="4">
        <f>IF(OR(INDEX($V$2:$V$1001,MATCH(ROWS($U$2:U113),$U$2:$U$1001,0),1)&gt;=100000,INDEX($AB$1005:$AQ$1005,1,MATCH(COLUMNS($AB$1006:AL1006),$AB$1006:$AQ$1006,0))&gt;=100000), " ",IF(INDEX($AB$2:$AQ$1001,MATCH(ROWS($U$2:U113),$U$2:$U$1001,0),MATCH(COLUMNS($AB$1006:AL1006),$AB$1006:$AQ$1006,0)), HYPERLINK("#",""), HYPERLINK(CONCATENATE("#metadata!", ADDRESS(INDEX($W$2:$W$1001,MATCH(ROWS($U$2:U113),$U$2:$U$1001,0),0), INDEX($AB$1004:$AQ$1004,1,MATCH(COLUMNS($AB$1006:AL1006),$AB$1006:$AQ$1006,0)))),"Fix")))</f>
        <v>0</v>
      </c>
      <c r="M113" s="4">
        <f>IF(OR(INDEX($V$2:$V$1001,MATCH(ROWS($U$2:U113),$U$2:$U$1001,0),1)&gt;=100000,INDEX($AB$1005:$AQ$1005,1,MATCH(COLUMNS($AB$1006:AM1006),$AB$1006:$AQ$1006,0))&gt;=100000), " ",IF(INDEX($AB$2:$AQ$1001,MATCH(ROWS($U$2:U113),$U$2:$U$1001,0),MATCH(COLUMNS($AB$1006:AM1006),$AB$1006:$AQ$1006,0)), HYPERLINK("#",""), HYPERLINK(CONCATENATE("#metadata!", ADDRESS(INDEX($W$2:$W$1001,MATCH(ROWS($U$2:U113),$U$2:$U$1001,0),0), INDEX($AB$1004:$AQ$1004,1,MATCH(COLUMNS($AB$1006:AM1006),$AB$1006:$AQ$1006,0)))),"Fix")))</f>
        <v>0</v>
      </c>
      <c r="N113" s="4">
        <f>IF(OR(INDEX($V$2:$V$1001,MATCH(ROWS($U$2:U113),$U$2:$U$1001,0),1)&gt;=100000,INDEX($AB$1005:$AQ$1005,1,MATCH(COLUMNS($AB$1006:AN1006),$AB$1006:$AQ$1006,0))&gt;=100000), " ",IF(INDEX($AB$2:$AQ$1001,MATCH(ROWS($U$2:U113),$U$2:$U$1001,0),MATCH(COLUMNS($AB$1006:AN1006),$AB$1006:$AQ$1006,0)), HYPERLINK("#",""), HYPERLINK(CONCATENATE("#metadata!", ADDRESS(INDEX($W$2:$W$1001,MATCH(ROWS($U$2:U113),$U$2:$U$1001,0),0), INDEX($AB$1004:$AQ$1004,1,MATCH(COLUMNS($AB$1006:AN1006),$AB$1006:$AQ$1006,0)))),"Fix")))</f>
        <v>0</v>
      </c>
      <c r="O113" s="4">
        <f>IF(OR(INDEX($V$2:$V$1001,MATCH(ROWS($U$2:U113),$U$2:$U$1001,0),1)&gt;=100000,INDEX($AB$1005:$AQ$1005,1,MATCH(COLUMNS($AB$1006:AO1006),$AB$1006:$AQ$1006,0))&gt;=100000), " ",IF(INDEX($AB$2:$AQ$1001,MATCH(ROWS($U$2:U113),$U$2:$U$1001,0),MATCH(COLUMNS($AB$1006:AO1006),$AB$1006:$AQ$1006,0)), HYPERLINK("#",""), HYPERLINK(CONCATENATE("#metadata!", ADDRESS(INDEX($W$2:$W$1001,MATCH(ROWS($U$2:U113),$U$2:$U$1001,0),0), INDEX($AB$1004:$AQ$1004,1,MATCH(COLUMNS($AB$1006:AO1006),$AB$1006:$AQ$1006,0)))),"Fix")))</f>
        <v>0</v>
      </c>
      <c r="P113" s="4">
        <f>IF(OR(INDEX($V$2:$V$1001,MATCH(ROWS($U$2:U113),$U$2:$U$1001,0),1)&gt;=100000,INDEX($AB$1005:$AQ$1005,1,MATCH(COLUMNS($AB$1006:AP1006),$AB$1006:$AQ$1006,0))&gt;=100000), " ",IF(INDEX($AB$2:$AQ$1001,MATCH(ROWS($U$2:U113),$U$2:$U$1001,0),MATCH(COLUMNS($AB$1006:AP1006),$AB$1006:$AQ$1006,0)), HYPERLINK("#",""), HYPERLINK(CONCATENATE("#metadata!", ADDRESS(INDEX($W$2:$W$1001,MATCH(ROWS($U$2:U113),$U$2:$U$1001,0),0), INDEX($AB$1004:$AQ$1004,1,MATCH(COLUMNS($AB$1006:AP1006),$AB$1006:$AQ$1006,0)))),"Fix")))</f>
        <v>0</v>
      </c>
      <c r="Q113" s="4">
        <f>IF(OR(INDEX($V$2:$V$1001,MATCH(ROWS($U$2:U113),$U$2:$U$1001,0),1)&gt;=100000,INDEX($AB$1005:$AQ$1005,1,MATCH(COLUMNS($AB$1006:AQ1006),$AB$1006:$AQ$1006,0))&gt;=100000), " ",IF(INDEX($AB$2:$AQ$1001,MATCH(ROWS($U$2:U113),$U$2:$U$1001,0),MATCH(COLUMNS($AB$1006:AQ1006),$AB$1006:$AQ$1006,0)), HYPERLINK("#",""), HYPERLINK(CONCATENATE("#metadata!", ADDRESS(INDEX($W$2:$W$1001,MATCH(ROWS($U$2:U113),$U$2:$U$1001,0),0), INDEX($AB$1004:$AQ$1004,1,MATCH(COLUMNS($AB$1006:AQ1006),$AB$1006:$AQ$1006,0)))),"Fix")))</f>
        <v>0</v>
      </c>
      <c r="U113">
        <v>0</v>
      </c>
      <c r="V113">
        <v>0</v>
      </c>
      <c r="W113">
        <v>0</v>
      </c>
      <c r="X113">
        <f>IF(Y113,TRUE,AND(AB113:AQ113))</f>
        <v>0</v>
      </c>
      <c r="Y113">
        <f>COUNTBLANK(metadata!B113:Q113)=COLUMNS(metadata!B113:Q113)</f>
        <v>0</v>
      </c>
      <c r="Z113">
        <v>0</v>
      </c>
      <c r="AB113">
        <f>AND(IF(metadata!B113="",FALSE,TRUE),COUNTIF(metadata!B:B, metadata!B113) = 1,NOT(ISERROR(SUMPRODUCT(SEARCH(MID(metadata!B113,ROW(INDIRECT("1:"&amp;LEN(metadata!B113))), 1),"0123456789abcdefghijklmnopqrstuvwxyzABCDEFGHIJKLMNOPQRSTUVWXYZ.")))))</f>
        <v>0</v>
      </c>
      <c r="AC113">
        <f>OR(AND(IF(metadata!C113="",FALSE,TRUE),OR(exact(metadata!C113,"missing: not collected"),exact(metadata!C113,"missing: not provided"),exact(metadata!C113,"missing: restricted access"))),AND(IF(metadata!C113="",FALSE,TRUE),AND(AND(IFERROR(INT(LEFT(metadata!C113,4))&gt;1900,FALSE),IFERROR(INT(LEFT(metadata!C113,4))&lt;=YEAR(NOW()),FALSE)), OR(MID(metadata!C113,5,1)="", AND(AND(MID(metadata!C113,5,1)="-",IFERROR(INT(MID(metadata!C113,6,1))&gt;=0,FALSE),IFERROR(INT(MID(metadata!C113,6,1))&lt;=1,FALSE),NOT(MID(metadata!C113,7,1)=""),IFERROR(INT(MID(metadata!C113,6,2))&gt;=1,FALSE),IFERROR(INT(MID(metadata!C113,6,2))&lt;=12,FALSE)), OR(MID(metadata!C113,8,1)="", AND(AND(MID(metadata!C113,8,1)="-",IFERROR(INT(MID(metadata!C113,9,1))&gt;=0,FALSE),IFERROR(INT(MID(metadata!C113,9,1))&lt;=3,FALSE),NOT(MID(metadata!C113,10,1)=""),IFERROR(INT(MID(metadata!C113,9,2))&gt;=1,FALSE),IFERROR(INT(MID(metadata!C113,9,2))&lt;=31,FALSE)), OR(MID(metadata!C113,11,1)="", AND(AND(MID(metadata!C113,11,1)=" ",IFERROR(INT(MID(metadata!C113,12,1))&gt;=0,FALSE),IFERROR(INT(MID(metadata!C113,12,1))&lt;=2,FALSE),NOT(MID(metadata!C113,13,1)=""),IFERROR(INT(MID(metadata!C113,12,2))&gt;=0,FALSE),IFERROR(INT(MID(metadata!C113,12,2))&lt;=23,FALSE)), OR(MID(metadata!C113,14,1)="", AND(AND(MID(metadata!C113,14,1)=":",IFERROR(INT(MID(metadata!C113,15,1))&gt;=0,FALSE),IFERROR(INT(MID(metadata!C113,15,1))&lt;=5,FALSE),NOT(MID(metadata!C113,16,1)=""),IFERROR(INT(MID(metadata!C113,15,2))&gt;=0,FALSE),IFERROR(INT(MID(metadata!C113,15,2))&lt;=59,FALSE)), OR(MID(metadata!C113,17,1)="", AND(AND(MID(metadata!C113,17,1)=":",IFERROR(INT(MID(metadata!C113,18,1))&gt;=0,FALSE),IFERROR(INT(MID(metadata!C113,18,1))&lt;=5,FALSE),NOT(MID(metadata!C113,19,1)=""),IFERROR(INT(MID(metadata!C113,18,2))&gt;=0,FALSE),IFERROR(INT(MID(metadata!C113,18,2))&lt;=59,FALSE)), LEN(metadata!C113)&lt;=19)))))))))))))</f>
        <v>0</v>
      </c>
      <c r="AD113">
        <f>IF(metadata!D113="",FALSE,TRUE)</f>
        <v>0</v>
      </c>
      <c r="AE113">
        <f>OR(AND(IF(metadata!E113="",FALSE,TRUE),OR(exact(metadata!E113,"missing: not collected"),exact(metadata!E113,"missing: not provided"))),AND(IF(metadata!E113="",FALSE,TRUE),OR(exact(metadata!E113,"TRUE"),exact(metadata!E113,"FALSE"))))</f>
        <v>0</v>
      </c>
      <c r="AF113">
        <f>IF(metadata!F113="",FALSE,TRUE)</f>
        <v>0</v>
      </c>
      <c r="AG113">
        <f>IF(metadata!G113="",FALSE,TRUE)</f>
        <v>0</v>
      </c>
      <c r="AH113">
        <f>IF(metadata!H113="",FALSE,TRUE)</f>
        <v>0</v>
      </c>
      <c r="AI113">
        <f>OR(AND(IF(metadata!I113="",FALSE,TRUE),OR(exact(metadata!I113,"missing: not collected"),exact(metadata!I113,"missing: not provided"),exact(metadata!I113,"missing: restricted access"))),AND(IF(metadata!I113="",FALSE,TRUE),OR(exact(metadata!I113,"air"),exact(metadata!I113,"built environment"),exact(metadata!I113,"host-associated"),exact(metadata!I113,"human-associated"),exact(metadata!I113,"human-skin"),exact(metadata!I113,"human-oral"),exact(metadata!I113,"human-gut"),exact(metadata!I113,"human-vaginal"),exact(metadata!I113,"microbial mat/biofilm"),exact(metadata!I113,"misc environment"),exact(metadata!I113,"plant-associated"),exact(metadata!I113,"sediment"),exact(metadata!I113,"soil"),exact(metadata!I113,"wastewater/sludge"),exact(metadata!I113,"water"))))</f>
        <v>0</v>
      </c>
      <c r="AJ113">
        <f>IF(metadata!J113="",FALSE,TRUE)</f>
        <v>0</v>
      </c>
      <c r="AK113">
        <f>OR(AND(IF(metadata!K113="",FALSE,TRUE),OR(exact(metadata!K113,"missing: not collected"),exact(metadata!K113,"missing: not provided"),exact(metadata!K113,"missing: restricted access"))),AND(IF(metadata!K113="",FALSE,ISNUMBER(VALUE(metadata!K113))),metadata!K113&gt;=-90.00,metadata!K113&lt;=90.00))</f>
        <v>0</v>
      </c>
      <c r="AL113">
        <f>OR(AND(IF(metadata!L113="",FALSE,TRUE),OR(exact(metadata!L113,"missing: not collected"),exact(metadata!L113,"missing: not provided"),exact(metadata!L113,"missing: restricted access"))),AND(IF(metadata!L113="",FALSE,ISNUMBER(VALUE(metadata!L113))),metadata!L113&gt;=-180.00,metadata!L113&lt;=180.00))</f>
        <v>0</v>
      </c>
      <c r="AM113">
        <f>IF(metadata!M113="",FALSE,TRUE)</f>
        <v>0</v>
      </c>
      <c r="AN113">
        <f>OR(AND(IF(metadata!N113="",FALSE,TRUE),OR(exact(metadata!N113,"missing: not collected"),exact(metadata!N113,"missing: not provided"),exact(metadata!N113,"missing: restricted access"))),AND(IF(metadata!N113="",FALSE,TRUE),OR(exact(metadata!N113,"TRUE"),exact(metadata!N113,"FALSE"))))</f>
        <v>0</v>
      </c>
      <c r="AO113">
        <f>IF(metadata!O113="",FALSE,TRUE)</f>
        <v>0</v>
      </c>
      <c r="AP113">
        <f>OR(AND(IF(metadata!P113="",FALSE,TRUE),OR(exact(metadata!P113,"missing: not collected"),exact(metadata!P113,"missing: not provided"))),AND(IF(metadata!P113="",FALSE,IF(ISERROR(INT(metadata!P113)),FALSE,INT(metadata!P113)=metadata!P113)),metadata!P113&gt;0))</f>
        <v>0</v>
      </c>
      <c r="AQ113">
        <f>IF(metadata!Q113="",FALSE,TRUE)</f>
        <v>0</v>
      </c>
    </row>
    <row r="114" spans="1:43">
      <c r="A114" s="5">
        <f>IF(B114=" "," ",HYPERLINK(CONCATENATE("#metadata!",ADDRESS(INDEX($W$2:$W$1001,MATCH(ROWS($U$2:U114),$U$2:$U$1001,0),0),1)),INDEX($Z$2:$Z$1001,MATCH(ROWS($U$2:U114),$U$2:$U$1001,0),0)))</f>
        <v>0</v>
      </c>
      <c r="B114" s="4">
        <f>IF(OR(INDEX($V$2:$V$1001,MATCH(ROWS($U$2:U114),$U$2:$U$1001,0),1)&gt;=100000,INDEX($AB$1005:$AQ$1005,1,MATCH(COLUMNS($AB$1006:AB1006),$AB$1006:$AQ$1006,0))&gt;=100000), " ",IF(INDEX($AB$2:$AQ$1001,MATCH(ROWS($U$2:U114),$U$2:$U$1001,0),MATCH(COLUMNS($AB$1006:AB1006),$AB$1006:$AQ$1006,0)), HYPERLINK("#",""), HYPERLINK(CONCATENATE("#metadata!", ADDRESS(INDEX($W$2:$W$1001,MATCH(ROWS($U$2:U114),$U$2:$U$1001,0),0), INDEX($AB$1004:$AQ$1004,1,MATCH(COLUMNS($AB$1006:AB1006),$AB$1006:$AQ$1006,0)))),"Fix")))</f>
        <v>0</v>
      </c>
      <c r="C114" s="4">
        <f>IF(OR(INDEX($V$2:$V$1001,MATCH(ROWS($U$2:U114),$U$2:$U$1001,0),1)&gt;=100000,INDEX($AB$1005:$AQ$1005,1,MATCH(COLUMNS($AB$1006:AC1006),$AB$1006:$AQ$1006,0))&gt;=100000), " ",IF(INDEX($AB$2:$AQ$1001,MATCH(ROWS($U$2:U114),$U$2:$U$1001,0),MATCH(COLUMNS($AB$1006:AC1006),$AB$1006:$AQ$1006,0)), HYPERLINK("#",""), HYPERLINK(CONCATENATE("#metadata!", ADDRESS(INDEX($W$2:$W$1001,MATCH(ROWS($U$2:U114),$U$2:$U$1001,0),0), INDEX($AB$1004:$AQ$1004,1,MATCH(COLUMNS($AB$1006:AC1006),$AB$1006:$AQ$1006,0)))),"Fix")))</f>
        <v>0</v>
      </c>
      <c r="D114" s="4">
        <f>IF(OR(INDEX($V$2:$V$1001,MATCH(ROWS($U$2:U114),$U$2:$U$1001,0),1)&gt;=100000,INDEX($AB$1005:$AQ$1005,1,MATCH(COLUMNS($AB$1006:AD1006),$AB$1006:$AQ$1006,0))&gt;=100000), " ",IF(INDEX($AB$2:$AQ$1001,MATCH(ROWS($U$2:U114),$U$2:$U$1001,0),MATCH(COLUMNS($AB$1006:AD1006),$AB$1006:$AQ$1006,0)), HYPERLINK("#",""), HYPERLINK(CONCATENATE("#metadata!", ADDRESS(INDEX($W$2:$W$1001,MATCH(ROWS($U$2:U114),$U$2:$U$1001,0),0), INDEX($AB$1004:$AQ$1004,1,MATCH(COLUMNS($AB$1006:AD1006),$AB$1006:$AQ$1006,0)))),"Fix")))</f>
        <v>0</v>
      </c>
      <c r="E114" s="4">
        <f>IF(OR(INDEX($V$2:$V$1001,MATCH(ROWS($U$2:U114),$U$2:$U$1001,0),1)&gt;=100000,INDEX($AB$1005:$AQ$1005,1,MATCH(COLUMNS($AB$1006:AE1006),$AB$1006:$AQ$1006,0))&gt;=100000), " ",IF(INDEX($AB$2:$AQ$1001,MATCH(ROWS($U$2:U114),$U$2:$U$1001,0),MATCH(COLUMNS($AB$1006:AE1006),$AB$1006:$AQ$1006,0)), HYPERLINK("#",""), HYPERLINK(CONCATENATE("#metadata!", ADDRESS(INDEX($W$2:$W$1001,MATCH(ROWS($U$2:U114),$U$2:$U$1001,0),0), INDEX($AB$1004:$AQ$1004,1,MATCH(COLUMNS($AB$1006:AE1006),$AB$1006:$AQ$1006,0)))),"Fix")))</f>
        <v>0</v>
      </c>
      <c r="F114" s="4">
        <f>IF(OR(INDEX($V$2:$V$1001,MATCH(ROWS($U$2:U114),$U$2:$U$1001,0),1)&gt;=100000,INDEX($AB$1005:$AQ$1005,1,MATCH(COLUMNS($AB$1006:AF1006),$AB$1006:$AQ$1006,0))&gt;=100000), " ",IF(INDEX($AB$2:$AQ$1001,MATCH(ROWS($U$2:U114),$U$2:$U$1001,0),MATCH(COLUMNS($AB$1006:AF1006),$AB$1006:$AQ$1006,0)), HYPERLINK("#",""), HYPERLINK(CONCATENATE("#metadata!", ADDRESS(INDEX($W$2:$W$1001,MATCH(ROWS($U$2:U114),$U$2:$U$1001,0),0), INDEX($AB$1004:$AQ$1004,1,MATCH(COLUMNS($AB$1006:AF1006),$AB$1006:$AQ$1006,0)))),"Fix")))</f>
        <v>0</v>
      </c>
      <c r="G114" s="4">
        <f>IF(OR(INDEX($V$2:$V$1001,MATCH(ROWS($U$2:U114),$U$2:$U$1001,0),1)&gt;=100000,INDEX($AB$1005:$AQ$1005,1,MATCH(COLUMNS($AB$1006:AG1006),$AB$1006:$AQ$1006,0))&gt;=100000), " ",IF(INDEX($AB$2:$AQ$1001,MATCH(ROWS($U$2:U114),$U$2:$U$1001,0),MATCH(COLUMNS($AB$1006:AG1006),$AB$1006:$AQ$1006,0)), HYPERLINK("#",""), HYPERLINK(CONCATENATE("#metadata!", ADDRESS(INDEX($W$2:$W$1001,MATCH(ROWS($U$2:U114),$U$2:$U$1001,0),0), INDEX($AB$1004:$AQ$1004,1,MATCH(COLUMNS($AB$1006:AG1006),$AB$1006:$AQ$1006,0)))),"Fix")))</f>
        <v>0</v>
      </c>
      <c r="H114" s="4">
        <f>IF(OR(INDEX($V$2:$V$1001,MATCH(ROWS($U$2:U114),$U$2:$U$1001,0),1)&gt;=100000,INDEX($AB$1005:$AQ$1005,1,MATCH(COLUMNS($AB$1006:AH1006),$AB$1006:$AQ$1006,0))&gt;=100000), " ",IF(INDEX($AB$2:$AQ$1001,MATCH(ROWS($U$2:U114),$U$2:$U$1001,0),MATCH(COLUMNS($AB$1006:AH1006),$AB$1006:$AQ$1006,0)), HYPERLINK("#",""), HYPERLINK(CONCATENATE("#metadata!", ADDRESS(INDEX($W$2:$W$1001,MATCH(ROWS($U$2:U114),$U$2:$U$1001,0),0), INDEX($AB$1004:$AQ$1004,1,MATCH(COLUMNS($AB$1006:AH1006),$AB$1006:$AQ$1006,0)))),"Fix")))</f>
        <v>0</v>
      </c>
      <c r="I114" s="4">
        <f>IF(OR(INDEX($V$2:$V$1001,MATCH(ROWS($U$2:U114),$U$2:$U$1001,0),1)&gt;=100000,INDEX($AB$1005:$AQ$1005,1,MATCH(COLUMNS($AB$1006:AI1006),$AB$1006:$AQ$1006,0))&gt;=100000), " ",IF(INDEX($AB$2:$AQ$1001,MATCH(ROWS($U$2:U114),$U$2:$U$1001,0),MATCH(COLUMNS($AB$1006:AI1006),$AB$1006:$AQ$1006,0)), HYPERLINK("#",""), HYPERLINK(CONCATENATE("#metadata!", ADDRESS(INDEX($W$2:$W$1001,MATCH(ROWS($U$2:U114),$U$2:$U$1001,0),0), INDEX($AB$1004:$AQ$1004,1,MATCH(COLUMNS($AB$1006:AI1006),$AB$1006:$AQ$1006,0)))),"Fix")))</f>
        <v>0</v>
      </c>
      <c r="J114" s="4">
        <f>IF(OR(INDEX($V$2:$V$1001,MATCH(ROWS($U$2:U114),$U$2:$U$1001,0),1)&gt;=100000,INDEX($AB$1005:$AQ$1005,1,MATCH(COLUMNS($AB$1006:AJ1006),$AB$1006:$AQ$1006,0))&gt;=100000), " ",IF(INDEX($AB$2:$AQ$1001,MATCH(ROWS($U$2:U114),$U$2:$U$1001,0),MATCH(COLUMNS($AB$1006:AJ1006),$AB$1006:$AQ$1006,0)), HYPERLINK("#",""), HYPERLINK(CONCATENATE("#metadata!", ADDRESS(INDEX($W$2:$W$1001,MATCH(ROWS($U$2:U114),$U$2:$U$1001,0),0), INDEX($AB$1004:$AQ$1004,1,MATCH(COLUMNS($AB$1006:AJ1006),$AB$1006:$AQ$1006,0)))),"Fix")))</f>
        <v>0</v>
      </c>
      <c r="K114" s="4">
        <f>IF(OR(INDEX($V$2:$V$1001,MATCH(ROWS($U$2:U114),$U$2:$U$1001,0),1)&gt;=100000,INDEX($AB$1005:$AQ$1005,1,MATCH(COLUMNS($AB$1006:AK1006),$AB$1006:$AQ$1006,0))&gt;=100000), " ",IF(INDEX($AB$2:$AQ$1001,MATCH(ROWS($U$2:U114),$U$2:$U$1001,0),MATCH(COLUMNS($AB$1006:AK1006),$AB$1006:$AQ$1006,0)), HYPERLINK("#",""), HYPERLINK(CONCATENATE("#metadata!", ADDRESS(INDEX($W$2:$W$1001,MATCH(ROWS($U$2:U114),$U$2:$U$1001,0),0), INDEX($AB$1004:$AQ$1004,1,MATCH(COLUMNS($AB$1006:AK1006),$AB$1006:$AQ$1006,0)))),"Fix")))</f>
        <v>0</v>
      </c>
      <c r="L114" s="4">
        <f>IF(OR(INDEX($V$2:$V$1001,MATCH(ROWS($U$2:U114),$U$2:$U$1001,0),1)&gt;=100000,INDEX($AB$1005:$AQ$1005,1,MATCH(COLUMNS($AB$1006:AL1006),$AB$1006:$AQ$1006,0))&gt;=100000), " ",IF(INDEX($AB$2:$AQ$1001,MATCH(ROWS($U$2:U114),$U$2:$U$1001,0),MATCH(COLUMNS($AB$1006:AL1006),$AB$1006:$AQ$1006,0)), HYPERLINK("#",""), HYPERLINK(CONCATENATE("#metadata!", ADDRESS(INDEX($W$2:$W$1001,MATCH(ROWS($U$2:U114),$U$2:$U$1001,0),0), INDEX($AB$1004:$AQ$1004,1,MATCH(COLUMNS($AB$1006:AL1006),$AB$1006:$AQ$1006,0)))),"Fix")))</f>
        <v>0</v>
      </c>
      <c r="M114" s="4">
        <f>IF(OR(INDEX($V$2:$V$1001,MATCH(ROWS($U$2:U114),$U$2:$U$1001,0),1)&gt;=100000,INDEX($AB$1005:$AQ$1005,1,MATCH(COLUMNS($AB$1006:AM1006),$AB$1006:$AQ$1006,0))&gt;=100000), " ",IF(INDEX($AB$2:$AQ$1001,MATCH(ROWS($U$2:U114),$U$2:$U$1001,0),MATCH(COLUMNS($AB$1006:AM1006),$AB$1006:$AQ$1006,0)), HYPERLINK("#",""), HYPERLINK(CONCATENATE("#metadata!", ADDRESS(INDEX($W$2:$W$1001,MATCH(ROWS($U$2:U114),$U$2:$U$1001,0),0), INDEX($AB$1004:$AQ$1004,1,MATCH(COLUMNS($AB$1006:AM1006),$AB$1006:$AQ$1006,0)))),"Fix")))</f>
        <v>0</v>
      </c>
      <c r="N114" s="4">
        <f>IF(OR(INDEX($V$2:$V$1001,MATCH(ROWS($U$2:U114),$U$2:$U$1001,0),1)&gt;=100000,INDEX($AB$1005:$AQ$1005,1,MATCH(COLUMNS($AB$1006:AN1006),$AB$1006:$AQ$1006,0))&gt;=100000), " ",IF(INDEX($AB$2:$AQ$1001,MATCH(ROWS($U$2:U114),$U$2:$U$1001,0),MATCH(COLUMNS($AB$1006:AN1006),$AB$1006:$AQ$1006,0)), HYPERLINK("#",""), HYPERLINK(CONCATENATE("#metadata!", ADDRESS(INDEX($W$2:$W$1001,MATCH(ROWS($U$2:U114),$U$2:$U$1001,0),0), INDEX($AB$1004:$AQ$1004,1,MATCH(COLUMNS($AB$1006:AN1006),$AB$1006:$AQ$1006,0)))),"Fix")))</f>
        <v>0</v>
      </c>
      <c r="O114" s="4">
        <f>IF(OR(INDEX($V$2:$V$1001,MATCH(ROWS($U$2:U114),$U$2:$U$1001,0),1)&gt;=100000,INDEX($AB$1005:$AQ$1005,1,MATCH(COLUMNS($AB$1006:AO1006),$AB$1006:$AQ$1006,0))&gt;=100000), " ",IF(INDEX($AB$2:$AQ$1001,MATCH(ROWS($U$2:U114),$U$2:$U$1001,0),MATCH(COLUMNS($AB$1006:AO1006),$AB$1006:$AQ$1006,0)), HYPERLINK("#",""), HYPERLINK(CONCATENATE("#metadata!", ADDRESS(INDEX($W$2:$W$1001,MATCH(ROWS($U$2:U114),$U$2:$U$1001,0),0), INDEX($AB$1004:$AQ$1004,1,MATCH(COLUMNS($AB$1006:AO1006),$AB$1006:$AQ$1006,0)))),"Fix")))</f>
        <v>0</v>
      </c>
      <c r="P114" s="4">
        <f>IF(OR(INDEX($V$2:$V$1001,MATCH(ROWS($U$2:U114),$U$2:$U$1001,0),1)&gt;=100000,INDEX($AB$1005:$AQ$1005,1,MATCH(COLUMNS($AB$1006:AP1006),$AB$1006:$AQ$1006,0))&gt;=100000), " ",IF(INDEX($AB$2:$AQ$1001,MATCH(ROWS($U$2:U114),$U$2:$U$1001,0),MATCH(COLUMNS($AB$1006:AP1006),$AB$1006:$AQ$1006,0)), HYPERLINK("#",""), HYPERLINK(CONCATENATE("#metadata!", ADDRESS(INDEX($W$2:$W$1001,MATCH(ROWS($U$2:U114),$U$2:$U$1001,0),0), INDEX($AB$1004:$AQ$1004,1,MATCH(COLUMNS($AB$1006:AP1006),$AB$1006:$AQ$1006,0)))),"Fix")))</f>
        <v>0</v>
      </c>
      <c r="Q114" s="4">
        <f>IF(OR(INDEX($V$2:$V$1001,MATCH(ROWS($U$2:U114),$U$2:$U$1001,0),1)&gt;=100000,INDEX($AB$1005:$AQ$1005,1,MATCH(COLUMNS($AB$1006:AQ1006),$AB$1006:$AQ$1006,0))&gt;=100000), " ",IF(INDEX($AB$2:$AQ$1001,MATCH(ROWS($U$2:U114),$U$2:$U$1001,0),MATCH(COLUMNS($AB$1006:AQ1006),$AB$1006:$AQ$1006,0)), HYPERLINK("#",""), HYPERLINK(CONCATENATE("#metadata!", ADDRESS(INDEX($W$2:$W$1001,MATCH(ROWS($U$2:U114),$U$2:$U$1001,0),0), INDEX($AB$1004:$AQ$1004,1,MATCH(COLUMNS($AB$1006:AQ1006),$AB$1006:$AQ$1006,0)))),"Fix")))</f>
        <v>0</v>
      </c>
      <c r="U114">
        <v>0</v>
      </c>
      <c r="V114">
        <v>0</v>
      </c>
      <c r="W114">
        <v>0</v>
      </c>
      <c r="X114">
        <f>IF(Y114,TRUE,AND(AB114:AQ114))</f>
        <v>0</v>
      </c>
      <c r="Y114">
        <f>COUNTBLANK(metadata!B114:Q114)=COLUMNS(metadata!B114:Q114)</f>
        <v>0</v>
      </c>
      <c r="Z114">
        <v>0</v>
      </c>
      <c r="AB114">
        <f>AND(IF(metadata!B114="",FALSE,TRUE),COUNTIF(metadata!B:B, metadata!B114) = 1,NOT(ISERROR(SUMPRODUCT(SEARCH(MID(metadata!B114,ROW(INDIRECT("1:"&amp;LEN(metadata!B114))), 1),"0123456789abcdefghijklmnopqrstuvwxyzABCDEFGHIJKLMNOPQRSTUVWXYZ.")))))</f>
        <v>0</v>
      </c>
      <c r="AC114">
        <f>OR(AND(IF(metadata!C114="",FALSE,TRUE),OR(exact(metadata!C114,"missing: not collected"),exact(metadata!C114,"missing: not provided"),exact(metadata!C114,"missing: restricted access"))),AND(IF(metadata!C114="",FALSE,TRUE),AND(AND(IFERROR(INT(LEFT(metadata!C114,4))&gt;1900,FALSE),IFERROR(INT(LEFT(metadata!C114,4))&lt;=YEAR(NOW()),FALSE)), OR(MID(metadata!C114,5,1)="", AND(AND(MID(metadata!C114,5,1)="-",IFERROR(INT(MID(metadata!C114,6,1))&gt;=0,FALSE),IFERROR(INT(MID(metadata!C114,6,1))&lt;=1,FALSE),NOT(MID(metadata!C114,7,1)=""),IFERROR(INT(MID(metadata!C114,6,2))&gt;=1,FALSE),IFERROR(INT(MID(metadata!C114,6,2))&lt;=12,FALSE)), OR(MID(metadata!C114,8,1)="", AND(AND(MID(metadata!C114,8,1)="-",IFERROR(INT(MID(metadata!C114,9,1))&gt;=0,FALSE),IFERROR(INT(MID(metadata!C114,9,1))&lt;=3,FALSE),NOT(MID(metadata!C114,10,1)=""),IFERROR(INT(MID(metadata!C114,9,2))&gt;=1,FALSE),IFERROR(INT(MID(metadata!C114,9,2))&lt;=31,FALSE)), OR(MID(metadata!C114,11,1)="", AND(AND(MID(metadata!C114,11,1)=" ",IFERROR(INT(MID(metadata!C114,12,1))&gt;=0,FALSE),IFERROR(INT(MID(metadata!C114,12,1))&lt;=2,FALSE),NOT(MID(metadata!C114,13,1)=""),IFERROR(INT(MID(metadata!C114,12,2))&gt;=0,FALSE),IFERROR(INT(MID(metadata!C114,12,2))&lt;=23,FALSE)), OR(MID(metadata!C114,14,1)="", AND(AND(MID(metadata!C114,14,1)=":",IFERROR(INT(MID(metadata!C114,15,1))&gt;=0,FALSE),IFERROR(INT(MID(metadata!C114,15,1))&lt;=5,FALSE),NOT(MID(metadata!C114,16,1)=""),IFERROR(INT(MID(metadata!C114,15,2))&gt;=0,FALSE),IFERROR(INT(MID(metadata!C114,15,2))&lt;=59,FALSE)), OR(MID(metadata!C114,17,1)="", AND(AND(MID(metadata!C114,17,1)=":",IFERROR(INT(MID(metadata!C114,18,1))&gt;=0,FALSE),IFERROR(INT(MID(metadata!C114,18,1))&lt;=5,FALSE),NOT(MID(metadata!C114,19,1)=""),IFERROR(INT(MID(metadata!C114,18,2))&gt;=0,FALSE),IFERROR(INT(MID(metadata!C114,18,2))&lt;=59,FALSE)), LEN(metadata!C114)&lt;=19)))))))))))))</f>
        <v>0</v>
      </c>
      <c r="AD114">
        <f>IF(metadata!D114="",FALSE,TRUE)</f>
        <v>0</v>
      </c>
      <c r="AE114">
        <f>OR(AND(IF(metadata!E114="",FALSE,TRUE),OR(exact(metadata!E114,"missing: not collected"),exact(metadata!E114,"missing: not provided"))),AND(IF(metadata!E114="",FALSE,TRUE),OR(exact(metadata!E114,"TRUE"),exact(metadata!E114,"FALSE"))))</f>
        <v>0</v>
      </c>
      <c r="AF114">
        <f>IF(metadata!F114="",FALSE,TRUE)</f>
        <v>0</v>
      </c>
      <c r="AG114">
        <f>IF(metadata!G114="",FALSE,TRUE)</f>
        <v>0</v>
      </c>
      <c r="AH114">
        <f>IF(metadata!H114="",FALSE,TRUE)</f>
        <v>0</v>
      </c>
      <c r="AI114">
        <f>OR(AND(IF(metadata!I114="",FALSE,TRUE),OR(exact(metadata!I114,"missing: not collected"),exact(metadata!I114,"missing: not provided"),exact(metadata!I114,"missing: restricted access"))),AND(IF(metadata!I114="",FALSE,TRUE),OR(exact(metadata!I114,"air"),exact(metadata!I114,"built environment"),exact(metadata!I114,"host-associated"),exact(metadata!I114,"human-associated"),exact(metadata!I114,"human-skin"),exact(metadata!I114,"human-oral"),exact(metadata!I114,"human-gut"),exact(metadata!I114,"human-vaginal"),exact(metadata!I114,"microbial mat/biofilm"),exact(metadata!I114,"misc environment"),exact(metadata!I114,"plant-associated"),exact(metadata!I114,"sediment"),exact(metadata!I114,"soil"),exact(metadata!I114,"wastewater/sludge"),exact(metadata!I114,"water"))))</f>
        <v>0</v>
      </c>
      <c r="AJ114">
        <f>IF(metadata!J114="",FALSE,TRUE)</f>
        <v>0</v>
      </c>
      <c r="AK114">
        <f>OR(AND(IF(metadata!K114="",FALSE,TRUE),OR(exact(metadata!K114,"missing: not collected"),exact(metadata!K114,"missing: not provided"),exact(metadata!K114,"missing: restricted access"))),AND(IF(metadata!K114="",FALSE,ISNUMBER(VALUE(metadata!K114))),metadata!K114&gt;=-90.00,metadata!K114&lt;=90.00))</f>
        <v>0</v>
      </c>
      <c r="AL114">
        <f>OR(AND(IF(metadata!L114="",FALSE,TRUE),OR(exact(metadata!L114,"missing: not collected"),exact(metadata!L114,"missing: not provided"),exact(metadata!L114,"missing: restricted access"))),AND(IF(metadata!L114="",FALSE,ISNUMBER(VALUE(metadata!L114))),metadata!L114&gt;=-180.00,metadata!L114&lt;=180.00))</f>
        <v>0</v>
      </c>
      <c r="AM114">
        <f>IF(metadata!M114="",FALSE,TRUE)</f>
        <v>0</v>
      </c>
      <c r="AN114">
        <f>OR(AND(IF(metadata!N114="",FALSE,TRUE),OR(exact(metadata!N114,"missing: not collected"),exact(metadata!N114,"missing: not provided"),exact(metadata!N114,"missing: restricted access"))),AND(IF(metadata!N114="",FALSE,TRUE),OR(exact(metadata!N114,"TRUE"),exact(metadata!N114,"FALSE"))))</f>
        <v>0</v>
      </c>
      <c r="AO114">
        <f>IF(metadata!O114="",FALSE,TRUE)</f>
        <v>0</v>
      </c>
      <c r="AP114">
        <f>OR(AND(IF(metadata!P114="",FALSE,TRUE),OR(exact(metadata!P114,"missing: not collected"),exact(metadata!P114,"missing: not provided"))),AND(IF(metadata!P114="",FALSE,IF(ISERROR(INT(metadata!P114)),FALSE,INT(metadata!P114)=metadata!P114)),metadata!P114&gt;0))</f>
        <v>0</v>
      </c>
      <c r="AQ114">
        <f>IF(metadata!Q114="",FALSE,TRUE)</f>
        <v>0</v>
      </c>
    </row>
    <row r="115" spans="1:43">
      <c r="A115" s="5">
        <f>IF(B115=" "," ",HYPERLINK(CONCATENATE("#metadata!",ADDRESS(INDEX($W$2:$W$1001,MATCH(ROWS($U$2:U115),$U$2:$U$1001,0),0),1)),INDEX($Z$2:$Z$1001,MATCH(ROWS($U$2:U115),$U$2:$U$1001,0),0)))</f>
        <v>0</v>
      </c>
      <c r="B115" s="4">
        <f>IF(OR(INDEX($V$2:$V$1001,MATCH(ROWS($U$2:U115),$U$2:$U$1001,0),1)&gt;=100000,INDEX($AB$1005:$AQ$1005,1,MATCH(COLUMNS($AB$1006:AB1006),$AB$1006:$AQ$1006,0))&gt;=100000), " ",IF(INDEX($AB$2:$AQ$1001,MATCH(ROWS($U$2:U115),$U$2:$U$1001,0),MATCH(COLUMNS($AB$1006:AB1006),$AB$1006:$AQ$1006,0)), HYPERLINK("#",""), HYPERLINK(CONCATENATE("#metadata!", ADDRESS(INDEX($W$2:$W$1001,MATCH(ROWS($U$2:U115),$U$2:$U$1001,0),0), INDEX($AB$1004:$AQ$1004,1,MATCH(COLUMNS($AB$1006:AB1006),$AB$1006:$AQ$1006,0)))),"Fix")))</f>
        <v>0</v>
      </c>
      <c r="C115" s="4">
        <f>IF(OR(INDEX($V$2:$V$1001,MATCH(ROWS($U$2:U115),$U$2:$U$1001,0),1)&gt;=100000,INDEX($AB$1005:$AQ$1005,1,MATCH(COLUMNS($AB$1006:AC1006),$AB$1006:$AQ$1006,0))&gt;=100000), " ",IF(INDEX($AB$2:$AQ$1001,MATCH(ROWS($U$2:U115),$U$2:$U$1001,0),MATCH(COLUMNS($AB$1006:AC1006),$AB$1006:$AQ$1006,0)), HYPERLINK("#",""), HYPERLINK(CONCATENATE("#metadata!", ADDRESS(INDEX($W$2:$W$1001,MATCH(ROWS($U$2:U115),$U$2:$U$1001,0),0), INDEX($AB$1004:$AQ$1004,1,MATCH(COLUMNS($AB$1006:AC1006),$AB$1006:$AQ$1006,0)))),"Fix")))</f>
        <v>0</v>
      </c>
      <c r="D115" s="4">
        <f>IF(OR(INDEX($V$2:$V$1001,MATCH(ROWS($U$2:U115),$U$2:$U$1001,0),1)&gt;=100000,INDEX($AB$1005:$AQ$1005,1,MATCH(COLUMNS($AB$1006:AD1006),$AB$1006:$AQ$1006,0))&gt;=100000), " ",IF(INDEX($AB$2:$AQ$1001,MATCH(ROWS($U$2:U115),$U$2:$U$1001,0),MATCH(COLUMNS($AB$1006:AD1006),$AB$1006:$AQ$1006,0)), HYPERLINK("#",""), HYPERLINK(CONCATENATE("#metadata!", ADDRESS(INDEX($W$2:$W$1001,MATCH(ROWS($U$2:U115),$U$2:$U$1001,0),0), INDEX($AB$1004:$AQ$1004,1,MATCH(COLUMNS($AB$1006:AD1006),$AB$1006:$AQ$1006,0)))),"Fix")))</f>
        <v>0</v>
      </c>
      <c r="E115" s="4">
        <f>IF(OR(INDEX($V$2:$V$1001,MATCH(ROWS($U$2:U115),$U$2:$U$1001,0),1)&gt;=100000,INDEX($AB$1005:$AQ$1005,1,MATCH(COLUMNS($AB$1006:AE1006),$AB$1006:$AQ$1006,0))&gt;=100000), " ",IF(INDEX($AB$2:$AQ$1001,MATCH(ROWS($U$2:U115),$U$2:$U$1001,0),MATCH(COLUMNS($AB$1006:AE1006),$AB$1006:$AQ$1006,0)), HYPERLINK("#",""), HYPERLINK(CONCATENATE("#metadata!", ADDRESS(INDEX($W$2:$W$1001,MATCH(ROWS($U$2:U115),$U$2:$U$1001,0),0), INDEX($AB$1004:$AQ$1004,1,MATCH(COLUMNS($AB$1006:AE1006),$AB$1006:$AQ$1006,0)))),"Fix")))</f>
        <v>0</v>
      </c>
      <c r="F115" s="4">
        <f>IF(OR(INDEX($V$2:$V$1001,MATCH(ROWS($U$2:U115),$U$2:$U$1001,0),1)&gt;=100000,INDEX($AB$1005:$AQ$1005,1,MATCH(COLUMNS($AB$1006:AF1006),$AB$1006:$AQ$1006,0))&gt;=100000), " ",IF(INDEX($AB$2:$AQ$1001,MATCH(ROWS($U$2:U115),$U$2:$U$1001,0),MATCH(COLUMNS($AB$1006:AF1006),$AB$1006:$AQ$1006,0)), HYPERLINK("#",""), HYPERLINK(CONCATENATE("#metadata!", ADDRESS(INDEX($W$2:$W$1001,MATCH(ROWS($U$2:U115),$U$2:$U$1001,0),0), INDEX($AB$1004:$AQ$1004,1,MATCH(COLUMNS($AB$1006:AF1006),$AB$1006:$AQ$1006,0)))),"Fix")))</f>
        <v>0</v>
      </c>
      <c r="G115" s="4">
        <f>IF(OR(INDEX($V$2:$V$1001,MATCH(ROWS($U$2:U115),$U$2:$U$1001,0),1)&gt;=100000,INDEX($AB$1005:$AQ$1005,1,MATCH(COLUMNS($AB$1006:AG1006),$AB$1006:$AQ$1006,0))&gt;=100000), " ",IF(INDEX($AB$2:$AQ$1001,MATCH(ROWS($U$2:U115),$U$2:$U$1001,0),MATCH(COLUMNS($AB$1006:AG1006),$AB$1006:$AQ$1006,0)), HYPERLINK("#",""), HYPERLINK(CONCATENATE("#metadata!", ADDRESS(INDEX($W$2:$W$1001,MATCH(ROWS($U$2:U115),$U$2:$U$1001,0),0), INDEX($AB$1004:$AQ$1004,1,MATCH(COLUMNS($AB$1006:AG1006),$AB$1006:$AQ$1006,0)))),"Fix")))</f>
        <v>0</v>
      </c>
      <c r="H115" s="4">
        <f>IF(OR(INDEX($V$2:$V$1001,MATCH(ROWS($U$2:U115),$U$2:$U$1001,0),1)&gt;=100000,INDEX($AB$1005:$AQ$1005,1,MATCH(COLUMNS($AB$1006:AH1006),$AB$1006:$AQ$1006,0))&gt;=100000), " ",IF(INDEX($AB$2:$AQ$1001,MATCH(ROWS($U$2:U115),$U$2:$U$1001,0),MATCH(COLUMNS($AB$1006:AH1006),$AB$1006:$AQ$1006,0)), HYPERLINK("#",""), HYPERLINK(CONCATENATE("#metadata!", ADDRESS(INDEX($W$2:$W$1001,MATCH(ROWS($U$2:U115),$U$2:$U$1001,0),0), INDEX($AB$1004:$AQ$1004,1,MATCH(COLUMNS($AB$1006:AH1006),$AB$1006:$AQ$1006,0)))),"Fix")))</f>
        <v>0</v>
      </c>
      <c r="I115" s="4">
        <f>IF(OR(INDEX($V$2:$V$1001,MATCH(ROWS($U$2:U115),$U$2:$U$1001,0),1)&gt;=100000,INDEX($AB$1005:$AQ$1005,1,MATCH(COLUMNS($AB$1006:AI1006),$AB$1006:$AQ$1006,0))&gt;=100000), " ",IF(INDEX($AB$2:$AQ$1001,MATCH(ROWS($U$2:U115),$U$2:$U$1001,0),MATCH(COLUMNS($AB$1006:AI1006),$AB$1006:$AQ$1006,0)), HYPERLINK("#",""), HYPERLINK(CONCATENATE("#metadata!", ADDRESS(INDEX($W$2:$W$1001,MATCH(ROWS($U$2:U115),$U$2:$U$1001,0),0), INDEX($AB$1004:$AQ$1004,1,MATCH(COLUMNS($AB$1006:AI1006),$AB$1006:$AQ$1006,0)))),"Fix")))</f>
        <v>0</v>
      </c>
      <c r="J115" s="4">
        <f>IF(OR(INDEX($V$2:$V$1001,MATCH(ROWS($U$2:U115),$U$2:$U$1001,0),1)&gt;=100000,INDEX($AB$1005:$AQ$1005,1,MATCH(COLUMNS($AB$1006:AJ1006),$AB$1006:$AQ$1006,0))&gt;=100000), " ",IF(INDEX($AB$2:$AQ$1001,MATCH(ROWS($U$2:U115),$U$2:$U$1001,0),MATCH(COLUMNS($AB$1006:AJ1006),$AB$1006:$AQ$1006,0)), HYPERLINK("#",""), HYPERLINK(CONCATENATE("#metadata!", ADDRESS(INDEX($W$2:$W$1001,MATCH(ROWS($U$2:U115),$U$2:$U$1001,0),0), INDEX($AB$1004:$AQ$1004,1,MATCH(COLUMNS($AB$1006:AJ1006),$AB$1006:$AQ$1006,0)))),"Fix")))</f>
        <v>0</v>
      </c>
      <c r="K115" s="4">
        <f>IF(OR(INDEX($V$2:$V$1001,MATCH(ROWS($U$2:U115),$U$2:$U$1001,0),1)&gt;=100000,INDEX($AB$1005:$AQ$1005,1,MATCH(COLUMNS($AB$1006:AK1006),$AB$1006:$AQ$1006,0))&gt;=100000), " ",IF(INDEX($AB$2:$AQ$1001,MATCH(ROWS($U$2:U115),$U$2:$U$1001,0),MATCH(COLUMNS($AB$1006:AK1006),$AB$1006:$AQ$1006,0)), HYPERLINK("#",""), HYPERLINK(CONCATENATE("#metadata!", ADDRESS(INDEX($W$2:$W$1001,MATCH(ROWS($U$2:U115),$U$2:$U$1001,0),0), INDEX($AB$1004:$AQ$1004,1,MATCH(COLUMNS($AB$1006:AK1006),$AB$1006:$AQ$1006,0)))),"Fix")))</f>
        <v>0</v>
      </c>
      <c r="L115" s="4">
        <f>IF(OR(INDEX($V$2:$V$1001,MATCH(ROWS($U$2:U115),$U$2:$U$1001,0),1)&gt;=100000,INDEX($AB$1005:$AQ$1005,1,MATCH(COLUMNS($AB$1006:AL1006),$AB$1006:$AQ$1006,0))&gt;=100000), " ",IF(INDEX($AB$2:$AQ$1001,MATCH(ROWS($U$2:U115),$U$2:$U$1001,0),MATCH(COLUMNS($AB$1006:AL1006),$AB$1006:$AQ$1006,0)), HYPERLINK("#",""), HYPERLINK(CONCATENATE("#metadata!", ADDRESS(INDEX($W$2:$W$1001,MATCH(ROWS($U$2:U115),$U$2:$U$1001,0),0), INDEX($AB$1004:$AQ$1004,1,MATCH(COLUMNS($AB$1006:AL1006),$AB$1006:$AQ$1006,0)))),"Fix")))</f>
        <v>0</v>
      </c>
      <c r="M115" s="4">
        <f>IF(OR(INDEX($V$2:$V$1001,MATCH(ROWS($U$2:U115),$U$2:$U$1001,0),1)&gt;=100000,INDEX($AB$1005:$AQ$1005,1,MATCH(COLUMNS($AB$1006:AM1006),$AB$1006:$AQ$1006,0))&gt;=100000), " ",IF(INDEX($AB$2:$AQ$1001,MATCH(ROWS($U$2:U115),$U$2:$U$1001,0),MATCH(COLUMNS($AB$1006:AM1006),$AB$1006:$AQ$1006,0)), HYPERLINK("#",""), HYPERLINK(CONCATENATE("#metadata!", ADDRESS(INDEX($W$2:$W$1001,MATCH(ROWS($U$2:U115),$U$2:$U$1001,0),0), INDEX($AB$1004:$AQ$1004,1,MATCH(COLUMNS($AB$1006:AM1006),$AB$1006:$AQ$1006,0)))),"Fix")))</f>
        <v>0</v>
      </c>
      <c r="N115" s="4">
        <f>IF(OR(INDEX($V$2:$V$1001,MATCH(ROWS($U$2:U115),$U$2:$U$1001,0),1)&gt;=100000,INDEX($AB$1005:$AQ$1005,1,MATCH(COLUMNS($AB$1006:AN1006),$AB$1006:$AQ$1006,0))&gt;=100000), " ",IF(INDEX($AB$2:$AQ$1001,MATCH(ROWS($U$2:U115),$U$2:$U$1001,0),MATCH(COLUMNS($AB$1006:AN1006),$AB$1006:$AQ$1006,0)), HYPERLINK("#",""), HYPERLINK(CONCATENATE("#metadata!", ADDRESS(INDEX($W$2:$W$1001,MATCH(ROWS($U$2:U115),$U$2:$U$1001,0),0), INDEX($AB$1004:$AQ$1004,1,MATCH(COLUMNS($AB$1006:AN1006),$AB$1006:$AQ$1006,0)))),"Fix")))</f>
        <v>0</v>
      </c>
      <c r="O115" s="4">
        <f>IF(OR(INDEX($V$2:$V$1001,MATCH(ROWS($U$2:U115),$U$2:$U$1001,0),1)&gt;=100000,INDEX($AB$1005:$AQ$1005,1,MATCH(COLUMNS($AB$1006:AO1006),$AB$1006:$AQ$1006,0))&gt;=100000), " ",IF(INDEX($AB$2:$AQ$1001,MATCH(ROWS($U$2:U115),$U$2:$U$1001,0),MATCH(COLUMNS($AB$1006:AO1006),$AB$1006:$AQ$1006,0)), HYPERLINK("#",""), HYPERLINK(CONCATENATE("#metadata!", ADDRESS(INDEX($W$2:$W$1001,MATCH(ROWS($U$2:U115),$U$2:$U$1001,0),0), INDEX($AB$1004:$AQ$1004,1,MATCH(COLUMNS($AB$1006:AO1006),$AB$1006:$AQ$1006,0)))),"Fix")))</f>
        <v>0</v>
      </c>
      <c r="P115" s="4">
        <f>IF(OR(INDEX($V$2:$V$1001,MATCH(ROWS($U$2:U115),$U$2:$U$1001,0),1)&gt;=100000,INDEX($AB$1005:$AQ$1005,1,MATCH(COLUMNS($AB$1006:AP1006),$AB$1006:$AQ$1006,0))&gt;=100000), " ",IF(INDEX($AB$2:$AQ$1001,MATCH(ROWS($U$2:U115),$U$2:$U$1001,0),MATCH(COLUMNS($AB$1006:AP1006),$AB$1006:$AQ$1006,0)), HYPERLINK("#",""), HYPERLINK(CONCATENATE("#metadata!", ADDRESS(INDEX($W$2:$W$1001,MATCH(ROWS($U$2:U115),$U$2:$U$1001,0),0), INDEX($AB$1004:$AQ$1004,1,MATCH(COLUMNS($AB$1006:AP1006),$AB$1006:$AQ$1006,0)))),"Fix")))</f>
        <v>0</v>
      </c>
      <c r="Q115" s="4">
        <f>IF(OR(INDEX($V$2:$V$1001,MATCH(ROWS($U$2:U115),$U$2:$U$1001,0),1)&gt;=100000,INDEX($AB$1005:$AQ$1005,1,MATCH(COLUMNS($AB$1006:AQ1006),$AB$1006:$AQ$1006,0))&gt;=100000), " ",IF(INDEX($AB$2:$AQ$1001,MATCH(ROWS($U$2:U115),$U$2:$U$1001,0),MATCH(COLUMNS($AB$1006:AQ1006),$AB$1006:$AQ$1006,0)), HYPERLINK("#",""), HYPERLINK(CONCATENATE("#metadata!", ADDRESS(INDEX($W$2:$W$1001,MATCH(ROWS($U$2:U115),$U$2:$U$1001,0),0), INDEX($AB$1004:$AQ$1004,1,MATCH(COLUMNS($AB$1006:AQ1006),$AB$1006:$AQ$1006,0)))),"Fix")))</f>
        <v>0</v>
      </c>
      <c r="U115">
        <v>0</v>
      </c>
      <c r="V115">
        <v>0</v>
      </c>
      <c r="W115">
        <v>0</v>
      </c>
      <c r="X115">
        <f>IF(Y115,TRUE,AND(AB115:AQ115))</f>
        <v>0</v>
      </c>
      <c r="Y115">
        <f>COUNTBLANK(metadata!B115:Q115)=COLUMNS(metadata!B115:Q115)</f>
        <v>0</v>
      </c>
      <c r="Z115">
        <v>0</v>
      </c>
      <c r="AB115">
        <f>AND(IF(metadata!B115="",FALSE,TRUE),COUNTIF(metadata!B:B, metadata!B115) = 1,NOT(ISERROR(SUMPRODUCT(SEARCH(MID(metadata!B115,ROW(INDIRECT("1:"&amp;LEN(metadata!B115))), 1),"0123456789abcdefghijklmnopqrstuvwxyzABCDEFGHIJKLMNOPQRSTUVWXYZ.")))))</f>
        <v>0</v>
      </c>
      <c r="AC115">
        <f>OR(AND(IF(metadata!C115="",FALSE,TRUE),OR(exact(metadata!C115,"missing: not collected"),exact(metadata!C115,"missing: not provided"),exact(metadata!C115,"missing: restricted access"))),AND(IF(metadata!C115="",FALSE,TRUE),AND(AND(IFERROR(INT(LEFT(metadata!C115,4))&gt;1900,FALSE),IFERROR(INT(LEFT(metadata!C115,4))&lt;=YEAR(NOW()),FALSE)), OR(MID(metadata!C115,5,1)="", AND(AND(MID(metadata!C115,5,1)="-",IFERROR(INT(MID(metadata!C115,6,1))&gt;=0,FALSE),IFERROR(INT(MID(metadata!C115,6,1))&lt;=1,FALSE),NOT(MID(metadata!C115,7,1)=""),IFERROR(INT(MID(metadata!C115,6,2))&gt;=1,FALSE),IFERROR(INT(MID(metadata!C115,6,2))&lt;=12,FALSE)), OR(MID(metadata!C115,8,1)="", AND(AND(MID(metadata!C115,8,1)="-",IFERROR(INT(MID(metadata!C115,9,1))&gt;=0,FALSE),IFERROR(INT(MID(metadata!C115,9,1))&lt;=3,FALSE),NOT(MID(metadata!C115,10,1)=""),IFERROR(INT(MID(metadata!C115,9,2))&gt;=1,FALSE),IFERROR(INT(MID(metadata!C115,9,2))&lt;=31,FALSE)), OR(MID(metadata!C115,11,1)="", AND(AND(MID(metadata!C115,11,1)=" ",IFERROR(INT(MID(metadata!C115,12,1))&gt;=0,FALSE),IFERROR(INT(MID(metadata!C115,12,1))&lt;=2,FALSE),NOT(MID(metadata!C115,13,1)=""),IFERROR(INT(MID(metadata!C115,12,2))&gt;=0,FALSE),IFERROR(INT(MID(metadata!C115,12,2))&lt;=23,FALSE)), OR(MID(metadata!C115,14,1)="", AND(AND(MID(metadata!C115,14,1)=":",IFERROR(INT(MID(metadata!C115,15,1))&gt;=0,FALSE),IFERROR(INT(MID(metadata!C115,15,1))&lt;=5,FALSE),NOT(MID(metadata!C115,16,1)=""),IFERROR(INT(MID(metadata!C115,15,2))&gt;=0,FALSE),IFERROR(INT(MID(metadata!C115,15,2))&lt;=59,FALSE)), OR(MID(metadata!C115,17,1)="", AND(AND(MID(metadata!C115,17,1)=":",IFERROR(INT(MID(metadata!C115,18,1))&gt;=0,FALSE),IFERROR(INT(MID(metadata!C115,18,1))&lt;=5,FALSE),NOT(MID(metadata!C115,19,1)=""),IFERROR(INT(MID(metadata!C115,18,2))&gt;=0,FALSE),IFERROR(INT(MID(metadata!C115,18,2))&lt;=59,FALSE)), LEN(metadata!C115)&lt;=19)))))))))))))</f>
        <v>0</v>
      </c>
      <c r="AD115">
        <f>IF(metadata!D115="",FALSE,TRUE)</f>
        <v>0</v>
      </c>
      <c r="AE115">
        <f>OR(AND(IF(metadata!E115="",FALSE,TRUE),OR(exact(metadata!E115,"missing: not collected"),exact(metadata!E115,"missing: not provided"))),AND(IF(metadata!E115="",FALSE,TRUE),OR(exact(metadata!E115,"TRUE"),exact(metadata!E115,"FALSE"))))</f>
        <v>0</v>
      </c>
      <c r="AF115">
        <f>IF(metadata!F115="",FALSE,TRUE)</f>
        <v>0</v>
      </c>
      <c r="AG115">
        <f>IF(metadata!G115="",FALSE,TRUE)</f>
        <v>0</v>
      </c>
      <c r="AH115">
        <f>IF(metadata!H115="",FALSE,TRUE)</f>
        <v>0</v>
      </c>
      <c r="AI115">
        <f>OR(AND(IF(metadata!I115="",FALSE,TRUE),OR(exact(metadata!I115,"missing: not collected"),exact(metadata!I115,"missing: not provided"),exact(metadata!I115,"missing: restricted access"))),AND(IF(metadata!I115="",FALSE,TRUE),OR(exact(metadata!I115,"air"),exact(metadata!I115,"built environment"),exact(metadata!I115,"host-associated"),exact(metadata!I115,"human-associated"),exact(metadata!I115,"human-skin"),exact(metadata!I115,"human-oral"),exact(metadata!I115,"human-gut"),exact(metadata!I115,"human-vaginal"),exact(metadata!I115,"microbial mat/biofilm"),exact(metadata!I115,"misc environment"),exact(metadata!I115,"plant-associated"),exact(metadata!I115,"sediment"),exact(metadata!I115,"soil"),exact(metadata!I115,"wastewater/sludge"),exact(metadata!I115,"water"))))</f>
        <v>0</v>
      </c>
      <c r="AJ115">
        <f>IF(metadata!J115="",FALSE,TRUE)</f>
        <v>0</v>
      </c>
      <c r="AK115">
        <f>OR(AND(IF(metadata!K115="",FALSE,TRUE),OR(exact(metadata!K115,"missing: not collected"),exact(metadata!K115,"missing: not provided"),exact(metadata!K115,"missing: restricted access"))),AND(IF(metadata!K115="",FALSE,ISNUMBER(VALUE(metadata!K115))),metadata!K115&gt;=-90.00,metadata!K115&lt;=90.00))</f>
        <v>0</v>
      </c>
      <c r="AL115">
        <f>OR(AND(IF(metadata!L115="",FALSE,TRUE),OR(exact(metadata!L115,"missing: not collected"),exact(metadata!L115,"missing: not provided"),exact(metadata!L115,"missing: restricted access"))),AND(IF(metadata!L115="",FALSE,ISNUMBER(VALUE(metadata!L115))),metadata!L115&gt;=-180.00,metadata!L115&lt;=180.00))</f>
        <v>0</v>
      </c>
      <c r="AM115">
        <f>IF(metadata!M115="",FALSE,TRUE)</f>
        <v>0</v>
      </c>
      <c r="AN115">
        <f>OR(AND(IF(metadata!N115="",FALSE,TRUE),OR(exact(metadata!N115,"missing: not collected"),exact(metadata!N115,"missing: not provided"),exact(metadata!N115,"missing: restricted access"))),AND(IF(metadata!N115="",FALSE,TRUE),OR(exact(metadata!N115,"TRUE"),exact(metadata!N115,"FALSE"))))</f>
        <v>0</v>
      </c>
      <c r="AO115">
        <f>IF(metadata!O115="",FALSE,TRUE)</f>
        <v>0</v>
      </c>
      <c r="AP115">
        <f>OR(AND(IF(metadata!P115="",FALSE,TRUE),OR(exact(metadata!P115,"missing: not collected"),exact(metadata!P115,"missing: not provided"))),AND(IF(metadata!P115="",FALSE,IF(ISERROR(INT(metadata!P115)),FALSE,INT(metadata!P115)=metadata!P115)),metadata!P115&gt;0))</f>
        <v>0</v>
      </c>
      <c r="AQ115">
        <f>IF(metadata!Q115="",FALSE,TRUE)</f>
        <v>0</v>
      </c>
    </row>
    <row r="116" spans="1:43">
      <c r="A116" s="5">
        <f>IF(B116=" "," ",HYPERLINK(CONCATENATE("#metadata!",ADDRESS(INDEX($W$2:$W$1001,MATCH(ROWS($U$2:U116),$U$2:$U$1001,0),0),1)),INDEX($Z$2:$Z$1001,MATCH(ROWS($U$2:U116),$U$2:$U$1001,0),0)))</f>
        <v>0</v>
      </c>
      <c r="B116" s="4">
        <f>IF(OR(INDEX($V$2:$V$1001,MATCH(ROWS($U$2:U116),$U$2:$U$1001,0),1)&gt;=100000,INDEX($AB$1005:$AQ$1005,1,MATCH(COLUMNS($AB$1006:AB1006),$AB$1006:$AQ$1006,0))&gt;=100000), " ",IF(INDEX($AB$2:$AQ$1001,MATCH(ROWS($U$2:U116),$U$2:$U$1001,0),MATCH(COLUMNS($AB$1006:AB1006),$AB$1006:$AQ$1006,0)), HYPERLINK("#",""), HYPERLINK(CONCATENATE("#metadata!", ADDRESS(INDEX($W$2:$W$1001,MATCH(ROWS($U$2:U116),$U$2:$U$1001,0),0), INDEX($AB$1004:$AQ$1004,1,MATCH(COLUMNS($AB$1006:AB1006),$AB$1006:$AQ$1006,0)))),"Fix")))</f>
        <v>0</v>
      </c>
      <c r="C116" s="4">
        <f>IF(OR(INDEX($V$2:$V$1001,MATCH(ROWS($U$2:U116),$U$2:$U$1001,0),1)&gt;=100000,INDEX($AB$1005:$AQ$1005,1,MATCH(COLUMNS($AB$1006:AC1006),$AB$1006:$AQ$1006,0))&gt;=100000), " ",IF(INDEX($AB$2:$AQ$1001,MATCH(ROWS($U$2:U116),$U$2:$U$1001,0),MATCH(COLUMNS($AB$1006:AC1006),$AB$1006:$AQ$1006,0)), HYPERLINK("#",""), HYPERLINK(CONCATENATE("#metadata!", ADDRESS(INDEX($W$2:$W$1001,MATCH(ROWS($U$2:U116),$U$2:$U$1001,0),0), INDEX($AB$1004:$AQ$1004,1,MATCH(COLUMNS($AB$1006:AC1006),$AB$1006:$AQ$1006,0)))),"Fix")))</f>
        <v>0</v>
      </c>
      <c r="D116" s="4">
        <f>IF(OR(INDEX($V$2:$V$1001,MATCH(ROWS($U$2:U116),$U$2:$U$1001,0),1)&gt;=100000,INDEX($AB$1005:$AQ$1005,1,MATCH(COLUMNS($AB$1006:AD1006),$AB$1006:$AQ$1006,0))&gt;=100000), " ",IF(INDEX($AB$2:$AQ$1001,MATCH(ROWS($U$2:U116),$U$2:$U$1001,0),MATCH(COLUMNS($AB$1006:AD1006),$AB$1006:$AQ$1006,0)), HYPERLINK("#",""), HYPERLINK(CONCATENATE("#metadata!", ADDRESS(INDEX($W$2:$W$1001,MATCH(ROWS($U$2:U116),$U$2:$U$1001,0),0), INDEX($AB$1004:$AQ$1004,1,MATCH(COLUMNS($AB$1006:AD1006),$AB$1006:$AQ$1006,0)))),"Fix")))</f>
        <v>0</v>
      </c>
      <c r="E116" s="4">
        <f>IF(OR(INDEX($V$2:$V$1001,MATCH(ROWS($U$2:U116),$U$2:$U$1001,0),1)&gt;=100000,INDEX($AB$1005:$AQ$1005,1,MATCH(COLUMNS($AB$1006:AE1006),$AB$1006:$AQ$1006,0))&gt;=100000), " ",IF(INDEX($AB$2:$AQ$1001,MATCH(ROWS($U$2:U116),$U$2:$U$1001,0),MATCH(COLUMNS($AB$1006:AE1006),$AB$1006:$AQ$1006,0)), HYPERLINK("#",""), HYPERLINK(CONCATENATE("#metadata!", ADDRESS(INDEX($W$2:$W$1001,MATCH(ROWS($U$2:U116),$U$2:$U$1001,0),0), INDEX($AB$1004:$AQ$1004,1,MATCH(COLUMNS($AB$1006:AE1006),$AB$1006:$AQ$1006,0)))),"Fix")))</f>
        <v>0</v>
      </c>
      <c r="F116" s="4">
        <f>IF(OR(INDEX($V$2:$V$1001,MATCH(ROWS($U$2:U116),$U$2:$U$1001,0),1)&gt;=100000,INDEX($AB$1005:$AQ$1005,1,MATCH(COLUMNS($AB$1006:AF1006),$AB$1006:$AQ$1006,0))&gt;=100000), " ",IF(INDEX($AB$2:$AQ$1001,MATCH(ROWS($U$2:U116),$U$2:$U$1001,0),MATCH(COLUMNS($AB$1006:AF1006),$AB$1006:$AQ$1006,0)), HYPERLINK("#",""), HYPERLINK(CONCATENATE("#metadata!", ADDRESS(INDEX($W$2:$W$1001,MATCH(ROWS($U$2:U116),$U$2:$U$1001,0),0), INDEX($AB$1004:$AQ$1004,1,MATCH(COLUMNS($AB$1006:AF1006),$AB$1006:$AQ$1006,0)))),"Fix")))</f>
        <v>0</v>
      </c>
      <c r="G116" s="4">
        <f>IF(OR(INDEX($V$2:$V$1001,MATCH(ROWS($U$2:U116),$U$2:$U$1001,0),1)&gt;=100000,INDEX($AB$1005:$AQ$1005,1,MATCH(COLUMNS($AB$1006:AG1006),$AB$1006:$AQ$1006,0))&gt;=100000), " ",IF(INDEX($AB$2:$AQ$1001,MATCH(ROWS($U$2:U116),$U$2:$U$1001,0),MATCH(COLUMNS($AB$1006:AG1006),$AB$1006:$AQ$1006,0)), HYPERLINK("#",""), HYPERLINK(CONCATENATE("#metadata!", ADDRESS(INDEX($W$2:$W$1001,MATCH(ROWS($U$2:U116),$U$2:$U$1001,0),0), INDEX($AB$1004:$AQ$1004,1,MATCH(COLUMNS($AB$1006:AG1006),$AB$1006:$AQ$1006,0)))),"Fix")))</f>
        <v>0</v>
      </c>
      <c r="H116" s="4">
        <f>IF(OR(INDEX($V$2:$V$1001,MATCH(ROWS($U$2:U116),$U$2:$U$1001,0),1)&gt;=100000,INDEX($AB$1005:$AQ$1005,1,MATCH(COLUMNS($AB$1006:AH1006),$AB$1006:$AQ$1006,0))&gt;=100000), " ",IF(INDEX($AB$2:$AQ$1001,MATCH(ROWS($U$2:U116),$U$2:$U$1001,0),MATCH(COLUMNS($AB$1006:AH1006),$AB$1006:$AQ$1006,0)), HYPERLINK("#",""), HYPERLINK(CONCATENATE("#metadata!", ADDRESS(INDEX($W$2:$W$1001,MATCH(ROWS($U$2:U116),$U$2:$U$1001,0),0), INDEX($AB$1004:$AQ$1004,1,MATCH(COLUMNS($AB$1006:AH1006),$AB$1006:$AQ$1006,0)))),"Fix")))</f>
        <v>0</v>
      </c>
      <c r="I116" s="4">
        <f>IF(OR(INDEX($V$2:$V$1001,MATCH(ROWS($U$2:U116),$U$2:$U$1001,0),1)&gt;=100000,INDEX($AB$1005:$AQ$1005,1,MATCH(COLUMNS($AB$1006:AI1006),$AB$1006:$AQ$1006,0))&gt;=100000), " ",IF(INDEX($AB$2:$AQ$1001,MATCH(ROWS($U$2:U116),$U$2:$U$1001,0),MATCH(COLUMNS($AB$1006:AI1006),$AB$1006:$AQ$1006,0)), HYPERLINK("#",""), HYPERLINK(CONCATENATE("#metadata!", ADDRESS(INDEX($W$2:$W$1001,MATCH(ROWS($U$2:U116),$U$2:$U$1001,0),0), INDEX($AB$1004:$AQ$1004,1,MATCH(COLUMNS($AB$1006:AI1006),$AB$1006:$AQ$1006,0)))),"Fix")))</f>
        <v>0</v>
      </c>
      <c r="J116" s="4">
        <f>IF(OR(INDEX($V$2:$V$1001,MATCH(ROWS($U$2:U116),$U$2:$U$1001,0),1)&gt;=100000,INDEX($AB$1005:$AQ$1005,1,MATCH(COLUMNS($AB$1006:AJ1006),$AB$1006:$AQ$1006,0))&gt;=100000), " ",IF(INDEX($AB$2:$AQ$1001,MATCH(ROWS($U$2:U116),$U$2:$U$1001,0),MATCH(COLUMNS($AB$1006:AJ1006),$AB$1006:$AQ$1006,0)), HYPERLINK("#",""), HYPERLINK(CONCATENATE("#metadata!", ADDRESS(INDEX($W$2:$W$1001,MATCH(ROWS($U$2:U116),$U$2:$U$1001,0),0), INDEX($AB$1004:$AQ$1004,1,MATCH(COLUMNS($AB$1006:AJ1006),$AB$1006:$AQ$1006,0)))),"Fix")))</f>
        <v>0</v>
      </c>
      <c r="K116" s="4">
        <f>IF(OR(INDEX($V$2:$V$1001,MATCH(ROWS($U$2:U116),$U$2:$U$1001,0),1)&gt;=100000,INDEX($AB$1005:$AQ$1005,1,MATCH(COLUMNS($AB$1006:AK1006),$AB$1006:$AQ$1006,0))&gt;=100000), " ",IF(INDEX($AB$2:$AQ$1001,MATCH(ROWS($U$2:U116),$U$2:$U$1001,0),MATCH(COLUMNS($AB$1006:AK1006),$AB$1006:$AQ$1006,0)), HYPERLINK("#",""), HYPERLINK(CONCATENATE("#metadata!", ADDRESS(INDEX($W$2:$W$1001,MATCH(ROWS($U$2:U116),$U$2:$U$1001,0),0), INDEX($AB$1004:$AQ$1004,1,MATCH(COLUMNS($AB$1006:AK1006),$AB$1006:$AQ$1006,0)))),"Fix")))</f>
        <v>0</v>
      </c>
      <c r="L116" s="4">
        <f>IF(OR(INDEX($V$2:$V$1001,MATCH(ROWS($U$2:U116),$U$2:$U$1001,0),1)&gt;=100000,INDEX($AB$1005:$AQ$1005,1,MATCH(COLUMNS($AB$1006:AL1006),$AB$1006:$AQ$1006,0))&gt;=100000), " ",IF(INDEX($AB$2:$AQ$1001,MATCH(ROWS($U$2:U116),$U$2:$U$1001,0),MATCH(COLUMNS($AB$1006:AL1006),$AB$1006:$AQ$1006,0)), HYPERLINK("#",""), HYPERLINK(CONCATENATE("#metadata!", ADDRESS(INDEX($W$2:$W$1001,MATCH(ROWS($U$2:U116),$U$2:$U$1001,0),0), INDEX($AB$1004:$AQ$1004,1,MATCH(COLUMNS($AB$1006:AL1006),$AB$1006:$AQ$1006,0)))),"Fix")))</f>
        <v>0</v>
      </c>
      <c r="M116" s="4">
        <f>IF(OR(INDEX($V$2:$V$1001,MATCH(ROWS($U$2:U116),$U$2:$U$1001,0),1)&gt;=100000,INDEX($AB$1005:$AQ$1005,1,MATCH(COLUMNS($AB$1006:AM1006),$AB$1006:$AQ$1006,0))&gt;=100000), " ",IF(INDEX($AB$2:$AQ$1001,MATCH(ROWS($U$2:U116),$U$2:$U$1001,0),MATCH(COLUMNS($AB$1006:AM1006),$AB$1006:$AQ$1006,0)), HYPERLINK("#",""), HYPERLINK(CONCATENATE("#metadata!", ADDRESS(INDEX($W$2:$W$1001,MATCH(ROWS($U$2:U116),$U$2:$U$1001,0),0), INDEX($AB$1004:$AQ$1004,1,MATCH(COLUMNS($AB$1006:AM1006),$AB$1006:$AQ$1006,0)))),"Fix")))</f>
        <v>0</v>
      </c>
      <c r="N116" s="4">
        <f>IF(OR(INDEX($V$2:$V$1001,MATCH(ROWS($U$2:U116),$U$2:$U$1001,0),1)&gt;=100000,INDEX($AB$1005:$AQ$1005,1,MATCH(COLUMNS($AB$1006:AN1006),$AB$1006:$AQ$1006,0))&gt;=100000), " ",IF(INDEX($AB$2:$AQ$1001,MATCH(ROWS($U$2:U116),$U$2:$U$1001,0),MATCH(COLUMNS($AB$1006:AN1006),$AB$1006:$AQ$1006,0)), HYPERLINK("#",""), HYPERLINK(CONCATENATE("#metadata!", ADDRESS(INDEX($W$2:$W$1001,MATCH(ROWS($U$2:U116),$U$2:$U$1001,0),0), INDEX($AB$1004:$AQ$1004,1,MATCH(COLUMNS($AB$1006:AN1006),$AB$1006:$AQ$1006,0)))),"Fix")))</f>
        <v>0</v>
      </c>
      <c r="O116" s="4">
        <f>IF(OR(INDEX($V$2:$V$1001,MATCH(ROWS($U$2:U116),$U$2:$U$1001,0),1)&gt;=100000,INDEX($AB$1005:$AQ$1005,1,MATCH(COLUMNS($AB$1006:AO1006),$AB$1006:$AQ$1006,0))&gt;=100000), " ",IF(INDEX($AB$2:$AQ$1001,MATCH(ROWS($U$2:U116),$U$2:$U$1001,0),MATCH(COLUMNS($AB$1006:AO1006),$AB$1006:$AQ$1006,0)), HYPERLINK("#",""), HYPERLINK(CONCATENATE("#metadata!", ADDRESS(INDEX($W$2:$W$1001,MATCH(ROWS($U$2:U116),$U$2:$U$1001,0),0), INDEX($AB$1004:$AQ$1004,1,MATCH(COLUMNS($AB$1006:AO1006),$AB$1006:$AQ$1006,0)))),"Fix")))</f>
        <v>0</v>
      </c>
      <c r="P116" s="4">
        <f>IF(OR(INDEX($V$2:$V$1001,MATCH(ROWS($U$2:U116),$U$2:$U$1001,0),1)&gt;=100000,INDEX($AB$1005:$AQ$1005,1,MATCH(COLUMNS($AB$1006:AP1006),$AB$1006:$AQ$1006,0))&gt;=100000), " ",IF(INDEX($AB$2:$AQ$1001,MATCH(ROWS($U$2:U116),$U$2:$U$1001,0),MATCH(COLUMNS($AB$1006:AP1006),$AB$1006:$AQ$1006,0)), HYPERLINK("#",""), HYPERLINK(CONCATENATE("#metadata!", ADDRESS(INDEX($W$2:$W$1001,MATCH(ROWS($U$2:U116),$U$2:$U$1001,0),0), INDEX($AB$1004:$AQ$1004,1,MATCH(COLUMNS($AB$1006:AP1006),$AB$1006:$AQ$1006,0)))),"Fix")))</f>
        <v>0</v>
      </c>
      <c r="Q116" s="4">
        <f>IF(OR(INDEX($V$2:$V$1001,MATCH(ROWS($U$2:U116),$U$2:$U$1001,0),1)&gt;=100000,INDEX($AB$1005:$AQ$1005,1,MATCH(COLUMNS($AB$1006:AQ1006),$AB$1006:$AQ$1006,0))&gt;=100000), " ",IF(INDEX($AB$2:$AQ$1001,MATCH(ROWS($U$2:U116),$U$2:$U$1001,0),MATCH(COLUMNS($AB$1006:AQ1006),$AB$1006:$AQ$1006,0)), HYPERLINK("#",""), HYPERLINK(CONCATENATE("#metadata!", ADDRESS(INDEX($W$2:$W$1001,MATCH(ROWS($U$2:U116),$U$2:$U$1001,0),0), INDEX($AB$1004:$AQ$1004,1,MATCH(COLUMNS($AB$1006:AQ1006),$AB$1006:$AQ$1006,0)))),"Fix")))</f>
        <v>0</v>
      </c>
      <c r="U116">
        <v>0</v>
      </c>
      <c r="V116">
        <v>0</v>
      </c>
      <c r="W116">
        <v>0</v>
      </c>
      <c r="X116">
        <f>IF(Y116,TRUE,AND(AB116:AQ116))</f>
        <v>0</v>
      </c>
      <c r="Y116">
        <f>COUNTBLANK(metadata!B116:Q116)=COLUMNS(metadata!B116:Q116)</f>
        <v>0</v>
      </c>
      <c r="Z116">
        <v>0</v>
      </c>
      <c r="AB116">
        <f>AND(IF(metadata!B116="",FALSE,TRUE),COUNTIF(metadata!B:B, metadata!B116) = 1,NOT(ISERROR(SUMPRODUCT(SEARCH(MID(metadata!B116,ROW(INDIRECT("1:"&amp;LEN(metadata!B116))), 1),"0123456789abcdefghijklmnopqrstuvwxyzABCDEFGHIJKLMNOPQRSTUVWXYZ.")))))</f>
        <v>0</v>
      </c>
      <c r="AC116">
        <f>OR(AND(IF(metadata!C116="",FALSE,TRUE),OR(exact(metadata!C116,"missing: not collected"),exact(metadata!C116,"missing: not provided"),exact(metadata!C116,"missing: restricted access"))),AND(IF(metadata!C116="",FALSE,TRUE),AND(AND(IFERROR(INT(LEFT(metadata!C116,4))&gt;1900,FALSE),IFERROR(INT(LEFT(metadata!C116,4))&lt;=YEAR(NOW()),FALSE)), OR(MID(metadata!C116,5,1)="", AND(AND(MID(metadata!C116,5,1)="-",IFERROR(INT(MID(metadata!C116,6,1))&gt;=0,FALSE),IFERROR(INT(MID(metadata!C116,6,1))&lt;=1,FALSE),NOT(MID(metadata!C116,7,1)=""),IFERROR(INT(MID(metadata!C116,6,2))&gt;=1,FALSE),IFERROR(INT(MID(metadata!C116,6,2))&lt;=12,FALSE)), OR(MID(metadata!C116,8,1)="", AND(AND(MID(metadata!C116,8,1)="-",IFERROR(INT(MID(metadata!C116,9,1))&gt;=0,FALSE),IFERROR(INT(MID(metadata!C116,9,1))&lt;=3,FALSE),NOT(MID(metadata!C116,10,1)=""),IFERROR(INT(MID(metadata!C116,9,2))&gt;=1,FALSE),IFERROR(INT(MID(metadata!C116,9,2))&lt;=31,FALSE)), OR(MID(metadata!C116,11,1)="", AND(AND(MID(metadata!C116,11,1)=" ",IFERROR(INT(MID(metadata!C116,12,1))&gt;=0,FALSE),IFERROR(INT(MID(metadata!C116,12,1))&lt;=2,FALSE),NOT(MID(metadata!C116,13,1)=""),IFERROR(INT(MID(metadata!C116,12,2))&gt;=0,FALSE),IFERROR(INT(MID(metadata!C116,12,2))&lt;=23,FALSE)), OR(MID(metadata!C116,14,1)="", AND(AND(MID(metadata!C116,14,1)=":",IFERROR(INT(MID(metadata!C116,15,1))&gt;=0,FALSE),IFERROR(INT(MID(metadata!C116,15,1))&lt;=5,FALSE),NOT(MID(metadata!C116,16,1)=""),IFERROR(INT(MID(metadata!C116,15,2))&gt;=0,FALSE),IFERROR(INT(MID(metadata!C116,15,2))&lt;=59,FALSE)), OR(MID(metadata!C116,17,1)="", AND(AND(MID(metadata!C116,17,1)=":",IFERROR(INT(MID(metadata!C116,18,1))&gt;=0,FALSE),IFERROR(INT(MID(metadata!C116,18,1))&lt;=5,FALSE),NOT(MID(metadata!C116,19,1)=""),IFERROR(INT(MID(metadata!C116,18,2))&gt;=0,FALSE),IFERROR(INT(MID(metadata!C116,18,2))&lt;=59,FALSE)), LEN(metadata!C116)&lt;=19)))))))))))))</f>
        <v>0</v>
      </c>
      <c r="AD116">
        <f>IF(metadata!D116="",FALSE,TRUE)</f>
        <v>0</v>
      </c>
      <c r="AE116">
        <f>OR(AND(IF(metadata!E116="",FALSE,TRUE),OR(exact(metadata!E116,"missing: not collected"),exact(metadata!E116,"missing: not provided"))),AND(IF(metadata!E116="",FALSE,TRUE),OR(exact(metadata!E116,"TRUE"),exact(metadata!E116,"FALSE"))))</f>
        <v>0</v>
      </c>
      <c r="AF116">
        <f>IF(metadata!F116="",FALSE,TRUE)</f>
        <v>0</v>
      </c>
      <c r="AG116">
        <f>IF(metadata!G116="",FALSE,TRUE)</f>
        <v>0</v>
      </c>
      <c r="AH116">
        <f>IF(metadata!H116="",FALSE,TRUE)</f>
        <v>0</v>
      </c>
      <c r="AI116">
        <f>OR(AND(IF(metadata!I116="",FALSE,TRUE),OR(exact(metadata!I116,"missing: not collected"),exact(metadata!I116,"missing: not provided"),exact(metadata!I116,"missing: restricted access"))),AND(IF(metadata!I116="",FALSE,TRUE),OR(exact(metadata!I116,"air"),exact(metadata!I116,"built environment"),exact(metadata!I116,"host-associated"),exact(metadata!I116,"human-associated"),exact(metadata!I116,"human-skin"),exact(metadata!I116,"human-oral"),exact(metadata!I116,"human-gut"),exact(metadata!I116,"human-vaginal"),exact(metadata!I116,"microbial mat/biofilm"),exact(metadata!I116,"misc environment"),exact(metadata!I116,"plant-associated"),exact(metadata!I116,"sediment"),exact(metadata!I116,"soil"),exact(metadata!I116,"wastewater/sludge"),exact(metadata!I116,"water"))))</f>
        <v>0</v>
      </c>
      <c r="AJ116">
        <f>IF(metadata!J116="",FALSE,TRUE)</f>
        <v>0</v>
      </c>
      <c r="AK116">
        <f>OR(AND(IF(metadata!K116="",FALSE,TRUE),OR(exact(metadata!K116,"missing: not collected"),exact(metadata!K116,"missing: not provided"),exact(metadata!K116,"missing: restricted access"))),AND(IF(metadata!K116="",FALSE,ISNUMBER(VALUE(metadata!K116))),metadata!K116&gt;=-90.00,metadata!K116&lt;=90.00))</f>
        <v>0</v>
      </c>
      <c r="AL116">
        <f>OR(AND(IF(metadata!L116="",FALSE,TRUE),OR(exact(metadata!L116,"missing: not collected"),exact(metadata!L116,"missing: not provided"),exact(metadata!L116,"missing: restricted access"))),AND(IF(metadata!L116="",FALSE,ISNUMBER(VALUE(metadata!L116))),metadata!L116&gt;=-180.00,metadata!L116&lt;=180.00))</f>
        <v>0</v>
      </c>
      <c r="AM116">
        <f>IF(metadata!M116="",FALSE,TRUE)</f>
        <v>0</v>
      </c>
      <c r="AN116">
        <f>OR(AND(IF(metadata!N116="",FALSE,TRUE),OR(exact(metadata!N116,"missing: not collected"),exact(metadata!N116,"missing: not provided"),exact(metadata!N116,"missing: restricted access"))),AND(IF(metadata!N116="",FALSE,TRUE),OR(exact(metadata!N116,"TRUE"),exact(metadata!N116,"FALSE"))))</f>
        <v>0</v>
      </c>
      <c r="AO116">
        <f>IF(metadata!O116="",FALSE,TRUE)</f>
        <v>0</v>
      </c>
      <c r="AP116">
        <f>OR(AND(IF(metadata!P116="",FALSE,TRUE),OR(exact(metadata!P116,"missing: not collected"),exact(metadata!P116,"missing: not provided"))),AND(IF(metadata!P116="",FALSE,IF(ISERROR(INT(metadata!P116)),FALSE,INT(metadata!P116)=metadata!P116)),metadata!P116&gt;0))</f>
        <v>0</v>
      </c>
      <c r="AQ116">
        <f>IF(metadata!Q116="",FALSE,TRUE)</f>
        <v>0</v>
      </c>
    </row>
    <row r="117" spans="1:43">
      <c r="A117" s="5">
        <f>IF(B117=" "," ",HYPERLINK(CONCATENATE("#metadata!",ADDRESS(INDEX($W$2:$W$1001,MATCH(ROWS($U$2:U117),$U$2:$U$1001,0),0),1)),INDEX($Z$2:$Z$1001,MATCH(ROWS($U$2:U117),$U$2:$U$1001,0),0)))</f>
        <v>0</v>
      </c>
      <c r="B117" s="4">
        <f>IF(OR(INDEX($V$2:$V$1001,MATCH(ROWS($U$2:U117),$U$2:$U$1001,0),1)&gt;=100000,INDEX($AB$1005:$AQ$1005,1,MATCH(COLUMNS($AB$1006:AB1006),$AB$1006:$AQ$1006,0))&gt;=100000), " ",IF(INDEX($AB$2:$AQ$1001,MATCH(ROWS($U$2:U117),$U$2:$U$1001,0),MATCH(COLUMNS($AB$1006:AB1006),$AB$1006:$AQ$1006,0)), HYPERLINK("#",""), HYPERLINK(CONCATENATE("#metadata!", ADDRESS(INDEX($W$2:$W$1001,MATCH(ROWS($U$2:U117),$U$2:$U$1001,0),0), INDEX($AB$1004:$AQ$1004,1,MATCH(COLUMNS($AB$1006:AB1006),$AB$1006:$AQ$1006,0)))),"Fix")))</f>
        <v>0</v>
      </c>
      <c r="C117" s="4">
        <f>IF(OR(INDEX($V$2:$V$1001,MATCH(ROWS($U$2:U117),$U$2:$U$1001,0),1)&gt;=100000,INDEX($AB$1005:$AQ$1005,1,MATCH(COLUMNS($AB$1006:AC1006),$AB$1006:$AQ$1006,0))&gt;=100000), " ",IF(INDEX($AB$2:$AQ$1001,MATCH(ROWS($U$2:U117),$U$2:$U$1001,0),MATCH(COLUMNS($AB$1006:AC1006),$AB$1006:$AQ$1006,0)), HYPERLINK("#",""), HYPERLINK(CONCATENATE("#metadata!", ADDRESS(INDEX($W$2:$W$1001,MATCH(ROWS($U$2:U117),$U$2:$U$1001,0),0), INDEX($AB$1004:$AQ$1004,1,MATCH(COLUMNS($AB$1006:AC1006),$AB$1006:$AQ$1006,0)))),"Fix")))</f>
        <v>0</v>
      </c>
      <c r="D117" s="4">
        <f>IF(OR(INDEX($V$2:$V$1001,MATCH(ROWS($U$2:U117),$U$2:$U$1001,0),1)&gt;=100000,INDEX($AB$1005:$AQ$1005,1,MATCH(COLUMNS($AB$1006:AD1006),$AB$1006:$AQ$1006,0))&gt;=100000), " ",IF(INDEX($AB$2:$AQ$1001,MATCH(ROWS($U$2:U117),$U$2:$U$1001,0),MATCH(COLUMNS($AB$1006:AD1006),$AB$1006:$AQ$1006,0)), HYPERLINK("#",""), HYPERLINK(CONCATENATE("#metadata!", ADDRESS(INDEX($W$2:$W$1001,MATCH(ROWS($U$2:U117),$U$2:$U$1001,0),0), INDEX($AB$1004:$AQ$1004,1,MATCH(COLUMNS($AB$1006:AD1006),$AB$1006:$AQ$1006,0)))),"Fix")))</f>
        <v>0</v>
      </c>
      <c r="E117" s="4">
        <f>IF(OR(INDEX($V$2:$V$1001,MATCH(ROWS($U$2:U117),$U$2:$U$1001,0),1)&gt;=100000,INDEX($AB$1005:$AQ$1005,1,MATCH(COLUMNS($AB$1006:AE1006),$AB$1006:$AQ$1006,0))&gt;=100000), " ",IF(INDEX($AB$2:$AQ$1001,MATCH(ROWS($U$2:U117),$U$2:$U$1001,0),MATCH(COLUMNS($AB$1006:AE1006),$AB$1006:$AQ$1006,0)), HYPERLINK("#",""), HYPERLINK(CONCATENATE("#metadata!", ADDRESS(INDEX($W$2:$W$1001,MATCH(ROWS($U$2:U117),$U$2:$U$1001,0),0), INDEX($AB$1004:$AQ$1004,1,MATCH(COLUMNS($AB$1006:AE1006),$AB$1006:$AQ$1006,0)))),"Fix")))</f>
        <v>0</v>
      </c>
      <c r="F117" s="4">
        <f>IF(OR(INDEX($V$2:$V$1001,MATCH(ROWS($U$2:U117),$U$2:$U$1001,0),1)&gt;=100000,INDEX($AB$1005:$AQ$1005,1,MATCH(COLUMNS($AB$1006:AF1006),$AB$1006:$AQ$1006,0))&gt;=100000), " ",IF(INDEX($AB$2:$AQ$1001,MATCH(ROWS($U$2:U117),$U$2:$U$1001,0),MATCH(COLUMNS($AB$1006:AF1006),$AB$1006:$AQ$1006,0)), HYPERLINK("#",""), HYPERLINK(CONCATENATE("#metadata!", ADDRESS(INDEX($W$2:$W$1001,MATCH(ROWS($U$2:U117),$U$2:$U$1001,0),0), INDEX($AB$1004:$AQ$1004,1,MATCH(COLUMNS($AB$1006:AF1006),$AB$1006:$AQ$1006,0)))),"Fix")))</f>
        <v>0</v>
      </c>
      <c r="G117" s="4">
        <f>IF(OR(INDEX($V$2:$V$1001,MATCH(ROWS($U$2:U117),$U$2:$U$1001,0),1)&gt;=100000,INDEX($AB$1005:$AQ$1005,1,MATCH(COLUMNS($AB$1006:AG1006),$AB$1006:$AQ$1006,0))&gt;=100000), " ",IF(INDEX($AB$2:$AQ$1001,MATCH(ROWS($U$2:U117),$U$2:$U$1001,0),MATCH(COLUMNS($AB$1006:AG1006),$AB$1006:$AQ$1006,0)), HYPERLINK("#",""), HYPERLINK(CONCATENATE("#metadata!", ADDRESS(INDEX($W$2:$W$1001,MATCH(ROWS($U$2:U117),$U$2:$U$1001,0),0), INDEX($AB$1004:$AQ$1004,1,MATCH(COLUMNS($AB$1006:AG1006),$AB$1006:$AQ$1006,0)))),"Fix")))</f>
        <v>0</v>
      </c>
      <c r="H117" s="4">
        <f>IF(OR(INDEX($V$2:$V$1001,MATCH(ROWS($U$2:U117),$U$2:$U$1001,0),1)&gt;=100000,INDEX($AB$1005:$AQ$1005,1,MATCH(COLUMNS($AB$1006:AH1006),$AB$1006:$AQ$1006,0))&gt;=100000), " ",IF(INDEX($AB$2:$AQ$1001,MATCH(ROWS($U$2:U117),$U$2:$U$1001,0),MATCH(COLUMNS($AB$1006:AH1006),$AB$1006:$AQ$1006,0)), HYPERLINK("#",""), HYPERLINK(CONCATENATE("#metadata!", ADDRESS(INDEX($W$2:$W$1001,MATCH(ROWS($U$2:U117),$U$2:$U$1001,0),0), INDEX($AB$1004:$AQ$1004,1,MATCH(COLUMNS($AB$1006:AH1006),$AB$1006:$AQ$1006,0)))),"Fix")))</f>
        <v>0</v>
      </c>
      <c r="I117" s="4">
        <f>IF(OR(INDEX($V$2:$V$1001,MATCH(ROWS($U$2:U117),$U$2:$U$1001,0),1)&gt;=100000,INDEX($AB$1005:$AQ$1005,1,MATCH(COLUMNS($AB$1006:AI1006),$AB$1006:$AQ$1006,0))&gt;=100000), " ",IF(INDEX($AB$2:$AQ$1001,MATCH(ROWS($U$2:U117),$U$2:$U$1001,0),MATCH(COLUMNS($AB$1006:AI1006),$AB$1006:$AQ$1006,0)), HYPERLINK("#",""), HYPERLINK(CONCATENATE("#metadata!", ADDRESS(INDEX($W$2:$W$1001,MATCH(ROWS($U$2:U117),$U$2:$U$1001,0),0), INDEX($AB$1004:$AQ$1004,1,MATCH(COLUMNS($AB$1006:AI1006),$AB$1006:$AQ$1006,0)))),"Fix")))</f>
        <v>0</v>
      </c>
      <c r="J117" s="4">
        <f>IF(OR(INDEX($V$2:$V$1001,MATCH(ROWS($U$2:U117),$U$2:$U$1001,0),1)&gt;=100000,INDEX($AB$1005:$AQ$1005,1,MATCH(COLUMNS($AB$1006:AJ1006),$AB$1006:$AQ$1006,0))&gt;=100000), " ",IF(INDEX($AB$2:$AQ$1001,MATCH(ROWS($U$2:U117),$U$2:$U$1001,0),MATCH(COLUMNS($AB$1006:AJ1006),$AB$1006:$AQ$1006,0)), HYPERLINK("#",""), HYPERLINK(CONCATENATE("#metadata!", ADDRESS(INDEX($W$2:$W$1001,MATCH(ROWS($U$2:U117),$U$2:$U$1001,0),0), INDEX($AB$1004:$AQ$1004,1,MATCH(COLUMNS($AB$1006:AJ1006),$AB$1006:$AQ$1006,0)))),"Fix")))</f>
        <v>0</v>
      </c>
      <c r="K117" s="4">
        <f>IF(OR(INDEX($V$2:$V$1001,MATCH(ROWS($U$2:U117),$U$2:$U$1001,0),1)&gt;=100000,INDEX($AB$1005:$AQ$1005,1,MATCH(COLUMNS($AB$1006:AK1006),$AB$1006:$AQ$1006,0))&gt;=100000), " ",IF(INDEX($AB$2:$AQ$1001,MATCH(ROWS($U$2:U117),$U$2:$U$1001,0),MATCH(COLUMNS($AB$1006:AK1006),$AB$1006:$AQ$1006,0)), HYPERLINK("#",""), HYPERLINK(CONCATENATE("#metadata!", ADDRESS(INDEX($W$2:$W$1001,MATCH(ROWS($U$2:U117),$U$2:$U$1001,0),0), INDEX($AB$1004:$AQ$1004,1,MATCH(COLUMNS($AB$1006:AK1006),$AB$1006:$AQ$1006,0)))),"Fix")))</f>
        <v>0</v>
      </c>
      <c r="L117" s="4">
        <f>IF(OR(INDEX($V$2:$V$1001,MATCH(ROWS($U$2:U117),$U$2:$U$1001,0),1)&gt;=100000,INDEX($AB$1005:$AQ$1005,1,MATCH(COLUMNS($AB$1006:AL1006),$AB$1006:$AQ$1006,0))&gt;=100000), " ",IF(INDEX($AB$2:$AQ$1001,MATCH(ROWS($U$2:U117),$U$2:$U$1001,0),MATCH(COLUMNS($AB$1006:AL1006),$AB$1006:$AQ$1006,0)), HYPERLINK("#",""), HYPERLINK(CONCATENATE("#metadata!", ADDRESS(INDEX($W$2:$W$1001,MATCH(ROWS($U$2:U117),$U$2:$U$1001,0),0), INDEX($AB$1004:$AQ$1004,1,MATCH(COLUMNS($AB$1006:AL1006),$AB$1006:$AQ$1006,0)))),"Fix")))</f>
        <v>0</v>
      </c>
      <c r="M117" s="4">
        <f>IF(OR(INDEX($V$2:$V$1001,MATCH(ROWS($U$2:U117),$U$2:$U$1001,0),1)&gt;=100000,INDEX($AB$1005:$AQ$1005,1,MATCH(COLUMNS($AB$1006:AM1006),$AB$1006:$AQ$1006,0))&gt;=100000), " ",IF(INDEX($AB$2:$AQ$1001,MATCH(ROWS($U$2:U117),$U$2:$U$1001,0),MATCH(COLUMNS($AB$1006:AM1006),$AB$1006:$AQ$1006,0)), HYPERLINK("#",""), HYPERLINK(CONCATENATE("#metadata!", ADDRESS(INDEX($W$2:$W$1001,MATCH(ROWS($U$2:U117),$U$2:$U$1001,0),0), INDEX($AB$1004:$AQ$1004,1,MATCH(COLUMNS($AB$1006:AM1006),$AB$1006:$AQ$1006,0)))),"Fix")))</f>
        <v>0</v>
      </c>
      <c r="N117" s="4">
        <f>IF(OR(INDEX($V$2:$V$1001,MATCH(ROWS($U$2:U117),$U$2:$U$1001,0),1)&gt;=100000,INDEX($AB$1005:$AQ$1005,1,MATCH(COLUMNS($AB$1006:AN1006),$AB$1006:$AQ$1006,0))&gt;=100000), " ",IF(INDEX($AB$2:$AQ$1001,MATCH(ROWS($U$2:U117),$U$2:$U$1001,0),MATCH(COLUMNS($AB$1006:AN1006),$AB$1006:$AQ$1006,0)), HYPERLINK("#",""), HYPERLINK(CONCATENATE("#metadata!", ADDRESS(INDEX($W$2:$W$1001,MATCH(ROWS($U$2:U117),$U$2:$U$1001,0),0), INDEX($AB$1004:$AQ$1004,1,MATCH(COLUMNS($AB$1006:AN1006),$AB$1006:$AQ$1006,0)))),"Fix")))</f>
        <v>0</v>
      </c>
      <c r="O117" s="4">
        <f>IF(OR(INDEX($V$2:$V$1001,MATCH(ROWS($U$2:U117),$U$2:$U$1001,0),1)&gt;=100000,INDEX($AB$1005:$AQ$1005,1,MATCH(COLUMNS($AB$1006:AO1006),$AB$1006:$AQ$1006,0))&gt;=100000), " ",IF(INDEX($AB$2:$AQ$1001,MATCH(ROWS($U$2:U117),$U$2:$U$1001,0),MATCH(COLUMNS($AB$1006:AO1006),$AB$1006:$AQ$1006,0)), HYPERLINK("#",""), HYPERLINK(CONCATENATE("#metadata!", ADDRESS(INDEX($W$2:$W$1001,MATCH(ROWS($U$2:U117),$U$2:$U$1001,0),0), INDEX($AB$1004:$AQ$1004,1,MATCH(COLUMNS($AB$1006:AO1006),$AB$1006:$AQ$1006,0)))),"Fix")))</f>
        <v>0</v>
      </c>
      <c r="P117" s="4">
        <f>IF(OR(INDEX($V$2:$V$1001,MATCH(ROWS($U$2:U117),$U$2:$U$1001,0),1)&gt;=100000,INDEX($AB$1005:$AQ$1005,1,MATCH(COLUMNS($AB$1006:AP1006),$AB$1006:$AQ$1006,0))&gt;=100000), " ",IF(INDEX($AB$2:$AQ$1001,MATCH(ROWS($U$2:U117),$U$2:$U$1001,0),MATCH(COLUMNS($AB$1006:AP1006),$AB$1006:$AQ$1006,0)), HYPERLINK("#",""), HYPERLINK(CONCATENATE("#metadata!", ADDRESS(INDEX($W$2:$W$1001,MATCH(ROWS($U$2:U117),$U$2:$U$1001,0),0), INDEX($AB$1004:$AQ$1004,1,MATCH(COLUMNS($AB$1006:AP1006),$AB$1006:$AQ$1006,0)))),"Fix")))</f>
        <v>0</v>
      </c>
      <c r="Q117" s="4">
        <f>IF(OR(INDEX($V$2:$V$1001,MATCH(ROWS($U$2:U117),$U$2:$U$1001,0),1)&gt;=100000,INDEX($AB$1005:$AQ$1005,1,MATCH(COLUMNS($AB$1006:AQ1006),$AB$1006:$AQ$1006,0))&gt;=100000), " ",IF(INDEX($AB$2:$AQ$1001,MATCH(ROWS($U$2:U117),$U$2:$U$1001,0),MATCH(COLUMNS($AB$1006:AQ1006),$AB$1006:$AQ$1006,0)), HYPERLINK("#",""), HYPERLINK(CONCATENATE("#metadata!", ADDRESS(INDEX($W$2:$W$1001,MATCH(ROWS($U$2:U117),$U$2:$U$1001,0),0), INDEX($AB$1004:$AQ$1004,1,MATCH(COLUMNS($AB$1006:AQ1006),$AB$1006:$AQ$1006,0)))),"Fix")))</f>
        <v>0</v>
      </c>
      <c r="U117">
        <v>0</v>
      </c>
      <c r="V117">
        <v>0</v>
      </c>
      <c r="W117">
        <v>0</v>
      </c>
      <c r="X117">
        <f>IF(Y117,TRUE,AND(AB117:AQ117))</f>
        <v>0</v>
      </c>
      <c r="Y117">
        <f>COUNTBLANK(metadata!B117:Q117)=COLUMNS(metadata!B117:Q117)</f>
        <v>0</v>
      </c>
      <c r="Z117">
        <v>0</v>
      </c>
      <c r="AB117">
        <f>AND(IF(metadata!B117="",FALSE,TRUE),COUNTIF(metadata!B:B, metadata!B117) = 1,NOT(ISERROR(SUMPRODUCT(SEARCH(MID(metadata!B117,ROW(INDIRECT("1:"&amp;LEN(metadata!B117))), 1),"0123456789abcdefghijklmnopqrstuvwxyzABCDEFGHIJKLMNOPQRSTUVWXYZ.")))))</f>
        <v>0</v>
      </c>
      <c r="AC117">
        <f>OR(AND(IF(metadata!C117="",FALSE,TRUE),OR(exact(metadata!C117,"missing: not collected"),exact(metadata!C117,"missing: not provided"),exact(metadata!C117,"missing: restricted access"))),AND(IF(metadata!C117="",FALSE,TRUE),AND(AND(IFERROR(INT(LEFT(metadata!C117,4))&gt;1900,FALSE),IFERROR(INT(LEFT(metadata!C117,4))&lt;=YEAR(NOW()),FALSE)), OR(MID(metadata!C117,5,1)="", AND(AND(MID(metadata!C117,5,1)="-",IFERROR(INT(MID(metadata!C117,6,1))&gt;=0,FALSE),IFERROR(INT(MID(metadata!C117,6,1))&lt;=1,FALSE),NOT(MID(metadata!C117,7,1)=""),IFERROR(INT(MID(metadata!C117,6,2))&gt;=1,FALSE),IFERROR(INT(MID(metadata!C117,6,2))&lt;=12,FALSE)), OR(MID(metadata!C117,8,1)="", AND(AND(MID(metadata!C117,8,1)="-",IFERROR(INT(MID(metadata!C117,9,1))&gt;=0,FALSE),IFERROR(INT(MID(metadata!C117,9,1))&lt;=3,FALSE),NOT(MID(metadata!C117,10,1)=""),IFERROR(INT(MID(metadata!C117,9,2))&gt;=1,FALSE),IFERROR(INT(MID(metadata!C117,9,2))&lt;=31,FALSE)), OR(MID(metadata!C117,11,1)="", AND(AND(MID(metadata!C117,11,1)=" ",IFERROR(INT(MID(metadata!C117,12,1))&gt;=0,FALSE),IFERROR(INT(MID(metadata!C117,12,1))&lt;=2,FALSE),NOT(MID(metadata!C117,13,1)=""),IFERROR(INT(MID(metadata!C117,12,2))&gt;=0,FALSE),IFERROR(INT(MID(metadata!C117,12,2))&lt;=23,FALSE)), OR(MID(metadata!C117,14,1)="", AND(AND(MID(metadata!C117,14,1)=":",IFERROR(INT(MID(metadata!C117,15,1))&gt;=0,FALSE),IFERROR(INT(MID(metadata!C117,15,1))&lt;=5,FALSE),NOT(MID(metadata!C117,16,1)=""),IFERROR(INT(MID(metadata!C117,15,2))&gt;=0,FALSE),IFERROR(INT(MID(metadata!C117,15,2))&lt;=59,FALSE)), OR(MID(metadata!C117,17,1)="", AND(AND(MID(metadata!C117,17,1)=":",IFERROR(INT(MID(metadata!C117,18,1))&gt;=0,FALSE),IFERROR(INT(MID(metadata!C117,18,1))&lt;=5,FALSE),NOT(MID(metadata!C117,19,1)=""),IFERROR(INT(MID(metadata!C117,18,2))&gt;=0,FALSE),IFERROR(INT(MID(metadata!C117,18,2))&lt;=59,FALSE)), LEN(metadata!C117)&lt;=19)))))))))))))</f>
        <v>0</v>
      </c>
      <c r="AD117">
        <f>IF(metadata!D117="",FALSE,TRUE)</f>
        <v>0</v>
      </c>
      <c r="AE117">
        <f>OR(AND(IF(metadata!E117="",FALSE,TRUE),OR(exact(metadata!E117,"missing: not collected"),exact(metadata!E117,"missing: not provided"))),AND(IF(metadata!E117="",FALSE,TRUE),OR(exact(metadata!E117,"TRUE"),exact(metadata!E117,"FALSE"))))</f>
        <v>0</v>
      </c>
      <c r="AF117">
        <f>IF(metadata!F117="",FALSE,TRUE)</f>
        <v>0</v>
      </c>
      <c r="AG117">
        <f>IF(metadata!G117="",FALSE,TRUE)</f>
        <v>0</v>
      </c>
      <c r="AH117">
        <f>IF(metadata!H117="",FALSE,TRUE)</f>
        <v>0</v>
      </c>
      <c r="AI117">
        <f>OR(AND(IF(metadata!I117="",FALSE,TRUE),OR(exact(metadata!I117,"missing: not collected"),exact(metadata!I117,"missing: not provided"),exact(metadata!I117,"missing: restricted access"))),AND(IF(metadata!I117="",FALSE,TRUE),OR(exact(metadata!I117,"air"),exact(metadata!I117,"built environment"),exact(metadata!I117,"host-associated"),exact(metadata!I117,"human-associated"),exact(metadata!I117,"human-skin"),exact(metadata!I117,"human-oral"),exact(metadata!I117,"human-gut"),exact(metadata!I117,"human-vaginal"),exact(metadata!I117,"microbial mat/biofilm"),exact(metadata!I117,"misc environment"),exact(metadata!I117,"plant-associated"),exact(metadata!I117,"sediment"),exact(metadata!I117,"soil"),exact(metadata!I117,"wastewater/sludge"),exact(metadata!I117,"water"))))</f>
        <v>0</v>
      </c>
      <c r="AJ117">
        <f>IF(metadata!J117="",FALSE,TRUE)</f>
        <v>0</v>
      </c>
      <c r="AK117">
        <f>OR(AND(IF(metadata!K117="",FALSE,TRUE),OR(exact(metadata!K117,"missing: not collected"),exact(metadata!K117,"missing: not provided"),exact(metadata!K117,"missing: restricted access"))),AND(IF(metadata!K117="",FALSE,ISNUMBER(VALUE(metadata!K117))),metadata!K117&gt;=-90.00,metadata!K117&lt;=90.00))</f>
        <v>0</v>
      </c>
      <c r="AL117">
        <f>OR(AND(IF(metadata!L117="",FALSE,TRUE),OR(exact(metadata!L117,"missing: not collected"),exact(metadata!L117,"missing: not provided"),exact(metadata!L117,"missing: restricted access"))),AND(IF(metadata!L117="",FALSE,ISNUMBER(VALUE(metadata!L117))),metadata!L117&gt;=-180.00,metadata!L117&lt;=180.00))</f>
        <v>0</v>
      </c>
      <c r="AM117">
        <f>IF(metadata!M117="",FALSE,TRUE)</f>
        <v>0</v>
      </c>
      <c r="AN117">
        <f>OR(AND(IF(metadata!N117="",FALSE,TRUE),OR(exact(metadata!N117,"missing: not collected"),exact(metadata!N117,"missing: not provided"),exact(metadata!N117,"missing: restricted access"))),AND(IF(metadata!N117="",FALSE,TRUE),OR(exact(metadata!N117,"TRUE"),exact(metadata!N117,"FALSE"))))</f>
        <v>0</v>
      </c>
      <c r="AO117">
        <f>IF(metadata!O117="",FALSE,TRUE)</f>
        <v>0</v>
      </c>
      <c r="AP117">
        <f>OR(AND(IF(metadata!P117="",FALSE,TRUE),OR(exact(metadata!P117,"missing: not collected"),exact(metadata!P117,"missing: not provided"))),AND(IF(metadata!P117="",FALSE,IF(ISERROR(INT(metadata!P117)),FALSE,INT(metadata!P117)=metadata!P117)),metadata!P117&gt;0))</f>
        <v>0</v>
      </c>
      <c r="AQ117">
        <f>IF(metadata!Q117="",FALSE,TRUE)</f>
        <v>0</v>
      </c>
    </row>
    <row r="118" spans="1:43">
      <c r="A118" s="5">
        <f>IF(B118=" "," ",HYPERLINK(CONCATENATE("#metadata!",ADDRESS(INDEX($W$2:$W$1001,MATCH(ROWS($U$2:U118),$U$2:$U$1001,0),0),1)),INDEX($Z$2:$Z$1001,MATCH(ROWS($U$2:U118),$U$2:$U$1001,0),0)))</f>
        <v>0</v>
      </c>
      <c r="B118" s="4">
        <f>IF(OR(INDEX($V$2:$V$1001,MATCH(ROWS($U$2:U118),$U$2:$U$1001,0),1)&gt;=100000,INDEX($AB$1005:$AQ$1005,1,MATCH(COLUMNS($AB$1006:AB1006),$AB$1006:$AQ$1006,0))&gt;=100000), " ",IF(INDEX($AB$2:$AQ$1001,MATCH(ROWS($U$2:U118),$U$2:$U$1001,0),MATCH(COLUMNS($AB$1006:AB1006),$AB$1006:$AQ$1006,0)), HYPERLINK("#",""), HYPERLINK(CONCATENATE("#metadata!", ADDRESS(INDEX($W$2:$W$1001,MATCH(ROWS($U$2:U118),$U$2:$U$1001,0),0), INDEX($AB$1004:$AQ$1004,1,MATCH(COLUMNS($AB$1006:AB1006),$AB$1006:$AQ$1006,0)))),"Fix")))</f>
        <v>0</v>
      </c>
      <c r="C118" s="4">
        <f>IF(OR(INDEX($V$2:$V$1001,MATCH(ROWS($U$2:U118),$U$2:$U$1001,0),1)&gt;=100000,INDEX($AB$1005:$AQ$1005,1,MATCH(COLUMNS($AB$1006:AC1006),$AB$1006:$AQ$1006,0))&gt;=100000), " ",IF(INDEX($AB$2:$AQ$1001,MATCH(ROWS($U$2:U118),$U$2:$U$1001,0),MATCH(COLUMNS($AB$1006:AC1006),$AB$1006:$AQ$1006,0)), HYPERLINK("#",""), HYPERLINK(CONCATENATE("#metadata!", ADDRESS(INDEX($W$2:$W$1001,MATCH(ROWS($U$2:U118),$U$2:$U$1001,0),0), INDEX($AB$1004:$AQ$1004,1,MATCH(COLUMNS($AB$1006:AC1006),$AB$1006:$AQ$1006,0)))),"Fix")))</f>
        <v>0</v>
      </c>
      <c r="D118" s="4">
        <f>IF(OR(INDEX($V$2:$V$1001,MATCH(ROWS($U$2:U118),$U$2:$U$1001,0),1)&gt;=100000,INDEX($AB$1005:$AQ$1005,1,MATCH(COLUMNS($AB$1006:AD1006),$AB$1006:$AQ$1006,0))&gt;=100000), " ",IF(INDEX($AB$2:$AQ$1001,MATCH(ROWS($U$2:U118),$U$2:$U$1001,0),MATCH(COLUMNS($AB$1006:AD1006),$AB$1006:$AQ$1006,0)), HYPERLINK("#",""), HYPERLINK(CONCATENATE("#metadata!", ADDRESS(INDEX($W$2:$W$1001,MATCH(ROWS($U$2:U118),$U$2:$U$1001,0),0), INDEX($AB$1004:$AQ$1004,1,MATCH(COLUMNS($AB$1006:AD1006),$AB$1006:$AQ$1006,0)))),"Fix")))</f>
        <v>0</v>
      </c>
      <c r="E118" s="4">
        <f>IF(OR(INDEX($V$2:$V$1001,MATCH(ROWS($U$2:U118),$U$2:$U$1001,0),1)&gt;=100000,INDEX($AB$1005:$AQ$1005,1,MATCH(COLUMNS($AB$1006:AE1006),$AB$1006:$AQ$1006,0))&gt;=100000), " ",IF(INDEX($AB$2:$AQ$1001,MATCH(ROWS($U$2:U118),$U$2:$U$1001,0),MATCH(COLUMNS($AB$1006:AE1006),$AB$1006:$AQ$1006,0)), HYPERLINK("#",""), HYPERLINK(CONCATENATE("#metadata!", ADDRESS(INDEX($W$2:$W$1001,MATCH(ROWS($U$2:U118),$U$2:$U$1001,0),0), INDEX($AB$1004:$AQ$1004,1,MATCH(COLUMNS($AB$1006:AE1006),$AB$1006:$AQ$1006,0)))),"Fix")))</f>
        <v>0</v>
      </c>
      <c r="F118" s="4">
        <f>IF(OR(INDEX($V$2:$V$1001,MATCH(ROWS($U$2:U118),$U$2:$U$1001,0),1)&gt;=100000,INDEX($AB$1005:$AQ$1005,1,MATCH(COLUMNS($AB$1006:AF1006),$AB$1006:$AQ$1006,0))&gt;=100000), " ",IF(INDEX($AB$2:$AQ$1001,MATCH(ROWS($U$2:U118),$U$2:$U$1001,0),MATCH(COLUMNS($AB$1006:AF1006),$AB$1006:$AQ$1006,0)), HYPERLINK("#",""), HYPERLINK(CONCATENATE("#metadata!", ADDRESS(INDEX($W$2:$W$1001,MATCH(ROWS($U$2:U118),$U$2:$U$1001,0),0), INDEX($AB$1004:$AQ$1004,1,MATCH(COLUMNS($AB$1006:AF1006),$AB$1006:$AQ$1006,0)))),"Fix")))</f>
        <v>0</v>
      </c>
      <c r="G118" s="4">
        <f>IF(OR(INDEX($V$2:$V$1001,MATCH(ROWS($U$2:U118),$U$2:$U$1001,0),1)&gt;=100000,INDEX($AB$1005:$AQ$1005,1,MATCH(COLUMNS($AB$1006:AG1006),$AB$1006:$AQ$1006,0))&gt;=100000), " ",IF(INDEX($AB$2:$AQ$1001,MATCH(ROWS($U$2:U118),$U$2:$U$1001,0),MATCH(COLUMNS($AB$1006:AG1006),$AB$1006:$AQ$1006,0)), HYPERLINK("#",""), HYPERLINK(CONCATENATE("#metadata!", ADDRESS(INDEX($W$2:$W$1001,MATCH(ROWS($U$2:U118),$U$2:$U$1001,0),0), INDEX($AB$1004:$AQ$1004,1,MATCH(COLUMNS($AB$1006:AG1006),$AB$1006:$AQ$1006,0)))),"Fix")))</f>
        <v>0</v>
      </c>
      <c r="H118" s="4">
        <f>IF(OR(INDEX($V$2:$V$1001,MATCH(ROWS($U$2:U118),$U$2:$U$1001,0),1)&gt;=100000,INDEX($AB$1005:$AQ$1005,1,MATCH(COLUMNS($AB$1006:AH1006),$AB$1006:$AQ$1006,0))&gt;=100000), " ",IF(INDEX($AB$2:$AQ$1001,MATCH(ROWS($U$2:U118),$U$2:$U$1001,0),MATCH(COLUMNS($AB$1006:AH1006),$AB$1006:$AQ$1006,0)), HYPERLINK("#",""), HYPERLINK(CONCATENATE("#metadata!", ADDRESS(INDEX($W$2:$W$1001,MATCH(ROWS($U$2:U118),$U$2:$U$1001,0),0), INDEX($AB$1004:$AQ$1004,1,MATCH(COLUMNS($AB$1006:AH1006),$AB$1006:$AQ$1006,0)))),"Fix")))</f>
        <v>0</v>
      </c>
      <c r="I118" s="4">
        <f>IF(OR(INDEX($V$2:$V$1001,MATCH(ROWS($U$2:U118),$U$2:$U$1001,0),1)&gt;=100000,INDEX($AB$1005:$AQ$1005,1,MATCH(COLUMNS($AB$1006:AI1006),$AB$1006:$AQ$1006,0))&gt;=100000), " ",IF(INDEX($AB$2:$AQ$1001,MATCH(ROWS($U$2:U118),$U$2:$U$1001,0),MATCH(COLUMNS($AB$1006:AI1006),$AB$1006:$AQ$1006,0)), HYPERLINK("#",""), HYPERLINK(CONCATENATE("#metadata!", ADDRESS(INDEX($W$2:$W$1001,MATCH(ROWS($U$2:U118),$U$2:$U$1001,0),0), INDEX($AB$1004:$AQ$1004,1,MATCH(COLUMNS($AB$1006:AI1006),$AB$1006:$AQ$1006,0)))),"Fix")))</f>
        <v>0</v>
      </c>
      <c r="J118" s="4">
        <f>IF(OR(INDEX($V$2:$V$1001,MATCH(ROWS($U$2:U118),$U$2:$U$1001,0),1)&gt;=100000,INDEX($AB$1005:$AQ$1005,1,MATCH(COLUMNS($AB$1006:AJ1006),$AB$1006:$AQ$1006,0))&gt;=100000), " ",IF(INDEX($AB$2:$AQ$1001,MATCH(ROWS($U$2:U118),$U$2:$U$1001,0),MATCH(COLUMNS($AB$1006:AJ1006),$AB$1006:$AQ$1006,0)), HYPERLINK("#",""), HYPERLINK(CONCATENATE("#metadata!", ADDRESS(INDEX($W$2:$W$1001,MATCH(ROWS($U$2:U118),$U$2:$U$1001,0),0), INDEX($AB$1004:$AQ$1004,1,MATCH(COLUMNS($AB$1006:AJ1006),$AB$1006:$AQ$1006,0)))),"Fix")))</f>
        <v>0</v>
      </c>
      <c r="K118" s="4">
        <f>IF(OR(INDEX($V$2:$V$1001,MATCH(ROWS($U$2:U118),$U$2:$U$1001,0),1)&gt;=100000,INDEX($AB$1005:$AQ$1005,1,MATCH(COLUMNS($AB$1006:AK1006),$AB$1006:$AQ$1006,0))&gt;=100000), " ",IF(INDEX($AB$2:$AQ$1001,MATCH(ROWS($U$2:U118),$U$2:$U$1001,0),MATCH(COLUMNS($AB$1006:AK1006),$AB$1006:$AQ$1006,0)), HYPERLINK("#",""), HYPERLINK(CONCATENATE("#metadata!", ADDRESS(INDEX($W$2:$W$1001,MATCH(ROWS($U$2:U118),$U$2:$U$1001,0),0), INDEX($AB$1004:$AQ$1004,1,MATCH(COLUMNS($AB$1006:AK1006),$AB$1006:$AQ$1006,0)))),"Fix")))</f>
        <v>0</v>
      </c>
      <c r="L118" s="4">
        <f>IF(OR(INDEX($V$2:$V$1001,MATCH(ROWS($U$2:U118),$U$2:$U$1001,0),1)&gt;=100000,INDEX($AB$1005:$AQ$1005,1,MATCH(COLUMNS($AB$1006:AL1006),$AB$1006:$AQ$1006,0))&gt;=100000), " ",IF(INDEX($AB$2:$AQ$1001,MATCH(ROWS($U$2:U118),$U$2:$U$1001,0),MATCH(COLUMNS($AB$1006:AL1006),$AB$1006:$AQ$1006,0)), HYPERLINK("#",""), HYPERLINK(CONCATENATE("#metadata!", ADDRESS(INDEX($W$2:$W$1001,MATCH(ROWS($U$2:U118),$U$2:$U$1001,0),0), INDEX($AB$1004:$AQ$1004,1,MATCH(COLUMNS($AB$1006:AL1006),$AB$1006:$AQ$1006,0)))),"Fix")))</f>
        <v>0</v>
      </c>
      <c r="M118" s="4">
        <f>IF(OR(INDEX($V$2:$V$1001,MATCH(ROWS($U$2:U118),$U$2:$U$1001,0),1)&gt;=100000,INDEX($AB$1005:$AQ$1005,1,MATCH(COLUMNS($AB$1006:AM1006),$AB$1006:$AQ$1006,0))&gt;=100000), " ",IF(INDEX($AB$2:$AQ$1001,MATCH(ROWS($U$2:U118),$U$2:$U$1001,0),MATCH(COLUMNS($AB$1006:AM1006),$AB$1006:$AQ$1006,0)), HYPERLINK("#",""), HYPERLINK(CONCATENATE("#metadata!", ADDRESS(INDEX($W$2:$W$1001,MATCH(ROWS($U$2:U118),$U$2:$U$1001,0),0), INDEX($AB$1004:$AQ$1004,1,MATCH(COLUMNS($AB$1006:AM1006),$AB$1006:$AQ$1006,0)))),"Fix")))</f>
        <v>0</v>
      </c>
      <c r="N118" s="4">
        <f>IF(OR(INDEX($V$2:$V$1001,MATCH(ROWS($U$2:U118),$U$2:$U$1001,0),1)&gt;=100000,INDEX($AB$1005:$AQ$1005,1,MATCH(COLUMNS($AB$1006:AN1006),$AB$1006:$AQ$1006,0))&gt;=100000), " ",IF(INDEX($AB$2:$AQ$1001,MATCH(ROWS($U$2:U118),$U$2:$U$1001,0),MATCH(COLUMNS($AB$1006:AN1006),$AB$1006:$AQ$1006,0)), HYPERLINK("#",""), HYPERLINK(CONCATENATE("#metadata!", ADDRESS(INDEX($W$2:$W$1001,MATCH(ROWS($U$2:U118),$U$2:$U$1001,0),0), INDEX($AB$1004:$AQ$1004,1,MATCH(COLUMNS($AB$1006:AN1006),$AB$1006:$AQ$1006,0)))),"Fix")))</f>
        <v>0</v>
      </c>
      <c r="O118" s="4">
        <f>IF(OR(INDEX($V$2:$V$1001,MATCH(ROWS($U$2:U118),$U$2:$U$1001,0),1)&gt;=100000,INDEX($AB$1005:$AQ$1005,1,MATCH(COLUMNS($AB$1006:AO1006),$AB$1006:$AQ$1006,0))&gt;=100000), " ",IF(INDEX($AB$2:$AQ$1001,MATCH(ROWS($U$2:U118),$U$2:$U$1001,0),MATCH(COLUMNS($AB$1006:AO1006),$AB$1006:$AQ$1006,0)), HYPERLINK("#",""), HYPERLINK(CONCATENATE("#metadata!", ADDRESS(INDEX($W$2:$W$1001,MATCH(ROWS($U$2:U118),$U$2:$U$1001,0),0), INDEX($AB$1004:$AQ$1004,1,MATCH(COLUMNS($AB$1006:AO1006),$AB$1006:$AQ$1006,0)))),"Fix")))</f>
        <v>0</v>
      </c>
      <c r="P118" s="4">
        <f>IF(OR(INDEX($V$2:$V$1001,MATCH(ROWS($U$2:U118),$U$2:$U$1001,0),1)&gt;=100000,INDEX($AB$1005:$AQ$1005,1,MATCH(COLUMNS($AB$1006:AP1006),$AB$1006:$AQ$1006,0))&gt;=100000), " ",IF(INDEX($AB$2:$AQ$1001,MATCH(ROWS($U$2:U118),$U$2:$U$1001,0),MATCH(COLUMNS($AB$1006:AP1006),$AB$1006:$AQ$1006,0)), HYPERLINK("#",""), HYPERLINK(CONCATENATE("#metadata!", ADDRESS(INDEX($W$2:$W$1001,MATCH(ROWS($U$2:U118),$U$2:$U$1001,0),0), INDEX($AB$1004:$AQ$1004,1,MATCH(COLUMNS($AB$1006:AP1006),$AB$1006:$AQ$1006,0)))),"Fix")))</f>
        <v>0</v>
      </c>
      <c r="Q118" s="4">
        <f>IF(OR(INDEX($V$2:$V$1001,MATCH(ROWS($U$2:U118),$U$2:$U$1001,0),1)&gt;=100000,INDEX($AB$1005:$AQ$1005,1,MATCH(COLUMNS($AB$1006:AQ1006),$AB$1006:$AQ$1006,0))&gt;=100000), " ",IF(INDEX($AB$2:$AQ$1001,MATCH(ROWS($U$2:U118),$U$2:$U$1001,0),MATCH(COLUMNS($AB$1006:AQ1006),$AB$1006:$AQ$1006,0)), HYPERLINK("#",""), HYPERLINK(CONCATENATE("#metadata!", ADDRESS(INDEX($W$2:$W$1001,MATCH(ROWS($U$2:U118),$U$2:$U$1001,0),0), INDEX($AB$1004:$AQ$1004,1,MATCH(COLUMNS($AB$1006:AQ1006),$AB$1006:$AQ$1006,0)))),"Fix")))</f>
        <v>0</v>
      </c>
      <c r="U118">
        <v>0</v>
      </c>
      <c r="V118">
        <v>0</v>
      </c>
      <c r="W118">
        <v>0</v>
      </c>
      <c r="X118">
        <f>IF(Y118,TRUE,AND(AB118:AQ118))</f>
        <v>0</v>
      </c>
      <c r="Y118">
        <f>COUNTBLANK(metadata!B118:Q118)=COLUMNS(metadata!B118:Q118)</f>
        <v>0</v>
      </c>
      <c r="Z118">
        <v>0</v>
      </c>
      <c r="AB118">
        <f>AND(IF(metadata!B118="",FALSE,TRUE),COUNTIF(metadata!B:B, metadata!B118) = 1,NOT(ISERROR(SUMPRODUCT(SEARCH(MID(metadata!B118,ROW(INDIRECT("1:"&amp;LEN(metadata!B118))), 1),"0123456789abcdefghijklmnopqrstuvwxyzABCDEFGHIJKLMNOPQRSTUVWXYZ.")))))</f>
        <v>0</v>
      </c>
      <c r="AC118">
        <f>OR(AND(IF(metadata!C118="",FALSE,TRUE),OR(exact(metadata!C118,"missing: not collected"),exact(metadata!C118,"missing: not provided"),exact(metadata!C118,"missing: restricted access"))),AND(IF(metadata!C118="",FALSE,TRUE),AND(AND(IFERROR(INT(LEFT(metadata!C118,4))&gt;1900,FALSE),IFERROR(INT(LEFT(metadata!C118,4))&lt;=YEAR(NOW()),FALSE)), OR(MID(metadata!C118,5,1)="", AND(AND(MID(metadata!C118,5,1)="-",IFERROR(INT(MID(metadata!C118,6,1))&gt;=0,FALSE),IFERROR(INT(MID(metadata!C118,6,1))&lt;=1,FALSE),NOT(MID(metadata!C118,7,1)=""),IFERROR(INT(MID(metadata!C118,6,2))&gt;=1,FALSE),IFERROR(INT(MID(metadata!C118,6,2))&lt;=12,FALSE)), OR(MID(metadata!C118,8,1)="", AND(AND(MID(metadata!C118,8,1)="-",IFERROR(INT(MID(metadata!C118,9,1))&gt;=0,FALSE),IFERROR(INT(MID(metadata!C118,9,1))&lt;=3,FALSE),NOT(MID(metadata!C118,10,1)=""),IFERROR(INT(MID(metadata!C118,9,2))&gt;=1,FALSE),IFERROR(INT(MID(metadata!C118,9,2))&lt;=31,FALSE)), OR(MID(metadata!C118,11,1)="", AND(AND(MID(metadata!C118,11,1)=" ",IFERROR(INT(MID(metadata!C118,12,1))&gt;=0,FALSE),IFERROR(INT(MID(metadata!C118,12,1))&lt;=2,FALSE),NOT(MID(metadata!C118,13,1)=""),IFERROR(INT(MID(metadata!C118,12,2))&gt;=0,FALSE),IFERROR(INT(MID(metadata!C118,12,2))&lt;=23,FALSE)), OR(MID(metadata!C118,14,1)="", AND(AND(MID(metadata!C118,14,1)=":",IFERROR(INT(MID(metadata!C118,15,1))&gt;=0,FALSE),IFERROR(INT(MID(metadata!C118,15,1))&lt;=5,FALSE),NOT(MID(metadata!C118,16,1)=""),IFERROR(INT(MID(metadata!C118,15,2))&gt;=0,FALSE),IFERROR(INT(MID(metadata!C118,15,2))&lt;=59,FALSE)), OR(MID(metadata!C118,17,1)="", AND(AND(MID(metadata!C118,17,1)=":",IFERROR(INT(MID(metadata!C118,18,1))&gt;=0,FALSE),IFERROR(INT(MID(metadata!C118,18,1))&lt;=5,FALSE),NOT(MID(metadata!C118,19,1)=""),IFERROR(INT(MID(metadata!C118,18,2))&gt;=0,FALSE),IFERROR(INT(MID(metadata!C118,18,2))&lt;=59,FALSE)), LEN(metadata!C118)&lt;=19)))))))))))))</f>
        <v>0</v>
      </c>
      <c r="AD118">
        <f>IF(metadata!D118="",FALSE,TRUE)</f>
        <v>0</v>
      </c>
      <c r="AE118">
        <f>OR(AND(IF(metadata!E118="",FALSE,TRUE),OR(exact(metadata!E118,"missing: not collected"),exact(metadata!E118,"missing: not provided"))),AND(IF(metadata!E118="",FALSE,TRUE),OR(exact(metadata!E118,"TRUE"),exact(metadata!E118,"FALSE"))))</f>
        <v>0</v>
      </c>
      <c r="AF118">
        <f>IF(metadata!F118="",FALSE,TRUE)</f>
        <v>0</v>
      </c>
      <c r="AG118">
        <f>IF(metadata!G118="",FALSE,TRUE)</f>
        <v>0</v>
      </c>
      <c r="AH118">
        <f>IF(metadata!H118="",FALSE,TRUE)</f>
        <v>0</v>
      </c>
      <c r="AI118">
        <f>OR(AND(IF(metadata!I118="",FALSE,TRUE),OR(exact(metadata!I118,"missing: not collected"),exact(metadata!I118,"missing: not provided"),exact(metadata!I118,"missing: restricted access"))),AND(IF(metadata!I118="",FALSE,TRUE),OR(exact(metadata!I118,"air"),exact(metadata!I118,"built environment"),exact(metadata!I118,"host-associated"),exact(metadata!I118,"human-associated"),exact(metadata!I118,"human-skin"),exact(metadata!I118,"human-oral"),exact(metadata!I118,"human-gut"),exact(metadata!I118,"human-vaginal"),exact(metadata!I118,"microbial mat/biofilm"),exact(metadata!I118,"misc environment"),exact(metadata!I118,"plant-associated"),exact(metadata!I118,"sediment"),exact(metadata!I118,"soil"),exact(metadata!I118,"wastewater/sludge"),exact(metadata!I118,"water"))))</f>
        <v>0</v>
      </c>
      <c r="AJ118">
        <f>IF(metadata!J118="",FALSE,TRUE)</f>
        <v>0</v>
      </c>
      <c r="AK118">
        <f>OR(AND(IF(metadata!K118="",FALSE,TRUE),OR(exact(metadata!K118,"missing: not collected"),exact(metadata!K118,"missing: not provided"),exact(metadata!K118,"missing: restricted access"))),AND(IF(metadata!K118="",FALSE,ISNUMBER(VALUE(metadata!K118))),metadata!K118&gt;=-90.00,metadata!K118&lt;=90.00))</f>
        <v>0</v>
      </c>
      <c r="AL118">
        <f>OR(AND(IF(metadata!L118="",FALSE,TRUE),OR(exact(metadata!L118,"missing: not collected"),exact(metadata!L118,"missing: not provided"),exact(metadata!L118,"missing: restricted access"))),AND(IF(metadata!L118="",FALSE,ISNUMBER(VALUE(metadata!L118))),metadata!L118&gt;=-180.00,metadata!L118&lt;=180.00))</f>
        <v>0</v>
      </c>
      <c r="AM118">
        <f>IF(metadata!M118="",FALSE,TRUE)</f>
        <v>0</v>
      </c>
      <c r="AN118">
        <f>OR(AND(IF(metadata!N118="",FALSE,TRUE),OR(exact(metadata!N118,"missing: not collected"),exact(metadata!N118,"missing: not provided"),exact(metadata!N118,"missing: restricted access"))),AND(IF(metadata!N118="",FALSE,TRUE),OR(exact(metadata!N118,"TRUE"),exact(metadata!N118,"FALSE"))))</f>
        <v>0</v>
      </c>
      <c r="AO118">
        <f>IF(metadata!O118="",FALSE,TRUE)</f>
        <v>0</v>
      </c>
      <c r="AP118">
        <f>OR(AND(IF(metadata!P118="",FALSE,TRUE),OR(exact(metadata!P118,"missing: not collected"),exact(metadata!P118,"missing: not provided"))),AND(IF(metadata!P118="",FALSE,IF(ISERROR(INT(metadata!P118)),FALSE,INT(metadata!P118)=metadata!P118)),metadata!P118&gt;0))</f>
        <v>0</v>
      </c>
      <c r="AQ118">
        <f>IF(metadata!Q118="",FALSE,TRUE)</f>
        <v>0</v>
      </c>
    </row>
    <row r="119" spans="1:43">
      <c r="A119" s="5">
        <f>IF(B119=" "," ",HYPERLINK(CONCATENATE("#metadata!",ADDRESS(INDEX($W$2:$W$1001,MATCH(ROWS($U$2:U119),$U$2:$U$1001,0),0),1)),INDEX($Z$2:$Z$1001,MATCH(ROWS($U$2:U119),$U$2:$U$1001,0),0)))</f>
        <v>0</v>
      </c>
      <c r="B119" s="4">
        <f>IF(OR(INDEX($V$2:$V$1001,MATCH(ROWS($U$2:U119),$U$2:$U$1001,0),1)&gt;=100000,INDEX($AB$1005:$AQ$1005,1,MATCH(COLUMNS($AB$1006:AB1006),$AB$1006:$AQ$1006,0))&gt;=100000), " ",IF(INDEX($AB$2:$AQ$1001,MATCH(ROWS($U$2:U119),$U$2:$U$1001,0),MATCH(COLUMNS($AB$1006:AB1006),$AB$1006:$AQ$1006,0)), HYPERLINK("#",""), HYPERLINK(CONCATENATE("#metadata!", ADDRESS(INDEX($W$2:$W$1001,MATCH(ROWS($U$2:U119),$U$2:$U$1001,0),0), INDEX($AB$1004:$AQ$1004,1,MATCH(COLUMNS($AB$1006:AB1006),$AB$1006:$AQ$1006,0)))),"Fix")))</f>
        <v>0</v>
      </c>
      <c r="C119" s="4">
        <f>IF(OR(INDEX($V$2:$V$1001,MATCH(ROWS($U$2:U119),$U$2:$U$1001,0),1)&gt;=100000,INDEX($AB$1005:$AQ$1005,1,MATCH(COLUMNS($AB$1006:AC1006),$AB$1006:$AQ$1006,0))&gt;=100000), " ",IF(INDEX($AB$2:$AQ$1001,MATCH(ROWS($U$2:U119),$U$2:$U$1001,0),MATCH(COLUMNS($AB$1006:AC1006),$AB$1006:$AQ$1006,0)), HYPERLINK("#",""), HYPERLINK(CONCATENATE("#metadata!", ADDRESS(INDEX($W$2:$W$1001,MATCH(ROWS($U$2:U119),$U$2:$U$1001,0),0), INDEX($AB$1004:$AQ$1004,1,MATCH(COLUMNS($AB$1006:AC1006),$AB$1006:$AQ$1006,0)))),"Fix")))</f>
        <v>0</v>
      </c>
      <c r="D119" s="4">
        <f>IF(OR(INDEX($V$2:$V$1001,MATCH(ROWS($U$2:U119),$U$2:$U$1001,0),1)&gt;=100000,INDEX($AB$1005:$AQ$1005,1,MATCH(COLUMNS($AB$1006:AD1006),$AB$1006:$AQ$1006,0))&gt;=100000), " ",IF(INDEX($AB$2:$AQ$1001,MATCH(ROWS($U$2:U119),$U$2:$U$1001,0),MATCH(COLUMNS($AB$1006:AD1006),$AB$1006:$AQ$1006,0)), HYPERLINK("#",""), HYPERLINK(CONCATENATE("#metadata!", ADDRESS(INDEX($W$2:$W$1001,MATCH(ROWS($U$2:U119),$U$2:$U$1001,0),0), INDEX($AB$1004:$AQ$1004,1,MATCH(COLUMNS($AB$1006:AD1006),$AB$1006:$AQ$1006,0)))),"Fix")))</f>
        <v>0</v>
      </c>
      <c r="E119" s="4">
        <f>IF(OR(INDEX($V$2:$V$1001,MATCH(ROWS($U$2:U119),$U$2:$U$1001,0),1)&gt;=100000,INDEX($AB$1005:$AQ$1005,1,MATCH(COLUMNS($AB$1006:AE1006),$AB$1006:$AQ$1006,0))&gt;=100000), " ",IF(INDEX($AB$2:$AQ$1001,MATCH(ROWS($U$2:U119),$U$2:$U$1001,0),MATCH(COLUMNS($AB$1006:AE1006),$AB$1006:$AQ$1006,0)), HYPERLINK("#",""), HYPERLINK(CONCATENATE("#metadata!", ADDRESS(INDEX($W$2:$W$1001,MATCH(ROWS($U$2:U119),$U$2:$U$1001,0),0), INDEX($AB$1004:$AQ$1004,1,MATCH(COLUMNS($AB$1006:AE1006),$AB$1006:$AQ$1006,0)))),"Fix")))</f>
        <v>0</v>
      </c>
      <c r="F119" s="4">
        <f>IF(OR(INDEX($V$2:$V$1001,MATCH(ROWS($U$2:U119),$U$2:$U$1001,0),1)&gt;=100000,INDEX($AB$1005:$AQ$1005,1,MATCH(COLUMNS($AB$1006:AF1006),$AB$1006:$AQ$1006,0))&gt;=100000), " ",IF(INDEX($AB$2:$AQ$1001,MATCH(ROWS($U$2:U119),$U$2:$U$1001,0),MATCH(COLUMNS($AB$1006:AF1006),$AB$1006:$AQ$1006,0)), HYPERLINK("#",""), HYPERLINK(CONCATENATE("#metadata!", ADDRESS(INDEX($W$2:$W$1001,MATCH(ROWS($U$2:U119),$U$2:$U$1001,0),0), INDEX($AB$1004:$AQ$1004,1,MATCH(COLUMNS($AB$1006:AF1006),$AB$1006:$AQ$1006,0)))),"Fix")))</f>
        <v>0</v>
      </c>
      <c r="G119" s="4">
        <f>IF(OR(INDEX($V$2:$V$1001,MATCH(ROWS($U$2:U119),$U$2:$U$1001,0),1)&gt;=100000,INDEX($AB$1005:$AQ$1005,1,MATCH(COLUMNS($AB$1006:AG1006),$AB$1006:$AQ$1006,0))&gt;=100000), " ",IF(INDEX($AB$2:$AQ$1001,MATCH(ROWS($U$2:U119),$U$2:$U$1001,0),MATCH(COLUMNS($AB$1006:AG1006),$AB$1006:$AQ$1006,0)), HYPERLINK("#",""), HYPERLINK(CONCATENATE("#metadata!", ADDRESS(INDEX($W$2:$W$1001,MATCH(ROWS($U$2:U119),$U$2:$U$1001,0),0), INDEX($AB$1004:$AQ$1004,1,MATCH(COLUMNS($AB$1006:AG1006),$AB$1006:$AQ$1006,0)))),"Fix")))</f>
        <v>0</v>
      </c>
      <c r="H119" s="4">
        <f>IF(OR(INDEX($V$2:$V$1001,MATCH(ROWS($U$2:U119),$U$2:$U$1001,0),1)&gt;=100000,INDEX($AB$1005:$AQ$1005,1,MATCH(COLUMNS($AB$1006:AH1006),$AB$1006:$AQ$1006,0))&gt;=100000), " ",IF(INDEX($AB$2:$AQ$1001,MATCH(ROWS($U$2:U119),$U$2:$U$1001,0),MATCH(COLUMNS($AB$1006:AH1006),$AB$1006:$AQ$1006,0)), HYPERLINK("#",""), HYPERLINK(CONCATENATE("#metadata!", ADDRESS(INDEX($W$2:$W$1001,MATCH(ROWS($U$2:U119),$U$2:$U$1001,0),0), INDEX($AB$1004:$AQ$1004,1,MATCH(COLUMNS($AB$1006:AH1006),$AB$1006:$AQ$1006,0)))),"Fix")))</f>
        <v>0</v>
      </c>
      <c r="I119" s="4">
        <f>IF(OR(INDEX($V$2:$V$1001,MATCH(ROWS($U$2:U119),$U$2:$U$1001,0),1)&gt;=100000,INDEX($AB$1005:$AQ$1005,1,MATCH(COLUMNS($AB$1006:AI1006),$AB$1006:$AQ$1006,0))&gt;=100000), " ",IF(INDEX($AB$2:$AQ$1001,MATCH(ROWS($U$2:U119),$U$2:$U$1001,0),MATCH(COLUMNS($AB$1006:AI1006),$AB$1006:$AQ$1006,0)), HYPERLINK("#",""), HYPERLINK(CONCATENATE("#metadata!", ADDRESS(INDEX($W$2:$W$1001,MATCH(ROWS($U$2:U119),$U$2:$U$1001,0),0), INDEX($AB$1004:$AQ$1004,1,MATCH(COLUMNS($AB$1006:AI1006),$AB$1006:$AQ$1006,0)))),"Fix")))</f>
        <v>0</v>
      </c>
      <c r="J119" s="4">
        <f>IF(OR(INDEX($V$2:$V$1001,MATCH(ROWS($U$2:U119),$U$2:$U$1001,0),1)&gt;=100000,INDEX($AB$1005:$AQ$1005,1,MATCH(COLUMNS($AB$1006:AJ1006),$AB$1006:$AQ$1006,0))&gt;=100000), " ",IF(INDEX($AB$2:$AQ$1001,MATCH(ROWS($U$2:U119),$U$2:$U$1001,0),MATCH(COLUMNS($AB$1006:AJ1006),$AB$1006:$AQ$1006,0)), HYPERLINK("#",""), HYPERLINK(CONCATENATE("#metadata!", ADDRESS(INDEX($W$2:$W$1001,MATCH(ROWS($U$2:U119),$U$2:$U$1001,0),0), INDEX($AB$1004:$AQ$1004,1,MATCH(COLUMNS($AB$1006:AJ1006),$AB$1006:$AQ$1006,0)))),"Fix")))</f>
        <v>0</v>
      </c>
      <c r="K119" s="4">
        <f>IF(OR(INDEX($V$2:$V$1001,MATCH(ROWS($U$2:U119),$U$2:$U$1001,0),1)&gt;=100000,INDEX($AB$1005:$AQ$1005,1,MATCH(COLUMNS($AB$1006:AK1006),$AB$1006:$AQ$1006,0))&gt;=100000), " ",IF(INDEX($AB$2:$AQ$1001,MATCH(ROWS($U$2:U119),$U$2:$U$1001,0),MATCH(COLUMNS($AB$1006:AK1006),$AB$1006:$AQ$1006,0)), HYPERLINK("#",""), HYPERLINK(CONCATENATE("#metadata!", ADDRESS(INDEX($W$2:$W$1001,MATCH(ROWS($U$2:U119),$U$2:$U$1001,0),0), INDEX($AB$1004:$AQ$1004,1,MATCH(COLUMNS($AB$1006:AK1006),$AB$1006:$AQ$1006,0)))),"Fix")))</f>
        <v>0</v>
      </c>
      <c r="L119" s="4">
        <f>IF(OR(INDEX($V$2:$V$1001,MATCH(ROWS($U$2:U119),$U$2:$U$1001,0),1)&gt;=100000,INDEX($AB$1005:$AQ$1005,1,MATCH(COLUMNS($AB$1006:AL1006),$AB$1006:$AQ$1006,0))&gt;=100000), " ",IF(INDEX($AB$2:$AQ$1001,MATCH(ROWS($U$2:U119),$U$2:$U$1001,0),MATCH(COLUMNS($AB$1006:AL1006),$AB$1006:$AQ$1006,0)), HYPERLINK("#",""), HYPERLINK(CONCATENATE("#metadata!", ADDRESS(INDEX($W$2:$W$1001,MATCH(ROWS($U$2:U119),$U$2:$U$1001,0),0), INDEX($AB$1004:$AQ$1004,1,MATCH(COLUMNS($AB$1006:AL1006),$AB$1006:$AQ$1006,0)))),"Fix")))</f>
        <v>0</v>
      </c>
      <c r="M119" s="4">
        <f>IF(OR(INDEX($V$2:$V$1001,MATCH(ROWS($U$2:U119),$U$2:$U$1001,0),1)&gt;=100000,INDEX($AB$1005:$AQ$1005,1,MATCH(COLUMNS($AB$1006:AM1006),$AB$1006:$AQ$1006,0))&gt;=100000), " ",IF(INDEX($AB$2:$AQ$1001,MATCH(ROWS($U$2:U119),$U$2:$U$1001,0),MATCH(COLUMNS($AB$1006:AM1006),$AB$1006:$AQ$1006,0)), HYPERLINK("#",""), HYPERLINK(CONCATENATE("#metadata!", ADDRESS(INDEX($W$2:$W$1001,MATCH(ROWS($U$2:U119),$U$2:$U$1001,0),0), INDEX($AB$1004:$AQ$1004,1,MATCH(COLUMNS($AB$1006:AM1006),$AB$1006:$AQ$1006,0)))),"Fix")))</f>
        <v>0</v>
      </c>
      <c r="N119" s="4">
        <f>IF(OR(INDEX($V$2:$V$1001,MATCH(ROWS($U$2:U119),$U$2:$U$1001,0),1)&gt;=100000,INDEX($AB$1005:$AQ$1005,1,MATCH(COLUMNS($AB$1006:AN1006),$AB$1006:$AQ$1006,0))&gt;=100000), " ",IF(INDEX($AB$2:$AQ$1001,MATCH(ROWS($U$2:U119),$U$2:$U$1001,0),MATCH(COLUMNS($AB$1006:AN1006),$AB$1006:$AQ$1006,0)), HYPERLINK("#",""), HYPERLINK(CONCATENATE("#metadata!", ADDRESS(INDEX($W$2:$W$1001,MATCH(ROWS($U$2:U119),$U$2:$U$1001,0),0), INDEX($AB$1004:$AQ$1004,1,MATCH(COLUMNS($AB$1006:AN1006),$AB$1006:$AQ$1006,0)))),"Fix")))</f>
        <v>0</v>
      </c>
      <c r="O119" s="4">
        <f>IF(OR(INDEX($V$2:$V$1001,MATCH(ROWS($U$2:U119),$U$2:$U$1001,0),1)&gt;=100000,INDEX($AB$1005:$AQ$1005,1,MATCH(COLUMNS($AB$1006:AO1006),$AB$1006:$AQ$1006,0))&gt;=100000), " ",IF(INDEX($AB$2:$AQ$1001,MATCH(ROWS($U$2:U119),$U$2:$U$1001,0),MATCH(COLUMNS($AB$1006:AO1006),$AB$1006:$AQ$1006,0)), HYPERLINK("#",""), HYPERLINK(CONCATENATE("#metadata!", ADDRESS(INDEX($W$2:$W$1001,MATCH(ROWS($U$2:U119),$U$2:$U$1001,0),0), INDEX($AB$1004:$AQ$1004,1,MATCH(COLUMNS($AB$1006:AO1006),$AB$1006:$AQ$1006,0)))),"Fix")))</f>
        <v>0</v>
      </c>
      <c r="P119" s="4">
        <f>IF(OR(INDEX($V$2:$V$1001,MATCH(ROWS($U$2:U119),$U$2:$U$1001,0),1)&gt;=100000,INDEX($AB$1005:$AQ$1005,1,MATCH(COLUMNS($AB$1006:AP1006),$AB$1006:$AQ$1006,0))&gt;=100000), " ",IF(INDEX($AB$2:$AQ$1001,MATCH(ROWS($U$2:U119),$U$2:$U$1001,0),MATCH(COLUMNS($AB$1006:AP1006),$AB$1006:$AQ$1006,0)), HYPERLINK("#",""), HYPERLINK(CONCATENATE("#metadata!", ADDRESS(INDEX($W$2:$W$1001,MATCH(ROWS($U$2:U119),$U$2:$U$1001,0),0), INDEX($AB$1004:$AQ$1004,1,MATCH(COLUMNS($AB$1006:AP1006),$AB$1006:$AQ$1006,0)))),"Fix")))</f>
        <v>0</v>
      </c>
      <c r="Q119" s="4">
        <f>IF(OR(INDEX($V$2:$V$1001,MATCH(ROWS($U$2:U119),$U$2:$U$1001,0),1)&gt;=100000,INDEX($AB$1005:$AQ$1005,1,MATCH(COLUMNS($AB$1006:AQ1006),$AB$1006:$AQ$1006,0))&gt;=100000), " ",IF(INDEX($AB$2:$AQ$1001,MATCH(ROWS($U$2:U119),$U$2:$U$1001,0),MATCH(COLUMNS($AB$1006:AQ1006),$AB$1006:$AQ$1006,0)), HYPERLINK("#",""), HYPERLINK(CONCATENATE("#metadata!", ADDRESS(INDEX($W$2:$W$1001,MATCH(ROWS($U$2:U119),$U$2:$U$1001,0),0), INDEX($AB$1004:$AQ$1004,1,MATCH(COLUMNS($AB$1006:AQ1006),$AB$1006:$AQ$1006,0)))),"Fix")))</f>
        <v>0</v>
      </c>
      <c r="U119">
        <v>0</v>
      </c>
      <c r="V119">
        <v>0</v>
      </c>
      <c r="W119">
        <v>0</v>
      </c>
      <c r="X119">
        <f>IF(Y119,TRUE,AND(AB119:AQ119))</f>
        <v>0</v>
      </c>
      <c r="Y119">
        <f>COUNTBLANK(metadata!B119:Q119)=COLUMNS(metadata!B119:Q119)</f>
        <v>0</v>
      </c>
      <c r="Z119">
        <v>0</v>
      </c>
      <c r="AB119">
        <f>AND(IF(metadata!B119="",FALSE,TRUE),COUNTIF(metadata!B:B, metadata!B119) = 1,NOT(ISERROR(SUMPRODUCT(SEARCH(MID(metadata!B119,ROW(INDIRECT("1:"&amp;LEN(metadata!B119))), 1),"0123456789abcdefghijklmnopqrstuvwxyzABCDEFGHIJKLMNOPQRSTUVWXYZ.")))))</f>
        <v>0</v>
      </c>
      <c r="AC119">
        <f>OR(AND(IF(metadata!C119="",FALSE,TRUE),OR(exact(metadata!C119,"missing: not collected"),exact(metadata!C119,"missing: not provided"),exact(metadata!C119,"missing: restricted access"))),AND(IF(metadata!C119="",FALSE,TRUE),AND(AND(IFERROR(INT(LEFT(metadata!C119,4))&gt;1900,FALSE),IFERROR(INT(LEFT(metadata!C119,4))&lt;=YEAR(NOW()),FALSE)), OR(MID(metadata!C119,5,1)="", AND(AND(MID(metadata!C119,5,1)="-",IFERROR(INT(MID(metadata!C119,6,1))&gt;=0,FALSE),IFERROR(INT(MID(metadata!C119,6,1))&lt;=1,FALSE),NOT(MID(metadata!C119,7,1)=""),IFERROR(INT(MID(metadata!C119,6,2))&gt;=1,FALSE),IFERROR(INT(MID(metadata!C119,6,2))&lt;=12,FALSE)), OR(MID(metadata!C119,8,1)="", AND(AND(MID(metadata!C119,8,1)="-",IFERROR(INT(MID(metadata!C119,9,1))&gt;=0,FALSE),IFERROR(INT(MID(metadata!C119,9,1))&lt;=3,FALSE),NOT(MID(metadata!C119,10,1)=""),IFERROR(INT(MID(metadata!C119,9,2))&gt;=1,FALSE),IFERROR(INT(MID(metadata!C119,9,2))&lt;=31,FALSE)), OR(MID(metadata!C119,11,1)="", AND(AND(MID(metadata!C119,11,1)=" ",IFERROR(INT(MID(metadata!C119,12,1))&gt;=0,FALSE),IFERROR(INT(MID(metadata!C119,12,1))&lt;=2,FALSE),NOT(MID(metadata!C119,13,1)=""),IFERROR(INT(MID(metadata!C119,12,2))&gt;=0,FALSE),IFERROR(INT(MID(metadata!C119,12,2))&lt;=23,FALSE)), OR(MID(metadata!C119,14,1)="", AND(AND(MID(metadata!C119,14,1)=":",IFERROR(INT(MID(metadata!C119,15,1))&gt;=0,FALSE),IFERROR(INT(MID(metadata!C119,15,1))&lt;=5,FALSE),NOT(MID(metadata!C119,16,1)=""),IFERROR(INT(MID(metadata!C119,15,2))&gt;=0,FALSE),IFERROR(INT(MID(metadata!C119,15,2))&lt;=59,FALSE)), OR(MID(metadata!C119,17,1)="", AND(AND(MID(metadata!C119,17,1)=":",IFERROR(INT(MID(metadata!C119,18,1))&gt;=0,FALSE),IFERROR(INT(MID(metadata!C119,18,1))&lt;=5,FALSE),NOT(MID(metadata!C119,19,1)=""),IFERROR(INT(MID(metadata!C119,18,2))&gt;=0,FALSE),IFERROR(INT(MID(metadata!C119,18,2))&lt;=59,FALSE)), LEN(metadata!C119)&lt;=19)))))))))))))</f>
        <v>0</v>
      </c>
      <c r="AD119">
        <f>IF(metadata!D119="",FALSE,TRUE)</f>
        <v>0</v>
      </c>
      <c r="AE119">
        <f>OR(AND(IF(metadata!E119="",FALSE,TRUE),OR(exact(metadata!E119,"missing: not collected"),exact(metadata!E119,"missing: not provided"))),AND(IF(metadata!E119="",FALSE,TRUE),OR(exact(metadata!E119,"TRUE"),exact(metadata!E119,"FALSE"))))</f>
        <v>0</v>
      </c>
      <c r="AF119">
        <f>IF(metadata!F119="",FALSE,TRUE)</f>
        <v>0</v>
      </c>
      <c r="AG119">
        <f>IF(metadata!G119="",FALSE,TRUE)</f>
        <v>0</v>
      </c>
      <c r="AH119">
        <f>IF(metadata!H119="",FALSE,TRUE)</f>
        <v>0</v>
      </c>
      <c r="AI119">
        <f>OR(AND(IF(metadata!I119="",FALSE,TRUE),OR(exact(metadata!I119,"missing: not collected"),exact(metadata!I119,"missing: not provided"),exact(metadata!I119,"missing: restricted access"))),AND(IF(metadata!I119="",FALSE,TRUE),OR(exact(metadata!I119,"air"),exact(metadata!I119,"built environment"),exact(metadata!I119,"host-associated"),exact(metadata!I119,"human-associated"),exact(metadata!I119,"human-skin"),exact(metadata!I119,"human-oral"),exact(metadata!I119,"human-gut"),exact(metadata!I119,"human-vaginal"),exact(metadata!I119,"microbial mat/biofilm"),exact(metadata!I119,"misc environment"),exact(metadata!I119,"plant-associated"),exact(metadata!I119,"sediment"),exact(metadata!I119,"soil"),exact(metadata!I119,"wastewater/sludge"),exact(metadata!I119,"water"))))</f>
        <v>0</v>
      </c>
      <c r="AJ119">
        <f>IF(metadata!J119="",FALSE,TRUE)</f>
        <v>0</v>
      </c>
      <c r="AK119">
        <f>OR(AND(IF(metadata!K119="",FALSE,TRUE),OR(exact(metadata!K119,"missing: not collected"),exact(metadata!K119,"missing: not provided"),exact(metadata!K119,"missing: restricted access"))),AND(IF(metadata!K119="",FALSE,ISNUMBER(VALUE(metadata!K119))),metadata!K119&gt;=-90.00,metadata!K119&lt;=90.00))</f>
        <v>0</v>
      </c>
      <c r="AL119">
        <f>OR(AND(IF(metadata!L119="",FALSE,TRUE),OR(exact(metadata!L119,"missing: not collected"),exact(metadata!L119,"missing: not provided"),exact(metadata!L119,"missing: restricted access"))),AND(IF(metadata!L119="",FALSE,ISNUMBER(VALUE(metadata!L119))),metadata!L119&gt;=-180.00,metadata!L119&lt;=180.00))</f>
        <v>0</v>
      </c>
      <c r="AM119">
        <f>IF(metadata!M119="",FALSE,TRUE)</f>
        <v>0</v>
      </c>
      <c r="AN119">
        <f>OR(AND(IF(metadata!N119="",FALSE,TRUE),OR(exact(metadata!N119,"missing: not collected"),exact(metadata!N119,"missing: not provided"),exact(metadata!N119,"missing: restricted access"))),AND(IF(metadata!N119="",FALSE,TRUE),OR(exact(metadata!N119,"TRUE"),exact(metadata!N119,"FALSE"))))</f>
        <v>0</v>
      </c>
      <c r="AO119">
        <f>IF(metadata!O119="",FALSE,TRUE)</f>
        <v>0</v>
      </c>
      <c r="AP119">
        <f>OR(AND(IF(metadata!P119="",FALSE,TRUE),OR(exact(metadata!P119,"missing: not collected"),exact(metadata!P119,"missing: not provided"))),AND(IF(metadata!P119="",FALSE,IF(ISERROR(INT(metadata!P119)),FALSE,INT(metadata!P119)=metadata!P119)),metadata!P119&gt;0))</f>
        <v>0</v>
      </c>
      <c r="AQ119">
        <f>IF(metadata!Q119="",FALSE,TRUE)</f>
        <v>0</v>
      </c>
    </row>
    <row r="120" spans="1:43">
      <c r="A120" s="5">
        <f>IF(B120=" "," ",HYPERLINK(CONCATENATE("#metadata!",ADDRESS(INDEX($W$2:$W$1001,MATCH(ROWS($U$2:U120),$U$2:$U$1001,0),0),1)),INDEX($Z$2:$Z$1001,MATCH(ROWS($U$2:U120),$U$2:$U$1001,0),0)))</f>
        <v>0</v>
      </c>
      <c r="B120" s="4">
        <f>IF(OR(INDEX($V$2:$V$1001,MATCH(ROWS($U$2:U120),$U$2:$U$1001,0),1)&gt;=100000,INDEX($AB$1005:$AQ$1005,1,MATCH(COLUMNS($AB$1006:AB1006),$AB$1006:$AQ$1006,0))&gt;=100000), " ",IF(INDEX($AB$2:$AQ$1001,MATCH(ROWS($U$2:U120),$U$2:$U$1001,0),MATCH(COLUMNS($AB$1006:AB1006),$AB$1006:$AQ$1006,0)), HYPERLINK("#",""), HYPERLINK(CONCATENATE("#metadata!", ADDRESS(INDEX($W$2:$W$1001,MATCH(ROWS($U$2:U120),$U$2:$U$1001,0),0), INDEX($AB$1004:$AQ$1004,1,MATCH(COLUMNS($AB$1006:AB1006),$AB$1006:$AQ$1006,0)))),"Fix")))</f>
        <v>0</v>
      </c>
      <c r="C120" s="4">
        <f>IF(OR(INDEX($V$2:$V$1001,MATCH(ROWS($U$2:U120),$U$2:$U$1001,0),1)&gt;=100000,INDEX($AB$1005:$AQ$1005,1,MATCH(COLUMNS($AB$1006:AC1006),$AB$1006:$AQ$1006,0))&gt;=100000), " ",IF(INDEX($AB$2:$AQ$1001,MATCH(ROWS($U$2:U120),$U$2:$U$1001,0),MATCH(COLUMNS($AB$1006:AC1006),$AB$1006:$AQ$1006,0)), HYPERLINK("#",""), HYPERLINK(CONCATENATE("#metadata!", ADDRESS(INDEX($W$2:$W$1001,MATCH(ROWS($U$2:U120),$U$2:$U$1001,0),0), INDEX($AB$1004:$AQ$1004,1,MATCH(COLUMNS($AB$1006:AC1006),$AB$1006:$AQ$1006,0)))),"Fix")))</f>
        <v>0</v>
      </c>
      <c r="D120" s="4">
        <f>IF(OR(INDEX($V$2:$V$1001,MATCH(ROWS($U$2:U120),$U$2:$U$1001,0),1)&gt;=100000,INDEX($AB$1005:$AQ$1005,1,MATCH(COLUMNS($AB$1006:AD1006),$AB$1006:$AQ$1006,0))&gt;=100000), " ",IF(INDEX($AB$2:$AQ$1001,MATCH(ROWS($U$2:U120),$U$2:$U$1001,0),MATCH(COLUMNS($AB$1006:AD1006),$AB$1006:$AQ$1006,0)), HYPERLINK("#",""), HYPERLINK(CONCATENATE("#metadata!", ADDRESS(INDEX($W$2:$W$1001,MATCH(ROWS($U$2:U120),$U$2:$U$1001,0),0), INDEX($AB$1004:$AQ$1004,1,MATCH(COLUMNS($AB$1006:AD1006),$AB$1006:$AQ$1006,0)))),"Fix")))</f>
        <v>0</v>
      </c>
      <c r="E120" s="4">
        <f>IF(OR(INDEX($V$2:$V$1001,MATCH(ROWS($U$2:U120),$U$2:$U$1001,0),1)&gt;=100000,INDEX($AB$1005:$AQ$1005,1,MATCH(COLUMNS($AB$1006:AE1006),$AB$1006:$AQ$1006,0))&gt;=100000), " ",IF(INDEX($AB$2:$AQ$1001,MATCH(ROWS($U$2:U120),$U$2:$U$1001,0),MATCH(COLUMNS($AB$1006:AE1006),$AB$1006:$AQ$1006,0)), HYPERLINK("#",""), HYPERLINK(CONCATENATE("#metadata!", ADDRESS(INDEX($W$2:$W$1001,MATCH(ROWS($U$2:U120),$U$2:$U$1001,0),0), INDEX($AB$1004:$AQ$1004,1,MATCH(COLUMNS($AB$1006:AE1006),$AB$1006:$AQ$1006,0)))),"Fix")))</f>
        <v>0</v>
      </c>
      <c r="F120" s="4">
        <f>IF(OR(INDEX($V$2:$V$1001,MATCH(ROWS($U$2:U120),$U$2:$U$1001,0),1)&gt;=100000,INDEX($AB$1005:$AQ$1005,1,MATCH(COLUMNS($AB$1006:AF1006),$AB$1006:$AQ$1006,0))&gt;=100000), " ",IF(INDEX($AB$2:$AQ$1001,MATCH(ROWS($U$2:U120),$U$2:$U$1001,0),MATCH(COLUMNS($AB$1006:AF1006),$AB$1006:$AQ$1006,0)), HYPERLINK("#",""), HYPERLINK(CONCATENATE("#metadata!", ADDRESS(INDEX($W$2:$W$1001,MATCH(ROWS($U$2:U120),$U$2:$U$1001,0),0), INDEX($AB$1004:$AQ$1004,1,MATCH(COLUMNS($AB$1006:AF1006),$AB$1006:$AQ$1006,0)))),"Fix")))</f>
        <v>0</v>
      </c>
      <c r="G120" s="4">
        <f>IF(OR(INDEX($V$2:$V$1001,MATCH(ROWS($U$2:U120),$U$2:$U$1001,0),1)&gt;=100000,INDEX($AB$1005:$AQ$1005,1,MATCH(COLUMNS($AB$1006:AG1006),$AB$1006:$AQ$1006,0))&gt;=100000), " ",IF(INDEX($AB$2:$AQ$1001,MATCH(ROWS($U$2:U120),$U$2:$U$1001,0),MATCH(COLUMNS($AB$1006:AG1006),$AB$1006:$AQ$1006,0)), HYPERLINK("#",""), HYPERLINK(CONCATENATE("#metadata!", ADDRESS(INDEX($W$2:$W$1001,MATCH(ROWS($U$2:U120),$U$2:$U$1001,0),0), INDEX($AB$1004:$AQ$1004,1,MATCH(COLUMNS($AB$1006:AG1006),$AB$1006:$AQ$1006,0)))),"Fix")))</f>
        <v>0</v>
      </c>
      <c r="H120" s="4">
        <f>IF(OR(INDEX($V$2:$V$1001,MATCH(ROWS($U$2:U120),$U$2:$U$1001,0),1)&gt;=100000,INDEX($AB$1005:$AQ$1005,1,MATCH(COLUMNS($AB$1006:AH1006),$AB$1006:$AQ$1006,0))&gt;=100000), " ",IF(INDEX($AB$2:$AQ$1001,MATCH(ROWS($U$2:U120),$U$2:$U$1001,0),MATCH(COLUMNS($AB$1006:AH1006),$AB$1006:$AQ$1006,0)), HYPERLINK("#",""), HYPERLINK(CONCATENATE("#metadata!", ADDRESS(INDEX($W$2:$W$1001,MATCH(ROWS($U$2:U120),$U$2:$U$1001,0),0), INDEX($AB$1004:$AQ$1004,1,MATCH(COLUMNS($AB$1006:AH1006),$AB$1006:$AQ$1006,0)))),"Fix")))</f>
        <v>0</v>
      </c>
      <c r="I120" s="4">
        <f>IF(OR(INDEX($V$2:$V$1001,MATCH(ROWS($U$2:U120),$U$2:$U$1001,0),1)&gt;=100000,INDEX($AB$1005:$AQ$1005,1,MATCH(COLUMNS($AB$1006:AI1006),$AB$1006:$AQ$1006,0))&gt;=100000), " ",IF(INDEX($AB$2:$AQ$1001,MATCH(ROWS($U$2:U120),$U$2:$U$1001,0),MATCH(COLUMNS($AB$1006:AI1006),$AB$1006:$AQ$1006,0)), HYPERLINK("#",""), HYPERLINK(CONCATENATE("#metadata!", ADDRESS(INDEX($W$2:$W$1001,MATCH(ROWS($U$2:U120),$U$2:$U$1001,0),0), INDEX($AB$1004:$AQ$1004,1,MATCH(COLUMNS($AB$1006:AI1006),$AB$1006:$AQ$1006,0)))),"Fix")))</f>
        <v>0</v>
      </c>
      <c r="J120" s="4">
        <f>IF(OR(INDEX($V$2:$V$1001,MATCH(ROWS($U$2:U120),$U$2:$U$1001,0),1)&gt;=100000,INDEX($AB$1005:$AQ$1005,1,MATCH(COLUMNS($AB$1006:AJ1006),$AB$1006:$AQ$1006,0))&gt;=100000), " ",IF(INDEX($AB$2:$AQ$1001,MATCH(ROWS($U$2:U120),$U$2:$U$1001,0),MATCH(COLUMNS($AB$1006:AJ1006),$AB$1006:$AQ$1006,0)), HYPERLINK("#",""), HYPERLINK(CONCATENATE("#metadata!", ADDRESS(INDEX($W$2:$W$1001,MATCH(ROWS($U$2:U120),$U$2:$U$1001,0),0), INDEX($AB$1004:$AQ$1004,1,MATCH(COLUMNS($AB$1006:AJ1006),$AB$1006:$AQ$1006,0)))),"Fix")))</f>
        <v>0</v>
      </c>
      <c r="K120" s="4">
        <f>IF(OR(INDEX($V$2:$V$1001,MATCH(ROWS($U$2:U120),$U$2:$U$1001,0),1)&gt;=100000,INDEX($AB$1005:$AQ$1005,1,MATCH(COLUMNS($AB$1006:AK1006),$AB$1006:$AQ$1006,0))&gt;=100000), " ",IF(INDEX($AB$2:$AQ$1001,MATCH(ROWS($U$2:U120),$U$2:$U$1001,0),MATCH(COLUMNS($AB$1006:AK1006),$AB$1006:$AQ$1006,0)), HYPERLINK("#",""), HYPERLINK(CONCATENATE("#metadata!", ADDRESS(INDEX($W$2:$W$1001,MATCH(ROWS($U$2:U120),$U$2:$U$1001,0),0), INDEX($AB$1004:$AQ$1004,1,MATCH(COLUMNS($AB$1006:AK1006),$AB$1006:$AQ$1006,0)))),"Fix")))</f>
        <v>0</v>
      </c>
      <c r="L120" s="4">
        <f>IF(OR(INDEX($V$2:$V$1001,MATCH(ROWS($U$2:U120),$U$2:$U$1001,0),1)&gt;=100000,INDEX($AB$1005:$AQ$1005,1,MATCH(COLUMNS($AB$1006:AL1006),$AB$1006:$AQ$1006,0))&gt;=100000), " ",IF(INDEX($AB$2:$AQ$1001,MATCH(ROWS($U$2:U120),$U$2:$U$1001,0),MATCH(COLUMNS($AB$1006:AL1006),$AB$1006:$AQ$1006,0)), HYPERLINK("#",""), HYPERLINK(CONCATENATE("#metadata!", ADDRESS(INDEX($W$2:$W$1001,MATCH(ROWS($U$2:U120),$U$2:$U$1001,0),0), INDEX($AB$1004:$AQ$1004,1,MATCH(COLUMNS($AB$1006:AL1006),$AB$1006:$AQ$1006,0)))),"Fix")))</f>
        <v>0</v>
      </c>
      <c r="M120" s="4">
        <f>IF(OR(INDEX($V$2:$V$1001,MATCH(ROWS($U$2:U120),$U$2:$U$1001,0),1)&gt;=100000,INDEX($AB$1005:$AQ$1005,1,MATCH(COLUMNS($AB$1006:AM1006),$AB$1006:$AQ$1006,0))&gt;=100000), " ",IF(INDEX($AB$2:$AQ$1001,MATCH(ROWS($U$2:U120),$U$2:$U$1001,0),MATCH(COLUMNS($AB$1006:AM1006),$AB$1006:$AQ$1006,0)), HYPERLINK("#",""), HYPERLINK(CONCATENATE("#metadata!", ADDRESS(INDEX($W$2:$W$1001,MATCH(ROWS($U$2:U120),$U$2:$U$1001,0),0), INDEX($AB$1004:$AQ$1004,1,MATCH(COLUMNS($AB$1006:AM1006),$AB$1006:$AQ$1006,0)))),"Fix")))</f>
        <v>0</v>
      </c>
      <c r="N120" s="4">
        <f>IF(OR(INDEX($V$2:$V$1001,MATCH(ROWS($U$2:U120),$U$2:$U$1001,0),1)&gt;=100000,INDEX($AB$1005:$AQ$1005,1,MATCH(COLUMNS($AB$1006:AN1006),$AB$1006:$AQ$1006,0))&gt;=100000), " ",IF(INDEX($AB$2:$AQ$1001,MATCH(ROWS($U$2:U120),$U$2:$U$1001,0),MATCH(COLUMNS($AB$1006:AN1006),$AB$1006:$AQ$1006,0)), HYPERLINK("#",""), HYPERLINK(CONCATENATE("#metadata!", ADDRESS(INDEX($W$2:$W$1001,MATCH(ROWS($U$2:U120),$U$2:$U$1001,0),0), INDEX($AB$1004:$AQ$1004,1,MATCH(COLUMNS($AB$1006:AN1006),$AB$1006:$AQ$1006,0)))),"Fix")))</f>
        <v>0</v>
      </c>
      <c r="O120" s="4">
        <f>IF(OR(INDEX($V$2:$V$1001,MATCH(ROWS($U$2:U120),$U$2:$U$1001,0),1)&gt;=100000,INDEX($AB$1005:$AQ$1005,1,MATCH(COLUMNS($AB$1006:AO1006),$AB$1006:$AQ$1006,0))&gt;=100000), " ",IF(INDEX($AB$2:$AQ$1001,MATCH(ROWS($U$2:U120),$U$2:$U$1001,0),MATCH(COLUMNS($AB$1006:AO1006),$AB$1006:$AQ$1006,0)), HYPERLINK("#",""), HYPERLINK(CONCATENATE("#metadata!", ADDRESS(INDEX($W$2:$W$1001,MATCH(ROWS($U$2:U120),$U$2:$U$1001,0),0), INDEX($AB$1004:$AQ$1004,1,MATCH(COLUMNS($AB$1006:AO1006),$AB$1006:$AQ$1006,0)))),"Fix")))</f>
        <v>0</v>
      </c>
      <c r="P120" s="4">
        <f>IF(OR(INDEX($V$2:$V$1001,MATCH(ROWS($U$2:U120),$U$2:$U$1001,0),1)&gt;=100000,INDEX($AB$1005:$AQ$1005,1,MATCH(COLUMNS($AB$1006:AP1006),$AB$1006:$AQ$1006,0))&gt;=100000), " ",IF(INDEX($AB$2:$AQ$1001,MATCH(ROWS($U$2:U120),$U$2:$U$1001,0),MATCH(COLUMNS($AB$1006:AP1006),$AB$1006:$AQ$1006,0)), HYPERLINK("#",""), HYPERLINK(CONCATENATE("#metadata!", ADDRESS(INDEX($W$2:$W$1001,MATCH(ROWS($U$2:U120),$U$2:$U$1001,0),0), INDEX($AB$1004:$AQ$1004,1,MATCH(COLUMNS($AB$1006:AP1006),$AB$1006:$AQ$1006,0)))),"Fix")))</f>
        <v>0</v>
      </c>
      <c r="Q120" s="4">
        <f>IF(OR(INDEX($V$2:$V$1001,MATCH(ROWS($U$2:U120),$U$2:$U$1001,0),1)&gt;=100000,INDEX($AB$1005:$AQ$1005,1,MATCH(COLUMNS($AB$1006:AQ1006),$AB$1006:$AQ$1006,0))&gt;=100000), " ",IF(INDEX($AB$2:$AQ$1001,MATCH(ROWS($U$2:U120),$U$2:$U$1001,0),MATCH(COLUMNS($AB$1006:AQ1006),$AB$1006:$AQ$1006,0)), HYPERLINK("#",""), HYPERLINK(CONCATENATE("#metadata!", ADDRESS(INDEX($W$2:$W$1001,MATCH(ROWS($U$2:U120),$U$2:$U$1001,0),0), INDEX($AB$1004:$AQ$1004,1,MATCH(COLUMNS($AB$1006:AQ1006),$AB$1006:$AQ$1006,0)))),"Fix")))</f>
        <v>0</v>
      </c>
      <c r="U120">
        <v>0</v>
      </c>
      <c r="V120">
        <v>0</v>
      </c>
      <c r="W120">
        <v>0</v>
      </c>
      <c r="X120">
        <f>IF(Y120,TRUE,AND(AB120:AQ120))</f>
        <v>0</v>
      </c>
      <c r="Y120">
        <f>COUNTBLANK(metadata!B120:Q120)=COLUMNS(metadata!B120:Q120)</f>
        <v>0</v>
      </c>
      <c r="Z120">
        <v>0</v>
      </c>
      <c r="AB120">
        <f>AND(IF(metadata!B120="",FALSE,TRUE),COUNTIF(metadata!B:B, metadata!B120) = 1,NOT(ISERROR(SUMPRODUCT(SEARCH(MID(metadata!B120,ROW(INDIRECT("1:"&amp;LEN(metadata!B120))), 1),"0123456789abcdefghijklmnopqrstuvwxyzABCDEFGHIJKLMNOPQRSTUVWXYZ.")))))</f>
        <v>0</v>
      </c>
      <c r="AC120">
        <f>OR(AND(IF(metadata!C120="",FALSE,TRUE),OR(exact(metadata!C120,"missing: not collected"),exact(metadata!C120,"missing: not provided"),exact(metadata!C120,"missing: restricted access"))),AND(IF(metadata!C120="",FALSE,TRUE),AND(AND(IFERROR(INT(LEFT(metadata!C120,4))&gt;1900,FALSE),IFERROR(INT(LEFT(metadata!C120,4))&lt;=YEAR(NOW()),FALSE)), OR(MID(metadata!C120,5,1)="", AND(AND(MID(metadata!C120,5,1)="-",IFERROR(INT(MID(metadata!C120,6,1))&gt;=0,FALSE),IFERROR(INT(MID(metadata!C120,6,1))&lt;=1,FALSE),NOT(MID(metadata!C120,7,1)=""),IFERROR(INT(MID(metadata!C120,6,2))&gt;=1,FALSE),IFERROR(INT(MID(metadata!C120,6,2))&lt;=12,FALSE)), OR(MID(metadata!C120,8,1)="", AND(AND(MID(metadata!C120,8,1)="-",IFERROR(INT(MID(metadata!C120,9,1))&gt;=0,FALSE),IFERROR(INT(MID(metadata!C120,9,1))&lt;=3,FALSE),NOT(MID(metadata!C120,10,1)=""),IFERROR(INT(MID(metadata!C120,9,2))&gt;=1,FALSE),IFERROR(INT(MID(metadata!C120,9,2))&lt;=31,FALSE)), OR(MID(metadata!C120,11,1)="", AND(AND(MID(metadata!C120,11,1)=" ",IFERROR(INT(MID(metadata!C120,12,1))&gt;=0,FALSE),IFERROR(INT(MID(metadata!C120,12,1))&lt;=2,FALSE),NOT(MID(metadata!C120,13,1)=""),IFERROR(INT(MID(metadata!C120,12,2))&gt;=0,FALSE),IFERROR(INT(MID(metadata!C120,12,2))&lt;=23,FALSE)), OR(MID(metadata!C120,14,1)="", AND(AND(MID(metadata!C120,14,1)=":",IFERROR(INT(MID(metadata!C120,15,1))&gt;=0,FALSE),IFERROR(INT(MID(metadata!C120,15,1))&lt;=5,FALSE),NOT(MID(metadata!C120,16,1)=""),IFERROR(INT(MID(metadata!C120,15,2))&gt;=0,FALSE),IFERROR(INT(MID(metadata!C120,15,2))&lt;=59,FALSE)), OR(MID(metadata!C120,17,1)="", AND(AND(MID(metadata!C120,17,1)=":",IFERROR(INT(MID(metadata!C120,18,1))&gt;=0,FALSE),IFERROR(INT(MID(metadata!C120,18,1))&lt;=5,FALSE),NOT(MID(metadata!C120,19,1)=""),IFERROR(INT(MID(metadata!C120,18,2))&gt;=0,FALSE),IFERROR(INT(MID(metadata!C120,18,2))&lt;=59,FALSE)), LEN(metadata!C120)&lt;=19)))))))))))))</f>
        <v>0</v>
      </c>
      <c r="AD120">
        <f>IF(metadata!D120="",FALSE,TRUE)</f>
        <v>0</v>
      </c>
      <c r="AE120">
        <f>OR(AND(IF(metadata!E120="",FALSE,TRUE),OR(exact(metadata!E120,"missing: not collected"),exact(metadata!E120,"missing: not provided"))),AND(IF(metadata!E120="",FALSE,TRUE),OR(exact(metadata!E120,"TRUE"),exact(metadata!E120,"FALSE"))))</f>
        <v>0</v>
      </c>
      <c r="AF120">
        <f>IF(metadata!F120="",FALSE,TRUE)</f>
        <v>0</v>
      </c>
      <c r="AG120">
        <f>IF(metadata!G120="",FALSE,TRUE)</f>
        <v>0</v>
      </c>
      <c r="AH120">
        <f>IF(metadata!H120="",FALSE,TRUE)</f>
        <v>0</v>
      </c>
      <c r="AI120">
        <f>OR(AND(IF(metadata!I120="",FALSE,TRUE),OR(exact(metadata!I120,"missing: not collected"),exact(metadata!I120,"missing: not provided"),exact(metadata!I120,"missing: restricted access"))),AND(IF(metadata!I120="",FALSE,TRUE),OR(exact(metadata!I120,"air"),exact(metadata!I120,"built environment"),exact(metadata!I120,"host-associated"),exact(metadata!I120,"human-associated"),exact(metadata!I120,"human-skin"),exact(metadata!I120,"human-oral"),exact(metadata!I120,"human-gut"),exact(metadata!I120,"human-vaginal"),exact(metadata!I120,"microbial mat/biofilm"),exact(metadata!I120,"misc environment"),exact(metadata!I120,"plant-associated"),exact(metadata!I120,"sediment"),exact(metadata!I120,"soil"),exact(metadata!I120,"wastewater/sludge"),exact(metadata!I120,"water"))))</f>
        <v>0</v>
      </c>
      <c r="AJ120">
        <f>IF(metadata!J120="",FALSE,TRUE)</f>
        <v>0</v>
      </c>
      <c r="AK120">
        <f>OR(AND(IF(metadata!K120="",FALSE,TRUE),OR(exact(metadata!K120,"missing: not collected"),exact(metadata!K120,"missing: not provided"),exact(metadata!K120,"missing: restricted access"))),AND(IF(metadata!K120="",FALSE,ISNUMBER(VALUE(metadata!K120))),metadata!K120&gt;=-90.00,metadata!K120&lt;=90.00))</f>
        <v>0</v>
      </c>
      <c r="AL120">
        <f>OR(AND(IF(metadata!L120="",FALSE,TRUE),OR(exact(metadata!L120,"missing: not collected"),exact(metadata!L120,"missing: not provided"),exact(metadata!L120,"missing: restricted access"))),AND(IF(metadata!L120="",FALSE,ISNUMBER(VALUE(metadata!L120))),metadata!L120&gt;=-180.00,metadata!L120&lt;=180.00))</f>
        <v>0</v>
      </c>
      <c r="AM120">
        <f>IF(metadata!M120="",FALSE,TRUE)</f>
        <v>0</v>
      </c>
      <c r="AN120">
        <f>OR(AND(IF(metadata!N120="",FALSE,TRUE),OR(exact(metadata!N120,"missing: not collected"),exact(metadata!N120,"missing: not provided"),exact(metadata!N120,"missing: restricted access"))),AND(IF(metadata!N120="",FALSE,TRUE),OR(exact(metadata!N120,"TRUE"),exact(metadata!N120,"FALSE"))))</f>
        <v>0</v>
      </c>
      <c r="AO120">
        <f>IF(metadata!O120="",FALSE,TRUE)</f>
        <v>0</v>
      </c>
      <c r="AP120">
        <f>OR(AND(IF(metadata!P120="",FALSE,TRUE),OR(exact(metadata!P120,"missing: not collected"),exact(metadata!P120,"missing: not provided"))),AND(IF(metadata!P120="",FALSE,IF(ISERROR(INT(metadata!P120)),FALSE,INT(metadata!P120)=metadata!P120)),metadata!P120&gt;0))</f>
        <v>0</v>
      </c>
      <c r="AQ120">
        <f>IF(metadata!Q120="",FALSE,TRUE)</f>
        <v>0</v>
      </c>
    </row>
    <row r="121" spans="1:43">
      <c r="A121" s="5">
        <f>IF(B121=" "," ",HYPERLINK(CONCATENATE("#metadata!",ADDRESS(INDEX($W$2:$W$1001,MATCH(ROWS($U$2:U121),$U$2:$U$1001,0),0),1)),INDEX($Z$2:$Z$1001,MATCH(ROWS($U$2:U121),$U$2:$U$1001,0),0)))</f>
        <v>0</v>
      </c>
      <c r="B121" s="4">
        <f>IF(OR(INDEX($V$2:$V$1001,MATCH(ROWS($U$2:U121),$U$2:$U$1001,0),1)&gt;=100000,INDEX($AB$1005:$AQ$1005,1,MATCH(COLUMNS($AB$1006:AB1006),$AB$1006:$AQ$1006,0))&gt;=100000), " ",IF(INDEX($AB$2:$AQ$1001,MATCH(ROWS($U$2:U121),$U$2:$U$1001,0),MATCH(COLUMNS($AB$1006:AB1006),$AB$1006:$AQ$1006,0)), HYPERLINK("#",""), HYPERLINK(CONCATENATE("#metadata!", ADDRESS(INDEX($W$2:$W$1001,MATCH(ROWS($U$2:U121),$U$2:$U$1001,0),0), INDEX($AB$1004:$AQ$1004,1,MATCH(COLUMNS($AB$1006:AB1006),$AB$1006:$AQ$1006,0)))),"Fix")))</f>
        <v>0</v>
      </c>
      <c r="C121" s="4">
        <f>IF(OR(INDEX($V$2:$V$1001,MATCH(ROWS($U$2:U121),$U$2:$U$1001,0),1)&gt;=100000,INDEX($AB$1005:$AQ$1005,1,MATCH(COLUMNS($AB$1006:AC1006),$AB$1006:$AQ$1006,0))&gt;=100000), " ",IF(INDEX($AB$2:$AQ$1001,MATCH(ROWS($U$2:U121),$U$2:$U$1001,0),MATCH(COLUMNS($AB$1006:AC1006),$AB$1006:$AQ$1006,0)), HYPERLINK("#",""), HYPERLINK(CONCATENATE("#metadata!", ADDRESS(INDEX($W$2:$W$1001,MATCH(ROWS($U$2:U121),$U$2:$U$1001,0),0), INDEX($AB$1004:$AQ$1004,1,MATCH(COLUMNS($AB$1006:AC1006),$AB$1006:$AQ$1006,0)))),"Fix")))</f>
        <v>0</v>
      </c>
      <c r="D121" s="4">
        <f>IF(OR(INDEX($V$2:$V$1001,MATCH(ROWS($U$2:U121),$U$2:$U$1001,0),1)&gt;=100000,INDEX($AB$1005:$AQ$1005,1,MATCH(COLUMNS($AB$1006:AD1006),$AB$1006:$AQ$1006,0))&gt;=100000), " ",IF(INDEX($AB$2:$AQ$1001,MATCH(ROWS($U$2:U121),$U$2:$U$1001,0),MATCH(COLUMNS($AB$1006:AD1006),$AB$1006:$AQ$1006,0)), HYPERLINK("#",""), HYPERLINK(CONCATENATE("#metadata!", ADDRESS(INDEX($W$2:$W$1001,MATCH(ROWS($U$2:U121),$U$2:$U$1001,0),0), INDEX($AB$1004:$AQ$1004,1,MATCH(COLUMNS($AB$1006:AD1006),$AB$1006:$AQ$1006,0)))),"Fix")))</f>
        <v>0</v>
      </c>
      <c r="E121" s="4">
        <f>IF(OR(INDEX($V$2:$V$1001,MATCH(ROWS($U$2:U121),$U$2:$U$1001,0),1)&gt;=100000,INDEX($AB$1005:$AQ$1005,1,MATCH(COLUMNS($AB$1006:AE1006),$AB$1006:$AQ$1006,0))&gt;=100000), " ",IF(INDEX($AB$2:$AQ$1001,MATCH(ROWS($U$2:U121),$U$2:$U$1001,0),MATCH(COLUMNS($AB$1006:AE1006),$AB$1006:$AQ$1006,0)), HYPERLINK("#",""), HYPERLINK(CONCATENATE("#metadata!", ADDRESS(INDEX($W$2:$W$1001,MATCH(ROWS($U$2:U121),$U$2:$U$1001,0),0), INDEX($AB$1004:$AQ$1004,1,MATCH(COLUMNS($AB$1006:AE1006),$AB$1006:$AQ$1006,0)))),"Fix")))</f>
        <v>0</v>
      </c>
      <c r="F121" s="4">
        <f>IF(OR(INDEX($V$2:$V$1001,MATCH(ROWS($U$2:U121),$U$2:$U$1001,0),1)&gt;=100000,INDEX($AB$1005:$AQ$1005,1,MATCH(COLUMNS($AB$1006:AF1006),$AB$1006:$AQ$1006,0))&gt;=100000), " ",IF(INDEX($AB$2:$AQ$1001,MATCH(ROWS($U$2:U121),$U$2:$U$1001,0),MATCH(COLUMNS($AB$1006:AF1006),$AB$1006:$AQ$1006,0)), HYPERLINK("#",""), HYPERLINK(CONCATENATE("#metadata!", ADDRESS(INDEX($W$2:$W$1001,MATCH(ROWS($U$2:U121),$U$2:$U$1001,0),0), INDEX($AB$1004:$AQ$1004,1,MATCH(COLUMNS($AB$1006:AF1006),$AB$1006:$AQ$1006,0)))),"Fix")))</f>
        <v>0</v>
      </c>
      <c r="G121" s="4">
        <f>IF(OR(INDEX($V$2:$V$1001,MATCH(ROWS($U$2:U121),$U$2:$U$1001,0),1)&gt;=100000,INDEX($AB$1005:$AQ$1005,1,MATCH(COLUMNS($AB$1006:AG1006),$AB$1006:$AQ$1006,0))&gt;=100000), " ",IF(INDEX($AB$2:$AQ$1001,MATCH(ROWS($U$2:U121),$U$2:$U$1001,0),MATCH(COLUMNS($AB$1006:AG1006),$AB$1006:$AQ$1006,0)), HYPERLINK("#",""), HYPERLINK(CONCATENATE("#metadata!", ADDRESS(INDEX($W$2:$W$1001,MATCH(ROWS($U$2:U121),$U$2:$U$1001,0),0), INDEX($AB$1004:$AQ$1004,1,MATCH(COLUMNS($AB$1006:AG1006),$AB$1006:$AQ$1006,0)))),"Fix")))</f>
        <v>0</v>
      </c>
      <c r="H121" s="4">
        <f>IF(OR(INDEX($V$2:$V$1001,MATCH(ROWS($U$2:U121),$U$2:$U$1001,0),1)&gt;=100000,INDEX($AB$1005:$AQ$1005,1,MATCH(COLUMNS($AB$1006:AH1006),$AB$1006:$AQ$1006,0))&gt;=100000), " ",IF(INDEX($AB$2:$AQ$1001,MATCH(ROWS($U$2:U121),$U$2:$U$1001,0),MATCH(COLUMNS($AB$1006:AH1006),$AB$1006:$AQ$1006,0)), HYPERLINK("#",""), HYPERLINK(CONCATENATE("#metadata!", ADDRESS(INDEX($W$2:$W$1001,MATCH(ROWS($U$2:U121),$U$2:$U$1001,0),0), INDEX($AB$1004:$AQ$1004,1,MATCH(COLUMNS($AB$1006:AH1006),$AB$1006:$AQ$1006,0)))),"Fix")))</f>
        <v>0</v>
      </c>
      <c r="I121" s="4">
        <f>IF(OR(INDEX($V$2:$V$1001,MATCH(ROWS($U$2:U121),$U$2:$U$1001,0),1)&gt;=100000,INDEX($AB$1005:$AQ$1005,1,MATCH(COLUMNS($AB$1006:AI1006),$AB$1006:$AQ$1006,0))&gt;=100000), " ",IF(INDEX($AB$2:$AQ$1001,MATCH(ROWS($U$2:U121),$U$2:$U$1001,0),MATCH(COLUMNS($AB$1006:AI1006),$AB$1006:$AQ$1006,0)), HYPERLINK("#",""), HYPERLINK(CONCATENATE("#metadata!", ADDRESS(INDEX($W$2:$W$1001,MATCH(ROWS($U$2:U121),$U$2:$U$1001,0),0), INDEX($AB$1004:$AQ$1004,1,MATCH(COLUMNS($AB$1006:AI1006),$AB$1006:$AQ$1006,0)))),"Fix")))</f>
        <v>0</v>
      </c>
      <c r="J121" s="4">
        <f>IF(OR(INDEX($V$2:$V$1001,MATCH(ROWS($U$2:U121),$U$2:$U$1001,0),1)&gt;=100000,INDEX($AB$1005:$AQ$1005,1,MATCH(COLUMNS($AB$1006:AJ1006),$AB$1006:$AQ$1006,0))&gt;=100000), " ",IF(INDEX($AB$2:$AQ$1001,MATCH(ROWS($U$2:U121),$U$2:$U$1001,0),MATCH(COLUMNS($AB$1006:AJ1006),$AB$1006:$AQ$1006,0)), HYPERLINK("#",""), HYPERLINK(CONCATENATE("#metadata!", ADDRESS(INDEX($W$2:$W$1001,MATCH(ROWS($U$2:U121),$U$2:$U$1001,0),0), INDEX($AB$1004:$AQ$1004,1,MATCH(COLUMNS($AB$1006:AJ1006),$AB$1006:$AQ$1006,0)))),"Fix")))</f>
        <v>0</v>
      </c>
      <c r="K121" s="4">
        <f>IF(OR(INDEX($V$2:$V$1001,MATCH(ROWS($U$2:U121),$U$2:$U$1001,0),1)&gt;=100000,INDEX($AB$1005:$AQ$1005,1,MATCH(COLUMNS($AB$1006:AK1006),$AB$1006:$AQ$1006,0))&gt;=100000), " ",IF(INDEX($AB$2:$AQ$1001,MATCH(ROWS($U$2:U121),$U$2:$U$1001,0),MATCH(COLUMNS($AB$1006:AK1006),$AB$1006:$AQ$1006,0)), HYPERLINK("#",""), HYPERLINK(CONCATENATE("#metadata!", ADDRESS(INDEX($W$2:$W$1001,MATCH(ROWS($U$2:U121),$U$2:$U$1001,0),0), INDEX($AB$1004:$AQ$1004,1,MATCH(COLUMNS($AB$1006:AK1006),$AB$1006:$AQ$1006,0)))),"Fix")))</f>
        <v>0</v>
      </c>
      <c r="L121" s="4">
        <f>IF(OR(INDEX($V$2:$V$1001,MATCH(ROWS($U$2:U121),$U$2:$U$1001,0),1)&gt;=100000,INDEX($AB$1005:$AQ$1005,1,MATCH(COLUMNS($AB$1006:AL1006),$AB$1006:$AQ$1006,0))&gt;=100000), " ",IF(INDEX($AB$2:$AQ$1001,MATCH(ROWS($U$2:U121),$U$2:$U$1001,0),MATCH(COLUMNS($AB$1006:AL1006),$AB$1006:$AQ$1006,0)), HYPERLINK("#",""), HYPERLINK(CONCATENATE("#metadata!", ADDRESS(INDEX($W$2:$W$1001,MATCH(ROWS($U$2:U121),$U$2:$U$1001,0),0), INDEX($AB$1004:$AQ$1004,1,MATCH(COLUMNS($AB$1006:AL1006),$AB$1006:$AQ$1006,0)))),"Fix")))</f>
        <v>0</v>
      </c>
      <c r="M121" s="4">
        <f>IF(OR(INDEX($V$2:$V$1001,MATCH(ROWS($U$2:U121),$U$2:$U$1001,0),1)&gt;=100000,INDEX($AB$1005:$AQ$1005,1,MATCH(COLUMNS($AB$1006:AM1006),$AB$1006:$AQ$1006,0))&gt;=100000), " ",IF(INDEX($AB$2:$AQ$1001,MATCH(ROWS($U$2:U121),$U$2:$U$1001,0),MATCH(COLUMNS($AB$1006:AM1006),$AB$1006:$AQ$1006,0)), HYPERLINK("#",""), HYPERLINK(CONCATENATE("#metadata!", ADDRESS(INDEX($W$2:$W$1001,MATCH(ROWS($U$2:U121),$U$2:$U$1001,0),0), INDEX($AB$1004:$AQ$1004,1,MATCH(COLUMNS($AB$1006:AM1006),$AB$1006:$AQ$1006,0)))),"Fix")))</f>
        <v>0</v>
      </c>
      <c r="N121" s="4">
        <f>IF(OR(INDEX($V$2:$V$1001,MATCH(ROWS($U$2:U121),$U$2:$U$1001,0),1)&gt;=100000,INDEX($AB$1005:$AQ$1005,1,MATCH(COLUMNS($AB$1006:AN1006),$AB$1006:$AQ$1006,0))&gt;=100000), " ",IF(INDEX($AB$2:$AQ$1001,MATCH(ROWS($U$2:U121),$U$2:$U$1001,0),MATCH(COLUMNS($AB$1006:AN1006),$AB$1006:$AQ$1006,0)), HYPERLINK("#",""), HYPERLINK(CONCATENATE("#metadata!", ADDRESS(INDEX($W$2:$W$1001,MATCH(ROWS($U$2:U121),$U$2:$U$1001,0),0), INDEX($AB$1004:$AQ$1004,1,MATCH(COLUMNS($AB$1006:AN1006),$AB$1006:$AQ$1006,0)))),"Fix")))</f>
        <v>0</v>
      </c>
      <c r="O121" s="4">
        <f>IF(OR(INDEX($V$2:$V$1001,MATCH(ROWS($U$2:U121),$U$2:$U$1001,0),1)&gt;=100000,INDEX($AB$1005:$AQ$1005,1,MATCH(COLUMNS($AB$1006:AO1006),$AB$1006:$AQ$1006,0))&gt;=100000), " ",IF(INDEX($AB$2:$AQ$1001,MATCH(ROWS($U$2:U121),$U$2:$U$1001,0),MATCH(COLUMNS($AB$1006:AO1006),$AB$1006:$AQ$1006,0)), HYPERLINK("#",""), HYPERLINK(CONCATENATE("#metadata!", ADDRESS(INDEX($W$2:$W$1001,MATCH(ROWS($U$2:U121),$U$2:$U$1001,0),0), INDEX($AB$1004:$AQ$1004,1,MATCH(COLUMNS($AB$1006:AO1006),$AB$1006:$AQ$1006,0)))),"Fix")))</f>
        <v>0</v>
      </c>
      <c r="P121" s="4">
        <f>IF(OR(INDEX($V$2:$V$1001,MATCH(ROWS($U$2:U121),$U$2:$U$1001,0),1)&gt;=100000,INDEX($AB$1005:$AQ$1005,1,MATCH(COLUMNS($AB$1006:AP1006),$AB$1006:$AQ$1006,0))&gt;=100000), " ",IF(INDEX($AB$2:$AQ$1001,MATCH(ROWS($U$2:U121),$U$2:$U$1001,0),MATCH(COLUMNS($AB$1006:AP1006),$AB$1006:$AQ$1006,0)), HYPERLINK("#",""), HYPERLINK(CONCATENATE("#metadata!", ADDRESS(INDEX($W$2:$W$1001,MATCH(ROWS($U$2:U121),$U$2:$U$1001,0),0), INDEX($AB$1004:$AQ$1004,1,MATCH(COLUMNS($AB$1006:AP1006),$AB$1006:$AQ$1006,0)))),"Fix")))</f>
        <v>0</v>
      </c>
      <c r="Q121" s="4">
        <f>IF(OR(INDEX($V$2:$V$1001,MATCH(ROWS($U$2:U121),$U$2:$U$1001,0),1)&gt;=100000,INDEX($AB$1005:$AQ$1005,1,MATCH(COLUMNS($AB$1006:AQ1006),$AB$1006:$AQ$1006,0))&gt;=100000), " ",IF(INDEX($AB$2:$AQ$1001,MATCH(ROWS($U$2:U121),$U$2:$U$1001,0),MATCH(COLUMNS($AB$1006:AQ1006),$AB$1006:$AQ$1006,0)), HYPERLINK("#",""), HYPERLINK(CONCATENATE("#metadata!", ADDRESS(INDEX($W$2:$W$1001,MATCH(ROWS($U$2:U121),$U$2:$U$1001,0),0), INDEX($AB$1004:$AQ$1004,1,MATCH(COLUMNS($AB$1006:AQ1006),$AB$1006:$AQ$1006,0)))),"Fix")))</f>
        <v>0</v>
      </c>
      <c r="U121">
        <v>0</v>
      </c>
      <c r="V121">
        <v>0</v>
      </c>
      <c r="W121">
        <v>0</v>
      </c>
      <c r="X121">
        <f>IF(Y121,TRUE,AND(AB121:AQ121))</f>
        <v>0</v>
      </c>
      <c r="Y121">
        <f>COUNTBLANK(metadata!B121:Q121)=COLUMNS(metadata!B121:Q121)</f>
        <v>0</v>
      </c>
      <c r="Z121">
        <v>0</v>
      </c>
      <c r="AB121">
        <f>AND(IF(metadata!B121="",FALSE,TRUE),COUNTIF(metadata!B:B, metadata!B121) = 1,NOT(ISERROR(SUMPRODUCT(SEARCH(MID(metadata!B121,ROW(INDIRECT("1:"&amp;LEN(metadata!B121))), 1),"0123456789abcdefghijklmnopqrstuvwxyzABCDEFGHIJKLMNOPQRSTUVWXYZ.")))))</f>
        <v>0</v>
      </c>
      <c r="AC121">
        <f>OR(AND(IF(metadata!C121="",FALSE,TRUE),OR(exact(metadata!C121,"missing: not collected"),exact(metadata!C121,"missing: not provided"),exact(metadata!C121,"missing: restricted access"))),AND(IF(metadata!C121="",FALSE,TRUE),AND(AND(IFERROR(INT(LEFT(metadata!C121,4))&gt;1900,FALSE),IFERROR(INT(LEFT(metadata!C121,4))&lt;=YEAR(NOW()),FALSE)), OR(MID(metadata!C121,5,1)="", AND(AND(MID(metadata!C121,5,1)="-",IFERROR(INT(MID(metadata!C121,6,1))&gt;=0,FALSE),IFERROR(INT(MID(metadata!C121,6,1))&lt;=1,FALSE),NOT(MID(metadata!C121,7,1)=""),IFERROR(INT(MID(metadata!C121,6,2))&gt;=1,FALSE),IFERROR(INT(MID(metadata!C121,6,2))&lt;=12,FALSE)), OR(MID(metadata!C121,8,1)="", AND(AND(MID(metadata!C121,8,1)="-",IFERROR(INT(MID(metadata!C121,9,1))&gt;=0,FALSE),IFERROR(INT(MID(metadata!C121,9,1))&lt;=3,FALSE),NOT(MID(metadata!C121,10,1)=""),IFERROR(INT(MID(metadata!C121,9,2))&gt;=1,FALSE),IFERROR(INT(MID(metadata!C121,9,2))&lt;=31,FALSE)), OR(MID(metadata!C121,11,1)="", AND(AND(MID(metadata!C121,11,1)=" ",IFERROR(INT(MID(metadata!C121,12,1))&gt;=0,FALSE),IFERROR(INT(MID(metadata!C121,12,1))&lt;=2,FALSE),NOT(MID(metadata!C121,13,1)=""),IFERROR(INT(MID(metadata!C121,12,2))&gt;=0,FALSE),IFERROR(INT(MID(metadata!C121,12,2))&lt;=23,FALSE)), OR(MID(metadata!C121,14,1)="", AND(AND(MID(metadata!C121,14,1)=":",IFERROR(INT(MID(metadata!C121,15,1))&gt;=0,FALSE),IFERROR(INT(MID(metadata!C121,15,1))&lt;=5,FALSE),NOT(MID(metadata!C121,16,1)=""),IFERROR(INT(MID(metadata!C121,15,2))&gt;=0,FALSE),IFERROR(INT(MID(metadata!C121,15,2))&lt;=59,FALSE)), OR(MID(metadata!C121,17,1)="", AND(AND(MID(metadata!C121,17,1)=":",IFERROR(INT(MID(metadata!C121,18,1))&gt;=0,FALSE),IFERROR(INT(MID(metadata!C121,18,1))&lt;=5,FALSE),NOT(MID(metadata!C121,19,1)=""),IFERROR(INT(MID(metadata!C121,18,2))&gt;=0,FALSE),IFERROR(INT(MID(metadata!C121,18,2))&lt;=59,FALSE)), LEN(metadata!C121)&lt;=19)))))))))))))</f>
        <v>0</v>
      </c>
      <c r="AD121">
        <f>IF(metadata!D121="",FALSE,TRUE)</f>
        <v>0</v>
      </c>
      <c r="AE121">
        <f>OR(AND(IF(metadata!E121="",FALSE,TRUE),OR(exact(metadata!E121,"missing: not collected"),exact(metadata!E121,"missing: not provided"))),AND(IF(metadata!E121="",FALSE,TRUE),OR(exact(metadata!E121,"TRUE"),exact(metadata!E121,"FALSE"))))</f>
        <v>0</v>
      </c>
      <c r="AF121">
        <f>IF(metadata!F121="",FALSE,TRUE)</f>
        <v>0</v>
      </c>
      <c r="AG121">
        <f>IF(metadata!G121="",FALSE,TRUE)</f>
        <v>0</v>
      </c>
      <c r="AH121">
        <f>IF(metadata!H121="",FALSE,TRUE)</f>
        <v>0</v>
      </c>
      <c r="AI121">
        <f>OR(AND(IF(metadata!I121="",FALSE,TRUE),OR(exact(metadata!I121,"missing: not collected"),exact(metadata!I121,"missing: not provided"),exact(metadata!I121,"missing: restricted access"))),AND(IF(metadata!I121="",FALSE,TRUE),OR(exact(metadata!I121,"air"),exact(metadata!I121,"built environment"),exact(metadata!I121,"host-associated"),exact(metadata!I121,"human-associated"),exact(metadata!I121,"human-skin"),exact(metadata!I121,"human-oral"),exact(metadata!I121,"human-gut"),exact(metadata!I121,"human-vaginal"),exact(metadata!I121,"microbial mat/biofilm"),exact(metadata!I121,"misc environment"),exact(metadata!I121,"plant-associated"),exact(metadata!I121,"sediment"),exact(metadata!I121,"soil"),exact(metadata!I121,"wastewater/sludge"),exact(metadata!I121,"water"))))</f>
        <v>0</v>
      </c>
      <c r="AJ121">
        <f>IF(metadata!J121="",FALSE,TRUE)</f>
        <v>0</v>
      </c>
      <c r="AK121">
        <f>OR(AND(IF(metadata!K121="",FALSE,TRUE),OR(exact(metadata!K121,"missing: not collected"),exact(metadata!K121,"missing: not provided"),exact(metadata!K121,"missing: restricted access"))),AND(IF(metadata!K121="",FALSE,ISNUMBER(VALUE(metadata!K121))),metadata!K121&gt;=-90.00,metadata!K121&lt;=90.00))</f>
        <v>0</v>
      </c>
      <c r="AL121">
        <f>OR(AND(IF(metadata!L121="",FALSE,TRUE),OR(exact(metadata!L121,"missing: not collected"),exact(metadata!L121,"missing: not provided"),exact(metadata!L121,"missing: restricted access"))),AND(IF(metadata!L121="",FALSE,ISNUMBER(VALUE(metadata!L121))),metadata!L121&gt;=-180.00,metadata!L121&lt;=180.00))</f>
        <v>0</v>
      </c>
      <c r="AM121">
        <f>IF(metadata!M121="",FALSE,TRUE)</f>
        <v>0</v>
      </c>
      <c r="AN121">
        <f>OR(AND(IF(metadata!N121="",FALSE,TRUE),OR(exact(metadata!N121,"missing: not collected"),exact(metadata!N121,"missing: not provided"),exact(metadata!N121,"missing: restricted access"))),AND(IF(metadata!N121="",FALSE,TRUE),OR(exact(metadata!N121,"TRUE"),exact(metadata!N121,"FALSE"))))</f>
        <v>0</v>
      </c>
      <c r="AO121">
        <f>IF(metadata!O121="",FALSE,TRUE)</f>
        <v>0</v>
      </c>
      <c r="AP121">
        <f>OR(AND(IF(metadata!P121="",FALSE,TRUE),OR(exact(metadata!P121,"missing: not collected"),exact(metadata!P121,"missing: not provided"))),AND(IF(metadata!P121="",FALSE,IF(ISERROR(INT(metadata!P121)),FALSE,INT(metadata!P121)=metadata!P121)),metadata!P121&gt;0))</f>
        <v>0</v>
      </c>
      <c r="AQ121">
        <f>IF(metadata!Q121="",FALSE,TRUE)</f>
        <v>0</v>
      </c>
    </row>
    <row r="122" spans="1:43">
      <c r="A122" s="5">
        <f>IF(B122=" "," ",HYPERLINK(CONCATENATE("#metadata!",ADDRESS(INDEX($W$2:$W$1001,MATCH(ROWS($U$2:U122),$U$2:$U$1001,0),0),1)),INDEX($Z$2:$Z$1001,MATCH(ROWS($U$2:U122),$U$2:$U$1001,0),0)))</f>
        <v>0</v>
      </c>
      <c r="B122" s="4">
        <f>IF(OR(INDEX($V$2:$V$1001,MATCH(ROWS($U$2:U122),$U$2:$U$1001,0),1)&gt;=100000,INDEX($AB$1005:$AQ$1005,1,MATCH(COLUMNS($AB$1006:AB1006),$AB$1006:$AQ$1006,0))&gt;=100000), " ",IF(INDEX($AB$2:$AQ$1001,MATCH(ROWS($U$2:U122),$U$2:$U$1001,0),MATCH(COLUMNS($AB$1006:AB1006),$AB$1006:$AQ$1006,0)), HYPERLINK("#",""), HYPERLINK(CONCATENATE("#metadata!", ADDRESS(INDEX($W$2:$W$1001,MATCH(ROWS($U$2:U122),$U$2:$U$1001,0),0), INDEX($AB$1004:$AQ$1004,1,MATCH(COLUMNS($AB$1006:AB1006),$AB$1006:$AQ$1006,0)))),"Fix")))</f>
        <v>0</v>
      </c>
      <c r="C122" s="4">
        <f>IF(OR(INDEX($V$2:$V$1001,MATCH(ROWS($U$2:U122),$U$2:$U$1001,0),1)&gt;=100000,INDEX($AB$1005:$AQ$1005,1,MATCH(COLUMNS($AB$1006:AC1006),$AB$1006:$AQ$1006,0))&gt;=100000), " ",IF(INDEX($AB$2:$AQ$1001,MATCH(ROWS($U$2:U122),$U$2:$U$1001,0),MATCH(COLUMNS($AB$1006:AC1006),$AB$1006:$AQ$1006,0)), HYPERLINK("#",""), HYPERLINK(CONCATENATE("#metadata!", ADDRESS(INDEX($W$2:$W$1001,MATCH(ROWS($U$2:U122),$U$2:$U$1001,0),0), INDEX($AB$1004:$AQ$1004,1,MATCH(COLUMNS($AB$1006:AC1006),$AB$1006:$AQ$1006,0)))),"Fix")))</f>
        <v>0</v>
      </c>
      <c r="D122" s="4">
        <f>IF(OR(INDEX($V$2:$V$1001,MATCH(ROWS($U$2:U122),$U$2:$U$1001,0),1)&gt;=100000,INDEX($AB$1005:$AQ$1005,1,MATCH(COLUMNS($AB$1006:AD1006),$AB$1006:$AQ$1006,0))&gt;=100000), " ",IF(INDEX($AB$2:$AQ$1001,MATCH(ROWS($U$2:U122),$U$2:$U$1001,0),MATCH(COLUMNS($AB$1006:AD1006),$AB$1006:$AQ$1006,0)), HYPERLINK("#",""), HYPERLINK(CONCATENATE("#metadata!", ADDRESS(INDEX($W$2:$W$1001,MATCH(ROWS($U$2:U122),$U$2:$U$1001,0),0), INDEX($AB$1004:$AQ$1004,1,MATCH(COLUMNS($AB$1006:AD1006),$AB$1006:$AQ$1006,0)))),"Fix")))</f>
        <v>0</v>
      </c>
      <c r="E122" s="4">
        <f>IF(OR(INDEX($V$2:$V$1001,MATCH(ROWS($U$2:U122),$U$2:$U$1001,0),1)&gt;=100000,INDEX($AB$1005:$AQ$1005,1,MATCH(COLUMNS($AB$1006:AE1006),$AB$1006:$AQ$1006,0))&gt;=100000), " ",IF(INDEX($AB$2:$AQ$1001,MATCH(ROWS($U$2:U122),$U$2:$U$1001,0),MATCH(COLUMNS($AB$1006:AE1006),$AB$1006:$AQ$1006,0)), HYPERLINK("#",""), HYPERLINK(CONCATENATE("#metadata!", ADDRESS(INDEX($W$2:$W$1001,MATCH(ROWS($U$2:U122),$U$2:$U$1001,0),0), INDEX($AB$1004:$AQ$1004,1,MATCH(COLUMNS($AB$1006:AE1006),$AB$1006:$AQ$1006,0)))),"Fix")))</f>
        <v>0</v>
      </c>
      <c r="F122" s="4">
        <f>IF(OR(INDEX($V$2:$V$1001,MATCH(ROWS($U$2:U122),$U$2:$U$1001,0),1)&gt;=100000,INDEX($AB$1005:$AQ$1005,1,MATCH(COLUMNS($AB$1006:AF1006),$AB$1006:$AQ$1006,0))&gt;=100000), " ",IF(INDEX($AB$2:$AQ$1001,MATCH(ROWS($U$2:U122),$U$2:$U$1001,0),MATCH(COLUMNS($AB$1006:AF1006),$AB$1006:$AQ$1006,0)), HYPERLINK("#",""), HYPERLINK(CONCATENATE("#metadata!", ADDRESS(INDEX($W$2:$W$1001,MATCH(ROWS($U$2:U122),$U$2:$U$1001,0),0), INDEX($AB$1004:$AQ$1004,1,MATCH(COLUMNS($AB$1006:AF1006),$AB$1006:$AQ$1006,0)))),"Fix")))</f>
        <v>0</v>
      </c>
      <c r="G122" s="4">
        <f>IF(OR(INDEX($V$2:$V$1001,MATCH(ROWS($U$2:U122),$U$2:$U$1001,0),1)&gt;=100000,INDEX($AB$1005:$AQ$1005,1,MATCH(COLUMNS($AB$1006:AG1006),$AB$1006:$AQ$1006,0))&gt;=100000), " ",IF(INDEX($AB$2:$AQ$1001,MATCH(ROWS($U$2:U122),$U$2:$U$1001,0),MATCH(COLUMNS($AB$1006:AG1006),$AB$1006:$AQ$1006,0)), HYPERLINK("#",""), HYPERLINK(CONCATENATE("#metadata!", ADDRESS(INDEX($W$2:$W$1001,MATCH(ROWS($U$2:U122),$U$2:$U$1001,0),0), INDEX($AB$1004:$AQ$1004,1,MATCH(COLUMNS($AB$1006:AG1006),$AB$1006:$AQ$1006,0)))),"Fix")))</f>
        <v>0</v>
      </c>
      <c r="H122" s="4">
        <f>IF(OR(INDEX($V$2:$V$1001,MATCH(ROWS($U$2:U122),$U$2:$U$1001,0),1)&gt;=100000,INDEX($AB$1005:$AQ$1005,1,MATCH(COLUMNS($AB$1006:AH1006),$AB$1006:$AQ$1006,0))&gt;=100000), " ",IF(INDEX($AB$2:$AQ$1001,MATCH(ROWS($U$2:U122),$U$2:$U$1001,0),MATCH(COLUMNS($AB$1006:AH1006),$AB$1006:$AQ$1006,0)), HYPERLINK("#",""), HYPERLINK(CONCATENATE("#metadata!", ADDRESS(INDEX($W$2:$W$1001,MATCH(ROWS($U$2:U122),$U$2:$U$1001,0),0), INDEX($AB$1004:$AQ$1004,1,MATCH(COLUMNS($AB$1006:AH1006),$AB$1006:$AQ$1006,0)))),"Fix")))</f>
        <v>0</v>
      </c>
      <c r="I122" s="4">
        <f>IF(OR(INDEX($V$2:$V$1001,MATCH(ROWS($U$2:U122),$U$2:$U$1001,0),1)&gt;=100000,INDEX($AB$1005:$AQ$1005,1,MATCH(COLUMNS($AB$1006:AI1006),$AB$1006:$AQ$1006,0))&gt;=100000), " ",IF(INDEX($AB$2:$AQ$1001,MATCH(ROWS($U$2:U122),$U$2:$U$1001,0),MATCH(COLUMNS($AB$1006:AI1006),$AB$1006:$AQ$1006,0)), HYPERLINK("#",""), HYPERLINK(CONCATENATE("#metadata!", ADDRESS(INDEX($W$2:$W$1001,MATCH(ROWS($U$2:U122),$U$2:$U$1001,0),0), INDEX($AB$1004:$AQ$1004,1,MATCH(COLUMNS($AB$1006:AI1006),$AB$1006:$AQ$1006,0)))),"Fix")))</f>
        <v>0</v>
      </c>
      <c r="J122" s="4">
        <f>IF(OR(INDEX($V$2:$V$1001,MATCH(ROWS($U$2:U122),$U$2:$U$1001,0),1)&gt;=100000,INDEX($AB$1005:$AQ$1005,1,MATCH(COLUMNS($AB$1006:AJ1006),$AB$1006:$AQ$1006,0))&gt;=100000), " ",IF(INDEX($AB$2:$AQ$1001,MATCH(ROWS($U$2:U122),$U$2:$U$1001,0),MATCH(COLUMNS($AB$1006:AJ1006),$AB$1006:$AQ$1006,0)), HYPERLINK("#",""), HYPERLINK(CONCATENATE("#metadata!", ADDRESS(INDEX($W$2:$W$1001,MATCH(ROWS($U$2:U122),$U$2:$U$1001,0),0), INDEX($AB$1004:$AQ$1004,1,MATCH(COLUMNS($AB$1006:AJ1006),$AB$1006:$AQ$1006,0)))),"Fix")))</f>
        <v>0</v>
      </c>
      <c r="K122" s="4">
        <f>IF(OR(INDEX($V$2:$V$1001,MATCH(ROWS($U$2:U122),$U$2:$U$1001,0),1)&gt;=100000,INDEX($AB$1005:$AQ$1005,1,MATCH(COLUMNS($AB$1006:AK1006),$AB$1006:$AQ$1006,0))&gt;=100000), " ",IF(INDEX($AB$2:$AQ$1001,MATCH(ROWS($U$2:U122),$U$2:$U$1001,0),MATCH(COLUMNS($AB$1006:AK1006),$AB$1006:$AQ$1006,0)), HYPERLINK("#",""), HYPERLINK(CONCATENATE("#metadata!", ADDRESS(INDEX($W$2:$W$1001,MATCH(ROWS($U$2:U122),$U$2:$U$1001,0),0), INDEX($AB$1004:$AQ$1004,1,MATCH(COLUMNS($AB$1006:AK1006),$AB$1006:$AQ$1006,0)))),"Fix")))</f>
        <v>0</v>
      </c>
      <c r="L122" s="4">
        <f>IF(OR(INDEX($V$2:$V$1001,MATCH(ROWS($U$2:U122),$U$2:$U$1001,0),1)&gt;=100000,INDEX($AB$1005:$AQ$1005,1,MATCH(COLUMNS($AB$1006:AL1006),$AB$1006:$AQ$1006,0))&gt;=100000), " ",IF(INDEX($AB$2:$AQ$1001,MATCH(ROWS($U$2:U122),$U$2:$U$1001,0),MATCH(COLUMNS($AB$1006:AL1006),$AB$1006:$AQ$1006,0)), HYPERLINK("#",""), HYPERLINK(CONCATENATE("#metadata!", ADDRESS(INDEX($W$2:$W$1001,MATCH(ROWS($U$2:U122),$U$2:$U$1001,0),0), INDEX($AB$1004:$AQ$1004,1,MATCH(COLUMNS($AB$1006:AL1006),$AB$1006:$AQ$1006,0)))),"Fix")))</f>
        <v>0</v>
      </c>
      <c r="M122" s="4">
        <f>IF(OR(INDEX($V$2:$V$1001,MATCH(ROWS($U$2:U122),$U$2:$U$1001,0),1)&gt;=100000,INDEX($AB$1005:$AQ$1005,1,MATCH(COLUMNS($AB$1006:AM1006),$AB$1006:$AQ$1006,0))&gt;=100000), " ",IF(INDEX($AB$2:$AQ$1001,MATCH(ROWS($U$2:U122),$U$2:$U$1001,0),MATCH(COLUMNS($AB$1006:AM1006),$AB$1006:$AQ$1006,0)), HYPERLINK("#",""), HYPERLINK(CONCATENATE("#metadata!", ADDRESS(INDEX($W$2:$W$1001,MATCH(ROWS($U$2:U122),$U$2:$U$1001,0),0), INDEX($AB$1004:$AQ$1004,1,MATCH(COLUMNS($AB$1006:AM1006),$AB$1006:$AQ$1006,0)))),"Fix")))</f>
        <v>0</v>
      </c>
      <c r="N122" s="4">
        <f>IF(OR(INDEX($V$2:$V$1001,MATCH(ROWS($U$2:U122),$U$2:$U$1001,0),1)&gt;=100000,INDEX($AB$1005:$AQ$1005,1,MATCH(COLUMNS($AB$1006:AN1006),$AB$1006:$AQ$1006,0))&gt;=100000), " ",IF(INDEX($AB$2:$AQ$1001,MATCH(ROWS($U$2:U122),$U$2:$U$1001,0),MATCH(COLUMNS($AB$1006:AN1006),$AB$1006:$AQ$1006,0)), HYPERLINK("#",""), HYPERLINK(CONCATENATE("#metadata!", ADDRESS(INDEX($W$2:$W$1001,MATCH(ROWS($U$2:U122),$U$2:$U$1001,0),0), INDEX($AB$1004:$AQ$1004,1,MATCH(COLUMNS($AB$1006:AN1006),$AB$1006:$AQ$1006,0)))),"Fix")))</f>
        <v>0</v>
      </c>
      <c r="O122" s="4">
        <f>IF(OR(INDEX($V$2:$V$1001,MATCH(ROWS($U$2:U122),$U$2:$U$1001,0),1)&gt;=100000,INDEX($AB$1005:$AQ$1005,1,MATCH(COLUMNS($AB$1006:AO1006),$AB$1006:$AQ$1006,0))&gt;=100000), " ",IF(INDEX($AB$2:$AQ$1001,MATCH(ROWS($U$2:U122),$U$2:$U$1001,0),MATCH(COLUMNS($AB$1006:AO1006),$AB$1006:$AQ$1006,0)), HYPERLINK("#",""), HYPERLINK(CONCATENATE("#metadata!", ADDRESS(INDEX($W$2:$W$1001,MATCH(ROWS($U$2:U122),$U$2:$U$1001,0),0), INDEX($AB$1004:$AQ$1004,1,MATCH(COLUMNS($AB$1006:AO1006),$AB$1006:$AQ$1006,0)))),"Fix")))</f>
        <v>0</v>
      </c>
      <c r="P122" s="4">
        <f>IF(OR(INDEX($V$2:$V$1001,MATCH(ROWS($U$2:U122),$U$2:$U$1001,0),1)&gt;=100000,INDEX($AB$1005:$AQ$1005,1,MATCH(COLUMNS($AB$1006:AP1006),$AB$1006:$AQ$1006,0))&gt;=100000), " ",IF(INDEX($AB$2:$AQ$1001,MATCH(ROWS($U$2:U122),$U$2:$U$1001,0),MATCH(COLUMNS($AB$1006:AP1006),$AB$1006:$AQ$1006,0)), HYPERLINK("#",""), HYPERLINK(CONCATENATE("#metadata!", ADDRESS(INDEX($W$2:$W$1001,MATCH(ROWS($U$2:U122),$U$2:$U$1001,0),0), INDEX($AB$1004:$AQ$1004,1,MATCH(COLUMNS($AB$1006:AP1006),$AB$1006:$AQ$1006,0)))),"Fix")))</f>
        <v>0</v>
      </c>
      <c r="Q122" s="4">
        <f>IF(OR(INDEX($V$2:$V$1001,MATCH(ROWS($U$2:U122),$U$2:$U$1001,0),1)&gt;=100000,INDEX($AB$1005:$AQ$1005,1,MATCH(COLUMNS($AB$1006:AQ1006),$AB$1006:$AQ$1006,0))&gt;=100000), " ",IF(INDEX($AB$2:$AQ$1001,MATCH(ROWS($U$2:U122),$U$2:$U$1001,0),MATCH(COLUMNS($AB$1006:AQ1006),$AB$1006:$AQ$1006,0)), HYPERLINK("#",""), HYPERLINK(CONCATENATE("#metadata!", ADDRESS(INDEX($W$2:$W$1001,MATCH(ROWS($U$2:U122),$U$2:$U$1001,0),0), INDEX($AB$1004:$AQ$1004,1,MATCH(COLUMNS($AB$1006:AQ1006),$AB$1006:$AQ$1006,0)))),"Fix")))</f>
        <v>0</v>
      </c>
      <c r="U122">
        <v>0</v>
      </c>
      <c r="V122">
        <v>0</v>
      </c>
      <c r="W122">
        <v>0</v>
      </c>
      <c r="X122">
        <f>IF(Y122,TRUE,AND(AB122:AQ122))</f>
        <v>0</v>
      </c>
      <c r="Y122">
        <f>COUNTBLANK(metadata!B122:Q122)=COLUMNS(metadata!B122:Q122)</f>
        <v>0</v>
      </c>
      <c r="Z122">
        <v>0</v>
      </c>
      <c r="AB122">
        <f>AND(IF(metadata!B122="",FALSE,TRUE),COUNTIF(metadata!B:B, metadata!B122) = 1,NOT(ISERROR(SUMPRODUCT(SEARCH(MID(metadata!B122,ROW(INDIRECT("1:"&amp;LEN(metadata!B122))), 1),"0123456789abcdefghijklmnopqrstuvwxyzABCDEFGHIJKLMNOPQRSTUVWXYZ.")))))</f>
        <v>0</v>
      </c>
      <c r="AC122">
        <f>OR(AND(IF(metadata!C122="",FALSE,TRUE),OR(exact(metadata!C122,"missing: not collected"),exact(metadata!C122,"missing: not provided"),exact(metadata!C122,"missing: restricted access"))),AND(IF(metadata!C122="",FALSE,TRUE),AND(AND(IFERROR(INT(LEFT(metadata!C122,4))&gt;1900,FALSE),IFERROR(INT(LEFT(metadata!C122,4))&lt;=YEAR(NOW()),FALSE)), OR(MID(metadata!C122,5,1)="", AND(AND(MID(metadata!C122,5,1)="-",IFERROR(INT(MID(metadata!C122,6,1))&gt;=0,FALSE),IFERROR(INT(MID(metadata!C122,6,1))&lt;=1,FALSE),NOT(MID(metadata!C122,7,1)=""),IFERROR(INT(MID(metadata!C122,6,2))&gt;=1,FALSE),IFERROR(INT(MID(metadata!C122,6,2))&lt;=12,FALSE)), OR(MID(metadata!C122,8,1)="", AND(AND(MID(metadata!C122,8,1)="-",IFERROR(INT(MID(metadata!C122,9,1))&gt;=0,FALSE),IFERROR(INT(MID(metadata!C122,9,1))&lt;=3,FALSE),NOT(MID(metadata!C122,10,1)=""),IFERROR(INT(MID(metadata!C122,9,2))&gt;=1,FALSE),IFERROR(INT(MID(metadata!C122,9,2))&lt;=31,FALSE)), OR(MID(metadata!C122,11,1)="", AND(AND(MID(metadata!C122,11,1)=" ",IFERROR(INT(MID(metadata!C122,12,1))&gt;=0,FALSE),IFERROR(INT(MID(metadata!C122,12,1))&lt;=2,FALSE),NOT(MID(metadata!C122,13,1)=""),IFERROR(INT(MID(metadata!C122,12,2))&gt;=0,FALSE),IFERROR(INT(MID(metadata!C122,12,2))&lt;=23,FALSE)), OR(MID(metadata!C122,14,1)="", AND(AND(MID(metadata!C122,14,1)=":",IFERROR(INT(MID(metadata!C122,15,1))&gt;=0,FALSE),IFERROR(INT(MID(metadata!C122,15,1))&lt;=5,FALSE),NOT(MID(metadata!C122,16,1)=""),IFERROR(INT(MID(metadata!C122,15,2))&gt;=0,FALSE),IFERROR(INT(MID(metadata!C122,15,2))&lt;=59,FALSE)), OR(MID(metadata!C122,17,1)="", AND(AND(MID(metadata!C122,17,1)=":",IFERROR(INT(MID(metadata!C122,18,1))&gt;=0,FALSE),IFERROR(INT(MID(metadata!C122,18,1))&lt;=5,FALSE),NOT(MID(metadata!C122,19,1)=""),IFERROR(INT(MID(metadata!C122,18,2))&gt;=0,FALSE),IFERROR(INT(MID(metadata!C122,18,2))&lt;=59,FALSE)), LEN(metadata!C122)&lt;=19)))))))))))))</f>
        <v>0</v>
      </c>
      <c r="AD122">
        <f>IF(metadata!D122="",FALSE,TRUE)</f>
        <v>0</v>
      </c>
      <c r="AE122">
        <f>OR(AND(IF(metadata!E122="",FALSE,TRUE),OR(exact(metadata!E122,"missing: not collected"),exact(metadata!E122,"missing: not provided"))),AND(IF(metadata!E122="",FALSE,TRUE),OR(exact(metadata!E122,"TRUE"),exact(metadata!E122,"FALSE"))))</f>
        <v>0</v>
      </c>
      <c r="AF122">
        <f>IF(metadata!F122="",FALSE,TRUE)</f>
        <v>0</v>
      </c>
      <c r="AG122">
        <f>IF(metadata!G122="",FALSE,TRUE)</f>
        <v>0</v>
      </c>
      <c r="AH122">
        <f>IF(metadata!H122="",FALSE,TRUE)</f>
        <v>0</v>
      </c>
      <c r="AI122">
        <f>OR(AND(IF(metadata!I122="",FALSE,TRUE),OR(exact(metadata!I122,"missing: not collected"),exact(metadata!I122,"missing: not provided"),exact(metadata!I122,"missing: restricted access"))),AND(IF(metadata!I122="",FALSE,TRUE),OR(exact(metadata!I122,"air"),exact(metadata!I122,"built environment"),exact(metadata!I122,"host-associated"),exact(metadata!I122,"human-associated"),exact(metadata!I122,"human-skin"),exact(metadata!I122,"human-oral"),exact(metadata!I122,"human-gut"),exact(metadata!I122,"human-vaginal"),exact(metadata!I122,"microbial mat/biofilm"),exact(metadata!I122,"misc environment"),exact(metadata!I122,"plant-associated"),exact(metadata!I122,"sediment"),exact(metadata!I122,"soil"),exact(metadata!I122,"wastewater/sludge"),exact(metadata!I122,"water"))))</f>
        <v>0</v>
      </c>
      <c r="AJ122">
        <f>IF(metadata!J122="",FALSE,TRUE)</f>
        <v>0</v>
      </c>
      <c r="AK122">
        <f>OR(AND(IF(metadata!K122="",FALSE,TRUE),OR(exact(metadata!K122,"missing: not collected"),exact(metadata!K122,"missing: not provided"),exact(metadata!K122,"missing: restricted access"))),AND(IF(metadata!K122="",FALSE,ISNUMBER(VALUE(metadata!K122))),metadata!K122&gt;=-90.00,metadata!K122&lt;=90.00))</f>
        <v>0</v>
      </c>
      <c r="AL122">
        <f>OR(AND(IF(metadata!L122="",FALSE,TRUE),OR(exact(metadata!L122,"missing: not collected"),exact(metadata!L122,"missing: not provided"),exact(metadata!L122,"missing: restricted access"))),AND(IF(metadata!L122="",FALSE,ISNUMBER(VALUE(metadata!L122))),metadata!L122&gt;=-180.00,metadata!L122&lt;=180.00))</f>
        <v>0</v>
      </c>
      <c r="AM122">
        <f>IF(metadata!M122="",FALSE,TRUE)</f>
        <v>0</v>
      </c>
      <c r="AN122">
        <f>OR(AND(IF(metadata!N122="",FALSE,TRUE),OR(exact(metadata!N122,"missing: not collected"),exact(metadata!N122,"missing: not provided"),exact(metadata!N122,"missing: restricted access"))),AND(IF(metadata!N122="",FALSE,TRUE),OR(exact(metadata!N122,"TRUE"),exact(metadata!N122,"FALSE"))))</f>
        <v>0</v>
      </c>
      <c r="AO122">
        <f>IF(metadata!O122="",FALSE,TRUE)</f>
        <v>0</v>
      </c>
      <c r="AP122">
        <f>OR(AND(IF(metadata!P122="",FALSE,TRUE),OR(exact(metadata!P122,"missing: not collected"),exact(metadata!P122,"missing: not provided"))),AND(IF(metadata!P122="",FALSE,IF(ISERROR(INT(metadata!P122)),FALSE,INT(metadata!P122)=metadata!P122)),metadata!P122&gt;0))</f>
        <v>0</v>
      </c>
      <c r="AQ122">
        <f>IF(metadata!Q122="",FALSE,TRUE)</f>
        <v>0</v>
      </c>
    </row>
    <row r="123" spans="1:43">
      <c r="A123" s="5">
        <f>IF(B123=" "," ",HYPERLINK(CONCATENATE("#metadata!",ADDRESS(INDEX($W$2:$W$1001,MATCH(ROWS($U$2:U123),$U$2:$U$1001,0),0),1)),INDEX($Z$2:$Z$1001,MATCH(ROWS($U$2:U123),$U$2:$U$1001,0),0)))</f>
        <v>0</v>
      </c>
      <c r="B123" s="4">
        <f>IF(OR(INDEX($V$2:$V$1001,MATCH(ROWS($U$2:U123),$U$2:$U$1001,0),1)&gt;=100000,INDEX($AB$1005:$AQ$1005,1,MATCH(COLUMNS($AB$1006:AB1006),$AB$1006:$AQ$1006,0))&gt;=100000), " ",IF(INDEX($AB$2:$AQ$1001,MATCH(ROWS($U$2:U123),$U$2:$U$1001,0),MATCH(COLUMNS($AB$1006:AB1006),$AB$1006:$AQ$1006,0)), HYPERLINK("#",""), HYPERLINK(CONCATENATE("#metadata!", ADDRESS(INDEX($W$2:$W$1001,MATCH(ROWS($U$2:U123),$U$2:$U$1001,0),0), INDEX($AB$1004:$AQ$1004,1,MATCH(COLUMNS($AB$1006:AB1006),$AB$1006:$AQ$1006,0)))),"Fix")))</f>
        <v>0</v>
      </c>
      <c r="C123" s="4">
        <f>IF(OR(INDEX($V$2:$V$1001,MATCH(ROWS($U$2:U123),$U$2:$U$1001,0),1)&gt;=100000,INDEX($AB$1005:$AQ$1005,1,MATCH(COLUMNS($AB$1006:AC1006),$AB$1006:$AQ$1006,0))&gt;=100000), " ",IF(INDEX($AB$2:$AQ$1001,MATCH(ROWS($U$2:U123),$U$2:$U$1001,0),MATCH(COLUMNS($AB$1006:AC1006),$AB$1006:$AQ$1006,0)), HYPERLINK("#",""), HYPERLINK(CONCATENATE("#metadata!", ADDRESS(INDEX($W$2:$W$1001,MATCH(ROWS($U$2:U123),$U$2:$U$1001,0),0), INDEX($AB$1004:$AQ$1004,1,MATCH(COLUMNS($AB$1006:AC1006),$AB$1006:$AQ$1006,0)))),"Fix")))</f>
        <v>0</v>
      </c>
      <c r="D123" s="4">
        <f>IF(OR(INDEX($V$2:$V$1001,MATCH(ROWS($U$2:U123),$U$2:$U$1001,0),1)&gt;=100000,INDEX($AB$1005:$AQ$1005,1,MATCH(COLUMNS($AB$1006:AD1006),$AB$1006:$AQ$1006,0))&gt;=100000), " ",IF(INDEX($AB$2:$AQ$1001,MATCH(ROWS($U$2:U123),$U$2:$U$1001,0),MATCH(COLUMNS($AB$1006:AD1006),$AB$1006:$AQ$1006,0)), HYPERLINK("#",""), HYPERLINK(CONCATENATE("#metadata!", ADDRESS(INDEX($W$2:$W$1001,MATCH(ROWS($U$2:U123),$U$2:$U$1001,0),0), INDEX($AB$1004:$AQ$1004,1,MATCH(COLUMNS($AB$1006:AD1006),$AB$1006:$AQ$1006,0)))),"Fix")))</f>
        <v>0</v>
      </c>
      <c r="E123" s="4">
        <f>IF(OR(INDEX($V$2:$V$1001,MATCH(ROWS($U$2:U123),$U$2:$U$1001,0),1)&gt;=100000,INDEX($AB$1005:$AQ$1005,1,MATCH(COLUMNS($AB$1006:AE1006),$AB$1006:$AQ$1006,0))&gt;=100000), " ",IF(INDEX($AB$2:$AQ$1001,MATCH(ROWS($U$2:U123),$U$2:$U$1001,0),MATCH(COLUMNS($AB$1006:AE1006),$AB$1006:$AQ$1006,0)), HYPERLINK("#",""), HYPERLINK(CONCATENATE("#metadata!", ADDRESS(INDEX($W$2:$W$1001,MATCH(ROWS($U$2:U123),$U$2:$U$1001,0),0), INDEX($AB$1004:$AQ$1004,1,MATCH(COLUMNS($AB$1006:AE1006),$AB$1006:$AQ$1006,0)))),"Fix")))</f>
        <v>0</v>
      </c>
      <c r="F123" s="4">
        <f>IF(OR(INDEX($V$2:$V$1001,MATCH(ROWS($U$2:U123),$U$2:$U$1001,0),1)&gt;=100000,INDEX($AB$1005:$AQ$1005,1,MATCH(COLUMNS($AB$1006:AF1006),$AB$1006:$AQ$1006,0))&gt;=100000), " ",IF(INDEX($AB$2:$AQ$1001,MATCH(ROWS($U$2:U123),$U$2:$U$1001,0),MATCH(COLUMNS($AB$1006:AF1006),$AB$1006:$AQ$1006,0)), HYPERLINK("#",""), HYPERLINK(CONCATENATE("#metadata!", ADDRESS(INDEX($W$2:$W$1001,MATCH(ROWS($U$2:U123),$U$2:$U$1001,0),0), INDEX($AB$1004:$AQ$1004,1,MATCH(COLUMNS($AB$1006:AF1006),$AB$1006:$AQ$1006,0)))),"Fix")))</f>
        <v>0</v>
      </c>
      <c r="G123" s="4">
        <f>IF(OR(INDEX($V$2:$V$1001,MATCH(ROWS($U$2:U123),$U$2:$U$1001,0),1)&gt;=100000,INDEX($AB$1005:$AQ$1005,1,MATCH(COLUMNS($AB$1006:AG1006),$AB$1006:$AQ$1006,0))&gt;=100000), " ",IF(INDEX($AB$2:$AQ$1001,MATCH(ROWS($U$2:U123),$U$2:$U$1001,0),MATCH(COLUMNS($AB$1006:AG1006),$AB$1006:$AQ$1006,0)), HYPERLINK("#",""), HYPERLINK(CONCATENATE("#metadata!", ADDRESS(INDEX($W$2:$W$1001,MATCH(ROWS($U$2:U123),$U$2:$U$1001,0),0), INDEX($AB$1004:$AQ$1004,1,MATCH(COLUMNS($AB$1006:AG1006),$AB$1006:$AQ$1006,0)))),"Fix")))</f>
        <v>0</v>
      </c>
      <c r="H123" s="4">
        <f>IF(OR(INDEX($V$2:$V$1001,MATCH(ROWS($U$2:U123),$U$2:$U$1001,0),1)&gt;=100000,INDEX($AB$1005:$AQ$1005,1,MATCH(COLUMNS($AB$1006:AH1006),$AB$1006:$AQ$1006,0))&gt;=100000), " ",IF(INDEX($AB$2:$AQ$1001,MATCH(ROWS($U$2:U123),$U$2:$U$1001,0),MATCH(COLUMNS($AB$1006:AH1006),$AB$1006:$AQ$1006,0)), HYPERLINK("#",""), HYPERLINK(CONCATENATE("#metadata!", ADDRESS(INDEX($W$2:$W$1001,MATCH(ROWS($U$2:U123),$U$2:$U$1001,0),0), INDEX($AB$1004:$AQ$1004,1,MATCH(COLUMNS($AB$1006:AH1006),$AB$1006:$AQ$1006,0)))),"Fix")))</f>
        <v>0</v>
      </c>
      <c r="I123" s="4">
        <f>IF(OR(INDEX($V$2:$V$1001,MATCH(ROWS($U$2:U123),$U$2:$U$1001,0),1)&gt;=100000,INDEX($AB$1005:$AQ$1005,1,MATCH(COLUMNS($AB$1006:AI1006),$AB$1006:$AQ$1006,0))&gt;=100000), " ",IF(INDEX($AB$2:$AQ$1001,MATCH(ROWS($U$2:U123),$U$2:$U$1001,0),MATCH(COLUMNS($AB$1006:AI1006),$AB$1006:$AQ$1006,0)), HYPERLINK("#",""), HYPERLINK(CONCATENATE("#metadata!", ADDRESS(INDEX($W$2:$W$1001,MATCH(ROWS($U$2:U123),$U$2:$U$1001,0),0), INDEX($AB$1004:$AQ$1004,1,MATCH(COLUMNS($AB$1006:AI1006),$AB$1006:$AQ$1006,0)))),"Fix")))</f>
        <v>0</v>
      </c>
      <c r="J123" s="4">
        <f>IF(OR(INDEX($V$2:$V$1001,MATCH(ROWS($U$2:U123),$U$2:$U$1001,0),1)&gt;=100000,INDEX($AB$1005:$AQ$1005,1,MATCH(COLUMNS($AB$1006:AJ1006),$AB$1006:$AQ$1006,0))&gt;=100000), " ",IF(INDEX($AB$2:$AQ$1001,MATCH(ROWS($U$2:U123),$U$2:$U$1001,0),MATCH(COLUMNS($AB$1006:AJ1006),$AB$1006:$AQ$1006,0)), HYPERLINK("#",""), HYPERLINK(CONCATENATE("#metadata!", ADDRESS(INDEX($W$2:$W$1001,MATCH(ROWS($U$2:U123),$U$2:$U$1001,0),0), INDEX($AB$1004:$AQ$1004,1,MATCH(COLUMNS($AB$1006:AJ1006),$AB$1006:$AQ$1006,0)))),"Fix")))</f>
        <v>0</v>
      </c>
      <c r="K123" s="4">
        <f>IF(OR(INDEX($V$2:$V$1001,MATCH(ROWS($U$2:U123),$U$2:$U$1001,0),1)&gt;=100000,INDEX($AB$1005:$AQ$1005,1,MATCH(COLUMNS($AB$1006:AK1006),$AB$1006:$AQ$1006,0))&gt;=100000), " ",IF(INDEX($AB$2:$AQ$1001,MATCH(ROWS($U$2:U123),$U$2:$U$1001,0),MATCH(COLUMNS($AB$1006:AK1006),$AB$1006:$AQ$1006,0)), HYPERLINK("#",""), HYPERLINK(CONCATENATE("#metadata!", ADDRESS(INDEX($W$2:$W$1001,MATCH(ROWS($U$2:U123),$U$2:$U$1001,0),0), INDEX($AB$1004:$AQ$1004,1,MATCH(COLUMNS($AB$1006:AK1006),$AB$1006:$AQ$1006,0)))),"Fix")))</f>
        <v>0</v>
      </c>
      <c r="L123" s="4">
        <f>IF(OR(INDEX($V$2:$V$1001,MATCH(ROWS($U$2:U123),$U$2:$U$1001,0),1)&gt;=100000,INDEX($AB$1005:$AQ$1005,1,MATCH(COLUMNS($AB$1006:AL1006),$AB$1006:$AQ$1006,0))&gt;=100000), " ",IF(INDEX($AB$2:$AQ$1001,MATCH(ROWS($U$2:U123),$U$2:$U$1001,0),MATCH(COLUMNS($AB$1006:AL1006),$AB$1006:$AQ$1006,0)), HYPERLINK("#",""), HYPERLINK(CONCATENATE("#metadata!", ADDRESS(INDEX($W$2:$W$1001,MATCH(ROWS($U$2:U123),$U$2:$U$1001,0),0), INDEX($AB$1004:$AQ$1004,1,MATCH(COLUMNS($AB$1006:AL1006),$AB$1006:$AQ$1006,0)))),"Fix")))</f>
        <v>0</v>
      </c>
      <c r="M123" s="4">
        <f>IF(OR(INDEX($V$2:$V$1001,MATCH(ROWS($U$2:U123),$U$2:$U$1001,0),1)&gt;=100000,INDEX($AB$1005:$AQ$1005,1,MATCH(COLUMNS($AB$1006:AM1006),$AB$1006:$AQ$1006,0))&gt;=100000), " ",IF(INDEX($AB$2:$AQ$1001,MATCH(ROWS($U$2:U123),$U$2:$U$1001,0),MATCH(COLUMNS($AB$1006:AM1006),$AB$1006:$AQ$1006,0)), HYPERLINK("#",""), HYPERLINK(CONCATENATE("#metadata!", ADDRESS(INDEX($W$2:$W$1001,MATCH(ROWS($U$2:U123),$U$2:$U$1001,0),0), INDEX($AB$1004:$AQ$1004,1,MATCH(COLUMNS($AB$1006:AM1006),$AB$1006:$AQ$1006,0)))),"Fix")))</f>
        <v>0</v>
      </c>
      <c r="N123" s="4">
        <f>IF(OR(INDEX($V$2:$V$1001,MATCH(ROWS($U$2:U123),$U$2:$U$1001,0),1)&gt;=100000,INDEX($AB$1005:$AQ$1005,1,MATCH(COLUMNS($AB$1006:AN1006),$AB$1006:$AQ$1006,0))&gt;=100000), " ",IF(INDEX($AB$2:$AQ$1001,MATCH(ROWS($U$2:U123),$U$2:$U$1001,0),MATCH(COLUMNS($AB$1006:AN1006),$AB$1006:$AQ$1006,0)), HYPERLINK("#",""), HYPERLINK(CONCATENATE("#metadata!", ADDRESS(INDEX($W$2:$W$1001,MATCH(ROWS($U$2:U123),$U$2:$U$1001,0),0), INDEX($AB$1004:$AQ$1004,1,MATCH(COLUMNS($AB$1006:AN1006),$AB$1006:$AQ$1006,0)))),"Fix")))</f>
        <v>0</v>
      </c>
      <c r="O123" s="4">
        <f>IF(OR(INDEX($V$2:$V$1001,MATCH(ROWS($U$2:U123),$U$2:$U$1001,0),1)&gt;=100000,INDEX($AB$1005:$AQ$1005,1,MATCH(COLUMNS($AB$1006:AO1006),$AB$1006:$AQ$1006,0))&gt;=100000), " ",IF(INDEX($AB$2:$AQ$1001,MATCH(ROWS($U$2:U123),$U$2:$U$1001,0),MATCH(COLUMNS($AB$1006:AO1006),$AB$1006:$AQ$1006,0)), HYPERLINK("#",""), HYPERLINK(CONCATENATE("#metadata!", ADDRESS(INDEX($W$2:$W$1001,MATCH(ROWS($U$2:U123),$U$2:$U$1001,0),0), INDEX($AB$1004:$AQ$1004,1,MATCH(COLUMNS($AB$1006:AO1006),$AB$1006:$AQ$1006,0)))),"Fix")))</f>
        <v>0</v>
      </c>
      <c r="P123" s="4">
        <f>IF(OR(INDEX($V$2:$V$1001,MATCH(ROWS($U$2:U123),$U$2:$U$1001,0),1)&gt;=100000,INDEX($AB$1005:$AQ$1005,1,MATCH(COLUMNS($AB$1006:AP1006),$AB$1006:$AQ$1006,0))&gt;=100000), " ",IF(INDEX($AB$2:$AQ$1001,MATCH(ROWS($U$2:U123),$U$2:$U$1001,0),MATCH(COLUMNS($AB$1006:AP1006),$AB$1006:$AQ$1006,0)), HYPERLINK("#",""), HYPERLINK(CONCATENATE("#metadata!", ADDRESS(INDEX($W$2:$W$1001,MATCH(ROWS($U$2:U123),$U$2:$U$1001,0),0), INDEX($AB$1004:$AQ$1004,1,MATCH(COLUMNS($AB$1006:AP1006),$AB$1006:$AQ$1006,0)))),"Fix")))</f>
        <v>0</v>
      </c>
      <c r="Q123" s="4">
        <f>IF(OR(INDEX($V$2:$V$1001,MATCH(ROWS($U$2:U123),$U$2:$U$1001,0),1)&gt;=100000,INDEX($AB$1005:$AQ$1005,1,MATCH(COLUMNS($AB$1006:AQ1006),$AB$1006:$AQ$1006,0))&gt;=100000), " ",IF(INDEX($AB$2:$AQ$1001,MATCH(ROWS($U$2:U123),$U$2:$U$1001,0),MATCH(COLUMNS($AB$1006:AQ1006),$AB$1006:$AQ$1006,0)), HYPERLINK("#",""), HYPERLINK(CONCATENATE("#metadata!", ADDRESS(INDEX($W$2:$W$1001,MATCH(ROWS($U$2:U123),$U$2:$U$1001,0),0), INDEX($AB$1004:$AQ$1004,1,MATCH(COLUMNS($AB$1006:AQ1006),$AB$1006:$AQ$1006,0)))),"Fix")))</f>
        <v>0</v>
      </c>
      <c r="U123">
        <v>0</v>
      </c>
      <c r="V123">
        <v>0</v>
      </c>
      <c r="W123">
        <v>0</v>
      </c>
      <c r="X123">
        <f>IF(Y123,TRUE,AND(AB123:AQ123))</f>
        <v>0</v>
      </c>
      <c r="Y123">
        <f>COUNTBLANK(metadata!B123:Q123)=COLUMNS(metadata!B123:Q123)</f>
        <v>0</v>
      </c>
      <c r="Z123">
        <v>0</v>
      </c>
      <c r="AB123">
        <f>AND(IF(metadata!B123="",FALSE,TRUE),COUNTIF(metadata!B:B, metadata!B123) = 1,NOT(ISERROR(SUMPRODUCT(SEARCH(MID(metadata!B123,ROW(INDIRECT("1:"&amp;LEN(metadata!B123))), 1),"0123456789abcdefghijklmnopqrstuvwxyzABCDEFGHIJKLMNOPQRSTUVWXYZ.")))))</f>
        <v>0</v>
      </c>
      <c r="AC123">
        <f>OR(AND(IF(metadata!C123="",FALSE,TRUE),OR(exact(metadata!C123,"missing: not collected"),exact(metadata!C123,"missing: not provided"),exact(metadata!C123,"missing: restricted access"))),AND(IF(metadata!C123="",FALSE,TRUE),AND(AND(IFERROR(INT(LEFT(metadata!C123,4))&gt;1900,FALSE),IFERROR(INT(LEFT(metadata!C123,4))&lt;=YEAR(NOW()),FALSE)), OR(MID(metadata!C123,5,1)="", AND(AND(MID(metadata!C123,5,1)="-",IFERROR(INT(MID(metadata!C123,6,1))&gt;=0,FALSE),IFERROR(INT(MID(metadata!C123,6,1))&lt;=1,FALSE),NOT(MID(metadata!C123,7,1)=""),IFERROR(INT(MID(metadata!C123,6,2))&gt;=1,FALSE),IFERROR(INT(MID(metadata!C123,6,2))&lt;=12,FALSE)), OR(MID(metadata!C123,8,1)="", AND(AND(MID(metadata!C123,8,1)="-",IFERROR(INT(MID(metadata!C123,9,1))&gt;=0,FALSE),IFERROR(INT(MID(metadata!C123,9,1))&lt;=3,FALSE),NOT(MID(metadata!C123,10,1)=""),IFERROR(INT(MID(metadata!C123,9,2))&gt;=1,FALSE),IFERROR(INT(MID(metadata!C123,9,2))&lt;=31,FALSE)), OR(MID(metadata!C123,11,1)="", AND(AND(MID(metadata!C123,11,1)=" ",IFERROR(INT(MID(metadata!C123,12,1))&gt;=0,FALSE),IFERROR(INT(MID(metadata!C123,12,1))&lt;=2,FALSE),NOT(MID(metadata!C123,13,1)=""),IFERROR(INT(MID(metadata!C123,12,2))&gt;=0,FALSE),IFERROR(INT(MID(metadata!C123,12,2))&lt;=23,FALSE)), OR(MID(metadata!C123,14,1)="", AND(AND(MID(metadata!C123,14,1)=":",IFERROR(INT(MID(metadata!C123,15,1))&gt;=0,FALSE),IFERROR(INT(MID(metadata!C123,15,1))&lt;=5,FALSE),NOT(MID(metadata!C123,16,1)=""),IFERROR(INT(MID(metadata!C123,15,2))&gt;=0,FALSE),IFERROR(INT(MID(metadata!C123,15,2))&lt;=59,FALSE)), OR(MID(metadata!C123,17,1)="", AND(AND(MID(metadata!C123,17,1)=":",IFERROR(INT(MID(metadata!C123,18,1))&gt;=0,FALSE),IFERROR(INT(MID(metadata!C123,18,1))&lt;=5,FALSE),NOT(MID(metadata!C123,19,1)=""),IFERROR(INT(MID(metadata!C123,18,2))&gt;=0,FALSE),IFERROR(INT(MID(metadata!C123,18,2))&lt;=59,FALSE)), LEN(metadata!C123)&lt;=19)))))))))))))</f>
        <v>0</v>
      </c>
      <c r="AD123">
        <f>IF(metadata!D123="",FALSE,TRUE)</f>
        <v>0</v>
      </c>
      <c r="AE123">
        <f>OR(AND(IF(metadata!E123="",FALSE,TRUE),OR(exact(metadata!E123,"missing: not collected"),exact(metadata!E123,"missing: not provided"))),AND(IF(metadata!E123="",FALSE,TRUE),OR(exact(metadata!E123,"TRUE"),exact(metadata!E123,"FALSE"))))</f>
        <v>0</v>
      </c>
      <c r="AF123">
        <f>IF(metadata!F123="",FALSE,TRUE)</f>
        <v>0</v>
      </c>
      <c r="AG123">
        <f>IF(metadata!G123="",FALSE,TRUE)</f>
        <v>0</v>
      </c>
      <c r="AH123">
        <f>IF(metadata!H123="",FALSE,TRUE)</f>
        <v>0</v>
      </c>
      <c r="AI123">
        <f>OR(AND(IF(metadata!I123="",FALSE,TRUE),OR(exact(metadata!I123,"missing: not collected"),exact(metadata!I123,"missing: not provided"),exact(metadata!I123,"missing: restricted access"))),AND(IF(metadata!I123="",FALSE,TRUE),OR(exact(metadata!I123,"air"),exact(metadata!I123,"built environment"),exact(metadata!I123,"host-associated"),exact(metadata!I123,"human-associated"),exact(metadata!I123,"human-skin"),exact(metadata!I123,"human-oral"),exact(metadata!I123,"human-gut"),exact(metadata!I123,"human-vaginal"),exact(metadata!I123,"microbial mat/biofilm"),exact(metadata!I123,"misc environment"),exact(metadata!I123,"plant-associated"),exact(metadata!I123,"sediment"),exact(metadata!I123,"soil"),exact(metadata!I123,"wastewater/sludge"),exact(metadata!I123,"water"))))</f>
        <v>0</v>
      </c>
      <c r="AJ123">
        <f>IF(metadata!J123="",FALSE,TRUE)</f>
        <v>0</v>
      </c>
      <c r="AK123">
        <f>OR(AND(IF(metadata!K123="",FALSE,TRUE),OR(exact(metadata!K123,"missing: not collected"),exact(metadata!K123,"missing: not provided"),exact(metadata!K123,"missing: restricted access"))),AND(IF(metadata!K123="",FALSE,ISNUMBER(VALUE(metadata!K123))),metadata!K123&gt;=-90.00,metadata!K123&lt;=90.00))</f>
        <v>0</v>
      </c>
      <c r="AL123">
        <f>OR(AND(IF(metadata!L123="",FALSE,TRUE),OR(exact(metadata!L123,"missing: not collected"),exact(metadata!L123,"missing: not provided"),exact(metadata!L123,"missing: restricted access"))),AND(IF(metadata!L123="",FALSE,ISNUMBER(VALUE(metadata!L123))),metadata!L123&gt;=-180.00,metadata!L123&lt;=180.00))</f>
        <v>0</v>
      </c>
      <c r="AM123">
        <f>IF(metadata!M123="",FALSE,TRUE)</f>
        <v>0</v>
      </c>
      <c r="AN123">
        <f>OR(AND(IF(metadata!N123="",FALSE,TRUE),OR(exact(metadata!N123,"missing: not collected"),exact(metadata!N123,"missing: not provided"),exact(metadata!N123,"missing: restricted access"))),AND(IF(metadata!N123="",FALSE,TRUE),OR(exact(metadata!N123,"TRUE"),exact(metadata!N123,"FALSE"))))</f>
        <v>0</v>
      </c>
      <c r="AO123">
        <f>IF(metadata!O123="",FALSE,TRUE)</f>
        <v>0</v>
      </c>
      <c r="AP123">
        <f>OR(AND(IF(metadata!P123="",FALSE,TRUE),OR(exact(metadata!P123,"missing: not collected"),exact(metadata!P123,"missing: not provided"))),AND(IF(metadata!P123="",FALSE,IF(ISERROR(INT(metadata!P123)),FALSE,INT(metadata!P123)=metadata!P123)),metadata!P123&gt;0))</f>
        <v>0</v>
      </c>
      <c r="AQ123">
        <f>IF(metadata!Q123="",FALSE,TRUE)</f>
        <v>0</v>
      </c>
    </row>
    <row r="124" spans="1:43">
      <c r="A124" s="5">
        <f>IF(B124=" "," ",HYPERLINK(CONCATENATE("#metadata!",ADDRESS(INDEX($W$2:$W$1001,MATCH(ROWS($U$2:U124),$U$2:$U$1001,0),0),1)),INDEX($Z$2:$Z$1001,MATCH(ROWS($U$2:U124),$U$2:$U$1001,0),0)))</f>
        <v>0</v>
      </c>
      <c r="B124" s="4">
        <f>IF(OR(INDEX($V$2:$V$1001,MATCH(ROWS($U$2:U124),$U$2:$U$1001,0),1)&gt;=100000,INDEX($AB$1005:$AQ$1005,1,MATCH(COLUMNS($AB$1006:AB1006),$AB$1006:$AQ$1006,0))&gt;=100000), " ",IF(INDEX($AB$2:$AQ$1001,MATCH(ROWS($U$2:U124),$U$2:$U$1001,0),MATCH(COLUMNS($AB$1006:AB1006),$AB$1006:$AQ$1006,0)), HYPERLINK("#",""), HYPERLINK(CONCATENATE("#metadata!", ADDRESS(INDEX($W$2:$W$1001,MATCH(ROWS($U$2:U124),$U$2:$U$1001,0),0), INDEX($AB$1004:$AQ$1004,1,MATCH(COLUMNS($AB$1006:AB1006),$AB$1006:$AQ$1006,0)))),"Fix")))</f>
        <v>0</v>
      </c>
      <c r="C124" s="4">
        <f>IF(OR(INDEX($V$2:$V$1001,MATCH(ROWS($U$2:U124),$U$2:$U$1001,0),1)&gt;=100000,INDEX($AB$1005:$AQ$1005,1,MATCH(COLUMNS($AB$1006:AC1006),$AB$1006:$AQ$1006,0))&gt;=100000), " ",IF(INDEX($AB$2:$AQ$1001,MATCH(ROWS($U$2:U124),$U$2:$U$1001,0),MATCH(COLUMNS($AB$1006:AC1006),$AB$1006:$AQ$1006,0)), HYPERLINK("#",""), HYPERLINK(CONCATENATE("#metadata!", ADDRESS(INDEX($W$2:$W$1001,MATCH(ROWS($U$2:U124),$U$2:$U$1001,0),0), INDEX($AB$1004:$AQ$1004,1,MATCH(COLUMNS($AB$1006:AC1006),$AB$1006:$AQ$1006,0)))),"Fix")))</f>
        <v>0</v>
      </c>
      <c r="D124" s="4">
        <f>IF(OR(INDEX($V$2:$V$1001,MATCH(ROWS($U$2:U124),$U$2:$U$1001,0),1)&gt;=100000,INDEX($AB$1005:$AQ$1005,1,MATCH(COLUMNS($AB$1006:AD1006),$AB$1006:$AQ$1006,0))&gt;=100000), " ",IF(INDEX($AB$2:$AQ$1001,MATCH(ROWS($U$2:U124),$U$2:$U$1001,0),MATCH(COLUMNS($AB$1006:AD1006),$AB$1006:$AQ$1006,0)), HYPERLINK("#",""), HYPERLINK(CONCATENATE("#metadata!", ADDRESS(INDEX($W$2:$W$1001,MATCH(ROWS($U$2:U124),$U$2:$U$1001,0),0), INDEX($AB$1004:$AQ$1004,1,MATCH(COLUMNS($AB$1006:AD1006),$AB$1006:$AQ$1006,0)))),"Fix")))</f>
        <v>0</v>
      </c>
      <c r="E124" s="4">
        <f>IF(OR(INDEX($V$2:$V$1001,MATCH(ROWS($U$2:U124),$U$2:$U$1001,0),1)&gt;=100000,INDEX($AB$1005:$AQ$1005,1,MATCH(COLUMNS($AB$1006:AE1006),$AB$1006:$AQ$1006,0))&gt;=100000), " ",IF(INDEX($AB$2:$AQ$1001,MATCH(ROWS($U$2:U124),$U$2:$U$1001,0),MATCH(COLUMNS($AB$1006:AE1006),$AB$1006:$AQ$1006,0)), HYPERLINK("#",""), HYPERLINK(CONCATENATE("#metadata!", ADDRESS(INDEX($W$2:$W$1001,MATCH(ROWS($U$2:U124),$U$2:$U$1001,0),0), INDEX($AB$1004:$AQ$1004,1,MATCH(COLUMNS($AB$1006:AE1006),$AB$1006:$AQ$1006,0)))),"Fix")))</f>
        <v>0</v>
      </c>
      <c r="F124" s="4">
        <f>IF(OR(INDEX($V$2:$V$1001,MATCH(ROWS($U$2:U124),$U$2:$U$1001,0),1)&gt;=100000,INDEX($AB$1005:$AQ$1005,1,MATCH(COLUMNS($AB$1006:AF1006),$AB$1006:$AQ$1006,0))&gt;=100000), " ",IF(INDEX($AB$2:$AQ$1001,MATCH(ROWS($U$2:U124),$U$2:$U$1001,0),MATCH(COLUMNS($AB$1006:AF1006),$AB$1006:$AQ$1006,0)), HYPERLINK("#",""), HYPERLINK(CONCATENATE("#metadata!", ADDRESS(INDEX($W$2:$W$1001,MATCH(ROWS($U$2:U124),$U$2:$U$1001,0),0), INDEX($AB$1004:$AQ$1004,1,MATCH(COLUMNS($AB$1006:AF1006),$AB$1006:$AQ$1006,0)))),"Fix")))</f>
        <v>0</v>
      </c>
      <c r="G124" s="4">
        <f>IF(OR(INDEX($V$2:$V$1001,MATCH(ROWS($U$2:U124),$U$2:$U$1001,0),1)&gt;=100000,INDEX($AB$1005:$AQ$1005,1,MATCH(COLUMNS($AB$1006:AG1006),$AB$1006:$AQ$1006,0))&gt;=100000), " ",IF(INDEX($AB$2:$AQ$1001,MATCH(ROWS($U$2:U124),$U$2:$U$1001,0),MATCH(COLUMNS($AB$1006:AG1006),$AB$1006:$AQ$1006,0)), HYPERLINK("#",""), HYPERLINK(CONCATENATE("#metadata!", ADDRESS(INDEX($W$2:$W$1001,MATCH(ROWS($U$2:U124),$U$2:$U$1001,0),0), INDEX($AB$1004:$AQ$1004,1,MATCH(COLUMNS($AB$1006:AG1006),$AB$1006:$AQ$1006,0)))),"Fix")))</f>
        <v>0</v>
      </c>
      <c r="H124" s="4">
        <f>IF(OR(INDEX($V$2:$V$1001,MATCH(ROWS($U$2:U124),$U$2:$U$1001,0),1)&gt;=100000,INDEX($AB$1005:$AQ$1005,1,MATCH(COLUMNS($AB$1006:AH1006),$AB$1006:$AQ$1006,0))&gt;=100000), " ",IF(INDEX($AB$2:$AQ$1001,MATCH(ROWS($U$2:U124),$U$2:$U$1001,0),MATCH(COLUMNS($AB$1006:AH1006),$AB$1006:$AQ$1006,0)), HYPERLINK("#",""), HYPERLINK(CONCATENATE("#metadata!", ADDRESS(INDEX($W$2:$W$1001,MATCH(ROWS($U$2:U124),$U$2:$U$1001,0),0), INDEX($AB$1004:$AQ$1004,1,MATCH(COLUMNS($AB$1006:AH1006),$AB$1006:$AQ$1006,0)))),"Fix")))</f>
        <v>0</v>
      </c>
      <c r="I124" s="4">
        <f>IF(OR(INDEX($V$2:$V$1001,MATCH(ROWS($U$2:U124),$U$2:$U$1001,0),1)&gt;=100000,INDEX($AB$1005:$AQ$1005,1,MATCH(COLUMNS($AB$1006:AI1006),$AB$1006:$AQ$1006,0))&gt;=100000), " ",IF(INDEX($AB$2:$AQ$1001,MATCH(ROWS($U$2:U124),$U$2:$U$1001,0),MATCH(COLUMNS($AB$1006:AI1006),$AB$1006:$AQ$1006,0)), HYPERLINK("#",""), HYPERLINK(CONCATENATE("#metadata!", ADDRESS(INDEX($W$2:$W$1001,MATCH(ROWS($U$2:U124),$U$2:$U$1001,0),0), INDEX($AB$1004:$AQ$1004,1,MATCH(COLUMNS($AB$1006:AI1006),$AB$1006:$AQ$1006,0)))),"Fix")))</f>
        <v>0</v>
      </c>
      <c r="J124" s="4">
        <f>IF(OR(INDEX($V$2:$V$1001,MATCH(ROWS($U$2:U124),$U$2:$U$1001,0),1)&gt;=100000,INDEX($AB$1005:$AQ$1005,1,MATCH(COLUMNS($AB$1006:AJ1006),$AB$1006:$AQ$1006,0))&gt;=100000), " ",IF(INDEX($AB$2:$AQ$1001,MATCH(ROWS($U$2:U124),$U$2:$U$1001,0),MATCH(COLUMNS($AB$1006:AJ1006),$AB$1006:$AQ$1006,0)), HYPERLINK("#",""), HYPERLINK(CONCATENATE("#metadata!", ADDRESS(INDEX($W$2:$W$1001,MATCH(ROWS($U$2:U124),$U$2:$U$1001,0),0), INDEX($AB$1004:$AQ$1004,1,MATCH(COLUMNS($AB$1006:AJ1006),$AB$1006:$AQ$1006,0)))),"Fix")))</f>
        <v>0</v>
      </c>
      <c r="K124" s="4">
        <f>IF(OR(INDEX($V$2:$V$1001,MATCH(ROWS($U$2:U124),$U$2:$U$1001,0),1)&gt;=100000,INDEX($AB$1005:$AQ$1005,1,MATCH(COLUMNS($AB$1006:AK1006),$AB$1006:$AQ$1006,0))&gt;=100000), " ",IF(INDEX($AB$2:$AQ$1001,MATCH(ROWS($U$2:U124),$U$2:$U$1001,0),MATCH(COLUMNS($AB$1006:AK1006),$AB$1006:$AQ$1006,0)), HYPERLINK("#",""), HYPERLINK(CONCATENATE("#metadata!", ADDRESS(INDEX($W$2:$W$1001,MATCH(ROWS($U$2:U124),$U$2:$U$1001,0),0), INDEX($AB$1004:$AQ$1004,1,MATCH(COLUMNS($AB$1006:AK1006),$AB$1006:$AQ$1006,0)))),"Fix")))</f>
        <v>0</v>
      </c>
      <c r="L124" s="4">
        <f>IF(OR(INDEX($V$2:$V$1001,MATCH(ROWS($U$2:U124),$U$2:$U$1001,0),1)&gt;=100000,INDEX($AB$1005:$AQ$1005,1,MATCH(COLUMNS($AB$1006:AL1006),$AB$1006:$AQ$1006,0))&gt;=100000), " ",IF(INDEX($AB$2:$AQ$1001,MATCH(ROWS($U$2:U124),$U$2:$U$1001,0),MATCH(COLUMNS($AB$1006:AL1006),$AB$1006:$AQ$1006,0)), HYPERLINK("#",""), HYPERLINK(CONCATENATE("#metadata!", ADDRESS(INDEX($W$2:$W$1001,MATCH(ROWS($U$2:U124),$U$2:$U$1001,0),0), INDEX($AB$1004:$AQ$1004,1,MATCH(COLUMNS($AB$1006:AL1006),$AB$1006:$AQ$1006,0)))),"Fix")))</f>
        <v>0</v>
      </c>
      <c r="M124" s="4">
        <f>IF(OR(INDEX($V$2:$V$1001,MATCH(ROWS($U$2:U124),$U$2:$U$1001,0),1)&gt;=100000,INDEX($AB$1005:$AQ$1005,1,MATCH(COLUMNS($AB$1006:AM1006),$AB$1006:$AQ$1006,0))&gt;=100000), " ",IF(INDEX($AB$2:$AQ$1001,MATCH(ROWS($U$2:U124),$U$2:$U$1001,0),MATCH(COLUMNS($AB$1006:AM1006),$AB$1006:$AQ$1006,0)), HYPERLINK("#",""), HYPERLINK(CONCATENATE("#metadata!", ADDRESS(INDEX($W$2:$W$1001,MATCH(ROWS($U$2:U124),$U$2:$U$1001,0),0), INDEX($AB$1004:$AQ$1004,1,MATCH(COLUMNS($AB$1006:AM1006),$AB$1006:$AQ$1006,0)))),"Fix")))</f>
        <v>0</v>
      </c>
      <c r="N124" s="4">
        <f>IF(OR(INDEX($V$2:$V$1001,MATCH(ROWS($U$2:U124),$U$2:$U$1001,0),1)&gt;=100000,INDEX($AB$1005:$AQ$1005,1,MATCH(COLUMNS($AB$1006:AN1006),$AB$1006:$AQ$1006,0))&gt;=100000), " ",IF(INDEX($AB$2:$AQ$1001,MATCH(ROWS($U$2:U124),$U$2:$U$1001,0),MATCH(COLUMNS($AB$1006:AN1006),$AB$1006:$AQ$1006,0)), HYPERLINK("#",""), HYPERLINK(CONCATENATE("#metadata!", ADDRESS(INDEX($W$2:$W$1001,MATCH(ROWS($U$2:U124),$U$2:$U$1001,0),0), INDEX($AB$1004:$AQ$1004,1,MATCH(COLUMNS($AB$1006:AN1006),$AB$1006:$AQ$1006,0)))),"Fix")))</f>
        <v>0</v>
      </c>
      <c r="O124" s="4">
        <f>IF(OR(INDEX($V$2:$V$1001,MATCH(ROWS($U$2:U124),$U$2:$U$1001,0),1)&gt;=100000,INDEX($AB$1005:$AQ$1005,1,MATCH(COLUMNS($AB$1006:AO1006),$AB$1006:$AQ$1006,0))&gt;=100000), " ",IF(INDEX($AB$2:$AQ$1001,MATCH(ROWS($U$2:U124),$U$2:$U$1001,0),MATCH(COLUMNS($AB$1006:AO1006),$AB$1006:$AQ$1006,0)), HYPERLINK("#",""), HYPERLINK(CONCATENATE("#metadata!", ADDRESS(INDEX($W$2:$W$1001,MATCH(ROWS($U$2:U124),$U$2:$U$1001,0),0), INDEX($AB$1004:$AQ$1004,1,MATCH(COLUMNS($AB$1006:AO1006),$AB$1006:$AQ$1006,0)))),"Fix")))</f>
        <v>0</v>
      </c>
      <c r="P124" s="4">
        <f>IF(OR(INDEX($V$2:$V$1001,MATCH(ROWS($U$2:U124),$U$2:$U$1001,0),1)&gt;=100000,INDEX($AB$1005:$AQ$1005,1,MATCH(COLUMNS($AB$1006:AP1006),$AB$1006:$AQ$1006,0))&gt;=100000), " ",IF(INDEX($AB$2:$AQ$1001,MATCH(ROWS($U$2:U124),$U$2:$U$1001,0),MATCH(COLUMNS($AB$1006:AP1006),$AB$1006:$AQ$1006,0)), HYPERLINK("#",""), HYPERLINK(CONCATENATE("#metadata!", ADDRESS(INDEX($W$2:$W$1001,MATCH(ROWS($U$2:U124),$U$2:$U$1001,0),0), INDEX($AB$1004:$AQ$1004,1,MATCH(COLUMNS($AB$1006:AP1006),$AB$1006:$AQ$1006,0)))),"Fix")))</f>
        <v>0</v>
      </c>
      <c r="Q124" s="4">
        <f>IF(OR(INDEX($V$2:$V$1001,MATCH(ROWS($U$2:U124),$U$2:$U$1001,0),1)&gt;=100000,INDEX($AB$1005:$AQ$1005,1,MATCH(COLUMNS($AB$1006:AQ1006),$AB$1006:$AQ$1006,0))&gt;=100000), " ",IF(INDEX($AB$2:$AQ$1001,MATCH(ROWS($U$2:U124),$U$2:$U$1001,0),MATCH(COLUMNS($AB$1006:AQ1006),$AB$1006:$AQ$1006,0)), HYPERLINK("#",""), HYPERLINK(CONCATENATE("#metadata!", ADDRESS(INDEX($W$2:$W$1001,MATCH(ROWS($U$2:U124),$U$2:$U$1001,0),0), INDEX($AB$1004:$AQ$1004,1,MATCH(COLUMNS($AB$1006:AQ1006),$AB$1006:$AQ$1006,0)))),"Fix")))</f>
        <v>0</v>
      </c>
      <c r="U124">
        <v>0</v>
      </c>
      <c r="V124">
        <v>0</v>
      </c>
      <c r="W124">
        <v>0</v>
      </c>
      <c r="X124">
        <f>IF(Y124,TRUE,AND(AB124:AQ124))</f>
        <v>0</v>
      </c>
      <c r="Y124">
        <f>COUNTBLANK(metadata!B124:Q124)=COLUMNS(metadata!B124:Q124)</f>
        <v>0</v>
      </c>
      <c r="Z124">
        <v>0</v>
      </c>
      <c r="AB124">
        <f>AND(IF(metadata!B124="",FALSE,TRUE),COUNTIF(metadata!B:B, metadata!B124) = 1,NOT(ISERROR(SUMPRODUCT(SEARCH(MID(metadata!B124,ROW(INDIRECT("1:"&amp;LEN(metadata!B124))), 1),"0123456789abcdefghijklmnopqrstuvwxyzABCDEFGHIJKLMNOPQRSTUVWXYZ.")))))</f>
        <v>0</v>
      </c>
      <c r="AC124">
        <f>OR(AND(IF(metadata!C124="",FALSE,TRUE),OR(exact(metadata!C124,"missing: not collected"),exact(metadata!C124,"missing: not provided"),exact(metadata!C124,"missing: restricted access"))),AND(IF(metadata!C124="",FALSE,TRUE),AND(AND(IFERROR(INT(LEFT(metadata!C124,4))&gt;1900,FALSE),IFERROR(INT(LEFT(metadata!C124,4))&lt;=YEAR(NOW()),FALSE)), OR(MID(metadata!C124,5,1)="", AND(AND(MID(metadata!C124,5,1)="-",IFERROR(INT(MID(metadata!C124,6,1))&gt;=0,FALSE),IFERROR(INT(MID(metadata!C124,6,1))&lt;=1,FALSE),NOT(MID(metadata!C124,7,1)=""),IFERROR(INT(MID(metadata!C124,6,2))&gt;=1,FALSE),IFERROR(INT(MID(metadata!C124,6,2))&lt;=12,FALSE)), OR(MID(metadata!C124,8,1)="", AND(AND(MID(metadata!C124,8,1)="-",IFERROR(INT(MID(metadata!C124,9,1))&gt;=0,FALSE),IFERROR(INT(MID(metadata!C124,9,1))&lt;=3,FALSE),NOT(MID(metadata!C124,10,1)=""),IFERROR(INT(MID(metadata!C124,9,2))&gt;=1,FALSE),IFERROR(INT(MID(metadata!C124,9,2))&lt;=31,FALSE)), OR(MID(metadata!C124,11,1)="", AND(AND(MID(metadata!C124,11,1)=" ",IFERROR(INT(MID(metadata!C124,12,1))&gt;=0,FALSE),IFERROR(INT(MID(metadata!C124,12,1))&lt;=2,FALSE),NOT(MID(metadata!C124,13,1)=""),IFERROR(INT(MID(metadata!C124,12,2))&gt;=0,FALSE),IFERROR(INT(MID(metadata!C124,12,2))&lt;=23,FALSE)), OR(MID(metadata!C124,14,1)="", AND(AND(MID(metadata!C124,14,1)=":",IFERROR(INT(MID(metadata!C124,15,1))&gt;=0,FALSE),IFERROR(INT(MID(metadata!C124,15,1))&lt;=5,FALSE),NOT(MID(metadata!C124,16,1)=""),IFERROR(INT(MID(metadata!C124,15,2))&gt;=0,FALSE),IFERROR(INT(MID(metadata!C124,15,2))&lt;=59,FALSE)), OR(MID(metadata!C124,17,1)="", AND(AND(MID(metadata!C124,17,1)=":",IFERROR(INT(MID(metadata!C124,18,1))&gt;=0,FALSE),IFERROR(INT(MID(metadata!C124,18,1))&lt;=5,FALSE),NOT(MID(metadata!C124,19,1)=""),IFERROR(INT(MID(metadata!C124,18,2))&gt;=0,FALSE),IFERROR(INT(MID(metadata!C124,18,2))&lt;=59,FALSE)), LEN(metadata!C124)&lt;=19)))))))))))))</f>
        <v>0</v>
      </c>
      <c r="AD124">
        <f>IF(metadata!D124="",FALSE,TRUE)</f>
        <v>0</v>
      </c>
      <c r="AE124">
        <f>OR(AND(IF(metadata!E124="",FALSE,TRUE),OR(exact(metadata!E124,"missing: not collected"),exact(metadata!E124,"missing: not provided"))),AND(IF(metadata!E124="",FALSE,TRUE),OR(exact(metadata!E124,"TRUE"),exact(metadata!E124,"FALSE"))))</f>
        <v>0</v>
      </c>
      <c r="AF124">
        <f>IF(metadata!F124="",FALSE,TRUE)</f>
        <v>0</v>
      </c>
      <c r="AG124">
        <f>IF(metadata!G124="",FALSE,TRUE)</f>
        <v>0</v>
      </c>
      <c r="AH124">
        <f>IF(metadata!H124="",FALSE,TRUE)</f>
        <v>0</v>
      </c>
      <c r="AI124">
        <f>OR(AND(IF(metadata!I124="",FALSE,TRUE),OR(exact(metadata!I124,"missing: not collected"),exact(metadata!I124,"missing: not provided"),exact(metadata!I124,"missing: restricted access"))),AND(IF(metadata!I124="",FALSE,TRUE),OR(exact(metadata!I124,"air"),exact(metadata!I124,"built environment"),exact(metadata!I124,"host-associated"),exact(metadata!I124,"human-associated"),exact(metadata!I124,"human-skin"),exact(metadata!I124,"human-oral"),exact(metadata!I124,"human-gut"),exact(metadata!I124,"human-vaginal"),exact(metadata!I124,"microbial mat/biofilm"),exact(metadata!I124,"misc environment"),exact(metadata!I124,"plant-associated"),exact(metadata!I124,"sediment"),exact(metadata!I124,"soil"),exact(metadata!I124,"wastewater/sludge"),exact(metadata!I124,"water"))))</f>
        <v>0</v>
      </c>
      <c r="AJ124">
        <f>IF(metadata!J124="",FALSE,TRUE)</f>
        <v>0</v>
      </c>
      <c r="AK124">
        <f>OR(AND(IF(metadata!K124="",FALSE,TRUE),OR(exact(metadata!K124,"missing: not collected"),exact(metadata!K124,"missing: not provided"),exact(metadata!K124,"missing: restricted access"))),AND(IF(metadata!K124="",FALSE,ISNUMBER(VALUE(metadata!K124))),metadata!K124&gt;=-90.00,metadata!K124&lt;=90.00))</f>
        <v>0</v>
      </c>
      <c r="AL124">
        <f>OR(AND(IF(metadata!L124="",FALSE,TRUE),OR(exact(metadata!L124,"missing: not collected"),exact(metadata!L124,"missing: not provided"),exact(metadata!L124,"missing: restricted access"))),AND(IF(metadata!L124="",FALSE,ISNUMBER(VALUE(metadata!L124))),metadata!L124&gt;=-180.00,metadata!L124&lt;=180.00))</f>
        <v>0</v>
      </c>
      <c r="AM124">
        <f>IF(metadata!M124="",FALSE,TRUE)</f>
        <v>0</v>
      </c>
      <c r="AN124">
        <f>OR(AND(IF(metadata!N124="",FALSE,TRUE),OR(exact(metadata!N124,"missing: not collected"),exact(metadata!N124,"missing: not provided"),exact(metadata!N124,"missing: restricted access"))),AND(IF(metadata!N124="",FALSE,TRUE),OR(exact(metadata!N124,"TRUE"),exact(metadata!N124,"FALSE"))))</f>
        <v>0</v>
      </c>
      <c r="AO124">
        <f>IF(metadata!O124="",FALSE,TRUE)</f>
        <v>0</v>
      </c>
      <c r="AP124">
        <f>OR(AND(IF(metadata!P124="",FALSE,TRUE),OR(exact(metadata!P124,"missing: not collected"),exact(metadata!P124,"missing: not provided"))),AND(IF(metadata!P124="",FALSE,IF(ISERROR(INT(metadata!P124)),FALSE,INT(metadata!P124)=metadata!P124)),metadata!P124&gt;0))</f>
        <v>0</v>
      </c>
      <c r="AQ124">
        <f>IF(metadata!Q124="",FALSE,TRUE)</f>
        <v>0</v>
      </c>
    </row>
    <row r="125" spans="1:43">
      <c r="A125" s="5">
        <f>IF(B125=" "," ",HYPERLINK(CONCATENATE("#metadata!",ADDRESS(INDEX($W$2:$W$1001,MATCH(ROWS($U$2:U125),$U$2:$U$1001,0),0),1)),INDEX($Z$2:$Z$1001,MATCH(ROWS($U$2:U125),$U$2:$U$1001,0),0)))</f>
        <v>0</v>
      </c>
      <c r="B125" s="4">
        <f>IF(OR(INDEX($V$2:$V$1001,MATCH(ROWS($U$2:U125),$U$2:$U$1001,0),1)&gt;=100000,INDEX($AB$1005:$AQ$1005,1,MATCH(COLUMNS($AB$1006:AB1006),$AB$1006:$AQ$1006,0))&gt;=100000), " ",IF(INDEX($AB$2:$AQ$1001,MATCH(ROWS($U$2:U125),$U$2:$U$1001,0),MATCH(COLUMNS($AB$1006:AB1006),$AB$1006:$AQ$1006,0)), HYPERLINK("#",""), HYPERLINK(CONCATENATE("#metadata!", ADDRESS(INDEX($W$2:$W$1001,MATCH(ROWS($U$2:U125),$U$2:$U$1001,0),0), INDEX($AB$1004:$AQ$1004,1,MATCH(COLUMNS($AB$1006:AB1006),$AB$1006:$AQ$1006,0)))),"Fix")))</f>
        <v>0</v>
      </c>
      <c r="C125" s="4">
        <f>IF(OR(INDEX($V$2:$V$1001,MATCH(ROWS($U$2:U125),$U$2:$U$1001,0),1)&gt;=100000,INDEX($AB$1005:$AQ$1005,1,MATCH(COLUMNS($AB$1006:AC1006),$AB$1006:$AQ$1006,0))&gt;=100000), " ",IF(INDEX($AB$2:$AQ$1001,MATCH(ROWS($U$2:U125),$U$2:$U$1001,0),MATCH(COLUMNS($AB$1006:AC1006),$AB$1006:$AQ$1006,0)), HYPERLINK("#",""), HYPERLINK(CONCATENATE("#metadata!", ADDRESS(INDEX($W$2:$W$1001,MATCH(ROWS($U$2:U125),$U$2:$U$1001,0),0), INDEX($AB$1004:$AQ$1004,1,MATCH(COLUMNS($AB$1006:AC1006),$AB$1006:$AQ$1006,0)))),"Fix")))</f>
        <v>0</v>
      </c>
      <c r="D125" s="4">
        <f>IF(OR(INDEX($V$2:$V$1001,MATCH(ROWS($U$2:U125),$U$2:$U$1001,0),1)&gt;=100000,INDEX($AB$1005:$AQ$1005,1,MATCH(COLUMNS($AB$1006:AD1006),$AB$1006:$AQ$1006,0))&gt;=100000), " ",IF(INDEX($AB$2:$AQ$1001,MATCH(ROWS($U$2:U125),$U$2:$U$1001,0),MATCH(COLUMNS($AB$1006:AD1006),$AB$1006:$AQ$1006,0)), HYPERLINK("#",""), HYPERLINK(CONCATENATE("#metadata!", ADDRESS(INDEX($W$2:$W$1001,MATCH(ROWS($U$2:U125),$U$2:$U$1001,0),0), INDEX($AB$1004:$AQ$1004,1,MATCH(COLUMNS($AB$1006:AD1006),$AB$1006:$AQ$1006,0)))),"Fix")))</f>
        <v>0</v>
      </c>
      <c r="E125" s="4">
        <f>IF(OR(INDEX($V$2:$V$1001,MATCH(ROWS($U$2:U125),$U$2:$U$1001,0),1)&gt;=100000,INDEX($AB$1005:$AQ$1005,1,MATCH(COLUMNS($AB$1006:AE1006),$AB$1006:$AQ$1006,0))&gt;=100000), " ",IF(INDEX($AB$2:$AQ$1001,MATCH(ROWS($U$2:U125),$U$2:$U$1001,0),MATCH(COLUMNS($AB$1006:AE1006),$AB$1006:$AQ$1006,0)), HYPERLINK("#",""), HYPERLINK(CONCATENATE("#metadata!", ADDRESS(INDEX($W$2:$W$1001,MATCH(ROWS($U$2:U125),$U$2:$U$1001,0),0), INDEX($AB$1004:$AQ$1004,1,MATCH(COLUMNS($AB$1006:AE1006),$AB$1006:$AQ$1006,0)))),"Fix")))</f>
        <v>0</v>
      </c>
      <c r="F125" s="4">
        <f>IF(OR(INDEX($V$2:$V$1001,MATCH(ROWS($U$2:U125),$U$2:$U$1001,0),1)&gt;=100000,INDEX($AB$1005:$AQ$1005,1,MATCH(COLUMNS($AB$1006:AF1006),$AB$1006:$AQ$1006,0))&gt;=100000), " ",IF(INDEX($AB$2:$AQ$1001,MATCH(ROWS($U$2:U125),$U$2:$U$1001,0),MATCH(COLUMNS($AB$1006:AF1006),$AB$1006:$AQ$1006,0)), HYPERLINK("#",""), HYPERLINK(CONCATENATE("#metadata!", ADDRESS(INDEX($W$2:$W$1001,MATCH(ROWS($U$2:U125),$U$2:$U$1001,0),0), INDEX($AB$1004:$AQ$1004,1,MATCH(COLUMNS($AB$1006:AF1006),$AB$1006:$AQ$1006,0)))),"Fix")))</f>
        <v>0</v>
      </c>
      <c r="G125" s="4">
        <f>IF(OR(INDEX($V$2:$V$1001,MATCH(ROWS($U$2:U125),$U$2:$U$1001,0),1)&gt;=100000,INDEX($AB$1005:$AQ$1005,1,MATCH(COLUMNS($AB$1006:AG1006),$AB$1006:$AQ$1006,0))&gt;=100000), " ",IF(INDEX($AB$2:$AQ$1001,MATCH(ROWS($U$2:U125),$U$2:$U$1001,0),MATCH(COLUMNS($AB$1006:AG1006),$AB$1006:$AQ$1006,0)), HYPERLINK("#",""), HYPERLINK(CONCATENATE("#metadata!", ADDRESS(INDEX($W$2:$W$1001,MATCH(ROWS($U$2:U125),$U$2:$U$1001,0),0), INDEX($AB$1004:$AQ$1004,1,MATCH(COLUMNS($AB$1006:AG1006),$AB$1006:$AQ$1006,0)))),"Fix")))</f>
        <v>0</v>
      </c>
      <c r="H125" s="4">
        <f>IF(OR(INDEX($V$2:$V$1001,MATCH(ROWS($U$2:U125),$U$2:$U$1001,0),1)&gt;=100000,INDEX($AB$1005:$AQ$1005,1,MATCH(COLUMNS($AB$1006:AH1006),$AB$1006:$AQ$1006,0))&gt;=100000), " ",IF(INDEX($AB$2:$AQ$1001,MATCH(ROWS($U$2:U125),$U$2:$U$1001,0),MATCH(COLUMNS($AB$1006:AH1006),$AB$1006:$AQ$1006,0)), HYPERLINK("#",""), HYPERLINK(CONCATENATE("#metadata!", ADDRESS(INDEX($W$2:$W$1001,MATCH(ROWS($U$2:U125),$U$2:$U$1001,0),0), INDEX($AB$1004:$AQ$1004,1,MATCH(COLUMNS($AB$1006:AH1006),$AB$1006:$AQ$1006,0)))),"Fix")))</f>
        <v>0</v>
      </c>
      <c r="I125" s="4">
        <f>IF(OR(INDEX($V$2:$V$1001,MATCH(ROWS($U$2:U125),$U$2:$U$1001,0),1)&gt;=100000,INDEX($AB$1005:$AQ$1005,1,MATCH(COLUMNS($AB$1006:AI1006),$AB$1006:$AQ$1006,0))&gt;=100000), " ",IF(INDEX($AB$2:$AQ$1001,MATCH(ROWS($U$2:U125),$U$2:$U$1001,0),MATCH(COLUMNS($AB$1006:AI1006),$AB$1006:$AQ$1006,0)), HYPERLINK("#",""), HYPERLINK(CONCATENATE("#metadata!", ADDRESS(INDEX($W$2:$W$1001,MATCH(ROWS($U$2:U125),$U$2:$U$1001,0),0), INDEX($AB$1004:$AQ$1004,1,MATCH(COLUMNS($AB$1006:AI1006),$AB$1006:$AQ$1006,0)))),"Fix")))</f>
        <v>0</v>
      </c>
      <c r="J125" s="4">
        <f>IF(OR(INDEX($V$2:$V$1001,MATCH(ROWS($U$2:U125),$U$2:$U$1001,0),1)&gt;=100000,INDEX($AB$1005:$AQ$1005,1,MATCH(COLUMNS($AB$1006:AJ1006),$AB$1006:$AQ$1006,0))&gt;=100000), " ",IF(INDEX($AB$2:$AQ$1001,MATCH(ROWS($U$2:U125),$U$2:$U$1001,0),MATCH(COLUMNS($AB$1006:AJ1006),$AB$1006:$AQ$1006,0)), HYPERLINK("#",""), HYPERLINK(CONCATENATE("#metadata!", ADDRESS(INDEX($W$2:$W$1001,MATCH(ROWS($U$2:U125),$U$2:$U$1001,0),0), INDEX($AB$1004:$AQ$1004,1,MATCH(COLUMNS($AB$1006:AJ1006),$AB$1006:$AQ$1006,0)))),"Fix")))</f>
        <v>0</v>
      </c>
      <c r="K125" s="4">
        <f>IF(OR(INDEX($V$2:$V$1001,MATCH(ROWS($U$2:U125),$U$2:$U$1001,0),1)&gt;=100000,INDEX($AB$1005:$AQ$1005,1,MATCH(COLUMNS($AB$1006:AK1006),$AB$1006:$AQ$1006,0))&gt;=100000), " ",IF(INDEX($AB$2:$AQ$1001,MATCH(ROWS($U$2:U125),$U$2:$U$1001,0),MATCH(COLUMNS($AB$1006:AK1006),$AB$1006:$AQ$1006,0)), HYPERLINK("#",""), HYPERLINK(CONCATENATE("#metadata!", ADDRESS(INDEX($W$2:$W$1001,MATCH(ROWS($U$2:U125),$U$2:$U$1001,0),0), INDEX($AB$1004:$AQ$1004,1,MATCH(COLUMNS($AB$1006:AK1006),$AB$1006:$AQ$1006,0)))),"Fix")))</f>
        <v>0</v>
      </c>
      <c r="L125" s="4">
        <f>IF(OR(INDEX($V$2:$V$1001,MATCH(ROWS($U$2:U125),$U$2:$U$1001,0),1)&gt;=100000,INDEX($AB$1005:$AQ$1005,1,MATCH(COLUMNS($AB$1006:AL1006),$AB$1006:$AQ$1006,0))&gt;=100000), " ",IF(INDEX($AB$2:$AQ$1001,MATCH(ROWS($U$2:U125),$U$2:$U$1001,0),MATCH(COLUMNS($AB$1006:AL1006),$AB$1006:$AQ$1006,0)), HYPERLINK("#",""), HYPERLINK(CONCATENATE("#metadata!", ADDRESS(INDEX($W$2:$W$1001,MATCH(ROWS($U$2:U125),$U$2:$U$1001,0),0), INDEX($AB$1004:$AQ$1004,1,MATCH(COLUMNS($AB$1006:AL1006),$AB$1006:$AQ$1006,0)))),"Fix")))</f>
        <v>0</v>
      </c>
      <c r="M125" s="4">
        <f>IF(OR(INDEX($V$2:$V$1001,MATCH(ROWS($U$2:U125),$U$2:$U$1001,0),1)&gt;=100000,INDEX($AB$1005:$AQ$1005,1,MATCH(COLUMNS($AB$1006:AM1006),$AB$1006:$AQ$1006,0))&gt;=100000), " ",IF(INDEX($AB$2:$AQ$1001,MATCH(ROWS($U$2:U125),$U$2:$U$1001,0),MATCH(COLUMNS($AB$1006:AM1006),$AB$1006:$AQ$1006,0)), HYPERLINK("#",""), HYPERLINK(CONCATENATE("#metadata!", ADDRESS(INDEX($W$2:$W$1001,MATCH(ROWS($U$2:U125),$U$2:$U$1001,0),0), INDEX($AB$1004:$AQ$1004,1,MATCH(COLUMNS($AB$1006:AM1006),$AB$1006:$AQ$1006,0)))),"Fix")))</f>
        <v>0</v>
      </c>
      <c r="N125" s="4">
        <f>IF(OR(INDEX($V$2:$V$1001,MATCH(ROWS($U$2:U125),$U$2:$U$1001,0),1)&gt;=100000,INDEX($AB$1005:$AQ$1005,1,MATCH(COLUMNS($AB$1006:AN1006),$AB$1006:$AQ$1006,0))&gt;=100000), " ",IF(INDEX($AB$2:$AQ$1001,MATCH(ROWS($U$2:U125),$U$2:$U$1001,0),MATCH(COLUMNS($AB$1006:AN1006),$AB$1006:$AQ$1006,0)), HYPERLINK("#",""), HYPERLINK(CONCATENATE("#metadata!", ADDRESS(INDEX($W$2:$W$1001,MATCH(ROWS($U$2:U125),$U$2:$U$1001,0),0), INDEX($AB$1004:$AQ$1004,1,MATCH(COLUMNS($AB$1006:AN1006),$AB$1006:$AQ$1006,0)))),"Fix")))</f>
        <v>0</v>
      </c>
      <c r="O125" s="4">
        <f>IF(OR(INDEX($V$2:$V$1001,MATCH(ROWS($U$2:U125),$U$2:$U$1001,0),1)&gt;=100000,INDEX($AB$1005:$AQ$1005,1,MATCH(COLUMNS($AB$1006:AO1006),$AB$1006:$AQ$1006,0))&gt;=100000), " ",IF(INDEX($AB$2:$AQ$1001,MATCH(ROWS($U$2:U125),$U$2:$U$1001,0),MATCH(COLUMNS($AB$1006:AO1006),$AB$1006:$AQ$1006,0)), HYPERLINK("#",""), HYPERLINK(CONCATENATE("#metadata!", ADDRESS(INDEX($W$2:$W$1001,MATCH(ROWS($U$2:U125),$U$2:$U$1001,0),0), INDEX($AB$1004:$AQ$1004,1,MATCH(COLUMNS($AB$1006:AO1006),$AB$1006:$AQ$1006,0)))),"Fix")))</f>
        <v>0</v>
      </c>
      <c r="P125" s="4">
        <f>IF(OR(INDEX($V$2:$V$1001,MATCH(ROWS($U$2:U125),$U$2:$U$1001,0),1)&gt;=100000,INDEX($AB$1005:$AQ$1005,1,MATCH(COLUMNS($AB$1006:AP1006),$AB$1006:$AQ$1006,0))&gt;=100000), " ",IF(INDEX($AB$2:$AQ$1001,MATCH(ROWS($U$2:U125),$U$2:$U$1001,0),MATCH(COLUMNS($AB$1006:AP1006),$AB$1006:$AQ$1006,0)), HYPERLINK("#",""), HYPERLINK(CONCATENATE("#metadata!", ADDRESS(INDEX($W$2:$W$1001,MATCH(ROWS($U$2:U125),$U$2:$U$1001,0),0), INDEX($AB$1004:$AQ$1004,1,MATCH(COLUMNS($AB$1006:AP1006),$AB$1006:$AQ$1006,0)))),"Fix")))</f>
        <v>0</v>
      </c>
      <c r="Q125" s="4">
        <f>IF(OR(INDEX($V$2:$V$1001,MATCH(ROWS($U$2:U125),$U$2:$U$1001,0),1)&gt;=100000,INDEX($AB$1005:$AQ$1005,1,MATCH(COLUMNS($AB$1006:AQ1006),$AB$1006:$AQ$1006,0))&gt;=100000), " ",IF(INDEX($AB$2:$AQ$1001,MATCH(ROWS($U$2:U125),$U$2:$U$1001,0),MATCH(COLUMNS($AB$1006:AQ1006),$AB$1006:$AQ$1006,0)), HYPERLINK("#",""), HYPERLINK(CONCATENATE("#metadata!", ADDRESS(INDEX($W$2:$W$1001,MATCH(ROWS($U$2:U125),$U$2:$U$1001,0),0), INDEX($AB$1004:$AQ$1004,1,MATCH(COLUMNS($AB$1006:AQ1006),$AB$1006:$AQ$1006,0)))),"Fix")))</f>
        <v>0</v>
      </c>
      <c r="U125">
        <v>0</v>
      </c>
      <c r="V125">
        <v>0</v>
      </c>
      <c r="W125">
        <v>0</v>
      </c>
      <c r="X125">
        <f>IF(Y125,TRUE,AND(AB125:AQ125))</f>
        <v>0</v>
      </c>
      <c r="Y125">
        <f>COUNTBLANK(metadata!B125:Q125)=COLUMNS(metadata!B125:Q125)</f>
        <v>0</v>
      </c>
      <c r="Z125">
        <v>0</v>
      </c>
      <c r="AB125">
        <f>AND(IF(metadata!B125="",FALSE,TRUE),COUNTIF(metadata!B:B, metadata!B125) = 1,NOT(ISERROR(SUMPRODUCT(SEARCH(MID(metadata!B125,ROW(INDIRECT("1:"&amp;LEN(metadata!B125))), 1),"0123456789abcdefghijklmnopqrstuvwxyzABCDEFGHIJKLMNOPQRSTUVWXYZ.")))))</f>
        <v>0</v>
      </c>
      <c r="AC125">
        <f>OR(AND(IF(metadata!C125="",FALSE,TRUE),OR(exact(metadata!C125,"missing: not collected"),exact(metadata!C125,"missing: not provided"),exact(metadata!C125,"missing: restricted access"))),AND(IF(metadata!C125="",FALSE,TRUE),AND(AND(IFERROR(INT(LEFT(metadata!C125,4))&gt;1900,FALSE),IFERROR(INT(LEFT(metadata!C125,4))&lt;=YEAR(NOW()),FALSE)), OR(MID(metadata!C125,5,1)="", AND(AND(MID(metadata!C125,5,1)="-",IFERROR(INT(MID(metadata!C125,6,1))&gt;=0,FALSE),IFERROR(INT(MID(metadata!C125,6,1))&lt;=1,FALSE),NOT(MID(metadata!C125,7,1)=""),IFERROR(INT(MID(metadata!C125,6,2))&gt;=1,FALSE),IFERROR(INT(MID(metadata!C125,6,2))&lt;=12,FALSE)), OR(MID(metadata!C125,8,1)="", AND(AND(MID(metadata!C125,8,1)="-",IFERROR(INT(MID(metadata!C125,9,1))&gt;=0,FALSE),IFERROR(INT(MID(metadata!C125,9,1))&lt;=3,FALSE),NOT(MID(metadata!C125,10,1)=""),IFERROR(INT(MID(metadata!C125,9,2))&gt;=1,FALSE),IFERROR(INT(MID(metadata!C125,9,2))&lt;=31,FALSE)), OR(MID(metadata!C125,11,1)="", AND(AND(MID(metadata!C125,11,1)=" ",IFERROR(INT(MID(metadata!C125,12,1))&gt;=0,FALSE),IFERROR(INT(MID(metadata!C125,12,1))&lt;=2,FALSE),NOT(MID(metadata!C125,13,1)=""),IFERROR(INT(MID(metadata!C125,12,2))&gt;=0,FALSE),IFERROR(INT(MID(metadata!C125,12,2))&lt;=23,FALSE)), OR(MID(metadata!C125,14,1)="", AND(AND(MID(metadata!C125,14,1)=":",IFERROR(INT(MID(metadata!C125,15,1))&gt;=0,FALSE),IFERROR(INT(MID(metadata!C125,15,1))&lt;=5,FALSE),NOT(MID(metadata!C125,16,1)=""),IFERROR(INT(MID(metadata!C125,15,2))&gt;=0,FALSE),IFERROR(INT(MID(metadata!C125,15,2))&lt;=59,FALSE)), OR(MID(metadata!C125,17,1)="", AND(AND(MID(metadata!C125,17,1)=":",IFERROR(INT(MID(metadata!C125,18,1))&gt;=0,FALSE),IFERROR(INT(MID(metadata!C125,18,1))&lt;=5,FALSE),NOT(MID(metadata!C125,19,1)=""),IFERROR(INT(MID(metadata!C125,18,2))&gt;=0,FALSE),IFERROR(INT(MID(metadata!C125,18,2))&lt;=59,FALSE)), LEN(metadata!C125)&lt;=19)))))))))))))</f>
        <v>0</v>
      </c>
      <c r="AD125">
        <f>IF(metadata!D125="",FALSE,TRUE)</f>
        <v>0</v>
      </c>
      <c r="AE125">
        <f>OR(AND(IF(metadata!E125="",FALSE,TRUE),OR(exact(metadata!E125,"missing: not collected"),exact(metadata!E125,"missing: not provided"))),AND(IF(metadata!E125="",FALSE,TRUE),OR(exact(metadata!E125,"TRUE"),exact(metadata!E125,"FALSE"))))</f>
        <v>0</v>
      </c>
      <c r="AF125">
        <f>IF(metadata!F125="",FALSE,TRUE)</f>
        <v>0</v>
      </c>
      <c r="AG125">
        <f>IF(metadata!G125="",FALSE,TRUE)</f>
        <v>0</v>
      </c>
      <c r="AH125">
        <f>IF(metadata!H125="",FALSE,TRUE)</f>
        <v>0</v>
      </c>
      <c r="AI125">
        <f>OR(AND(IF(metadata!I125="",FALSE,TRUE),OR(exact(metadata!I125,"missing: not collected"),exact(metadata!I125,"missing: not provided"),exact(metadata!I125,"missing: restricted access"))),AND(IF(metadata!I125="",FALSE,TRUE),OR(exact(metadata!I125,"air"),exact(metadata!I125,"built environment"),exact(metadata!I125,"host-associated"),exact(metadata!I125,"human-associated"),exact(metadata!I125,"human-skin"),exact(metadata!I125,"human-oral"),exact(metadata!I125,"human-gut"),exact(metadata!I125,"human-vaginal"),exact(metadata!I125,"microbial mat/biofilm"),exact(metadata!I125,"misc environment"),exact(metadata!I125,"plant-associated"),exact(metadata!I125,"sediment"),exact(metadata!I125,"soil"),exact(metadata!I125,"wastewater/sludge"),exact(metadata!I125,"water"))))</f>
        <v>0</v>
      </c>
      <c r="AJ125">
        <f>IF(metadata!J125="",FALSE,TRUE)</f>
        <v>0</v>
      </c>
      <c r="AK125">
        <f>OR(AND(IF(metadata!K125="",FALSE,TRUE),OR(exact(metadata!K125,"missing: not collected"),exact(metadata!K125,"missing: not provided"),exact(metadata!K125,"missing: restricted access"))),AND(IF(metadata!K125="",FALSE,ISNUMBER(VALUE(metadata!K125))),metadata!K125&gt;=-90.00,metadata!K125&lt;=90.00))</f>
        <v>0</v>
      </c>
      <c r="AL125">
        <f>OR(AND(IF(metadata!L125="",FALSE,TRUE),OR(exact(metadata!L125,"missing: not collected"),exact(metadata!L125,"missing: not provided"),exact(metadata!L125,"missing: restricted access"))),AND(IF(metadata!L125="",FALSE,ISNUMBER(VALUE(metadata!L125))),metadata!L125&gt;=-180.00,metadata!L125&lt;=180.00))</f>
        <v>0</v>
      </c>
      <c r="AM125">
        <f>IF(metadata!M125="",FALSE,TRUE)</f>
        <v>0</v>
      </c>
      <c r="AN125">
        <f>OR(AND(IF(metadata!N125="",FALSE,TRUE),OR(exact(metadata!N125,"missing: not collected"),exact(metadata!N125,"missing: not provided"),exact(metadata!N125,"missing: restricted access"))),AND(IF(metadata!N125="",FALSE,TRUE),OR(exact(metadata!N125,"TRUE"),exact(metadata!N125,"FALSE"))))</f>
        <v>0</v>
      </c>
      <c r="AO125">
        <f>IF(metadata!O125="",FALSE,TRUE)</f>
        <v>0</v>
      </c>
      <c r="AP125">
        <f>OR(AND(IF(metadata!P125="",FALSE,TRUE),OR(exact(metadata!P125,"missing: not collected"),exact(metadata!P125,"missing: not provided"))),AND(IF(metadata!P125="",FALSE,IF(ISERROR(INT(metadata!P125)),FALSE,INT(metadata!P125)=metadata!P125)),metadata!P125&gt;0))</f>
        <v>0</v>
      </c>
      <c r="AQ125">
        <f>IF(metadata!Q125="",FALSE,TRUE)</f>
        <v>0</v>
      </c>
    </row>
    <row r="126" spans="1:43">
      <c r="A126" s="5">
        <f>IF(B126=" "," ",HYPERLINK(CONCATENATE("#metadata!",ADDRESS(INDEX($W$2:$W$1001,MATCH(ROWS($U$2:U126),$U$2:$U$1001,0),0),1)),INDEX($Z$2:$Z$1001,MATCH(ROWS($U$2:U126),$U$2:$U$1001,0),0)))</f>
        <v>0</v>
      </c>
      <c r="B126" s="4">
        <f>IF(OR(INDEX($V$2:$V$1001,MATCH(ROWS($U$2:U126),$U$2:$U$1001,0),1)&gt;=100000,INDEX($AB$1005:$AQ$1005,1,MATCH(COLUMNS($AB$1006:AB1006),$AB$1006:$AQ$1006,0))&gt;=100000), " ",IF(INDEX($AB$2:$AQ$1001,MATCH(ROWS($U$2:U126),$U$2:$U$1001,0),MATCH(COLUMNS($AB$1006:AB1006),$AB$1006:$AQ$1006,0)), HYPERLINK("#",""), HYPERLINK(CONCATENATE("#metadata!", ADDRESS(INDEX($W$2:$W$1001,MATCH(ROWS($U$2:U126),$U$2:$U$1001,0),0), INDEX($AB$1004:$AQ$1004,1,MATCH(COLUMNS($AB$1006:AB1006),$AB$1006:$AQ$1006,0)))),"Fix")))</f>
        <v>0</v>
      </c>
      <c r="C126" s="4">
        <f>IF(OR(INDEX($V$2:$V$1001,MATCH(ROWS($U$2:U126),$U$2:$U$1001,0),1)&gt;=100000,INDEX($AB$1005:$AQ$1005,1,MATCH(COLUMNS($AB$1006:AC1006),$AB$1006:$AQ$1006,0))&gt;=100000), " ",IF(INDEX($AB$2:$AQ$1001,MATCH(ROWS($U$2:U126),$U$2:$U$1001,0),MATCH(COLUMNS($AB$1006:AC1006),$AB$1006:$AQ$1006,0)), HYPERLINK("#",""), HYPERLINK(CONCATENATE("#metadata!", ADDRESS(INDEX($W$2:$W$1001,MATCH(ROWS($U$2:U126),$U$2:$U$1001,0),0), INDEX($AB$1004:$AQ$1004,1,MATCH(COLUMNS($AB$1006:AC1006),$AB$1006:$AQ$1006,0)))),"Fix")))</f>
        <v>0</v>
      </c>
      <c r="D126" s="4">
        <f>IF(OR(INDEX($V$2:$V$1001,MATCH(ROWS($U$2:U126),$U$2:$U$1001,0),1)&gt;=100000,INDEX($AB$1005:$AQ$1005,1,MATCH(COLUMNS($AB$1006:AD1006),$AB$1006:$AQ$1006,0))&gt;=100000), " ",IF(INDEX($AB$2:$AQ$1001,MATCH(ROWS($U$2:U126),$U$2:$U$1001,0),MATCH(COLUMNS($AB$1006:AD1006),$AB$1006:$AQ$1006,0)), HYPERLINK("#",""), HYPERLINK(CONCATENATE("#metadata!", ADDRESS(INDEX($W$2:$W$1001,MATCH(ROWS($U$2:U126),$U$2:$U$1001,0),0), INDEX($AB$1004:$AQ$1004,1,MATCH(COLUMNS($AB$1006:AD1006),$AB$1006:$AQ$1006,0)))),"Fix")))</f>
        <v>0</v>
      </c>
      <c r="E126" s="4">
        <f>IF(OR(INDEX($V$2:$V$1001,MATCH(ROWS($U$2:U126),$U$2:$U$1001,0),1)&gt;=100000,INDEX($AB$1005:$AQ$1005,1,MATCH(COLUMNS($AB$1006:AE1006),$AB$1006:$AQ$1006,0))&gt;=100000), " ",IF(INDEX($AB$2:$AQ$1001,MATCH(ROWS($U$2:U126),$U$2:$U$1001,0),MATCH(COLUMNS($AB$1006:AE1006),$AB$1006:$AQ$1006,0)), HYPERLINK("#",""), HYPERLINK(CONCATENATE("#metadata!", ADDRESS(INDEX($W$2:$W$1001,MATCH(ROWS($U$2:U126),$U$2:$U$1001,0),0), INDEX($AB$1004:$AQ$1004,1,MATCH(COLUMNS($AB$1006:AE1006),$AB$1006:$AQ$1006,0)))),"Fix")))</f>
        <v>0</v>
      </c>
      <c r="F126" s="4">
        <f>IF(OR(INDEX($V$2:$V$1001,MATCH(ROWS($U$2:U126),$U$2:$U$1001,0),1)&gt;=100000,INDEX($AB$1005:$AQ$1005,1,MATCH(COLUMNS($AB$1006:AF1006),$AB$1006:$AQ$1006,0))&gt;=100000), " ",IF(INDEX($AB$2:$AQ$1001,MATCH(ROWS($U$2:U126),$U$2:$U$1001,0),MATCH(COLUMNS($AB$1006:AF1006),$AB$1006:$AQ$1006,0)), HYPERLINK("#",""), HYPERLINK(CONCATENATE("#metadata!", ADDRESS(INDEX($W$2:$W$1001,MATCH(ROWS($U$2:U126),$U$2:$U$1001,0),0), INDEX($AB$1004:$AQ$1004,1,MATCH(COLUMNS($AB$1006:AF1006),$AB$1006:$AQ$1006,0)))),"Fix")))</f>
        <v>0</v>
      </c>
      <c r="G126" s="4">
        <f>IF(OR(INDEX($V$2:$V$1001,MATCH(ROWS($U$2:U126),$U$2:$U$1001,0),1)&gt;=100000,INDEX($AB$1005:$AQ$1005,1,MATCH(COLUMNS($AB$1006:AG1006),$AB$1006:$AQ$1006,0))&gt;=100000), " ",IF(INDEX($AB$2:$AQ$1001,MATCH(ROWS($U$2:U126),$U$2:$U$1001,0),MATCH(COLUMNS($AB$1006:AG1006),$AB$1006:$AQ$1006,0)), HYPERLINK("#",""), HYPERLINK(CONCATENATE("#metadata!", ADDRESS(INDEX($W$2:$W$1001,MATCH(ROWS($U$2:U126),$U$2:$U$1001,0),0), INDEX($AB$1004:$AQ$1004,1,MATCH(COLUMNS($AB$1006:AG1006),$AB$1006:$AQ$1006,0)))),"Fix")))</f>
        <v>0</v>
      </c>
      <c r="H126" s="4">
        <f>IF(OR(INDEX($V$2:$V$1001,MATCH(ROWS($U$2:U126),$U$2:$U$1001,0),1)&gt;=100000,INDEX($AB$1005:$AQ$1005,1,MATCH(COLUMNS($AB$1006:AH1006),$AB$1006:$AQ$1006,0))&gt;=100000), " ",IF(INDEX($AB$2:$AQ$1001,MATCH(ROWS($U$2:U126),$U$2:$U$1001,0),MATCH(COLUMNS($AB$1006:AH1006),$AB$1006:$AQ$1006,0)), HYPERLINK("#",""), HYPERLINK(CONCATENATE("#metadata!", ADDRESS(INDEX($W$2:$W$1001,MATCH(ROWS($U$2:U126),$U$2:$U$1001,0),0), INDEX($AB$1004:$AQ$1004,1,MATCH(COLUMNS($AB$1006:AH1006),$AB$1006:$AQ$1006,0)))),"Fix")))</f>
        <v>0</v>
      </c>
      <c r="I126" s="4">
        <f>IF(OR(INDEX($V$2:$V$1001,MATCH(ROWS($U$2:U126),$U$2:$U$1001,0),1)&gt;=100000,INDEX($AB$1005:$AQ$1005,1,MATCH(COLUMNS($AB$1006:AI1006),$AB$1006:$AQ$1006,0))&gt;=100000), " ",IF(INDEX($AB$2:$AQ$1001,MATCH(ROWS($U$2:U126),$U$2:$U$1001,0),MATCH(COLUMNS($AB$1006:AI1006),$AB$1006:$AQ$1006,0)), HYPERLINK("#",""), HYPERLINK(CONCATENATE("#metadata!", ADDRESS(INDEX($W$2:$W$1001,MATCH(ROWS($U$2:U126),$U$2:$U$1001,0),0), INDEX($AB$1004:$AQ$1004,1,MATCH(COLUMNS($AB$1006:AI1006),$AB$1006:$AQ$1006,0)))),"Fix")))</f>
        <v>0</v>
      </c>
      <c r="J126" s="4">
        <f>IF(OR(INDEX($V$2:$V$1001,MATCH(ROWS($U$2:U126),$U$2:$U$1001,0),1)&gt;=100000,INDEX($AB$1005:$AQ$1005,1,MATCH(COLUMNS($AB$1006:AJ1006),$AB$1006:$AQ$1006,0))&gt;=100000), " ",IF(INDEX($AB$2:$AQ$1001,MATCH(ROWS($U$2:U126),$U$2:$U$1001,0),MATCH(COLUMNS($AB$1006:AJ1006),$AB$1006:$AQ$1006,0)), HYPERLINK("#",""), HYPERLINK(CONCATENATE("#metadata!", ADDRESS(INDEX($W$2:$W$1001,MATCH(ROWS($U$2:U126),$U$2:$U$1001,0),0), INDEX($AB$1004:$AQ$1004,1,MATCH(COLUMNS($AB$1006:AJ1006),$AB$1006:$AQ$1006,0)))),"Fix")))</f>
        <v>0</v>
      </c>
      <c r="K126" s="4">
        <f>IF(OR(INDEX($V$2:$V$1001,MATCH(ROWS($U$2:U126),$U$2:$U$1001,0),1)&gt;=100000,INDEX($AB$1005:$AQ$1005,1,MATCH(COLUMNS($AB$1006:AK1006),$AB$1006:$AQ$1006,0))&gt;=100000), " ",IF(INDEX($AB$2:$AQ$1001,MATCH(ROWS($U$2:U126),$U$2:$U$1001,0),MATCH(COLUMNS($AB$1006:AK1006),$AB$1006:$AQ$1006,0)), HYPERLINK("#",""), HYPERLINK(CONCATENATE("#metadata!", ADDRESS(INDEX($W$2:$W$1001,MATCH(ROWS($U$2:U126),$U$2:$U$1001,0),0), INDEX($AB$1004:$AQ$1004,1,MATCH(COLUMNS($AB$1006:AK1006),$AB$1006:$AQ$1006,0)))),"Fix")))</f>
        <v>0</v>
      </c>
      <c r="L126" s="4">
        <f>IF(OR(INDEX($V$2:$V$1001,MATCH(ROWS($U$2:U126),$U$2:$U$1001,0),1)&gt;=100000,INDEX($AB$1005:$AQ$1005,1,MATCH(COLUMNS($AB$1006:AL1006),$AB$1006:$AQ$1006,0))&gt;=100000), " ",IF(INDEX($AB$2:$AQ$1001,MATCH(ROWS($U$2:U126),$U$2:$U$1001,0),MATCH(COLUMNS($AB$1006:AL1006),$AB$1006:$AQ$1006,0)), HYPERLINK("#",""), HYPERLINK(CONCATENATE("#metadata!", ADDRESS(INDEX($W$2:$W$1001,MATCH(ROWS($U$2:U126),$U$2:$U$1001,0),0), INDEX($AB$1004:$AQ$1004,1,MATCH(COLUMNS($AB$1006:AL1006),$AB$1006:$AQ$1006,0)))),"Fix")))</f>
        <v>0</v>
      </c>
      <c r="M126" s="4">
        <f>IF(OR(INDEX($V$2:$V$1001,MATCH(ROWS($U$2:U126),$U$2:$U$1001,0),1)&gt;=100000,INDEX($AB$1005:$AQ$1005,1,MATCH(COLUMNS($AB$1006:AM1006),$AB$1006:$AQ$1006,0))&gt;=100000), " ",IF(INDEX($AB$2:$AQ$1001,MATCH(ROWS($U$2:U126),$U$2:$U$1001,0),MATCH(COLUMNS($AB$1006:AM1006),$AB$1006:$AQ$1006,0)), HYPERLINK("#",""), HYPERLINK(CONCATENATE("#metadata!", ADDRESS(INDEX($W$2:$W$1001,MATCH(ROWS($U$2:U126),$U$2:$U$1001,0),0), INDEX($AB$1004:$AQ$1004,1,MATCH(COLUMNS($AB$1006:AM1006),$AB$1006:$AQ$1006,0)))),"Fix")))</f>
        <v>0</v>
      </c>
      <c r="N126" s="4">
        <f>IF(OR(INDEX($V$2:$V$1001,MATCH(ROWS($U$2:U126),$U$2:$U$1001,0),1)&gt;=100000,INDEX($AB$1005:$AQ$1005,1,MATCH(COLUMNS($AB$1006:AN1006),$AB$1006:$AQ$1006,0))&gt;=100000), " ",IF(INDEX($AB$2:$AQ$1001,MATCH(ROWS($U$2:U126),$U$2:$U$1001,0),MATCH(COLUMNS($AB$1006:AN1006),$AB$1006:$AQ$1006,0)), HYPERLINK("#",""), HYPERLINK(CONCATENATE("#metadata!", ADDRESS(INDEX($W$2:$W$1001,MATCH(ROWS($U$2:U126),$U$2:$U$1001,0),0), INDEX($AB$1004:$AQ$1004,1,MATCH(COLUMNS($AB$1006:AN1006),$AB$1006:$AQ$1006,0)))),"Fix")))</f>
        <v>0</v>
      </c>
      <c r="O126" s="4">
        <f>IF(OR(INDEX($V$2:$V$1001,MATCH(ROWS($U$2:U126),$U$2:$U$1001,0),1)&gt;=100000,INDEX($AB$1005:$AQ$1005,1,MATCH(COLUMNS($AB$1006:AO1006),$AB$1006:$AQ$1006,0))&gt;=100000), " ",IF(INDEX($AB$2:$AQ$1001,MATCH(ROWS($U$2:U126),$U$2:$U$1001,0),MATCH(COLUMNS($AB$1006:AO1006),$AB$1006:$AQ$1006,0)), HYPERLINK("#",""), HYPERLINK(CONCATENATE("#metadata!", ADDRESS(INDEX($W$2:$W$1001,MATCH(ROWS($U$2:U126),$U$2:$U$1001,0),0), INDEX($AB$1004:$AQ$1004,1,MATCH(COLUMNS($AB$1006:AO1006),$AB$1006:$AQ$1006,0)))),"Fix")))</f>
        <v>0</v>
      </c>
      <c r="P126" s="4">
        <f>IF(OR(INDEX($V$2:$V$1001,MATCH(ROWS($U$2:U126),$U$2:$U$1001,0),1)&gt;=100000,INDEX($AB$1005:$AQ$1005,1,MATCH(COLUMNS($AB$1006:AP1006),$AB$1006:$AQ$1006,0))&gt;=100000), " ",IF(INDEX($AB$2:$AQ$1001,MATCH(ROWS($U$2:U126),$U$2:$U$1001,0),MATCH(COLUMNS($AB$1006:AP1006),$AB$1006:$AQ$1006,0)), HYPERLINK("#",""), HYPERLINK(CONCATENATE("#metadata!", ADDRESS(INDEX($W$2:$W$1001,MATCH(ROWS($U$2:U126),$U$2:$U$1001,0),0), INDEX($AB$1004:$AQ$1004,1,MATCH(COLUMNS($AB$1006:AP1006),$AB$1006:$AQ$1006,0)))),"Fix")))</f>
        <v>0</v>
      </c>
      <c r="Q126" s="4">
        <f>IF(OR(INDEX($V$2:$V$1001,MATCH(ROWS($U$2:U126),$U$2:$U$1001,0),1)&gt;=100000,INDEX($AB$1005:$AQ$1005,1,MATCH(COLUMNS($AB$1006:AQ1006),$AB$1006:$AQ$1006,0))&gt;=100000), " ",IF(INDEX($AB$2:$AQ$1001,MATCH(ROWS($U$2:U126),$U$2:$U$1001,0),MATCH(COLUMNS($AB$1006:AQ1006),$AB$1006:$AQ$1006,0)), HYPERLINK("#",""), HYPERLINK(CONCATENATE("#metadata!", ADDRESS(INDEX($W$2:$W$1001,MATCH(ROWS($U$2:U126),$U$2:$U$1001,0),0), INDEX($AB$1004:$AQ$1004,1,MATCH(COLUMNS($AB$1006:AQ1006),$AB$1006:$AQ$1006,0)))),"Fix")))</f>
        <v>0</v>
      </c>
      <c r="U126">
        <v>0</v>
      </c>
      <c r="V126">
        <v>0</v>
      </c>
      <c r="W126">
        <v>0</v>
      </c>
      <c r="X126">
        <f>IF(Y126,TRUE,AND(AB126:AQ126))</f>
        <v>0</v>
      </c>
      <c r="Y126">
        <f>COUNTBLANK(metadata!B126:Q126)=COLUMNS(metadata!B126:Q126)</f>
        <v>0</v>
      </c>
      <c r="Z126">
        <v>0</v>
      </c>
      <c r="AB126">
        <f>AND(IF(metadata!B126="",FALSE,TRUE),COUNTIF(metadata!B:B, metadata!B126) = 1,NOT(ISERROR(SUMPRODUCT(SEARCH(MID(metadata!B126,ROW(INDIRECT("1:"&amp;LEN(metadata!B126))), 1),"0123456789abcdefghijklmnopqrstuvwxyzABCDEFGHIJKLMNOPQRSTUVWXYZ.")))))</f>
        <v>0</v>
      </c>
      <c r="AC126">
        <f>OR(AND(IF(metadata!C126="",FALSE,TRUE),OR(exact(metadata!C126,"missing: not collected"),exact(metadata!C126,"missing: not provided"),exact(metadata!C126,"missing: restricted access"))),AND(IF(metadata!C126="",FALSE,TRUE),AND(AND(IFERROR(INT(LEFT(metadata!C126,4))&gt;1900,FALSE),IFERROR(INT(LEFT(metadata!C126,4))&lt;=YEAR(NOW()),FALSE)), OR(MID(metadata!C126,5,1)="", AND(AND(MID(metadata!C126,5,1)="-",IFERROR(INT(MID(metadata!C126,6,1))&gt;=0,FALSE),IFERROR(INT(MID(metadata!C126,6,1))&lt;=1,FALSE),NOT(MID(metadata!C126,7,1)=""),IFERROR(INT(MID(metadata!C126,6,2))&gt;=1,FALSE),IFERROR(INT(MID(metadata!C126,6,2))&lt;=12,FALSE)), OR(MID(metadata!C126,8,1)="", AND(AND(MID(metadata!C126,8,1)="-",IFERROR(INT(MID(metadata!C126,9,1))&gt;=0,FALSE),IFERROR(INT(MID(metadata!C126,9,1))&lt;=3,FALSE),NOT(MID(metadata!C126,10,1)=""),IFERROR(INT(MID(metadata!C126,9,2))&gt;=1,FALSE),IFERROR(INT(MID(metadata!C126,9,2))&lt;=31,FALSE)), OR(MID(metadata!C126,11,1)="", AND(AND(MID(metadata!C126,11,1)=" ",IFERROR(INT(MID(metadata!C126,12,1))&gt;=0,FALSE),IFERROR(INT(MID(metadata!C126,12,1))&lt;=2,FALSE),NOT(MID(metadata!C126,13,1)=""),IFERROR(INT(MID(metadata!C126,12,2))&gt;=0,FALSE),IFERROR(INT(MID(metadata!C126,12,2))&lt;=23,FALSE)), OR(MID(metadata!C126,14,1)="", AND(AND(MID(metadata!C126,14,1)=":",IFERROR(INT(MID(metadata!C126,15,1))&gt;=0,FALSE),IFERROR(INT(MID(metadata!C126,15,1))&lt;=5,FALSE),NOT(MID(metadata!C126,16,1)=""),IFERROR(INT(MID(metadata!C126,15,2))&gt;=0,FALSE),IFERROR(INT(MID(metadata!C126,15,2))&lt;=59,FALSE)), OR(MID(metadata!C126,17,1)="", AND(AND(MID(metadata!C126,17,1)=":",IFERROR(INT(MID(metadata!C126,18,1))&gt;=0,FALSE),IFERROR(INT(MID(metadata!C126,18,1))&lt;=5,FALSE),NOT(MID(metadata!C126,19,1)=""),IFERROR(INT(MID(metadata!C126,18,2))&gt;=0,FALSE),IFERROR(INT(MID(metadata!C126,18,2))&lt;=59,FALSE)), LEN(metadata!C126)&lt;=19)))))))))))))</f>
        <v>0</v>
      </c>
      <c r="AD126">
        <f>IF(metadata!D126="",FALSE,TRUE)</f>
        <v>0</v>
      </c>
      <c r="AE126">
        <f>OR(AND(IF(metadata!E126="",FALSE,TRUE),OR(exact(metadata!E126,"missing: not collected"),exact(metadata!E126,"missing: not provided"))),AND(IF(metadata!E126="",FALSE,TRUE),OR(exact(metadata!E126,"TRUE"),exact(metadata!E126,"FALSE"))))</f>
        <v>0</v>
      </c>
      <c r="AF126">
        <f>IF(metadata!F126="",FALSE,TRUE)</f>
        <v>0</v>
      </c>
      <c r="AG126">
        <f>IF(metadata!G126="",FALSE,TRUE)</f>
        <v>0</v>
      </c>
      <c r="AH126">
        <f>IF(metadata!H126="",FALSE,TRUE)</f>
        <v>0</v>
      </c>
      <c r="AI126">
        <f>OR(AND(IF(metadata!I126="",FALSE,TRUE),OR(exact(metadata!I126,"missing: not collected"),exact(metadata!I126,"missing: not provided"),exact(metadata!I126,"missing: restricted access"))),AND(IF(metadata!I126="",FALSE,TRUE),OR(exact(metadata!I126,"air"),exact(metadata!I126,"built environment"),exact(metadata!I126,"host-associated"),exact(metadata!I126,"human-associated"),exact(metadata!I126,"human-skin"),exact(metadata!I126,"human-oral"),exact(metadata!I126,"human-gut"),exact(metadata!I126,"human-vaginal"),exact(metadata!I126,"microbial mat/biofilm"),exact(metadata!I126,"misc environment"),exact(metadata!I126,"plant-associated"),exact(metadata!I126,"sediment"),exact(metadata!I126,"soil"),exact(metadata!I126,"wastewater/sludge"),exact(metadata!I126,"water"))))</f>
        <v>0</v>
      </c>
      <c r="AJ126">
        <f>IF(metadata!J126="",FALSE,TRUE)</f>
        <v>0</v>
      </c>
      <c r="AK126">
        <f>OR(AND(IF(metadata!K126="",FALSE,TRUE),OR(exact(metadata!K126,"missing: not collected"),exact(metadata!K126,"missing: not provided"),exact(metadata!K126,"missing: restricted access"))),AND(IF(metadata!K126="",FALSE,ISNUMBER(VALUE(metadata!K126))),metadata!K126&gt;=-90.00,metadata!K126&lt;=90.00))</f>
        <v>0</v>
      </c>
      <c r="AL126">
        <f>OR(AND(IF(metadata!L126="",FALSE,TRUE),OR(exact(metadata!L126,"missing: not collected"),exact(metadata!L126,"missing: not provided"),exact(metadata!L126,"missing: restricted access"))),AND(IF(metadata!L126="",FALSE,ISNUMBER(VALUE(metadata!L126))),metadata!L126&gt;=-180.00,metadata!L126&lt;=180.00))</f>
        <v>0</v>
      </c>
      <c r="AM126">
        <f>IF(metadata!M126="",FALSE,TRUE)</f>
        <v>0</v>
      </c>
      <c r="AN126">
        <f>OR(AND(IF(metadata!N126="",FALSE,TRUE),OR(exact(metadata!N126,"missing: not collected"),exact(metadata!N126,"missing: not provided"),exact(metadata!N126,"missing: restricted access"))),AND(IF(metadata!N126="",FALSE,TRUE),OR(exact(metadata!N126,"TRUE"),exact(metadata!N126,"FALSE"))))</f>
        <v>0</v>
      </c>
      <c r="AO126">
        <f>IF(metadata!O126="",FALSE,TRUE)</f>
        <v>0</v>
      </c>
      <c r="AP126">
        <f>OR(AND(IF(metadata!P126="",FALSE,TRUE),OR(exact(metadata!P126,"missing: not collected"),exact(metadata!P126,"missing: not provided"))),AND(IF(metadata!P126="",FALSE,IF(ISERROR(INT(metadata!P126)),FALSE,INT(metadata!P126)=metadata!P126)),metadata!P126&gt;0))</f>
        <v>0</v>
      </c>
      <c r="AQ126">
        <f>IF(metadata!Q126="",FALSE,TRUE)</f>
        <v>0</v>
      </c>
    </row>
    <row r="127" spans="1:43">
      <c r="A127" s="5">
        <f>IF(B127=" "," ",HYPERLINK(CONCATENATE("#metadata!",ADDRESS(INDEX($W$2:$W$1001,MATCH(ROWS($U$2:U127),$U$2:$U$1001,0),0),1)),INDEX($Z$2:$Z$1001,MATCH(ROWS($U$2:U127),$U$2:$U$1001,0),0)))</f>
        <v>0</v>
      </c>
      <c r="B127" s="4">
        <f>IF(OR(INDEX($V$2:$V$1001,MATCH(ROWS($U$2:U127),$U$2:$U$1001,0),1)&gt;=100000,INDEX($AB$1005:$AQ$1005,1,MATCH(COLUMNS($AB$1006:AB1006),$AB$1006:$AQ$1006,0))&gt;=100000), " ",IF(INDEX($AB$2:$AQ$1001,MATCH(ROWS($U$2:U127),$U$2:$U$1001,0),MATCH(COLUMNS($AB$1006:AB1006),$AB$1006:$AQ$1006,0)), HYPERLINK("#",""), HYPERLINK(CONCATENATE("#metadata!", ADDRESS(INDEX($W$2:$W$1001,MATCH(ROWS($U$2:U127),$U$2:$U$1001,0),0), INDEX($AB$1004:$AQ$1004,1,MATCH(COLUMNS($AB$1006:AB1006),$AB$1006:$AQ$1006,0)))),"Fix")))</f>
        <v>0</v>
      </c>
      <c r="C127" s="4">
        <f>IF(OR(INDEX($V$2:$V$1001,MATCH(ROWS($U$2:U127),$U$2:$U$1001,0),1)&gt;=100000,INDEX($AB$1005:$AQ$1005,1,MATCH(COLUMNS($AB$1006:AC1006),$AB$1006:$AQ$1006,0))&gt;=100000), " ",IF(INDEX($AB$2:$AQ$1001,MATCH(ROWS($U$2:U127),$U$2:$U$1001,0),MATCH(COLUMNS($AB$1006:AC1006),$AB$1006:$AQ$1006,0)), HYPERLINK("#",""), HYPERLINK(CONCATENATE("#metadata!", ADDRESS(INDEX($W$2:$W$1001,MATCH(ROWS($U$2:U127),$U$2:$U$1001,0),0), INDEX($AB$1004:$AQ$1004,1,MATCH(COLUMNS($AB$1006:AC1006),$AB$1006:$AQ$1006,0)))),"Fix")))</f>
        <v>0</v>
      </c>
      <c r="D127" s="4">
        <f>IF(OR(INDEX($V$2:$V$1001,MATCH(ROWS($U$2:U127),$U$2:$U$1001,0),1)&gt;=100000,INDEX($AB$1005:$AQ$1005,1,MATCH(COLUMNS($AB$1006:AD1006),$AB$1006:$AQ$1006,0))&gt;=100000), " ",IF(INDEX($AB$2:$AQ$1001,MATCH(ROWS($U$2:U127),$U$2:$U$1001,0),MATCH(COLUMNS($AB$1006:AD1006),$AB$1006:$AQ$1006,0)), HYPERLINK("#",""), HYPERLINK(CONCATENATE("#metadata!", ADDRESS(INDEX($W$2:$W$1001,MATCH(ROWS($U$2:U127),$U$2:$U$1001,0),0), INDEX($AB$1004:$AQ$1004,1,MATCH(COLUMNS($AB$1006:AD1006),$AB$1006:$AQ$1006,0)))),"Fix")))</f>
        <v>0</v>
      </c>
      <c r="E127" s="4">
        <f>IF(OR(INDEX($V$2:$V$1001,MATCH(ROWS($U$2:U127),$U$2:$U$1001,0),1)&gt;=100000,INDEX($AB$1005:$AQ$1005,1,MATCH(COLUMNS($AB$1006:AE1006),$AB$1006:$AQ$1006,0))&gt;=100000), " ",IF(INDEX($AB$2:$AQ$1001,MATCH(ROWS($U$2:U127),$U$2:$U$1001,0),MATCH(COLUMNS($AB$1006:AE1006),$AB$1006:$AQ$1006,0)), HYPERLINK("#",""), HYPERLINK(CONCATENATE("#metadata!", ADDRESS(INDEX($W$2:$W$1001,MATCH(ROWS($U$2:U127),$U$2:$U$1001,0),0), INDEX($AB$1004:$AQ$1004,1,MATCH(COLUMNS($AB$1006:AE1006),$AB$1006:$AQ$1006,0)))),"Fix")))</f>
        <v>0</v>
      </c>
      <c r="F127" s="4">
        <f>IF(OR(INDEX($V$2:$V$1001,MATCH(ROWS($U$2:U127),$U$2:$U$1001,0),1)&gt;=100000,INDEX($AB$1005:$AQ$1005,1,MATCH(COLUMNS($AB$1006:AF1006),$AB$1006:$AQ$1006,0))&gt;=100000), " ",IF(INDEX($AB$2:$AQ$1001,MATCH(ROWS($U$2:U127),$U$2:$U$1001,0),MATCH(COLUMNS($AB$1006:AF1006),$AB$1006:$AQ$1006,0)), HYPERLINK("#",""), HYPERLINK(CONCATENATE("#metadata!", ADDRESS(INDEX($W$2:$W$1001,MATCH(ROWS($U$2:U127),$U$2:$U$1001,0),0), INDEX($AB$1004:$AQ$1004,1,MATCH(COLUMNS($AB$1006:AF1006),$AB$1006:$AQ$1006,0)))),"Fix")))</f>
        <v>0</v>
      </c>
      <c r="G127" s="4">
        <f>IF(OR(INDEX($V$2:$V$1001,MATCH(ROWS($U$2:U127),$U$2:$U$1001,0),1)&gt;=100000,INDEX($AB$1005:$AQ$1005,1,MATCH(COLUMNS($AB$1006:AG1006),$AB$1006:$AQ$1006,0))&gt;=100000), " ",IF(INDEX($AB$2:$AQ$1001,MATCH(ROWS($U$2:U127),$U$2:$U$1001,0),MATCH(COLUMNS($AB$1006:AG1006),$AB$1006:$AQ$1006,0)), HYPERLINK("#",""), HYPERLINK(CONCATENATE("#metadata!", ADDRESS(INDEX($W$2:$W$1001,MATCH(ROWS($U$2:U127),$U$2:$U$1001,0),0), INDEX($AB$1004:$AQ$1004,1,MATCH(COLUMNS($AB$1006:AG1006),$AB$1006:$AQ$1006,0)))),"Fix")))</f>
        <v>0</v>
      </c>
      <c r="H127" s="4">
        <f>IF(OR(INDEX($V$2:$V$1001,MATCH(ROWS($U$2:U127),$U$2:$U$1001,0),1)&gt;=100000,INDEX($AB$1005:$AQ$1005,1,MATCH(COLUMNS($AB$1006:AH1006),$AB$1006:$AQ$1006,0))&gt;=100000), " ",IF(INDEX($AB$2:$AQ$1001,MATCH(ROWS($U$2:U127),$U$2:$U$1001,0),MATCH(COLUMNS($AB$1006:AH1006),$AB$1006:$AQ$1006,0)), HYPERLINK("#",""), HYPERLINK(CONCATENATE("#metadata!", ADDRESS(INDEX($W$2:$W$1001,MATCH(ROWS($U$2:U127),$U$2:$U$1001,0),0), INDEX($AB$1004:$AQ$1004,1,MATCH(COLUMNS($AB$1006:AH1006),$AB$1006:$AQ$1006,0)))),"Fix")))</f>
        <v>0</v>
      </c>
      <c r="I127" s="4">
        <f>IF(OR(INDEX($V$2:$V$1001,MATCH(ROWS($U$2:U127),$U$2:$U$1001,0),1)&gt;=100000,INDEX($AB$1005:$AQ$1005,1,MATCH(COLUMNS($AB$1006:AI1006),$AB$1006:$AQ$1006,0))&gt;=100000), " ",IF(INDEX($AB$2:$AQ$1001,MATCH(ROWS($U$2:U127),$U$2:$U$1001,0),MATCH(COLUMNS($AB$1006:AI1006),$AB$1006:$AQ$1006,0)), HYPERLINK("#",""), HYPERLINK(CONCATENATE("#metadata!", ADDRESS(INDEX($W$2:$W$1001,MATCH(ROWS($U$2:U127),$U$2:$U$1001,0),0), INDEX($AB$1004:$AQ$1004,1,MATCH(COLUMNS($AB$1006:AI1006),$AB$1006:$AQ$1006,0)))),"Fix")))</f>
        <v>0</v>
      </c>
      <c r="J127" s="4">
        <f>IF(OR(INDEX($V$2:$V$1001,MATCH(ROWS($U$2:U127),$U$2:$U$1001,0),1)&gt;=100000,INDEX($AB$1005:$AQ$1005,1,MATCH(COLUMNS($AB$1006:AJ1006),$AB$1006:$AQ$1006,0))&gt;=100000), " ",IF(INDEX($AB$2:$AQ$1001,MATCH(ROWS($U$2:U127),$U$2:$U$1001,0),MATCH(COLUMNS($AB$1006:AJ1006),$AB$1006:$AQ$1006,0)), HYPERLINK("#",""), HYPERLINK(CONCATENATE("#metadata!", ADDRESS(INDEX($W$2:$W$1001,MATCH(ROWS($U$2:U127),$U$2:$U$1001,0),0), INDEX($AB$1004:$AQ$1004,1,MATCH(COLUMNS($AB$1006:AJ1006),$AB$1006:$AQ$1006,0)))),"Fix")))</f>
        <v>0</v>
      </c>
      <c r="K127" s="4">
        <f>IF(OR(INDEX($V$2:$V$1001,MATCH(ROWS($U$2:U127),$U$2:$U$1001,0),1)&gt;=100000,INDEX($AB$1005:$AQ$1005,1,MATCH(COLUMNS($AB$1006:AK1006),$AB$1006:$AQ$1006,0))&gt;=100000), " ",IF(INDEX($AB$2:$AQ$1001,MATCH(ROWS($U$2:U127),$U$2:$U$1001,0),MATCH(COLUMNS($AB$1006:AK1006),$AB$1006:$AQ$1006,0)), HYPERLINK("#",""), HYPERLINK(CONCATENATE("#metadata!", ADDRESS(INDEX($W$2:$W$1001,MATCH(ROWS($U$2:U127),$U$2:$U$1001,0),0), INDEX($AB$1004:$AQ$1004,1,MATCH(COLUMNS($AB$1006:AK1006),$AB$1006:$AQ$1006,0)))),"Fix")))</f>
        <v>0</v>
      </c>
      <c r="L127" s="4">
        <f>IF(OR(INDEX($V$2:$V$1001,MATCH(ROWS($U$2:U127),$U$2:$U$1001,0),1)&gt;=100000,INDEX($AB$1005:$AQ$1005,1,MATCH(COLUMNS($AB$1006:AL1006),$AB$1006:$AQ$1006,0))&gt;=100000), " ",IF(INDEX($AB$2:$AQ$1001,MATCH(ROWS($U$2:U127),$U$2:$U$1001,0),MATCH(COLUMNS($AB$1006:AL1006),$AB$1006:$AQ$1006,0)), HYPERLINK("#",""), HYPERLINK(CONCATENATE("#metadata!", ADDRESS(INDEX($W$2:$W$1001,MATCH(ROWS($U$2:U127),$U$2:$U$1001,0),0), INDEX($AB$1004:$AQ$1004,1,MATCH(COLUMNS($AB$1006:AL1006),$AB$1006:$AQ$1006,0)))),"Fix")))</f>
        <v>0</v>
      </c>
      <c r="M127" s="4">
        <f>IF(OR(INDEX($V$2:$V$1001,MATCH(ROWS($U$2:U127),$U$2:$U$1001,0),1)&gt;=100000,INDEX($AB$1005:$AQ$1005,1,MATCH(COLUMNS($AB$1006:AM1006),$AB$1006:$AQ$1006,0))&gt;=100000), " ",IF(INDEX($AB$2:$AQ$1001,MATCH(ROWS($U$2:U127),$U$2:$U$1001,0),MATCH(COLUMNS($AB$1006:AM1006),$AB$1006:$AQ$1006,0)), HYPERLINK("#",""), HYPERLINK(CONCATENATE("#metadata!", ADDRESS(INDEX($W$2:$W$1001,MATCH(ROWS($U$2:U127),$U$2:$U$1001,0),0), INDEX($AB$1004:$AQ$1004,1,MATCH(COLUMNS($AB$1006:AM1006),$AB$1006:$AQ$1006,0)))),"Fix")))</f>
        <v>0</v>
      </c>
      <c r="N127" s="4">
        <f>IF(OR(INDEX($V$2:$V$1001,MATCH(ROWS($U$2:U127),$U$2:$U$1001,0),1)&gt;=100000,INDEX($AB$1005:$AQ$1005,1,MATCH(COLUMNS($AB$1006:AN1006),$AB$1006:$AQ$1006,0))&gt;=100000), " ",IF(INDEX($AB$2:$AQ$1001,MATCH(ROWS($U$2:U127),$U$2:$U$1001,0),MATCH(COLUMNS($AB$1006:AN1006),$AB$1006:$AQ$1006,0)), HYPERLINK("#",""), HYPERLINK(CONCATENATE("#metadata!", ADDRESS(INDEX($W$2:$W$1001,MATCH(ROWS($U$2:U127),$U$2:$U$1001,0),0), INDEX($AB$1004:$AQ$1004,1,MATCH(COLUMNS($AB$1006:AN1006),$AB$1006:$AQ$1006,0)))),"Fix")))</f>
        <v>0</v>
      </c>
      <c r="O127" s="4">
        <f>IF(OR(INDEX($V$2:$V$1001,MATCH(ROWS($U$2:U127),$U$2:$U$1001,0),1)&gt;=100000,INDEX($AB$1005:$AQ$1005,1,MATCH(COLUMNS($AB$1006:AO1006),$AB$1006:$AQ$1006,0))&gt;=100000), " ",IF(INDEX($AB$2:$AQ$1001,MATCH(ROWS($U$2:U127),$U$2:$U$1001,0),MATCH(COLUMNS($AB$1006:AO1006),$AB$1006:$AQ$1006,0)), HYPERLINK("#",""), HYPERLINK(CONCATENATE("#metadata!", ADDRESS(INDEX($W$2:$W$1001,MATCH(ROWS($U$2:U127),$U$2:$U$1001,0),0), INDEX($AB$1004:$AQ$1004,1,MATCH(COLUMNS($AB$1006:AO1006),$AB$1006:$AQ$1006,0)))),"Fix")))</f>
        <v>0</v>
      </c>
      <c r="P127" s="4">
        <f>IF(OR(INDEX($V$2:$V$1001,MATCH(ROWS($U$2:U127),$U$2:$U$1001,0),1)&gt;=100000,INDEX($AB$1005:$AQ$1005,1,MATCH(COLUMNS($AB$1006:AP1006),$AB$1006:$AQ$1006,0))&gt;=100000), " ",IF(INDEX($AB$2:$AQ$1001,MATCH(ROWS($U$2:U127),$U$2:$U$1001,0),MATCH(COLUMNS($AB$1006:AP1006),$AB$1006:$AQ$1006,0)), HYPERLINK("#",""), HYPERLINK(CONCATENATE("#metadata!", ADDRESS(INDEX($W$2:$W$1001,MATCH(ROWS($U$2:U127),$U$2:$U$1001,0),0), INDEX($AB$1004:$AQ$1004,1,MATCH(COLUMNS($AB$1006:AP1006),$AB$1006:$AQ$1006,0)))),"Fix")))</f>
        <v>0</v>
      </c>
      <c r="Q127" s="4">
        <f>IF(OR(INDEX($V$2:$V$1001,MATCH(ROWS($U$2:U127),$U$2:$U$1001,0),1)&gt;=100000,INDEX($AB$1005:$AQ$1005,1,MATCH(COLUMNS($AB$1006:AQ1006),$AB$1006:$AQ$1006,0))&gt;=100000), " ",IF(INDEX($AB$2:$AQ$1001,MATCH(ROWS($U$2:U127),$U$2:$U$1001,0),MATCH(COLUMNS($AB$1006:AQ1006),$AB$1006:$AQ$1006,0)), HYPERLINK("#",""), HYPERLINK(CONCATENATE("#metadata!", ADDRESS(INDEX($W$2:$W$1001,MATCH(ROWS($U$2:U127),$U$2:$U$1001,0),0), INDEX($AB$1004:$AQ$1004,1,MATCH(COLUMNS($AB$1006:AQ1006),$AB$1006:$AQ$1006,0)))),"Fix")))</f>
        <v>0</v>
      </c>
      <c r="U127">
        <v>0</v>
      </c>
      <c r="V127">
        <v>0</v>
      </c>
      <c r="W127">
        <v>0</v>
      </c>
      <c r="X127">
        <f>IF(Y127,TRUE,AND(AB127:AQ127))</f>
        <v>0</v>
      </c>
      <c r="Y127">
        <f>COUNTBLANK(metadata!B127:Q127)=COLUMNS(metadata!B127:Q127)</f>
        <v>0</v>
      </c>
      <c r="Z127">
        <v>0</v>
      </c>
      <c r="AB127">
        <f>AND(IF(metadata!B127="",FALSE,TRUE),COUNTIF(metadata!B:B, metadata!B127) = 1,NOT(ISERROR(SUMPRODUCT(SEARCH(MID(metadata!B127,ROW(INDIRECT("1:"&amp;LEN(metadata!B127))), 1),"0123456789abcdefghijklmnopqrstuvwxyzABCDEFGHIJKLMNOPQRSTUVWXYZ.")))))</f>
        <v>0</v>
      </c>
      <c r="AC127">
        <f>OR(AND(IF(metadata!C127="",FALSE,TRUE),OR(exact(metadata!C127,"missing: not collected"),exact(metadata!C127,"missing: not provided"),exact(metadata!C127,"missing: restricted access"))),AND(IF(metadata!C127="",FALSE,TRUE),AND(AND(IFERROR(INT(LEFT(metadata!C127,4))&gt;1900,FALSE),IFERROR(INT(LEFT(metadata!C127,4))&lt;=YEAR(NOW()),FALSE)), OR(MID(metadata!C127,5,1)="", AND(AND(MID(metadata!C127,5,1)="-",IFERROR(INT(MID(metadata!C127,6,1))&gt;=0,FALSE),IFERROR(INT(MID(metadata!C127,6,1))&lt;=1,FALSE),NOT(MID(metadata!C127,7,1)=""),IFERROR(INT(MID(metadata!C127,6,2))&gt;=1,FALSE),IFERROR(INT(MID(metadata!C127,6,2))&lt;=12,FALSE)), OR(MID(metadata!C127,8,1)="", AND(AND(MID(metadata!C127,8,1)="-",IFERROR(INT(MID(metadata!C127,9,1))&gt;=0,FALSE),IFERROR(INT(MID(metadata!C127,9,1))&lt;=3,FALSE),NOT(MID(metadata!C127,10,1)=""),IFERROR(INT(MID(metadata!C127,9,2))&gt;=1,FALSE),IFERROR(INT(MID(metadata!C127,9,2))&lt;=31,FALSE)), OR(MID(metadata!C127,11,1)="", AND(AND(MID(metadata!C127,11,1)=" ",IFERROR(INT(MID(metadata!C127,12,1))&gt;=0,FALSE),IFERROR(INT(MID(metadata!C127,12,1))&lt;=2,FALSE),NOT(MID(metadata!C127,13,1)=""),IFERROR(INT(MID(metadata!C127,12,2))&gt;=0,FALSE),IFERROR(INT(MID(metadata!C127,12,2))&lt;=23,FALSE)), OR(MID(metadata!C127,14,1)="", AND(AND(MID(metadata!C127,14,1)=":",IFERROR(INT(MID(metadata!C127,15,1))&gt;=0,FALSE),IFERROR(INT(MID(metadata!C127,15,1))&lt;=5,FALSE),NOT(MID(metadata!C127,16,1)=""),IFERROR(INT(MID(metadata!C127,15,2))&gt;=0,FALSE),IFERROR(INT(MID(metadata!C127,15,2))&lt;=59,FALSE)), OR(MID(metadata!C127,17,1)="", AND(AND(MID(metadata!C127,17,1)=":",IFERROR(INT(MID(metadata!C127,18,1))&gt;=0,FALSE),IFERROR(INT(MID(metadata!C127,18,1))&lt;=5,FALSE),NOT(MID(metadata!C127,19,1)=""),IFERROR(INT(MID(metadata!C127,18,2))&gt;=0,FALSE),IFERROR(INT(MID(metadata!C127,18,2))&lt;=59,FALSE)), LEN(metadata!C127)&lt;=19)))))))))))))</f>
        <v>0</v>
      </c>
      <c r="AD127">
        <f>IF(metadata!D127="",FALSE,TRUE)</f>
        <v>0</v>
      </c>
      <c r="AE127">
        <f>OR(AND(IF(metadata!E127="",FALSE,TRUE),OR(exact(metadata!E127,"missing: not collected"),exact(metadata!E127,"missing: not provided"))),AND(IF(metadata!E127="",FALSE,TRUE),OR(exact(metadata!E127,"TRUE"),exact(metadata!E127,"FALSE"))))</f>
        <v>0</v>
      </c>
      <c r="AF127">
        <f>IF(metadata!F127="",FALSE,TRUE)</f>
        <v>0</v>
      </c>
      <c r="AG127">
        <f>IF(metadata!G127="",FALSE,TRUE)</f>
        <v>0</v>
      </c>
      <c r="AH127">
        <f>IF(metadata!H127="",FALSE,TRUE)</f>
        <v>0</v>
      </c>
      <c r="AI127">
        <f>OR(AND(IF(metadata!I127="",FALSE,TRUE),OR(exact(metadata!I127,"missing: not collected"),exact(metadata!I127,"missing: not provided"),exact(metadata!I127,"missing: restricted access"))),AND(IF(metadata!I127="",FALSE,TRUE),OR(exact(metadata!I127,"air"),exact(metadata!I127,"built environment"),exact(metadata!I127,"host-associated"),exact(metadata!I127,"human-associated"),exact(metadata!I127,"human-skin"),exact(metadata!I127,"human-oral"),exact(metadata!I127,"human-gut"),exact(metadata!I127,"human-vaginal"),exact(metadata!I127,"microbial mat/biofilm"),exact(metadata!I127,"misc environment"),exact(metadata!I127,"plant-associated"),exact(metadata!I127,"sediment"),exact(metadata!I127,"soil"),exact(metadata!I127,"wastewater/sludge"),exact(metadata!I127,"water"))))</f>
        <v>0</v>
      </c>
      <c r="AJ127">
        <f>IF(metadata!J127="",FALSE,TRUE)</f>
        <v>0</v>
      </c>
      <c r="AK127">
        <f>OR(AND(IF(metadata!K127="",FALSE,TRUE),OR(exact(metadata!K127,"missing: not collected"),exact(metadata!K127,"missing: not provided"),exact(metadata!K127,"missing: restricted access"))),AND(IF(metadata!K127="",FALSE,ISNUMBER(VALUE(metadata!K127))),metadata!K127&gt;=-90.00,metadata!K127&lt;=90.00))</f>
        <v>0</v>
      </c>
      <c r="AL127">
        <f>OR(AND(IF(metadata!L127="",FALSE,TRUE),OR(exact(metadata!L127,"missing: not collected"),exact(metadata!L127,"missing: not provided"),exact(metadata!L127,"missing: restricted access"))),AND(IF(metadata!L127="",FALSE,ISNUMBER(VALUE(metadata!L127))),metadata!L127&gt;=-180.00,metadata!L127&lt;=180.00))</f>
        <v>0</v>
      </c>
      <c r="AM127">
        <f>IF(metadata!M127="",FALSE,TRUE)</f>
        <v>0</v>
      </c>
      <c r="AN127">
        <f>OR(AND(IF(metadata!N127="",FALSE,TRUE),OR(exact(metadata!N127,"missing: not collected"),exact(metadata!N127,"missing: not provided"),exact(metadata!N127,"missing: restricted access"))),AND(IF(metadata!N127="",FALSE,TRUE),OR(exact(metadata!N127,"TRUE"),exact(metadata!N127,"FALSE"))))</f>
        <v>0</v>
      </c>
      <c r="AO127">
        <f>IF(metadata!O127="",FALSE,TRUE)</f>
        <v>0</v>
      </c>
      <c r="AP127">
        <f>OR(AND(IF(metadata!P127="",FALSE,TRUE),OR(exact(metadata!P127,"missing: not collected"),exact(metadata!P127,"missing: not provided"))),AND(IF(metadata!P127="",FALSE,IF(ISERROR(INT(metadata!P127)),FALSE,INT(metadata!P127)=metadata!P127)),metadata!P127&gt;0))</f>
        <v>0</v>
      </c>
      <c r="AQ127">
        <f>IF(metadata!Q127="",FALSE,TRUE)</f>
        <v>0</v>
      </c>
    </row>
    <row r="128" spans="1:43">
      <c r="A128" s="5">
        <f>IF(B128=" "," ",HYPERLINK(CONCATENATE("#metadata!",ADDRESS(INDEX($W$2:$W$1001,MATCH(ROWS($U$2:U128),$U$2:$U$1001,0),0),1)),INDEX($Z$2:$Z$1001,MATCH(ROWS($U$2:U128),$U$2:$U$1001,0),0)))</f>
        <v>0</v>
      </c>
      <c r="B128" s="4">
        <f>IF(OR(INDEX($V$2:$V$1001,MATCH(ROWS($U$2:U128),$U$2:$U$1001,0),1)&gt;=100000,INDEX($AB$1005:$AQ$1005,1,MATCH(COLUMNS($AB$1006:AB1006),$AB$1006:$AQ$1006,0))&gt;=100000), " ",IF(INDEX($AB$2:$AQ$1001,MATCH(ROWS($U$2:U128),$U$2:$U$1001,0),MATCH(COLUMNS($AB$1006:AB1006),$AB$1006:$AQ$1006,0)), HYPERLINK("#",""), HYPERLINK(CONCATENATE("#metadata!", ADDRESS(INDEX($W$2:$W$1001,MATCH(ROWS($U$2:U128),$U$2:$U$1001,0),0), INDEX($AB$1004:$AQ$1004,1,MATCH(COLUMNS($AB$1006:AB1006),$AB$1006:$AQ$1006,0)))),"Fix")))</f>
        <v>0</v>
      </c>
      <c r="C128" s="4">
        <f>IF(OR(INDEX($V$2:$V$1001,MATCH(ROWS($U$2:U128),$U$2:$U$1001,0),1)&gt;=100000,INDEX($AB$1005:$AQ$1005,1,MATCH(COLUMNS($AB$1006:AC1006),$AB$1006:$AQ$1006,0))&gt;=100000), " ",IF(INDEX($AB$2:$AQ$1001,MATCH(ROWS($U$2:U128),$U$2:$U$1001,0),MATCH(COLUMNS($AB$1006:AC1006),$AB$1006:$AQ$1006,0)), HYPERLINK("#",""), HYPERLINK(CONCATENATE("#metadata!", ADDRESS(INDEX($W$2:$W$1001,MATCH(ROWS($U$2:U128),$U$2:$U$1001,0),0), INDEX($AB$1004:$AQ$1004,1,MATCH(COLUMNS($AB$1006:AC1006),$AB$1006:$AQ$1006,0)))),"Fix")))</f>
        <v>0</v>
      </c>
      <c r="D128" s="4">
        <f>IF(OR(INDEX($V$2:$V$1001,MATCH(ROWS($U$2:U128),$U$2:$U$1001,0),1)&gt;=100000,INDEX($AB$1005:$AQ$1005,1,MATCH(COLUMNS($AB$1006:AD1006),$AB$1006:$AQ$1006,0))&gt;=100000), " ",IF(INDEX($AB$2:$AQ$1001,MATCH(ROWS($U$2:U128),$U$2:$U$1001,0),MATCH(COLUMNS($AB$1006:AD1006),$AB$1006:$AQ$1006,0)), HYPERLINK("#",""), HYPERLINK(CONCATENATE("#metadata!", ADDRESS(INDEX($W$2:$W$1001,MATCH(ROWS($U$2:U128),$U$2:$U$1001,0),0), INDEX($AB$1004:$AQ$1004,1,MATCH(COLUMNS($AB$1006:AD1006),$AB$1006:$AQ$1006,0)))),"Fix")))</f>
        <v>0</v>
      </c>
      <c r="E128" s="4">
        <f>IF(OR(INDEX($V$2:$V$1001,MATCH(ROWS($U$2:U128),$U$2:$U$1001,0),1)&gt;=100000,INDEX($AB$1005:$AQ$1005,1,MATCH(COLUMNS($AB$1006:AE1006),$AB$1006:$AQ$1006,0))&gt;=100000), " ",IF(INDEX($AB$2:$AQ$1001,MATCH(ROWS($U$2:U128),$U$2:$U$1001,0),MATCH(COLUMNS($AB$1006:AE1006),$AB$1006:$AQ$1006,0)), HYPERLINK("#",""), HYPERLINK(CONCATENATE("#metadata!", ADDRESS(INDEX($W$2:$W$1001,MATCH(ROWS($U$2:U128),$U$2:$U$1001,0),0), INDEX($AB$1004:$AQ$1004,1,MATCH(COLUMNS($AB$1006:AE1006),$AB$1006:$AQ$1006,0)))),"Fix")))</f>
        <v>0</v>
      </c>
      <c r="F128" s="4">
        <f>IF(OR(INDEX($V$2:$V$1001,MATCH(ROWS($U$2:U128),$U$2:$U$1001,0),1)&gt;=100000,INDEX($AB$1005:$AQ$1005,1,MATCH(COLUMNS($AB$1006:AF1006),$AB$1006:$AQ$1006,0))&gt;=100000), " ",IF(INDEX($AB$2:$AQ$1001,MATCH(ROWS($U$2:U128),$U$2:$U$1001,0),MATCH(COLUMNS($AB$1006:AF1006),$AB$1006:$AQ$1006,0)), HYPERLINK("#",""), HYPERLINK(CONCATENATE("#metadata!", ADDRESS(INDEX($W$2:$W$1001,MATCH(ROWS($U$2:U128),$U$2:$U$1001,0),0), INDEX($AB$1004:$AQ$1004,1,MATCH(COLUMNS($AB$1006:AF1006),$AB$1006:$AQ$1006,0)))),"Fix")))</f>
        <v>0</v>
      </c>
      <c r="G128" s="4">
        <f>IF(OR(INDEX($V$2:$V$1001,MATCH(ROWS($U$2:U128),$U$2:$U$1001,0),1)&gt;=100000,INDEX($AB$1005:$AQ$1005,1,MATCH(COLUMNS($AB$1006:AG1006),$AB$1006:$AQ$1006,0))&gt;=100000), " ",IF(INDEX($AB$2:$AQ$1001,MATCH(ROWS($U$2:U128),$U$2:$U$1001,0),MATCH(COLUMNS($AB$1006:AG1006),$AB$1006:$AQ$1006,0)), HYPERLINK("#",""), HYPERLINK(CONCATENATE("#metadata!", ADDRESS(INDEX($W$2:$W$1001,MATCH(ROWS($U$2:U128),$U$2:$U$1001,0),0), INDEX($AB$1004:$AQ$1004,1,MATCH(COLUMNS($AB$1006:AG1006),$AB$1006:$AQ$1006,0)))),"Fix")))</f>
        <v>0</v>
      </c>
      <c r="H128" s="4">
        <f>IF(OR(INDEX($V$2:$V$1001,MATCH(ROWS($U$2:U128),$U$2:$U$1001,0),1)&gt;=100000,INDEX($AB$1005:$AQ$1005,1,MATCH(COLUMNS($AB$1006:AH1006),$AB$1006:$AQ$1006,0))&gt;=100000), " ",IF(INDEX($AB$2:$AQ$1001,MATCH(ROWS($U$2:U128),$U$2:$U$1001,0),MATCH(COLUMNS($AB$1006:AH1006),$AB$1006:$AQ$1006,0)), HYPERLINK("#",""), HYPERLINK(CONCATENATE("#metadata!", ADDRESS(INDEX($W$2:$W$1001,MATCH(ROWS($U$2:U128),$U$2:$U$1001,0),0), INDEX($AB$1004:$AQ$1004,1,MATCH(COLUMNS($AB$1006:AH1006),$AB$1006:$AQ$1006,0)))),"Fix")))</f>
        <v>0</v>
      </c>
      <c r="I128" s="4">
        <f>IF(OR(INDEX($V$2:$V$1001,MATCH(ROWS($U$2:U128),$U$2:$U$1001,0),1)&gt;=100000,INDEX($AB$1005:$AQ$1005,1,MATCH(COLUMNS($AB$1006:AI1006),$AB$1006:$AQ$1006,0))&gt;=100000), " ",IF(INDEX($AB$2:$AQ$1001,MATCH(ROWS($U$2:U128),$U$2:$U$1001,0),MATCH(COLUMNS($AB$1006:AI1006),$AB$1006:$AQ$1006,0)), HYPERLINK("#",""), HYPERLINK(CONCATENATE("#metadata!", ADDRESS(INDEX($W$2:$W$1001,MATCH(ROWS($U$2:U128),$U$2:$U$1001,0),0), INDEX($AB$1004:$AQ$1004,1,MATCH(COLUMNS($AB$1006:AI1006),$AB$1006:$AQ$1006,0)))),"Fix")))</f>
        <v>0</v>
      </c>
      <c r="J128" s="4">
        <f>IF(OR(INDEX($V$2:$V$1001,MATCH(ROWS($U$2:U128),$U$2:$U$1001,0),1)&gt;=100000,INDEX($AB$1005:$AQ$1005,1,MATCH(COLUMNS($AB$1006:AJ1006),$AB$1006:$AQ$1006,0))&gt;=100000), " ",IF(INDEX($AB$2:$AQ$1001,MATCH(ROWS($U$2:U128),$U$2:$U$1001,0),MATCH(COLUMNS($AB$1006:AJ1006),$AB$1006:$AQ$1006,0)), HYPERLINK("#",""), HYPERLINK(CONCATENATE("#metadata!", ADDRESS(INDEX($W$2:$W$1001,MATCH(ROWS($U$2:U128),$U$2:$U$1001,0),0), INDEX($AB$1004:$AQ$1004,1,MATCH(COLUMNS($AB$1006:AJ1006),$AB$1006:$AQ$1006,0)))),"Fix")))</f>
        <v>0</v>
      </c>
      <c r="K128" s="4">
        <f>IF(OR(INDEX($V$2:$V$1001,MATCH(ROWS($U$2:U128),$U$2:$U$1001,0),1)&gt;=100000,INDEX($AB$1005:$AQ$1005,1,MATCH(COLUMNS($AB$1006:AK1006),$AB$1006:$AQ$1006,0))&gt;=100000), " ",IF(INDEX($AB$2:$AQ$1001,MATCH(ROWS($U$2:U128),$U$2:$U$1001,0),MATCH(COLUMNS($AB$1006:AK1006),$AB$1006:$AQ$1006,0)), HYPERLINK("#",""), HYPERLINK(CONCATENATE("#metadata!", ADDRESS(INDEX($W$2:$W$1001,MATCH(ROWS($U$2:U128),$U$2:$U$1001,0),0), INDEX($AB$1004:$AQ$1004,1,MATCH(COLUMNS($AB$1006:AK1006),$AB$1006:$AQ$1006,0)))),"Fix")))</f>
        <v>0</v>
      </c>
      <c r="L128" s="4">
        <f>IF(OR(INDEX($V$2:$V$1001,MATCH(ROWS($U$2:U128),$U$2:$U$1001,0),1)&gt;=100000,INDEX($AB$1005:$AQ$1005,1,MATCH(COLUMNS($AB$1006:AL1006),$AB$1006:$AQ$1006,0))&gt;=100000), " ",IF(INDEX($AB$2:$AQ$1001,MATCH(ROWS($U$2:U128),$U$2:$U$1001,0),MATCH(COLUMNS($AB$1006:AL1006),$AB$1006:$AQ$1006,0)), HYPERLINK("#",""), HYPERLINK(CONCATENATE("#metadata!", ADDRESS(INDEX($W$2:$W$1001,MATCH(ROWS($U$2:U128),$U$2:$U$1001,0),0), INDEX($AB$1004:$AQ$1004,1,MATCH(COLUMNS($AB$1006:AL1006),$AB$1006:$AQ$1006,0)))),"Fix")))</f>
        <v>0</v>
      </c>
      <c r="M128" s="4">
        <f>IF(OR(INDEX($V$2:$V$1001,MATCH(ROWS($U$2:U128),$U$2:$U$1001,0),1)&gt;=100000,INDEX($AB$1005:$AQ$1005,1,MATCH(COLUMNS($AB$1006:AM1006),$AB$1006:$AQ$1006,0))&gt;=100000), " ",IF(INDEX($AB$2:$AQ$1001,MATCH(ROWS($U$2:U128),$U$2:$U$1001,0),MATCH(COLUMNS($AB$1006:AM1006),$AB$1006:$AQ$1006,0)), HYPERLINK("#",""), HYPERLINK(CONCATENATE("#metadata!", ADDRESS(INDEX($W$2:$W$1001,MATCH(ROWS($U$2:U128),$U$2:$U$1001,0),0), INDEX($AB$1004:$AQ$1004,1,MATCH(COLUMNS($AB$1006:AM1006),$AB$1006:$AQ$1006,0)))),"Fix")))</f>
        <v>0</v>
      </c>
      <c r="N128" s="4">
        <f>IF(OR(INDEX($V$2:$V$1001,MATCH(ROWS($U$2:U128),$U$2:$U$1001,0),1)&gt;=100000,INDEX($AB$1005:$AQ$1005,1,MATCH(COLUMNS($AB$1006:AN1006),$AB$1006:$AQ$1006,0))&gt;=100000), " ",IF(INDEX($AB$2:$AQ$1001,MATCH(ROWS($U$2:U128),$U$2:$U$1001,0),MATCH(COLUMNS($AB$1006:AN1006),$AB$1006:$AQ$1006,0)), HYPERLINK("#",""), HYPERLINK(CONCATENATE("#metadata!", ADDRESS(INDEX($W$2:$W$1001,MATCH(ROWS($U$2:U128),$U$2:$U$1001,0),0), INDEX($AB$1004:$AQ$1004,1,MATCH(COLUMNS($AB$1006:AN1006),$AB$1006:$AQ$1006,0)))),"Fix")))</f>
        <v>0</v>
      </c>
      <c r="O128" s="4">
        <f>IF(OR(INDEX($V$2:$V$1001,MATCH(ROWS($U$2:U128),$U$2:$U$1001,0),1)&gt;=100000,INDEX($AB$1005:$AQ$1005,1,MATCH(COLUMNS($AB$1006:AO1006),$AB$1006:$AQ$1006,0))&gt;=100000), " ",IF(INDEX($AB$2:$AQ$1001,MATCH(ROWS($U$2:U128),$U$2:$U$1001,0),MATCH(COLUMNS($AB$1006:AO1006),$AB$1006:$AQ$1006,0)), HYPERLINK("#",""), HYPERLINK(CONCATENATE("#metadata!", ADDRESS(INDEX($W$2:$W$1001,MATCH(ROWS($U$2:U128),$U$2:$U$1001,0),0), INDEX($AB$1004:$AQ$1004,1,MATCH(COLUMNS($AB$1006:AO1006),$AB$1006:$AQ$1006,0)))),"Fix")))</f>
        <v>0</v>
      </c>
      <c r="P128" s="4">
        <f>IF(OR(INDEX($V$2:$V$1001,MATCH(ROWS($U$2:U128),$U$2:$U$1001,0),1)&gt;=100000,INDEX($AB$1005:$AQ$1005,1,MATCH(COLUMNS($AB$1006:AP1006),$AB$1006:$AQ$1006,0))&gt;=100000), " ",IF(INDEX($AB$2:$AQ$1001,MATCH(ROWS($U$2:U128),$U$2:$U$1001,0),MATCH(COLUMNS($AB$1006:AP1006),$AB$1006:$AQ$1006,0)), HYPERLINK("#",""), HYPERLINK(CONCATENATE("#metadata!", ADDRESS(INDEX($W$2:$W$1001,MATCH(ROWS($U$2:U128),$U$2:$U$1001,0),0), INDEX($AB$1004:$AQ$1004,1,MATCH(COLUMNS($AB$1006:AP1006),$AB$1006:$AQ$1006,0)))),"Fix")))</f>
        <v>0</v>
      </c>
      <c r="Q128" s="4">
        <f>IF(OR(INDEX($V$2:$V$1001,MATCH(ROWS($U$2:U128),$U$2:$U$1001,0),1)&gt;=100000,INDEX($AB$1005:$AQ$1005,1,MATCH(COLUMNS($AB$1006:AQ1006),$AB$1006:$AQ$1006,0))&gt;=100000), " ",IF(INDEX($AB$2:$AQ$1001,MATCH(ROWS($U$2:U128),$U$2:$U$1001,0),MATCH(COLUMNS($AB$1006:AQ1006),$AB$1006:$AQ$1006,0)), HYPERLINK("#",""), HYPERLINK(CONCATENATE("#metadata!", ADDRESS(INDEX($W$2:$W$1001,MATCH(ROWS($U$2:U128),$U$2:$U$1001,0),0), INDEX($AB$1004:$AQ$1004,1,MATCH(COLUMNS($AB$1006:AQ1006),$AB$1006:$AQ$1006,0)))),"Fix")))</f>
        <v>0</v>
      </c>
      <c r="U128">
        <v>0</v>
      </c>
      <c r="V128">
        <v>0</v>
      </c>
      <c r="W128">
        <v>0</v>
      </c>
      <c r="X128">
        <f>IF(Y128,TRUE,AND(AB128:AQ128))</f>
        <v>0</v>
      </c>
      <c r="Y128">
        <f>COUNTBLANK(metadata!B128:Q128)=COLUMNS(metadata!B128:Q128)</f>
        <v>0</v>
      </c>
      <c r="Z128">
        <v>0</v>
      </c>
      <c r="AB128">
        <f>AND(IF(metadata!B128="",FALSE,TRUE),COUNTIF(metadata!B:B, metadata!B128) = 1,NOT(ISERROR(SUMPRODUCT(SEARCH(MID(metadata!B128,ROW(INDIRECT("1:"&amp;LEN(metadata!B128))), 1),"0123456789abcdefghijklmnopqrstuvwxyzABCDEFGHIJKLMNOPQRSTUVWXYZ.")))))</f>
        <v>0</v>
      </c>
      <c r="AC128">
        <f>OR(AND(IF(metadata!C128="",FALSE,TRUE),OR(exact(metadata!C128,"missing: not collected"),exact(metadata!C128,"missing: not provided"),exact(metadata!C128,"missing: restricted access"))),AND(IF(metadata!C128="",FALSE,TRUE),AND(AND(IFERROR(INT(LEFT(metadata!C128,4))&gt;1900,FALSE),IFERROR(INT(LEFT(metadata!C128,4))&lt;=YEAR(NOW()),FALSE)), OR(MID(metadata!C128,5,1)="", AND(AND(MID(metadata!C128,5,1)="-",IFERROR(INT(MID(metadata!C128,6,1))&gt;=0,FALSE),IFERROR(INT(MID(metadata!C128,6,1))&lt;=1,FALSE),NOT(MID(metadata!C128,7,1)=""),IFERROR(INT(MID(metadata!C128,6,2))&gt;=1,FALSE),IFERROR(INT(MID(metadata!C128,6,2))&lt;=12,FALSE)), OR(MID(metadata!C128,8,1)="", AND(AND(MID(metadata!C128,8,1)="-",IFERROR(INT(MID(metadata!C128,9,1))&gt;=0,FALSE),IFERROR(INT(MID(metadata!C128,9,1))&lt;=3,FALSE),NOT(MID(metadata!C128,10,1)=""),IFERROR(INT(MID(metadata!C128,9,2))&gt;=1,FALSE),IFERROR(INT(MID(metadata!C128,9,2))&lt;=31,FALSE)), OR(MID(metadata!C128,11,1)="", AND(AND(MID(metadata!C128,11,1)=" ",IFERROR(INT(MID(metadata!C128,12,1))&gt;=0,FALSE),IFERROR(INT(MID(metadata!C128,12,1))&lt;=2,FALSE),NOT(MID(metadata!C128,13,1)=""),IFERROR(INT(MID(metadata!C128,12,2))&gt;=0,FALSE),IFERROR(INT(MID(metadata!C128,12,2))&lt;=23,FALSE)), OR(MID(metadata!C128,14,1)="", AND(AND(MID(metadata!C128,14,1)=":",IFERROR(INT(MID(metadata!C128,15,1))&gt;=0,FALSE),IFERROR(INT(MID(metadata!C128,15,1))&lt;=5,FALSE),NOT(MID(metadata!C128,16,1)=""),IFERROR(INT(MID(metadata!C128,15,2))&gt;=0,FALSE),IFERROR(INT(MID(metadata!C128,15,2))&lt;=59,FALSE)), OR(MID(metadata!C128,17,1)="", AND(AND(MID(metadata!C128,17,1)=":",IFERROR(INT(MID(metadata!C128,18,1))&gt;=0,FALSE),IFERROR(INT(MID(metadata!C128,18,1))&lt;=5,FALSE),NOT(MID(metadata!C128,19,1)=""),IFERROR(INT(MID(metadata!C128,18,2))&gt;=0,FALSE),IFERROR(INT(MID(metadata!C128,18,2))&lt;=59,FALSE)), LEN(metadata!C128)&lt;=19)))))))))))))</f>
        <v>0</v>
      </c>
      <c r="AD128">
        <f>IF(metadata!D128="",FALSE,TRUE)</f>
        <v>0</v>
      </c>
      <c r="AE128">
        <f>OR(AND(IF(metadata!E128="",FALSE,TRUE),OR(exact(metadata!E128,"missing: not collected"),exact(metadata!E128,"missing: not provided"))),AND(IF(metadata!E128="",FALSE,TRUE),OR(exact(metadata!E128,"TRUE"),exact(metadata!E128,"FALSE"))))</f>
        <v>0</v>
      </c>
      <c r="AF128">
        <f>IF(metadata!F128="",FALSE,TRUE)</f>
        <v>0</v>
      </c>
      <c r="AG128">
        <f>IF(metadata!G128="",FALSE,TRUE)</f>
        <v>0</v>
      </c>
      <c r="AH128">
        <f>IF(metadata!H128="",FALSE,TRUE)</f>
        <v>0</v>
      </c>
      <c r="AI128">
        <f>OR(AND(IF(metadata!I128="",FALSE,TRUE),OR(exact(metadata!I128,"missing: not collected"),exact(metadata!I128,"missing: not provided"),exact(metadata!I128,"missing: restricted access"))),AND(IF(metadata!I128="",FALSE,TRUE),OR(exact(metadata!I128,"air"),exact(metadata!I128,"built environment"),exact(metadata!I128,"host-associated"),exact(metadata!I128,"human-associated"),exact(metadata!I128,"human-skin"),exact(metadata!I128,"human-oral"),exact(metadata!I128,"human-gut"),exact(metadata!I128,"human-vaginal"),exact(metadata!I128,"microbial mat/biofilm"),exact(metadata!I128,"misc environment"),exact(metadata!I128,"plant-associated"),exact(metadata!I128,"sediment"),exact(metadata!I128,"soil"),exact(metadata!I128,"wastewater/sludge"),exact(metadata!I128,"water"))))</f>
        <v>0</v>
      </c>
      <c r="AJ128">
        <f>IF(metadata!J128="",FALSE,TRUE)</f>
        <v>0</v>
      </c>
      <c r="AK128">
        <f>OR(AND(IF(metadata!K128="",FALSE,TRUE),OR(exact(metadata!K128,"missing: not collected"),exact(metadata!K128,"missing: not provided"),exact(metadata!K128,"missing: restricted access"))),AND(IF(metadata!K128="",FALSE,ISNUMBER(VALUE(metadata!K128))),metadata!K128&gt;=-90.00,metadata!K128&lt;=90.00))</f>
        <v>0</v>
      </c>
      <c r="AL128">
        <f>OR(AND(IF(metadata!L128="",FALSE,TRUE),OR(exact(metadata!L128,"missing: not collected"),exact(metadata!L128,"missing: not provided"),exact(metadata!L128,"missing: restricted access"))),AND(IF(metadata!L128="",FALSE,ISNUMBER(VALUE(metadata!L128))),metadata!L128&gt;=-180.00,metadata!L128&lt;=180.00))</f>
        <v>0</v>
      </c>
      <c r="AM128">
        <f>IF(metadata!M128="",FALSE,TRUE)</f>
        <v>0</v>
      </c>
      <c r="AN128">
        <f>OR(AND(IF(metadata!N128="",FALSE,TRUE),OR(exact(metadata!N128,"missing: not collected"),exact(metadata!N128,"missing: not provided"),exact(metadata!N128,"missing: restricted access"))),AND(IF(metadata!N128="",FALSE,TRUE),OR(exact(metadata!N128,"TRUE"),exact(metadata!N128,"FALSE"))))</f>
        <v>0</v>
      </c>
      <c r="AO128">
        <f>IF(metadata!O128="",FALSE,TRUE)</f>
        <v>0</v>
      </c>
      <c r="AP128">
        <f>OR(AND(IF(metadata!P128="",FALSE,TRUE),OR(exact(metadata!P128,"missing: not collected"),exact(metadata!P128,"missing: not provided"))),AND(IF(metadata!P128="",FALSE,IF(ISERROR(INT(metadata!P128)),FALSE,INT(metadata!P128)=metadata!P128)),metadata!P128&gt;0))</f>
        <v>0</v>
      </c>
      <c r="AQ128">
        <f>IF(metadata!Q128="",FALSE,TRUE)</f>
        <v>0</v>
      </c>
    </row>
    <row r="129" spans="1:43">
      <c r="A129" s="5">
        <f>IF(B129=" "," ",HYPERLINK(CONCATENATE("#metadata!",ADDRESS(INDEX($W$2:$W$1001,MATCH(ROWS($U$2:U129),$U$2:$U$1001,0),0),1)),INDEX($Z$2:$Z$1001,MATCH(ROWS($U$2:U129),$U$2:$U$1001,0),0)))</f>
        <v>0</v>
      </c>
      <c r="B129" s="4">
        <f>IF(OR(INDEX($V$2:$V$1001,MATCH(ROWS($U$2:U129),$U$2:$U$1001,0),1)&gt;=100000,INDEX($AB$1005:$AQ$1005,1,MATCH(COLUMNS($AB$1006:AB1006),$AB$1006:$AQ$1006,0))&gt;=100000), " ",IF(INDEX($AB$2:$AQ$1001,MATCH(ROWS($U$2:U129),$U$2:$U$1001,0),MATCH(COLUMNS($AB$1006:AB1006),$AB$1006:$AQ$1006,0)), HYPERLINK("#",""), HYPERLINK(CONCATENATE("#metadata!", ADDRESS(INDEX($W$2:$W$1001,MATCH(ROWS($U$2:U129),$U$2:$U$1001,0),0), INDEX($AB$1004:$AQ$1004,1,MATCH(COLUMNS($AB$1006:AB1006),$AB$1006:$AQ$1006,0)))),"Fix")))</f>
        <v>0</v>
      </c>
      <c r="C129" s="4">
        <f>IF(OR(INDEX($V$2:$V$1001,MATCH(ROWS($U$2:U129),$U$2:$U$1001,0),1)&gt;=100000,INDEX($AB$1005:$AQ$1005,1,MATCH(COLUMNS($AB$1006:AC1006),$AB$1006:$AQ$1006,0))&gt;=100000), " ",IF(INDEX($AB$2:$AQ$1001,MATCH(ROWS($U$2:U129),$U$2:$U$1001,0),MATCH(COLUMNS($AB$1006:AC1006),$AB$1006:$AQ$1006,0)), HYPERLINK("#",""), HYPERLINK(CONCATENATE("#metadata!", ADDRESS(INDEX($W$2:$W$1001,MATCH(ROWS($U$2:U129),$U$2:$U$1001,0),0), INDEX($AB$1004:$AQ$1004,1,MATCH(COLUMNS($AB$1006:AC1006),$AB$1006:$AQ$1006,0)))),"Fix")))</f>
        <v>0</v>
      </c>
      <c r="D129" s="4">
        <f>IF(OR(INDEX($V$2:$V$1001,MATCH(ROWS($U$2:U129),$U$2:$U$1001,0),1)&gt;=100000,INDEX($AB$1005:$AQ$1005,1,MATCH(COLUMNS($AB$1006:AD1006),$AB$1006:$AQ$1006,0))&gt;=100000), " ",IF(INDEX($AB$2:$AQ$1001,MATCH(ROWS($U$2:U129),$U$2:$U$1001,0),MATCH(COLUMNS($AB$1006:AD1006),$AB$1006:$AQ$1006,0)), HYPERLINK("#",""), HYPERLINK(CONCATENATE("#metadata!", ADDRESS(INDEX($W$2:$W$1001,MATCH(ROWS($U$2:U129),$U$2:$U$1001,0),0), INDEX($AB$1004:$AQ$1004,1,MATCH(COLUMNS($AB$1006:AD1006),$AB$1006:$AQ$1006,0)))),"Fix")))</f>
        <v>0</v>
      </c>
      <c r="E129" s="4">
        <f>IF(OR(INDEX($V$2:$V$1001,MATCH(ROWS($U$2:U129),$U$2:$U$1001,0),1)&gt;=100000,INDEX($AB$1005:$AQ$1005,1,MATCH(COLUMNS($AB$1006:AE1006),$AB$1006:$AQ$1006,0))&gt;=100000), " ",IF(INDEX($AB$2:$AQ$1001,MATCH(ROWS($U$2:U129),$U$2:$U$1001,0),MATCH(COLUMNS($AB$1006:AE1006),$AB$1006:$AQ$1006,0)), HYPERLINK("#",""), HYPERLINK(CONCATENATE("#metadata!", ADDRESS(INDEX($W$2:$W$1001,MATCH(ROWS($U$2:U129),$U$2:$U$1001,0),0), INDEX($AB$1004:$AQ$1004,1,MATCH(COLUMNS($AB$1006:AE1006),$AB$1006:$AQ$1006,0)))),"Fix")))</f>
        <v>0</v>
      </c>
      <c r="F129" s="4">
        <f>IF(OR(INDEX($V$2:$V$1001,MATCH(ROWS($U$2:U129),$U$2:$U$1001,0),1)&gt;=100000,INDEX($AB$1005:$AQ$1005,1,MATCH(COLUMNS($AB$1006:AF1006),$AB$1006:$AQ$1006,0))&gt;=100000), " ",IF(INDEX($AB$2:$AQ$1001,MATCH(ROWS($U$2:U129),$U$2:$U$1001,0),MATCH(COLUMNS($AB$1006:AF1006),$AB$1006:$AQ$1006,0)), HYPERLINK("#",""), HYPERLINK(CONCATENATE("#metadata!", ADDRESS(INDEX($W$2:$W$1001,MATCH(ROWS($U$2:U129),$U$2:$U$1001,0),0), INDEX($AB$1004:$AQ$1004,1,MATCH(COLUMNS($AB$1006:AF1006),$AB$1006:$AQ$1006,0)))),"Fix")))</f>
        <v>0</v>
      </c>
      <c r="G129" s="4">
        <f>IF(OR(INDEX($V$2:$V$1001,MATCH(ROWS($U$2:U129),$U$2:$U$1001,0),1)&gt;=100000,INDEX($AB$1005:$AQ$1005,1,MATCH(COLUMNS($AB$1006:AG1006),$AB$1006:$AQ$1006,0))&gt;=100000), " ",IF(INDEX($AB$2:$AQ$1001,MATCH(ROWS($U$2:U129),$U$2:$U$1001,0),MATCH(COLUMNS($AB$1006:AG1006),$AB$1006:$AQ$1006,0)), HYPERLINK("#",""), HYPERLINK(CONCATENATE("#metadata!", ADDRESS(INDEX($W$2:$W$1001,MATCH(ROWS($U$2:U129),$U$2:$U$1001,0),0), INDEX($AB$1004:$AQ$1004,1,MATCH(COLUMNS($AB$1006:AG1006),$AB$1006:$AQ$1006,0)))),"Fix")))</f>
        <v>0</v>
      </c>
      <c r="H129" s="4">
        <f>IF(OR(INDEX($V$2:$V$1001,MATCH(ROWS($U$2:U129),$U$2:$U$1001,0),1)&gt;=100000,INDEX($AB$1005:$AQ$1005,1,MATCH(COLUMNS($AB$1006:AH1006),$AB$1006:$AQ$1006,0))&gt;=100000), " ",IF(INDEX($AB$2:$AQ$1001,MATCH(ROWS($U$2:U129),$U$2:$U$1001,0),MATCH(COLUMNS($AB$1006:AH1006),$AB$1006:$AQ$1006,0)), HYPERLINK("#",""), HYPERLINK(CONCATENATE("#metadata!", ADDRESS(INDEX($W$2:$W$1001,MATCH(ROWS($U$2:U129),$U$2:$U$1001,0),0), INDEX($AB$1004:$AQ$1004,1,MATCH(COLUMNS($AB$1006:AH1006),$AB$1006:$AQ$1006,0)))),"Fix")))</f>
        <v>0</v>
      </c>
      <c r="I129" s="4">
        <f>IF(OR(INDEX($V$2:$V$1001,MATCH(ROWS($U$2:U129),$U$2:$U$1001,0),1)&gt;=100000,INDEX($AB$1005:$AQ$1005,1,MATCH(COLUMNS($AB$1006:AI1006),$AB$1006:$AQ$1006,0))&gt;=100000), " ",IF(INDEX($AB$2:$AQ$1001,MATCH(ROWS($U$2:U129),$U$2:$U$1001,0),MATCH(COLUMNS($AB$1006:AI1006),$AB$1006:$AQ$1006,0)), HYPERLINK("#",""), HYPERLINK(CONCATENATE("#metadata!", ADDRESS(INDEX($W$2:$W$1001,MATCH(ROWS($U$2:U129),$U$2:$U$1001,0),0), INDEX($AB$1004:$AQ$1004,1,MATCH(COLUMNS($AB$1006:AI1006),$AB$1006:$AQ$1006,0)))),"Fix")))</f>
        <v>0</v>
      </c>
      <c r="J129" s="4">
        <f>IF(OR(INDEX($V$2:$V$1001,MATCH(ROWS($U$2:U129),$U$2:$U$1001,0),1)&gt;=100000,INDEX($AB$1005:$AQ$1005,1,MATCH(COLUMNS($AB$1006:AJ1006),$AB$1006:$AQ$1006,0))&gt;=100000), " ",IF(INDEX($AB$2:$AQ$1001,MATCH(ROWS($U$2:U129),$U$2:$U$1001,0),MATCH(COLUMNS($AB$1006:AJ1006),$AB$1006:$AQ$1006,0)), HYPERLINK("#",""), HYPERLINK(CONCATENATE("#metadata!", ADDRESS(INDEX($W$2:$W$1001,MATCH(ROWS($U$2:U129),$U$2:$U$1001,0),0), INDEX($AB$1004:$AQ$1004,1,MATCH(COLUMNS($AB$1006:AJ1006),$AB$1006:$AQ$1006,0)))),"Fix")))</f>
        <v>0</v>
      </c>
      <c r="K129" s="4">
        <f>IF(OR(INDEX($V$2:$V$1001,MATCH(ROWS($U$2:U129),$U$2:$U$1001,0),1)&gt;=100000,INDEX($AB$1005:$AQ$1005,1,MATCH(COLUMNS($AB$1006:AK1006),$AB$1006:$AQ$1006,0))&gt;=100000), " ",IF(INDEX($AB$2:$AQ$1001,MATCH(ROWS($U$2:U129),$U$2:$U$1001,0),MATCH(COLUMNS($AB$1006:AK1006),$AB$1006:$AQ$1006,0)), HYPERLINK("#",""), HYPERLINK(CONCATENATE("#metadata!", ADDRESS(INDEX($W$2:$W$1001,MATCH(ROWS($U$2:U129),$U$2:$U$1001,0),0), INDEX($AB$1004:$AQ$1004,1,MATCH(COLUMNS($AB$1006:AK1006),$AB$1006:$AQ$1006,0)))),"Fix")))</f>
        <v>0</v>
      </c>
      <c r="L129" s="4">
        <f>IF(OR(INDEX($V$2:$V$1001,MATCH(ROWS($U$2:U129),$U$2:$U$1001,0),1)&gt;=100000,INDEX($AB$1005:$AQ$1005,1,MATCH(COLUMNS($AB$1006:AL1006),$AB$1006:$AQ$1006,0))&gt;=100000), " ",IF(INDEX($AB$2:$AQ$1001,MATCH(ROWS($U$2:U129),$U$2:$U$1001,0),MATCH(COLUMNS($AB$1006:AL1006),$AB$1006:$AQ$1006,0)), HYPERLINK("#",""), HYPERLINK(CONCATENATE("#metadata!", ADDRESS(INDEX($W$2:$W$1001,MATCH(ROWS($U$2:U129),$U$2:$U$1001,0),0), INDEX($AB$1004:$AQ$1004,1,MATCH(COLUMNS($AB$1006:AL1006),$AB$1006:$AQ$1006,0)))),"Fix")))</f>
        <v>0</v>
      </c>
      <c r="M129" s="4">
        <f>IF(OR(INDEX($V$2:$V$1001,MATCH(ROWS($U$2:U129),$U$2:$U$1001,0),1)&gt;=100000,INDEX($AB$1005:$AQ$1005,1,MATCH(COLUMNS($AB$1006:AM1006),$AB$1006:$AQ$1006,0))&gt;=100000), " ",IF(INDEX($AB$2:$AQ$1001,MATCH(ROWS($U$2:U129),$U$2:$U$1001,0),MATCH(COLUMNS($AB$1006:AM1006),$AB$1006:$AQ$1006,0)), HYPERLINK("#",""), HYPERLINK(CONCATENATE("#metadata!", ADDRESS(INDEX($W$2:$W$1001,MATCH(ROWS($U$2:U129),$U$2:$U$1001,0),0), INDEX($AB$1004:$AQ$1004,1,MATCH(COLUMNS($AB$1006:AM1006),$AB$1006:$AQ$1006,0)))),"Fix")))</f>
        <v>0</v>
      </c>
      <c r="N129" s="4">
        <f>IF(OR(INDEX($V$2:$V$1001,MATCH(ROWS($U$2:U129),$U$2:$U$1001,0),1)&gt;=100000,INDEX($AB$1005:$AQ$1005,1,MATCH(COLUMNS($AB$1006:AN1006),$AB$1006:$AQ$1006,0))&gt;=100000), " ",IF(INDEX($AB$2:$AQ$1001,MATCH(ROWS($U$2:U129),$U$2:$U$1001,0),MATCH(COLUMNS($AB$1006:AN1006),$AB$1006:$AQ$1006,0)), HYPERLINK("#",""), HYPERLINK(CONCATENATE("#metadata!", ADDRESS(INDEX($W$2:$W$1001,MATCH(ROWS($U$2:U129),$U$2:$U$1001,0),0), INDEX($AB$1004:$AQ$1004,1,MATCH(COLUMNS($AB$1006:AN1006),$AB$1006:$AQ$1006,0)))),"Fix")))</f>
        <v>0</v>
      </c>
      <c r="O129" s="4">
        <f>IF(OR(INDEX($V$2:$V$1001,MATCH(ROWS($U$2:U129),$U$2:$U$1001,0),1)&gt;=100000,INDEX($AB$1005:$AQ$1005,1,MATCH(COLUMNS($AB$1006:AO1006),$AB$1006:$AQ$1006,0))&gt;=100000), " ",IF(INDEX($AB$2:$AQ$1001,MATCH(ROWS($U$2:U129),$U$2:$U$1001,0),MATCH(COLUMNS($AB$1006:AO1006),$AB$1006:$AQ$1006,0)), HYPERLINK("#",""), HYPERLINK(CONCATENATE("#metadata!", ADDRESS(INDEX($W$2:$W$1001,MATCH(ROWS($U$2:U129),$U$2:$U$1001,0),0), INDEX($AB$1004:$AQ$1004,1,MATCH(COLUMNS($AB$1006:AO1006),$AB$1006:$AQ$1006,0)))),"Fix")))</f>
        <v>0</v>
      </c>
      <c r="P129" s="4">
        <f>IF(OR(INDEX($V$2:$V$1001,MATCH(ROWS($U$2:U129),$U$2:$U$1001,0),1)&gt;=100000,INDEX($AB$1005:$AQ$1005,1,MATCH(COLUMNS($AB$1006:AP1006),$AB$1006:$AQ$1006,0))&gt;=100000), " ",IF(INDEX($AB$2:$AQ$1001,MATCH(ROWS($U$2:U129),$U$2:$U$1001,0),MATCH(COLUMNS($AB$1006:AP1006),$AB$1006:$AQ$1006,0)), HYPERLINK("#",""), HYPERLINK(CONCATENATE("#metadata!", ADDRESS(INDEX($W$2:$W$1001,MATCH(ROWS($U$2:U129),$U$2:$U$1001,0),0), INDEX($AB$1004:$AQ$1004,1,MATCH(COLUMNS($AB$1006:AP1006),$AB$1006:$AQ$1006,0)))),"Fix")))</f>
        <v>0</v>
      </c>
      <c r="Q129" s="4">
        <f>IF(OR(INDEX($V$2:$V$1001,MATCH(ROWS($U$2:U129),$U$2:$U$1001,0),1)&gt;=100000,INDEX($AB$1005:$AQ$1005,1,MATCH(COLUMNS($AB$1006:AQ1006),$AB$1006:$AQ$1006,0))&gt;=100000), " ",IF(INDEX($AB$2:$AQ$1001,MATCH(ROWS($U$2:U129),$U$2:$U$1001,0),MATCH(COLUMNS($AB$1006:AQ1006),$AB$1006:$AQ$1006,0)), HYPERLINK("#",""), HYPERLINK(CONCATENATE("#metadata!", ADDRESS(INDEX($W$2:$W$1001,MATCH(ROWS($U$2:U129),$U$2:$U$1001,0),0), INDEX($AB$1004:$AQ$1004,1,MATCH(COLUMNS($AB$1006:AQ1006),$AB$1006:$AQ$1006,0)))),"Fix")))</f>
        <v>0</v>
      </c>
      <c r="U129">
        <v>0</v>
      </c>
      <c r="V129">
        <v>0</v>
      </c>
      <c r="W129">
        <v>0</v>
      </c>
      <c r="X129">
        <f>IF(Y129,TRUE,AND(AB129:AQ129))</f>
        <v>0</v>
      </c>
      <c r="Y129">
        <f>COUNTBLANK(metadata!B129:Q129)=COLUMNS(metadata!B129:Q129)</f>
        <v>0</v>
      </c>
      <c r="Z129">
        <v>0</v>
      </c>
      <c r="AB129">
        <f>AND(IF(metadata!B129="",FALSE,TRUE),COUNTIF(metadata!B:B, metadata!B129) = 1,NOT(ISERROR(SUMPRODUCT(SEARCH(MID(metadata!B129,ROW(INDIRECT("1:"&amp;LEN(metadata!B129))), 1),"0123456789abcdefghijklmnopqrstuvwxyzABCDEFGHIJKLMNOPQRSTUVWXYZ.")))))</f>
        <v>0</v>
      </c>
      <c r="AC129">
        <f>OR(AND(IF(metadata!C129="",FALSE,TRUE),OR(exact(metadata!C129,"missing: not collected"),exact(metadata!C129,"missing: not provided"),exact(metadata!C129,"missing: restricted access"))),AND(IF(metadata!C129="",FALSE,TRUE),AND(AND(IFERROR(INT(LEFT(metadata!C129,4))&gt;1900,FALSE),IFERROR(INT(LEFT(metadata!C129,4))&lt;=YEAR(NOW()),FALSE)), OR(MID(metadata!C129,5,1)="", AND(AND(MID(metadata!C129,5,1)="-",IFERROR(INT(MID(metadata!C129,6,1))&gt;=0,FALSE),IFERROR(INT(MID(metadata!C129,6,1))&lt;=1,FALSE),NOT(MID(metadata!C129,7,1)=""),IFERROR(INT(MID(metadata!C129,6,2))&gt;=1,FALSE),IFERROR(INT(MID(metadata!C129,6,2))&lt;=12,FALSE)), OR(MID(metadata!C129,8,1)="", AND(AND(MID(metadata!C129,8,1)="-",IFERROR(INT(MID(metadata!C129,9,1))&gt;=0,FALSE),IFERROR(INT(MID(metadata!C129,9,1))&lt;=3,FALSE),NOT(MID(metadata!C129,10,1)=""),IFERROR(INT(MID(metadata!C129,9,2))&gt;=1,FALSE),IFERROR(INT(MID(metadata!C129,9,2))&lt;=31,FALSE)), OR(MID(metadata!C129,11,1)="", AND(AND(MID(metadata!C129,11,1)=" ",IFERROR(INT(MID(metadata!C129,12,1))&gt;=0,FALSE),IFERROR(INT(MID(metadata!C129,12,1))&lt;=2,FALSE),NOT(MID(metadata!C129,13,1)=""),IFERROR(INT(MID(metadata!C129,12,2))&gt;=0,FALSE),IFERROR(INT(MID(metadata!C129,12,2))&lt;=23,FALSE)), OR(MID(metadata!C129,14,1)="", AND(AND(MID(metadata!C129,14,1)=":",IFERROR(INT(MID(metadata!C129,15,1))&gt;=0,FALSE),IFERROR(INT(MID(metadata!C129,15,1))&lt;=5,FALSE),NOT(MID(metadata!C129,16,1)=""),IFERROR(INT(MID(metadata!C129,15,2))&gt;=0,FALSE),IFERROR(INT(MID(metadata!C129,15,2))&lt;=59,FALSE)), OR(MID(metadata!C129,17,1)="", AND(AND(MID(metadata!C129,17,1)=":",IFERROR(INT(MID(metadata!C129,18,1))&gt;=0,FALSE),IFERROR(INT(MID(metadata!C129,18,1))&lt;=5,FALSE),NOT(MID(metadata!C129,19,1)=""),IFERROR(INT(MID(metadata!C129,18,2))&gt;=0,FALSE),IFERROR(INT(MID(metadata!C129,18,2))&lt;=59,FALSE)), LEN(metadata!C129)&lt;=19)))))))))))))</f>
        <v>0</v>
      </c>
      <c r="AD129">
        <f>IF(metadata!D129="",FALSE,TRUE)</f>
        <v>0</v>
      </c>
      <c r="AE129">
        <f>OR(AND(IF(metadata!E129="",FALSE,TRUE),OR(exact(metadata!E129,"missing: not collected"),exact(metadata!E129,"missing: not provided"))),AND(IF(metadata!E129="",FALSE,TRUE),OR(exact(metadata!E129,"TRUE"),exact(metadata!E129,"FALSE"))))</f>
        <v>0</v>
      </c>
      <c r="AF129">
        <f>IF(metadata!F129="",FALSE,TRUE)</f>
        <v>0</v>
      </c>
      <c r="AG129">
        <f>IF(metadata!G129="",FALSE,TRUE)</f>
        <v>0</v>
      </c>
      <c r="AH129">
        <f>IF(metadata!H129="",FALSE,TRUE)</f>
        <v>0</v>
      </c>
      <c r="AI129">
        <f>OR(AND(IF(metadata!I129="",FALSE,TRUE),OR(exact(metadata!I129,"missing: not collected"),exact(metadata!I129,"missing: not provided"),exact(metadata!I129,"missing: restricted access"))),AND(IF(metadata!I129="",FALSE,TRUE),OR(exact(metadata!I129,"air"),exact(metadata!I129,"built environment"),exact(metadata!I129,"host-associated"),exact(metadata!I129,"human-associated"),exact(metadata!I129,"human-skin"),exact(metadata!I129,"human-oral"),exact(metadata!I129,"human-gut"),exact(metadata!I129,"human-vaginal"),exact(metadata!I129,"microbial mat/biofilm"),exact(metadata!I129,"misc environment"),exact(metadata!I129,"plant-associated"),exact(metadata!I129,"sediment"),exact(metadata!I129,"soil"),exact(metadata!I129,"wastewater/sludge"),exact(metadata!I129,"water"))))</f>
        <v>0</v>
      </c>
      <c r="AJ129">
        <f>IF(metadata!J129="",FALSE,TRUE)</f>
        <v>0</v>
      </c>
      <c r="AK129">
        <f>OR(AND(IF(metadata!K129="",FALSE,TRUE),OR(exact(metadata!K129,"missing: not collected"),exact(metadata!K129,"missing: not provided"),exact(metadata!K129,"missing: restricted access"))),AND(IF(metadata!K129="",FALSE,ISNUMBER(VALUE(metadata!K129))),metadata!K129&gt;=-90.00,metadata!K129&lt;=90.00))</f>
        <v>0</v>
      </c>
      <c r="AL129">
        <f>OR(AND(IF(metadata!L129="",FALSE,TRUE),OR(exact(metadata!L129,"missing: not collected"),exact(metadata!L129,"missing: not provided"),exact(metadata!L129,"missing: restricted access"))),AND(IF(metadata!L129="",FALSE,ISNUMBER(VALUE(metadata!L129))),metadata!L129&gt;=-180.00,metadata!L129&lt;=180.00))</f>
        <v>0</v>
      </c>
      <c r="AM129">
        <f>IF(metadata!M129="",FALSE,TRUE)</f>
        <v>0</v>
      </c>
      <c r="AN129">
        <f>OR(AND(IF(metadata!N129="",FALSE,TRUE),OR(exact(metadata!N129,"missing: not collected"),exact(metadata!N129,"missing: not provided"),exact(metadata!N129,"missing: restricted access"))),AND(IF(metadata!N129="",FALSE,TRUE),OR(exact(metadata!N129,"TRUE"),exact(metadata!N129,"FALSE"))))</f>
        <v>0</v>
      </c>
      <c r="AO129">
        <f>IF(metadata!O129="",FALSE,TRUE)</f>
        <v>0</v>
      </c>
      <c r="AP129">
        <f>OR(AND(IF(metadata!P129="",FALSE,TRUE),OR(exact(metadata!P129,"missing: not collected"),exact(metadata!P129,"missing: not provided"))),AND(IF(metadata!P129="",FALSE,IF(ISERROR(INT(metadata!P129)),FALSE,INT(metadata!P129)=metadata!P129)),metadata!P129&gt;0))</f>
        <v>0</v>
      </c>
      <c r="AQ129">
        <f>IF(metadata!Q129="",FALSE,TRUE)</f>
        <v>0</v>
      </c>
    </row>
    <row r="130" spans="1:43">
      <c r="A130" s="5">
        <f>IF(B130=" "," ",HYPERLINK(CONCATENATE("#metadata!",ADDRESS(INDEX($W$2:$W$1001,MATCH(ROWS($U$2:U130),$U$2:$U$1001,0),0),1)),INDEX($Z$2:$Z$1001,MATCH(ROWS($U$2:U130),$U$2:$U$1001,0),0)))</f>
        <v>0</v>
      </c>
      <c r="B130" s="4">
        <f>IF(OR(INDEX($V$2:$V$1001,MATCH(ROWS($U$2:U130),$U$2:$U$1001,0),1)&gt;=100000,INDEX($AB$1005:$AQ$1005,1,MATCH(COLUMNS($AB$1006:AB1006),$AB$1006:$AQ$1006,0))&gt;=100000), " ",IF(INDEX($AB$2:$AQ$1001,MATCH(ROWS($U$2:U130),$U$2:$U$1001,0),MATCH(COLUMNS($AB$1006:AB1006),$AB$1006:$AQ$1006,0)), HYPERLINK("#",""), HYPERLINK(CONCATENATE("#metadata!", ADDRESS(INDEX($W$2:$W$1001,MATCH(ROWS($U$2:U130),$U$2:$U$1001,0),0), INDEX($AB$1004:$AQ$1004,1,MATCH(COLUMNS($AB$1006:AB1006),$AB$1006:$AQ$1006,0)))),"Fix")))</f>
        <v>0</v>
      </c>
      <c r="C130" s="4">
        <f>IF(OR(INDEX($V$2:$V$1001,MATCH(ROWS($U$2:U130),$U$2:$U$1001,0),1)&gt;=100000,INDEX($AB$1005:$AQ$1005,1,MATCH(COLUMNS($AB$1006:AC1006),$AB$1006:$AQ$1006,0))&gt;=100000), " ",IF(INDEX($AB$2:$AQ$1001,MATCH(ROWS($U$2:U130),$U$2:$U$1001,0),MATCH(COLUMNS($AB$1006:AC1006),$AB$1006:$AQ$1006,0)), HYPERLINK("#",""), HYPERLINK(CONCATENATE("#metadata!", ADDRESS(INDEX($W$2:$W$1001,MATCH(ROWS($U$2:U130),$U$2:$U$1001,0),0), INDEX($AB$1004:$AQ$1004,1,MATCH(COLUMNS($AB$1006:AC1006),$AB$1006:$AQ$1006,0)))),"Fix")))</f>
        <v>0</v>
      </c>
      <c r="D130" s="4">
        <f>IF(OR(INDEX($V$2:$V$1001,MATCH(ROWS($U$2:U130),$U$2:$U$1001,0),1)&gt;=100000,INDEX($AB$1005:$AQ$1005,1,MATCH(COLUMNS($AB$1006:AD1006),$AB$1006:$AQ$1006,0))&gt;=100000), " ",IF(INDEX($AB$2:$AQ$1001,MATCH(ROWS($U$2:U130),$U$2:$U$1001,0),MATCH(COLUMNS($AB$1006:AD1006),$AB$1006:$AQ$1006,0)), HYPERLINK("#",""), HYPERLINK(CONCATENATE("#metadata!", ADDRESS(INDEX($W$2:$W$1001,MATCH(ROWS($U$2:U130),$U$2:$U$1001,0),0), INDEX($AB$1004:$AQ$1004,1,MATCH(COLUMNS($AB$1006:AD1006),$AB$1006:$AQ$1006,0)))),"Fix")))</f>
        <v>0</v>
      </c>
      <c r="E130" s="4">
        <f>IF(OR(INDEX($V$2:$V$1001,MATCH(ROWS($U$2:U130),$U$2:$U$1001,0),1)&gt;=100000,INDEX($AB$1005:$AQ$1005,1,MATCH(COLUMNS($AB$1006:AE1006),$AB$1006:$AQ$1006,0))&gt;=100000), " ",IF(INDEX($AB$2:$AQ$1001,MATCH(ROWS($U$2:U130),$U$2:$U$1001,0),MATCH(COLUMNS($AB$1006:AE1006),$AB$1006:$AQ$1006,0)), HYPERLINK("#",""), HYPERLINK(CONCATENATE("#metadata!", ADDRESS(INDEX($W$2:$W$1001,MATCH(ROWS($U$2:U130),$U$2:$U$1001,0),0), INDEX($AB$1004:$AQ$1004,1,MATCH(COLUMNS($AB$1006:AE1006),$AB$1006:$AQ$1006,0)))),"Fix")))</f>
        <v>0</v>
      </c>
      <c r="F130" s="4">
        <f>IF(OR(INDEX($V$2:$V$1001,MATCH(ROWS($U$2:U130),$U$2:$U$1001,0),1)&gt;=100000,INDEX($AB$1005:$AQ$1005,1,MATCH(COLUMNS($AB$1006:AF1006),$AB$1006:$AQ$1006,0))&gt;=100000), " ",IF(INDEX($AB$2:$AQ$1001,MATCH(ROWS($U$2:U130),$U$2:$U$1001,0),MATCH(COLUMNS($AB$1006:AF1006),$AB$1006:$AQ$1006,0)), HYPERLINK("#",""), HYPERLINK(CONCATENATE("#metadata!", ADDRESS(INDEX($W$2:$W$1001,MATCH(ROWS($U$2:U130),$U$2:$U$1001,0),0), INDEX($AB$1004:$AQ$1004,1,MATCH(COLUMNS($AB$1006:AF1006),$AB$1006:$AQ$1006,0)))),"Fix")))</f>
        <v>0</v>
      </c>
      <c r="G130" s="4">
        <f>IF(OR(INDEX($V$2:$V$1001,MATCH(ROWS($U$2:U130),$U$2:$U$1001,0),1)&gt;=100000,INDEX($AB$1005:$AQ$1005,1,MATCH(COLUMNS($AB$1006:AG1006),$AB$1006:$AQ$1006,0))&gt;=100000), " ",IF(INDEX($AB$2:$AQ$1001,MATCH(ROWS($U$2:U130),$U$2:$U$1001,0),MATCH(COLUMNS($AB$1006:AG1006),$AB$1006:$AQ$1006,0)), HYPERLINK("#",""), HYPERLINK(CONCATENATE("#metadata!", ADDRESS(INDEX($W$2:$W$1001,MATCH(ROWS($U$2:U130),$U$2:$U$1001,0),0), INDEX($AB$1004:$AQ$1004,1,MATCH(COLUMNS($AB$1006:AG1006),$AB$1006:$AQ$1006,0)))),"Fix")))</f>
        <v>0</v>
      </c>
      <c r="H130" s="4">
        <f>IF(OR(INDEX($V$2:$V$1001,MATCH(ROWS($U$2:U130),$U$2:$U$1001,0),1)&gt;=100000,INDEX($AB$1005:$AQ$1005,1,MATCH(COLUMNS($AB$1006:AH1006),$AB$1006:$AQ$1006,0))&gt;=100000), " ",IF(INDEX($AB$2:$AQ$1001,MATCH(ROWS($U$2:U130),$U$2:$U$1001,0),MATCH(COLUMNS($AB$1006:AH1006),$AB$1006:$AQ$1006,0)), HYPERLINK("#",""), HYPERLINK(CONCATENATE("#metadata!", ADDRESS(INDEX($W$2:$W$1001,MATCH(ROWS($U$2:U130),$U$2:$U$1001,0),0), INDEX($AB$1004:$AQ$1004,1,MATCH(COLUMNS($AB$1006:AH1006),$AB$1006:$AQ$1006,0)))),"Fix")))</f>
        <v>0</v>
      </c>
      <c r="I130" s="4">
        <f>IF(OR(INDEX($V$2:$V$1001,MATCH(ROWS($U$2:U130),$U$2:$U$1001,0),1)&gt;=100000,INDEX($AB$1005:$AQ$1005,1,MATCH(COLUMNS($AB$1006:AI1006),$AB$1006:$AQ$1006,0))&gt;=100000), " ",IF(INDEX($AB$2:$AQ$1001,MATCH(ROWS($U$2:U130),$U$2:$U$1001,0),MATCH(COLUMNS($AB$1006:AI1006),$AB$1006:$AQ$1006,0)), HYPERLINK("#",""), HYPERLINK(CONCATENATE("#metadata!", ADDRESS(INDEX($W$2:$W$1001,MATCH(ROWS($U$2:U130),$U$2:$U$1001,0),0), INDEX($AB$1004:$AQ$1004,1,MATCH(COLUMNS($AB$1006:AI1006),$AB$1006:$AQ$1006,0)))),"Fix")))</f>
        <v>0</v>
      </c>
      <c r="J130" s="4">
        <f>IF(OR(INDEX($V$2:$V$1001,MATCH(ROWS($U$2:U130),$U$2:$U$1001,0),1)&gt;=100000,INDEX($AB$1005:$AQ$1005,1,MATCH(COLUMNS($AB$1006:AJ1006),$AB$1006:$AQ$1006,0))&gt;=100000), " ",IF(INDEX($AB$2:$AQ$1001,MATCH(ROWS($U$2:U130),$U$2:$U$1001,0),MATCH(COLUMNS($AB$1006:AJ1006),$AB$1006:$AQ$1006,0)), HYPERLINK("#",""), HYPERLINK(CONCATENATE("#metadata!", ADDRESS(INDEX($W$2:$W$1001,MATCH(ROWS($U$2:U130),$U$2:$U$1001,0),0), INDEX($AB$1004:$AQ$1004,1,MATCH(COLUMNS($AB$1006:AJ1006),$AB$1006:$AQ$1006,0)))),"Fix")))</f>
        <v>0</v>
      </c>
      <c r="K130" s="4">
        <f>IF(OR(INDEX($V$2:$V$1001,MATCH(ROWS($U$2:U130),$U$2:$U$1001,0),1)&gt;=100000,INDEX($AB$1005:$AQ$1005,1,MATCH(COLUMNS($AB$1006:AK1006),$AB$1006:$AQ$1006,0))&gt;=100000), " ",IF(INDEX($AB$2:$AQ$1001,MATCH(ROWS($U$2:U130),$U$2:$U$1001,0),MATCH(COLUMNS($AB$1006:AK1006),$AB$1006:$AQ$1006,0)), HYPERLINK("#",""), HYPERLINK(CONCATENATE("#metadata!", ADDRESS(INDEX($W$2:$W$1001,MATCH(ROWS($U$2:U130),$U$2:$U$1001,0),0), INDEX($AB$1004:$AQ$1004,1,MATCH(COLUMNS($AB$1006:AK1006),$AB$1006:$AQ$1006,0)))),"Fix")))</f>
        <v>0</v>
      </c>
      <c r="L130" s="4">
        <f>IF(OR(INDEX($V$2:$V$1001,MATCH(ROWS($U$2:U130),$U$2:$U$1001,0),1)&gt;=100000,INDEX($AB$1005:$AQ$1005,1,MATCH(COLUMNS($AB$1006:AL1006),$AB$1006:$AQ$1006,0))&gt;=100000), " ",IF(INDEX($AB$2:$AQ$1001,MATCH(ROWS($U$2:U130),$U$2:$U$1001,0),MATCH(COLUMNS($AB$1006:AL1006),$AB$1006:$AQ$1006,0)), HYPERLINK("#",""), HYPERLINK(CONCATENATE("#metadata!", ADDRESS(INDEX($W$2:$W$1001,MATCH(ROWS($U$2:U130),$U$2:$U$1001,0),0), INDEX($AB$1004:$AQ$1004,1,MATCH(COLUMNS($AB$1006:AL1006),$AB$1006:$AQ$1006,0)))),"Fix")))</f>
        <v>0</v>
      </c>
      <c r="M130" s="4">
        <f>IF(OR(INDEX($V$2:$V$1001,MATCH(ROWS($U$2:U130),$U$2:$U$1001,0),1)&gt;=100000,INDEX($AB$1005:$AQ$1005,1,MATCH(COLUMNS($AB$1006:AM1006),$AB$1006:$AQ$1006,0))&gt;=100000), " ",IF(INDEX($AB$2:$AQ$1001,MATCH(ROWS($U$2:U130),$U$2:$U$1001,0),MATCH(COLUMNS($AB$1006:AM1006),$AB$1006:$AQ$1006,0)), HYPERLINK("#",""), HYPERLINK(CONCATENATE("#metadata!", ADDRESS(INDEX($W$2:$W$1001,MATCH(ROWS($U$2:U130),$U$2:$U$1001,0),0), INDEX($AB$1004:$AQ$1004,1,MATCH(COLUMNS($AB$1006:AM1006),$AB$1006:$AQ$1006,0)))),"Fix")))</f>
        <v>0</v>
      </c>
      <c r="N130" s="4">
        <f>IF(OR(INDEX($V$2:$V$1001,MATCH(ROWS($U$2:U130),$U$2:$U$1001,0),1)&gt;=100000,INDEX($AB$1005:$AQ$1005,1,MATCH(COLUMNS($AB$1006:AN1006),$AB$1006:$AQ$1006,0))&gt;=100000), " ",IF(INDEX($AB$2:$AQ$1001,MATCH(ROWS($U$2:U130),$U$2:$U$1001,0),MATCH(COLUMNS($AB$1006:AN1006),$AB$1006:$AQ$1006,0)), HYPERLINK("#",""), HYPERLINK(CONCATENATE("#metadata!", ADDRESS(INDEX($W$2:$W$1001,MATCH(ROWS($U$2:U130),$U$2:$U$1001,0),0), INDEX($AB$1004:$AQ$1004,1,MATCH(COLUMNS($AB$1006:AN1006),$AB$1006:$AQ$1006,0)))),"Fix")))</f>
        <v>0</v>
      </c>
      <c r="O130" s="4">
        <f>IF(OR(INDEX($V$2:$V$1001,MATCH(ROWS($U$2:U130),$U$2:$U$1001,0),1)&gt;=100000,INDEX($AB$1005:$AQ$1005,1,MATCH(COLUMNS($AB$1006:AO1006),$AB$1006:$AQ$1006,0))&gt;=100000), " ",IF(INDEX($AB$2:$AQ$1001,MATCH(ROWS($U$2:U130),$U$2:$U$1001,0),MATCH(COLUMNS($AB$1006:AO1006),$AB$1006:$AQ$1006,0)), HYPERLINK("#",""), HYPERLINK(CONCATENATE("#metadata!", ADDRESS(INDEX($W$2:$W$1001,MATCH(ROWS($U$2:U130),$U$2:$U$1001,0),0), INDEX($AB$1004:$AQ$1004,1,MATCH(COLUMNS($AB$1006:AO1006),$AB$1006:$AQ$1006,0)))),"Fix")))</f>
        <v>0</v>
      </c>
      <c r="P130" s="4">
        <f>IF(OR(INDEX($V$2:$V$1001,MATCH(ROWS($U$2:U130),$U$2:$U$1001,0),1)&gt;=100000,INDEX($AB$1005:$AQ$1005,1,MATCH(COLUMNS($AB$1006:AP1006),$AB$1006:$AQ$1006,0))&gt;=100000), " ",IF(INDEX($AB$2:$AQ$1001,MATCH(ROWS($U$2:U130),$U$2:$U$1001,0),MATCH(COLUMNS($AB$1006:AP1006),$AB$1006:$AQ$1006,0)), HYPERLINK("#",""), HYPERLINK(CONCATENATE("#metadata!", ADDRESS(INDEX($W$2:$W$1001,MATCH(ROWS($U$2:U130),$U$2:$U$1001,0),0), INDEX($AB$1004:$AQ$1004,1,MATCH(COLUMNS($AB$1006:AP1006),$AB$1006:$AQ$1006,0)))),"Fix")))</f>
        <v>0</v>
      </c>
      <c r="Q130" s="4">
        <f>IF(OR(INDEX($V$2:$V$1001,MATCH(ROWS($U$2:U130),$U$2:$U$1001,0),1)&gt;=100000,INDEX($AB$1005:$AQ$1005,1,MATCH(COLUMNS($AB$1006:AQ1006),$AB$1006:$AQ$1006,0))&gt;=100000), " ",IF(INDEX($AB$2:$AQ$1001,MATCH(ROWS($U$2:U130),$U$2:$U$1001,0),MATCH(COLUMNS($AB$1006:AQ1006),$AB$1006:$AQ$1006,0)), HYPERLINK("#",""), HYPERLINK(CONCATENATE("#metadata!", ADDRESS(INDEX($W$2:$W$1001,MATCH(ROWS($U$2:U130),$U$2:$U$1001,0),0), INDEX($AB$1004:$AQ$1004,1,MATCH(COLUMNS($AB$1006:AQ1006),$AB$1006:$AQ$1006,0)))),"Fix")))</f>
        <v>0</v>
      </c>
      <c r="U130">
        <v>0</v>
      </c>
      <c r="V130">
        <v>0</v>
      </c>
      <c r="W130">
        <v>0</v>
      </c>
      <c r="X130">
        <f>IF(Y130,TRUE,AND(AB130:AQ130))</f>
        <v>0</v>
      </c>
      <c r="Y130">
        <f>COUNTBLANK(metadata!B130:Q130)=COLUMNS(metadata!B130:Q130)</f>
        <v>0</v>
      </c>
      <c r="Z130">
        <v>0</v>
      </c>
      <c r="AB130">
        <f>AND(IF(metadata!B130="",FALSE,TRUE),COUNTIF(metadata!B:B, metadata!B130) = 1,NOT(ISERROR(SUMPRODUCT(SEARCH(MID(metadata!B130,ROW(INDIRECT("1:"&amp;LEN(metadata!B130))), 1),"0123456789abcdefghijklmnopqrstuvwxyzABCDEFGHIJKLMNOPQRSTUVWXYZ.")))))</f>
        <v>0</v>
      </c>
      <c r="AC130">
        <f>OR(AND(IF(metadata!C130="",FALSE,TRUE),OR(exact(metadata!C130,"missing: not collected"),exact(metadata!C130,"missing: not provided"),exact(metadata!C130,"missing: restricted access"))),AND(IF(metadata!C130="",FALSE,TRUE),AND(AND(IFERROR(INT(LEFT(metadata!C130,4))&gt;1900,FALSE),IFERROR(INT(LEFT(metadata!C130,4))&lt;=YEAR(NOW()),FALSE)), OR(MID(metadata!C130,5,1)="", AND(AND(MID(metadata!C130,5,1)="-",IFERROR(INT(MID(metadata!C130,6,1))&gt;=0,FALSE),IFERROR(INT(MID(metadata!C130,6,1))&lt;=1,FALSE),NOT(MID(metadata!C130,7,1)=""),IFERROR(INT(MID(metadata!C130,6,2))&gt;=1,FALSE),IFERROR(INT(MID(metadata!C130,6,2))&lt;=12,FALSE)), OR(MID(metadata!C130,8,1)="", AND(AND(MID(metadata!C130,8,1)="-",IFERROR(INT(MID(metadata!C130,9,1))&gt;=0,FALSE),IFERROR(INT(MID(metadata!C130,9,1))&lt;=3,FALSE),NOT(MID(metadata!C130,10,1)=""),IFERROR(INT(MID(metadata!C130,9,2))&gt;=1,FALSE),IFERROR(INT(MID(metadata!C130,9,2))&lt;=31,FALSE)), OR(MID(metadata!C130,11,1)="", AND(AND(MID(metadata!C130,11,1)=" ",IFERROR(INT(MID(metadata!C130,12,1))&gt;=0,FALSE),IFERROR(INT(MID(metadata!C130,12,1))&lt;=2,FALSE),NOT(MID(metadata!C130,13,1)=""),IFERROR(INT(MID(metadata!C130,12,2))&gt;=0,FALSE),IFERROR(INT(MID(metadata!C130,12,2))&lt;=23,FALSE)), OR(MID(metadata!C130,14,1)="", AND(AND(MID(metadata!C130,14,1)=":",IFERROR(INT(MID(metadata!C130,15,1))&gt;=0,FALSE),IFERROR(INT(MID(metadata!C130,15,1))&lt;=5,FALSE),NOT(MID(metadata!C130,16,1)=""),IFERROR(INT(MID(metadata!C130,15,2))&gt;=0,FALSE),IFERROR(INT(MID(metadata!C130,15,2))&lt;=59,FALSE)), OR(MID(metadata!C130,17,1)="", AND(AND(MID(metadata!C130,17,1)=":",IFERROR(INT(MID(metadata!C130,18,1))&gt;=0,FALSE),IFERROR(INT(MID(metadata!C130,18,1))&lt;=5,FALSE),NOT(MID(metadata!C130,19,1)=""),IFERROR(INT(MID(metadata!C130,18,2))&gt;=0,FALSE),IFERROR(INT(MID(metadata!C130,18,2))&lt;=59,FALSE)), LEN(metadata!C130)&lt;=19)))))))))))))</f>
        <v>0</v>
      </c>
      <c r="AD130">
        <f>IF(metadata!D130="",FALSE,TRUE)</f>
        <v>0</v>
      </c>
      <c r="AE130">
        <f>OR(AND(IF(metadata!E130="",FALSE,TRUE),OR(exact(metadata!E130,"missing: not collected"),exact(metadata!E130,"missing: not provided"))),AND(IF(metadata!E130="",FALSE,TRUE),OR(exact(metadata!E130,"TRUE"),exact(metadata!E130,"FALSE"))))</f>
        <v>0</v>
      </c>
      <c r="AF130">
        <f>IF(metadata!F130="",FALSE,TRUE)</f>
        <v>0</v>
      </c>
      <c r="AG130">
        <f>IF(metadata!G130="",FALSE,TRUE)</f>
        <v>0</v>
      </c>
      <c r="AH130">
        <f>IF(metadata!H130="",FALSE,TRUE)</f>
        <v>0</v>
      </c>
      <c r="AI130">
        <f>OR(AND(IF(metadata!I130="",FALSE,TRUE),OR(exact(metadata!I130,"missing: not collected"),exact(metadata!I130,"missing: not provided"),exact(metadata!I130,"missing: restricted access"))),AND(IF(metadata!I130="",FALSE,TRUE),OR(exact(metadata!I130,"air"),exact(metadata!I130,"built environment"),exact(metadata!I130,"host-associated"),exact(metadata!I130,"human-associated"),exact(metadata!I130,"human-skin"),exact(metadata!I130,"human-oral"),exact(metadata!I130,"human-gut"),exact(metadata!I130,"human-vaginal"),exact(metadata!I130,"microbial mat/biofilm"),exact(metadata!I130,"misc environment"),exact(metadata!I130,"plant-associated"),exact(metadata!I130,"sediment"),exact(metadata!I130,"soil"),exact(metadata!I130,"wastewater/sludge"),exact(metadata!I130,"water"))))</f>
        <v>0</v>
      </c>
      <c r="AJ130">
        <f>IF(metadata!J130="",FALSE,TRUE)</f>
        <v>0</v>
      </c>
      <c r="AK130">
        <f>OR(AND(IF(metadata!K130="",FALSE,TRUE),OR(exact(metadata!K130,"missing: not collected"),exact(metadata!K130,"missing: not provided"),exact(metadata!K130,"missing: restricted access"))),AND(IF(metadata!K130="",FALSE,ISNUMBER(VALUE(metadata!K130))),metadata!K130&gt;=-90.00,metadata!K130&lt;=90.00))</f>
        <v>0</v>
      </c>
      <c r="AL130">
        <f>OR(AND(IF(metadata!L130="",FALSE,TRUE),OR(exact(metadata!L130,"missing: not collected"),exact(metadata!L130,"missing: not provided"),exact(metadata!L130,"missing: restricted access"))),AND(IF(metadata!L130="",FALSE,ISNUMBER(VALUE(metadata!L130))),metadata!L130&gt;=-180.00,metadata!L130&lt;=180.00))</f>
        <v>0</v>
      </c>
      <c r="AM130">
        <f>IF(metadata!M130="",FALSE,TRUE)</f>
        <v>0</v>
      </c>
      <c r="AN130">
        <f>OR(AND(IF(metadata!N130="",FALSE,TRUE),OR(exact(metadata!N130,"missing: not collected"),exact(metadata!N130,"missing: not provided"),exact(metadata!N130,"missing: restricted access"))),AND(IF(metadata!N130="",FALSE,TRUE),OR(exact(metadata!N130,"TRUE"),exact(metadata!N130,"FALSE"))))</f>
        <v>0</v>
      </c>
      <c r="AO130">
        <f>IF(metadata!O130="",FALSE,TRUE)</f>
        <v>0</v>
      </c>
      <c r="AP130">
        <f>OR(AND(IF(metadata!P130="",FALSE,TRUE),OR(exact(metadata!P130,"missing: not collected"),exact(metadata!P130,"missing: not provided"))),AND(IF(metadata!P130="",FALSE,IF(ISERROR(INT(metadata!P130)),FALSE,INT(metadata!P130)=metadata!P130)),metadata!P130&gt;0))</f>
        <v>0</v>
      </c>
      <c r="AQ130">
        <f>IF(metadata!Q130="",FALSE,TRUE)</f>
        <v>0</v>
      </c>
    </row>
    <row r="131" spans="1:43">
      <c r="A131" s="5">
        <f>IF(B131=" "," ",HYPERLINK(CONCATENATE("#metadata!",ADDRESS(INDEX($W$2:$W$1001,MATCH(ROWS($U$2:U131),$U$2:$U$1001,0),0),1)),INDEX($Z$2:$Z$1001,MATCH(ROWS($U$2:U131),$U$2:$U$1001,0),0)))</f>
        <v>0</v>
      </c>
      <c r="B131" s="4">
        <f>IF(OR(INDEX($V$2:$V$1001,MATCH(ROWS($U$2:U131),$U$2:$U$1001,0),1)&gt;=100000,INDEX($AB$1005:$AQ$1005,1,MATCH(COLUMNS($AB$1006:AB1006),$AB$1006:$AQ$1006,0))&gt;=100000), " ",IF(INDEX($AB$2:$AQ$1001,MATCH(ROWS($U$2:U131),$U$2:$U$1001,0),MATCH(COLUMNS($AB$1006:AB1006),$AB$1006:$AQ$1006,0)), HYPERLINK("#",""), HYPERLINK(CONCATENATE("#metadata!", ADDRESS(INDEX($W$2:$W$1001,MATCH(ROWS($U$2:U131),$U$2:$U$1001,0),0), INDEX($AB$1004:$AQ$1004,1,MATCH(COLUMNS($AB$1006:AB1006),$AB$1006:$AQ$1006,0)))),"Fix")))</f>
        <v>0</v>
      </c>
      <c r="C131" s="4">
        <f>IF(OR(INDEX($V$2:$V$1001,MATCH(ROWS($U$2:U131),$U$2:$U$1001,0),1)&gt;=100000,INDEX($AB$1005:$AQ$1005,1,MATCH(COLUMNS($AB$1006:AC1006),$AB$1006:$AQ$1006,0))&gt;=100000), " ",IF(INDEX($AB$2:$AQ$1001,MATCH(ROWS($U$2:U131),$U$2:$U$1001,0),MATCH(COLUMNS($AB$1006:AC1006),$AB$1006:$AQ$1006,0)), HYPERLINK("#",""), HYPERLINK(CONCATENATE("#metadata!", ADDRESS(INDEX($W$2:$W$1001,MATCH(ROWS($U$2:U131),$U$2:$U$1001,0),0), INDEX($AB$1004:$AQ$1004,1,MATCH(COLUMNS($AB$1006:AC1006),$AB$1006:$AQ$1006,0)))),"Fix")))</f>
        <v>0</v>
      </c>
      <c r="D131" s="4">
        <f>IF(OR(INDEX($V$2:$V$1001,MATCH(ROWS($U$2:U131),$U$2:$U$1001,0),1)&gt;=100000,INDEX($AB$1005:$AQ$1005,1,MATCH(COLUMNS($AB$1006:AD1006),$AB$1006:$AQ$1006,0))&gt;=100000), " ",IF(INDEX($AB$2:$AQ$1001,MATCH(ROWS($U$2:U131),$U$2:$U$1001,0),MATCH(COLUMNS($AB$1006:AD1006),$AB$1006:$AQ$1006,0)), HYPERLINK("#",""), HYPERLINK(CONCATENATE("#metadata!", ADDRESS(INDEX($W$2:$W$1001,MATCH(ROWS($U$2:U131),$U$2:$U$1001,0),0), INDEX($AB$1004:$AQ$1004,1,MATCH(COLUMNS($AB$1006:AD1006),$AB$1006:$AQ$1006,0)))),"Fix")))</f>
        <v>0</v>
      </c>
      <c r="E131" s="4">
        <f>IF(OR(INDEX($V$2:$V$1001,MATCH(ROWS($U$2:U131),$U$2:$U$1001,0),1)&gt;=100000,INDEX($AB$1005:$AQ$1005,1,MATCH(COLUMNS($AB$1006:AE1006),$AB$1006:$AQ$1006,0))&gt;=100000), " ",IF(INDEX($AB$2:$AQ$1001,MATCH(ROWS($U$2:U131),$U$2:$U$1001,0),MATCH(COLUMNS($AB$1006:AE1006),$AB$1006:$AQ$1006,0)), HYPERLINK("#",""), HYPERLINK(CONCATENATE("#metadata!", ADDRESS(INDEX($W$2:$W$1001,MATCH(ROWS($U$2:U131),$U$2:$U$1001,0),0), INDEX($AB$1004:$AQ$1004,1,MATCH(COLUMNS($AB$1006:AE1006),$AB$1006:$AQ$1006,0)))),"Fix")))</f>
        <v>0</v>
      </c>
      <c r="F131" s="4">
        <f>IF(OR(INDEX($V$2:$V$1001,MATCH(ROWS($U$2:U131),$U$2:$U$1001,0),1)&gt;=100000,INDEX($AB$1005:$AQ$1005,1,MATCH(COLUMNS($AB$1006:AF1006),$AB$1006:$AQ$1006,0))&gt;=100000), " ",IF(INDEX($AB$2:$AQ$1001,MATCH(ROWS($U$2:U131),$U$2:$U$1001,0),MATCH(COLUMNS($AB$1006:AF1006),$AB$1006:$AQ$1006,0)), HYPERLINK("#",""), HYPERLINK(CONCATENATE("#metadata!", ADDRESS(INDEX($W$2:$W$1001,MATCH(ROWS($U$2:U131),$U$2:$U$1001,0),0), INDEX($AB$1004:$AQ$1004,1,MATCH(COLUMNS($AB$1006:AF1006),$AB$1006:$AQ$1006,0)))),"Fix")))</f>
        <v>0</v>
      </c>
      <c r="G131" s="4">
        <f>IF(OR(INDEX($V$2:$V$1001,MATCH(ROWS($U$2:U131),$U$2:$U$1001,0),1)&gt;=100000,INDEX($AB$1005:$AQ$1005,1,MATCH(COLUMNS($AB$1006:AG1006),$AB$1006:$AQ$1006,0))&gt;=100000), " ",IF(INDEX($AB$2:$AQ$1001,MATCH(ROWS($U$2:U131),$U$2:$U$1001,0),MATCH(COLUMNS($AB$1006:AG1006),$AB$1006:$AQ$1006,0)), HYPERLINK("#",""), HYPERLINK(CONCATENATE("#metadata!", ADDRESS(INDEX($W$2:$W$1001,MATCH(ROWS($U$2:U131),$U$2:$U$1001,0),0), INDEX($AB$1004:$AQ$1004,1,MATCH(COLUMNS($AB$1006:AG1006),$AB$1006:$AQ$1006,0)))),"Fix")))</f>
        <v>0</v>
      </c>
      <c r="H131" s="4">
        <f>IF(OR(INDEX($V$2:$V$1001,MATCH(ROWS($U$2:U131),$U$2:$U$1001,0),1)&gt;=100000,INDEX($AB$1005:$AQ$1005,1,MATCH(COLUMNS($AB$1006:AH1006),$AB$1006:$AQ$1006,0))&gt;=100000), " ",IF(INDEX($AB$2:$AQ$1001,MATCH(ROWS($U$2:U131),$U$2:$U$1001,0),MATCH(COLUMNS($AB$1006:AH1006),$AB$1006:$AQ$1006,0)), HYPERLINK("#",""), HYPERLINK(CONCATENATE("#metadata!", ADDRESS(INDEX($W$2:$W$1001,MATCH(ROWS($U$2:U131),$U$2:$U$1001,0),0), INDEX($AB$1004:$AQ$1004,1,MATCH(COLUMNS($AB$1006:AH1006),$AB$1006:$AQ$1006,0)))),"Fix")))</f>
        <v>0</v>
      </c>
      <c r="I131" s="4">
        <f>IF(OR(INDEX($V$2:$V$1001,MATCH(ROWS($U$2:U131),$U$2:$U$1001,0),1)&gt;=100000,INDEX($AB$1005:$AQ$1005,1,MATCH(COLUMNS($AB$1006:AI1006),$AB$1006:$AQ$1006,0))&gt;=100000), " ",IF(INDEX($AB$2:$AQ$1001,MATCH(ROWS($U$2:U131),$U$2:$U$1001,0),MATCH(COLUMNS($AB$1006:AI1006),$AB$1006:$AQ$1006,0)), HYPERLINK("#",""), HYPERLINK(CONCATENATE("#metadata!", ADDRESS(INDEX($W$2:$W$1001,MATCH(ROWS($U$2:U131),$U$2:$U$1001,0),0), INDEX($AB$1004:$AQ$1004,1,MATCH(COLUMNS($AB$1006:AI1006),$AB$1006:$AQ$1006,0)))),"Fix")))</f>
        <v>0</v>
      </c>
      <c r="J131" s="4">
        <f>IF(OR(INDEX($V$2:$V$1001,MATCH(ROWS($U$2:U131),$U$2:$U$1001,0),1)&gt;=100000,INDEX($AB$1005:$AQ$1005,1,MATCH(COLUMNS($AB$1006:AJ1006),$AB$1006:$AQ$1006,0))&gt;=100000), " ",IF(INDEX($AB$2:$AQ$1001,MATCH(ROWS($U$2:U131),$U$2:$U$1001,0),MATCH(COLUMNS($AB$1006:AJ1006),$AB$1006:$AQ$1006,0)), HYPERLINK("#",""), HYPERLINK(CONCATENATE("#metadata!", ADDRESS(INDEX($W$2:$W$1001,MATCH(ROWS($U$2:U131),$U$2:$U$1001,0),0), INDEX($AB$1004:$AQ$1004,1,MATCH(COLUMNS($AB$1006:AJ1006),$AB$1006:$AQ$1006,0)))),"Fix")))</f>
        <v>0</v>
      </c>
      <c r="K131" s="4">
        <f>IF(OR(INDEX($V$2:$V$1001,MATCH(ROWS($U$2:U131),$U$2:$U$1001,0),1)&gt;=100000,INDEX($AB$1005:$AQ$1005,1,MATCH(COLUMNS($AB$1006:AK1006),$AB$1006:$AQ$1006,0))&gt;=100000), " ",IF(INDEX($AB$2:$AQ$1001,MATCH(ROWS($U$2:U131),$U$2:$U$1001,0),MATCH(COLUMNS($AB$1006:AK1006),$AB$1006:$AQ$1006,0)), HYPERLINK("#",""), HYPERLINK(CONCATENATE("#metadata!", ADDRESS(INDEX($W$2:$W$1001,MATCH(ROWS($U$2:U131),$U$2:$U$1001,0),0), INDEX($AB$1004:$AQ$1004,1,MATCH(COLUMNS($AB$1006:AK1006),$AB$1006:$AQ$1006,0)))),"Fix")))</f>
        <v>0</v>
      </c>
      <c r="L131" s="4">
        <f>IF(OR(INDEX($V$2:$V$1001,MATCH(ROWS($U$2:U131),$U$2:$U$1001,0),1)&gt;=100000,INDEX($AB$1005:$AQ$1005,1,MATCH(COLUMNS($AB$1006:AL1006),$AB$1006:$AQ$1006,0))&gt;=100000), " ",IF(INDEX($AB$2:$AQ$1001,MATCH(ROWS($U$2:U131),$U$2:$U$1001,0),MATCH(COLUMNS($AB$1006:AL1006),$AB$1006:$AQ$1006,0)), HYPERLINK("#",""), HYPERLINK(CONCATENATE("#metadata!", ADDRESS(INDEX($W$2:$W$1001,MATCH(ROWS($U$2:U131),$U$2:$U$1001,0),0), INDEX($AB$1004:$AQ$1004,1,MATCH(COLUMNS($AB$1006:AL1006),$AB$1006:$AQ$1006,0)))),"Fix")))</f>
        <v>0</v>
      </c>
      <c r="M131" s="4">
        <f>IF(OR(INDEX($V$2:$V$1001,MATCH(ROWS($U$2:U131),$U$2:$U$1001,0),1)&gt;=100000,INDEX($AB$1005:$AQ$1005,1,MATCH(COLUMNS($AB$1006:AM1006),$AB$1006:$AQ$1006,0))&gt;=100000), " ",IF(INDEX($AB$2:$AQ$1001,MATCH(ROWS($U$2:U131),$U$2:$U$1001,0),MATCH(COLUMNS($AB$1006:AM1006),$AB$1006:$AQ$1006,0)), HYPERLINK("#",""), HYPERLINK(CONCATENATE("#metadata!", ADDRESS(INDEX($W$2:$W$1001,MATCH(ROWS($U$2:U131),$U$2:$U$1001,0),0), INDEX($AB$1004:$AQ$1004,1,MATCH(COLUMNS($AB$1006:AM1006),$AB$1006:$AQ$1006,0)))),"Fix")))</f>
        <v>0</v>
      </c>
      <c r="N131" s="4">
        <f>IF(OR(INDEX($V$2:$V$1001,MATCH(ROWS($U$2:U131),$U$2:$U$1001,0),1)&gt;=100000,INDEX($AB$1005:$AQ$1005,1,MATCH(COLUMNS($AB$1006:AN1006),$AB$1006:$AQ$1006,0))&gt;=100000), " ",IF(INDEX($AB$2:$AQ$1001,MATCH(ROWS($U$2:U131),$U$2:$U$1001,0),MATCH(COLUMNS($AB$1006:AN1006),$AB$1006:$AQ$1006,0)), HYPERLINK("#",""), HYPERLINK(CONCATENATE("#metadata!", ADDRESS(INDEX($W$2:$W$1001,MATCH(ROWS($U$2:U131),$U$2:$U$1001,0),0), INDEX($AB$1004:$AQ$1004,1,MATCH(COLUMNS($AB$1006:AN1006),$AB$1006:$AQ$1006,0)))),"Fix")))</f>
        <v>0</v>
      </c>
      <c r="O131" s="4">
        <f>IF(OR(INDEX($V$2:$V$1001,MATCH(ROWS($U$2:U131),$U$2:$U$1001,0),1)&gt;=100000,INDEX($AB$1005:$AQ$1005,1,MATCH(COLUMNS($AB$1006:AO1006),$AB$1006:$AQ$1006,0))&gt;=100000), " ",IF(INDEX($AB$2:$AQ$1001,MATCH(ROWS($U$2:U131),$U$2:$U$1001,0),MATCH(COLUMNS($AB$1006:AO1006),$AB$1006:$AQ$1006,0)), HYPERLINK("#",""), HYPERLINK(CONCATENATE("#metadata!", ADDRESS(INDEX($W$2:$W$1001,MATCH(ROWS($U$2:U131),$U$2:$U$1001,0),0), INDEX($AB$1004:$AQ$1004,1,MATCH(COLUMNS($AB$1006:AO1006),$AB$1006:$AQ$1006,0)))),"Fix")))</f>
        <v>0</v>
      </c>
      <c r="P131" s="4">
        <f>IF(OR(INDEX($V$2:$V$1001,MATCH(ROWS($U$2:U131),$U$2:$U$1001,0),1)&gt;=100000,INDEX($AB$1005:$AQ$1005,1,MATCH(COLUMNS($AB$1006:AP1006),$AB$1006:$AQ$1006,0))&gt;=100000), " ",IF(INDEX($AB$2:$AQ$1001,MATCH(ROWS($U$2:U131),$U$2:$U$1001,0),MATCH(COLUMNS($AB$1006:AP1006),$AB$1006:$AQ$1006,0)), HYPERLINK("#",""), HYPERLINK(CONCATENATE("#metadata!", ADDRESS(INDEX($W$2:$W$1001,MATCH(ROWS($U$2:U131),$U$2:$U$1001,0),0), INDEX($AB$1004:$AQ$1004,1,MATCH(COLUMNS($AB$1006:AP1006),$AB$1006:$AQ$1006,0)))),"Fix")))</f>
        <v>0</v>
      </c>
      <c r="Q131" s="4">
        <f>IF(OR(INDEX($V$2:$V$1001,MATCH(ROWS($U$2:U131),$U$2:$U$1001,0),1)&gt;=100000,INDEX($AB$1005:$AQ$1005,1,MATCH(COLUMNS($AB$1006:AQ1006),$AB$1006:$AQ$1006,0))&gt;=100000), " ",IF(INDEX($AB$2:$AQ$1001,MATCH(ROWS($U$2:U131),$U$2:$U$1001,0),MATCH(COLUMNS($AB$1006:AQ1006),$AB$1006:$AQ$1006,0)), HYPERLINK("#",""), HYPERLINK(CONCATENATE("#metadata!", ADDRESS(INDEX($W$2:$W$1001,MATCH(ROWS($U$2:U131),$U$2:$U$1001,0),0), INDEX($AB$1004:$AQ$1004,1,MATCH(COLUMNS($AB$1006:AQ1006),$AB$1006:$AQ$1006,0)))),"Fix")))</f>
        <v>0</v>
      </c>
      <c r="U131">
        <v>0</v>
      </c>
      <c r="V131">
        <v>0</v>
      </c>
      <c r="W131">
        <v>0</v>
      </c>
      <c r="X131">
        <f>IF(Y131,TRUE,AND(AB131:AQ131))</f>
        <v>0</v>
      </c>
      <c r="Y131">
        <f>COUNTBLANK(metadata!B131:Q131)=COLUMNS(metadata!B131:Q131)</f>
        <v>0</v>
      </c>
      <c r="Z131">
        <v>0</v>
      </c>
      <c r="AB131">
        <f>AND(IF(metadata!B131="",FALSE,TRUE),COUNTIF(metadata!B:B, metadata!B131) = 1,NOT(ISERROR(SUMPRODUCT(SEARCH(MID(metadata!B131,ROW(INDIRECT("1:"&amp;LEN(metadata!B131))), 1),"0123456789abcdefghijklmnopqrstuvwxyzABCDEFGHIJKLMNOPQRSTUVWXYZ.")))))</f>
        <v>0</v>
      </c>
      <c r="AC131">
        <f>OR(AND(IF(metadata!C131="",FALSE,TRUE),OR(exact(metadata!C131,"missing: not collected"),exact(metadata!C131,"missing: not provided"),exact(metadata!C131,"missing: restricted access"))),AND(IF(metadata!C131="",FALSE,TRUE),AND(AND(IFERROR(INT(LEFT(metadata!C131,4))&gt;1900,FALSE),IFERROR(INT(LEFT(metadata!C131,4))&lt;=YEAR(NOW()),FALSE)), OR(MID(metadata!C131,5,1)="", AND(AND(MID(metadata!C131,5,1)="-",IFERROR(INT(MID(metadata!C131,6,1))&gt;=0,FALSE),IFERROR(INT(MID(metadata!C131,6,1))&lt;=1,FALSE),NOT(MID(metadata!C131,7,1)=""),IFERROR(INT(MID(metadata!C131,6,2))&gt;=1,FALSE),IFERROR(INT(MID(metadata!C131,6,2))&lt;=12,FALSE)), OR(MID(metadata!C131,8,1)="", AND(AND(MID(metadata!C131,8,1)="-",IFERROR(INT(MID(metadata!C131,9,1))&gt;=0,FALSE),IFERROR(INT(MID(metadata!C131,9,1))&lt;=3,FALSE),NOT(MID(metadata!C131,10,1)=""),IFERROR(INT(MID(metadata!C131,9,2))&gt;=1,FALSE),IFERROR(INT(MID(metadata!C131,9,2))&lt;=31,FALSE)), OR(MID(metadata!C131,11,1)="", AND(AND(MID(metadata!C131,11,1)=" ",IFERROR(INT(MID(metadata!C131,12,1))&gt;=0,FALSE),IFERROR(INT(MID(metadata!C131,12,1))&lt;=2,FALSE),NOT(MID(metadata!C131,13,1)=""),IFERROR(INT(MID(metadata!C131,12,2))&gt;=0,FALSE),IFERROR(INT(MID(metadata!C131,12,2))&lt;=23,FALSE)), OR(MID(metadata!C131,14,1)="", AND(AND(MID(metadata!C131,14,1)=":",IFERROR(INT(MID(metadata!C131,15,1))&gt;=0,FALSE),IFERROR(INT(MID(metadata!C131,15,1))&lt;=5,FALSE),NOT(MID(metadata!C131,16,1)=""),IFERROR(INT(MID(metadata!C131,15,2))&gt;=0,FALSE),IFERROR(INT(MID(metadata!C131,15,2))&lt;=59,FALSE)), OR(MID(metadata!C131,17,1)="", AND(AND(MID(metadata!C131,17,1)=":",IFERROR(INT(MID(metadata!C131,18,1))&gt;=0,FALSE),IFERROR(INT(MID(metadata!C131,18,1))&lt;=5,FALSE),NOT(MID(metadata!C131,19,1)=""),IFERROR(INT(MID(metadata!C131,18,2))&gt;=0,FALSE),IFERROR(INT(MID(metadata!C131,18,2))&lt;=59,FALSE)), LEN(metadata!C131)&lt;=19)))))))))))))</f>
        <v>0</v>
      </c>
      <c r="AD131">
        <f>IF(metadata!D131="",FALSE,TRUE)</f>
        <v>0</v>
      </c>
      <c r="AE131">
        <f>OR(AND(IF(metadata!E131="",FALSE,TRUE),OR(exact(metadata!E131,"missing: not collected"),exact(metadata!E131,"missing: not provided"))),AND(IF(metadata!E131="",FALSE,TRUE),OR(exact(metadata!E131,"TRUE"),exact(metadata!E131,"FALSE"))))</f>
        <v>0</v>
      </c>
      <c r="AF131">
        <f>IF(metadata!F131="",FALSE,TRUE)</f>
        <v>0</v>
      </c>
      <c r="AG131">
        <f>IF(metadata!G131="",FALSE,TRUE)</f>
        <v>0</v>
      </c>
      <c r="AH131">
        <f>IF(metadata!H131="",FALSE,TRUE)</f>
        <v>0</v>
      </c>
      <c r="AI131">
        <f>OR(AND(IF(metadata!I131="",FALSE,TRUE),OR(exact(metadata!I131,"missing: not collected"),exact(metadata!I131,"missing: not provided"),exact(metadata!I131,"missing: restricted access"))),AND(IF(metadata!I131="",FALSE,TRUE),OR(exact(metadata!I131,"air"),exact(metadata!I131,"built environment"),exact(metadata!I131,"host-associated"),exact(metadata!I131,"human-associated"),exact(metadata!I131,"human-skin"),exact(metadata!I131,"human-oral"),exact(metadata!I131,"human-gut"),exact(metadata!I131,"human-vaginal"),exact(metadata!I131,"microbial mat/biofilm"),exact(metadata!I131,"misc environment"),exact(metadata!I131,"plant-associated"),exact(metadata!I131,"sediment"),exact(metadata!I131,"soil"),exact(metadata!I131,"wastewater/sludge"),exact(metadata!I131,"water"))))</f>
        <v>0</v>
      </c>
      <c r="AJ131">
        <f>IF(metadata!J131="",FALSE,TRUE)</f>
        <v>0</v>
      </c>
      <c r="AK131">
        <f>OR(AND(IF(metadata!K131="",FALSE,TRUE),OR(exact(metadata!K131,"missing: not collected"),exact(metadata!K131,"missing: not provided"),exact(metadata!K131,"missing: restricted access"))),AND(IF(metadata!K131="",FALSE,ISNUMBER(VALUE(metadata!K131))),metadata!K131&gt;=-90.00,metadata!K131&lt;=90.00))</f>
        <v>0</v>
      </c>
      <c r="AL131">
        <f>OR(AND(IF(metadata!L131="",FALSE,TRUE),OR(exact(metadata!L131,"missing: not collected"),exact(metadata!L131,"missing: not provided"),exact(metadata!L131,"missing: restricted access"))),AND(IF(metadata!L131="",FALSE,ISNUMBER(VALUE(metadata!L131))),metadata!L131&gt;=-180.00,metadata!L131&lt;=180.00))</f>
        <v>0</v>
      </c>
      <c r="AM131">
        <f>IF(metadata!M131="",FALSE,TRUE)</f>
        <v>0</v>
      </c>
      <c r="AN131">
        <f>OR(AND(IF(metadata!N131="",FALSE,TRUE),OR(exact(metadata!N131,"missing: not collected"),exact(metadata!N131,"missing: not provided"),exact(metadata!N131,"missing: restricted access"))),AND(IF(metadata!N131="",FALSE,TRUE),OR(exact(metadata!N131,"TRUE"),exact(metadata!N131,"FALSE"))))</f>
        <v>0</v>
      </c>
      <c r="AO131">
        <f>IF(metadata!O131="",FALSE,TRUE)</f>
        <v>0</v>
      </c>
      <c r="AP131">
        <f>OR(AND(IF(metadata!P131="",FALSE,TRUE),OR(exact(metadata!P131,"missing: not collected"),exact(metadata!P131,"missing: not provided"))),AND(IF(metadata!P131="",FALSE,IF(ISERROR(INT(metadata!P131)),FALSE,INT(metadata!P131)=metadata!P131)),metadata!P131&gt;0))</f>
        <v>0</v>
      </c>
      <c r="AQ131">
        <f>IF(metadata!Q131="",FALSE,TRUE)</f>
        <v>0</v>
      </c>
    </row>
    <row r="132" spans="1:43">
      <c r="A132" s="5">
        <f>IF(B132=" "," ",HYPERLINK(CONCATENATE("#metadata!",ADDRESS(INDEX($W$2:$W$1001,MATCH(ROWS($U$2:U132),$U$2:$U$1001,0),0),1)),INDEX($Z$2:$Z$1001,MATCH(ROWS($U$2:U132),$U$2:$U$1001,0),0)))</f>
        <v>0</v>
      </c>
      <c r="B132" s="4">
        <f>IF(OR(INDEX($V$2:$V$1001,MATCH(ROWS($U$2:U132),$U$2:$U$1001,0),1)&gt;=100000,INDEX($AB$1005:$AQ$1005,1,MATCH(COLUMNS($AB$1006:AB1006),$AB$1006:$AQ$1006,0))&gt;=100000), " ",IF(INDEX($AB$2:$AQ$1001,MATCH(ROWS($U$2:U132),$U$2:$U$1001,0),MATCH(COLUMNS($AB$1006:AB1006),$AB$1006:$AQ$1006,0)), HYPERLINK("#",""), HYPERLINK(CONCATENATE("#metadata!", ADDRESS(INDEX($W$2:$W$1001,MATCH(ROWS($U$2:U132),$U$2:$U$1001,0),0), INDEX($AB$1004:$AQ$1004,1,MATCH(COLUMNS($AB$1006:AB1006),$AB$1006:$AQ$1006,0)))),"Fix")))</f>
        <v>0</v>
      </c>
      <c r="C132" s="4">
        <f>IF(OR(INDEX($V$2:$V$1001,MATCH(ROWS($U$2:U132),$U$2:$U$1001,0),1)&gt;=100000,INDEX($AB$1005:$AQ$1005,1,MATCH(COLUMNS($AB$1006:AC1006),$AB$1006:$AQ$1006,0))&gt;=100000), " ",IF(INDEX($AB$2:$AQ$1001,MATCH(ROWS($U$2:U132),$U$2:$U$1001,0),MATCH(COLUMNS($AB$1006:AC1006),$AB$1006:$AQ$1006,0)), HYPERLINK("#",""), HYPERLINK(CONCATENATE("#metadata!", ADDRESS(INDEX($W$2:$W$1001,MATCH(ROWS($U$2:U132),$U$2:$U$1001,0),0), INDEX($AB$1004:$AQ$1004,1,MATCH(COLUMNS($AB$1006:AC1006),$AB$1006:$AQ$1006,0)))),"Fix")))</f>
        <v>0</v>
      </c>
      <c r="D132" s="4">
        <f>IF(OR(INDEX($V$2:$V$1001,MATCH(ROWS($U$2:U132),$U$2:$U$1001,0),1)&gt;=100000,INDEX($AB$1005:$AQ$1005,1,MATCH(COLUMNS($AB$1006:AD1006),$AB$1006:$AQ$1006,0))&gt;=100000), " ",IF(INDEX($AB$2:$AQ$1001,MATCH(ROWS($U$2:U132),$U$2:$U$1001,0),MATCH(COLUMNS($AB$1006:AD1006),$AB$1006:$AQ$1006,0)), HYPERLINK("#",""), HYPERLINK(CONCATENATE("#metadata!", ADDRESS(INDEX($W$2:$W$1001,MATCH(ROWS($U$2:U132),$U$2:$U$1001,0),0), INDEX($AB$1004:$AQ$1004,1,MATCH(COLUMNS($AB$1006:AD1006),$AB$1006:$AQ$1006,0)))),"Fix")))</f>
        <v>0</v>
      </c>
      <c r="E132" s="4">
        <f>IF(OR(INDEX($V$2:$V$1001,MATCH(ROWS($U$2:U132),$U$2:$U$1001,0),1)&gt;=100000,INDEX($AB$1005:$AQ$1005,1,MATCH(COLUMNS($AB$1006:AE1006),$AB$1006:$AQ$1006,0))&gt;=100000), " ",IF(INDEX($AB$2:$AQ$1001,MATCH(ROWS($U$2:U132),$U$2:$U$1001,0),MATCH(COLUMNS($AB$1006:AE1006),$AB$1006:$AQ$1006,0)), HYPERLINK("#",""), HYPERLINK(CONCATENATE("#metadata!", ADDRESS(INDEX($W$2:$W$1001,MATCH(ROWS($U$2:U132),$U$2:$U$1001,0),0), INDEX($AB$1004:$AQ$1004,1,MATCH(COLUMNS($AB$1006:AE1006),$AB$1006:$AQ$1006,0)))),"Fix")))</f>
        <v>0</v>
      </c>
      <c r="F132" s="4">
        <f>IF(OR(INDEX($V$2:$V$1001,MATCH(ROWS($U$2:U132),$U$2:$U$1001,0),1)&gt;=100000,INDEX($AB$1005:$AQ$1005,1,MATCH(COLUMNS($AB$1006:AF1006),$AB$1006:$AQ$1006,0))&gt;=100000), " ",IF(INDEX($AB$2:$AQ$1001,MATCH(ROWS($U$2:U132),$U$2:$U$1001,0),MATCH(COLUMNS($AB$1006:AF1006),$AB$1006:$AQ$1006,0)), HYPERLINK("#",""), HYPERLINK(CONCATENATE("#metadata!", ADDRESS(INDEX($W$2:$W$1001,MATCH(ROWS($U$2:U132),$U$2:$U$1001,0),0), INDEX($AB$1004:$AQ$1004,1,MATCH(COLUMNS($AB$1006:AF1006),$AB$1006:$AQ$1006,0)))),"Fix")))</f>
        <v>0</v>
      </c>
      <c r="G132" s="4">
        <f>IF(OR(INDEX($V$2:$V$1001,MATCH(ROWS($U$2:U132),$U$2:$U$1001,0),1)&gt;=100000,INDEX($AB$1005:$AQ$1005,1,MATCH(COLUMNS($AB$1006:AG1006),$AB$1006:$AQ$1006,0))&gt;=100000), " ",IF(INDEX($AB$2:$AQ$1001,MATCH(ROWS($U$2:U132),$U$2:$U$1001,0),MATCH(COLUMNS($AB$1006:AG1006),$AB$1006:$AQ$1006,0)), HYPERLINK("#",""), HYPERLINK(CONCATENATE("#metadata!", ADDRESS(INDEX($W$2:$W$1001,MATCH(ROWS($U$2:U132),$U$2:$U$1001,0),0), INDEX($AB$1004:$AQ$1004,1,MATCH(COLUMNS($AB$1006:AG1006),$AB$1006:$AQ$1006,0)))),"Fix")))</f>
        <v>0</v>
      </c>
      <c r="H132" s="4">
        <f>IF(OR(INDEX($V$2:$V$1001,MATCH(ROWS($U$2:U132),$U$2:$U$1001,0),1)&gt;=100000,INDEX($AB$1005:$AQ$1005,1,MATCH(COLUMNS($AB$1006:AH1006),$AB$1006:$AQ$1006,0))&gt;=100000), " ",IF(INDEX($AB$2:$AQ$1001,MATCH(ROWS($U$2:U132),$U$2:$U$1001,0),MATCH(COLUMNS($AB$1006:AH1006),$AB$1006:$AQ$1006,0)), HYPERLINK("#",""), HYPERLINK(CONCATENATE("#metadata!", ADDRESS(INDEX($W$2:$W$1001,MATCH(ROWS($U$2:U132),$U$2:$U$1001,0),0), INDEX($AB$1004:$AQ$1004,1,MATCH(COLUMNS($AB$1006:AH1006),$AB$1006:$AQ$1006,0)))),"Fix")))</f>
        <v>0</v>
      </c>
      <c r="I132" s="4">
        <f>IF(OR(INDEX($V$2:$V$1001,MATCH(ROWS($U$2:U132),$U$2:$U$1001,0),1)&gt;=100000,INDEX($AB$1005:$AQ$1005,1,MATCH(COLUMNS($AB$1006:AI1006),$AB$1006:$AQ$1006,0))&gt;=100000), " ",IF(INDEX($AB$2:$AQ$1001,MATCH(ROWS($U$2:U132),$U$2:$U$1001,0),MATCH(COLUMNS($AB$1006:AI1006),$AB$1006:$AQ$1006,0)), HYPERLINK("#",""), HYPERLINK(CONCATENATE("#metadata!", ADDRESS(INDEX($W$2:$W$1001,MATCH(ROWS($U$2:U132),$U$2:$U$1001,0),0), INDEX($AB$1004:$AQ$1004,1,MATCH(COLUMNS($AB$1006:AI1006),$AB$1006:$AQ$1006,0)))),"Fix")))</f>
        <v>0</v>
      </c>
      <c r="J132" s="4">
        <f>IF(OR(INDEX($V$2:$V$1001,MATCH(ROWS($U$2:U132),$U$2:$U$1001,0),1)&gt;=100000,INDEX($AB$1005:$AQ$1005,1,MATCH(COLUMNS($AB$1006:AJ1006),$AB$1006:$AQ$1006,0))&gt;=100000), " ",IF(INDEX($AB$2:$AQ$1001,MATCH(ROWS($U$2:U132),$U$2:$U$1001,0),MATCH(COLUMNS($AB$1006:AJ1006),$AB$1006:$AQ$1006,0)), HYPERLINK("#",""), HYPERLINK(CONCATENATE("#metadata!", ADDRESS(INDEX($W$2:$W$1001,MATCH(ROWS($U$2:U132),$U$2:$U$1001,0),0), INDEX($AB$1004:$AQ$1004,1,MATCH(COLUMNS($AB$1006:AJ1006),$AB$1006:$AQ$1006,0)))),"Fix")))</f>
        <v>0</v>
      </c>
      <c r="K132" s="4">
        <f>IF(OR(INDEX($V$2:$V$1001,MATCH(ROWS($U$2:U132),$U$2:$U$1001,0),1)&gt;=100000,INDEX($AB$1005:$AQ$1005,1,MATCH(COLUMNS($AB$1006:AK1006),$AB$1006:$AQ$1006,0))&gt;=100000), " ",IF(INDEX($AB$2:$AQ$1001,MATCH(ROWS($U$2:U132),$U$2:$U$1001,0),MATCH(COLUMNS($AB$1006:AK1006),$AB$1006:$AQ$1006,0)), HYPERLINK("#",""), HYPERLINK(CONCATENATE("#metadata!", ADDRESS(INDEX($W$2:$W$1001,MATCH(ROWS($U$2:U132),$U$2:$U$1001,0),0), INDEX($AB$1004:$AQ$1004,1,MATCH(COLUMNS($AB$1006:AK1006),$AB$1006:$AQ$1006,0)))),"Fix")))</f>
        <v>0</v>
      </c>
      <c r="L132" s="4">
        <f>IF(OR(INDEX($V$2:$V$1001,MATCH(ROWS($U$2:U132),$U$2:$U$1001,0),1)&gt;=100000,INDEX($AB$1005:$AQ$1005,1,MATCH(COLUMNS($AB$1006:AL1006),$AB$1006:$AQ$1006,0))&gt;=100000), " ",IF(INDEX($AB$2:$AQ$1001,MATCH(ROWS($U$2:U132),$U$2:$U$1001,0),MATCH(COLUMNS($AB$1006:AL1006),$AB$1006:$AQ$1006,0)), HYPERLINK("#",""), HYPERLINK(CONCATENATE("#metadata!", ADDRESS(INDEX($W$2:$W$1001,MATCH(ROWS($U$2:U132),$U$2:$U$1001,0),0), INDEX($AB$1004:$AQ$1004,1,MATCH(COLUMNS($AB$1006:AL1006),$AB$1006:$AQ$1006,0)))),"Fix")))</f>
        <v>0</v>
      </c>
      <c r="M132" s="4">
        <f>IF(OR(INDEX($V$2:$V$1001,MATCH(ROWS($U$2:U132),$U$2:$U$1001,0),1)&gt;=100000,INDEX($AB$1005:$AQ$1005,1,MATCH(COLUMNS($AB$1006:AM1006),$AB$1006:$AQ$1006,0))&gt;=100000), " ",IF(INDEX($AB$2:$AQ$1001,MATCH(ROWS($U$2:U132),$U$2:$U$1001,0),MATCH(COLUMNS($AB$1006:AM1006),$AB$1006:$AQ$1006,0)), HYPERLINK("#",""), HYPERLINK(CONCATENATE("#metadata!", ADDRESS(INDEX($W$2:$W$1001,MATCH(ROWS($U$2:U132),$U$2:$U$1001,0),0), INDEX($AB$1004:$AQ$1004,1,MATCH(COLUMNS($AB$1006:AM1006),$AB$1006:$AQ$1006,0)))),"Fix")))</f>
        <v>0</v>
      </c>
      <c r="N132" s="4">
        <f>IF(OR(INDEX($V$2:$V$1001,MATCH(ROWS($U$2:U132),$U$2:$U$1001,0),1)&gt;=100000,INDEX($AB$1005:$AQ$1005,1,MATCH(COLUMNS($AB$1006:AN1006),$AB$1006:$AQ$1006,0))&gt;=100000), " ",IF(INDEX($AB$2:$AQ$1001,MATCH(ROWS($U$2:U132),$U$2:$U$1001,0),MATCH(COLUMNS($AB$1006:AN1006),$AB$1006:$AQ$1006,0)), HYPERLINK("#",""), HYPERLINK(CONCATENATE("#metadata!", ADDRESS(INDEX($W$2:$W$1001,MATCH(ROWS($U$2:U132),$U$2:$U$1001,0),0), INDEX($AB$1004:$AQ$1004,1,MATCH(COLUMNS($AB$1006:AN1006),$AB$1006:$AQ$1006,0)))),"Fix")))</f>
        <v>0</v>
      </c>
      <c r="O132" s="4">
        <f>IF(OR(INDEX($V$2:$V$1001,MATCH(ROWS($U$2:U132),$U$2:$U$1001,0),1)&gt;=100000,INDEX($AB$1005:$AQ$1005,1,MATCH(COLUMNS($AB$1006:AO1006),$AB$1006:$AQ$1006,0))&gt;=100000), " ",IF(INDEX($AB$2:$AQ$1001,MATCH(ROWS($U$2:U132),$U$2:$U$1001,0),MATCH(COLUMNS($AB$1006:AO1006),$AB$1006:$AQ$1006,0)), HYPERLINK("#",""), HYPERLINK(CONCATENATE("#metadata!", ADDRESS(INDEX($W$2:$W$1001,MATCH(ROWS($U$2:U132),$U$2:$U$1001,0),0), INDEX($AB$1004:$AQ$1004,1,MATCH(COLUMNS($AB$1006:AO1006),$AB$1006:$AQ$1006,0)))),"Fix")))</f>
        <v>0</v>
      </c>
      <c r="P132" s="4">
        <f>IF(OR(INDEX($V$2:$V$1001,MATCH(ROWS($U$2:U132),$U$2:$U$1001,0),1)&gt;=100000,INDEX($AB$1005:$AQ$1005,1,MATCH(COLUMNS($AB$1006:AP1006),$AB$1006:$AQ$1006,0))&gt;=100000), " ",IF(INDEX($AB$2:$AQ$1001,MATCH(ROWS($U$2:U132),$U$2:$U$1001,0),MATCH(COLUMNS($AB$1006:AP1006),$AB$1006:$AQ$1006,0)), HYPERLINK("#",""), HYPERLINK(CONCATENATE("#metadata!", ADDRESS(INDEX($W$2:$W$1001,MATCH(ROWS($U$2:U132),$U$2:$U$1001,0),0), INDEX($AB$1004:$AQ$1004,1,MATCH(COLUMNS($AB$1006:AP1006),$AB$1006:$AQ$1006,0)))),"Fix")))</f>
        <v>0</v>
      </c>
      <c r="Q132" s="4">
        <f>IF(OR(INDEX($V$2:$V$1001,MATCH(ROWS($U$2:U132),$U$2:$U$1001,0),1)&gt;=100000,INDEX($AB$1005:$AQ$1005,1,MATCH(COLUMNS($AB$1006:AQ1006),$AB$1006:$AQ$1006,0))&gt;=100000), " ",IF(INDEX($AB$2:$AQ$1001,MATCH(ROWS($U$2:U132),$U$2:$U$1001,0),MATCH(COLUMNS($AB$1006:AQ1006),$AB$1006:$AQ$1006,0)), HYPERLINK("#",""), HYPERLINK(CONCATENATE("#metadata!", ADDRESS(INDEX($W$2:$W$1001,MATCH(ROWS($U$2:U132),$U$2:$U$1001,0),0), INDEX($AB$1004:$AQ$1004,1,MATCH(COLUMNS($AB$1006:AQ1006),$AB$1006:$AQ$1006,0)))),"Fix")))</f>
        <v>0</v>
      </c>
      <c r="U132">
        <v>0</v>
      </c>
      <c r="V132">
        <v>0</v>
      </c>
      <c r="W132">
        <v>0</v>
      </c>
      <c r="X132">
        <f>IF(Y132,TRUE,AND(AB132:AQ132))</f>
        <v>0</v>
      </c>
      <c r="Y132">
        <f>COUNTBLANK(metadata!B132:Q132)=COLUMNS(metadata!B132:Q132)</f>
        <v>0</v>
      </c>
      <c r="Z132">
        <v>0</v>
      </c>
      <c r="AB132">
        <f>AND(IF(metadata!B132="",FALSE,TRUE),COUNTIF(metadata!B:B, metadata!B132) = 1,NOT(ISERROR(SUMPRODUCT(SEARCH(MID(metadata!B132,ROW(INDIRECT("1:"&amp;LEN(metadata!B132))), 1),"0123456789abcdefghijklmnopqrstuvwxyzABCDEFGHIJKLMNOPQRSTUVWXYZ.")))))</f>
        <v>0</v>
      </c>
      <c r="AC132">
        <f>OR(AND(IF(metadata!C132="",FALSE,TRUE),OR(exact(metadata!C132,"missing: not collected"),exact(metadata!C132,"missing: not provided"),exact(metadata!C132,"missing: restricted access"))),AND(IF(metadata!C132="",FALSE,TRUE),AND(AND(IFERROR(INT(LEFT(metadata!C132,4))&gt;1900,FALSE),IFERROR(INT(LEFT(metadata!C132,4))&lt;=YEAR(NOW()),FALSE)), OR(MID(metadata!C132,5,1)="", AND(AND(MID(metadata!C132,5,1)="-",IFERROR(INT(MID(metadata!C132,6,1))&gt;=0,FALSE),IFERROR(INT(MID(metadata!C132,6,1))&lt;=1,FALSE),NOT(MID(metadata!C132,7,1)=""),IFERROR(INT(MID(metadata!C132,6,2))&gt;=1,FALSE),IFERROR(INT(MID(metadata!C132,6,2))&lt;=12,FALSE)), OR(MID(metadata!C132,8,1)="", AND(AND(MID(metadata!C132,8,1)="-",IFERROR(INT(MID(metadata!C132,9,1))&gt;=0,FALSE),IFERROR(INT(MID(metadata!C132,9,1))&lt;=3,FALSE),NOT(MID(metadata!C132,10,1)=""),IFERROR(INT(MID(metadata!C132,9,2))&gt;=1,FALSE),IFERROR(INT(MID(metadata!C132,9,2))&lt;=31,FALSE)), OR(MID(metadata!C132,11,1)="", AND(AND(MID(metadata!C132,11,1)=" ",IFERROR(INT(MID(metadata!C132,12,1))&gt;=0,FALSE),IFERROR(INT(MID(metadata!C132,12,1))&lt;=2,FALSE),NOT(MID(metadata!C132,13,1)=""),IFERROR(INT(MID(metadata!C132,12,2))&gt;=0,FALSE),IFERROR(INT(MID(metadata!C132,12,2))&lt;=23,FALSE)), OR(MID(metadata!C132,14,1)="", AND(AND(MID(metadata!C132,14,1)=":",IFERROR(INT(MID(metadata!C132,15,1))&gt;=0,FALSE),IFERROR(INT(MID(metadata!C132,15,1))&lt;=5,FALSE),NOT(MID(metadata!C132,16,1)=""),IFERROR(INT(MID(metadata!C132,15,2))&gt;=0,FALSE),IFERROR(INT(MID(metadata!C132,15,2))&lt;=59,FALSE)), OR(MID(metadata!C132,17,1)="", AND(AND(MID(metadata!C132,17,1)=":",IFERROR(INT(MID(metadata!C132,18,1))&gt;=0,FALSE),IFERROR(INT(MID(metadata!C132,18,1))&lt;=5,FALSE),NOT(MID(metadata!C132,19,1)=""),IFERROR(INT(MID(metadata!C132,18,2))&gt;=0,FALSE),IFERROR(INT(MID(metadata!C132,18,2))&lt;=59,FALSE)), LEN(metadata!C132)&lt;=19)))))))))))))</f>
        <v>0</v>
      </c>
      <c r="AD132">
        <f>IF(metadata!D132="",FALSE,TRUE)</f>
        <v>0</v>
      </c>
      <c r="AE132">
        <f>OR(AND(IF(metadata!E132="",FALSE,TRUE),OR(exact(metadata!E132,"missing: not collected"),exact(metadata!E132,"missing: not provided"))),AND(IF(metadata!E132="",FALSE,TRUE),OR(exact(metadata!E132,"TRUE"),exact(metadata!E132,"FALSE"))))</f>
        <v>0</v>
      </c>
      <c r="AF132">
        <f>IF(metadata!F132="",FALSE,TRUE)</f>
        <v>0</v>
      </c>
      <c r="AG132">
        <f>IF(metadata!G132="",FALSE,TRUE)</f>
        <v>0</v>
      </c>
      <c r="AH132">
        <f>IF(metadata!H132="",FALSE,TRUE)</f>
        <v>0</v>
      </c>
      <c r="AI132">
        <f>OR(AND(IF(metadata!I132="",FALSE,TRUE),OR(exact(metadata!I132,"missing: not collected"),exact(metadata!I132,"missing: not provided"),exact(metadata!I132,"missing: restricted access"))),AND(IF(metadata!I132="",FALSE,TRUE),OR(exact(metadata!I132,"air"),exact(metadata!I132,"built environment"),exact(metadata!I132,"host-associated"),exact(metadata!I132,"human-associated"),exact(metadata!I132,"human-skin"),exact(metadata!I132,"human-oral"),exact(metadata!I132,"human-gut"),exact(metadata!I132,"human-vaginal"),exact(metadata!I132,"microbial mat/biofilm"),exact(metadata!I132,"misc environment"),exact(metadata!I132,"plant-associated"),exact(metadata!I132,"sediment"),exact(metadata!I132,"soil"),exact(metadata!I132,"wastewater/sludge"),exact(metadata!I132,"water"))))</f>
        <v>0</v>
      </c>
      <c r="AJ132">
        <f>IF(metadata!J132="",FALSE,TRUE)</f>
        <v>0</v>
      </c>
      <c r="AK132">
        <f>OR(AND(IF(metadata!K132="",FALSE,TRUE),OR(exact(metadata!K132,"missing: not collected"),exact(metadata!K132,"missing: not provided"),exact(metadata!K132,"missing: restricted access"))),AND(IF(metadata!K132="",FALSE,ISNUMBER(VALUE(metadata!K132))),metadata!K132&gt;=-90.00,metadata!K132&lt;=90.00))</f>
        <v>0</v>
      </c>
      <c r="AL132">
        <f>OR(AND(IF(metadata!L132="",FALSE,TRUE),OR(exact(metadata!L132,"missing: not collected"),exact(metadata!L132,"missing: not provided"),exact(metadata!L132,"missing: restricted access"))),AND(IF(metadata!L132="",FALSE,ISNUMBER(VALUE(metadata!L132))),metadata!L132&gt;=-180.00,metadata!L132&lt;=180.00))</f>
        <v>0</v>
      </c>
      <c r="AM132">
        <f>IF(metadata!M132="",FALSE,TRUE)</f>
        <v>0</v>
      </c>
      <c r="AN132">
        <f>OR(AND(IF(metadata!N132="",FALSE,TRUE),OR(exact(metadata!N132,"missing: not collected"),exact(metadata!N132,"missing: not provided"),exact(metadata!N132,"missing: restricted access"))),AND(IF(metadata!N132="",FALSE,TRUE),OR(exact(metadata!N132,"TRUE"),exact(metadata!N132,"FALSE"))))</f>
        <v>0</v>
      </c>
      <c r="AO132">
        <f>IF(metadata!O132="",FALSE,TRUE)</f>
        <v>0</v>
      </c>
      <c r="AP132">
        <f>OR(AND(IF(metadata!P132="",FALSE,TRUE),OR(exact(metadata!P132,"missing: not collected"),exact(metadata!P132,"missing: not provided"))),AND(IF(metadata!P132="",FALSE,IF(ISERROR(INT(metadata!P132)),FALSE,INT(metadata!P132)=metadata!P132)),metadata!P132&gt;0))</f>
        <v>0</v>
      </c>
      <c r="AQ132">
        <f>IF(metadata!Q132="",FALSE,TRUE)</f>
        <v>0</v>
      </c>
    </row>
    <row r="133" spans="1:43">
      <c r="A133" s="5">
        <f>IF(B133=" "," ",HYPERLINK(CONCATENATE("#metadata!",ADDRESS(INDEX($W$2:$W$1001,MATCH(ROWS($U$2:U133),$U$2:$U$1001,0),0),1)),INDEX($Z$2:$Z$1001,MATCH(ROWS($U$2:U133),$U$2:$U$1001,0),0)))</f>
        <v>0</v>
      </c>
      <c r="B133" s="4">
        <f>IF(OR(INDEX($V$2:$V$1001,MATCH(ROWS($U$2:U133),$U$2:$U$1001,0),1)&gt;=100000,INDEX($AB$1005:$AQ$1005,1,MATCH(COLUMNS($AB$1006:AB1006),$AB$1006:$AQ$1006,0))&gt;=100000), " ",IF(INDEX($AB$2:$AQ$1001,MATCH(ROWS($U$2:U133),$U$2:$U$1001,0),MATCH(COLUMNS($AB$1006:AB1006),$AB$1006:$AQ$1006,0)), HYPERLINK("#",""), HYPERLINK(CONCATENATE("#metadata!", ADDRESS(INDEX($W$2:$W$1001,MATCH(ROWS($U$2:U133),$U$2:$U$1001,0),0), INDEX($AB$1004:$AQ$1004,1,MATCH(COLUMNS($AB$1006:AB1006),$AB$1006:$AQ$1006,0)))),"Fix")))</f>
        <v>0</v>
      </c>
      <c r="C133" s="4">
        <f>IF(OR(INDEX($V$2:$V$1001,MATCH(ROWS($U$2:U133),$U$2:$U$1001,0),1)&gt;=100000,INDEX($AB$1005:$AQ$1005,1,MATCH(COLUMNS($AB$1006:AC1006),$AB$1006:$AQ$1006,0))&gt;=100000), " ",IF(INDEX($AB$2:$AQ$1001,MATCH(ROWS($U$2:U133),$U$2:$U$1001,0),MATCH(COLUMNS($AB$1006:AC1006),$AB$1006:$AQ$1006,0)), HYPERLINK("#",""), HYPERLINK(CONCATENATE("#metadata!", ADDRESS(INDEX($W$2:$W$1001,MATCH(ROWS($U$2:U133),$U$2:$U$1001,0),0), INDEX($AB$1004:$AQ$1004,1,MATCH(COLUMNS($AB$1006:AC1006),$AB$1006:$AQ$1006,0)))),"Fix")))</f>
        <v>0</v>
      </c>
      <c r="D133" s="4">
        <f>IF(OR(INDEX($V$2:$V$1001,MATCH(ROWS($U$2:U133),$U$2:$U$1001,0),1)&gt;=100000,INDEX($AB$1005:$AQ$1005,1,MATCH(COLUMNS($AB$1006:AD1006),$AB$1006:$AQ$1006,0))&gt;=100000), " ",IF(INDEX($AB$2:$AQ$1001,MATCH(ROWS($U$2:U133),$U$2:$U$1001,0),MATCH(COLUMNS($AB$1006:AD1006),$AB$1006:$AQ$1006,0)), HYPERLINK("#",""), HYPERLINK(CONCATENATE("#metadata!", ADDRESS(INDEX($W$2:$W$1001,MATCH(ROWS($U$2:U133),$U$2:$U$1001,0),0), INDEX($AB$1004:$AQ$1004,1,MATCH(COLUMNS($AB$1006:AD1006),$AB$1006:$AQ$1006,0)))),"Fix")))</f>
        <v>0</v>
      </c>
      <c r="E133" s="4">
        <f>IF(OR(INDEX($V$2:$V$1001,MATCH(ROWS($U$2:U133),$U$2:$U$1001,0),1)&gt;=100000,INDEX($AB$1005:$AQ$1005,1,MATCH(COLUMNS($AB$1006:AE1006),$AB$1006:$AQ$1006,0))&gt;=100000), " ",IF(INDEX($AB$2:$AQ$1001,MATCH(ROWS($U$2:U133),$U$2:$U$1001,0),MATCH(COLUMNS($AB$1006:AE1006),$AB$1006:$AQ$1006,0)), HYPERLINK("#",""), HYPERLINK(CONCATENATE("#metadata!", ADDRESS(INDEX($W$2:$W$1001,MATCH(ROWS($U$2:U133),$U$2:$U$1001,0),0), INDEX($AB$1004:$AQ$1004,1,MATCH(COLUMNS($AB$1006:AE1006),$AB$1006:$AQ$1006,0)))),"Fix")))</f>
        <v>0</v>
      </c>
      <c r="F133" s="4">
        <f>IF(OR(INDEX($V$2:$V$1001,MATCH(ROWS($U$2:U133),$U$2:$U$1001,0),1)&gt;=100000,INDEX($AB$1005:$AQ$1005,1,MATCH(COLUMNS($AB$1006:AF1006),$AB$1006:$AQ$1006,0))&gt;=100000), " ",IF(INDEX($AB$2:$AQ$1001,MATCH(ROWS($U$2:U133),$U$2:$U$1001,0),MATCH(COLUMNS($AB$1006:AF1006),$AB$1006:$AQ$1006,0)), HYPERLINK("#",""), HYPERLINK(CONCATENATE("#metadata!", ADDRESS(INDEX($W$2:$W$1001,MATCH(ROWS($U$2:U133),$U$2:$U$1001,0),0), INDEX($AB$1004:$AQ$1004,1,MATCH(COLUMNS($AB$1006:AF1006),$AB$1006:$AQ$1006,0)))),"Fix")))</f>
        <v>0</v>
      </c>
      <c r="G133" s="4">
        <f>IF(OR(INDEX($V$2:$V$1001,MATCH(ROWS($U$2:U133),$U$2:$U$1001,0),1)&gt;=100000,INDEX($AB$1005:$AQ$1005,1,MATCH(COLUMNS($AB$1006:AG1006),$AB$1006:$AQ$1006,0))&gt;=100000), " ",IF(INDEX($AB$2:$AQ$1001,MATCH(ROWS($U$2:U133),$U$2:$U$1001,0),MATCH(COLUMNS($AB$1006:AG1006),$AB$1006:$AQ$1006,0)), HYPERLINK("#",""), HYPERLINK(CONCATENATE("#metadata!", ADDRESS(INDEX($W$2:$W$1001,MATCH(ROWS($U$2:U133),$U$2:$U$1001,0),0), INDEX($AB$1004:$AQ$1004,1,MATCH(COLUMNS($AB$1006:AG1006),$AB$1006:$AQ$1006,0)))),"Fix")))</f>
        <v>0</v>
      </c>
      <c r="H133" s="4">
        <f>IF(OR(INDEX($V$2:$V$1001,MATCH(ROWS($U$2:U133),$U$2:$U$1001,0),1)&gt;=100000,INDEX($AB$1005:$AQ$1005,1,MATCH(COLUMNS($AB$1006:AH1006),$AB$1006:$AQ$1006,0))&gt;=100000), " ",IF(INDEX($AB$2:$AQ$1001,MATCH(ROWS($U$2:U133),$U$2:$U$1001,0),MATCH(COLUMNS($AB$1006:AH1006),$AB$1006:$AQ$1006,0)), HYPERLINK("#",""), HYPERLINK(CONCATENATE("#metadata!", ADDRESS(INDEX($W$2:$W$1001,MATCH(ROWS($U$2:U133),$U$2:$U$1001,0),0), INDEX($AB$1004:$AQ$1004,1,MATCH(COLUMNS($AB$1006:AH1006),$AB$1006:$AQ$1006,0)))),"Fix")))</f>
        <v>0</v>
      </c>
      <c r="I133" s="4">
        <f>IF(OR(INDEX($V$2:$V$1001,MATCH(ROWS($U$2:U133),$U$2:$U$1001,0),1)&gt;=100000,INDEX($AB$1005:$AQ$1005,1,MATCH(COLUMNS($AB$1006:AI1006),$AB$1006:$AQ$1006,0))&gt;=100000), " ",IF(INDEX($AB$2:$AQ$1001,MATCH(ROWS($U$2:U133),$U$2:$U$1001,0),MATCH(COLUMNS($AB$1006:AI1006),$AB$1006:$AQ$1006,0)), HYPERLINK("#",""), HYPERLINK(CONCATENATE("#metadata!", ADDRESS(INDEX($W$2:$W$1001,MATCH(ROWS($U$2:U133),$U$2:$U$1001,0),0), INDEX($AB$1004:$AQ$1004,1,MATCH(COLUMNS($AB$1006:AI1006),$AB$1006:$AQ$1006,0)))),"Fix")))</f>
        <v>0</v>
      </c>
      <c r="J133" s="4">
        <f>IF(OR(INDEX($V$2:$V$1001,MATCH(ROWS($U$2:U133),$U$2:$U$1001,0),1)&gt;=100000,INDEX($AB$1005:$AQ$1005,1,MATCH(COLUMNS($AB$1006:AJ1006),$AB$1006:$AQ$1006,0))&gt;=100000), " ",IF(INDEX($AB$2:$AQ$1001,MATCH(ROWS($U$2:U133),$U$2:$U$1001,0),MATCH(COLUMNS($AB$1006:AJ1006),$AB$1006:$AQ$1006,0)), HYPERLINK("#",""), HYPERLINK(CONCATENATE("#metadata!", ADDRESS(INDEX($W$2:$W$1001,MATCH(ROWS($U$2:U133),$U$2:$U$1001,0),0), INDEX($AB$1004:$AQ$1004,1,MATCH(COLUMNS($AB$1006:AJ1006),$AB$1006:$AQ$1006,0)))),"Fix")))</f>
        <v>0</v>
      </c>
      <c r="K133" s="4">
        <f>IF(OR(INDEX($V$2:$V$1001,MATCH(ROWS($U$2:U133),$U$2:$U$1001,0),1)&gt;=100000,INDEX($AB$1005:$AQ$1005,1,MATCH(COLUMNS($AB$1006:AK1006),$AB$1006:$AQ$1006,0))&gt;=100000), " ",IF(INDEX($AB$2:$AQ$1001,MATCH(ROWS($U$2:U133),$U$2:$U$1001,0),MATCH(COLUMNS($AB$1006:AK1006),$AB$1006:$AQ$1006,0)), HYPERLINK("#",""), HYPERLINK(CONCATENATE("#metadata!", ADDRESS(INDEX($W$2:$W$1001,MATCH(ROWS($U$2:U133),$U$2:$U$1001,0),0), INDEX($AB$1004:$AQ$1004,1,MATCH(COLUMNS($AB$1006:AK1006),$AB$1006:$AQ$1006,0)))),"Fix")))</f>
        <v>0</v>
      </c>
      <c r="L133" s="4">
        <f>IF(OR(INDEX($V$2:$V$1001,MATCH(ROWS($U$2:U133),$U$2:$U$1001,0),1)&gt;=100000,INDEX($AB$1005:$AQ$1005,1,MATCH(COLUMNS($AB$1006:AL1006),$AB$1006:$AQ$1006,0))&gt;=100000), " ",IF(INDEX($AB$2:$AQ$1001,MATCH(ROWS($U$2:U133),$U$2:$U$1001,0),MATCH(COLUMNS($AB$1006:AL1006),$AB$1006:$AQ$1006,0)), HYPERLINK("#",""), HYPERLINK(CONCATENATE("#metadata!", ADDRESS(INDEX($W$2:$W$1001,MATCH(ROWS($U$2:U133),$U$2:$U$1001,0),0), INDEX($AB$1004:$AQ$1004,1,MATCH(COLUMNS($AB$1006:AL1006),$AB$1006:$AQ$1006,0)))),"Fix")))</f>
        <v>0</v>
      </c>
      <c r="M133" s="4">
        <f>IF(OR(INDEX($V$2:$V$1001,MATCH(ROWS($U$2:U133),$U$2:$U$1001,0),1)&gt;=100000,INDEX($AB$1005:$AQ$1005,1,MATCH(COLUMNS($AB$1006:AM1006),$AB$1006:$AQ$1006,0))&gt;=100000), " ",IF(INDEX($AB$2:$AQ$1001,MATCH(ROWS($U$2:U133),$U$2:$U$1001,0),MATCH(COLUMNS($AB$1006:AM1006),$AB$1006:$AQ$1006,0)), HYPERLINK("#",""), HYPERLINK(CONCATENATE("#metadata!", ADDRESS(INDEX($W$2:$W$1001,MATCH(ROWS($U$2:U133),$U$2:$U$1001,0),0), INDEX($AB$1004:$AQ$1004,1,MATCH(COLUMNS($AB$1006:AM1006),$AB$1006:$AQ$1006,0)))),"Fix")))</f>
        <v>0</v>
      </c>
      <c r="N133" s="4">
        <f>IF(OR(INDEX($V$2:$V$1001,MATCH(ROWS($U$2:U133),$U$2:$U$1001,0),1)&gt;=100000,INDEX($AB$1005:$AQ$1005,1,MATCH(COLUMNS($AB$1006:AN1006),$AB$1006:$AQ$1006,0))&gt;=100000), " ",IF(INDEX($AB$2:$AQ$1001,MATCH(ROWS($U$2:U133),$U$2:$U$1001,0),MATCH(COLUMNS($AB$1006:AN1006),$AB$1006:$AQ$1006,0)), HYPERLINK("#",""), HYPERLINK(CONCATENATE("#metadata!", ADDRESS(INDEX($W$2:$W$1001,MATCH(ROWS($U$2:U133),$U$2:$U$1001,0),0), INDEX($AB$1004:$AQ$1004,1,MATCH(COLUMNS($AB$1006:AN1006),$AB$1006:$AQ$1006,0)))),"Fix")))</f>
        <v>0</v>
      </c>
      <c r="O133" s="4">
        <f>IF(OR(INDEX($V$2:$V$1001,MATCH(ROWS($U$2:U133),$U$2:$U$1001,0),1)&gt;=100000,INDEX($AB$1005:$AQ$1005,1,MATCH(COLUMNS($AB$1006:AO1006),$AB$1006:$AQ$1006,0))&gt;=100000), " ",IF(INDEX($AB$2:$AQ$1001,MATCH(ROWS($U$2:U133),$U$2:$U$1001,0),MATCH(COLUMNS($AB$1006:AO1006),$AB$1006:$AQ$1006,0)), HYPERLINK("#",""), HYPERLINK(CONCATENATE("#metadata!", ADDRESS(INDEX($W$2:$W$1001,MATCH(ROWS($U$2:U133),$U$2:$U$1001,0),0), INDEX($AB$1004:$AQ$1004,1,MATCH(COLUMNS($AB$1006:AO1006),$AB$1006:$AQ$1006,0)))),"Fix")))</f>
        <v>0</v>
      </c>
      <c r="P133" s="4">
        <f>IF(OR(INDEX($V$2:$V$1001,MATCH(ROWS($U$2:U133),$U$2:$U$1001,0),1)&gt;=100000,INDEX($AB$1005:$AQ$1005,1,MATCH(COLUMNS($AB$1006:AP1006),$AB$1006:$AQ$1006,0))&gt;=100000), " ",IF(INDEX($AB$2:$AQ$1001,MATCH(ROWS($U$2:U133),$U$2:$U$1001,0),MATCH(COLUMNS($AB$1006:AP1006),$AB$1006:$AQ$1006,0)), HYPERLINK("#",""), HYPERLINK(CONCATENATE("#metadata!", ADDRESS(INDEX($W$2:$W$1001,MATCH(ROWS($U$2:U133),$U$2:$U$1001,0),0), INDEX($AB$1004:$AQ$1004,1,MATCH(COLUMNS($AB$1006:AP1006),$AB$1006:$AQ$1006,0)))),"Fix")))</f>
        <v>0</v>
      </c>
      <c r="Q133" s="4">
        <f>IF(OR(INDEX($V$2:$V$1001,MATCH(ROWS($U$2:U133),$U$2:$U$1001,0),1)&gt;=100000,INDEX($AB$1005:$AQ$1005,1,MATCH(COLUMNS($AB$1006:AQ1006),$AB$1006:$AQ$1006,0))&gt;=100000), " ",IF(INDEX($AB$2:$AQ$1001,MATCH(ROWS($U$2:U133),$U$2:$U$1001,0),MATCH(COLUMNS($AB$1006:AQ1006),$AB$1006:$AQ$1006,0)), HYPERLINK("#",""), HYPERLINK(CONCATENATE("#metadata!", ADDRESS(INDEX($W$2:$W$1001,MATCH(ROWS($U$2:U133),$U$2:$U$1001,0),0), INDEX($AB$1004:$AQ$1004,1,MATCH(COLUMNS($AB$1006:AQ1006),$AB$1006:$AQ$1006,0)))),"Fix")))</f>
        <v>0</v>
      </c>
      <c r="U133">
        <v>0</v>
      </c>
      <c r="V133">
        <v>0</v>
      </c>
      <c r="W133">
        <v>0</v>
      </c>
      <c r="X133">
        <f>IF(Y133,TRUE,AND(AB133:AQ133))</f>
        <v>0</v>
      </c>
      <c r="Y133">
        <f>COUNTBLANK(metadata!B133:Q133)=COLUMNS(metadata!B133:Q133)</f>
        <v>0</v>
      </c>
      <c r="Z133">
        <v>0</v>
      </c>
      <c r="AB133">
        <f>AND(IF(metadata!B133="",FALSE,TRUE),COUNTIF(metadata!B:B, metadata!B133) = 1,NOT(ISERROR(SUMPRODUCT(SEARCH(MID(metadata!B133,ROW(INDIRECT("1:"&amp;LEN(metadata!B133))), 1),"0123456789abcdefghijklmnopqrstuvwxyzABCDEFGHIJKLMNOPQRSTUVWXYZ.")))))</f>
        <v>0</v>
      </c>
      <c r="AC133">
        <f>OR(AND(IF(metadata!C133="",FALSE,TRUE),OR(exact(metadata!C133,"missing: not collected"),exact(metadata!C133,"missing: not provided"),exact(metadata!C133,"missing: restricted access"))),AND(IF(metadata!C133="",FALSE,TRUE),AND(AND(IFERROR(INT(LEFT(metadata!C133,4))&gt;1900,FALSE),IFERROR(INT(LEFT(metadata!C133,4))&lt;=YEAR(NOW()),FALSE)), OR(MID(metadata!C133,5,1)="", AND(AND(MID(metadata!C133,5,1)="-",IFERROR(INT(MID(metadata!C133,6,1))&gt;=0,FALSE),IFERROR(INT(MID(metadata!C133,6,1))&lt;=1,FALSE),NOT(MID(metadata!C133,7,1)=""),IFERROR(INT(MID(metadata!C133,6,2))&gt;=1,FALSE),IFERROR(INT(MID(metadata!C133,6,2))&lt;=12,FALSE)), OR(MID(metadata!C133,8,1)="", AND(AND(MID(metadata!C133,8,1)="-",IFERROR(INT(MID(metadata!C133,9,1))&gt;=0,FALSE),IFERROR(INT(MID(metadata!C133,9,1))&lt;=3,FALSE),NOT(MID(metadata!C133,10,1)=""),IFERROR(INT(MID(metadata!C133,9,2))&gt;=1,FALSE),IFERROR(INT(MID(metadata!C133,9,2))&lt;=31,FALSE)), OR(MID(metadata!C133,11,1)="", AND(AND(MID(metadata!C133,11,1)=" ",IFERROR(INT(MID(metadata!C133,12,1))&gt;=0,FALSE),IFERROR(INT(MID(metadata!C133,12,1))&lt;=2,FALSE),NOT(MID(metadata!C133,13,1)=""),IFERROR(INT(MID(metadata!C133,12,2))&gt;=0,FALSE),IFERROR(INT(MID(metadata!C133,12,2))&lt;=23,FALSE)), OR(MID(metadata!C133,14,1)="", AND(AND(MID(metadata!C133,14,1)=":",IFERROR(INT(MID(metadata!C133,15,1))&gt;=0,FALSE),IFERROR(INT(MID(metadata!C133,15,1))&lt;=5,FALSE),NOT(MID(metadata!C133,16,1)=""),IFERROR(INT(MID(metadata!C133,15,2))&gt;=0,FALSE),IFERROR(INT(MID(metadata!C133,15,2))&lt;=59,FALSE)), OR(MID(metadata!C133,17,1)="", AND(AND(MID(metadata!C133,17,1)=":",IFERROR(INT(MID(metadata!C133,18,1))&gt;=0,FALSE),IFERROR(INT(MID(metadata!C133,18,1))&lt;=5,FALSE),NOT(MID(metadata!C133,19,1)=""),IFERROR(INT(MID(metadata!C133,18,2))&gt;=0,FALSE),IFERROR(INT(MID(metadata!C133,18,2))&lt;=59,FALSE)), LEN(metadata!C133)&lt;=19)))))))))))))</f>
        <v>0</v>
      </c>
      <c r="AD133">
        <f>IF(metadata!D133="",FALSE,TRUE)</f>
        <v>0</v>
      </c>
      <c r="AE133">
        <f>OR(AND(IF(metadata!E133="",FALSE,TRUE),OR(exact(metadata!E133,"missing: not collected"),exact(metadata!E133,"missing: not provided"))),AND(IF(metadata!E133="",FALSE,TRUE),OR(exact(metadata!E133,"TRUE"),exact(metadata!E133,"FALSE"))))</f>
        <v>0</v>
      </c>
      <c r="AF133">
        <f>IF(metadata!F133="",FALSE,TRUE)</f>
        <v>0</v>
      </c>
      <c r="AG133">
        <f>IF(metadata!G133="",FALSE,TRUE)</f>
        <v>0</v>
      </c>
      <c r="AH133">
        <f>IF(metadata!H133="",FALSE,TRUE)</f>
        <v>0</v>
      </c>
      <c r="AI133">
        <f>OR(AND(IF(metadata!I133="",FALSE,TRUE),OR(exact(metadata!I133,"missing: not collected"),exact(metadata!I133,"missing: not provided"),exact(metadata!I133,"missing: restricted access"))),AND(IF(metadata!I133="",FALSE,TRUE),OR(exact(metadata!I133,"air"),exact(metadata!I133,"built environment"),exact(metadata!I133,"host-associated"),exact(metadata!I133,"human-associated"),exact(metadata!I133,"human-skin"),exact(metadata!I133,"human-oral"),exact(metadata!I133,"human-gut"),exact(metadata!I133,"human-vaginal"),exact(metadata!I133,"microbial mat/biofilm"),exact(metadata!I133,"misc environment"),exact(metadata!I133,"plant-associated"),exact(metadata!I133,"sediment"),exact(metadata!I133,"soil"),exact(metadata!I133,"wastewater/sludge"),exact(metadata!I133,"water"))))</f>
        <v>0</v>
      </c>
      <c r="AJ133">
        <f>IF(metadata!J133="",FALSE,TRUE)</f>
        <v>0</v>
      </c>
      <c r="AK133">
        <f>OR(AND(IF(metadata!K133="",FALSE,TRUE),OR(exact(metadata!K133,"missing: not collected"),exact(metadata!K133,"missing: not provided"),exact(metadata!K133,"missing: restricted access"))),AND(IF(metadata!K133="",FALSE,ISNUMBER(VALUE(metadata!K133))),metadata!K133&gt;=-90.00,metadata!K133&lt;=90.00))</f>
        <v>0</v>
      </c>
      <c r="AL133">
        <f>OR(AND(IF(metadata!L133="",FALSE,TRUE),OR(exact(metadata!L133,"missing: not collected"),exact(metadata!L133,"missing: not provided"),exact(metadata!L133,"missing: restricted access"))),AND(IF(metadata!L133="",FALSE,ISNUMBER(VALUE(metadata!L133))),metadata!L133&gt;=-180.00,metadata!L133&lt;=180.00))</f>
        <v>0</v>
      </c>
      <c r="AM133">
        <f>IF(metadata!M133="",FALSE,TRUE)</f>
        <v>0</v>
      </c>
      <c r="AN133">
        <f>OR(AND(IF(metadata!N133="",FALSE,TRUE),OR(exact(metadata!N133,"missing: not collected"),exact(metadata!N133,"missing: not provided"),exact(metadata!N133,"missing: restricted access"))),AND(IF(metadata!N133="",FALSE,TRUE),OR(exact(metadata!N133,"TRUE"),exact(metadata!N133,"FALSE"))))</f>
        <v>0</v>
      </c>
      <c r="AO133">
        <f>IF(metadata!O133="",FALSE,TRUE)</f>
        <v>0</v>
      </c>
      <c r="AP133">
        <f>OR(AND(IF(metadata!P133="",FALSE,TRUE),OR(exact(metadata!P133,"missing: not collected"),exact(metadata!P133,"missing: not provided"))),AND(IF(metadata!P133="",FALSE,IF(ISERROR(INT(metadata!P133)),FALSE,INT(metadata!P133)=metadata!P133)),metadata!P133&gt;0))</f>
        <v>0</v>
      </c>
      <c r="AQ133">
        <f>IF(metadata!Q133="",FALSE,TRUE)</f>
        <v>0</v>
      </c>
    </row>
    <row r="134" spans="1:43">
      <c r="A134" s="5">
        <f>IF(B134=" "," ",HYPERLINK(CONCATENATE("#metadata!",ADDRESS(INDEX($W$2:$W$1001,MATCH(ROWS($U$2:U134),$U$2:$U$1001,0),0),1)),INDEX($Z$2:$Z$1001,MATCH(ROWS($U$2:U134),$U$2:$U$1001,0),0)))</f>
        <v>0</v>
      </c>
      <c r="B134" s="4">
        <f>IF(OR(INDEX($V$2:$V$1001,MATCH(ROWS($U$2:U134),$U$2:$U$1001,0),1)&gt;=100000,INDEX($AB$1005:$AQ$1005,1,MATCH(COLUMNS($AB$1006:AB1006),$AB$1006:$AQ$1006,0))&gt;=100000), " ",IF(INDEX($AB$2:$AQ$1001,MATCH(ROWS($U$2:U134),$U$2:$U$1001,0),MATCH(COLUMNS($AB$1006:AB1006),$AB$1006:$AQ$1006,0)), HYPERLINK("#",""), HYPERLINK(CONCATENATE("#metadata!", ADDRESS(INDEX($W$2:$W$1001,MATCH(ROWS($U$2:U134),$U$2:$U$1001,0),0), INDEX($AB$1004:$AQ$1004,1,MATCH(COLUMNS($AB$1006:AB1006),$AB$1006:$AQ$1006,0)))),"Fix")))</f>
        <v>0</v>
      </c>
      <c r="C134" s="4">
        <f>IF(OR(INDEX($V$2:$V$1001,MATCH(ROWS($U$2:U134),$U$2:$U$1001,0),1)&gt;=100000,INDEX($AB$1005:$AQ$1005,1,MATCH(COLUMNS($AB$1006:AC1006),$AB$1006:$AQ$1006,0))&gt;=100000), " ",IF(INDEX($AB$2:$AQ$1001,MATCH(ROWS($U$2:U134),$U$2:$U$1001,0),MATCH(COLUMNS($AB$1006:AC1006),$AB$1006:$AQ$1006,0)), HYPERLINK("#",""), HYPERLINK(CONCATENATE("#metadata!", ADDRESS(INDEX($W$2:$W$1001,MATCH(ROWS($U$2:U134),$U$2:$U$1001,0),0), INDEX($AB$1004:$AQ$1004,1,MATCH(COLUMNS($AB$1006:AC1006),$AB$1006:$AQ$1006,0)))),"Fix")))</f>
        <v>0</v>
      </c>
      <c r="D134" s="4">
        <f>IF(OR(INDEX($V$2:$V$1001,MATCH(ROWS($U$2:U134),$U$2:$U$1001,0),1)&gt;=100000,INDEX($AB$1005:$AQ$1005,1,MATCH(COLUMNS($AB$1006:AD1006),$AB$1006:$AQ$1006,0))&gt;=100000), " ",IF(INDEX($AB$2:$AQ$1001,MATCH(ROWS($U$2:U134),$U$2:$U$1001,0),MATCH(COLUMNS($AB$1006:AD1006),$AB$1006:$AQ$1006,0)), HYPERLINK("#",""), HYPERLINK(CONCATENATE("#metadata!", ADDRESS(INDEX($W$2:$W$1001,MATCH(ROWS($U$2:U134),$U$2:$U$1001,0),0), INDEX($AB$1004:$AQ$1004,1,MATCH(COLUMNS($AB$1006:AD1006),$AB$1006:$AQ$1006,0)))),"Fix")))</f>
        <v>0</v>
      </c>
      <c r="E134" s="4">
        <f>IF(OR(INDEX($V$2:$V$1001,MATCH(ROWS($U$2:U134),$U$2:$U$1001,0),1)&gt;=100000,INDEX($AB$1005:$AQ$1005,1,MATCH(COLUMNS($AB$1006:AE1006),$AB$1006:$AQ$1006,0))&gt;=100000), " ",IF(INDEX($AB$2:$AQ$1001,MATCH(ROWS($U$2:U134),$U$2:$U$1001,0),MATCH(COLUMNS($AB$1006:AE1006),$AB$1006:$AQ$1006,0)), HYPERLINK("#",""), HYPERLINK(CONCATENATE("#metadata!", ADDRESS(INDEX($W$2:$W$1001,MATCH(ROWS($U$2:U134),$U$2:$U$1001,0),0), INDEX($AB$1004:$AQ$1004,1,MATCH(COLUMNS($AB$1006:AE1006),$AB$1006:$AQ$1006,0)))),"Fix")))</f>
        <v>0</v>
      </c>
      <c r="F134" s="4">
        <f>IF(OR(INDEX($V$2:$V$1001,MATCH(ROWS($U$2:U134),$U$2:$U$1001,0),1)&gt;=100000,INDEX($AB$1005:$AQ$1005,1,MATCH(COLUMNS($AB$1006:AF1006),$AB$1006:$AQ$1006,0))&gt;=100000), " ",IF(INDEX($AB$2:$AQ$1001,MATCH(ROWS($U$2:U134),$U$2:$U$1001,0),MATCH(COLUMNS($AB$1006:AF1006),$AB$1006:$AQ$1006,0)), HYPERLINK("#",""), HYPERLINK(CONCATENATE("#metadata!", ADDRESS(INDEX($W$2:$W$1001,MATCH(ROWS($U$2:U134),$U$2:$U$1001,0),0), INDEX($AB$1004:$AQ$1004,1,MATCH(COLUMNS($AB$1006:AF1006),$AB$1006:$AQ$1006,0)))),"Fix")))</f>
        <v>0</v>
      </c>
      <c r="G134" s="4">
        <f>IF(OR(INDEX($V$2:$V$1001,MATCH(ROWS($U$2:U134),$U$2:$U$1001,0),1)&gt;=100000,INDEX($AB$1005:$AQ$1005,1,MATCH(COLUMNS($AB$1006:AG1006),$AB$1006:$AQ$1006,0))&gt;=100000), " ",IF(INDEX($AB$2:$AQ$1001,MATCH(ROWS($U$2:U134),$U$2:$U$1001,0),MATCH(COLUMNS($AB$1006:AG1006),$AB$1006:$AQ$1006,0)), HYPERLINK("#",""), HYPERLINK(CONCATENATE("#metadata!", ADDRESS(INDEX($W$2:$W$1001,MATCH(ROWS($U$2:U134),$U$2:$U$1001,0),0), INDEX($AB$1004:$AQ$1004,1,MATCH(COLUMNS($AB$1006:AG1006),$AB$1006:$AQ$1006,0)))),"Fix")))</f>
        <v>0</v>
      </c>
      <c r="H134" s="4">
        <f>IF(OR(INDEX($V$2:$V$1001,MATCH(ROWS($U$2:U134),$U$2:$U$1001,0),1)&gt;=100000,INDEX($AB$1005:$AQ$1005,1,MATCH(COLUMNS($AB$1006:AH1006),$AB$1006:$AQ$1006,0))&gt;=100000), " ",IF(INDEX($AB$2:$AQ$1001,MATCH(ROWS($U$2:U134),$U$2:$U$1001,0),MATCH(COLUMNS($AB$1006:AH1006),$AB$1006:$AQ$1006,0)), HYPERLINK("#",""), HYPERLINK(CONCATENATE("#metadata!", ADDRESS(INDEX($W$2:$W$1001,MATCH(ROWS($U$2:U134),$U$2:$U$1001,0),0), INDEX($AB$1004:$AQ$1004,1,MATCH(COLUMNS($AB$1006:AH1006),$AB$1006:$AQ$1006,0)))),"Fix")))</f>
        <v>0</v>
      </c>
      <c r="I134" s="4">
        <f>IF(OR(INDEX($V$2:$V$1001,MATCH(ROWS($U$2:U134),$U$2:$U$1001,0),1)&gt;=100000,INDEX($AB$1005:$AQ$1005,1,MATCH(COLUMNS($AB$1006:AI1006),$AB$1006:$AQ$1006,0))&gt;=100000), " ",IF(INDEX($AB$2:$AQ$1001,MATCH(ROWS($U$2:U134),$U$2:$U$1001,0),MATCH(COLUMNS($AB$1006:AI1006),$AB$1006:$AQ$1006,0)), HYPERLINK("#",""), HYPERLINK(CONCATENATE("#metadata!", ADDRESS(INDEX($W$2:$W$1001,MATCH(ROWS($U$2:U134),$U$2:$U$1001,0),0), INDEX($AB$1004:$AQ$1004,1,MATCH(COLUMNS($AB$1006:AI1006),$AB$1006:$AQ$1006,0)))),"Fix")))</f>
        <v>0</v>
      </c>
      <c r="J134" s="4">
        <f>IF(OR(INDEX($V$2:$V$1001,MATCH(ROWS($U$2:U134),$U$2:$U$1001,0),1)&gt;=100000,INDEX($AB$1005:$AQ$1005,1,MATCH(COLUMNS($AB$1006:AJ1006),$AB$1006:$AQ$1006,0))&gt;=100000), " ",IF(INDEX($AB$2:$AQ$1001,MATCH(ROWS($U$2:U134),$U$2:$U$1001,0),MATCH(COLUMNS($AB$1006:AJ1006),$AB$1006:$AQ$1006,0)), HYPERLINK("#",""), HYPERLINK(CONCATENATE("#metadata!", ADDRESS(INDEX($W$2:$W$1001,MATCH(ROWS($U$2:U134),$U$2:$U$1001,0),0), INDEX($AB$1004:$AQ$1004,1,MATCH(COLUMNS($AB$1006:AJ1006),$AB$1006:$AQ$1006,0)))),"Fix")))</f>
        <v>0</v>
      </c>
      <c r="K134" s="4">
        <f>IF(OR(INDEX($V$2:$V$1001,MATCH(ROWS($U$2:U134),$U$2:$U$1001,0),1)&gt;=100000,INDEX($AB$1005:$AQ$1005,1,MATCH(COLUMNS($AB$1006:AK1006),$AB$1006:$AQ$1006,0))&gt;=100000), " ",IF(INDEX($AB$2:$AQ$1001,MATCH(ROWS($U$2:U134),$U$2:$U$1001,0),MATCH(COLUMNS($AB$1006:AK1006),$AB$1006:$AQ$1006,0)), HYPERLINK("#",""), HYPERLINK(CONCATENATE("#metadata!", ADDRESS(INDEX($W$2:$W$1001,MATCH(ROWS($U$2:U134),$U$2:$U$1001,0),0), INDEX($AB$1004:$AQ$1004,1,MATCH(COLUMNS($AB$1006:AK1006),$AB$1006:$AQ$1006,0)))),"Fix")))</f>
        <v>0</v>
      </c>
      <c r="L134" s="4">
        <f>IF(OR(INDEX($V$2:$V$1001,MATCH(ROWS($U$2:U134),$U$2:$U$1001,0),1)&gt;=100000,INDEX($AB$1005:$AQ$1005,1,MATCH(COLUMNS($AB$1006:AL1006),$AB$1006:$AQ$1006,0))&gt;=100000), " ",IF(INDEX($AB$2:$AQ$1001,MATCH(ROWS($U$2:U134),$U$2:$U$1001,0),MATCH(COLUMNS($AB$1006:AL1006),$AB$1006:$AQ$1006,0)), HYPERLINK("#",""), HYPERLINK(CONCATENATE("#metadata!", ADDRESS(INDEX($W$2:$W$1001,MATCH(ROWS($U$2:U134),$U$2:$U$1001,0),0), INDEX($AB$1004:$AQ$1004,1,MATCH(COLUMNS($AB$1006:AL1006),$AB$1006:$AQ$1006,0)))),"Fix")))</f>
        <v>0</v>
      </c>
      <c r="M134" s="4">
        <f>IF(OR(INDEX($V$2:$V$1001,MATCH(ROWS($U$2:U134),$U$2:$U$1001,0),1)&gt;=100000,INDEX($AB$1005:$AQ$1005,1,MATCH(COLUMNS($AB$1006:AM1006),$AB$1006:$AQ$1006,0))&gt;=100000), " ",IF(INDEX($AB$2:$AQ$1001,MATCH(ROWS($U$2:U134),$U$2:$U$1001,0),MATCH(COLUMNS($AB$1006:AM1006),$AB$1006:$AQ$1006,0)), HYPERLINK("#",""), HYPERLINK(CONCATENATE("#metadata!", ADDRESS(INDEX($W$2:$W$1001,MATCH(ROWS($U$2:U134),$U$2:$U$1001,0),0), INDEX($AB$1004:$AQ$1004,1,MATCH(COLUMNS($AB$1006:AM1006),$AB$1006:$AQ$1006,0)))),"Fix")))</f>
        <v>0</v>
      </c>
      <c r="N134" s="4">
        <f>IF(OR(INDEX($V$2:$V$1001,MATCH(ROWS($U$2:U134),$U$2:$U$1001,0),1)&gt;=100000,INDEX($AB$1005:$AQ$1005,1,MATCH(COLUMNS($AB$1006:AN1006),$AB$1006:$AQ$1006,0))&gt;=100000), " ",IF(INDEX($AB$2:$AQ$1001,MATCH(ROWS($U$2:U134),$U$2:$U$1001,0),MATCH(COLUMNS($AB$1006:AN1006),$AB$1006:$AQ$1006,0)), HYPERLINK("#",""), HYPERLINK(CONCATENATE("#metadata!", ADDRESS(INDEX($W$2:$W$1001,MATCH(ROWS($U$2:U134),$U$2:$U$1001,0),0), INDEX($AB$1004:$AQ$1004,1,MATCH(COLUMNS($AB$1006:AN1006),$AB$1006:$AQ$1006,0)))),"Fix")))</f>
        <v>0</v>
      </c>
      <c r="O134" s="4">
        <f>IF(OR(INDEX($V$2:$V$1001,MATCH(ROWS($U$2:U134),$U$2:$U$1001,0),1)&gt;=100000,INDEX($AB$1005:$AQ$1005,1,MATCH(COLUMNS($AB$1006:AO1006),$AB$1006:$AQ$1006,0))&gt;=100000), " ",IF(INDEX($AB$2:$AQ$1001,MATCH(ROWS($U$2:U134),$U$2:$U$1001,0),MATCH(COLUMNS($AB$1006:AO1006),$AB$1006:$AQ$1006,0)), HYPERLINK("#",""), HYPERLINK(CONCATENATE("#metadata!", ADDRESS(INDEX($W$2:$W$1001,MATCH(ROWS($U$2:U134),$U$2:$U$1001,0),0), INDEX($AB$1004:$AQ$1004,1,MATCH(COLUMNS($AB$1006:AO1006),$AB$1006:$AQ$1006,0)))),"Fix")))</f>
        <v>0</v>
      </c>
      <c r="P134" s="4">
        <f>IF(OR(INDEX($V$2:$V$1001,MATCH(ROWS($U$2:U134),$U$2:$U$1001,0),1)&gt;=100000,INDEX($AB$1005:$AQ$1005,1,MATCH(COLUMNS($AB$1006:AP1006),$AB$1006:$AQ$1006,0))&gt;=100000), " ",IF(INDEX($AB$2:$AQ$1001,MATCH(ROWS($U$2:U134),$U$2:$U$1001,0),MATCH(COLUMNS($AB$1006:AP1006),$AB$1006:$AQ$1006,0)), HYPERLINK("#",""), HYPERLINK(CONCATENATE("#metadata!", ADDRESS(INDEX($W$2:$W$1001,MATCH(ROWS($U$2:U134),$U$2:$U$1001,0),0), INDEX($AB$1004:$AQ$1004,1,MATCH(COLUMNS($AB$1006:AP1006),$AB$1006:$AQ$1006,0)))),"Fix")))</f>
        <v>0</v>
      </c>
      <c r="Q134" s="4">
        <f>IF(OR(INDEX($V$2:$V$1001,MATCH(ROWS($U$2:U134),$U$2:$U$1001,0),1)&gt;=100000,INDEX($AB$1005:$AQ$1005,1,MATCH(COLUMNS($AB$1006:AQ1006),$AB$1006:$AQ$1006,0))&gt;=100000), " ",IF(INDEX($AB$2:$AQ$1001,MATCH(ROWS($U$2:U134),$U$2:$U$1001,0),MATCH(COLUMNS($AB$1006:AQ1006),$AB$1006:$AQ$1006,0)), HYPERLINK("#",""), HYPERLINK(CONCATENATE("#metadata!", ADDRESS(INDEX($W$2:$W$1001,MATCH(ROWS($U$2:U134),$U$2:$U$1001,0),0), INDEX($AB$1004:$AQ$1004,1,MATCH(COLUMNS($AB$1006:AQ1006),$AB$1006:$AQ$1006,0)))),"Fix")))</f>
        <v>0</v>
      </c>
      <c r="U134">
        <v>0</v>
      </c>
      <c r="V134">
        <v>0</v>
      </c>
      <c r="W134">
        <v>0</v>
      </c>
      <c r="X134">
        <f>IF(Y134,TRUE,AND(AB134:AQ134))</f>
        <v>0</v>
      </c>
      <c r="Y134">
        <f>COUNTBLANK(metadata!B134:Q134)=COLUMNS(metadata!B134:Q134)</f>
        <v>0</v>
      </c>
      <c r="Z134">
        <v>0</v>
      </c>
      <c r="AB134">
        <f>AND(IF(metadata!B134="",FALSE,TRUE),COUNTIF(metadata!B:B, metadata!B134) = 1,NOT(ISERROR(SUMPRODUCT(SEARCH(MID(metadata!B134,ROW(INDIRECT("1:"&amp;LEN(metadata!B134))), 1),"0123456789abcdefghijklmnopqrstuvwxyzABCDEFGHIJKLMNOPQRSTUVWXYZ.")))))</f>
        <v>0</v>
      </c>
      <c r="AC134">
        <f>OR(AND(IF(metadata!C134="",FALSE,TRUE),OR(exact(metadata!C134,"missing: not collected"),exact(metadata!C134,"missing: not provided"),exact(metadata!C134,"missing: restricted access"))),AND(IF(metadata!C134="",FALSE,TRUE),AND(AND(IFERROR(INT(LEFT(metadata!C134,4))&gt;1900,FALSE),IFERROR(INT(LEFT(metadata!C134,4))&lt;=YEAR(NOW()),FALSE)), OR(MID(metadata!C134,5,1)="", AND(AND(MID(metadata!C134,5,1)="-",IFERROR(INT(MID(metadata!C134,6,1))&gt;=0,FALSE),IFERROR(INT(MID(metadata!C134,6,1))&lt;=1,FALSE),NOT(MID(metadata!C134,7,1)=""),IFERROR(INT(MID(metadata!C134,6,2))&gt;=1,FALSE),IFERROR(INT(MID(metadata!C134,6,2))&lt;=12,FALSE)), OR(MID(metadata!C134,8,1)="", AND(AND(MID(metadata!C134,8,1)="-",IFERROR(INT(MID(metadata!C134,9,1))&gt;=0,FALSE),IFERROR(INT(MID(metadata!C134,9,1))&lt;=3,FALSE),NOT(MID(metadata!C134,10,1)=""),IFERROR(INT(MID(metadata!C134,9,2))&gt;=1,FALSE),IFERROR(INT(MID(metadata!C134,9,2))&lt;=31,FALSE)), OR(MID(metadata!C134,11,1)="", AND(AND(MID(metadata!C134,11,1)=" ",IFERROR(INT(MID(metadata!C134,12,1))&gt;=0,FALSE),IFERROR(INT(MID(metadata!C134,12,1))&lt;=2,FALSE),NOT(MID(metadata!C134,13,1)=""),IFERROR(INT(MID(metadata!C134,12,2))&gt;=0,FALSE),IFERROR(INT(MID(metadata!C134,12,2))&lt;=23,FALSE)), OR(MID(metadata!C134,14,1)="", AND(AND(MID(metadata!C134,14,1)=":",IFERROR(INT(MID(metadata!C134,15,1))&gt;=0,FALSE),IFERROR(INT(MID(metadata!C134,15,1))&lt;=5,FALSE),NOT(MID(metadata!C134,16,1)=""),IFERROR(INT(MID(metadata!C134,15,2))&gt;=0,FALSE),IFERROR(INT(MID(metadata!C134,15,2))&lt;=59,FALSE)), OR(MID(metadata!C134,17,1)="", AND(AND(MID(metadata!C134,17,1)=":",IFERROR(INT(MID(metadata!C134,18,1))&gt;=0,FALSE),IFERROR(INT(MID(metadata!C134,18,1))&lt;=5,FALSE),NOT(MID(metadata!C134,19,1)=""),IFERROR(INT(MID(metadata!C134,18,2))&gt;=0,FALSE),IFERROR(INT(MID(metadata!C134,18,2))&lt;=59,FALSE)), LEN(metadata!C134)&lt;=19)))))))))))))</f>
        <v>0</v>
      </c>
      <c r="AD134">
        <f>IF(metadata!D134="",FALSE,TRUE)</f>
        <v>0</v>
      </c>
      <c r="AE134">
        <f>OR(AND(IF(metadata!E134="",FALSE,TRUE),OR(exact(metadata!E134,"missing: not collected"),exact(metadata!E134,"missing: not provided"))),AND(IF(metadata!E134="",FALSE,TRUE),OR(exact(metadata!E134,"TRUE"),exact(metadata!E134,"FALSE"))))</f>
        <v>0</v>
      </c>
      <c r="AF134">
        <f>IF(metadata!F134="",FALSE,TRUE)</f>
        <v>0</v>
      </c>
      <c r="AG134">
        <f>IF(metadata!G134="",FALSE,TRUE)</f>
        <v>0</v>
      </c>
      <c r="AH134">
        <f>IF(metadata!H134="",FALSE,TRUE)</f>
        <v>0</v>
      </c>
      <c r="AI134">
        <f>OR(AND(IF(metadata!I134="",FALSE,TRUE),OR(exact(metadata!I134,"missing: not collected"),exact(metadata!I134,"missing: not provided"),exact(metadata!I134,"missing: restricted access"))),AND(IF(metadata!I134="",FALSE,TRUE),OR(exact(metadata!I134,"air"),exact(metadata!I134,"built environment"),exact(metadata!I134,"host-associated"),exact(metadata!I134,"human-associated"),exact(metadata!I134,"human-skin"),exact(metadata!I134,"human-oral"),exact(metadata!I134,"human-gut"),exact(metadata!I134,"human-vaginal"),exact(metadata!I134,"microbial mat/biofilm"),exact(metadata!I134,"misc environment"),exact(metadata!I134,"plant-associated"),exact(metadata!I134,"sediment"),exact(metadata!I134,"soil"),exact(metadata!I134,"wastewater/sludge"),exact(metadata!I134,"water"))))</f>
        <v>0</v>
      </c>
      <c r="AJ134">
        <f>IF(metadata!J134="",FALSE,TRUE)</f>
        <v>0</v>
      </c>
      <c r="AK134">
        <f>OR(AND(IF(metadata!K134="",FALSE,TRUE),OR(exact(metadata!K134,"missing: not collected"),exact(metadata!K134,"missing: not provided"),exact(metadata!K134,"missing: restricted access"))),AND(IF(metadata!K134="",FALSE,ISNUMBER(VALUE(metadata!K134))),metadata!K134&gt;=-90.00,metadata!K134&lt;=90.00))</f>
        <v>0</v>
      </c>
      <c r="AL134">
        <f>OR(AND(IF(metadata!L134="",FALSE,TRUE),OR(exact(metadata!L134,"missing: not collected"),exact(metadata!L134,"missing: not provided"),exact(metadata!L134,"missing: restricted access"))),AND(IF(metadata!L134="",FALSE,ISNUMBER(VALUE(metadata!L134))),metadata!L134&gt;=-180.00,metadata!L134&lt;=180.00))</f>
        <v>0</v>
      </c>
      <c r="AM134">
        <f>IF(metadata!M134="",FALSE,TRUE)</f>
        <v>0</v>
      </c>
      <c r="AN134">
        <f>OR(AND(IF(metadata!N134="",FALSE,TRUE),OR(exact(metadata!N134,"missing: not collected"),exact(metadata!N134,"missing: not provided"),exact(metadata!N134,"missing: restricted access"))),AND(IF(metadata!N134="",FALSE,TRUE),OR(exact(metadata!N134,"TRUE"),exact(metadata!N134,"FALSE"))))</f>
        <v>0</v>
      </c>
      <c r="AO134">
        <f>IF(metadata!O134="",FALSE,TRUE)</f>
        <v>0</v>
      </c>
      <c r="AP134">
        <f>OR(AND(IF(metadata!P134="",FALSE,TRUE),OR(exact(metadata!P134,"missing: not collected"),exact(metadata!P134,"missing: not provided"))),AND(IF(metadata!P134="",FALSE,IF(ISERROR(INT(metadata!P134)),FALSE,INT(metadata!P134)=metadata!P134)),metadata!P134&gt;0))</f>
        <v>0</v>
      </c>
      <c r="AQ134">
        <f>IF(metadata!Q134="",FALSE,TRUE)</f>
        <v>0</v>
      </c>
    </row>
    <row r="135" spans="1:43">
      <c r="A135" s="5">
        <f>IF(B135=" "," ",HYPERLINK(CONCATENATE("#metadata!",ADDRESS(INDEX($W$2:$W$1001,MATCH(ROWS($U$2:U135),$U$2:$U$1001,0),0),1)),INDEX($Z$2:$Z$1001,MATCH(ROWS($U$2:U135),$U$2:$U$1001,0),0)))</f>
        <v>0</v>
      </c>
      <c r="B135" s="4">
        <f>IF(OR(INDEX($V$2:$V$1001,MATCH(ROWS($U$2:U135),$U$2:$U$1001,0),1)&gt;=100000,INDEX($AB$1005:$AQ$1005,1,MATCH(COLUMNS($AB$1006:AB1006),$AB$1006:$AQ$1006,0))&gt;=100000), " ",IF(INDEX($AB$2:$AQ$1001,MATCH(ROWS($U$2:U135),$U$2:$U$1001,0),MATCH(COLUMNS($AB$1006:AB1006),$AB$1006:$AQ$1006,0)), HYPERLINK("#",""), HYPERLINK(CONCATENATE("#metadata!", ADDRESS(INDEX($W$2:$W$1001,MATCH(ROWS($U$2:U135),$U$2:$U$1001,0),0), INDEX($AB$1004:$AQ$1004,1,MATCH(COLUMNS($AB$1006:AB1006),$AB$1006:$AQ$1006,0)))),"Fix")))</f>
        <v>0</v>
      </c>
      <c r="C135" s="4">
        <f>IF(OR(INDEX($V$2:$V$1001,MATCH(ROWS($U$2:U135),$U$2:$U$1001,0),1)&gt;=100000,INDEX($AB$1005:$AQ$1005,1,MATCH(COLUMNS($AB$1006:AC1006),$AB$1006:$AQ$1006,0))&gt;=100000), " ",IF(INDEX($AB$2:$AQ$1001,MATCH(ROWS($U$2:U135),$U$2:$U$1001,0),MATCH(COLUMNS($AB$1006:AC1006),$AB$1006:$AQ$1006,0)), HYPERLINK("#",""), HYPERLINK(CONCATENATE("#metadata!", ADDRESS(INDEX($W$2:$W$1001,MATCH(ROWS($U$2:U135),$U$2:$U$1001,0),0), INDEX($AB$1004:$AQ$1004,1,MATCH(COLUMNS($AB$1006:AC1006),$AB$1006:$AQ$1006,0)))),"Fix")))</f>
        <v>0</v>
      </c>
      <c r="D135" s="4">
        <f>IF(OR(INDEX($V$2:$V$1001,MATCH(ROWS($U$2:U135),$U$2:$U$1001,0),1)&gt;=100000,INDEX($AB$1005:$AQ$1005,1,MATCH(COLUMNS($AB$1006:AD1006),$AB$1006:$AQ$1006,0))&gt;=100000), " ",IF(INDEX($AB$2:$AQ$1001,MATCH(ROWS($U$2:U135),$U$2:$U$1001,0),MATCH(COLUMNS($AB$1006:AD1006),$AB$1006:$AQ$1006,0)), HYPERLINK("#",""), HYPERLINK(CONCATENATE("#metadata!", ADDRESS(INDEX($W$2:$W$1001,MATCH(ROWS($U$2:U135),$U$2:$U$1001,0),0), INDEX($AB$1004:$AQ$1004,1,MATCH(COLUMNS($AB$1006:AD1006),$AB$1006:$AQ$1006,0)))),"Fix")))</f>
        <v>0</v>
      </c>
      <c r="E135" s="4">
        <f>IF(OR(INDEX($V$2:$V$1001,MATCH(ROWS($U$2:U135),$U$2:$U$1001,0),1)&gt;=100000,INDEX($AB$1005:$AQ$1005,1,MATCH(COLUMNS($AB$1006:AE1006),$AB$1006:$AQ$1006,0))&gt;=100000), " ",IF(INDEX($AB$2:$AQ$1001,MATCH(ROWS($U$2:U135),$U$2:$U$1001,0),MATCH(COLUMNS($AB$1006:AE1006),$AB$1006:$AQ$1006,0)), HYPERLINK("#",""), HYPERLINK(CONCATENATE("#metadata!", ADDRESS(INDEX($W$2:$W$1001,MATCH(ROWS($U$2:U135),$U$2:$U$1001,0),0), INDEX($AB$1004:$AQ$1004,1,MATCH(COLUMNS($AB$1006:AE1006),$AB$1006:$AQ$1006,0)))),"Fix")))</f>
        <v>0</v>
      </c>
      <c r="F135" s="4">
        <f>IF(OR(INDEX($V$2:$V$1001,MATCH(ROWS($U$2:U135),$U$2:$U$1001,0),1)&gt;=100000,INDEX($AB$1005:$AQ$1005,1,MATCH(COLUMNS($AB$1006:AF1006),$AB$1006:$AQ$1006,0))&gt;=100000), " ",IF(INDEX($AB$2:$AQ$1001,MATCH(ROWS($U$2:U135),$U$2:$U$1001,0),MATCH(COLUMNS($AB$1006:AF1006),$AB$1006:$AQ$1006,0)), HYPERLINK("#",""), HYPERLINK(CONCATENATE("#metadata!", ADDRESS(INDEX($W$2:$W$1001,MATCH(ROWS($U$2:U135),$U$2:$U$1001,0),0), INDEX($AB$1004:$AQ$1004,1,MATCH(COLUMNS($AB$1006:AF1006),$AB$1006:$AQ$1006,0)))),"Fix")))</f>
        <v>0</v>
      </c>
      <c r="G135" s="4">
        <f>IF(OR(INDEX($V$2:$V$1001,MATCH(ROWS($U$2:U135),$U$2:$U$1001,0),1)&gt;=100000,INDEX($AB$1005:$AQ$1005,1,MATCH(COLUMNS($AB$1006:AG1006),$AB$1006:$AQ$1006,0))&gt;=100000), " ",IF(INDEX($AB$2:$AQ$1001,MATCH(ROWS($U$2:U135),$U$2:$U$1001,0),MATCH(COLUMNS($AB$1006:AG1006),$AB$1006:$AQ$1006,0)), HYPERLINK("#",""), HYPERLINK(CONCATENATE("#metadata!", ADDRESS(INDEX($W$2:$W$1001,MATCH(ROWS($U$2:U135),$U$2:$U$1001,0),0), INDEX($AB$1004:$AQ$1004,1,MATCH(COLUMNS($AB$1006:AG1006),$AB$1006:$AQ$1006,0)))),"Fix")))</f>
        <v>0</v>
      </c>
      <c r="H135" s="4">
        <f>IF(OR(INDEX($V$2:$V$1001,MATCH(ROWS($U$2:U135),$U$2:$U$1001,0),1)&gt;=100000,INDEX($AB$1005:$AQ$1005,1,MATCH(COLUMNS($AB$1006:AH1006),$AB$1006:$AQ$1006,0))&gt;=100000), " ",IF(INDEX($AB$2:$AQ$1001,MATCH(ROWS($U$2:U135),$U$2:$U$1001,0),MATCH(COLUMNS($AB$1006:AH1006),$AB$1006:$AQ$1006,0)), HYPERLINK("#",""), HYPERLINK(CONCATENATE("#metadata!", ADDRESS(INDEX($W$2:$W$1001,MATCH(ROWS($U$2:U135),$U$2:$U$1001,0),0), INDEX($AB$1004:$AQ$1004,1,MATCH(COLUMNS($AB$1006:AH1006),$AB$1006:$AQ$1006,0)))),"Fix")))</f>
        <v>0</v>
      </c>
      <c r="I135" s="4">
        <f>IF(OR(INDEX($V$2:$V$1001,MATCH(ROWS($U$2:U135),$U$2:$U$1001,0),1)&gt;=100000,INDEX($AB$1005:$AQ$1005,1,MATCH(COLUMNS($AB$1006:AI1006),$AB$1006:$AQ$1006,0))&gt;=100000), " ",IF(INDEX($AB$2:$AQ$1001,MATCH(ROWS($U$2:U135),$U$2:$U$1001,0),MATCH(COLUMNS($AB$1006:AI1006),$AB$1006:$AQ$1006,0)), HYPERLINK("#",""), HYPERLINK(CONCATENATE("#metadata!", ADDRESS(INDEX($W$2:$W$1001,MATCH(ROWS($U$2:U135),$U$2:$U$1001,0),0), INDEX($AB$1004:$AQ$1004,1,MATCH(COLUMNS($AB$1006:AI1006),$AB$1006:$AQ$1006,0)))),"Fix")))</f>
        <v>0</v>
      </c>
      <c r="J135" s="4">
        <f>IF(OR(INDEX($V$2:$V$1001,MATCH(ROWS($U$2:U135),$U$2:$U$1001,0),1)&gt;=100000,INDEX($AB$1005:$AQ$1005,1,MATCH(COLUMNS($AB$1006:AJ1006),$AB$1006:$AQ$1006,0))&gt;=100000), " ",IF(INDEX($AB$2:$AQ$1001,MATCH(ROWS($U$2:U135),$U$2:$U$1001,0),MATCH(COLUMNS($AB$1006:AJ1006),$AB$1006:$AQ$1006,0)), HYPERLINK("#",""), HYPERLINK(CONCATENATE("#metadata!", ADDRESS(INDEX($W$2:$W$1001,MATCH(ROWS($U$2:U135),$U$2:$U$1001,0),0), INDEX($AB$1004:$AQ$1004,1,MATCH(COLUMNS($AB$1006:AJ1006),$AB$1006:$AQ$1006,0)))),"Fix")))</f>
        <v>0</v>
      </c>
      <c r="K135" s="4">
        <f>IF(OR(INDEX($V$2:$V$1001,MATCH(ROWS($U$2:U135),$U$2:$U$1001,0),1)&gt;=100000,INDEX($AB$1005:$AQ$1005,1,MATCH(COLUMNS($AB$1006:AK1006),$AB$1006:$AQ$1006,0))&gt;=100000), " ",IF(INDEX($AB$2:$AQ$1001,MATCH(ROWS($U$2:U135),$U$2:$U$1001,0),MATCH(COLUMNS($AB$1006:AK1006),$AB$1006:$AQ$1006,0)), HYPERLINK("#",""), HYPERLINK(CONCATENATE("#metadata!", ADDRESS(INDEX($W$2:$W$1001,MATCH(ROWS($U$2:U135),$U$2:$U$1001,0),0), INDEX($AB$1004:$AQ$1004,1,MATCH(COLUMNS($AB$1006:AK1006),$AB$1006:$AQ$1006,0)))),"Fix")))</f>
        <v>0</v>
      </c>
      <c r="L135" s="4">
        <f>IF(OR(INDEX($V$2:$V$1001,MATCH(ROWS($U$2:U135),$U$2:$U$1001,0),1)&gt;=100000,INDEX($AB$1005:$AQ$1005,1,MATCH(COLUMNS($AB$1006:AL1006),$AB$1006:$AQ$1006,0))&gt;=100000), " ",IF(INDEX($AB$2:$AQ$1001,MATCH(ROWS($U$2:U135),$U$2:$U$1001,0),MATCH(COLUMNS($AB$1006:AL1006),$AB$1006:$AQ$1006,0)), HYPERLINK("#",""), HYPERLINK(CONCATENATE("#metadata!", ADDRESS(INDEX($W$2:$W$1001,MATCH(ROWS($U$2:U135),$U$2:$U$1001,0),0), INDEX($AB$1004:$AQ$1004,1,MATCH(COLUMNS($AB$1006:AL1006),$AB$1006:$AQ$1006,0)))),"Fix")))</f>
        <v>0</v>
      </c>
      <c r="M135" s="4">
        <f>IF(OR(INDEX($V$2:$V$1001,MATCH(ROWS($U$2:U135),$U$2:$U$1001,0),1)&gt;=100000,INDEX($AB$1005:$AQ$1005,1,MATCH(COLUMNS($AB$1006:AM1006),$AB$1006:$AQ$1006,0))&gt;=100000), " ",IF(INDEX($AB$2:$AQ$1001,MATCH(ROWS($U$2:U135),$U$2:$U$1001,0),MATCH(COLUMNS($AB$1006:AM1006),$AB$1006:$AQ$1006,0)), HYPERLINK("#",""), HYPERLINK(CONCATENATE("#metadata!", ADDRESS(INDEX($W$2:$W$1001,MATCH(ROWS($U$2:U135),$U$2:$U$1001,0),0), INDEX($AB$1004:$AQ$1004,1,MATCH(COLUMNS($AB$1006:AM1006),$AB$1006:$AQ$1006,0)))),"Fix")))</f>
        <v>0</v>
      </c>
      <c r="N135" s="4">
        <f>IF(OR(INDEX($V$2:$V$1001,MATCH(ROWS($U$2:U135),$U$2:$U$1001,0),1)&gt;=100000,INDEX($AB$1005:$AQ$1005,1,MATCH(COLUMNS($AB$1006:AN1006),$AB$1006:$AQ$1006,0))&gt;=100000), " ",IF(INDEX($AB$2:$AQ$1001,MATCH(ROWS($U$2:U135),$U$2:$U$1001,0),MATCH(COLUMNS($AB$1006:AN1006),$AB$1006:$AQ$1006,0)), HYPERLINK("#",""), HYPERLINK(CONCATENATE("#metadata!", ADDRESS(INDEX($W$2:$W$1001,MATCH(ROWS($U$2:U135),$U$2:$U$1001,0),0), INDEX($AB$1004:$AQ$1004,1,MATCH(COLUMNS($AB$1006:AN1006),$AB$1006:$AQ$1006,0)))),"Fix")))</f>
        <v>0</v>
      </c>
      <c r="O135" s="4">
        <f>IF(OR(INDEX($V$2:$V$1001,MATCH(ROWS($U$2:U135),$U$2:$U$1001,0),1)&gt;=100000,INDEX($AB$1005:$AQ$1005,1,MATCH(COLUMNS($AB$1006:AO1006),$AB$1006:$AQ$1006,0))&gt;=100000), " ",IF(INDEX($AB$2:$AQ$1001,MATCH(ROWS($U$2:U135),$U$2:$U$1001,0),MATCH(COLUMNS($AB$1006:AO1006),$AB$1006:$AQ$1006,0)), HYPERLINK("#",""), HYPERLINK(CONCATENATE("#metadata!", ADDRESS(INDEX($W$2:$W$1001,MATCH(ROWS($U$2:U135),$U$2:$U$1001,0),0), INDEX($AB$1004:$AQ$1004,1,MATCH(COLUMNS($AB$1006:AO1006),$AB$1006:$AQ$1006,0)))),"Fix")))</f>
        <v>0</v>
      </c>
      <c r="P135" s="4">
        <f>IF(OR(INDEX($V$2:$V$1001,MATCH(ROWS($U$2:U135),$U$2:$U$1001,0),1)&gt;=100000,INDEX($AB$1005:$AQ$1005,1,MATCH(COLUMNS($AB$1006:AP1006),$AB$1006:$AQ$1006,0))&gt;=100000), " ",IF(INDEX($AB$2:$AQ$1001,MATCH(ROWS($U$2:U135),$U$2:$U$1001,0),MATCH(COLUMNS($AB$1006:AP1006),$AB$1006:$AQ$1006,0)), HYPERLINK("#",""), HYPERLINK(CONCATENATE("#metadata!", ADDRESS(INDEX($W$2:$W$1001,MATCH(ROWS($U$2:U135),$U$2:$U$1001,0),0), INDEX($AB$1004:$AQ$1004,1,MATCH(COLUMNS($AB$1006:AP1006),$AB$1006:$AQ$1006,0)))),"Fix")))</f>
        <v>0</v>
      </c>
      <c r="Q135" s="4">
        <f>IF(OR(INDEX($V$2:$V$1001,MATCH(ROWS($U$2:U135),$U$2:$U$1001,0),1)&gt;=100000,INDEX($AB$1005:$AQ$1005,1,MATCH(COLUMNS($AB$1006:AQ1006),$AB$1006:$AQ$1006,0))&gt;=100000), " ",IF(INDEX($AB$2:$AQ$1001,MATCH(ROWS($U$2:U135),$U$2:$U$1001,0),MATCH(COLUMNS($AB$1006:AQ1006),$AB$1006:$AQ$1006,0)), HYPERLINK("#",""), HYPERLINK(CONCATENATE("#metadata!", ADDRESS(INDEX($W$2:$W$1001,MATCH(ROWS($U$2:U135),$U$2:$U$1001,0),0), INDEX($AB$1004:$AQ$1004,1,MATCH(COLUMNS($AB$1006:AQ1006),$AB$1006:$AQ$1006,0)))),"Fix")))</f>
        <v>0</v>
      </c>
      <c r="U135">
        <v>0</v>
      </c>
      <c r="V135">
        <v>0</v>
      </c>
      <c r="W135">
        <v>0</v>
      </c>
      <c r="X135">
        <f>IF(Y135,TRUE,AND(AB135:AQ135))</f>
        <v>0</v>
      </c>
      <c r="Y135">
        <f>COUNTBLANK(metadata!B135:Q135)=COLUMNS(metadata!B135:Q135)</f>
        <v>0</v>
      </c>
      <c r="Z135">
        <v>0</v>
      </c>
      <c r="AB135">
        <f>AND(IF(metadata!B135="",FALSE,TRUE),COUNTIF(metadata!B:B, metadata!B135) = 1,NOT(ISERROR(SUMPRODUCT(SEARCH(MID(metadata!B135,ROW(INDIRECT("1:"&amp;LEN(metadata!B135))), 1),"0123456789abcdefghijklmnopqrstuvwxyzABCDEFGHIJKLMNOPQRSTUVWXYZ.")))))</f>
        <v>0</v>
      </c>
      <c r="AC135">
        <f>OR(AND(IF(metadata!C135="",FALSE,TRUE),OR(exact(metadata!C135,"missing: not collected"),exact(metadata!C135,"missing: not provided"),exact(metadata!C135,"missing: restricted access"))),AND(IF(metadata!C135="",FALSE,TRUE),AND(AND(IFERROR(INT(LEFT(metadata!C135,4))&gt;1900,FALSE),IFERROR(INT(LEFT(metadata!C135,4))&lt;=YEAR(NOW()),FALSE)), OR(MID(metadata!C135,5,1)="", AND(AND(MID(metadata!C135,5,1)="-",IFERROR(INT(MID(metadata!C135,6,1))&gt;=0,FALSE),IFERROR(INT(MID(metadata!C135,6,1))&lt;=1,FALSE),NOT(MID(metadata!C135,7,1)=""),IFERROR(INT(MID(metadata!C135,6,2))&gt;=1,FALSE),IFERROR(INT(MID(metadata!C135,6,2))&lt;=12,FALSE)), OR(MID(metadata!C135,8,1)="", AND(AND(MID(metadata!C135,8,1)="-",IFERROR(INT(MID(metadata!C135,9,1))&gt;=0,FALSE),IFERROR(INT(MID(metadata!C135,9,1))&lt;=3,FALSE),NOT(MID(metadata!C135,10,1)=""),IFERROR(INT(MID(metadata!C135,9,2))&gt;=1,FALSE),IFERROR(INT(MID(metadata!C135,9,2))&lt;=31,FALSE)), OR(MID(metadata!C135,11,1)="", AND(AND(MID(metadata!C135,11,1)=" ",IFERROR(INT(MID(metadata!C135,12,1))&gt;=0,FALSE),IFERROR(INT(MID(metadata!C135,12,1))&lt;=2,FALSE),NOT(MID(metadata!C135,13,1)=""),IFERROR(INT(MID(metadata!C135,12,2))&gt;=0,FALSE),IFERROR(INT(MID(metadata!C135,12,2))&lt;=23,FALSE)), OR(MID(metadata!C135,14,1)="", AND(AND(MID(metadata!C135,14,1)=":",IFERROR(INT(MID(metadata!C135,15,1))&gt;=0,FALSE),IFERROR(INT(MID(metadata!C135,15,1))&lt;=5,FALSE),NOT(MID(metadata!C135,16,1)=""),IFERROR(INT(MID(metadata!C135,15,2))&gt;=0,FALSE),IFERROR(INT(MID(metadata!C135,15,2))&lt;=59,FALSE)), OR(MID(metadata!C135,17,1)="", AND(AND(MID(metadata!C135,17,1)=":",IFERROR(INT(MID(metadata!C135,18,1))&gt;=0,FALSE),IFERROR(INT(MID(metadata!C135,18,1))&lt;=5,FALSE),NOT(MID(metadata!C135,19,1)=""),IFERROR(INT(MID(metadata!C135,18,2))&gt;=0,FALSE),IFERROR(INT(MID(metadata!C135,18,2))&lt;=59,FALSE)), LEN(metadata!C135)&lt;=19)))))))))))))</f>
        <v>0</v>
      </c>
      <c r="AD135">
        <f>IF(metadata!D135="",FALSE,TRUE)</f>
        <v>0</v>
      </c>
      <c r="AE135">
        <f>OR(AND(IF(metadata!E135="",FALSE,TRUE),OR(exact(metadata!E135,"missing: not collected"),exact(metadata!E135,"missing: not provided"))),AND(IF(metadata!E135="",FALSE,TRUE),OR(exact(metadata!E135,"TRUE"),exact(metadata!E135,"FALSE"))))</f>
        <v>0</v>
      </c>
      <c r="AF135">
        <f>IF(metadata!F135="",FALSE,TRUE)</f>
        <v>0</v>
      </c>
      <c r="AG135">
        <f>IF(metadata!G135="",FALSE,TRUE)</f>
        <v>0</v>
      </c>
      <c r="AH135">
        <f>IF(metadata!H135="",FALSE,TRUE)</f>
        <v>0</v>
      </c>
      <c r="AI135">
        <f>OR(AND(IF(metadata!I135="",FALSE,TRUE),OR(exact(metadata!I135,"missing: not collected"),exact(metadata!I135,"missing: not provided"),exact(metadata!I135,"missing: restricted access"))),AND(IF(metadata!I135="",FALSE,TRUE),OR(exact(metadata!I135,"air"),exact(metadata!I135,"built environment"),exact(metadata!I135,"host-associated"),exact(metadata!I135,"human-associated"),exact(metadata!I135,"human-skin"),exact(metadata!I135,"human-oral"),exact(metadata!I135,"human-gut"),exact(metadata!I135,"human-vaginal"),exact(metadata!I135,"microbial mat/biofilm"),exact(metadata!I135,"misc environment"),exact(metadata!I135,"plant-associated"),exact(metadata!I135,"sediment"),exact(metadata!I135,"soil"),exact(metadata!I135,"wastewater/sludge"),exact(metadata!I135,"water"))))</f>
        <v>0</v>
      </c>
      <c r="AJ135">
        <f>IF(metadata!J135="",FALSE,TRUE)</f>
        <v>0</v>
      </c>
      <c r="AK135">
        <f>OR(AND(IF(metadata!K135="",FALSE,TRUE),OR(exact(metadata!K135,"missing: not collected"),exact(metadata!K135,"missing: not provided"),exact(metadata!K135,"missing: restricted access"))),AND(IF(metadata!K135="",FALSE,ISNUMBER(VALUE(metadata!K135))),metadata!K135&gt;=-90.00,metadata!K135&lt;=90.00))</f>
        <v>0</v>
      </c>
      <c r="AL135">
        <f>OR(AND(IF(metadata!L135="",FALSE,TRUE),OR(exact(metadata!L135,"missing: not collected"),exact(metadata!L135,"missing: not provided"),exact(metadata!L135,"missing: restricted access"))),AND(IF(metadata!L135="",FALSE,ISNUMBER(VALUE(metadata!L135))),metadata!L135&gt;=-180.00,metadata!L135&lt;=180.00))</f>
        <v>0</v>
      </c>
      <c r="AM135">
        <f>IF(metadata!M135="",FALSE,TRUE)</f>
        <v>0</v>
      </c>
      <c r="AN135">
        <f>OR(AND(IF(metadata!N135="",FALSE,TRUE),OR(exact(metadata!N135,"missing: not collected"),exact(metadata!N135,"missing: not provided"),exact(metadata!N135,"missing: restricted access"))),AND(IF(metadata!N135="",FALSE,TRUE),OR(exact(metadata!N135,"TRUE"),exact(metadata!N135,"FALSE"))))</f>
        <v>0</v>
      </c>
      <c r="AO135">
        <f>IF(metadata!O135="",FALSE,TRUE)</f>
        <v>0</v>
      </c>
      <c r="AP135">
        <f>OR(AND(IF(metadata!P135="",FALSE,TRUE),OR(exact(metadata!P135,"missing: not collected"),exact(metadata!P135,"missing: not provided"))),AND(IF(metadata!P135="",FALSE,IF(ISERROR(INT(metadata!P135)),FALSE,INT(metadata!P135)=metadata!P135)),metadata!P135&gt;0))</f>
        <v>0</v>
      </c>
      <c r="AQ135">
        <f>IF(metadata!Q135="",FALSE,TRUE)</f>
        <v>0</v>
      </c>
    </row>
    <row r="136" spans="1:43">
      <c r="A136" s="5">
        <f>IF(B136=" "," ",HYPERLINK(CONCATENATE("#metadata!",ADDRESS(INDEX($W$2:$W$1001,MATCH(ROWS($U$2:U136),$U$2:$U$1001,0),0),1)),INDEX($Z$2:$Z$1001,MATCH(ROWS($U$2:U136),$U$2:$U$1001,0),0)))</f>
        <v>0</v>
      </c>
      <c r="B136" s="4">
        <f>IF(OR(INDEX($V$2:$V$1001,MATCH(ROWS($U$2:U136),$U$2:$U$1001,0),1)&gt;=100000,INDEX($AB$1005:$AQ$1005,1,MATCH(COLUMNS($AB$1006:AB1006),$AB$1006:$AQ$1006,0))&gt;=100000), " ",IF(INDEX($AB$2:$AQ$1001,MATCH(ROWS($U$2:U136),$U$2:$U$1001,0),MATCH(COLUMNS($AB$1006:AB1006),$AB$1006:$AQ$1006,0)), HYPERLINK("#",""), HYPERLINK(CONCATENATE("#metadata!", ADDRESS(INDEX($W$2:$W$1001,MATCH(ROWS($U$2:U136),$U$2:$U$1001,0),0), INDEX($AB$1004:$AQ$1004,1,MATCH(COLUMNS($AB$1006:AB1006),$AB$1006:$AQ$1006,0)))),"Fix")))</f>
        <v>0</v>
      </c>
      <c r="C136" s="4">
        <f>IF(OR(INDEX($V$2:$V$1001,MATCH(ROWS($U$2:U136),$U$2:$U$1001,0),1)&gt;=100000,INDEX($AB$1005:$AQ$1005,1,MATCH(COLUMNS($AB$1006:AC1006),$AB$1006:$AQ$1006,0))&gt;=100000), " ",IF(INDEX($AB$2:$AQ$1001,MATCH(ROWS($U$2:U136),$U$2:$U$1001,0),MATCH(COLUMNS($AB$1006:AC1006),$AB$1006:$AQ$1006,0)), HYPERLINK("#",""), HYPERLINK(CONCATENATE("#metadata!", ADDRESS(INDEX($W$2:$W$1001,MATCH(ROWS($U$2:U136),$U$2:$U$1001,0),0), INDEX($AB$1004:$AQ$1004,1,MATCH(COLUMNS($AB$1006:AC1006),$AB$1006:$AQ$1006,0)))),"Fix")))</f>
        <v>0</v>
      </c>
      <c r="D136" s="4">
        <f>IF(OR(INDEX($V$2:$V$1001,MATCH(ROWS($U$2:U136),$U$2:$U$1001,0),1)&gt;=100000,INDEX($AB$1005:$AQ$1005,1,MATCH(COLUMNS($AB$1006:AD1006),$AB$1006:$AQ$1006,0))&gt;=100000), " ",IF(INDEX($AB$2:$AQ$1001,MATCH(ROWS($U$2:U136),$U$2:$U$1001,0),MATCH(COLUMNS($AB$1006:AD1006),$AB$1006:$AQ$1006,0)), HYPERLINK("#",""), HYPERLINK(CONCATENATE("#metadata!", ADDRESS(INDEX($W$2:$W$1001,MATCH(ROWS($U$2:U136),$U$2:$U$1001,0),0), INDEX($AB$1004:$AQ$1004,1,MATCH(COLUMNS($AB$1006:AD1006),$AB$1006:$AQ$1006,0)))),"Fix")))</f>
        <v>0</v>
      </c>
      <c r="E136" s="4">
        <f>IF(OR(INDEX($V$2:$V$1001,MATCH(ROWS($U$2:U136),$U$2:$U$1001,0),1)&gt;=100000,INDEX($AB$1005:$AQ$1005,1,MATCH(COLUMNS($AB$1006:AE1006),$AB$1006:$AQ$1006,0))&gt;=100000), " ",IF(INDEX($AB$2:$AQ$1001,MATCH(ROWS($U$2:U136),$U$2:$U$1001,0),MATCH(COLUMNS($AB$1006:AE1006),$AB$1006:$AQ$1006,0)), HYPERLINK("#",""), HYPERLINK(CONCATENATE("#metadata!", ADDRESS(INDEX($W$2:$W$1001,MATCH(ROWS($U$2:U136),$U$2:$U$1001,0),0), INDEX($AB$1004:$AQ$1004,1,MATCH(COLUMNS($AB$1006:AE1006),$AB$1006:$AQ$1006,0)))),"Fix")))</f>
        <v>0</v>
      </c>
      <c r="F136" s="4">
        <f>IF(OR(INDEX($V$2:$V$1001,MATCH(ROWS($U$2:U136),$U$2:$U$1001,0),1)&gt;=100000,INDEX($AB$1005:$AQ$1005,1,MATCH(COLUMNS($AB$1006:AF1006),$AB$1006:$AQ$1006,0))&gt;=100000), " ",IF(INDEX($AB$2:$AQ$1001,MATCH(ROWS($U$2:U136),$U$2:$U$1001,0),MATCH(COLUMNS($AB$1006:AF1006),$AB$1006:$AQ$1006,0)), HYPERLINK("#",""), HYPERLINK(CONCATENATE("#metadata!", ADDRESS(INDEX($W$2:$W$1001,MATCH(ROWS($U$2:U136),$U$2:$U$1001,0),0), INDEX($AB$1004:$AQ$1004,1,MATCH(COLUMNS($AB$1006:AF1006),$AB$1006:$AQ$1006,0)))),"Fix")))</f>
        <v>0</v>
      </c>
      <c r="G136" s="4">
        <f>IF(OR(INDEX($V$2:$V$1001,MATCH(ROWS($U$2:U136),$U$2:$U$1001,0),1)&gt;=100000,INDEX($AB$1005:$AQ$1005,1,MATCH(COLUMNS($AB$1006:AG1006),$AB$1006:$AQ$1006,0))&gt;=100000), " ",IF(INDEX($AB$2:$AQ$1001,MATCH(ROWS($U$2:U136),$U$2:$U$1001,0),MATCH(COLUMNS($AB$1006:AG1006),$AB$1006:$AQ$1006,0)), HYPERLINK("#",""), HYPERLINK(CONCATENATE("#metadata!", ADDRESS(INDEX($W$2:$W$1001,MATCH(ROWS($U$2:U136),$U$2:$U$1001,0),0), INDEX($AB$1004:$AQ$1004,1,MATCH(COLUMNS($AB$1006:AG1006),$AB$1006:$AQ$1006,0)))),"Fix")))</f>
        <v>0</v>
      </c>
      <c r="H136" s="4">
        <f>IF(OR(INDEX($V$2:$V$1001,MATCH(ROWS($U$2:U136),$U$2:$U$1001,0),1)&gt;=100000,INDEX($AB$1005:$AQ$1005,1,MATCH(COLUMNS($AB$1006:AH1006),$AB$1006:$AQ$1006,0))&gt;=100000), " ",IF(INDEX($AB$2:$AQ$1001,MATCH(ROWS($U$2:U136),$U$2:$U$1001,0),MATCH(COLUMNS($AB$1006:AH1006),$AB$1006:$AQ$1006,0)), HYPERLINK("#",""), HYPERLINK(CONCATENATE("#metadata!", ADDRESS(INDEX($W$2:$W$1001,MATCH(ROWS($U$2:U136),$U$2:$U$1001,0),0), INDEX($AB$1004:$AQ$1004,1,MATCH(COLUMNS($AB$1006:AH1006),$AB$1006:$AQ$1006,0)))),"Fix")))</f>
        <v>0</v>
      </c>
      <c r="I136" s="4">
        <f>IF(OR(INDEX($V$2:$V$1001,MATCH(ROWS($U$2:U136),$U$2:$U$1001,0),1)&gt;=100000,INDEX($AB$1005:$AQ$1005,1,MATCH(COLUMNS($AB$1006:AI1006),$AB$1006:$AQ$1006,0))&gt;=100000), " ",IF(INDEX($AB$2:$AQ$1001,MATCH(ROWS($U$2:U136),$U$2:$U$1001,0),MATCH(COLUMNS($AB$1006:AI1006),$AB$1006:$AQ$1006,0)), HYPERLINK("#",""), HYPERLINK(CONCATENATE("#metadata!", ADDRESS(INDEX($W$2:$W$1001,MATCH(ROWS($U$2:U136),$U$2:$U$1001,0),0), INDEX($AB$1004:$AQ$1004,1,MATCH(COLUMNS($AB$1006:AI1006),$AB$1006:$AQ$1006,0)))),"Fix")))</f>
        <v>0</v>
      </c>
      <c r="J136" s="4">
        <f>IF(OR(INDEX($V$2:$V$1001,MATCH(ROWS($U$2:U136),$U$2:$U$1001,0),1)&gt;=100000,INDEX($AB$1005:$AQ$1005,1,MATCH(COLUMNS($AB$1006:AJ1006),$AB$1006:$AQ$1006,0))&gt;=100000), " ",IF(INDEX($AB$2:$AQ$1001,MATCH(ROWS($U$2:U136),$U$2:$U$1001,0),MATCH(COLUMNS($AB$1006:AJ1006),$AB$1006:$AQ$1006,0)), HYPERLINK("#",""), HYPERLINK(CONCATENATE("#metadata!", ADDRESS(INDEX($W$2:$W$1001,MATCH(ROWS($U$2:U136),$U$2:$U$1001,0),0), INDEX($AB$1004:$AQ$1004,1,MATCH(COLUMNS($AB$1006:AJ1006),$AB$1006:$AQ$1006,0)))),"Fix")))</f>
        <v>0</v>
      </c>
      <c r="K136" s="4">
        <f>IF(OR(INDEX($V$2:$V$1001,MATCH(ROWS($U$2:U136),$U$2:$U$1001,0),1)&gt;=100000,INDEX($AB$1005:$AQ$1005,1,MATCH(COLUMNS($AB$1006:AK1006),$AB$1006:$AQ$1006,0))&gt;=100000), " ",IF(INDEX($AB$2:$AQ$1001,MATCH(ROWS($U$2:U136),$U$2:$U$1001,0),MATCH(COLUMNS($AB$1006:AK1006),$AB$1006:$AQ$1006,0)), HYPERLINK("#",""), HYPERLINK(CONCATENATE("#metadata!", ADDRESS(INDEX($W$2:$W$1001,MATCH(ROWS($U$2:U136),$U$2:$U$1001,0),0), INDEX($AB$1004:$AQ$1004,1,MATCH(COLUMNS($AB$1006:AK1006),$AB$1006:$AQ$1006,0)))),"Fix")))</f>
        <v>0</v>
      </c>
      <c r="L136" s="4">
        <f>IF(OR(INDEX($V$2:$V$1001,MATCH(ROWS($U$2:U136),$U$2:$U$1001,0),1)&gt;=100000,INDEX($AB$1005:$AQ$1005,1,MATCH(COLUMNS($AB$1006:AL1006),$AB$1006:$AQ$1006,0))&gt;=100000), " ",IF(INDEX($AB$2:$AQ$1001,MATCH(ROWS($U$2:U136),$U$2:$U$1001,0),MATCH(COLUMNS($AB$1006:AL1006),$AB$1006:$AQ$1006,0)), HYPERLINK("#",""), HYPERLINK(CONCATENATE("#metadata!", ADDRESS(INDEX($W$2:$W$1001,MATCH(ROWS($U$2:U136),$U$2:$U$1001,0),0), INDEX($AB$1004:$AQ$1004,1,MATCH(COLUMNS($AB$1006:AL1006),$AB$1006:$AQ$1006,0)))),"Fix")))</f>
        <v>0</v>
      </c>
      <c r="M136" s="4">
        <f>IF(OR(INDEX($V$2:$V$1001,MATCH(ROWS($U$2:U136),$U$2:$U$1001,0),1)&gt;=100000,INDEX($AB$1005:$AQ$1005,1,MATCH(COLUMNS($AB$1006:AM1006),$AB$1006:$AQ$1006,0))&gt;=100000), " ",IF(INDEX($AB$2:$AQ$1001,MATCH(ROWS($U$2:U136),$U$2:$U$1001,0),MATCH(COLUMNS($AB$1006:AM1006),$AB$1006:$AQ$1006,0)), HYPERLINK("#",""), HYPERLINK(CONCATENATE("#metadata!", ADDRESS(INDEX($W$2:$W$1001,MATCH(ROWS($U$2:U136),$U$2:$U$1001,0),0), INDEX($AB$1004:$AQ$1004,1,MATCH(COLUMNS($AB$1006:AM1006),$AB$1006:$AQ$1006,0)))),"Fix")))</f>
        <v>0</v>
      </c>
      <c r="N136" s="4">
        <f>IF(OR(INDEX($V$2:$V$1001,MATCH(ROWS($U$2:U136),$U$2:$U$1001,0),1)&gt;=100000,INDEX($AB$1005:$AQ$1005,1,MATCH(COLUMNS($AB$1006:AN1006),$AB$1006:$AQ$1006,0))&gt;=100000), " ",IF(INDEX($AB$2:$AQ$1001,MATCH(ROWS($U$2:U136),$U$2:$U$1001,0),MATCH(COLUMNS($AB$1006:AN1006),$AB$1006:$AQ$1006,0)), HYPERLINK("#",""), HYPERLINK(CONCATENATE("#metadata!", ADDRESS(INDEX($W$2:$W$1001,MATCH(ROWS($U$2:U136),$U$2:$U$1001,0),0), INDEX($AB$1004:$AQ$1004,1,MATCH(COLUMNS($AB$1006:AN1006),$AB$1006:$AQ$1006,0)))),"Fix")))</f>
        <v>0</v>
      </c>
      <c r="O136" s="4">
        <f>IF(OR(INDEX($V$2:$V$1001,MATCH(ROWS($U$2:U136),$U$2:$U$1001,0),1)&gt;=100000,INDEX($AB$1005:$AQ$1005,1,MATCH(COLUMNS($AB$1006:AO1006),$AB$1006:$AQ$1006,0))&gt;=100000), " ",IF(INDEX($AB$2:$AQ$1001,MATCH(ROWS($U$2:U136),$U$2:$U$1001,0),MATCH(COLUMNS($AB$1006:AO1006),$AB$1006:$AQ$1006,0)), HYPERLINK("#",""), HYPERLINK(CONCATENATE("#metadata!", ADDRESS(INDEX($W$2:$W$1001,MATCH(ROWS($U$2:U136),$U$2:$U$1001,0),0), INDEX($AB$1004:$AQ$1004,1,MATCH(COLUMNS($AB$1006:AO1006),$AB$1006:$AQ$1006,0)))),"Fix")))</f>
        <v>0</v>
      </c>
      <c r="P136" s="4">
        <f>IF(OR(INDEX($V$2:$V$1001,MATCH(ROWS($U$2:U136),$U$2:$U$1001,0),1)&gt;=100000,INDEX($AB$1005:$AQ$1005,1,MATCH(COLUMNS($AB$1006:AP1006),$AB$1006:$AQ$1006,0))&gt;=100000), " ",IF(INDEX($AB$2:$AQ$1001,MATCH(ROWS($U$2:U136),$U$2:$U$1001,0),MATCH(COLUMNS($AB$1006:AP1006),$AB$1006:$AQ$1006,0)), HYPERLINK("#",""), HYPERLINK(CONCATENATE("#metadata!", ADDRESS(INDEX($W$2:$W$1001,MATCH(ROWS($U$2:U136),$U$2:$U$1001,0),0), INDEX($AB$1004:$AQ$1004,1,MATCH(COLUMNS($AB$1006:AP1006),$AB$1006:$AQ$1006,0)))),"Fix")))</f>
        <v>0</v>
      </c>
      <c r="Q136" s="4">
        <f>IF(OR(INDEX($V$2:$V$1001,MATCH(ROWS($U$2:U136),$U$2:$U$1001,0),1)&gt;=100000,INDEX($AB$1005:$AQ$1005,1,MATCH(COLUMNS($AB$1006:AQ1006),$AB$1006:$AQ$1006,0))&gt;=100000), " ",IF(INDEX($AB$2:$AQ$1001,MATCH(ROWS($U$2:U136),$U$2:$U$1001,0),MATCH(COLUMNS($AB$1006:AQ1006),$AB$1006:$AQ$1006,0)), HYPERLINK("#",""), HYPERLINK(CONCATENATE("#metadata!", ADDRESS(INDEX($W$2:$W$1001,MATCH(ROWS($U$2:U136),$U$2:$U$1001,0),0), INDEX($AB$1004:$AQ$1004,1,MATCH(COLUMNS($AB$1006:AQ1006),$AB$1006:$AQ$1006,0)))),"Fix")))</f>
        <v>0</v>
      </c>
      <c r="U136">
        <v>0</v>
      </c>
      <c r="V136">
        <v>0</v>
      </c>
      <c r="W136">
        <v>0</v>
      </c>
      <c r="X136">
        <f>IF(Y136,TRUE,AND(AB136:AQ136))</f>
        <v>0</v>
      </c>
      <c r="Y136">
        <f>COUNTBLANK(metadata!B136:Q136)=COLUMNS(metadata!B136:Q136)</f>
        <v>0</v>
      </c>
      <c r="Z136">
        <v>0</v>
      </c>
      <c r="AB136">
        <f>AND(IF(metadata!B136="",FALSE,TRUE),COUNTIF(metadata!B:B, metadata!B136) = 1,NOT(ISERROR(SUMPRODUCT(SEARCH(MID(metadata!B136,ROW(INDIRECT("1:"&amp;LEN(metadata!B136))), 1),"0123456789abcdefghijklmnopqrstuvwxyzABCDEFGHIJKLMNOPQRSTUVWXYZ.")))))</f>
        <v>0</v>
      </c>
      <c r="AC136">
        <f>OR(AND(IF(metadata!C136="",FALSE,TRUE),OR(exact(metadata!C136,"missing: not collected"),exact(metadata!C136,"missing: not provided"),exact(metadata!C136,"missing: restricted access"))),AND(IF(metadata!C136="",FALSE,TRUE),AND(AND(IFERROR(INT(LEFT(metadata!C136,4))&gt;1900,FALSE),IFERROR(INT(LEFT(metadata!C136,4))&lt;=YEAR(NOW()),FALSE)), OR(MID(metadata!C136,5,1)="", AND(AND(MID(metadata!C136,5,1)="-",IFERROR(INT(MID(metadata!C136,6,1))&gt;=0,FALSE),IFERROR(INT(MID(metadata!C136,6,1))&lt;=1,FALSE),NOT(MID(metadata!C136,7,1)=""),IFERROR(INT(MID(metadata!C136,6,2))&gt;=1,FALSE),IFERROR(INT(MID(metadata!C136,6,2))&lt;=12,FALSE)), OR(MID(metadata!C136,8,1)="", AND(AND(MID(metadata!C136,8,1)="-",IFERROR(INT(MID(metadata!C136,9,1))&gt;=0,FALSE),IFERROR(INT(MID(metadata!C136,9,1))&lt;=3,FALSE),NOT(MID(metadata!C136,10,1)=""),IFERROR(INT(MID(metadata!C136,9,2))&gt;=1,FALSE),IFERROR(INT(MID(metadata!C136,9,2))&lt;=31,FALSE)), OR(MID(metadata!C136,11,1)="", AND(AND(MID(metadata!C136,11,1)=" ",IFERROR(INT(MID(metadata!C136,12,1))&gt;=0,FALSE),IFERROR(INT(MID(metadata!C136,12,1))&lt;=2,FALSE),NOT(MID(metadata!C136,13,1)=""),IFERROR(INT(MID(metadata!C136,12,2))&gt;=0,FALSE),IFERROR(INT(MID(metadata!C136,12,2))&lt;=23,FALSE)), OR(MID(metadata!C136,14,1)="", AND(AND(MID(metadata!C136,14,1)=":",IFERROR(INT(MID(metadata!C136,15,1))&gt;=0,FALSE),IFERROR(INT(MID(metadata!C136,15,1))&lt;=5,FALSE),NOT(MID(metadata!C136,16,1)=""),IFERROR(INT(MID(metadata!C136,15,2))&gt;=0,FALSE),IFERROR(INT(MID(metadata!C136,15,2))&lt;=59,FALSE)), OR(MID(metadata!C136,17,1)="", AND(AND(MID(metadata!C136,17,1)=":",IFERROR(INT(MID(metadata!C136,18,1))&gt;=0,FALSE),IFERROR(INT(MID(metadata!C136,18,1))&lt;=5,FALSE),NOT(MID(metadata!C136,19,1)=""),IFERROR(INT(MID(metadata!C136,18,2))&gt;=0,FALSE),IFERROR(INT(MID(metadata!C136,18,2))&lt;=59,FALSE)), LEN(metadata!C136)&lt;=19)))))))))))))</f>
        <v>0</v>
      </c>
      <c r="AD136">
        <f>IF(metadata!D136="",FALSE,TRUE)</f>
        <v>0</v>
      </c>
      <c r="AE136">
        <f>OR(AND(IF(metadata!E136="",FALSE,TRUE),OR(exact(metadata!E136,"missing: not collected"),exact(metadata!E136,"missing: not provided"))),AND(IF(metadata!E136="",FALSE,TRUE),OR(exact(metadata!E136,"TRUE"),exact(metadata!E136,"FALSE"))))</f>
        <v>0</v>
      </c>
      <c r="AF136">
        <f>IF(metadata!F136="",FALSE,TRUE)</f>
        <v>0</v>
      </c>
      <c r="AG136">
        <f>IF(metadata!G136="",FALSE,TRUE)</f>
        <v>0</v>
      </c>
      <c r="AH136">
        <f>IF(metadata!H136="",FALSE,TRUE)</f>
        <v>0</v>
      </c>
      <c r="AI136">
        <f>OR(AND(IF(metadata!I136="",FALSE,TRUE),OR(exact(metadata!I136,"missing: not collected"),exact(metadata!I136,"missing: not provided"),exact(metadata!I136,"missing: restricted access"))),AND(IF(metadata!I136="",FALSE,TRUE),OR(exact(metadata!I136,"air"),exact(metadata!I136,"built environment"),exact(metadata!I136,"host-associated"),exact(metadata!I136,"human-associated"),exact(metadata!I136,"human-skin"),exact(metadata!I136,"human-oral"),exact(metadata!I136,"human-gut"),exact(metadata!I136,"human-vaginal"),exact(metadata!I136,"microbial mat/biofilm"),exact(metadata!I136,"misc environment"),exact(metadata!I136,"plant-associated"),exact(metadata!I136,"sediment"),exact(metadata!I136,"soil"),exact(metadata!I136,"wastewater/sludge"),exact(metadata!I136,"water"))))</f>
        <v>0</v>
      </c>
      <c r="AJ136">
        <f>IF(metadata!J136="",FALSE,TRUE)</f>
        <v>0</v>
      </c>
      <c r="AK136">
        <f>OR(AND(IF(metadata!K136="",FALSE,TRUE),OR(exact(metadata!K136,"missing: not collected"),exact(metadata!K136,"missing: not provided"),exact(metadata!K136,"missing: restricted access"))),AND(IF(metadata!K136="",FALSE,ISNUMBER(VALUE(metadata!K136))),metadata!K136&gt;=-90.00,metadata!K136&lt;=90.00))</f>
        <v>0</v>
      </c>
      <c r="AL136">
        <f>OR(AND(IF(metadata!L136="",FALSE,TRUE),OR(exact(metadata!L136,"missing: not collected"),exact(metadata!L136,"missing: not provided"),exact(metadata!L136,"missing: restricted access"))),AND(IF(metadata!L136="",FALSE,ISNUMBER(VALUE(metadata!L136))),metadata!L136&gt;=-180.00,metadata!L136&lt;=180.00))</f>
        <v>0</v>
      </c>
      <c r="AM136">
        <f>IF(metadata!M136="",FALSE,TRUE)</f>
        <v>0</v>
      </c>
      <c r="AN136">
        <f>OR(AND(IF(metadata!N136="",FALSE,TRUE),OR(exact(metadata!N136,"missing: not collected"),exact(metadata!N136,"missing: not provided"),exact(metadata!N136,"missing: restricted access"))),AND(IF(metadata!N136="",FALSE,TRUE),OR(exact(metadata!N136,"TRUE"),exact(metadata!N136,"FALSE"))))</f>
        <v>0</v>
      </c>
      <c r="AO136">
        <f>IF(metadata!O136="",FALSE,TRUE)</f>
        <v>0</v>
      </c>
      <c r="AP136">
        <f>OR(AND(IF(metadata!P136="",FALSE,TRUE),OR(exact(metadata!P136,"missing: not collected"),exact(metadata!P136,"missing: not provided"))),AND(IF(metadata!P136="",FALSE,IF(ISERROR(INT(metadata!P136)),FALSE,INT(metadata!P136)=metadata!P136)),metadata!P136&gt;0))</f>
        <v>0</v>
      </c>
      <c r="AQ136">
        <f>IF(metadata!Q136="",FALSE,TRUE)</f>
        <v>0</v>
      </c>
    </row>
    <row r="137" spans="1:43">
      <c r="A137" s="5">
        <f>IF(B137=" "," ",HYPERLINK(CONCATENATE("#metadata!",ADDRESS(INDEX($W$2:$W$1001,MATCH(ROWS($U$2:U137),$U$2:$U$1001,0),0),1)),INDEX($Z$2:$Z$1001,MATCH(ROWS($U$2:U137),$U$2:$U$1001,0),0)))</f>
        <v>0</v>
      </c>
      <c r="B137" s="4">
        <f>IF(OR(INDEX($V$2:$V$1001,MATCH(ROWS($U$2:U137),$U$2:$U$1001,0),1)&gt;=100000,INDEX($AB$1005:$AQ$1005,1,MATCH(COLUMNS($AB$1006:AB1006),$AB$1006:$AQ$1006,0))&gt;=100000), " ",IF(INDEX($AB$2:$AQ$1001,MATCH(ROWS($U$2:U137),$U$2:$U$1001,0),MATCH(COLUMNS($AB$1006:AB1006),$AB$1006:$AQ$1006,0)), HYPERLINK("#",""), HYPERLINK(CONCATENATE("#metadata!", ADDRESS(INDEX($W$2:$W$1001,MATCH(ROWS($U$2:U137),$U$2:$U$1001,0),0), INDEX($AB$1004:$AQ$1004,1,MATCH(COLUMNS($AB$1006:AB1006),$AB$1006:$AQ$1006,0)))),"Fix")))</f>
        <v>0</v>
      </c>
      <c r="C137" s="4">
        <f>IF(OR(INDEX($V$2:$V$1001,MATCH(ROWS($U$2:U137),$U$2:$U$1001,0),1)&gt;=100000,INDEX($AB$1005:$AQ$1005,1,MATCH(COLUMNS($AB$1006:AC1006),$AB$1006:$AQ$1006,0))&gt;=100000), " ",IF(INDEX($AB$2:$AQ$1001,MATCH(ROWS($U$2:U137),$U$2:$U$1001,0),MATCH(COLUMNS($AB$1006:AC1006),$AB$1006:$AQ$1006,0)), HYPERLINK("#",""), HYPERLINK(CONCATENATE("#metadata!", ADDRESS(INDEX($W$2:$W$1001,MATCH(ROWS($U$2:U137),$U$2:$U$1001,0),0), INDEX($AB$1004:$AQ$1004,1,MATCH(COLUMNS($AB$1006:AC1006),$AB$1006:$AQ$1006,0)))),"Fix")))</f>
        <v>0</v>
      </c>
      <c r="D137" s="4">
        <f>IF(OR(INDEX($V$2:$V$1001,MATCH(ROWS($U$2:U137),$U$2:$U$1001,0),1)&gt;=100000,INDEX($AB$1005:$AQ$1005,1,MATCH(COLUMNS($AB$1006:AD1006),$AB$1006:$AQ$1006,0))&gt;=100000), " ",IF(INDEX($AB$2:$AQ$1001,MATCH(ROWS($U$2:U137),$U$2:$U$1001,0),MATCH(COLUMNS($AB$1006:AD1006),$AB$1006:$AQ$1006,0)), HYPERLINK("#",""), HYPERLINK(CONCATENATE("#metadata!", ADDRESS(INDEX($W$2:$W$1001,MATCH(ROWS($U$2:U137),$U$2:$U$1001,0),0), INDEX($AB$1004:$AQ$1004,1,MATCH(COLUMNS($AB$1006:AD1006),$AB$1006:$AQ$1006,0)))),"Fix")))</f>
        <v>0</v>
      </c>
      <c r="E137" s="4">
        <f>IF(OR(INDEX($V$2:$V$1001,MATCH(ROWS($U$2:U137),$U$2:$U$1001,0),1)&gt;=100000,INDEX($AB$1005:$AQ$1005,1,MATCH(COLUMNS($AB$1006:AE1006),$AB$1006:$AQ$1006,0))&gt;=100000), " ",IF(INDEX($AB$2:$AQ$1001,MATCH(ROWS($U$2:U137),$U$2:$U$1001,0),MATCH(COLUMNS($AB$1006:AE1006),$AB$1006:$AQ$1006,0)), HYPERLINK("#",""), HYPERLINK(CONCATENATE("#metadata!", ADDRESS(INDEX($W$2:$W$1001,MATCH(ROWS($U$2:U137),$U$2:$U$1001,0),0), INDEX($AB$1004:$AQ$1004,1,MATCH(COLUMNS($AB$1006:AE1006),$AB$1006:$AQ$1006,0)))),"Fix")))</f>
        <v>0</v>
      </c>
      <c r="F137" s="4">
        <f>IF(OR(INDEX($V$2:$V$1001,MATCH(ROWS($U$2:U137),$U$2:$U$1001,0),1)&gt;=100000,INDEX($AB$1005:$AQ$1005,1,MATCH(COLUMNS($AB$1006:AF1006),$AB$1006:$AQ$1006,0))&gt;=100000), " ",IF(INDEX($AB$2:$AQ$1001,MATCH(ROWS($U$2:U137),$U$2:$U$1001,0),MATCH(COLUMNS($AB$1006:AF1006),$AB$1006:$AQ$1006,0)), HYPERLINK("#",""), HYPERLINK(CONCATENATE("#metadata!", ADDRESS(INDEX($W$2:$W$1001,MATCH(ROWS($U$2:U137),$U$2:$U$1001,0),0), INDEX($AB$1004:$AQ$1004,1,MATCH(COLUMNS($AB$1006:AF1006),$AB$1006:$AQ$1006,0)))),"Fix")))</f>
        <v>0</v>
      </c>
      <c r="G137" s="4">
        <f>IF(OR(INDEX($V$2:$V$1001,MATCH(ROWS($U$2:U137),$U$2:$U$1001,0),1)&gt;=100000,INDEX($AB$1005:$AQ$1005,1,MATCH(COLUMNS($AB$1006:AG1006),$AB$1006:$AQ$1006,0))&gt;=100000), " ",IF(INDEX($AB$2:$AQ$1001,MATCH(ROWS($U$2:U137),$U$2:$U$1001,0),MATCH(COLUMNS($AB$1006:AG1006),$AB$1006:$AQ$1006,0)), HYPERLINK("#",""), HYPERLINK(CONCATENATE("#metadata!", ADDRESS(INDEX($W$2:$W$1001,MATCH(ROWS($U$2:U137),$U$2:$U$1001,0),0), INDEX($AB$1004:$AQ$1004,1,MATCH(COLUMNS($AB$1006:AG1006),$AB$1006:$AQ$1006,0)))),"Fix")))</f>
        <v>0</v>
      </c>
      <c r="H137" s="4">
        <f>IF(OR(INDEX($V$2:$V$1001,MATCH(ROWS($U$2:U137),$U$2:$U$1001,0),1)&gt;=100000,INDEX($AB$1005:$AQ$1005,1,MATCH(COLUMNS($AB$1006:AH1006),$AB$1006:$AQ$1006,0))&gt;=100000), " ",IF(INDEX($AB$2:$AQ$1001,MATCH(ROWS($U$2:U137),$U$2:$U$1001,0),MATCH(COLUMNS($AB$1006:AH1006),$AB$1006:$AQ$1006,0)), HYPERLINK("#",""), HYPERLINK(CONCATENATE("#metadata!", ADDRESS(INDEX($W$2:$W$1001,MATCH(ROWS($U$2:U137),$U$2:$U$1001,0),0), INDEX($AB$1004:$AQ$1004,1,MATCH(COLUMNS($AB$1006:AH1006),$AB$1006:$AQ$1006,0)))),"Fix")))</f>
        <v>0</v>
      </c>
      <c r="I137" s="4">
        <f>IF(OR(INDEX($V$2:$V$1001,MATCH(ROWS($U$2:U137),$U$2:$U$1001,0),1)&gt;=100000,INDEX($AB$1005:$AQ$1005,1,MATCH(COLUMNS($AB$1006:AI1006),$AB$1006:$AQ$1006,0))&gt;=100000), " ",IF(INDEX($AB$2:$AQ$1001,MATCH(ROWS($U$2:U137),$U$2:$U$1001,0),MATCH(COLUMNS($AB$1006:AI1006),$AB$1006:$AQ$1006,0)), HYPERLINK("#",""), HYPERLINK(CONCATENATE("#metadata!", ADDRESS(INDEX($W$2:$W$1001,MATCH(ROWS($U$2:U137),$U$2:$U$1001,0),0), INDEX($AB$1004:$AQ$1004,1,MATCH(COLUMNS($AB$1006:AI1006),$AB$1006:$AQ$1006,0)))),"Fix")))</f>
        <v>0</v>
      </c>
      <c r="J137" s="4">
        <f>IF(OR(INDEX($V$2:$V$1001,MATCH(ROWS($U$2:U137),$U$2:$U$1001,0),1)&gt;=100000,INDEX($AB$1005:$AQ$1005,1,MATCH(COLUMNS($AB$1006:AJ1006),$AB$1006:$AQ$1006,0))&gt;=100000), " ",IF(INDEX($AB$2:$AQ$1001,MATCH(ROWS($U$2:U137),$U$2:$U$1001,0),MATCH(COLUMNS($AB$1006:AJ1006),$AB$1006:$AQ$1006,0)), HYPERLINK("#",""), HYPERLINK(CONCATENATE("#metadata!", ADDRESS(INDEX($W$2:$W$1001,MATCH(ROWS($U$2:U137),$U$2:$U$1001,0),0), INDEX($AB$1004:$AQ$1004,1,MATCH(COLUMNS($AB$1006:AJ1006),$AB$1006:$AQ$1006,0)))),"Fix")))</f>
        <v>0</v>
      </c>
      <c r="K137" s="4">
        <f>IF(OR(INDEX($V$2:$V$1001,MATCH(ROWS($U$2:U137),$U$2:$U$1001,0),1)&gt;=100000,INDEX($AB$1005:$AQ$1005,1,MATCH(COLUMNS($AB$1006:AK1006),$AB$1006:$AQ$1006,0))&gt;=100000), " ",IF(INDEX($AB$2:$AQ$1001,MATCH(ROWS($U$2:U137),$U$2:$U$1001,0),MATCH(COLUMNS($AB$1006:AK1006),$AB$1006:$AQ$1006,0)), HYPERLINK("#",""), HYPERLINK(CONCATENATE("#metadata!", ADDRESS(INDEX($W$2:$W$1001,MATCH(ROWS($U$2:U137),$U$2:$U$1001,0),0), INDEX($AB$1004:$AQ$1004,1,MATCH(COLUMNS($AB$1006:AK1006),$AB$1006:$AQ$1006,0)))),"Fix")))</f>
        <v>0</v>
      </c>
      <c r="L137" s="4">
        <f>IF(OR(INDEX($V$2:$V$1001,MATCH(ROWS($U$2:U137),$U$2:$U$1001,0),1)&gt;=100000,INDEX($AB$1005:$AQ$1005,1,MATCH(COLUMNS($AB$1006:AL1006),$AB$1006:$AQ$1006,0))&gt;=100000), " ",IF(INDEX($AB$2:$AQ$1001,MATCH(ROWS($U$2:U137),$U$2:$U$1001,0),MATCH(COLUMNS($AB$1006:AL1006),$AB$1006:$AQ$1006,0)), HYPERLINK("#",""), HYPERLINK(CONCATENATE("#metadata!", ADDRESS(INDEX($W$2:$W$1001,MATCH(ROWS($U$2:U137),$U$2:$U$1001,0),0), INDEX($AB$1004:$AQ$1004,1,MATCH(COLUMNS($AB$1006:AL1006),$AB$1006:$AQ$1006,0)))),"Fix")))</f>
        <v>0</v>
      </c>
      <c r="M137" s="4">
        <f>IF(OR(INDEX($V$2:$V$1001,MATCH(ROWS($U$2:U137),$U$2:$U$1001,0),1)&gt;=100000,INDEX($AB$1005:$AQ$1005,1,MATCH(COLUMNS($AB$1006:AM1006),$AB$1006:$AQ$1006,0))&gt;=100000), " ",IF(INDEX($AB$2:$AQ$1001,MATCH(ROWS($U$2:U137),$U$2:$U$1001,0),MATCH(COLUMNS($AB$1006:AM1006),$AB$1006:$AQ$1006,0)), HYPERLINK("#",""), HYPERLINK(CONCATENATE("#metadata!", ADDRESS(INDEX($W$2:$W$1001,MATCH(ROWS($U$2:U137),$U$2:$U$1001,0),0), INDEX($AB$1004:$AQ$1004,1,MATCH(COLUMNS($AB$1006:AM1006),$AB$1006:$AQ$1006,0)))),"Fix")))</f>
        <v>0</v>
      </c>
      <c r="N137" s="4">
        <f>IF(OR(INDEX($V$2:$V$1001,MATCH(ROWS($U$2:U137),$U$2:$U$1001,0),1)&gt;=100000,INDEX($AB$1005:$AQ$1005,1,MATCH(COLUMNS($AB$1006:AN1006),$AB$1006:$AQ$1006,0))&gt;=100000), " ",IF(INDEX($AB$2:$AQ$1001,MATCH(ROWS($U$2:U137),$U$2:$U$1001,0),MATCH(COLUMNS($AB$1006:AN1006),$AB$1006:$AQ$1006,0)), HYPERLINK("#",""), HYPERLINK(CONCATENATE("#metadata!", ADDRESS(INDEX($W$2:$W$1001,MATCH(ROWS($U$2:U137),$U$2:$U$1001,0),0), INDEX($AB$1004:$AQ$1004,1,MATCH(COLUMNS($AB$1006:AN1006),$AB$1006:$AQ$1006,0)))),"Fix")))</f>
        <v>0</v>
      </c>
      <c r="O137" s="4">
        <f>IF(OR(INDEX($V$2:$V$1001,MATCH(ROWS($U$2:U137),$U$2:$U$1001,0),1)&gt;=100000,INDEX($AB$1005:$AQ$1005,1,MATCH(COLUMNS($AB$1006:AO1006),$AB$1006:$AQ$1006,0))&gt;=100000), " ",IF(INDEX($AB$2:$AQ$1001,MATCH(ROWS($U$2:U137),$U$2:$U$1001,0),MATCH(COLUMNS($AB$1006:AO1006),$AB$1006:$AQ$1006,0)), HYPERLINK("#",""), HYPERLINK(CONCATENATE("#metadata!", ADDRESS(INDEX($W$2:$W$1001,MATCH(ROWS($U$2:U137),$U$2:$U$1001,0),0), INDEX($AB$1004:$AQ$1004,1,MATCH(COLUMNS($AB$1006:AO1006),$AB$1006:$AQ$1006,0)))),"Fix")))</f>
        <v>0</v>
      </c>
      <c r="P137" s="4">
        <f>IF(OR(INDEX($V$2:$V$1001,MATCH(ROWS($U$2:U137),$U$2:$U$1001,0),1)&gt;=100000,INDEX($AB$1005:$AQ$1005,1,MATCH(COLUMNS($AB$1006:AP1006),$AB$1006:$AQ$1006,0))&gt;=100000), " ",IF(INDEX($AB$2:$AQ$1001,MATCH(ROWS($U$2:U137),$U$2:$U$1001,0),MATCH(COLUMNS($AB$1006:AP1006),$AB$1006:$AQ$1006,0)), HYPERLINK("#",""), HYPERLINK(CONCATENATE("#metadata!", ADDRESS(INDEX($W$2:$W$1001,MATCH(ROWS($U$2:U137),$U$2:$U$1001,0),0), INDEX($AB$1004:$AQ$1004,1,MATCH(COLUMNS($AB$1006:AP1006),$AB$1006:$AQ$1006,0)))),"Fix")))</f>
        <v>0</v>
      </c>
      <c r="Q137" s="4">
        <f>IF(OR(INDEX($V$2:$V$1001,MATCH(ROWS($U$2:U137),$U$2:$U$1001,0),1)&gt;=100000,INDEX($AB$1005:$AQ$1005,1,MATCH(COLUMNS($AB$1006:AQ1006),$AB$1006:$AQ$1006,0))&gt;=100000), " ",IF(INDEX($AB$2:$AQ$1001,MATCH(ROWS($U$2:U137),$U$2:$U$1001,0),MATCH(COLUMNS($AB$1006:AQ1006),$AB$1006:$AQ$1006,0)), HYPERLINK("#",""), HYPERLINK(CONCATENATE("#metadata!", ADDRESS(INDEX($W$2:$W$1001,MATCH(ROWS($U$2:U137),$U$2:$U$1001,0),0), INDEX($AB$1004:$AQ$1004,1,MATCH(COLUMNS($AB$1006:AQ1006),$AB$1006:$AQ$1006,0)))),"Fix")))</f>
        <v>0</v>
      </c>
      <c r="U137">
        <v>0</v>
      </c>
      <c r="V137">
        <v>0</v>
      </c>
      <c r="W137">
        <v>0</v>
      </c>
      <c r="X137">
        <f>IF(Y137,TRUE,AND(AB137:AQ137))</f>
        <v>0</v>
      </c>
      <c r="Y137">
        <f>COUNTBLANK(metadata!B137:Q137)=COLUMNS(metadata!B137:Q137)</f>
        <v>0</v>
      </c>
      <c r="Z137">
        <v>0</v>
      </c>
      <c r="AB137">
        <f>AND(IF(metadata!B137="",FALSE,TRUE),COUNTIF(metadata!B:B, metadata!B137) = 1,NOT(ISERROR(SUMPRODUCT(SEARCH(MID(metadata!B137,ROW(INDIRECT("1:"&amp;LEN(metadata!B137))), 1),"0123456789abcdefghijklmnopqrstuvwxyzABCDEFGHIJKLMNOPQRSTUVWXYZ.")))))</f>
        <v>0</v>
      </c>
      <c r="AC137">
        <f>OR(AND(IF(metadata!C137="",FALSE,TRUE),OR(exact(metadata!C137,"missing: not collected"),exact(metadata!C137,"missing: not provided"),exact(metadata!C137,"missing: restricted access"))),AND(IF(metadata!C137="",FALSE,TRUE),AND(AND(IFERROR(INT(LEFT(metadata!C137,4))&gt;1900,FALSE),IFERROR(INT(LEFT(metadata!C137,4))&lt;=YEAR(NOW()),FALSE)), OR(MID(metadata!C137,5,1)="", AND(AND(MID(metadata!C137,5,1)="-",IFERROR(INT(MID(metadata!C137,6,1))&gt;=0,FALSE),IFERROR(INT(MID(metadata!C137,6,1))&lt;=1,FALSE),NOT(MID(metadata!C137,7,1)=""),IFERROR(INT(MID(metadata!C137,6,2))&gt;=1,FALSE),IFERROR(INT(MID(metadata!C137,6,2))&lt;=12,FALSE)), OR(MID(metadata!C137,8,1)="", AND(AND(MID(metadata!C137,8,1)="-",IFERROR(INT(MID(metadata!C137,9,1))&gt;=0,FALSE),IFERROR(INT(MID(metadata!C137,9,1))&lt;=3,FALSE),NOT(MID(metadata!C137,10,1)=""),IFERROR(INT(MID(metadata!C137,9,2))&gt;=1,FALSE),IFERROR(INT(MID(metadata!C137,9,2))&lt;=31,FALSE)), OR(MID(metadata!C137,11,1)="", AND(AND(MID(metadata!C137,11,1)=" ",IFERROR(INT(MID(metadata!C137,12,1))&gt;=0,FALSE),IFERROR(INT(MID(metadata!C137,12,1))&lt;=2,FALSE),NOT(MID(metadata!C137,13,1)=""),IFERROR(INT(MID(metadata!C137,12,2))&gt;=0,FALSE),IFERROR(INT(MID(metadata!C137,12,2))&lt;=23,FALSE)), OR(MID(metadata!C137,14,1)="", AND(AND(MID(metadata!C137,14,1)=":",IFERROR(INT(MID(metadata!C137,15,1))&gt;=0,FALSE),IFERROR(INT(MID(metadata!C137,15,1))&lt;=5,FALSE),NOT(MID(metadata!C137,16,1)=""),IFERROR(INT(MID(metadata!C137,15,2))&gt;=0,FALSE),IFERROR(INT(MID(metadata!C137,15,2))&lt;=59,FALSE)), OR(MID(metadata!C137,17,1)="", AND(AND(MID(metadata!C137,17,1)=":",IFERROR(INT(MID(metadata!C137,18,1))&gt;=0,FALSE),IFERROR(INT(MID(metadata!C137,18,1))&lt;=5,FALSE),NOT(MID(metadata!C137,19,1)=""),IFERROR(INT(MID(metadata!C137,18,2))&gt;=0,FALSE),IFERROR(INT(MID(metadata!C137,18,2))&lt;=59,FALSE)), LEN(metadata!C137)&lt;=19)))))))))))))</f>
        <v>0</v>
      </c>
      <c r="AD137">
        <f>IF(metadata!D137="",FALSE,TRUE)</f>
        <v>0</v>
      </c>
      <c r="AE137">
        <f>OR(AND(IF(metadata!E137="",FALSE,TRUE),OR(exact(metadata!E137,"missing: not collected"),exact(metadata!E137,"missing: not provided"))),AND(IF(metadata!E137="",FALSE,TRUE),OR(exact(metadata!E137,"TRUE"),exact(metadata!E137,"FALSE"))))</f>
        <v>0</v>
      </c>
      <c r="AF137">
        <f>IF(metadata!F137="",FALSE,TRUE)</f>
        <v>0</v>
      </c>
      <c r="AG137">
        <f>IF(metadata!G137="",FALSE,TRUE)</f>
        <v>0</v>
      </c>
      <c r="AH137">
        <f>IF(metadata!H137="",FALSE,TRUE)</f>
        <v>0</v>
      </c>
      <c r="AI137">
        <f>OR(AND(IF(metadata!I137="",FALSE,TRUE),OR(exact(metadata!I137,"missing: not collected"),exact(metadata!I137,"missing: not provided"),exact(metadata!I137,"missing: restricted access"))),AND(IF(metadata!I137="",FALSE,TRUE),OR(exact(metadata!I137,"air"),exact(metadata!I137,"built environment"),exact(metadata!I137,"host-associated"),exact(metadata!I137,"human-associated"),exact(metadata!I137,"human-skin"),exact(metadata!I137,"human-oral"),exact(metadata!I137,"human-gut"),exact(metadata!I137,"human-vaginal"),exact(metadata!I137,"microbial mat/biofilm"),exact(metadata!I137,"misc environment"),exact(metadata!I137,"plant-associated"),exact(metadata!I137,"sediment"),exact(metadata!I137,"soil"),exact(metadata!I137,"wastewater/sludge"),exact(metadata!I137,"water"))))</f>
        <v>0</v>
      </c>
      <c r="AJ137">
        <f>IF(metadata!J137="",FALSE,TRUE)</f>
        <v>0</v>
      </c>
      <c r="AK137">
        <f>OR(AND(IF(metadata!K137="",FALSE,TRUE),OR(exact(metadata!K137,"missing: not collected"),exact(metadata!K137,"missing: not provided"),exact(metadata!K137,"missing: restricted access"))),AND(IF(metadata!K137="",FALSE,ISNUMBER(VALUE(metadata!K137))),metadata!K137&gt;=-90.00,metadata!K137&lt;=90.00))</f>
        <v>0</v>
      </c>
      <c r="AL137">
        <f>OR(AND(IF(metadata!L137="",FALSE,TRUE),OR(exact(metadata!L137,"missing: not collected"),exact(metadata!L137,"missing: not provided"),exact(metadata!L137,"missing: restricted access"))),AND(IF(metadata!L137="",FALSE,ISNUMBER(VALUE(metadata!L137))),metadata!L137&gt;=-180.00,metadata!L137&lt;=180.00))</f>
        <v>0</v>
      </c>
      <c r="AM137">
        <f>IF(metadata!M137="",FALSE,TRUE)</f>
        <v>0</v>
      </c>
      <c r="AN137">
        <f>OR(AND(IF(metadata!N137="",FALSE,TRUE),OR(exact(metadata!N137,"missing: not collected"),exact(metadata!N137,"missing: not provided"),exact(metadata!N137,"missing: restricted access"))),AND(IF(metadata!N137="",FALSE,TRUE),OR(exact(metadata!N137,"TRUE"),exact(metadata!N137,"FALSE"))))</f>
        <v>0</v>
      </c>
      <c r="AO137">
        <f>IF(metadata!O137="",FALSE,TRUE)</f>
        <v>0</v>
      </c>
      <c r="AP137">
        <f>OR(AND(IF(metadata!P137="",FALSE,TRUE),OR(exact(metadata!P137,"missing: not collected"),exact(metadata!P137,"missing: not provided"))),AND(IF(metadata!P137="",FALSE,IF(ISERROR(INT(metadata!P137)),FALSE,INT(metadata!P137)=metadata!P137)),metadata!P137&gt;0))</f>
        <v>0</v>
      </c>
      <c r="AQ137">
        <f>IF(metadata!Q137="",FALSE,TRUE)</f>
        <v>0</v>
      </c>
    </row>
    <row r="138" spans="1:43">
      <c r="A138" s="5">
        <f>IF(B138=" "," ",HYPERLINK(CONCATENATE("#metadata!",ADDRESS(INDEX($W$2:$W$1001,MATCH(ROWS($U$2:U138),$U$2:$U$1001,0),0),1)),INDEX($Z$2:$Z$1001,MATCH(ROWS($U$2:U138),$U$2:$U$1001,0),0)))</f>
        <v>0</v>
      </c>
      <c r="B138" s="4">
        <f>IF(OR(INDEX($V$2:$V$1001,MATCH(ROWS($U$2:U138),$U$2:$U$1001,0),1)&gt;=100000,INDEX($AB$1005:$AQ$1005,1,MATCH(COLUMNS($AB$1006:AB1006),$AB$1006:$AQ$1006,0))&gt;=100000), " ",IF(INDEX($AB$2:$AQ$1001,MATCH(ROWS($U$2:U138),$U$2:$U$1001,0),MATCH(COLUMNS($AB$1006:AB1006),$AB$1006:$AQ$1006,0)), HYPERLINK("#",""), HYPERLINK(CONCATENATE("#metadata!", ADDRESS(INDEX($W$2:$W$1001,MATCH(ROWS($U$2:U138),$U$2:$U$1001,0),0), INDEX($AB$1004:$AQ$1004,1,MATCH(COLUMNS($AB$1006:AB1006),$AB$1006:$AQ$1006,0)))),"Fix")))</f>
        <v>0</v>
      </c>
      <c r="C138" s="4">
        <f>IF(OR(INDEX($V$2:$V$1001,MATCH(ROWS($U$2:U138),$U$2:$U$1001,0),1)&gt;=100000,INDEX($AB$1005:$AQ$1005,1,MATCH(COLUMNS($AB$1006:AC1006),$AB$1006:$AQ$1006,0))&gt;=100000), " ",IF(INDEX($AB$2:$AQ$1001,MATCH(ROWS($U$2:U138),$U$2:$U$1001,0),MATCH(COLUMNS($AB$1006:AC1006),$AB$1006:$AQ$1006,0)), HYPERLINK("#",""), HYPERLINK(CONCATENATE("#metadata!", ADDRESS(INDEX($W$2:$W$1001,MATCH(ROWS($U$2:U138),$U$2:$U$1001,0),0), INDEX($AB$1004:$AQ$1004,1,MATCH(COLUMNS($AB$1006:AC1006),$AB$1006:$AQ$1006,0)))),"Fix")))</f>
        <v>0</v>
      </c>
      <c r="D138" s="4">
        <f>IF(OR(INDEX($V$2:$V$1001,MATCH(ROWS($U$2:U138),$U$2:$U$1001,0),1)&gt;=100000,INDEX($AB$1005:$AQ$1005,1,MATCH(COLUMNS($AB$1006:AD1006),$AB$1006:$AQ$1006,0))&gt;=100000), " ",IF(INDEX($AB$2:$AQ$1001,MATCH(ROWS($U$2:U138),$U$2:$U$1001,0),MATCH(COLUMNS($AB$1006:AD1006),$AB$1006:$AQ$1006,0)), HYPERLINK("#",""), HYPERLINK(CONCATENATE("#metadata!", ADDRESS(INDEX($W$2:$W$1001,MATCH(ROWS($U$2:U138),$U$2:$U$1001,0),0), INDEX($AB$1004:$AQ$1004,1,MATCH(COLUMNS($AB$1006:AD1006),$AB$1006:$AQ$1006,0)))),"Fix")))</f>
        <v>0</v>
      </c>
      <c r="E138" s="4">
        <f>IF(OR(INDEX($V$2:$V$1001,MATCH(ROWS($U$2:U138),$U$2:$U$1001,0),1)&gt;=100000,INDEX($AB$1005:$AQ$1005,1,MATCH(COLUMNS($AB$1006:AE1006),$AB$1006:$AQ$1006,0))&gt;=100000), " ",IF(INDEX($AB$2:$AQ$1001,MATCH(ROWS($U$2:U138),$U$2:$U$1001,0),MATCH(COLUMNS($AB$1006:AE1006),$AB$1006:$AQ$1006,0)), HYPERLINK("#",""), HYPERLINK(CONCATENATE("#metadata!", ADDRESS(INDEX($W$2:$W$1001,MATCH(ROWS($U$2:U138),$U$2:$U$1001,0),0), INDEX($AB$1004:$AQ$1004,1,MATCH(COLUMNS($AB$1006:AE1006),$AB$1006:$AQ$1006,0)))),"Fix")))</f>
        <v>0</v>
      </c>
      <c r="F138" s="4">
        <f>IF(OR(INDEX($V$2:$V$1001,MATCH(ROWS($U$2:U138),$U$2:$U$1001,0),1)&gt;=100000,INDEX($AB$1005:$AQ$1005,1,MATCH(COLUMNS($AB$1006:AF1006),$AB$1006:$AQ$1006,0))&gt;=100000), " ",IF(INDEX($AB$2:$AQ$1001,MATCH(ROWS($U$2:U138),$U$2:$U$1001,0),MATCH(COLUMNS($AB$1006:AF1006),$AB$1006:$AQ$1006,0)), HYPERLINK("#",""), HYPERLINK(CONCATENATE("#metadata!", ADDRESS(INDEX($W$2:$W$1001,MATCH(ROWS($U$2:U138),$U$2:$U$1001,0),0), INDEX($AB$1004:$AQ$1004,1,MATCH(COLUMNS($AB$1006:AF1006),$AB$1006:$AQ$1006,0)))),"Fix")))</f>
        <v>0</v>
      </c>
      <c r="G138" s="4">
        <f>IF(OR(INDEX($V$2:$V$1001,MATCH(ROWS($U$2:U138),$U$2:$U$1001,0),1)&gt;=100000,INDEX($AB$1005:$AQ$1005,1,MATCH(COLUMNS($AB$1006:AG1006),$AB$1006:$AQ$1006,0))&gt;=100000), " ",IF(INDEX($AB$2:$AQ$1001,MATCH(ROWS($U$2:U138),$U$2:$U$1001,0),MATCH(COLUMNS($AB$1006:AG1006),$AB$1006:$AQ$1006,0)), HYPERLINK("#",""), HYPERLINK(CONCATENATE("#metadata!", ADDRESS(INDEX($W$2:$W$1001,MATCH(ROWS($U$2:U138),$U$2:$U$1001,0),0), INDEX($AB$1004:$AQ$1004,1,MATCH(COLUMNS($AB$1006:AG1006),$AB$1006:$AQ$1006,0)))),"Fix")))</f>
        <v>0</v>
      </c>
      <c r="H138" s="4">
        <f>IF(OR(INDEX($V$2:$V$1001,MATCH(ROWS($U$2:U138),$U$2:$U$1001,0),1)&gt;=100000,INDEX($AB$1005:$AQ$1005,1,MATCH(COLUMNS($AB$1006:AH1006),$AB$1006:$AQ$1006,0))&gt;=100000), " ",IF(INDEX($AB$2:$AQ$1001,MATCH(ROWS($U$2:U138),$U$2:$U$1001,0),MATCH(COLUMNS($AB$1006:AH1006),$AB$1006:$AQ$1006,0)), HYPERLINK("#",""), HYPERLINK(CONCATENATE("#metadata!", ADDRESS(INDEX($W$2:$W$1001,MATCH(ROWS($U$2:U138),$U$2:$U$1001,0),0), INDEX($AB$1004:$AQ$1004,1,MATCH(COLUMNS($AB$1006:AH1006),$AB$1006:$AQ$1006,0)))),"Fix")))</f>
        <v>0</v>
      </c>
      <c r="I138" s="4">
        <f>IF(OR(INDEX($V$2:$V$1001,MATCH(ROWS($U$2:U138),$U$2:$U$1001,0),1)&gt;=100000,INDEX($AB$1005:$AQ$1005,1,MATCH(COLUMNS($AB$1006:AI1006),$AB$1006:$AQ$1006,0))&gt;=100000), " ",IF(INDEX($AB$2:$AQ$1001,MATCH(ROWS($U$2:U138),$U$2:$U$1001,0),MATCH(COLUMNS($AB$1006:AI1006),$AB$1006:$AQ$1006,0)), HYPERLINK("#",""), HYPERLINK(CONCATENATE("#metadata!", ADDRESS(INDEX($W$2:$W$1001,MATCH(ROWS($U$2:U138),$U$2:$U$1001,0),0), INDEX($AB$1004:$AQ$1004,1,MATCH(COLUMNS($AB$1006:AI1006),$AB$1006:$AQ$1006,0)))),"Fix")))</f>
        <v>0</v>
      </c>
      <c r="J138" s="4">
        <f>IF(OR(INDEX($V$2:$V$1001,MATCH(ROWS($U$2:U138),$U$2:$U$1001,0),1)&gt;=100000,INDEX($AB$1005:$AQ$1005,1,MATCH(COLUMNS($AB$1006:AJ1006),$AB$1006:$AQ$1006,0))&gt;=100000), " ",IF(INDEX($AB$2:$AQ$1001,MATCH(ROWS($U$2:U138),$U$2:$U$1001,0),MATCH(COLUMNS($AB$1006:AJ1006),$AB$1006:$AQ$1006,0)), HYPERLINK("#",""), HYPERLINK(CONCATENATE("#metadata!", ADDRESS(INDEX($W$2:$W$1001,MATCH(ROWS($U$2:U138),$U$2:$U$1001,0),0), INDEX($AB$1004:$AQ$1004,1,MATCH(COLUMNS($AB$1006:AJ1006),$AB$1006:$AQ$1006,0)))),"Fix")))</f>
        <v>0</v>
      </c>
      <c r="K138" s="4">
        <f>IF(OR(INDEX($V$2:$V$1001,MATCH(ROWS($U$2:U138),$U$2:$U$1001,0),1)&gt;=100000,INDEX($AB$1005:$AQ$1005,1,MATCH(COLUMNS($AB$1006:AK1006),$AB$1006:$AQ$1006,0))&gt;=100000), " ",IF(INDEX($AB$2:$AQ$1001,MATCH(ROWS($U$2:U138),$U$2:$U$1001,0),MATCH(COLUMNS($AB$1006:AK1006),$AB$1006:$AQ$1006,0)), HYPERLINK("#",""), HYPERLINK(CONCATENATE("#metadata!", ADDRESS(INDEX($W$2:$W$1001,MATCH(ROWS($U$2:U138),$U$2:$U$1001,0),0), INDEX($AB$1004:$AQ$1004,1,MATCH(COLUMNS($AB$1006:AK1006),$AB$1006:$AQ$1006,0)))),"Fix")))</f>
        <v>0</v>
      </c>
      <c r="L138" s="4">
        <f>IF(OR(INDEX($V$2:$V$1001,MATCH(ROWS($U$2:U138),$U$2:$U$1001,0),1)&gt;=100000,INDEX($AB$1005:$AQ$1005,1,MATCH(COLUMNS($AB$1006:AL1006),$AB$1006:$AQ$1006,0))&gt;=100000), " ",IF(INDEX($AB$2:$AQ$1001,MATCH(ROWS($U$2:U138),$U$2:$U$1001,0),MATCH(COLUMNS($AB$1006:AL1006),$AB$1006:$AQ$1006,0)), HYPERLINK("#",""), HYPERLINK(CONCATENATE("#metadata!", ADDRESS(INDEX($W$2:$W$1001,MATCH(ROWS($U$2:U138),$U$2:$U$1001,0),0), INDEX($AB$1004:$AQ$1004,1,MATCH(COLUMNS($AB$1006:AL1006),$AB$1006:$AQ$1006,0)))),"Fix")))</f>
        <v>0</v>
      </c>
      <c r="M138" s="4">
        <f>IF(OR(INDEX($V$2:$V$1001,MATCH(ROWS($U$2:U138),$U$2:$U$1001,0),1)&gt;=100000,INDEX($AB$1005:$AQ$1005,1,MATCH(COLUMNS($AB$1006:AM1006),$AB$1006:$AQ$1006,0))&gt;=100000), " ",IF(INDEX($AB$2:$AQ$1001,MATCH(ROWS($U$2:U138),$U$2:$U$1001,0),MATCH(COLUMNS($AB$1006:AM1006),$AB$1006:$AQ$1006,0)), HYPERLINK("#",""), HYPERLINK(CONCATENATE("#metadata!", ADDRESS(INDEX($W$2:$W$1001,MATCH(ROWS($U$2:U138),$U$2:$U$1001,0),0), INDEX($AB$1004:$AQ$1004,1,MATCH(COLUMNS($AB$1006:AM1006),$AB$1006:$AQ$1006,0)))),"Fix")))</f>
        <v>0</v>
      </c>
      <c r="N138" s="4">
        <f>IF(OR(INDEX($V$2:$V$1001,MATCH(ROWS($U$2:U138),$U$2:$U$1001,0),1)&gt;=100000,INDEX($AB$1005:$AQ$1005,1,MATCH(COLUMNS($AB$1006:AN1006),$AB$1006:$AQ$1006,0))&gt;=100000), " ",IF(INDEX($AB$2:$AQ$1001,MATCH(ROWS($U$2:U138),$U$2:$U$1001,0),MATCH(COLUMNS($AB$1006:AN1006),$AB$1006:$AQ$1006,0)), HYPERLINK("#",""), HYPERLINK(CONCATENATE("#metadata!", ADDRESS(INDEX($W$2:$W$1001,MATCH(ROWS($U$2:U138),$U$2:$U$1001,0),0), INDEX($AB$1004:$AQ$1004,1,MATCH(COLUMNS($AB$1006:AN1006),$AB$1006:$AQ$1006,0)))),"Fix")))</f>
        <v>0</v>
      </c>
      <c r="O138" s="4">
        <f>IF(OR(INDEX($V$2:$V$1001,MATCH(ROWS($U$2:U138),$U$2:$U$1001,0),1)&gt;=100000,INDEX($AB$1005:$AQ$1005,1,MATCH(COLUMNS($AB$1006:AO1006),$AB$1006:$AQ$1006,0))&gt;=100000), " ",IF(INDEX($AB$2:$AQ$1001,MATCH(ROWS($U$2:U138),$U$2:$U$1001,0),MATCH(COLUMNS($AB$1006:AO1006),$AB$1006:$AQ$1006,0)), HYPERLINK("#",""), HYPERLINK(CONCATENATE("#metadata!", ADDRESS(INDEX($W$2:$W$1001,MATCH(ROWS($U$2:U138),$U$2:$U$1001,0),0), INDEX($AB$1004:$AQ$1004,1,MATCH(COLUMNS($AB$1006:AO1006),$AB$1006:$AQ$1006,0)))),"Fix")))</f>
        <v>0</v>
      </c>
      <c r="P138" s="4">
        <f>IF(OR(INDEX($V$2:$V$1001,MATCH(ROWS($U$2:U138),$U$2:$U$1001,0),1)&gt;=100000,INDEX($AB$1005:$AQ$1005,1,MATCH(COLUMNS($AB$1006:AP1006),$AB$1006:$AQ$1006,0))&gt;=100000), " ",IF(INDEX($AB$2:$AQ$1001,MATCH(ROWS($U$2:U138),$U$2:$U$1001,0),MATCH(COLUMNS($AB$1006:AP1006),$AB$1006:$AQ$1006,0)), HYPERLINK("#",""), HYPERLINK(CONCATENATE("#metadata!", ADDRESS(INDEX($W$2:$W$1001,MATCH(ROWS($U$2:U138),$U$2:$U$1001,0),0), INDEX($AB$1004:$AQ$1004,1,MATCH(COLUMNS($AB$1006:AP1006),$AB$1006:$AQ$1006,0)))),"Fix")))</f>
        <v>0</v>
      </c>
      <c r="Q138" s="4">
        <f>IF(OR(INDEX($V$2:$V$1001,MATCH(ROWS($U$2:U138),$U$2:$U$1001,0),1)&gt;=100000,INDEX($AB$1005:$AQ$1005,1,MATCH(COLUMNS($AB$1006:AQ1006),$AB$1006:$AQ$1006,0))&gt;=100000), " ",IF(INDEX($AB$2:$AQ$1001,MATCH(ROWS($U$2:U138),$U$2:$U$1001,0),MATCH(COLUMNS($AB$1006:AQ1006),$AB$1006:$AQ$1006,0)), HYPERLINK("#",""), HYPERLINK(CONCATENATE("#metadata!", ADDRESS(INDEX($W$2:$W$1001,MATCH(ROWS($U$2:U138),$U$2:$U$1001,0),0), INDEX($AB$1004:$AQ$1004,1,MATCH(COLUMNS($AB$1006:AQ1006),$AB$1006:$AQ$1006,0)))),"Fix")))</f>
        <v>0</v>
      </c>
      <c r="U138">
        <v>0</v>
      </c>
      <c r="V138">
        <v>0</v>
      </c>
      <c r="W138">
        <v>0</v>
      </c>
      <c r="X138">
        <f>IF(Y138,TRUE,AND(AB138:AQ138))</f>
        <v>0</v>
      </c>
      <c r="Y138">
        <f>COUNTBLANK(metadata!B138:Q138)=COLUMNS(metadata!B138:Q138)</f>
        <v>0</v>
      </c>
      <c r="Z138">
        <v>0</v>
      </c>
      <c r="AB138">
        <f>AND(IF(metadata!B138="",FALSE,TRUE),COUNTIF(metadata!B:B, metadata!B138) = 1,NOT(ISERROR(SUMPRODUCT(SEARCH(MID(metadata!B138,ROW(INDIRECT("1:"&amp;LEN(metadata!B138))), 1),"0123456789abcdefghijklmnopqrstuvwxyzABCDEFGHIJKLMNOPQRSTUVWXYZ.")))))</f>
        <v>0</v>
      </c>
      <c r="AC138">
        <f>OR(AND(IF(metadata!C138="",FALSE,TRUE),OR(exact(metadata!C138,"missing: not collected"),exact(metadata!C138,"missing: not provided"),exact(metadata!C138,"missing: restricted access"))),AND(IF(metadata!C138="",FALSE,TRUE),AND(AND(IFERROR(INT(LEFT(metadata!C138,4))&gt;1900,FALSE),IFERROR(INT(LEFT(metadata!C138,4))&lt;=YEAR(NOW()),FALSE)), OR(MID(metadata!C138,5,1)="", AND(AND(MID(metadata!C138,5,1)="-",IFERROR(INT(MID(metadata!C138,6,1))&gt;=0,FALSE),IFERROR(INT(MID(metadata!C138,6,1))&lt;=1,FALSE),NOT(MID(metadata!C138,7,1)=""),IFERROR(INT(MID(metadata!C138,6,2))&gt;=1,FALSE),IFERROR(INT(MID(metadata!C138,6,2))&lt;=12,FALSE)), OR(MID(metadata!C138,8,1)="", AND(AND(MID(metadata!C138,8,1)="-",IFERROR(INT(MID(metadata!C138,9,1))&gt;=0,FALSE),IFERROR(INT(MID(metadata!C138,9,1))&lt;=3,FALSE),NOT(MID(metadata!C138,10,1)=""),IFERROR(INT(MID(metadata!C138,9,2))&gt;=1,FALSE),IFERROR(INT(MID(metadata!C138,9,2))&lt;=31,FALSE)), OR(MID(metadata!C138,11,1)="", AND(AND(MID(metadata!C138,11,1)=" ",IFERROR(INT(MID(metadata!C138,12,1))&gt;=0,FALSE),IFERROR(INT(MID(metadata!C138,12,1))&lt;=2,FALSE),NOT(MID(metadata!C138,13,1)=""),IFERROR(INT(MID(metadata!C138,12,2))&gt;=0,FALSE),IFERROR(INT(MID(metadata!C138,12,2))&lt;=23,FALSE)), OR(MID(metadata!C138,14,1)="", AND(AND(MID(metadata!C138,14,1)=":",IFERROR(INT(MID(metadata!C138,15,1))&gt;=0,FALSE),IFERROR(INT(MID(metadata!C138,15,1))&lt;=5,FALSE),NOT(MID(metadata!C138,16,1)=""),IFERROR(INT(MID(metadata!C138,15,2))&gt;=0,FALSE),IFERROR(INT(MID(metadata!C138,15,2))&lt;=59,FALSE)), OR(MID(metadata!C138,17,1)="", AND(AND(MID(metadata!C138,17,1)=":",IFERROR(INT(MID(metadata!C138,18,1))&gt;=0,FALSE),IFERROR(INT(MID(metadata!C138,18,1))&lt;=5,FALSE),NOT(MID(metadata!C138,19,1)=""),IFERROR(INT(MID(metadata!C138,18,2))&gt;=0,FALSE),IFERROR(INT(MID(metadata!C138,18,2))&lt;=59,FALSE)), LEN(metadata!C138)&lt;=19)))))))))))))</f>
        <v>0</v>
      </c>
      <c r="AD138">
        <f>IF(metadata!D138="",FALSE,TRUE)</f>
        <v>0</v>
      </c>
      <c r="AE138">
        <f>OR(AND(IF(metadata!E138="",FALSE,TRUE),OR(exact(metadata!E138,"missing: not collected"),exact(metadata!E138,"missing: not provided"))),AND(IF(metadata!E138="",FALSE,TRUE),OR(exact(metadata!E138,"TRUE"),exact(metadata!E138,"FALSE"))))</f>
        <v>0</v>
      </c>
      <c r="AF138">
        <f>IF(metadata!F138="",FALSE,TRUE)</f>
        <v>0</v>
      </c>
      <c r="AG138">
        <f>IF(metadata!G138="",FALSE,TRUE)</f>
        <v>0</v>
      </c>
      <c r="AH138">
        <f>IF(metadata!H138="",FALSE,TRUE)</f>
        <v>0</v>
      </c>
      <c r="AI138">
        <f>OR(AND(IF(metadata!I138="",FALSE,TRUE),OR(exact(metadata!I138,"missing: not collected"),exact(metadata!I138,"missing: not provided"),exact(metadata!I138,"missing: restricted access"))),AND(IF(metadata!I138="",FALSE,TRUE),OR(exact(metadata!I138,"air"),exact(metadata!I138,"built environment"),exact(metadata!I138,"host-associated"),exact(metadata!I138,"human-associated"),exact(metadata!I138,"human-skin"),exact(metadata!I138,"human-oral"),exact(metadata!I138,"human-gut"),exact(metadata!I138,"human-vaginal"),exact(metadata!I138,"microbial mat/biofilm"),exact(metadata!I138,"misc environment"),exact(metadata!I138,"plant-associated"),exact(metadata!I138,"sediment"),exact(metadata!I138,"soil"),exact(metadata!I138,"wastewater/sludge"),exact(metadata!I138,"water"))))</f>
        <v>0</v>
      </c>
      <c r="AJ138">
        <f>IF(metadata!J138="",FALSE,TRUE)</f>
        <v>0</v>
      </c>
      <c r="AK138">
        <f>OR(AND(IF(metadata!K138="",FALSE,TRUE),OR(exact(metadata!K138,"missing: not collected"),exact(metadata!K138,"missing: not provided"),exact(metadata!K138,"missing: restricted access"))),AND(IF(metadata!K138="",FALSE,ISNUMBER(VALUE(metadata!K138))),metadata!K138&gt;=-90.00,metadata!K138&lt;=90.00))</f>
        <v>0</v>
      </c>
      <c r="AL138">
        <f>OR(AND(IF(metadata!L138="",FALSE,TRUE),OR(exact(metadata!L138,"missing: not collected"),exact(metadata!L138,"missing: not provided"),exact(metadata!L138,"missing: restricted access"))),AND(IF(metadata!L138="",FALSE,ISNUMBER(VALUE(metadata!L138))),metadata!L138&gt;=-180.00,metadata!L138&lt;=180.00))</f>
        <v>0</v>
      </c>
      <c r="AM138">
        <f>IF(metadata!M138="",FALSE,TRUE)</f>
        <v>0</v>
      </c>
      <c r="AN138">
        <f>OR(AND(IF(metadata!N138="",FALSE,TRUE),OR(exact(metadata!N138,"missing: not collected"),exact(metadata!N138,"missing: not provided"),exact(metadata!N138,"missing: restricted access"))),AND(IF(metadata!N138="",FALSE,TRUE),OR(exact(metadata!N138,"TRUE"),exact(metadata!N138,"FALSE"))))</f>
        <v>0</v>
      </c>
      <c r="AO138">
        <f>IF(metadata!O138="",FALSE,TRUE)</f>
        <v>0</v>
      </c>
      <c r="AP138">
        <f>OR(AND(IF(metadata!P138="",FALSE,TRUE),OR(exact(metadata!P138,"missing: not collected"),exact(metadata!P138,"missing: not provided"))),AND(IF(metadata!P138="",FALSE,IF(ISERROR(INT(metadata!P138)),FALSE,INT(metadata!P138)=metadata!P138)),metadata!P138&gt;0))</f>
        <v>0</v>
      </c>
      <c r="AQ138">
        <f>IF(metadata!Q138="",FALSE,TRUE)</f>
        <v>0</v>
      </c>
    </row>
    <row r="139" spans="1:43">
      <c r="A139" s="5">
        <f>IF(B139=" "," ",HYPERLINK(CONCATENATE("#metadata!",ADDRESS(INDEX($W$2:$W$1001,MATCH(ROWS($U$2:U139),$U$2:$U$1001,0),0),1)),INDEX($Z$2:$Z$1001,MATCH(ROWS($U$2:U139),$U$2:$U$1001,0),0)))</f>
        <v>0</v>
      </c>
      <c r="B139" s="4">
        <f>IF(OR(INDEX($V$2:$V$1001,MATCH(ROWS($U$2:U139),$U$2:$U$1001,0),1)&gt;=100000,INDEX($AB$1005:$AQ$1005,1,MATCH(COLUMNS($AB$1006:AB1006),$AB$1006:$AQ$1006,0))&gt;=100000), " ",IF(INDEX($AB$2:$AQ$1001,MATCH(ROWS($U$2:U139),$U$2:$U$1001,0),MATCH(COLUMNS($AB$1006:AB1006),$AB$1006:$AQ$1006,0)), HYPERLINK("#",""), HYPERLINK(CONCATENATE("#metadata!", ADDRESS(INDEX($W$2:$W$1001,MATCH(ROWS($U$2:U139),$U$2:$U$1001,0),0), INDEX($AB$1004:$AQ$1004,1,MATCH(COLUMNS($AB$1006:AB1006),$AB$1006:$AQ$1006,0)))),"Fix")))</f>
        <v>0</v>
      </c>
      <c r="C139" s="4">
        <f>IF(OR(INDEX($V$2:$V$1001,MATCH(ROWS($U$2:U139),$U$2:$U$1001,0),1)&gt;=100000,INDEX($AB$1005:$AQ$1005,1,MATCH(COLUMNS($AB$1006:AC1006),$AB$1006:$AQ$1006,0))&gt;=100000), " ",IF(INDEX($AB$2:$AQ$1001,MATCH(ROWS($U$2:U139),$U$2:$U$1001,0),MATCH(COLUMNS($AB$1006:AC1006),$AB$1006:$AQ$1006,0)), HYPERLINK("#",""), HYPERLINK(CONCATENATE("#metadata!", ADDRESS(INDEX($W$2:$W$1001,MATCH(ROWS($U$2:U139),$U$2:$U$1001,0),0), INDEX($AB$1004:$AQ$1004,1,MATCH(COLUMNS($AB$1006:AC1006),$AB$1006:$AQ$1006,0)))),"Fix")))</f>
        <v>0</v>
      </c>
      <c r="D139" s="4">
        <f>IF(OR(INDEX($V$2:$V$1001,MATCH(ROWS($U$2:U139),$U$2:$U$1001,0),1)&gt;=100000,INDEX($AB$1005:$AQ$1005,1,MATCH(COLUMNS($AB$1006:AD1006),$AB$1006:$AQ$1006,0))&gt;=100000), " ",IF(INDEX($AB$2:$AQ$1001,MATCH(ROWS($U$2:U139),$U$2:$U$1001,0),MATCH(COLUMNS($AB$1006:AD1006),$AB$1006:$AQ$1006,0)), HYPERLINK("#",""), HYPERLINK(CONCATENATE("#metadata!", ADDRESS(INDEX($W$2:$W$1001,MATCH(ROWS($U$2:U139),$U$2:$U$1001,0),0), INDEX($AB$1004:$AQ$1004,1,MATCH(COLUMNS($AB$1006:AD1006),$AB$1006:$AQ$1006,0)))),"Fix")))</f>
        <v>0</v>
      </c>
      <c r="E139" s="4">
        <f>IF(OR(INDEX($V$2:$V$1001,MATCH(ROWS($U$2:U139),$U$2:$U$1001,0),1)&gt;=100000,INDEX($AB$1005:$AQ$1005,1,MATCH(COLUMNS($AB$1006:AE1006),$AB$1006:$AQ$1006,0))&gt;=100000), " ",IF(INDEX($AB$2:$AQ$1001,MATCH(ROWS($U$2:U139),$U$2:$U$1001,0),MATCH(COLUMNS($AB$1006:AE1006),$AB$1006:$AQ$1006,0)), HYPERLINK("#",""), HYPERLINK(CONCATENATE("#metadata!", ADDRESS(INDEX($W$2:$W$1001,MATCH(ROWS($U$2:U139),$U$2:$U$1001,0),0), INDEX($AB$1004:$AQ$1004,1,MATCH(COLUMNS($AB$1006:AE1006),$AB$1006:$AQ$1006,0)))),"Fix")))</f>
        <v>0</v>
      </c>
      <c r="F139" s="4">
        <f>IF(OR(INDEX($V$2:$V$1001,MATCH(ROWS($U$2:U139),$U$2:$U$1001,0),1)&gt;=100000,INDEX($AB$1005:$AQ$1005,1,MATCH(COLUMNS($AB$1006:AF1006),$AB$1006:$AQ$1006,0))&gt;=100000), " ",IF(INDEX($AB$2:$AQ$1001,MATCH(ROWS($U$2:U139),$U$2:$U$1001,0),MATCH(COLUMNS($AB$1006:AF1006),$AB$1006:$AQ$1006,0)), HYPERLINK("#",""), HYPERLINK(CONCATENATE("#metadata!", ADDRESS(INDEX($W$2:$W$1001,MATCH(ROWS($U$2:U139),$U$2:$U$1001,0),0), INDEX($AB$1004:$AQ$1004,1,MATCH(COLUMNS($AB$1006:AF1006),$AB$1006:$AQ$1006,0)))),"Fix")))</f>
        <v>0</v>
      </c>
      <c r="G139" s="4">
        <f>IF(OR(INDEX($V$2:$V$1001,MATCH(ROWS($U$2:U139),$U$2:$U$1001,0),1)&gt;=100000,INDEX($AB$1005:$AQ$1005,1,MATCH(COLUMNS($AB$1006:AG1006),$AB$1006:$AQ$1006,0))&gt;=100000), " ",IF(INDEX($AB$2:$AQ$1001,MATCH(ROWS($U$2:U139),$U$2:$U$1001,0),MATCH(COLUMNS($AB$1006:AG1006),$AB$1006:$AQ$1006,0)), HYPERLINK("#",""), HYPERLINK(CONCATENATE("#metadata!", ADDRESS(INDEX($W$2:$W$1001,MATCH(ROWS($U$2:U139),$U$2:$U$1001,0),0), INDEX($AB$1004:$AQ$1004,1,MATCH(COLUMNS($AB$1006:AG1006),$AB$1006:$AQ$1006,0)))),"Fix")))</f>
        <v>0</v>
      </c>
      <c r="H139" s="4">
        <f>IF(OR(INDEX($V$2:$V$1001,MATCH(ROWS($U$2:U139),$U$2:$U$1001,0),1)&gt;=100000,INDEX($AB$1005:$AQ$1005,1,MATCH(COLUMNS($AB$1006:AH1006),$AB$1006:$AQ$1006,0))&gt;=100000), " ",IF(INDEX($AB$2:$AQ$1001,MATCH(ROWS($U$2:U139),$U$2:$U$1001,0),MATCH(COLUMNS($AB$1006:AH1006),$AB$1006:$AQ$1006,0)), HYPERLINK("#",""), HYPERLINK(CONCATENATE("#metadata!", ADDRESS(INDEX($W$2:$W$1001,MATCH(ROWS($U$2:U139),$U$2:$U$1001,0),0), INDEX($AB$1004:$AQ$1004,1,MATCH(COLUMNS($AB$1006:AH1006),$AB$1006:$AQ$1006,0)))),"Fix")))</f>
        <v>0</v>
      </c>
      <c r="I139" s="4">
        <f>IF(OR(INDEX($V$2:$V$1001,MATCH(ROWS($U$2:U139),$U$2:$U$1001,0),1)&gt;=100000,INDEX($AB$1005:$AQ$1005,1,MATCH(COLUMNS($AB$1006:AI1006),$AB$1006:$AQ$1006,0))&gt;=100000), " ",IF(INDEX($AB$2:$AQ$1001,MATCH(ROWS($U$2:U139),$U$2:$U$1001,0),MATCH(COLUMNS($AB$1006:AI1006),$AB$1006:$AQ$1006,0)), HYPERLINK("#",""), HYPERLINK(CONCATENATE("#metadata!", ADDRESS(INDEX($W$2:$W$1001,MATCH(ROWS($U$2:U139),$U$2:$U$1001,0),0), INDEX($AB$1004:$AQ$1004,1,MATCH(COLUMNS($AB$1006:AI1006),$AB$1006:$AQ$1006,0)))),"Fix")))</f>
        <v>0</v>
      </c>
      <c r="J139" s="4">
        <f>IF(OR(INDEX($V$2:$V$1001,MATCH(ROWS($U$2:U139),$U$2:$U$1001,0),1)&gt;=100000,INDEX($AB$1005:$AQ$1005,1,MATCH(COLUMNS($AB$1006:AJ1006),$AB$1006:$AQ$1006,0))&gt;=100000), " ",IF(INDEX($AB$2:$AQ$1001,MATCH(ROWS($U$2:U139),$U$2:$U$1001,0),MATCH(COLUMNS($AB$1006:AJ1006),$AB$1006:$AQ$1006,0)), HYPERLINK("#",""), HYPERLINK(CONCATENATE("#metadata!", ADDRESS(INDEX($W$2:$W$1001,MATCH(ROWS($U$2:U139),$U$2:$U$1001,0),0), INDEX($AB$1004:$AQ$1004,1,MATCH(COLUMNS($AB$1006:AJ1006),$AB$1006:$AQ$1006,0)))),"Fix")))</f>
        <v>0</v>
      </c>
      <c r="K139" s="4">
        <f>IF(OR(INDEX($V$2:$V$1001,MATCH(ROWS($U$2:U139),$U$2:$U$1001,0),1)&gt;=100000,INDEX($AB$1005:$AQ$1005,1,MATCH(COLUMNS($AB$1006:AK1006),$AB$1006:$AQ$1006,0))&gt;=100000), " ",IF(INDEX($AB$2:$AQ$1001,MATCH(ROWS($U$2:U139),$U$2:$U$1001,0),MATCH(COLUMNS($AB$1006:AK1006),$AB$1006:$AQ$1006,0)), HYPERLINK("#",""), HYPERLINK(CONCATENATE("#metadata!", ADDRESS(INDEX($W$2:$W$1001,MATCH(ROWS($U$2:U139),$U$2:$U$1001,0),0), INDEX($AB$1004:$AQ$1004,1,MATCH(COLUMNS($AB$1006:AK1006),$AB$1006:$AQ$1006,0)))),"Fix")))</f>
        <v>0</v>
      </c>
      <c r="L139" s="4">
        <f>IF(OR(INDEX($V$2:$V$1001,MATCH(ROWS($U$2:U139),$U$2:$U$1001,0),1)&gt;=100000,INDEX($AB$1005:$AQ$1005,1,MATCH(COLUMNS($AB$1006:AL1006),$AB$1006:$AQ$1006,0))&gt;=100000), " ",IF(INDEX($AB$2:$AQ$1001,MATCH(ROWS($U$2:U139),$U$2:$U$1001,0),MATCH(COLUMNS($AB$1006:AL1006),$AB$1006:$AQ$1006,0)), HYPERLINK("#",""), HYPERLINK(CONCATENATE("#metadata!", ADDRESS(INDEX($W$2:$W$1001,MATCH(ROWS($U$2:U139),$U$2:$U$1001,0),0), INDEX($AB$1004:$AQ$1004,1,MATCH(COLUMNS($AB$1006:AL1006),$AB$1006:$AQ$1006,0)))),"Fix")))</f>
        <v>0</v>
      </c>
      <c r="M139" s="4">
        <f>IF(OR(INDEX($V$2:$V$1001,MATCH(ROWS($U$2:U139),$U$2:$U$1001,0),1)&gt;=100000,INDEX($AB$1005:$AQ$1005,1,MATCH(COLUMNS($AB$1006:AM1006),$AB$1006:$AQ$1006,0))&gt;=100000), " ",IF(INDEX($AB$2:$AQ$1001,MATCH(ROWS($U$2:U139),$U$2:$U$1001,0),MATCH(COLUMNS($AB$1006:AM1006),$AB$1006:$AQ$1006,0)), HYPERLINK("#",""), HYPERLINK(CONCATENATE("#metadata!", ADDRESS(INDEX($W$2:$W$1001,MATCH(ROWS($U$2:U139),$U$2:$U$1001,0),0), INDEX($AB$1004:$AQ$1004,1,MATCH(COLUMNS($AB$1006:AM1006),$AB$1006:$AQ$1006,0)))),"Fix")))</f>
        <v>0</v>
      </c>
      <c r="N139" s="4">
        <f>IF(OR(INDEX($V$2:$V$1001,MATCH(ROWS($U$2:U139),$U$2:$U$1001,0),1)&gt;=100000,INDEX($AB$1005:$AQ$1005,1,MATCH(COLUMNS($AB$1006:AN1006),$AB$1006:$AQ$1006,0))&gt;=100000), " ",IF(INDEX($AB$2:$AQ$1001,MATCH(ROWS($U$2:U139),$U$2:$U$1001,0),MATCH(COLUMNS($AB$1006:AN1006),$AB$1006:$AQ$1006,0)), HYPERLINK("#",""), HYPERLINK(CONCATENATE("#metadata!", ADDRESS(INDEX($W$2:$W$1001,MATCH(ROWS($U$2:U139),$U$2:$U$1001,0),0), INDEX($AB$1004:$AQ$1004,1,MATCH(COLUMNS($AB$1006:AN1006),$AB$1006:$AQ$1006,0)))),"Fix")))</f>
        <v>0</v>
      </c>
      <c r="O139" s="4">
        <f>IF(OR(INDEX($V$2:$V$1001,MATCH(ROWS($U$2:U139),$U$2:$U$1001,0),1)&gt;=100000,INDEX($AB$1005:$AQ$1005,1,MATCH(COLUMNS($AB$1006:AO1006),$AB$1006:$AQ$1006,0))&gt;=100000), " ",IF(INDEX($AB$2:$AQ$1001,MATCH(ROWS($U$2:U139),$U$2:$U$1001,0),MATCH(COLUMNS($AB$1006:AO1006),$AB$1006:$AQ$1006,0)), HYPERLINK("#",""), HYPERLINK(CONCATENATE("#metadata!", ADDRESS(INDEX($W$2:$W$1001,MATCH(ROWS($U$2:U139),$U$2:$U$1001,0),0), INDEX($AB$1004:$AQ$1004,1,MATCH(COLUMNS($AB$1006:AO1006),$AB$1006:$AQ$1006,0)))),"Fix")))</f>
        <v>0</v>
      </c>
      <c r="P139" s="4">
        <f>IF(OR(INDEX($V$2:$V$1001,MATCH(ROWS($U$2:U139),$U$2:$U$1001,0),1)&gt;=100000,INDEX($AB$1005:$AQ$1005,1,MATCH(COLUMNS($AB$1006:AP1006),$AB$1006:$AQ$1006,0))&gt;=100000), " ",IF(INDEX($AB$2:$AQ$1001,MATCH(ROWS($U$2:U139),$U$2:$U$1001,0),MATCH(COLUMNS($AB$1006:AP1006),$AB$1006:$AQ$1006,0)), HYPERLINK("#",""), HYPERLINK(CONCATENATE("#metadata!", ADDRESS(INDEX($W$2:$W$1001,MATCH(ROWS($U$2:U139),$U$2:$U$1001,0),0), INDEX($AB$1004:$AQ$1004,1,MATCH(COLUMNS($AB$1006:AP1006),$AB$1006:$AQ$1006,0)))),"Fix")))</f>
        <v>0</v>
      </c>
      <c r="Q139" s="4">
        <f>IF(OR(INDEX($V$2:$V$1001,MATCH(ROWS($U$2:U139),$U$2:$U$1001,0),1)&gt;=100000,INDEX($AB$1005:$AQ$1005,1,MATCH(COLUMNS($AB$1006:AQ1006),$AB$1006:$AQ$1006,0))&gt;=100000), " ",IF(INDEX($AB$2:$AQ$1001,MATCH(ROWS($U$2:U139),$U$2:$U$1001,0),MATCH(COLUMNS($AB$1006:AQ1006),$AB$1006:$AQ$1006,0)), HYPERLINK("#",""), HYPERLINK(CONCATENATE("#metadata!", ADDRESS(INDEX($W$2:$W$1001,MATCH(ROWS($U$2:U139),$U$2:$U$1001,0),0), INDEX($AB$1004:$AQ$1004,1,MATCH(COLUMNS($AB$1006:AQ1006),$AB$1006:$AQ$1006,0)))),"Fix")))</f>
        <v>0</v>
      </c>
      <c r="U139">
        <v>0</v>
      </c>
      <c r="V139">
        <v>0</v>
      </c>
      <c r="W139">
        <v>0</v>
      </c>
      <c r="X139">
        <f>IF(Y139,TRUE,AND(AB139:AQ139))</f>
        <v>0</v>
      </c>
      <c r="Y139">
        <f>COUNTBLANK(metadata!B139:Q139)=COLUMNS(metadata!B139:Q139)</f>
        <v>0</v>
      </c>
      <c r="Z139">
        <v>0</v>
      </c>
      <c r="AB139">
        <f>AND(IF(metadata!B139="",FALSE,TRUE),COUNTIF(metadata!B:B, metadata!B139) = 1,NOT(ISERROR(SUMPRODUCT(SEARCH(MID(metadata!B139,ROW(INDIRECT("1:"&amp;LEN(metadata!B139))), 1),"0123456789abcdefghijklmnopqrstuvwxyzABCDEFGHIJKLMNOPQRSTUVWXYZ.")))))</f>
        <v>0</v>
      </c>
      <c r="AC139">
        <f>OR(AND(IF(metadata!C139="",FALSE,TRUE),OR(exact(metadata!C139,"missing: not collected"),exact(metadata!C139,"missing: not provided"),exact(metadata!C139,"missing: restricted access"))),AND(IF(metadata!C139="",FALSE,TRUE),AND(AND(IFERROR(INT(LEFT(metadata!C139,4))&gt;1900,FALSE),IFERROR(INT(LEFT(metadata!C139,4))&lt;=YEAR(NOW()),FALSE)), OR(MID(metadata!C139,5,1)="", AND(AND(MID(metadata!C139,5,1)="-",IFERROR(INT(MID(metadata!C139,6,1))&gt;=0,FALSE),IFERROR(INT(MID(metadata!C139,6,1))&lt;=1,FALSE),NOT(MID(metadata!C139,7,1)=""),IFERROR(INT(MID(metadata!C139,6,2))&gt;=1,FALSE),IFERROR(INT(MID(metadata!C139,6,2))&lt;=12,FALSE)), OR(MID(metadata!C139,8,1)="", AND(AND(MID(metadata!C139,8,1)="-",IFERROR(INT(MID(metadata!C139,9,1))&gt;=0,FALSE),IFERROR(INT(MID(metadata!C139,9,1))&lt;=3,FALSE),NOT(MID(metadata!C139,10,1)=""),IFERROR(INT(MID(metadata!C139,9,2))&gt;=1,FALSE),IFERROR(INT(MID(metadata!C139,9,2))&lt;=31,FALSE)), OR(MID(metadata!C139,11,1)="", AND(AND(MID(metadata!C139,11,1)=" ",IFERROR(INT(MID(metadata!C139,12,1))&gt;=0,FALSE),IFERROR(INT(MID(metadata!C139,12,1))&lt;=2,FALSE),NOT(MID(metadata!C139,13,1)=""),IFERROR(INT(MID(metadata!C139,12,2))&gt;=0,FALSE),IFERROR(INT(MID(metadata!C139,12,2))&lt;=23,FALSE)), OR(MID(metadata!C139,14,1)="", AND(AND(MID(metadata!C139,14,1)=":",IFERROR(INT(MID(metadata!C139,15,1))&gt;=0,FALSE),IFERROR(INT(MID(metadata!C139,15,1))&lt;=5,FALSE),NOT(MID(metadata!C139,16,1)=""),IFERROR(INT(MID(metadata!C139,15,2))&gt;=0,FALSE),IFERROR(INT(MID(metadata!C139,15,2))&lt;=59,FALSE)), OR(MID(metadata!C139,17,1)="", AND(AND(MID(metadata!C139,17,1)=":",IFERROR(INT(MID(metadata!C139,18,1))&gt;=0,FALSE),IFERROR(INT(MID(metadata!C139,18,1))&lt;=5,FALSE),NOT(MID(metadata!C139,19,1)=""),IFERROR(INT(MID(metadata!C139,18,2))&gt;=0,FALSE),IFERROR(INT(MID(metadata!C139,18,2))&lt;=59,FALSE)), LEN(metadata!C139)&lt;=19)))))))))))))</f>
        <v>0</v>
      </c>
      <c r="AD139">
        <f>IF(metadata!D139="",FALSE,TRUE)</f>
        <v>0</v>
      </c>
      <c r="AE139">
        <f>OR(AND(IF(metadata!E139="",FALSE,TRUE),OR(exact(metadata!E139,"missing: not collected"),exact(metadata!E139,"missing: not provided"))),AND(IF(metadata!E139="",FALSE,TRUE),OR(exact(metadata!E139,"TRUE"),exact(metadata!E139,"FALSE"))))</f>
        <v>0</v>
      </c>
      <c r="AF139">
        <f>IF(metadata!F139="",FALSE,TRUE)</f>
        <v>0</v>
      </c>
      <c r="AG139">
        <f>IF(metadata!G139="",FALSE,TRUE)</f>
        <v>0</v>
      </c>
      <c r="AH139">
        <f>IF(metadata!H139="",FALSE,TRUE)</f>
        <v>0</v>
      </c>
      <c r="AI139">
        <f>OR(AND(IF(metadata!I139="",FALSE,TRUE),OR(exact(metadata!I139,"missing: not collected"),exact(metadata!I139,"missing: not provided"),exact(metadata!I139,"missing: restricted access"))),AND(IF(metadata!I139="",FALSE,TRUE),OR(exact(metadata!I139,"air"),exact(metadata!I139,"built environment"),exact(metadata!I139,"host-associated"),exact(metadata!I139,"human-associated"),exact(metadata!I139,"human-skin"),exact(metadata!I139,"human-oral"),exact(metadata!I139,"human-gut"),exact(metadata!I139,"human-vaginal"),exact(metadata!I139,"microbial mat/biofilm"),exact(metadata!I139,"misc environment"),exact(metadata!I139,"plant-associated"),exact(metadata!I139,"sediment"),exact(metadata!I139,"soil"),exact(metadata!I139,"wastewater/sludge"),exact(metadata!I139,"water"))))</f>
        <v>0</v>
      </c>
      <c r="AJ139">
        <f>IF(metadata!J139="",FALSE,TRUE)</f>
        <v>0</v>
      </c>
      <c r="AK139">
        <f>OR(AND(IF(metadata!K139="",FALSE,TRUE),OR(exact(metadata!K139,"missing: not collected"),exact(metadata!K139,"missing: not provided"),exact(metadata!K139,"missing: restricted access"))),AND(IF(metadata!K139="",FALSE,ISNUMBER(VALUE(metadata!K139))),metadata!K139&gt;=-90.00,metadata!K139&lt;=90.00))</f>
        <v>0</v>
      </c>
      <c r="AL139">
        <f>OR(AND(IF(metadata!L139="",FALSE,TRUE),OR(exact(metadata!L139,"missing: not collected"),exact(metadata!L139,"missing: not provided"),exact(metadata!L139,"missing: restricted access"))),AND(IF(metadata!L139="",FALSE,ISNUMBER(VALUE(metadata!L139))),metadata!L139&gt;=-180.00,metadata!L139&lt;=180.00))</f>
        <v>0</v>
      </c>
      <c r="AM139">
        <f>IF(metadata!M139="",FALSE,TRUE)</f>
        <v>0</v>
      </c>
      <c r="AN139">
        <f>OR(AND(IF(metadata!N139="",FALSE,TRUE),OR(exact(metadata!N139,"missing: not collected"),exact(metadata!N139,"missing: not provided"),exact(metadata!N139,"missing: restricted access"))),AND(IF(metadata!N139="",FALSE,TRUE),OR(exact(metadata!N139,"TRUE"),exact(metadata!N139,"FALSE"))))</f>
        <v>0</v>
      </c>
      <c r="AO139">
        <f>IF(metadata!O139="",FALSE,TRUE)</f>
        <v>0</v>
      </c>
      <c r="AP139">
        <f>OR(AND(IF(metadata!P139="",FALSE,TRUE),OR(exact(metadata!P139,"missing: not collected"),exact(metadata!P139,"missing: not provided"))),AND(IF(metadata!P139="",FALSE,IF(ISERROR(INT(metadata!P139)),FALSE,INT(metadata!P139)=metadata!P139)),metadata!P139&gt;0))</f>
        <v>0</v>
      </c>
      <c r="AQ139">
        <f>IF(metadata!Q139="",FALSE,TRUE)</f>
        <v>0</v>
      </c>
    </row>
    <row r="140" spans="1:43">
      <c r="A140" s="5">
        <f>IF(B140=" "," ",HYPERLINK(CONCATENATE("#metadata!",ADDRESS(INDEX($W$2:$W$1001,MATCH(ROWS($U$2:U140),$U$2:$U$1001,0),0),1)),INDEX($Z$2:$Z$1001,MATCH(ROWS($U$2:U140),$U$2:$U$1001,0),0)))</f>
        <v>0</v>
      </c>
      <c r="B140" s="4">
        <f>IF(OR(INDEX($V$2:$V$1001,MATCH(ROWS($U$2:U140),$U$2:$U$1001,0),1)&gt;=100000,INDEX($AB$1005:$AQ$1005,1,MATCH(COLUMNS($AB$1006:AB1006),$AB$1006:$AQ$1006,0))&gt;=100000), " ",IF(INDEX($AB$2:$AQ$1001,MATCH(ROWS($U$2:U140),$U$2:$U$1001,0),MATCH(COLUMNS($AB$1006:AB1006),$AB$1006:$AQ$1006,0)), HYPERLINK("#",""), HYPERLINK(CONCATENATE("#metadata!", ADDRESS(INDEX($W$2:$W$1001,MATCH(ROWS($U$2:U140),$U$2:$U$1001,0),0), INDEX($AB$1004:$AQ$1004,1,MATCH(COLUMNS($AB$1006:AB1006),$AB$1006:$AQ$1006,0)))),"Fix")))</f>
        <v>0</v>
      </c>
      <c r="C140" s="4">
        <f>IF(OR(INDEX($V$2:$V$1001,MATCH(ROWS($U$2:U140),$U$2:$U$1001,0),1)&gt;=100000,INDEX($AB$1005:$AQ$1005,1,MATCH(COLUMNS($AB$1006:AC1006),$AB$1006:$AQ$1006,0))&gt;=100000), " ",IF(INDEX($AB$2:$AQ$1001,MATCH(ROWS($U$2:U140),$U$2:$U$1001,0),MATCH(COLUMNS($AB$1006:AC1006),$AB$1006:$AQ$1006,0)), HYPERLINK("#",""), HYPERLINK(CONCATENATE("#metadata!", ADDRESS(INDEX($W$2:$W$1001,MATCH(ROWS($U$2:U140),$U$2:$U$1001,0),0), INDEX($AB$1004:$AQ$1004,1,MATCH(COLUMNS($AB$1006:AC1006),$AB$1006:$AQ$1006,0)))),"Fix")))</f>
        <v>0</v>
      </c>
      <c r="D140" s="4">
        <f>IF(OR(INDEX($V$2:$V$1001,MATCH(ROWS($U$2:U140),$U$2:$U$1001,0),1)&gt;=100000,INDEX($AB$1005:$AQ$1005,1,MATCH(COLUMNS($AB$1006:AD1006),$AB$1006:$AQ$1006,0))&gt;=100000), " ",IF(INDEX($AB$2:$AQ$1001,MATCH(ROWS($U$2:U140),$U$2:$U$1001,0),MATCH(COLUMNS($AB$1006:AD1006),$AB$1006:$AQ$1006,0)), HYPERLINK("#",""), HYPERLINK(CONCATENATE("#metadata!", ADDRESS(INDEX($W$2:$W$1001,MATCH(ROWS($U$2:U140),$U$2:$U$1001,0),0), INDEX($AB$1004:$AQ$1004,1,MATCH(COLUMNS($AB$1006:AD1006),$AB$1006:$AQ$1006,0)))),"Fix")))</f>
        <v>0</v>
      </c>
      <c r="E140" s="4">
        <f>IF(OR(INDEX($V$2:$V$1001,MATCH(ROWS($U$2:U140),$U$2:$U$1001,0),1)&gt;=100000,INDEX($AB$1005:$AQ$1005,1,MATCH(COLUMNS($AB$1006:AE1006),$AB$1006:$AQ$1006,0))&gt;=100000), " ",IF(INDEX($AB$2:$AQ$1001,MATCH(ROWS($U$2:U140),$U$2:$U$1001,0),MATCH(COLUMNS($AB$1006:AE1006),$AB$1006:$AQ$1006,0)), HYPERLINK("#",""), HYPERLINK(CONCATENATE("#metadata!", ADDRESS(INDEX($W$2:$W$1001,MATCH(ROWS($U$2:U140),$U$2:$U$1001,0),0), INDEX($AB$1004:$AQ$1004,1,MATCH(COLUMNS($AB$1006:AE1006),$AB$1006:$AQ$1006,0)))),"Fix")))</f>
        <v>0</v>
      </c>
      <c r="F140" s="4">
        <f>IF(OR(INDEX($V$2:$V$1001,MATCH(ROWS($U$2:U140),$U$2:$U$1001,0),1)&gt;=100000,INDEX($AB$1005:$AQ$1005,1,MATCH(COLUMNS($AB$1006:AF1006),$AB$1006:$AQ$1006,0))&gt;=100000), " ",IF(INDEX($AB$2:$AQ$1001,MATCH(ROWS($U$2:U140),$U$2:$U$1001,0),MATCH(COLUMNS($AB$1006:AF1006),$AB$1006:$AQ$1006,0)), HYPERLINK("#",""), HYPERLINK(CONCATENATE("#metadata!", ADDRESS(INDEX($W$2:$W$1001,MATCH(ROWS($U$2:U140),$U$2:$U$1001,0),0), INDEX($AB$1004:$AQ$1004,1,MATCH(COLUMNS($AB$1006:AF1006),$AB$1006:$AQ$1006,0)))),"Fix")))</f>
        <v>0</v>
      </c>
      <c r="G140" s="4">
        <f>IF(OR(INDEX($V$2:$V$1001,MATCH(ROWS($U$2:U140),$U$2:$U$1001,0),1)&gt;=100000,INDEX($AB$1005:$AQ$1005,1,MATCH(COLUMNS($AB$1006:AG1006),$AB$1006:$AQ$1006,0))&gt;=100000), " ",IF(INDEX($AB$2:$AQ$1001,MATCH(ROWS($U$2:U140),$U$2:$U$1001,0),MATCH(COLUMNS($AB$1006:AG1006),$AB$1006:$AQ$1006,0)), HYPERLINK("#",""), HYPERLINK(CONCATENATE("#metadata!", ADDRESS(INDEX($W$2:$W$1001,MATCH(ROWS($U$2:U140),$U$2:$U$1001,0),0), INDEX($AB$1004:$AQ$1004,1,MATCH(COLUMNS($AB$1006:AG1006),$AB$1006:$AQ$1006,0)))),"Fix")))</f>
        <v>0</v>
      </c>
      <c r="H140" s="4">
        <f>IF(OR(INDEX($V$2:$V$1001,MATCH(ROWS($U$2:U140),$U$2:$U$1001,0),1)&gt;=100000,INDEX($AB$1005:$AQ$1005,1,MATCH(COLUMNS($AB$1006:AH1006),$AB$1006:$AQ$1006,0))&gt;=100000), " ",IF(INDEX($AB$2:$AQ$1001,MATCH(ROWS($U$2:U140),$U$2:$U$1001,0),MATCH(COLUMNS($AB$1006:AH1006),$AB$1006:$AQ$1006,0)), HYPERLINK("#",""), HYPERLINK(CONCATENATE("#metadata!", ADDRESS(INDEX($W$2:$W$1001,MATCH(ROWS($U$2:U140),$U$2:$U$1001,0),0), INDEX($AB$1004:$AQ$1004,1,MATCH(COLUMNS($AB$1006:AH1006),$AB$1006:$AQ$1006,0)))),"Fix")))</f>
        <v>0</v>
      </c>
      <c r="I140" s="4">
        <f>IF(OR(INDEX($V$2:$V$1001,MATCH(ROWS($U$2:U140),$U$2:$U$1001,0),1)&gt;=100000,INDEX($AB$1005:$AQ$1005,1,MATCH(COLUMNS($AB$1006:AI1006),$AB$1006:$AQ$1006,0))&gt;=100000), " ",IF(INDEX($AB$2:$AQ$1001,MATCH(ROWS($U$2:U140),$U$2:$U$1001,0),MATCH(COLUMNS($AB$1006:AI1006),$AB$1006:$AQ$1006,0)), HYPERLINK("#",""), HYPERLINK(CONCATENATE("#metadata!", ADDRESS(INDEX($W$2:$W$1001,MATCH(ROWS($U$2:U140),$U$2:$U$1001,0),0), INDEX($AB$1004:$AQ$1004,1,MATCH(COLUMNS($AB$1006:AI1006),$AB$1006:$AQ$1006,0)))),"Fix")))</f>
        <v>0</v>
      </c>
      <c r="J140" s="4">
        <f>IF(OR(INDEX($V$2:$V$1001,MATCH(ROWS($U$2:U140),$U$2:$U$1001,0),1)&gt;=100000,INDEX($AB$1005:$AQ$1005,1,MATCH(COLUMNS($AB$1006:AJ1006),$AB$1006:$AQ$1006,0))&gt;=100000), " ",IF(INDEX($AB$2:$AQ$1001,MATCH(ROWS($U$2:U140),$U$2:$U$1001,0),MATCH(COLUMNS($AB$1006:AJ1006),$AB$1006:$AQ$1006,0)), HYPERLINK("#",""), HYPERLINK(CONCATENATE("#metadata!", ADDRESS(INDEX($W$2:$W$1001,MATCH(ROWS($U$2:U140),$U$2:$U$1001,0),0), INDEX($AB$1004:$AQ$1004,1,MATCH(COLUMNS($AB$1006:AJ1006),$AB$1006:$AQ$1006,0)))),"Fix")))</f>
        <v>0</v>
      </c>
      <c r="K140" s="4">
        <f>IF(OR(INDEX($V$2:$V$1001,MATCH(ROWS($U$2:U140),$U$2:$U$1001,0),1)&gt;=100000,INDEX($AB$1005:$AQ$1005,1,MATCH(COLUMNS($AB$1006:AK1006),$AB$1006:$AQ$1006,0))&gt;=100000), " ",IF(INDEX($AB$2:$AQ$1001,MATCH(ROWS($U$2:U140),$U$2:$U$1001,0),MATCH(COLUMNS($AB$1006:AK1006),$AB$1006:$AQ$1006,0)), HYPERLINK("#",""), HYPERLINK(CONCATENATE("#metadata!", ADDRESS(INDEX($W$2:$W$1001,MATCH(ROWS($U$2:U140),$U$2:$U$1001,0),0), INDEX($AB$1004:$AQ$1004,1,MATCH(COLUMNS($AB$1006:AK1006),$AB$1006:$AQ$1006,0)))),"Fix")))</f>
        <v>0</v>
      </c>
      <c r="L140" s="4">
        <f>IF(OR(INDEX($V$2:$V$1001,MATCH(ROWS($U$2:U140),$U$2:$U$1001,0),1)&gt;=100000,INDEX($AB$1005:$AQ$1005,1,MATCH(COLUMNS($AB$1006:AL1006),$AB$1006:$AQ$1006,0))&gt;=100000), " ",IF(INDEX($AB$2:$AQ$1001,MATCH(ROWS($U$2:U140),$U$2:$U$1001,0),MATCH(COLUMNS($AB$1006:AL1006),$AB$1006:$AQ$1006,0)), HYPERLINK("#",""), HYPERLINK(CONCATENATE("#metadata!", ADDRESS(INDEX($W$2:$W$1001,MATCH(ROWS($U$2:U140),$U$2:$U$1001,0),0), INDEX($AB$1004:$AQ$1004,1,MATCH(COLUMNS($AB$1006:AL1006),$AB$1006:$AQ$1006,0)))),"Fix")))</f>
        <v>0</v>
      </c>
      <c r="M140" s="4">
        <f>IF(OR(INDEX($V$2:$V$1001,MATCH(ROWS($U$2:U140),$U$2:$U$1001,0),1)&gt;=100000,INDEX($AB$1005:$AQ$1005,1,MATCH(COLUMNS($AB$1006:AM1006),$AB$1006:$AQ$1006,0))&gt;=100000), " ",IF(INDEX($AB$2:$AQ$1001,MATCH(ROWS($U$2:U140),$U$2:$U$1001,0),MATCH(COLUMNS($AB$1006:AM1006),$AB$1006:$AQ$1006,0)), HYPERLINK("#",""), HYPERLINK(CONCATENATE("#metadata!", ADDRESS(INDEX($W$2:$W$1001,MATCH(ROWS($U$2:U140),$U$2:$U$1001,0),0), INDEX($AB$1004:$AQ$1004,1,MATCH(COLUMNS($AB$1006:AM1006),$AB$1006:$AQ$1006,0)))),"Fix")))</f>
        <v>0</v>
      </c>
      <c r="N140" s="4">
        <f>IF(OR(INDEX($V$2:$V$1001,MATCH(ROWS($U$2:U140),$U$2:$U$1001,0),1)&gt;=100000,INDEX($AB$1005:$AQ$1005,1,MATCH(COLUMNS($AB$1006:AN1006),$AB$1006:$AQ$1006,0))&gt;=100000), " ",IF(INDEX($AB$2:$AQ$1001,MATCH(ROWS($U$2:U140),$U$2:$U$1001,0),MATCH(COLUMNS($AB$1006:AN1006),$AB$1006:$AQ$1006,0)), HYPERLINK("#",""), HYPERLINK(CONCATENATE("#metadata!", ADDRESS(INDEX($W$2:$W$1001,MATCH(ROWS($U$2:U140),$U$2:$U$1001,0),0), INDEX($AB$1004:$AQ$1004,1,MATCH(COLUMNS($AB$1006:AN1006),$AB$1006:$AQ$1006,0)))),"Fix")))</f>
        <v>0</v>
      </c>
      <c r="O140" s="4">
        <f>IF(OR(INDEX($V$2:$V$1001,MATCH(ROWS($U$2:U140),$U$2:$U$1001,0),1)&gt;=100000,INDEX($AB$1005:$AQ$1005,1,MATCH(COLUMNS($AB$1006:AO1006),$AB$1006:$AQ$1006,0))&gt;=100000), " ",IF(INDEX($AB$2:$AQ$1001,MATCH(ROWS($U$2:U140),$U$2:$U$1001,0),MATCH(COLUMNS($AB$1006:AO1006),$AB$1006:$AQ$1006,0)), HYPERLINK("#",""), HYPERLINK(CONCATENATE("#metadata!", ADDRESS(INDEX($W$2:$W$1001,MATCH(ROWS($U$2:U140),$U$2:$U$1001,0),0), INDEX($AB$1004:$AQ$1004,1,MATCH(COLUMNS($AB$1006:AO1006),$AB$1006:$AQ$1006,0)))),"Fix")))</f>
        <v>0</v>
      </c>
      <c r="P140" s="4">
        <f>IF(OR(INDEX($V$2:$V$1001,MATCH(ROWS($U$2:U140),$U$2:$U$1001,0),1)&gt;=100000,INDEX($AB$1005:$AQ$1005,1,MATCH(COLUMNS($AB$1006:AP1006),$AB$1006:$AQ$1006,0))&gt;=100000), " ",IF(INDEX($AB$2:$AQ$1001,MATCH(ROWS($U$2:U140),$U$2:$U$1001,0),MATCH(COLUMNS($AB$1006:AP1006),$AB$1006:$AQ$1006,0)), HYPERLINK("#",""), HYPERLINK(CONCATENATE("#metadata!", ADDRESS(INDEX($W$2:$W$1001,MATCH(ROWS($U$2:U140),$U$2:$U$1001,0),0), INDEX($AB$1004:$AQ$1004,1,MATCH(COLUMNS($AB$1006:AP1006),$AB$1006:$AQ$1006,0)))),"Fix")))</f>
        <v>0</v>
      </c>
      <c r="Q140" s="4">
        <f>IF(OR(INDEX($V$2:$V$1001,MATCH(ROWS($U$2:U140),$U$2:$U$1001,0),1)&gt;=100000,INDEX($AB$1005:$AQ$1005,1,MATCH(COLUMNS($AB$1006:AQ1006),$AB$1006:$AQ$1006,0))&gt;=100000), " ",IF(INDEX($AB$2:$AQ$1001,MATCH(ROWS($U$2:U140),$U$2:$U$1001,0),MATCH(COLUMNS($AB$1006:AQ1006),$AB$1006:$AQ$1006,0)), HYPERLINK("#",""), HYPERLINK(CONCATENATE("#metadata!", ADDRESS(INDEX($W$2:$W$1001,MATCH(ROWS($U$2:U140),$U$2:$U$1001,0),0), INDEX($AB$1004:$AQ$1004,1,MATCH(COLUMNS($AB$1006:AQ1006),$AB$1006:$AQ$1006,0)))),"Fix")))</f>
        <v>0</v>
      </c>
      <c r="U140">
        <v>0</v>
      </c>
      <c r="V140">
        <v>0</v>
      </c>
      <c r="W140">
        <v>0</v>
      </c>
      <c r="X140">
        <f>IF(Y140,TRUE,AND(AB140:AQ140))</f>
        <v>0</v>
      </c>
      <c r="Y140">
        <f>COUNTBLANK(metadata!B140:Q140)=COLUMNS(metadata!B140:Q140)</f>
        <v>0</v>
      </c>
      <c r="Z140">
        <v>0</v>
      </c>
      <c r="AB140">
        <f>AND(IF(metadata!B140="",FALSE,TRUE),COUNTIF(metadata!B:B, metadata!B140) = 1,NOT(ISERROR(SUMPRODUCT(SEARCH(MID(metadata!B140,ROW(INDIRECT("1:"&amp;LEN(metadata!B140))), 1),"0123456789abcdefghijklmnopqrstuvwxyzABCDEFGHIJKLMNOPQRSTUVWXYZ.")))))</f>
        <v>0</v>
      </c>
      <c r="AC140">
        <f>OR(AND(IF(metadata!C140="",FALSE,TRUE),OR(exact(metadata!C140,"missing: not collected"),exact(metadata!C140,"missing: not provided"),exact(metadata!C140,"missing: restricted access"))),AND(IF(metadata!C140="",FALSE,TRUE),AND(AND(IFERROR(INT(LEFT(metadata!C140,4))&gt;1900,FALSE),IFERROR(INT(LEFT(metadata!C140,4))&lt;=YEAR(NOW()),FALSE)), OR(MID(metadata!C140,5,1)="", AND(AND(MID(metadata!C140,5,1)="-",IFERROR(INT(MID(metadata!C140,6,1))&gt;=0,FALSE),IFERROR(INT(MID(metadata!C140,6,1))&lt;=1,FALSE),NOT(MID(metadata!C140,7,1)=""),IFERROR(INT(MID(metadata!C140,6,2))&gt;=1,FALSE),IFERROR(INT(MID(metadata!C140,6,2))&lt;=12,FALSE)), OR(MID(metadata!C140,8,1)="", AND(AND(MID(metadata!C140,8,1)="-",IFERROR(INT(MID(metadata!C140,9,1))&gt;=0,FALSE),IFERROR(INT(MID(metadata!C140,9,1))&lt;=3,FALSE),NOT(MID(metadata!C140,10,1)=""),IFERROR(INT(MID(metadata!C140,9,2))&gt;=1,FALSE),IFERROR(INT(MID(metadata!C140,9,2))&lt;=31,FALSE)), OR(MID(metadata!C140,11,1)="", AND(AND(MID(metadata!C140,11,1)=" ",IFERROR(INT(MID(metadata!C140,12,1))&gt;=0,FALSE),IFERROR(INT(MID(metadata!C140,12,1))&lt;=2,FALSE),NOT(MID(metadata!C140,13,1)=""),IFERROR(INT(MID(metadata!C140,12,2))&gt;=0,FALSE),IFERROR(INT(MID(metadata!C140,12,2))&lt;=23,FALSE)), OR(MID(metadata!C140,14,1)="", AND(AND(MID(metadata!C140,14,1)=":",IFERROR(INT(MID(metadata!C140,15,1))&gt;=0,FALSE),IFERROR(INT(MID(metadata!C140,15,1))&lt;=5,FALSE),NOT(MID(metadata!C140,16,1)=""),IFERROR(INT(MID(metadata!C140,15,2))&gt;=0,FALSE),IFERROR(INT(MID(metadata!C140,15,2))&lt;=59,FALSE)), OR(MID(metadata!C140,17,1)="", AND(AND(MID(metadata!C140,17,1)=":",IFERROR(INT(MID(metadata!C140,18,1))&gt;=0,FALSE),IFERROR(INT(MID(metadata!C140,18,1))&lt;=5,FALSE),NOT(MID(metadata!C140,19,1)=""),IFERROR(INT(MID(metadata!C140,18,2))&gt;=0,FALSE),IFERROR(INT(MID(metadata!C140,18,2))&lt;=59,FALSE)), LEN(metadata!C140)&lt;=19)))))))))))))</f>
        <v>0</v>
      </c>
      <c r="AD140">
        <f>IF(metadata!D140="",FALSE,TRUE)</f>
        <v>0</v>
      </c>
      <c r="AE140">
        <f>OR(AND(IF(metadata!E140="",FALSE,TRUE),OR(exact(metadata!E140,"missing: not collected"),exact(metadata!E140,"missing: not provided"))),AND(IF(metadata!E140="",FALSE,TRUE),OR(exact(metadata!E140,"TRUE"),exact(metadata!E140,"FALSE"))))</f>
        <v>0</v>
      </c>
      <c r="AF140">
        <f>IF(metadata!F140="",FALSE,TRUE)</f>
        <v>0</v>
      </c>
      <c r="AG140">
        <f>IF(metadata!G140="",FALSE,TRUE)</f>
        <v>0</v>
      </c>
      <c r="AH140">
        <f>IF(metadata!H140="",FALSE,TRUE)</f>
        <v>0</v>
      </c>
      <c r="AI140">
        <f>OR(AND(IF(metadata!I140="",FALSE,TRUE),OR(exact(metadata!I140,"missing: not collected"),exact(metadata!I140,"missing: not provided"),exact(metadata!I140,"missing: restricted access"))),AND(IF(metadata!I140="",FALSE,TRUE),OR(exact(metadata!I140,"air"),exact(metadata!I140,"built environment"),exact(metadata!I140,"host-associated"),exact(metadata!I140,"human-associated"),exact(metadata!I140,"human-skin"),exact(metadata!I140,"human-oral"),exact(metadata!I140,"human-gut"),exact(metadata!I140,"human-vaginal"),exact(metadata!I140,"microbial mat/biofilm"),exact(metadata!I140,"misc environment"),exact(metadata!I140,"plant-associated"),exact(metadata!I140,"sediment"),exact(metadata!I140,"soil"),exact(metadata!I140,"wastewater/sludge"),exact(metadata!I140,"water"))))</f>
        <v>0</v>
      </c>
      <c r="AJ140">
        <f>IF(metadata!J140="",FALSE,TRUE)</f>
        <v>0</v>
      </c>
      <c r="AK140">
        <f>OR(AND(IF(metadata!K140="",FALSE,TRUE),OR(exact(metadata!K140,"missing: not collected"),exact(metadata!K140,"missing: not provided"),exact(metadata!K140,"missing: restricted access"))),AND(IF(metadata!K140="",FALSE,ISNUMBER(VALUE(metadata!K140))),metadata!K140&gt;=-90.00,metadata!K140&lt;=90.00))</f>
        <v>0</v>
      </c>
      <c r="AL140">
        <f>OR(AND(IF(metadata!L140="",FALSE,TRUE),OR(exact(metadata!L140,"missing: not collected"),exact(metadata!L140,"missing: not provided"),exact(metadata!L140,"missing: restricted access"))),AND(IF(metadata!L140="",FALSE,ISNUMBER(VALUE(metadata!L140))),metadata!L140&gt;=-180.00,metadata!L140&lt;=180.00))</f>
        <v>0</v>
      </c>
      <c r="AM140">
        <f>IF(metadata!M140="",FALSE,TRUE)</f>
        <v>0</v>
      </c>
      <c r="AN140">
        <f>OR(AND(IF(metadata!N140="",FALSE,TRUE),OR(exact(metadata!N140,"missing: not collected"),exact(metadata!N140,"missing: not provided"),exact(metadata!N140,"missing: restricted access"))),AND(IF(metadata!N140="",FALSE,TRUE),OR(exact(metadata!N140,"TRUE"),exact(metadata!N140,"FALSE"))))</f>
        <v>0</v>
      </c>
      <c r="AO140">
        <f>IF(metadata!O140="",FALSE,TRUE)</f>
        <v>0</v>
      </c>
      <c r="AP140">
        <f>OR(AND(IF(metadata!P140="",FALSE,TRUE),OR(exact(metadata!P140,"missing: not collected"),exact(metadata!P140,"missing: not provided"))),AND(IF(metadata!P140="",FALSE,IF(ISERROR(INT(metadata!P140)),FALSE,INT(metadata!P140)=metadata!P140)),metadata!P140&gt;0))</f>
        <v>0</v>
      </c>
      <c r="AQ140">
        <f>IF(metadata!Q140="",FALSE,TRUE)</f>
        <v>0</v>
      </c>
    </row>
    <row r="141" spans="1:43">
      <c r="A141" s="5">
        <f>IF(B141=" "," ",HYPERLINK(CONCATENATE("#metadata!",ADDRESS(INDEX($W$2:$W$1001,MATCH(ROWS($U$2:U141),$U$2:$U$1001,0),0),1)),INDEX($Z$2:$Z$1001,MATCH(ROWS($U$2:U141),$U$2:$U$1001,0),0)))</f>
        <v>0</v>
      </c>
      <c r="B141" s="4">
        <f>IF(OR(INDEX($V$2:$V$1001,MATCH(ROWS($U$2:U141),$U$2:$U$1001,0),1)&gt;=100000,INDEX($AB$1005:$AQ$1005,1,MATCH(COLUMNS($AB$1006:AB1006),$AB$1006:$AQ$1006,0))&gt;=100000), " ",IF(INDEX($AB$2:$AQ$1001,MATCH(ROWS($U$2:U141),$U$2:$U$1001,0),MATCH(COLUMNS($AB$1006:AB1006),$AB$1006:$AQ$1006,0)), HYPERLINK("#",""), HYPERLINK(CONCATENATE("#metadata!", ADDRESS(INDEX($W$2:$W$1001,MATCH(ROWS($U$2:U141),$U$2:$U$1001,0),0), INDEX($AB$1004:$AQ$1004,1,MATCH(COLUMNS($AB$1006:AB1006),$AB$1006:$AQ$1006,0)))),"Fix")))</f>
        <v>0</v>
      </c>
      <c r="C141" s="4">
        <f>IF(OR(INDEX($V$2:$V$1001,MATCH(ROWS($U$2:U141),$U$2:$U$1001,0),1)&gt;=100000,INDEX($AB$1005:$AQ$1005,1,MATCH(COLUMNS($AB$1006:AC1006),$AB$1006:$AQ$1006,0))&gt;=100000), " ",IF(INDEX($AB$2:$AQ$1001,MATCH(ROWS($U$2:U141),$U$2:$U$1001,0),MATCH(COLUMNS($AB$1006:AC1006),$AB$1006:$AQ$1006,0)), HYPERLINK("#",""), HYPERLINK(CONCATENATE("#metadata!", ADDRESS(INDEX($W$2:$W$1001,MATCH(ROWS($U$2:U141),$U$2:$U$1001,0),0), INDEX($AB$1004:$AQ$1004,1,MATCH(COLUMNS($AB$1006:AC1006),$AB$1006:$AQ$1006,0)))),"Fix")))</f>
        <v>0</v>
      </c>
      <c r="D141" s="4">
        <f>IF(OR(INDEX($V$2:$V$1001,MATCH(ROWS($U$2:U141),$U$2:$U$1001,0),1)&gt;=100000,INDEX($AB$1005:$AQ$1005,1,MATCH(COLUMNS($AB$1006:AD1006),$AB$1006:$AQ$1006,0))&gt;=100000), " ",IF(INDEX($AB$2:$AQ$1001,MATCH(ROWS($U$2:U141),$U$2:$U$1001,0),MATCH(COLUMNS($AB$1006:AD1006),$AB$1006:$AQ$1006,0)), HYPERLINK("#",""), HYPERLINK(CONCATENATE("#metadata!", ADDRESS(INDEX($W$2:$W$1001,MATCH(ROWS($U$2:U141),$U$2:$U$1001,0),0), INDEX($AB$1004:$AQ$1004,1,MATCH(COLUMNS($AB$1006:AD1006),$AB$1006:$AQ$1006,0)))),"Fix")))</f>
        <v>0</v>
      </c>
      <c r="E141" s="4">
        <f>IF(OR(INDEX($V$2:$V$1001,MATCH(ROWS($U$2:U141),$U$2:$U$1001,0),1)&gt;=100000,INDEX($AB$1005:$AQ$1005,1,MATCH(COLUMNS($AB$1006:AE1006),$AB$1006:$AQ$1006,0))&gt;=100000), " ",IF(INDEX($AB$2:$AQ$1001,MATCH(ROWS($U$2:U141),$U$2:$U$1001,0),MATCH(COLUMNS($AB$1006:AE1006),$AB$1006:$AQ$1006,0)), HYPERLINK("#",""), HYPERLINK(CONCATENATE("#metadata!", ADDRESS(INDEX($W$2:$W$1001,MATCH(ROWS($U$2:U141),$U$2:$U$1001,0),0), INDEX($AB$1004:$AQ$1004,1,MATCH(COLUMNS($AB$1006:AE1006),$AB$1006:$AQ$1006,0)))),"Fix")))</f>
        <v>0</v>
      </c>
      <c r="F141" s="4">
        <f>IF(OR(INDEX($V$2:$V$1001,MATCH(ROWS($U$2:U141),$U$2:$U$1001,0),1)&gt;=100000,INDEX($AB$1005:$AQ$1005,1,MATCH(COLUMNS($AB$1006:AF1006),$AB$1006:$AQ$1006,0))&gt;=100000), " ",IF(INDEX($AB$2:$AQ$1001,MATCH(ROWS($U$2:U141),$U$2:$U$1001,0),MATCH(COLUMNS($AB$1006:AF1006),$AB$1006:$AQ$1006,0)), HYPERLINK("#",""), HYPERLINK(CONCATENATE("#metadata!", ADDRESS(INDEX($W$2:$W$1001,MATCH(ROWS($U$2:U141),$U$2:$U$1001,0),0), INDEX($AB$1004:$AQ$1004,1,MATCH(COLUMNS($AB$1006:AF1006),$AB$1006:$AQ$1006,0)))),"Fix")))</f>
        <v>0</v>
      </c>
      <c r="G141" s="4">
        <f>IF(OR(INDEX($V$2:$V$1001,MATCH(ROWS($U$2:U141),$U$2:$U$1001,0),1)&gt;=100000,INDEX($AB$1005:$AQ$1005,1,MATCH(COLUMNS($AB$1006:AG1006),$AB$1006:$AQ$1006,0))&gt;=100000), " ",IF(INDEX($AB$2:$AQ$1001,MATCH(ROWS($U$2:U141),$U$2:$U$1001,0),MATCH(COLUMNS($AB$1006:AG1006),$AB$1006:$AQ$1006,0)), HYPERLINK("#",""), HYPERLINK(CONCATENATE("#metadata!", ADDRESS(INDEX($W$2:$W$1001,MATCH(ROWS($U$2:U141),$U$2:$U$1001,0),0), INDEX($AB$1004:$AQ$1004,1,MATCH(COLUMNS($AB$1006:AG1006),$AB$1006:$AQ$1006,0)))),"Fix")))</f>
        <v>0</v>
      </c>
      <c r="H141" s="4">
        <f>IF(OR(INDEX($V$2:$V$1001,MATCH(ROWS($U$2:U141),$U$2:$U$1001,0),1)&gt;=100000,INDEX($AB$1005:$AQ$1005,1,MATCH(COLUMNS($AB$1006:AH1006),$AB$1006:$AQ$1006,0))&gt;=100000), " ",IF(INDEX($AB$2:$AQ$1001,MATCH(ROWS($U$2:U141),$U$2:$U$1001,0),MATCH(COLUMNS($AB$1006:AH1006),$AB$1006:$AQ$1006,0)), HYPERLINK("#",""), HYPERLINK(CONCATENATE("#metadata!", ADDRESS(INDEX($W$2:$W$1001,MATCH(ROWS($U$2:U141),$U$2:$U$1001,0),0), INDEX($AB$1004:$AQ$1004,1,MATCH(COLUMNS($AB$1006:AH1006),$AB$1006:$AQ$1006,0)))),"Fix")))</f>
        <v>0</v>
      </c>
      <c r="I141" s="4">
        <f>IF(OR(INDEX($V$2:$V$1001,MATCH(ROWS($U$2:U141),$U$2:$U$1001,0),1)&gt;=100000,INDEX($AB$1005:$AQ$1005,1,MATCH(COLUMNS($AB$1006:AI1006),$AB$1006:$AQ$1006,0))&gt;=100000), " ",IF(INDEX($AB$2:$AQ$1001,MATCH(ROWS($U$2:U141),$U$2:$U$1001,0),MATCH(COLUMNS($AB$1006:AI1006),$AB$1006:$AQ$1006,0)), HYPERLINK("#",""), HYPERLINK(CONCATENATE("#metadata!", ADDRESS(INDEX($W$2:$W$1001,MATCH(ROWS($U$2:U141),$U$2:$U$1001,0),0), INDEX($AB$1004:$AQ$1004,1,MATCH(COLUMNS($AB$1006:AI1006),$AB$1006:$AQ$1006,0)))),"Fix")))</f>
        <v>0</v>
      </c>
      <c r="J141" s="4">
        <f>IF(OR(INDEX($V$2:$V$1001,MATCH(ROWS($U$2:U141),$U$2:$U$1001,0),1)&gt;=100000,INDEX($AB$1005:$AQ$1005,1,MATCH(COLUMNS($AB$1006:AJ1006),$AB$1006:$AQ$1006,0))&gt;=100000), " ",IF(INDEX($AB$2:$AQ$1001,MATCH(ROWS($U$2:U141),$U$2:$U$1001,0),MATCH(COLUMNS($AB$1006:AJ1006),$AB$1006:$AQ$1006,0)), HYPERLINK("#",""), HYPERLINK(CONCATENATE("#metadata!", ADDRESS(INDEX($W$2:$W$1001,MATCH(ROWS($U$2:U141),$U$2:$U$1001,0),0), INDEX($AB$1004:$AQ$1004,1,MATCH(COLUMNS($AB$1006:AJ1006),$AB$1006:$AQ$1006,0)))),"Fix")))</f>
        <v>0</v>
      </c>
      <c r="K141" s="4">
        <f>IF(OR(INDEX($V$2:$V$1001,MATCH(ROWS($U$2:U141),$U$2:$U$1001,0),1)&gt;=100000,INDEX($AB$1005:$AQ$1005,1,MATCH(COLUMNS($AB$1006:AK1006),$AB$1006:$AQ$1006,0))&gt;=100000), " ",IF(INDEX($AB$2:$AQ$1001,MATCH(ROWS($U$2:U141),$U$2:$U$1001,0),MATCH(COLUMNS($AB$1006:AK1006),$AB$1006:$AQ$1006,0)), HYPERLINK("#",""), HYPERLINK(CONCATENATE("#metadata!", ADDRESS(INDEX($W$2:$W$1001,MATCH(ROWS($U$2:U141),$U$2:$U$1001,0),0), INDEX($AB$1004:$AQ$1004,1,MATCH(COLUMNS($AB$1006:AK1006),$AB$1006:$AQ$1006,0)))),"Fix")))</f>
        <v>0</v>
      </c>
      <c r="L141" s="4">
        <f>IF(OR(INDEX($V$2:$V$1001,MATCH(ROWS($U$2:U141),$U$2:$U$1001,0),1)&gt;=100000,INDEX($AB$1005:$AQ$1005,1,MATCH(COLUMNS($AB$1006:AL1006),$AB$1006:$AQ$1006,0))&gt;=100000), " ",IF(INDEX($AB$2:$AQ$1001,MATCH(ROWS($U$2:U141),$U$2:$U$1001,0),MATCH(COLUMNS($AB$1006:AL1006),$AB$1006:$AQ$1006,0)), HYPERLINK("#",""), HYPERLINK(CONCATENATE("#metadata!", ADDRESS(INDEX($W$2:$W$1001,MATCH(ROWS($U$2:U141),$U$2:$U$1001,0),0), INDEX($AB$1004:$AQ$1004,1,MATCH(COLUMNS($AB$1006:AL1006),$AB$1006:$AQ$1006,0)))),"Fix")))</f>
        <v>0</v>
      </c>
      <c r="M141" s="4">
        <f>IF(OR(INDEX($V$2:$V$1001,MATCH(ROWS($U$2:U141),$U$2:$U$1001,0),1)&gt;=100000,INDEX($AB$1005:$AQ$1005,1,MATCH(COLUMNS($AB$1006:AM1006),$AB$1006:$AQ$1006,0))&gt;=100000), " ",IF(INDEX($AB$2:$AQ$1001,MATCH(ROWS($U$2:U141),$U$2:$U$1001,0),MATCH(COLUMNS($AB$1006:AM1006),$AB$1006:$AQ$1006,0)), HYPERLINK("#",""), HYPERLINK(CONCATENATE("#metadata!", ADDRESS(INDEX($W$2:$W$1001,MATCH(ROWS($U$2:U141),$U$2:$U$1001,0),0), INDEX($AB$1004:$AQ$1004,1,MATCH(COLUMNS($AB$1006:AM1006),$AB$1006:$AQ$1006,0)))),"Fix")))</f>
        <v>0</v>
      </c>
      <c r="N141" s="4">
        <f>IF(OR(INDEX($V$2:$V$1001,MATCH(ROWS($U$2:U141),$U$2:$U$1001,0),1)&gt;=100000,INDEX($AB$1005:$AQ$1005,1,MATCH(COLUMNS($AB$1006:AN1006),$AB$1006:$AQ$1006,0))&gt;=100000), " ",IF(INDEX($AB$2:$AQ$1001,MATCH(ROWS($U$2:U141),$U$2:$U$1001,0),MATCH(COLUMNS($AB$1006:AN1006),$AB$1006:$AQ$1006,0)), HYPERLINK("#",""), HYPERLINK(CONCATENATE("#metadata!", ADDRESS(INDEX($W$2:$W$1001,MATCH(ROWS($U$2:U141),$U$2:$U$1001,0),0), INDEX($AB$1004:$AQ$1004,1,MATCH(COLUMNS($AB$1006:AN1006),$AB$1006:$AQ$1006,0)))),"Fix")))</f>
        <v>0</v>
      </c>
      <c r="O141" s="4">
        <f>IF(OR(INDEX($V$2:$V$1001,MATCH(ROWS($U$2:U141),$U$2:$U$1001,0),1)&gt;=100000,INDEX($AB$1005:$AQ$1005,1,MATCH(COLUMNS($AB$1006:AO1006),$AB$1006:$AQ$1006,0))&gt;=100000), " ",IF(INDEX($AB$2:$AQ$1001,MATCH(ROWS($U$2:U141),$U$2:$U$1001,0),MATCH(COLUMNS($AB$1006:AO1006),$AB$1006:$AQ$1006,0)), HYPERLINK("#",""), HYPERLINK(CONCATENATE("#metadata!", ADDRESS(INDEX($W$2:$W$1001,MATCH(ROWS($U$2:U141),$U$2:$U$1001,0),0), INDEX($AB$1004:$AQ$1004,1,MATCH(COLUMNS($AB$1006:AO1006),$AB$1006:$AQ$1006,0)))),"Fix")))</f>
        <v>0</v>
      </c>
      <c r="P141" s="4">
        <f>IF(OR(INDEX($V$2:$V$1001,MATCH(ROWS($U$2:U141),$U$2:$U$1001,0),1)&gt;=100000,INDEX($AB$1005:$AQ$1005,1,MATCH(COLUMNS($AB$1006:AP1006),$AB$1006:$AQ$1006,0))&gt;=100000), " ",IF(INDEX($AB$2:$AQ$1001,MATCH(ROWS($U$2:U141),$U$2:$U$1001,0),MATCH(COLUMNS($AB$1006:AP1006),$AB$1006:$AQ$1006,0)), HYPERLINK("#",""), HYPERLINK(CONCATENATE("#metadata!", ADDRESS(INDEX($W$2:$W$1001,MATCH(ROWS($U$2:U141),$U$2:$U$1001,0),0), INDEX($AB$1004:$AQ$1004,1,MATCH(COLUMNS($AB$1006:AP1006),$AB$1006:$AQ$1006,0)))),"Fix")))</f>
        <v>0</v>
      </c>
      <c r="Q141" s="4">
        <f>IF(OR(INDEX($V$2:$V$1001,MATCH(ROWS($U$2:U141),$U$2:$U$1001,0),1)&gt;=100000,INDEX($AB$1005:$AQ$1005,1,MATCH(COLUMNS($AB$1006:AQ1006),$AB$1006:$AQ$1006,0))&gt;=100000), " ",IF(INDEX($AB$2:$AQ$1001,MATCH(ROWS($U$2:U141),$U$2:$U$1001,0),MATCH(COLUMNS($AB$1006:AQ1006),$AB$1006:$AQ$1006,0)), HYPERLINK("#",""), HYPERLINK(CONCATENATE("#metadata!", ADDRESS(INDEX($W$2:$W$1001,MATCH(ROWS($U$2:U141),$U$2:$U$1001,0),0), INDEX($AB$1004:$AQ$1004,1,MATCH(COLUMNS($AB$1006:AQ1006),$AB$1006:$AQ$1006,0)))),"Fix")))</f>
        <v>0</v>
      </c>
      <c r="U141">
        <v>0</v>
      </c>
      <c r="V141">
        <v>0</v>
      </c>
      <c r="W141">
        <v>0</v>
      </c>
      <c r="X141">
        <f>IF(Y141,TRUE,AND(AB141:AQ141))</f>
        <v>0</v>
      </c>
      <c r="Y141">
        <f>COUNTBLANK(metadata!B141:Q141)=COLUMNS(metadata!B141:Q141)</f>
        <v>0</v>
      </c>
      <c r="Z141">
        <v>0</v>
      </c>
      <c r="AB141">
        <f>AND(IF(metadata!B141="",FALSE,TRUE),COUNTIF(metadata!B:B, metadata!B141) = 1,NOT(ISERROR(SUMPRODUCT(SEARCH(MID(metadata!B141,ROW(INDIRECT("1:"&amp;LEN(metadata!B141))), 1),"0123456789abcdefghijklmnopqrstuvwxyzABCDEFGHIJKLMNOPQRSTUVWXYZ.")))))</f>
        <v>0</v>
      </c>
      <c r="AC141">
        <f>OR(AND(IF(metadata!C141="",FALSE,TRUE),OR(exact(metadata!C141,"missing: not collected"),exact(metadata!C141,"missing: not provided"),exact(metadata!C141,"missing: restricted access"))),AND(IF(metadata!C141="",FALSE,TRUE),AND(AND(IFERROR(INT(LEFT(metadata!C141,4))&gt;1900,FALSE),IFERROR(INT(LEFT(metadata!C141,4))&lt;=YEAR(NOW()),FALSE)), OR(MID(metadata!C141,5,1)="", AND(AND(MID(metadata!C141,5,1)="-",IFERROR(INT(MID(metadata!C141,6,1))&gt;=0,FALSE),IFERROR(INT(MID(metadata!C141,6,1))&lt;=1,FALSE),NOT(MID(metadata!C141,7,1)=""),IFERROR(INT(MID(metadata!C141,6,2))&gt;=1,FALSE),IFERROR(INT(MID(metadata!C141,6,2))&lt;=12,FALSE)), OR(MID(metadata!C141,8,1)="", AND(AND(MID(metadata!C141,8,1)="-",IFERROR(INT(MID(metadata!C141,9,1))&gt;=0,FALSE),IFERROR(INT(MID(metadata!C141,9,1))&lt;=3,FALSE),NOT(MID(metadata!C141,10,1)=""),IFERROR(INT(MID(metadata!C141,9,2))&gt;=1,FALSE),IFERROR(INT(MID(metadata!C141,9,2))&lt;=31,FALSE)), OR(MID(metadata!C141,11,1)="", AND(AND(MID(metadata!C141,11,1)=" ",IFERROR(INT(MID(metadata!C141,12,1))&gt;=0,FALSE),IFERROR(INT(MID(metadata!C141,12,1))&lt;=2,FALSE),NOT(MID(metadata!C141,13,1)=""),IFERROR(INT(MID(metadata!C141,12,2))&gt;=0,FALSE),IFERROR(INT(MID(metadata!C141,12,2))&lt;=23,FALSE)), OR(MID(metadata!C141,14,1)="", AND(AND(MID(metadata!C141,14,1)=":",IFERROR(INT(MID(metadata!C141,15,1))&gt;=0,FALSE),IFERROR(INT(MID(metadata!C141,15,1))&lt;=5,FALSE),NOT(MID(metadata!C141,16,1)=""),IFERROR(INT(MID(metadata!C141,15,2))&gt;=0,FALSE),IFERROR(INT(MID(metadata!C141,15,2))&lt;=59,FALSE)), OR(MID(metadata!C141,17,1)="", AND(AND(MID(metadata!C141,17,1)=":",IFERROR(INT(MID(metadata!C141,18,1))&gt;=0,FALSE),IFERROR(INT(MID(metadata!C141,18,1))&lt;=5,FALSE),NOT(MID(metadata!C141,19,1)=""),IFERROR(INT(MID(metadata!C141,18,2))&gt;=0,FALSE),IFERROR(INT(MID(metadata!C141,18,2))&lt;=59,FALSE)), LEN(metadata!C141)&lt;=19)))))))))))))</f>
        <v>0</v>
      </c>
      <c r="AD141">
        <f>IF(metadata!D141="",FALSE,TRUE)</f>
        <v>0</v>
      </c>
      <c r="AE141">
        <f>OR(AND(IF(metadata!E141="",FALSE,TRUE),OR(exact(metadata!E141,"missing: not collected"),exact(metadata!E141,"missing: not provided"))),AND(IF(metadata!E141="",FALSE,TRUE),OR(exact(metadata!E141,"TRUE"),exact(metadata!E141,"FALSE"))))</f>
        <v>0</v>
      </c>
      <c r="AF141">
        <f>IF(metadata!F141="",FALSE,TRUE)</f>
        <v>0</v>
      </c>
      <c r="AG141">
        <f>IF(metadata!G141="",FALSE,TRUE)</f>
        <v>0</v>
      </c>
      <c r="AH141">
        <f>IF(metadata!H141="",FALSE,TRUE)</f>
        <v>0</v>
      </c>
      <c r="AI141">
        <f>OR(AND(IF(metadata!I141="",FALSE,TRUE),OR(exact(metadata!I141,"missing: not collected"),exact(metadata!I141,"missing: not provided"),exact(metadata!I141,"missing: restricted access"))),AND(IF(metadata!I141="",FALSE,TRUE),OR(exact(metadata!I141,"air"),exact(metadata!I141,"built environment"),exact(metadata!I141,"host-associated"),exact(metadata!I141,"human-associated"),exact(metadata!I141,"human-skin"),exact(metadata!I141,"human-oral"),exact(metadata!I141,"human-gut"),exact(metadata!I141,"human-vaginal"),exact(metadata!I141,"microbial mat/biofilm"),exact(metadata!I141,"misc environment"),exact(metadata!I141,"plant-associated"),exact(metadata!I141,"sediment"),exact(metadata!I141,"soil"),exact(metadata!I141,"wastewater/sludge"),exact(metadata!I141,"water"))))</f>
        <v>0</v>
      </c>
      <c r="AJ141">
        <f>IF(metadata!J141="",FALSE,TRUE)</f>
        <v>0</v>
      </c>
      <c r="AK141">
        <f>OR(AND(IF(metadata!K141="",FALSE,TRUE),OR(exact(metadata!K141,"missing: not collected"),exact(metadata!K141,"missing: not provided"),exact(metadata!K141,"missing: restricted access"))),AND(IF(metadata!K141="",FALSE,ISNUMBER(VALUE(metadata!K141))),metadata!K141&gt;=-90.00,metadata!K141&lt;=90.00))</f>
        <v>0</v>
      </c>
      <c r="AL141">
        <f>OR(AND(IF(metadata!L141="",FALSE,TRUE),OR(exact(metadata!L141,"missing: not collected"),exact(metadata!L141,"missing: not provided"),exact(metadata!L141,"missing: restricted access"))),AND(IF(metadata!L141="",FALSE,ISNUMBER(VALUE(metadata!L141))),metadata!L141&gt;=-180.00,metadata!L141&lt;=180.00))</f>
        <v>0</v>
      </c>
      <c r="AM141">
        <f>IF(metadata!M141="",FALSE,TRUE)</f>
        <v>0</v>
      </c>
      <c r="AN141">
        <f>OR(AND(IF(metadata!N141="",FALSE,TRUE),OR(exact(metadata!N141,"missing: not collected"),exact(metadata!N141,"missing: not provided"),exact(metadata!N141,"missing: restricted access"))),AND(IF(metadata!N141="",FALSE,TRUE),OR(exact(metadata!N141,"TRUE"),exact(metadata!N141,"FALSE"))))</f>
        <v>0</v>
      </c>
      <c r="AO141">
        <f>IF(metadata!O141="",FALSE,TRUE)</f>
        <v>0</v>
      </c>
      <c r="AP141">
        <f>OR(AND(IF(metadata!P141="",FALSE,TRUE),OR(exact(metadata!P141,"missing: not collected"),exact(metadata!P141,"missing: not provided"))),AND(IF(metadata!P141="",FALSE,IF(ISERROR(INT(metadata!P141)),FALSE,INT(metadata!P141)=metadata!P141)),metadata!P141&gt;0))</f>
        <v>0</v>
      </c>
      <c r="AQ141">
        <f>IF(metadata!Q141="",FALSE,TRUE)</f>
        <v>0</v>
      </c>
    </row>
    <row r="142" spans="1:43">
      <c r="A142" s="5">
        <f>IF(B142=" "," ",HYPERLINK(CONCATENATE("#metadata!",ADDRESS(INDEX($W$2:$W$1001,MATCH(ROWS($U$2:U142),$U$2:$U$1001,0),0),1)),INDEX($Z$2:$Z$1001,MATCH(ROWS($U$2:U142),$U$2:$U$1001,0),0)))</f>
        <v>0</v>
      </c>
      <c r="B142" s="4">
        <f>IF(OR(INDEX($V$2:$V$1001,MATCH(ROWS($U$2:U142),$U$2:$U$1001,0),1)&gt;=100000,INDEX($AB$1005:$AQ$1005,1,MATCH(COLUMNS($AB$1006:AB1006),$AB$1006:$AQ$1006,0))&gt;=100000), " ",IF(INDEX($AB$2:$AQ$1001,MATCH(ROWS($U$2:U142),$U$2:$U$1001,0),MATCH(COLUMNS($AB$1006:AB1006),$AB$1006:$AQ$1006,0)), HYPERLINK("#",""), HYPERLINK(CONCATENATE("#metadata!", ADDRESS(INDEX($W$2:$W$1001,MATCH(ROWS($U$2:U142),$U$2:$U$1001,0),0), INDEX($AB$1004:$AQ$1004,1,MATCH(COLUMNS($AB$1006:AB1006),$AB$1006:$AQ$1006,0)))),"Fix")))</f>
        <v>0</v>
      </c>
      <c r="C142" s="4">
        <f>IF(OR(INDEX($V$2:$V$1001,MATCH(ROWS($U$2:U142),$U$2:$U$1001,0),1)&gt;=100000,INDEX($AB$1005:$AQ$1005,1,MATCH(COLUMNS($AB$1006:AC1006),$AB$1006:$AQ$1006,0))&gt;=100000), " ",IF(INDEX($AB$2:$AQ$1001,MATCH(ROWS($U$2:U142),$U$2:$U$1001,0),MATCH(COLUMNS($AB$1006:AC1006),$AB$1006:$AQ$1006,0)), HYPERLINK("#",""), HYPERLINK(CONCATENATE("#metadata!", ADDRESS(INDEX($W$2:$W$1001,MATCH(ROWS($U$2:U142),$U$2:$U$1001,0),0), INDEX($AB$1004:$AQ$1004,1,MATCH(COLUMNS($AB$1006:AC1006),$AB$1006:$AQ$1006,0)))),"Fix")))</f>
        <v>0</v>
      </c>
      <c r="D142" s="4">
        <f>IF(OR(INDEX($V$2:$V$1001,MATCH(ROWS($U$2:U142),$U$2:$U$1001,0),1)&gt;=100000,INDEX($AB$1005:$AQ$1005,1,MATCH(COLUMNS($AB$1006:AD1006),$AB$1006:$AQ$1006,0))&gt;=100000), " ",IF(INDEX($AB$2:$AQ$1001,MATCH(ROWS($U$2:U142),$U$2:$U$1001,0),MATCH(COLUMNS($AB$1006:AD1006),$AB$1006:$AQ$1006,0)), HYPERLINK("#",""), HYPERLINK(CONCATENATE("#metadata!", ADDRESS(INDEX($W$2:$W$1001,MATCH(ROWS($U$2:U142),$U$2:$U$1001,0),0), INDEX($AB$1004:$AQ$1004,1,MATCH(COLUMNS($AB$1006:AD1006),$AB$1006:$AQ$1006,0)))),"Fix")))</f>
        <v>0</v>
      </c>
      <c r="E142" s="4">
        <f>IF(OR(INDEX($V$2:$V$1001,MATCH(ROWS($U$2:U142),$U$2:$U$1001,0),1)&gt;=100000,INDEX($AB$1005:$AQ$1005,1,MATCH(COLUMNS($AB$1006:AE1006),$AB$1006:$AQ$1006,0))&gt;=100000), " ",IF(INDEX($AB$2:$AQ$1001,MATCH(ROWS($U$2:U142),$U$2:$U$1001,0),MATCH(COLUMNS($AB$1006:AE1006),$AB$1006:$AQ$1006,0)), HYPERLINK("#",""), HYPERLINK(CONCATENATE("#metadata!", ADDRESS(INDEX($W$2:$W$1001,MATCH(ROWS($U$2:U142),$U$2:$U$1001,0),0), INDEX($AB$1004:$AQ$1004,1,MATCH(COLUMNS($AB$1006:AE1006),$AB$1006:$AQ$1006,0)))),"Fix")))</f>
        <v>0</v>
      </c>
      <c r="F142" s="4">
        <f>IF(OR(INDEX($V$2:$V$1001,MATCH(ROWS($U$2:U142),$U$2:$U$1001,0),1)&gt;=100000,INDEX($AB$1005:$AQ$1005,1,MATCH(COLUMNS($AB$1006:AF1006),$AB$1006:$AQ$1006,0))&gt;=100000), " ",IF(INDEX($AB$2:$AQ$1001,MATCH(ROWS($U$2:U142),$U$2:$U$1001,0),MATCH(COLUMNS($AB$1006:AF1006),$AB$1006:$AQ$1006,0)), HYPERLINK("#",""), HYPERLINK(CONCATENATE("#metadata!", ADDRESS(INDEX($W$2:$W$1001,MATCH(ROWS($U$2:U142),$U$2:$U$1001,0),0), INDEX($AB$1004:$AQ$1004,1,MATCH(COLUMNS($AB$1006:AF1006),$AB$1006:$AQ$1006,0)))),"Fix")))</f>
        <v>0</v>
      </c>
      <c r="G142" s="4">
        <f>IF(OR(INDEX($V$2:$V$1001,MATCH(ROWS($U$2:U142),$U$2:$U$1001,0),1)&gt;=100000,INDEX($AB$1005:$AQ$1005,1,MATCH(COLUMNS($AB$1006:AG1006),$AB$1006:$AQ$1006,0))&gt;=100000), " ",IF(INDEX($AB$2:$AQ$1001,MATCH(ROWS($U$2:U142),$U$2:$U$1001,0),MATCH(COLUMNS($AB$1006:AG1006),$AB$1006:$AQ$1006,0)), HYPERLINK("#",""), HYPERLINK(CONCATENATE("#metadata!", ADDRESS(INDEX($W$2:$W$1001,MATCH(ROWS($U$2:U142),$U$2:$U$1001,0),0), INDEX($AB$1004:$AQ$1004,1,MATCH(COLUMNS($AB$1006:AG1006),$AB$1006:$AQ$1006,0)))),"Fix")))</f>
        <v>0</v>
      </c>
      <c r="H142" s="4">
        <f>IF(OR(INDEX($V$2:$V$1001,MATCH(ROWS($U$2:U142),$U$2:$U$1001,0),1)&gt;=100000,INDEX($AB$1005:$AQ$1005,1,MATCH(COLUMNS($AB$1006:AH1006),$AB$1006:$AQ$1006,0))&gt;=100000), " ",IF(INDEX($AB$2:$AQ$1001,MATCH(ROWS($U$2:U142),$U$2:$U$1001,0),MATCH(COLUMNS($AB$1006:AH1006),$AB$1006:$AQ$1006,0)), HYPERLINK("#",""), HYPERLINK(CONCATENATE("#metadata!", ADDRESS(INDEX($W$2:$W$1001,MATCH(ROWS($U$2:U142),$U$2:$U$1001,0),0), INDEX($AB$1004:$AQ$1004,1,MATCH(COLUMNS($AB$1006:AH1006),$AB$1006:$AQ$1006,0)))),"Fix")))</f>
        <v>0</v>
      </c>
      <c r="I142" s="4">
        <f>IF(OR(INDEX($V$2:$V$1001,MATCH(ROWS($U$2:U142),$U$2:$U$1001,0),1)&gt;=100000,INDEX($AB$1005:$AQ$1005,1,MATCH(COLUMNS($AB$1006:AI1006),$AB$1006:$AQ$1006,0))&gt;=100000), " ",IF(INDEX($AB$2:$AQ$1001,MATCH(ROWS($U$2:U142),$U$2:$U$1001,0),MATCH(COLUMNS($AB$1006:AI1006),$AB$1006:$AQ$1006,0)), HYPERLINK("#",""), HYPERLINK(CONCATENATE("#metadata!", ADDRESS(INDEX($W$2:$W$1001,MATCH(ROWS($U$2:U142),$U$2:$U$1001,0),0), INDEX($AB$1004:$AQ$1004,1,MATCH(COLUMNS($AB$1006:AI1006),$AB$1006:$AQ$1006,0)))),"Fix")))</f>
        <v>0</v>
      </c>
      <c r="J142" s="4">
        <f>IF(OR(INDEX($V$2:$V$1001,MATCH(ROWS($U$2:U142),$U$2:$U$1001,0),1)&gt;=100000,INDEX($AB$1005:$AQ$1005,1,MATCH(COLUMNS($AB$1006:AJ1006),$AB$1006:$AQ$1006,0))&gt;=100000), " ",IF(INDEX($AB$2:$AQ$1001,MATCH(ROWS($U$2:U142),$U$2:$U$1001,0),MATCH(COLUMNS($AB$1006:AJ1006),$AB$1006:$AQ$1006,0)), HYPERLINK("#",""), HYPERLINK(CONCATENATE("#metadata!", ADDRESS(INDEX($W$2:$W$1001,MATCH(ROWS($U$2:U142),$U$2:$U$1001,0),0), INDEX($AB$1004:$AQ$1004,1,MATCH(COLUMNS($AB$1006:AJ1006),$AB$1006:$AQ$1006,0)))),"Fix")))</f>
        <v>0</v>
      </c>
      <c r="K142" s="4">
        <f>IF(OR(INDEX($V$2:$V$1001,MATCH(ROWS($U$2:U142),$U$2:$U$1001,0),1)&gt;=100000,INDEX($AB$1005:$AQ$1005,1,MATCH(COLUMNS($AB$1006:AK1006),$AB$1006:$AQ$1006,0))&gt;=100000), " ",IF(INDEX($AB$2:$AQ$1001,MATCH(ROWS($U$2:U142),$U$2:$U$1001,0),MATCH(COLUMNS($AB$1006:AK1006),$AB$1006:$AQ$1006,0)), HYPERLINK("#",""), HYPERLINK(CONCATENATE("#metadata!", ADDRESS(INDEX($W$2:$W$1001,MATCH(ROWS($U$2:U142),$U$2:$U$1001,0),0), INDEX($AB$1004:$AQ$1004,1,MATCH(COLUMNS($AB$1006:AK1006),$AB$1006:$AQ$1006,0)))),"Fix")))</f>
        <v>0</v>
      </c>
      <c r="L142" s="4">
        <f>IF(OR(INDEX($V$2:$V$1001,MATCH(ROWS($U$2:U142),$U$2:$U$1001,0),1)&gt;=100000,INDEX($AB$1005:$AQ$1005,1,MATCH(COLUMNS($AB$1006:AL1006),$AB$1006:$AQ$1006,0))&gt;=100000), " ",IF(INDEX($AB$2:$AQ$1001,MATCH(ROWS($U$2:U142),$U$2:$U$1001,0),MATCH(COLUMNS($AB$1006:AL1006),$AB$1006:$AQ$1006,0)), HYPERLINK("#",""), HYPERLINK(CONCATENATE("#metadata!", ADDRESS(INDEX($W$2:$W$1001,MATCH(ROWS($U$2:U142),$U$2:$U$1001,0),0), INDEX($AB$1004:$AQ$1004,1,MATCH(COLUMNS($AB$1006:AL1006),$AB$1006:$AQ$1006,0)))),"Fix")))</f>
        <v>0</v>
      </c>
      <c r="M142" s="4">
        <f>IF(OR(INDEX($V$2:$V$1001,MATCH(ROWS($U$2:U142),$U$2:$U$1001,0),1)&gt;=100000,INDEX($AB$1005:$AQ$1005,1,MATCH(COLUMNS($AB$1006:AM1006),$AB$1006:$AQ$1006,0))&gt;=100000), " ",IF(INDEX($AB$2:$AQ$1001,MATCH(ROWS($U$2:U142),$U$2:$U$1001,0),MATCH(COLUMNS($AB$1006:AM1006),$AB$1006:$AQ$1006,0)), HYPERLINK("#",""), HYPERLINK(CONCATENATE("#metadata!", ADDRESS(INDEX($W$2:$W$1001,MATCH(ROWS($U$2:U142),$U$2:$U$1001,0),0), INDEX($AB$1004:$AQ$1004,1,MATCH(COLUMNS($AB$1006:AM1006),$AB$1006:$AQ$1006,0)))),"Fix")))</f>
        <v>0</v>
      </c>
      <c r="N142" s="4">
        <f>IF(OR(INDEX($V$2:$V$1001,MATCH(ROWS($U$2:U142),$U$2:$U$1001,0),1)&gt;=100000,INDEX($AB$1005:$AQ$1005,1,MATCH(COLUMNS($AB$1006:AN1006),$AB$1006:$AQ$1006,0))&gt;=100000), " ",IF(INDEX($AB$2:$AQ$1001,MATCH(ROWS($U$2:U142),$U$2:$U$1001,0),MATCH(COLUMNS($AB$1006:AN1006),$AB$1006:$AQ$1006,0)), HYPERLINK("#",""), HYPERLINK(CONCATENATE("#metadata!", ADDRESS(INDEX($W$2:$W$1001,MATCH(ROWS($U$2:U142),$U$2:$U$1001,0),0), INDEX($AB$1004:$AQ$1004,1,MATCH(COLUMNS($AB$1006:AN1006),$AB$1006:$AQ$1006,0)))),"Fix")))</f>
        <v>0</v>
      </c>
      <c r="O142" s="4">
        <f>IF(OR(INDEX($V$2:$V$1001,MATCH(ROWS($U$2:U142),$U$2:$U$1001,0),1)&gt;=100000,INDEX($AB$1005:$AQ$1005,1,MATCH(COLUMNS($AB$1006:AO1006),$AB$1006:$AQ$1006,0))&gt;=100000), " ",IF(INDEX($AB$2:$AQ$1001,MATCH(ROWS($U$2:U142),$U$2:$U$1001,0),MATCH(COLUMNS($AB$1006:AO1006),$AB$1006:$AQ$1006,0)), HYPERLINK("#",""), HYPERLINK(CONCATENATE("#metadata!", ADDRESS(INDEX($W$2:$W$1001,MATCH(ROWS($U$2:U142),$U$2:$U$1001,0),0), INDEX($AB$1004:$AQ$1004,1,MATCH(COLUMNS($AB$1006:AO1006),$AB$1006:$AQ$1006,0)))),"Fix")))</f>
        <v>0</v>
      </c>
      <c r="P142" s="4">
        <f>IF(OR(INDEX($V$2:$V$1001,MATCH(ROWS($U$2:U142),$U$2:$U$1001,0),1)&gt;=100000,INDEX($AB$1005:$AQ$1005,1,MATCH(COLUMNS($AB$1006:AP1006),$AB$1006:$AQ$1006,0))&gt;=100000), " ",IF(INDEX($AB$2:$AQ$1001,MATCH(ROWS($U$2:U142),$U$2:$U$1001,0),MATCH(COLUMNS($AB$1006:AP1006),$AB$1006:$AQ$1006,0)), HYPERLINK("#",""), HYPERLINK(CONCATENATE("#metadata!", ADDRESS(INDEX($W$2:$W$1001,MATCH(ROWS($U$2:U142),$U$2:$U$1001,0),0), INDEX($AB$1004:$AQ$1004,1,MATCH(COLUMNS($AB$1006:AP1006),$AB$1006:$AQ$1006,0)))),"Fix")))</f>
        <v>0</v>
      </c>
      <c r="Q142" s="4">
        <f>IF(OR(INDEX($V$2:$V$1001,MATCH(ROWS($U$2:U142),$U$2:$U$1001,0),1)&gt;=100000,INDEX($AB$1005:$AQ$1005,1,MATCH(COLUMNS($AB$1006:AQ1006),$AB$1006:$AQ$1006,0))&gt;=100000), " ",IF(INDEX($AB$2:$AQ$1001,MATCH(ROWS($U$2:U142),$U$2:$U$1001,0),MATCH(COLUMNS($AB$1006:AQ1006),$AB$1006:$AQ$1006,0)), HYPERLINK("#",""), HYPERLINK(CONCATENATE("#metadata!", ADDRESS(INDEX($W$2:$W$1001,MATCH(ROWS($U$2:U142),$U$2:$U$1001,0),0), INDEX($AB$1004:$AQ$1004,1,MATCH(COLUMNS($AB$1006:AQ1006),$AB$1006:$AQ$1006,0)))),"Fix")))</f>
        <v>0</v>
      </c>
      <c r="U142">
        <v>0</v>
      </c>
      <c r="V142">
        <v>0</v>
      </c>
      <c r="W142">
        <v>0</v>
      </c>
      <c r="X142">
        <f>IF(Y142,TRUE,AND(AB142:AQ142))</f>
        <v>0</v>
      </c>
      <c r="Y142">
        <f>COUNTBLANK(metadata!B142:Q142)=COLUMNS(metadata!B142:Q142)</f>
        <v>0</v>
      </c>
      <c r="Z142">
        <v>0</v>
      </c>
      <c r="AB142">
        <f>AND(IF(metadata!B142="",FALSE,TRUE),COUNTIF(metadata!B:B, metadata!B142) = 1,NOT(ISERROR(SUMPRODUCT(SEARCH(MID(metadata!B142,ROW(INDIRECT("1:"&amp;LEN(metadata!B142))), 1),"0123456789abcdefghijklmnopqrstuvwxyzABCDEFGHIJKLMNOPQRSTUVWXYZ.")))))</f>
        <v>0</v>
      </c>
      <c r="AC142">
        <f>OR(AND(IF(metadata!C142="",FALSE,TRUE),OR(exact(metadata!C142,"missing: not collected"),exact(metadata!C142,"missing: not provided"),exact(metadata!C142,"missing: restricted access"))),AND(IF(metadata!C142="",FALSE,TRUE),AND(AND(IFERROR(INT(LEFT(metadata!C142,4))&gt;1900,FALSE),IFERROR(INT(LEFT(metadata!C142,4))&lt;=YEAR(NOW()),FALSE)), OR(MID(metadata!C142,5,1)="", AND(AND(MID(metadata!C142,5,1)="-",IFERROR(INT(MID(metadata!C142,6,1))&gt;=0,FALSE),IFERROR(INT(MID(metadata!C142,6,1))&lt;=1,FALSE),NOT(MID(metadata!C142,7,1)=""),IFERROR(INT(MID(metadata!C142,6,2))&gt;=1,FALSE),IFERROR(INT(MID(metadata!C142,6,2))&lt;=12,FALSE)), OR(MID(metadata!C142,8,1)="", AND(AND(MID(metadata!C142,8,1)="-",IFERROR(INT(MID(metadata!C142,9,1))&gt;=0,FALSE),IFERROR(INT(MID(metadata!C142,9,1))&lt;=3,FALSE),NOT(MID(metadata!C142,10,1)=""),IFERROR(INT(MID(metadata!C142,9,2))&gt;=1,FALSE),IFERROR(INT(MID(metadata!C142,9,2))&lt;=31,FALSE)), OR(MID(metadata!C142,11,1)="", AND(AND(MID(metadata!C142,11,1)=" ",IFERROR(INT(MID(metadata!C142,12,1))&gt;=0,FALSE),IFERROR(INT(MID(metadata!C142,12,1))&lt;=2,FALSE),NOT(MID(metadata!C142,13,1)=""),IFERROR(INT(MID(metadata!C142,12,2))&gt;=0,FALSE),IFERROR(INT(MID(metadata!C142,12,2))&lt;=23,FALSE)), OR(MID(metadata!C142,14,1)="", AND(AND(MID(metadata!C142,14,1)=":",IFERROR(INT(MID(metadata!C142,15,1))&gt;=0,FALSE),IFERROR(INT(MID(metadata!C142,15,1))&lt;=5,FALSE),NOT(MID(metadata!C142,16,1)=""),IFERROR(INT(MID(metadata!C142,15,2))&gt;=0,FALSE),IFERROR(INT(MID(metadata!C142,15,2))&lt;=59,FALSE)), OR(MID(metadata!C142,17,1)="", AND(AND(MID(metadata!C142,17,1)=":",IFERROR(INT(MID(metadata!C142,18,1))&gt;=0,FALSE),IFERROR(INT(MID(metadata!C142,18,1))&lt;=5,FALSE),NOT(MID(metadata!C142,19,1)=""),IFERROR(INT(MID(metadata!C142,18,2))&gt;=0,FALSE),IFERROR(INT(MID(metadata!C142,18,2))&lt;=59,FALSE)), LEN(metadata!C142)&lt;=19)))))))))))))</f>
        <v>0</v>
      </c>
      <c r="AD142">
        <f>IF(metadata!D142="",FALSE,TRUE)</f>
        <v>0</v>
      </c>
      <c r="AE142">
        <f>OR(AND(IF(metadata!E142="",FALSE,TRUE),OR(exact(metadata!E142,"missing: not collected"),exact(metadata!E142,"missing: not provided"))),AND(IF(metadata!E142="",FALSE,TRUE),OR(exact(metadata!E142,"TRUE"),exact(metadata!E142,"FALSE"))))</f>
        <v>0</v>
      </c>
      <c r="AF142">
        <f>IF(metadata!F142="",FALSE,TRUE)</f>
        <v>0</v>
      </c>
      <c r="AG142">
        <f>IF(metadata!G142="",FALSE,TRUE)</f>
        <v>0</v>
      </c>
      <c r="AH142">
        <f>IF(metadata!H142="",FALSE,TRUE)</f>
        <v>0</v>
      </c>
      <c r="AI142">
        <f>OR(AND(IF(metadata!I142="",FALSE,TRUE),OR(exact(metadata!I142,"missing: not collected"),exact(metadata!I142,"missing: not provided"),exact(metadata!I142,"missing: restricted access"))),AND(IF(metadata!I142="",FALSE,TRUE),OR(exact(metadata!I142,"air"),exact(metadata!I142,"built environment"),exact(metadata!I142,"host-associated"),exact(metadata!I142,"human-associated"),exact(metadata!I142,"human-skin"),exact(metadata!I142,"human-oral"),exact(metadata!I142,"human-gut"),exact(metadata!I142,"human-vaginal"),exact(metadata!I142,"microbial mat/biofilm"),exact(metadata!I142,"misc environment"),exact(metadata!I142,"plant-associated"),exact(metadata!I142,"sediment"),exact(metadata!I142,"soil"),exact(metadata!I142,"wastewater/sludge"),exact(metadata!I142,"water"))))</f>
        <v>0</v>
      </c>
      <c r="AJ142">
        <f>IF(metadata!J142="",FALSE,TRUE)</f>
        <v>0</v>
      </c>
      <c r="AK142">
        <f>OR(AND(IF(metadata!K142="",FALSE,TRUE),OR(exact(metadata!K142,"missing: not collected"),exact(metadata!K142,"missing: not provided"),exact(metadata!K142,"missing: restricted access"))),AND(IF(metadata!K142="",FALSE,ISNUMBER(VALUE(metadata!K142))),metadata!K142&gt;=-90.00,metadata!K142&lt;=90.00))</f>
        <v>0</v>
      </c>
      <c r="AL142">
        <f>OR(AND(IF(metadata!L142="",FALSE,TRUE),OR(exact(metadata!L142,"missing: not collected"),exact(metadata!L142,"missing: not provided"),exact(metadata!L142,"missing: restricted access"))),AND(IF(metadata!L142="",FALSE,ISNUMBER(VALUE(metadata!L142))),metadata!L142&gt;=-180.00,metadata!L142&lt;=180.00))</f>
        <v>0</v>
      </c>
      <c r="AM142">
        <f>IF(metadata!M142="",FALSE,TRUE)</f>
        <v>0</v>
      </c>
      <c r="AN142">
        <f>OR(AND(IF(metadata!N142="",FALSE,TRUE),OR(exact(metadata!N142,"missing: not collected"),exact(metadata!N142,"missing: not provided"),exact(metadata!N142,"missing: restricted access"))),AND(IF(metadata!N142="",FALSE,TRUE),OR(exact(metadata!N142,"TRUE"),exact(metadata!N142,"FALSE"))))</f>
        <v>0</v>
      </c>
      <c r="AO142">
        <f>IF(metadata!O142="",FALSE,TRUE)</f>
        <v>0</v>
      </c>
      <c r="AP142">
        <f>OR(AND(IF(metadata!P142="",FALSE,TRUE),OR(exact(metadata!P142,"missing: not collected"),exact(metadata!P142,"missing: not provided"))),AND(IF(metadata!P142="",FALSE,IF(ISERROR(INT(metadata!P142)),FALSE,INT(metadata!P142)=metadata!P142)),metadata!P142&gt;0))</f>
        <v>0</v>
      </c>
      <c r="AQ142">
        <f>IF(metadata!Q142="",FALSE,TRUE)</f>
        <v>0</v>
      </c>
    </row>
    <row r="143" spans="1:43">
      <c r="A143" s="5">
        <f>IF(B143=" "," ",HYPERLINK(CONCATENATE("#metadata!",ADDRESS(INDEX($W$2:$W$1001,MATCH(ROWS($U$2:U143),$U$2:$U$1001,0),0),1)),INDEX($Z$2:$Z$1001,MATCH(ROWS($U$2:U143),$U$2:$U$1001,0),0)))</f>
        <v>0</v>
      </c>
      <c r="B143" s="4">
        <f>IF(OR(INDEX($V$2:$V$1001,MATCH(ROWS($U$2:U143),$U$2:$U$1001,0),1)&gt;=100000,INDEX($AB$1005:$AQ$1005,1,MATCH(COLUMNS($AB$1006:AB1006),$AB$1006:$AQ$1006,0))&gt;=100000), " ",IF(INDEX($AB$2:$AQ$1001,MATCH(ROWS($U$2:U143),$U$2:$U$1001,0),MATCH(COLUMNS($AB$1006:AB1006),$AB$1006:$AQ$1006,0)), HYPERLINK("#",""), HYPERLINK(CONCATENATE("#metadata!", ADDRESS(INDEX($W$2:$W$1001,MATCH(ROWS($U$2:U143),$U$2:$U$1001,0),0), INDEX($AB$1004:$AQ$1004,1,MATCH(COLUMNS($AB$1006:AB1006),$AB$1006:$AQ$1006,0)))),"Fix")))</f>
        <v>0</v>
      </c>
      <c r="C143" s="4">
        <f>IF(OR(INDEX($V$2:$V$1001,MATCH(ROWS($U$2:U143),$U$2:$U$1001,0),1)&gt;=100000,INDEX($AB$1005:$AQ$1005,1,MATCH(COLUMNS($AB$1006:AC1006),$AB$1006:$AQ$1006,0))&gt;=100000), " ",IF(INDEX($AB$2:$AQ$1001,MATCH(ROWS($U$2:U143),$U$2:$U$1001,0),MATCH(COLUMNS($AB$1006:AC1006),$AB$1006:$AQ$1006,0)), HYPERLINK("#",""), HYPERLINK(CONCATENATE("#metadata!", ADDRESS(INDEX($W$2:$W$1001,MATCH(ROWS($U$2:U143),$U$2:$U$1001,0),0), INDEX($AB$1004:$AQ$1004,1,MATCH(COLUMNS($AB$1006:AC1006),$AB$1006:$AQ$1006,0)))),"Fix")))</f>
        <v>0</v>
      </c>
      <c r="D143" s="4">
        <f>IF(OR(INDEX($V$2:$V$1001,MATCH(ROWS($U$2:U143),$U$2:$U$1001,0),1)&gt;=100000,INDEX($AB$1005:$AQ$1005,1,MATCH(COLUMNS($AB$1006:AD1006),$AB$1006:$AQ$1006,0))&gt;=100000), " ",IF(INDEX($AB$2:$AQ$1001,MATCH(ROWS($U$2:U143),$U$2:$U$1001,0),MATCH(COLUMNS($AB$1006:AD1006),$AB$1006:$AQ$1006,0)), HYPERLINK("#",""), HYPERLINK(CONCATENATE("#metadata!", ADDRESS(INDEX($W$2:$W$1001,MATCH(ROWS($U$2:U143),$U$2:$U$1001,0),0), INDEX($AB$1004:$AQ$1004,1,MATCH(COLUMNS($AB$1006:AD1006),$AB$1006:$AQ$1006,0)))),"Fix")))</f>
        <v>0</v>
      </c>
      <c r="E143" s="4">
        <f>IF(OR(INDEX($V$2:$V$1001,MATCH(ROWS($U$2:U143),$U$2:$U$1001,0),1)&gt;=100000,INDEX($AB$1005:$AQ$1005,1,MATCH(COLUMNS($AB$1006:AE1006),$AB$1006:$AQ$1006,0))&gt;=100000), " ",IF(INDEX($AB$2:$AQ$1001,MATCH(ROWS($U$2:U143),$U$2:$U$1001,0),MATCH(COLUMNS($AB$1006:AE1006),$AB$1006:$AQ$1006,0)), HYPERLINK("#",""), HYPERLINK(CONCATENATE("#metadata!", ADDRESS(INDEX($W$2:$W$1001,MATCH(ROWS($U$2:U143),$U$2:$U$1001,0),0), INDEX($AB$1004:$AQ$1004,1,MATCH(COLUMNS($AB$1006:AE1006),$AB$1006:$AQ$1006,0)))),"Fix")))</f>
        <v>0</v>
      </c>
      <c r="F143" s="4">
        <f>IF(OR(INDEX($V$2:$V$1001,MATCH(ROWS($U$2:U143),$U$2:$U$1001,0),1)&gt;=100000,INDEX($AB$1005:$AQ$1005,1,MATCH(COLUMNS($AB$1006:AF1006),$AB$1006:$AQ$1006,0))&gt;=100000), " ",IF(INDEX($AB$2:$AQ$1001,MATCH(ROWS($U$2:U143),$U$2:$U$1001,0),MATCH(COLUMNS($AB$1006:AF1006),$AB$1006:$AQ$1006,0)), HYPERLINK("#",""), HYPERLINK(CONCATENATE("#metadata!", ADDRESS(INDEX($W$2:$W$1001,MATCH(ROWS($U$2:U143),$U$2:$U$1001,0),0), INDEX($AB$1004:$AQ$1004,1,MATCH(COLUMNS($AB$1006:AF1006),$AB$1006:$AQ$1006,0)))),"Fix")))</f>
        <v>0</v>
      </c>
      <c r="G143" s="4">
        <f>IF(OR(INDEX($V$2:$V$1001,MATCH(ROWS($U$2:U143),$U$2:$U$1001,0),1)&gt;=100000,INDEX($AB$1005:$AQ$1005,1,MATCH(COLUMNS($AB$1006:AG1006),$AB$1006:$AQ$1006,0))&gt;=100000), " ",IF(INDEX($AB$2:$AQ$1001,MATCH(ROWS($U$2:U143),$U$2:$U$1001,0),MATCH(COLUMNS($AB$1006:AG1006),$AB$1006:$AQ$1006,0)), HYPERLINK("#",""), HYPERLINK(CONCATENATE("#metadata!", ADDRESS(INDEX($W$2:$W$1001,MATCH(ROWS($U$2:U143),$U$2:$U$1001,0),0), INDEX($AB$1004:$AQ$1004,1,MATCH(COLUMNS($AB$1006:AG1006),$AB$1006:$AQ$1006,0)))),"Fix")))</f>
        <v>0</v>
      </c>
      <c r="H143" s="4">
        <f>IF(OR(INDEX($V$2:$V$1001,MATCH(ROWS($U$2:U143),$U$2:$U$1001,0),1)&gt;=100000,INDEX($AB$1005:$AQ$1005,1,MATCH(COLUMNS($AB$1006:AH1006),$AB$1006:$AQ$1006,0))&gt;=100000), " ",IF(INDEX($AB$2:$AQ$1001,MATCH(ROWS($U$2:U143),$U$2:$U$1001,0),MATCH(COLUMNS($AB$1006:AH1006),$AB$1006:$AQ$1006,0)), HYPERLINK("#",""), HYPERLINK(CONCATENATE("#metadata!", ADDRESS(INDEX($W$2:$W$1001,MATCH(ROWS($U$2:U143),$U$2:$U$1001,0),0), INDEX($AB$1004:$AQ$1004,1,MATCH(COLUMNS($AB$1006:AH1006),$AB$1006:$AQ$1006,0)))),"Fix")))</f>
        <v>0</v>
      </c>
      <c r="I143" s="4">
        <f>IF(OR(INDEX($V$2:$V$1001,MATCH(ROWS($U$2:U143),$U$2:$U$1001,0),1)&gt;=100000,INDEX($AB$1005:$AQ$1005,1,MATCH(COLUMNS($AB$1006:AI1006),$AB$1006:$AQ$1006,0))&gt;=100000), " ",IF(INDEX($AB$2:$AQ$1001,MATCH(ROWS($U$2:U143),$U$2:$U$1001,0),MATCH(COLUMNS($AB$1006:AI1006),$AB$1006:$AQ$1006,0)), HYPERLINK("#",""), HYPERLINK(CONCATENATE("#metadata!", ADDRESS(INDEX($W$2:$W$1001,MATCH(ROWS($U$2:U143),$U$2:$U$1001,0),0), INDEX($AB$1004:$AQ$1004,1,MATCH(COLUMNS($AB$1006:AI1006),$AB$1006:$AQ$1006,0)))),"Fix")))</f>
        <v>0</v>
      </c>
      <c r="J143" s="4">
        <f>IF(OR(INDEX($V$2:$V$1001,MATCH(ROWS($U$2:U143),$U$2:$U$1001,0),1)&gt;=100000,INDEX($AB$1005:$AQ$1005,1,MATCH(COLUMNS($AB$1006:AJ1006),$AB$1006:$AQ$1006,0))&gt;=100000), " ",IF(INDEX($AB$2:$AQ$1001,MATCH(ROWS($U$2:U143),$U$2:$U$1001,0),MATCH(COLUMNS($AB$1006:AJ1006),$AB$1006:$AQ$1006,0)), HYPERLINK("#",""), HYPERLINK(CONCATENATE("#metadata!", ADDRESS(INDEX($W$2:$W$1001,MATCH(ROWS($U$2:U143),$U$2:$U$1001,0),0), INDEX($AB$1004:$AQ$1004,1,MATCH(COLUMNS($AB$1006:AJ1006),$AB$1006:$AQ$1006,0)))),"Fix")))</f>
        <v>0</v>
      </c>
      <c r="K143" s="4">
        <f>IF(OR(INDEX($V$2:$V$1001,MATCH(ROWS($U$2:U143),$U$2:$U$1001,0),1)&gt;=100000,INDEX($AB$1005:$AQ$1005,1,MATCH(COLUMNS($AB$1006:AK1006),$AB$1006:$AQ$1006,0))&gt;=100000), " ",IF(INDEX($AB$2:$AQ$1001,MATCH(ROWS($U$2:U143),$U$2:$U$1001,0),MATCH(COLUMNS($AB$1006:AK1006),$AB$1006:$AQ$1006,0)), HYPERLINK("#",""), HYPERLINK(CONCATENATE("#metadata!", ADDRESS(INDEX($W$2:$W$1001,MATCH(ROWS($U$2:U143),$U$2:$U$1001,0),0), INDEX($AB$1004:$AQ$1004,1,MATCH(COLUMNS($AB$1006:AK1006),$AB$1006:$AQ$1006,0)))),"Fix")))</f>
        <v>0</v>
      </c>
      <c r="L143" s="4">
        <f>IF(OR(INDEX($V$2:$V$1001,MATCH(ROWS($U$2:U143),$U$2:$U$1001,0),1)&gt;=100000,INDEX($AB$1005:$AQ$1005,1,MATCH(COLUMNS($AB$1006:AL1006),$AB$1006:$AQ$1006,0))&gt;=100000), " ",IF(INDEX($AB$2:$AQ$1001,MATCH(ROWS($U$2:U143),$U$2:$U$1001,0),MATCH(COLUMNS($AB$1006:AL1006),$AB$1006:$AQ$1006,0)), HYPERLINK("#",""), HYPERLINK(CONCATENATE("#metadata!", ADDRESS(INDEX($W$2:$W$1001,MATCH(ROWS($U$2:U143),$U$2:$U$1001,0),0), INDEX($AB$1004:$AQ$1004,1,MATCH(COLUMNS($AB$1006:AL1006),$AB$1006:$AQ$1006,0)))),"Fix")))</f>
        <v>0</v>
      </c>
      <c r="M143" s="4">
        <f>IF(OR(INDEX($V$2:$V$1001,MATCH(ROWS($U$2:U143),$U$2:$U$1001,0),1)&gt;=100000,INDEX($AB$1005:$AQ$1005,1,MATCH(COLUMNS($AB$1006:AM1006),$AB$1006:$AQ$1006,0))&gt;=100000), " ",IF(INDEX($AB$2:$AQ$1001,MATCH(ROWS($U$2:U143),$U$2:$U$1001,0),MATCH(COLUMNS($AB$1006:AM1006),$AB$1006:$AQ$1006,0)), HYPERLINK("#",""), HYPERLINK(CONCATENATE("#metadata!", ADDRESS(INDEX($W$2:$W$1001,MATCH(ROWS($U$2:U143),$U$2:$U$1001,0),0), INDEX($AB$1004:$AQ$1004,1,MATCH(COLUMNS($AB$1006:AM1006),$AB$1006:$AQ$1006,0)))),"Fix")))</f>
        <v>0</v>
      </c>
      <c r="N143" s="4">
        <f>IF(OR(INDEX($V$2:$V$1001,MATCH(ROWS($U$2:U143),$U$2:$U$1001,0),1)&gt;=100000,INDEX($AB$1005:$AQ$1005,1,MATCH(COLUMNS($AB$1006:AN1006),$AB$1006:$AQ$1006,0))&gt;=100000), " ",IF(INDEX($AB$2:$AQ$1001,MATCH(ROWS($U$2:U143),$U$2:$U$1001,0),MATCH(COLUMNS($AB$1006:AN1006),$AB$1006:$AQ$1006,0)), HYPERLINK("#",""), HYPERLINK(CONCATENATE("#metadata!", ADDRESS(INDEX($W$2:$W$1001,MATCH(ROWS($U$2:U143),$U$2:$U$1001,0),0), INDEX($AB$1004:$AQ$1004,1,MATCH(COLUMNS($AB$1006:AN1006),$AB$1006:$AQ$1006,0)))),"Fix")))</f>
        <v>0</v>
      </c>
      <c r="O143" s="4">
        <f>IF(OR(INDEX($V$2:$V$1001,MATCH(ROWS($U$2:U143),$U$2:$U$1001,0),1)&gt;=100000,INDEX($AB$1005:$AQ$1005,1,MATCH(COLUMNS($AB$1006:AO1006),$AB$1006:$AQ$1006,0))&gt;=100000), " ",IF(INDEX($AB$2:$AQ$1001,MATCH(ROWS($U$2:U143),$U$2:$U$1001,0),MATCH(COLUMNS($AB$1006:AO1006),$AB$1006:$AQ$1006,0)), HYPERLINK("#",""), HYPERLINK(CONCATENATE("#metadata!", ADDRESS(INDEX($W$2:$W$1001,MATCH(ROWS($U$2:U143),$U$2:$U$1001,0),0), INDEX($AB$1004:$AQ$1004,1,MATCH(COLUMNS($AB$1006:AO1006),$AB$1006:$AQ$1006,0)))),"Fix")))</f>
        <v>0</v>
      </c>
      <c r="P143" s="4">
        <f>IF(OR(INDEX($V$2:$V$1001,MATCH(ROWS($U$2:U143),$U$2:$U$1001,0),1)&gt;=100000,INDEX($AB$1005:$AQ$1005,1,MATCH(COLUMNS($AB$1006:AP1006),$AB$1006:$AQ$1006,0))&gt;=100000), " ",IF(INDEX($AB$2:$AQ$1001,MATCH(ROWS($U$2:U143),$U$2:$U$1001,0),MATCH(COLUMNS($AB$1006:AP1006),$AB$1006:$AQ$1006,0)), HYPERLINK("#",""), HYPERLINK(CONCATENATE("#metadata!", ADDRESS(INDEX($W$2:$W$1001,MATCH(ROWS($U$2:U143),$U$2:$U$1001,0),0), INDEX($AB$1004:$AQ$1004,1,MATCH(COLUMNS($AB$1006:AP1006),$AB$1006:$AQ$1006,0)))),"Fix")))</f>
        <v>0</v>
      </c>
      <c r="Q143" s="4">
        <f>IF(OR(INDEX($V$2:$V$1001,MATCH(ROWS($U$2:U143),$U$2:$U$1001,0),1)&gt;=100000,INDEX($AB$1005:$AQ$1005,1,MATCH(COLUMNS($AB$1006:AQ1006),$AB$1006:$AQ$1006,0))&gt;=100000), " ",IF(INDEX($AB$2:$AQ$1001,MATCH(ROWS($U$2:U143),$U$2:$U$1001,0),MATCH(COLUMNS($AB$1006:AQ1006),$AB$1006:$AQ$1006,0)), HYPERLINK("#",""), HYPERLINK(CONCATENATE("#metadata!", ADDRESS(INDEX($W$2:$W$1001,MATCH(ROWS($U$2:U143),$U$2:$U$1001,0),0), INDEX($AB$1004:$AQ$1004,1,MATCH(COLUMNS($AB$1006:AQ1006),$AB$1006:$AQ$1006,0)))),"Fix")))</f>
        <v>0</v>
      </c>
      <c r="U143">
        <v>0</v>
      </c>
      <c r="V143">
        <v>0</v>
      </c>
      <c r="W143">
        <v>0</v>
      </c>
      <c r="X143">
        <f>IF(Y143,TRUE,AND(AB143:AQ143))</f>
        <v>0</v>
      </c>
      <c r="Y143">
        <f>COUNTBLANK(metadata!B143:Q143)=COLUMNS(metadata!B143:Q143)</f>
        <v>0</v>
      </c>
      <c r="Z143">
        <v>0</v>
      </c>
      <c r="AB143">
        <f>AND(IF(metadata!B143="",FALSE,TRUE),COUNTIF(metadata!B:B, metadata!B143) = 1,NOT(ISERROR(SUMPRODUCT(SEARCH(MID(metadata!B143,ROW(INDIRECT("1:"&amp;LEN(metadata!B143))), 1),"0123456789abcdefghijklmnopqrstuvwxyzABCDEFGHIJKLMNOPQRSTUVWXYZ.")))))</f>
        <v>0</v>
      </c>
      <c r="AC143">
        <f>OR(AND(IF(metadata!C143="",FALSE,TRUE),OR(exact(metadata!C143,"missing: not collected"),exact(metadata!C143,"missing: not provided"),exact(metadata!C143,"missing: restricted access"))),AND(IF(metadata!C143="",FALSE,TRUE),AND(AND(IFERROR(INT(LEFT(metadata!C143,4))&gt;1900,FALSE),IFERROR(INT(LEFT(metadata!C143,4))&lt;=YEAR(NOW()),FALSE)), OR(MID(metadata!C143,5,1)="", AND(AND(MID(metadata!C143,5,1)="-",IFERROR(INT(MID(metadata!C143,6,1))&gt;=0,FALSE),IFERROR(INT(MID(metadata!C143,6,1))&lt;=1,FALSE),NOT(MID(metadata!C143,7,1)=""),IFERROR(INT(MID(metadata!C143,6,2))&gt;=1,FALSE),IFERROR(INT(MID(metadata!C143,6,2))&lt;=12,FALSE)), OR(MID(metadata!C143,8,1)="", AND(AND(MID(metadata!C143,8,1)="-",IFERROR(INT(MID(metadata!C143,9,1))&gt;=0,FALSE),IFERROR(INT(MID(metadata!C143,9,1))&lt;=3,FALSE),NOT(MID(metadata!C143,10,1)=""),IFERROR(INT(MID(metadata!C143,9,2))&gt;=1,FALSE),IFERROR(INT(MID(metadata!C143,9,2))&lt;=31,FALSE)), OR(MID(metadata!C143,11,1)="", AND(AND(MID(metadata!C143,11,1)=" ",IFERROR(INT(MID(metadata!C143,12,1))&gt;=0,FALSE),IFERROR(INT(MID(metadata!C143,12,1))&lt;=2,FALSE),NOT(MID(metadata!C143,13,1)=""),IFERROR(INT(MID(metadata!C143,12,2))&gt;=0,FALSE),IFERROR(INT(MID(metadata!C143,12,2))&lt;=23,FALSE)), OR(MID(metadata!C143,14,1)="", AND(AND(MID(metadata!C143,14,1)=":",IFERROR(INT(MID(metadata!C143,15,1))&gt;=0,FALSE),IFERROR(INT(MID(metadata!C143,15,1))&lt;=5,FALSE),NOT(MID(metadata!C143,16,1)=""),IFERROR(INT(MID(metadata!C143,15,2))&gt;=0,FALSE),IFERROR(INT(MID(metadata!C143,15,2))&lt;=59,FALSE)), OR(MID(metadata!C143,17,1)="", AND(AND(MID(metadata!C143,17,1)=":",IFERROR(INT(MID(metadata!C143,18,1))&gt;=0,FALSE),IFERROR(INT(MID(metadata!C143,18,1))&lt;=5,FALSE),NOT(MID(metadata!C143,19,1)=""),IFERROR(INT(MID(metadata!C143,18,2))&gt;=0,FALSE),IFERROR(INT(MID(metadata!C143,18,2))&lt;=59,FALSE)), LEN(metadata!C143)&lt;=19)))))))))))))</f>
        <v>0</v>
      </c>
      <c r="AD143">
        <f>IF(metadata!D143="",FALSE,TRUE)</f>
        <v>0</v>
      </c>
      <c r="AE143">
        <f>OR(AND(IF(metadata!E143="",FALSE,TRUE),OR(exact(metadata!E143,"missing: not collected"),exact(metadata!E143,"missing: not provided"))),AND(IF(metadata!E143="",FALSE,TRUE),OR(exact(metadata!E143,"TRUE"),exact(metadata!E143,"FALSE"))))</f>
        <v>0</v>
      </c>
      <c r="AF143">
        <f>IF(metadata!F143="",FALSE,TRUE)</f>
        <v>0</v>
      </c>
      <c r="AG143">
        <f>IF(metadata!G143="",FALSE,TRUE)</f>
        <v>0</v>
      </c>
      <c r="AH143">
        <f>IF(metadata!H143="",FALSE,TRUE)</f>
        <v>0</v>
      </c>
      <c r="AI143">
        <f>OR(AND(IF(metadata!I143="",FALSE,TRUE),OR(exact(metadata!I143,"missing: not collected"),exact(metadata!I143,"missing: not provided"),exact(metadata!I143,"missing: restricted access"))),AND(IF(metadata!I143="",FALSE,TRUE),OR(exact(metadata!I143,"air"),exact(metadata!I143,"built environment"),exact(metadata!I143,"host-associated"),exact(metadata!I143,"human-associated"),exact(metadata!I143,"human-skin"),exact(metadata!I143,"human-oral"),exact(metadata!I143,"human-gut"),exact(metadata!I143,"human-vaginal"),exact(metadata!I143,"microbial mat/biofilm"),exact(metadata!I143,"misc environment"),exact(metadata!I143,"plant-associated"),exact(metadata!I143,"sediment"),exact(metadata!I143,"soil"),exact(metadata!I143,"wastewater/sludge"),exact(metadata!I143,"water"))))</f>
        <v>0</v>
      </c>
      <c r="AJ143">
        <f>IF(metadata!J143="",FALSE,TRUE)</f>
        <v>0</v>
      </c>
      <c r="AK143">
        <f>OR(AND(IF(metadata!K143="",FALSE,TRUE),OR(exact(metadata!K143,"missing: not collected"),exact(metadata!K143,"missing: not provided"),exact(metadata!K143,"missing: restricted access"))),AND(IF(metadata!K143="",FALSE,ISNUMBER(VALUE(metadata!K143))),metadata!K143&gt;=-90.00,metadata!K143&lt;=90.00))</f>
        <v>0</v>
      </c>
      <c r="AL143">
        <f>OR(AND(IF(metadata!L143="",FALSE,TRUE),OR(exact(metadata!L143,"missing: not collected"),exact(metadata!L143,"missing: not provided"),exact(metadata!L143,"missing: restricted access"))),AND(IF(metadata!L143="",FALSE,ISNUMBER(VALUE(metadata!L143))),metadata!L143&gt;=-180.00,metadata!L143&lt;=180.00))</f>
        <v>0</v>
      </c>
      <c r="AM143">
        <f>IF(metadata!M143="",FALSE,TRUE)</f>
        <v>0</v>
      </c>
      <c r="AN143">
        <f>OR(AND(IF(metadata!N143="",FALSE,TRUE),OR(exact(metadata!N143,"missing: not collected"),exact(metadata!N143,"missing: not provided"),exact(metadata!N143,"missing: restricted access"))),AND(IF(metadata!N143="",FALSE,TRUE),OR(exact(metadata!N143,"TRUE"),exact(metadata!N143,"FALSE"))))</f>
        <v>0</v>
      </c>
      <c r="AO143">
        <f>IF(metadata!O143="",FALSE,TRUE)</f>
        <v>0</v>
      </c>
      <c r="AP143">
        <f>OR(AND(IF(metadata!P143="",FALSE,TRUE),OR(exact(metadata!P143,"missing: not collected"),exact(metadata!P143,"missing: not provided"))),AND(IF(metadata!P143="",FALSE,IF(ISERROR(INT(metadata!P143)),FALSE,INT(metadata!P143)=metadata!P143)),metadata!P143&gt;0))</f>
        <v>0</v>
      </c>
      <c r="AQ143">
        <f>IF(metadata!Q143="",FALSE,TRUE)</f>
        <v>0</v>
      </c>
    </row>
    <row r="144" spans="1:43">
      <c r="A144" s="5">
        <f>IF(B144=" "," ",HYPERLINK(CONCATENATE("#metadata!",ADDRESS(INDEX($W$2:$W$1001,MATCH(ROWS($U$2:U144),$U$2:$U$1001,0),0),1)),INDEX($Z$2:$Z$1001,MATCH(ROWS($U$2:U144),$U$2:$U$1001,0),0)))</f>
        <v>0</v>
      </c>
      <c r="B144" s="4">
        <f>IF(OR(INDEX($V$2:$V$1001,MATCH(ROWS($U$2:U144),$U$2:$U$1001,0),1)&gt;=100000,INDEX($AB$1005:$AQ$1005,1,MATCH(COLUMNS($AB$1006:AB1006),$AB$1006:$AQ$1006,0))&gt;=100000), " ",IF(INDEX($AB$2:$AQ$1001,MATCH(ROWS($U$2:U144),$U$2:$U$1001,0),MATCH(COLUMNS($AB$1006:AB1006),$AB$1006:$AQ$1006,0)), HYPERLINK("#",""), HYPERLINK(CONCATENATE("#metadata!", ADDRESS(INDEX($W$2:$W$1001,MATCH(ROWS($U$2:U144),$U$2:$U$1001,0),0), INDEX($AB$1004:$AQ$1004,1,MATCH(COLUMNS($AB$1006:AB1006),$AB$1006:$AQ$1006,0)))),"Fix")))</f>
        <v>0</v>
      </c>
      <c r="C144" s="4">
        <f>IF(OR(INDEX($V$2:$V$1001,MATCH(ROWS($U$2:U144),$U$2:$U$1001,0),1)&gt;=100000,INDEX($AB$1005:$AQ$1005,1,MATCH(COLUMNS($AB$1006:AC1006),$AB$1006:$AQ$1006,0))&gt;=100000), " ",IF(INDEX($AB$2:$AQ$1001,MATCH(ROWS($U$2:U144),$U$2:$U$1001,0),MATCH(COLUMNS($AB$1006:AC1006),$AB$1006:$AQ$1006,0)), HYPERLINK("#",""), HYPERLINK(CONCATENATE("#metadata!", ADDRESS(INDEX($W$2:$W$1001,MATCH(ROWS($U$2:U144),$U$2:$U$1001,0),0), INDEX($AB$1004:$AQ$1004,1,MATCH(COLUMNS($AB$1006:AC1006),$AB$1006:$AQ$1006,0)))),"Fix")))</f>
        <v>0</v>
      </c>
      <c r="D144" s="4">
        <f>IF(OR(INDEX($V$2:$V$1001,MATCH(ROWS($U$2:U144),$U$2:$U$1001,0),1)&gt;=100000,INDEX($AB$1005:$AQ$1005,1,MATCH(COLUMNS($AB$1006:AD1006),$AB$1006:$AQ$1006,0))&gt;=100000), " ",IF(INDEX($AB$2:$AQ$1001,MATCH(ROWS($U$2:U144),$U$2:$U$1001,0),MATCH(COLUMNS($AB$1006:AD1006),$AB$1006:$AQ$1006,0)), HYPERLINK("#",""), HYPERLINK(CONCATENATE("#metadata!", ADDRESS(INDEX($W$2:$W$1001,MATCH(ROWS($U$2:U144),$U$2:$U$1001,0),0), INDEX($AB$1004:$AQ$1004,1,MATCH(COLUMNS($AB$1006:AD1006),$AB$1006:$AQ$1006,0)))),"Fix")))</f>
        <v>0</v>
      </c>
      <c r="E144" s="4">
        <f>IF(OR(INDEX($V$2:$V$1001,MATCH(ROWS($U$2:U144),$U$2:$U$1001,0),1)&gt;=100000,INDEX($AB$1005:$AQ$1005,1,MATCH(COLUMNS($AB$1006:AE1006),$AB$1006:$AQ$1006,0))&gt;=100000), " ",IF(INDEX($AB$2:$AQ$1001,MATCH(ROWS($U$2:U144),$U$2:$U$1001,0),MATCH(COLUMNS($AB$1006:AE1006),$AB$1006:$AQ$1006,0)), HYPERLINK("#",""), HYPERLINK(CONCATENATE("#metadata!", ADDRESS(INDEX($W$2:$W$1001,MATCH(ROWS($U$2:U144),$U$2:$U$1001,0),0), INDEX($AB$1004:$AQ$1004,1,MATCH(COLUMNS($AB$1006:AE1006),$AB$1006:$AQ$1006,0)))),"Fix")))</f>
        <v>0</v>
      </c>
      <c r="F144" s="4">
        <f>IF(OR(INDEX($V$2:$V$1001,MATCH(ROWS($U$2:U144),$U$2:$U$1001,0),1)&gt;=100000,INDEX($AB$1005:$AQ$1005,1,MATCH(COLUMNS($AB$1006:AF1006),$AB$1006:$AQ$1006,0))&gt;=100000), " ",IF(INDEX($AB$2:$AQ$1001,MATCH(ROWS($U$2:U144),$U$2:$U$1001,0),MATCH(COLUMNS($AB$1006:AF1006),$AB$1006:$AQ$1006,0)), HYPERLINK("#",""), HYPERLINK(CONCATENATE("#metadata!", ADDRESS(INDEX($W$2:$W$1001,MATCH(ROWS($U$2:U144),$U$2:$U$1001,0),0), INDEX($AB$1004:$AQ$1004,1,MATCH(COLUMNS($AB$1006:AF1006),$AB$1006:$AQ$1006,0)))),"Fix")))</f>
        <v>0</v>
      </c>
      <c r="G144" s="4">
        <f>IF(OR(INDEX($V$2:$V$1001,MATCH(ROWS($U$2:U144),$U$2:$U$1001,0),1)&gt;=100000,INDEX($AB$1005:$AQ$1005,1,MATCH(COLUMNS($AB$1006:AG1006),$AB$1006:$AQ$1006,0))&gt;=100000), " ",IF(INDEX($AB$2:$AQ$1001,MATCH(ROWS($U$2:U144),$U$2:$U$1001,0),MATCH(COLUMNS($AB$1006:AG1006),$AB$1006:$AQ$1006,0)), HYPERLINK("#",""), HYPERLINK(CONCATENATE("#metadata!", ADDRESS(INDEX($W$2:$W$1001,MATCH(ROWS($U$2:U144),$U$2:$U$1001,0),0), INDEX($AB$1004:$AQ$1004,1,MATCH(COLUMNS($AB$1006:AG1006),$AB$1006:$AQ$1006,0)))),"Fix")))</f>
        <v>0</v>
      </c>
      <c r="H144" s="4">
        <f>IF(OR(INDEX($V$2:$V$1001,MATCH(ROWS($U$2:U144),$U$2:$U$1001,0),1)&gt;=100000,INDEX($AB$1005:$AQ$1005,1,MATCH(COLUMNS($AB$1006:AH1006),$AB$1006:$AQ$1006,0))&gt;=100000), " ",IF(INDEX($AB$2:$AQ$1001,MATCH(ROWS($U$2:U144),$U$2:$U$1001,0),MATCH(COLUMNS($AB$1006:AH1006),$AB$1006:$AQ$1006,0)), HYPERLINK("#",""), HYPERLINK(CONCATENATE("#metadata!", ADDRESS(INDEX($W$2:$W$1001,MATCH(ROWS($U$2:U144),$U$2:$U$1001,0),0), INDEX($AB$1004:$AQ$1004,1,MATCH(COLUMNS($AB$1006:AH1006),$AB$1006:$AQ$1006,0)))),"Fix")))</f>
        <v>0</v>
      </c>
      <c r="I144" s="4">
        <f>IF(OR(INDEX($V$2:$V$1001,MATCH(ROWS($U$2:U144),$U$2:$U$1001,0),1)&gt;=100000,INDEX($AB$1005:$AQ$1005,1,MATCH(COLUMNS($AB$1006:AI1006),$AB$1006:$AQ$1006,0))&gt;=100000), " ",IF(INDEX($AB$2:$AQ$1001,MATCH(ROWS($U$2:U144),$U$2:$U$1001,0),MATCH(COLUMNS($AB$1006:AI1006),$AB$1006:$AQ$1006,0)), HYPERLINK("#",""), HYPERLINK(CONCATENATE("#metadata!", ADDRESS(INDEX($W$2:$W$1001,MATCH(ROWS($U$2:U144),$U$2:$U$1001,0),0), INDEX($AB$1004:$AQ$1004,1,MATCH(COLUMNS($AB$1006:AI1006),$AB$1006:$AQ$1006,0)))),"Fix")))</f>
        <v>0</v>
      </c>
      <c r="J144" s="4">
        <f>IF(OR(INDEX($V$2:$V$1001,MATCH(ROWS($U$2:U144),$U$2:$U$1001,0),1)&gt;=100000,INDEX($AB$1005:$AQ$1005,1,MATCH(COLUMNS($AB$1006:AJ1006),$AB$1006:$AQ$1006,0))&gt;=100000), " ",IF(INDEX($AB$2:$AQ$1001,MATCH(ROWS($U$2:U144),$U$2:$U$1001,0),MATCH(COLUMNS($AB$1006:AJ1006),$AB$1006:$AQ$1006,0)), HYPERLINK("#",""), HYPERLINK(CONCATENATE("#metadata!", ADDRESS(INDEX($W$2:$W$1001,MATCH(ROWS($U$2:U144),$U$2:$U$1001,0),0), INDEX($AB$1004:$AQ$1004,1,MATCH(COLUMNS($AB$1006:AJ1006),$AB$1006:$AQ$1006,0)))),"Fix")))</f>
        <v>0</v>
      </c>
      <c r="K144" s="4">
        <f>IF(OR(INDEX($V$2:$V$1001,MATCH(ROWS($U$2:U144),$U$2:$U$1001,0),1)&gt;=100000,INDEX($AB$1005:$AQ$1005,1,MATCH(COLUMNS($AB$1006:AK1006),$AB$1006:$AQ$1006,0))&gt;=100000), " ",IF(INDEX($AB$2:$AQ$1001,MATCH(ROWS($U$2:U144),$U$2:$U$1001,0),MATCH(COLUMNS($AB$1006:AK1006),$AB$1006:$AQ$1006,0)), HYPERLINK("#",""), HYPERLINK(CONCATENATE("#metadata!", ADDRESS(INDEX($W$2:$W$1001,MATCH(ROWS($U$2:U144),$U$2:$U$1001,0),0), INDEX($AB$1004:$AQ$1004,1,MATCH(COLUMNS($AB$1006:AK1006),$AB$1006:$AQ$1006,0)))),"Fix")))</f>
        <v>0</v>
      </c>
      <c r="L144" s="4">
        <f>IF(OR(INDEX($V$2:$V$1001,MATCH(ROWS($U$2:U144),$U$2:$U$1001,0),1)&gt;=100000,INDEX($AB$1005:$AQ$1005,1,MATCH(COLUMNS($AB$1006:AL1006),$AB$1006:$AQ$1006,0))&gt;=100000), " ",IF(INDEX($AB$2:$AQ$1001,MATCH(ROWS($U$2:U144),$U$2:$U$1001,0),MATCH(COLUMNS($AB$1006:AL1006),$AB$1006:$AQ$1006,0)), HYPERLINK("#",""), HYPERLINK(CONCATENATE("#metadata!", ADDRESS(INDEX($W$2:$W$1001,MATCH(ROWS($U$2:U144),$U$2:$U$1001,0),0), INDEX($AB$1004:$AQ$1004,1,MATCH(COLUMNS($AB$1006:AL1006),$AB$1006:$AQ$1006,0)))),"Fix")))</f>
        <v>0</v>
      </c>
      <c r="M144" s="4">
        <f>IF(OR(INDEX($V$2:$V$1001,MATCH(ROWS($U$2:U144),$U$2:$U$1001,0),1)&gt;=100000,INDEX($AB$1005:$AQ$1005,1,MATCH(COLUMNS($AB$1006:AM1006),$AB$1006:$AQ$1006,0))&gt;=100000), " ",IF(INDEX($AB$2:$AQ$1001,MATCH(ROWS($U$2:U144),$U$2:$U$1001,0),MATCH(COLUMNS($AB$1006:AM1006),$AB$1006:$AQ$1006,0)), HYPERLINK("#",""), HYPERLINK(CONCATENATE("#metadata!", ADDRESS(INDEX($W$2:$W$1001,MATCH(ROWS($U$2:U144),$U$2:$U$1001,0),0), INDEX($AB$1004:$AQ$1004,1,MATCH(COLUMNS($AB$1006:AM1006),$AB$1006:$AQ$1006,0)))),"Fix")))</f>
        <v>0</v>
      </c>
      <c r="N144" s="4">
        <f>IF(OR(INDEX($V$2:$V$1001,MATCH(ROWS($U$2:U144),$U$2:$U$1001,0),1)&gt;=100000,INDEX($AB$1005:$AQ$1005,1,MATCH(COLUMNS($AB$1006:AN1006),$AB$1006:$AQ$1006,0))&gt;=100000), " ",IF(INDEX($AB$2:$AQ$1001,MATCH(ROWS($U$2:U144),$U$2:$U$1001,0),MATCH(COLUMNS($AB$1006:AN1006),$AB$1006:$AQ$1006,0)), HYPERLINK("#",""), HYPERLINK(CONCATENATE("#metadata!", ADDRESS(INDEX($W$2:$W$1001,MATCH(ROWS($U$2:U144),$U$2:$U$1001,0),0), INDEX($AB$1004:$AQ$1004,1,MATCH(COLUMNS($AB$1006:AN1006),$AB$1006:$AQ$1006,0)))),"Fix")))</f>
        <v>0</v>
      </c>
      <c r="O144" s="4">
        <f>IF(OR(INDEX($V$2:$V$1001,MATCH(ROWS($U$2:U144),$U$2:$U$1001,0),1)&gt;=100000,INDEX($AB$1005:$AQ$1005,1,MATCH(COLUMNS($AB$1006:AO1006),$AB$1006:$AQ$1006,0))&gt;=100000), " ",IF(INDEX($AB$2:$AQ$1001,MATCH(ROWS($U$2:U144),$U$2:$U$1001,0),MATCH(COLUMNS($AB$1006:AO1006),$AB$1006:$AQ$1006,0)), HYPERLINK("#",""), HYPERLINK(CONCATENATE("#metadata!", ADDRESS(INDEX($W$2:$W$1001,MATCH(ROWS($U$2:U144),$U$2:$U$1001,0),0), INDEX($AB$1004:$AQ$1004,1,MATCH(COLUMNS($AB$1006:AO1006),$AB$1006:$AQ$1006,0)))),"Fix")))</f>
        <v>0</v>
      </c>
      <c r="P144" s="4">
        <f>IF(OR(INDEX($V$2:$V$1001,MATCH(ROWS($U$2:U144),$U$2:$U$1001,0),1)&gt;=100000,INDEX($AB$1005:$AQ$1005,1,MATCH(COLUMNS($AB$1006:AP1006),$AB$1006:$AQ$1006,0))&gt;=100000), " ",IF(INDEX($AB$2:$AQ$1001,MATCH(ROWS($U$2:U144),$U$2:$U$1001,0),MATCH(COLUMNS($AB$1006:AP1006),$AB$1006:$AQ$1006,0)), HYPERLINK("#",""), HYPERLINK(CONCATENATE("#metadata!", ADDRESS(INDEX($W$2:$W$1001,MATCH(ROWS($U$2:U144),$U$2:$U$1001,0),0), INDEX($AB$1004:$AQ$1004,1,MATCH(COLUMNS($AB$1006:AP1006),$AB$1006:$AQ$1006,0)))),"Fix")))</f>
        <v>0</v>
      </c>
      <c r="Q144" s="4">
        <f>IF(OR(INDEX($V$2:$V$1001,MATCH(ROWS($U$2:U144),$U$2:$U$1001,0),1)&gt;=100000,INDEX($AB$1005:$AQ$1005,1,MATCH(COLUMNS($AB$1006:AQ1006),$AB$1006:$AQ$1006,0))&gt;=100000), " ",IF(INDEX($AB$2:$AQ$1001,MATCH(ROWS($U$2:U144),$U$2:$U$1001,0),MATCH(COLUMNS($AB$1006:AQ1006),$AB$1006:$AQ$1006,0)), HYPERLINK("#",""), HYPERLINK(CONCATENATE("#metadata!", ADDRESS(INDEX($W$2:$W$1001,MATCH(ROWS($U$2:U144),$U$2:$U$1001,0),0), INDEX($AB$1004:$AQ$1004,1,MATCH(COLUMNS($AB$1006:AQ1006),$AB$1006:$AQ$1006,0)))),"Fix")))</f>
        <v>0</v>
      </c>
      <c r="U144">
        <v>0</v>
      </c>
      <c r="V144">
        <v>0</v>
      </c>
      <c r="W144">
        <v>0</v>
      </c>
      <c r="X144">
        <f>IF(Y144,TRUE,AND(AB144:AQ144))</f>
        <v>0</v>
      </c>
      <c r="Y144">
        <f>COUNTBLANK(metadata!B144:Q144)=COLUMNS(metadata!B144:Q144)</f>
        <v>0</v>
      </c>
      <c r="Z144">
        <v>0</v>
      </c>
      <c r="AB144">
        <f>AND(IF(metadata!B144="",FALSE,TRUE),COUNTIF(metadata!B:B, metadata!B144) = 1,NOT(ISERROR(SUMPRODUCT(SEARCH(MID(metadata!B144,ROW(INDIRECT("1:"&amp;LEN(metadata!B144))), 1),"0123456789abcdefghijklmnopqrstuvwxyzABCDEFGHIJKLMNOPQRSTUVWXYZ.")))))</f>
        <v>0</v>
      </c>
      <c r="AC144">
        <f>OR(AND(IF(metadata!C144="",FALSE,TRUE),OR(exact(metadata!C144,"missing: not collected"),exact(metadata!C144,"missing: not provided"),exact(metadata!C144,"missing: restricted access"))),AND(IF(metadata!C144="",FALSE,TRUE),AND(AND(IFERROR(INT(LEFT(metadata!C144,4))&gt;1900,FALSE),IFERROR(INT(LEFT(metadata!C144,4))&lt;=YEAR(NOW()),FALSE)), OR(MID(metadata!C144,5,1)="", AND(AND(MID(metadata!C144,5,1)="-",IFERROR(INT(MID(metadata!C144,6,1))&gt;=0,FALSE),IFERROR(INT(MID(metadata!C144,6,1))&lt;=1,FALSE),NOT(MID(metadata!C144,7,1)=""),IFERROR(INT(MID(metadata!C144,6,2))&gt;=1,FALSE),IFERROR(INT(MID(metadata!C144,6,2))&lt;=12,FALSE)), OR(MID(metadata!C144,8,1)="", AND(AND(MID(metadata!C144,8,1)="-",IFERROR(INT(MID(metadata!C144,9,1))&gt;=0,FALSE),IFERROR(INT(MID(metadata!C144,9,1))&lt;=3,FALSE),NOT(MID(metadata!C144,10,1)=""),IFERROR(INT(MID(metadata!C144,9,2))&gt;=1,FALSE),IFERROR(INT(MID(metadata!C144,9,2))&lt;=31,FALSE)), OR(MID(metadata!C144,11,1)="", AND(AND(MID(metadata!C144,11,1)=" ",IFERROR(INT(MID(metadata!C144,12,1))&gt;=0,FALSE),IFERROR(INT(MID(metadata!C144,12,1))&lt;=2,FALSE),NOT(MID(metadata!C144,13,1)=""),IFERROR(INT(MID(metadata!C144,12,2))&gt;=0,FALSE),IFERROR(INT(MID(metadata!C144,12,2))&lt;=23,FALSE)), OR(MID(metadata!C144,14,1)="", AND(AND(MID(metadata!C144,14,1)=":",IFERROR(INT(MID(metadata!C144,15,1))&gt;=0,FALSE),IFERROR(INT(MID(metadata!C144,15,1))&lt;=5,FALSE),NOT(MID(metadata!C144,16,1)=""),IFERROR(INT(MID(metadata!C144,15,2))&gt;=0,FALSE),IFERROR(INT(MID(metadata!C144,15,2))&lt;=59,FALSE)), OR(MID(metadata!C144,17,1)="", AND(AND(MID(metadata!C144,17,1)=":",IFERROR(INT(MID(metadata!C144,18,1))&gt;=0,FALSE),IFERROR(INT(MID(metadata!C144,18,1))&lt;=5,FALSE),NOT(MID(metadata!C144,19,1)=""),IFERROR(INT(MID(metadata!C144,18,2))&gt;=0,FALSE),IFERROR(INT(MID(metadata!C144,18,2))&lt;=59,FALSE)), LEN(metadata!C144)&lt;=19)))))))))))))</f>
        <v>0</v>
      </c>
      <c r="AD144">
        <f>IF(metadata!D144="",FALSE,TRUE)</f>
        <v>0</v>
      </c>
      <c r="AE144">
        <f>OR(AND(IF(metadata!E144="",FALSE,TRUE),OR(exact(metadata!E144,"missing: not collected"),exact(metadata!E144,"missing: not provided"))),AND(IF(metadata!E144="",FALSE,TRUE),OR(exact(metadata!E144,"TRUE"),exact(metadata!E144,"FALSE"))))</f>
        <v>0</v>
      </c>
      <c r="AF144">
        <f>IF(metadata!F144="",FALSE,TRUE)</f>
        <v>0</v>
      </c>
      <c r="AG144">
        <f>IF(metadata!G144="",FALSE,TRUE)</f>
        <v>0</v>
      </c>
      <c r="AH144">
        <f>IF(metadata!H144="",FALSE,TRUE)</f>
        <v>0</v>
      </c>
      <c r="AI144">
        <f>OR(AND(IF(metadata!I144="",FALSE,TRUE),OR(exact(metadata!I144,"missing: not collected"),exact(metadata!I144,"missing: not provided"),exact(metadata!I144,"missing: restricted access"))),AND(IF(metadata!I144="",FALSE,TRUE),OR(exact(metadata!I144,"air"),exact(metadata!I144,"built environment"),exact(metadata!I144,"host-associated"),exact(metadata!I144,"human-associated"),exact(metadata!I144,"human-skin"),exact(metadata!I144,"human-oral"),exact(metadata!I144,"human-gut"),exact(metadata!I144,"human-vaginal"),exact(metadata!I144,"microbial mat/biofilm"),exact(metadata!I144,"misc environment"),exact(metadata!I144,"plant-associated"),exact(metadata!I144,"sediment"),exact(metadata!I144,"soil"),exact(metadata!I144,"wastewater/sludge"),exact(metadata!I144,"water"))))</f>
        <v>0</v>
      </c>
      <c r="AJ144">
        <f>IF(metadata!J144="",FALSE,TRUE)</f>
        <v>0</v>
      </c>
      <c r="AK144">
        <f>OR(AND(IF(metadata!K144="",FALSE,TRUE),OR(exact(metadata!K144,"missing: not collected"),exact(metadata!K144,"missing: not provided"),exact(metadata!K144,"missing: restricted access"))),AND(IF(metadata!K144="",FALSE,ISNUMBER(VALUE(metadata!K144))),metadata!K144&gt;=-90.00,metadata!K144&lt;=90.00))</f>
        <v>0</v>
      </c>
      <c r="AL144">
        <f>OR(AND(IF(metadata!L144="",FALSE,TRUE),OR(exact(metadata!L144,"missing: not collected"),exact(metadata!L144,"missing: not provided"),exact(metadata!L144,"missing: restricted access"))),AND(IF(metadata!L144="",FALSE,ISNUMBER(VALUE(metadata!L144))),metadata!L144&gt;=-180.00,metadata!L144&lt;=180.00))</f>
        <v>0</v>
      </c>
      <c r="AM144">
        <f>IF(metadata!M144="",FALSE,TRUE)</f>
        <v>0</v>
      </c>
      <c r="AN144">
        <f>OR(AND(IF(metadata!N144="",FALSE,TRUE),OR(exact(metadata!N144,"missing: not collected"),exact(metadata!N144,"missing: not provided"),exact(metadata!N144,"missing: restricted access"))),AND(IF(metadata!N144="",FALSE,TRUE),OR(exact(metadata!N144,"TRUE"),exact(metadata!N144,"FALSE"))))</f>
        <v>0</v>
      </c>
      <c r="AO144">
        <f>IF(metadata!O144="",FALSE,TRUE)</f>
        <v>0</v>
      </c>
      <c r="AP144">
        <f>OR(AND(IF(metadata!P144="",FALSE,TRUE),OR(exact(metadata!P144,"missing: not collected"),exact(metadata!P144,"missing: not provided"))),AND(IF(metadata!P144="",FALSE,IF(ISERROR(INT(metadata!P144)),FALSE,INT(metadata!P144)=metadata!P144)),metadata!P144&gt;0))</f>
        <v>0</v>
      </c>
      <c r="AQ144">
        <f>IF(metadata!Q144="",FALSE,TRUE)</f>
        <v>0</v>
      </c>
    </row>
    <row r="145" spans="1:43">
      <c r="A145" s="5">
        <f>IF(B145=" "," ",HYPERLINK(CONCATENATE("#metadata!",ADDRESS(INDEX($W$2:$W$1001,MATCH(ROWS($U$2:U145),$U$2:$U$1001,0),0),1)),INDEX($Z$2:$Z$1001,MATCH(ROWS($U$2:U145),$U$2:$U$1001,0),0)))</f>
        <v>0</v>
      </c>
      <c r="B145" s="4">
        <f>IF(OR(INDEX($V$2:$V$1001,MATCH(ROWS($U$2:U145),$U$2:$U$1001,0),1)&gt;=100000,INDEX($AB$1005:$AQ$1005,1,MATCH(COLUMNS($AB$1006:AB1006),$AB$1006:$AQ$1006,0))&gt;=100000), " ",IF(INDEX($AB$2:$AQ$1001,MATCH(ROWS($U$2:U145),$U$2:$U$1001,0),MATCH(COLUMNS($AB$1006:AB1006),$AB$1006:$AQ$1006,0)), HYPERLINK("#",""), HYPERLINK(CONCATENATE("#metadata!", ADDRESS(INDEX($W$2:$W$1001,MATCH(ROWS($U$2:U145),$U$2:$U$1001,0),0), INDEX($AB$1004:$AQ$1004,1,MATCH(COLUMNS($AB$1006:AB1006),$AB$1006:$AQ$1006,0)))),"Fix")))</f>
        <v>0</v>
      </c>
      <c r="C145" s="4">
        <f>IF(OR(INDEX($V$2:$V$1001,MATCH(ROWS($U$2:U145),$U$2:$U$1001,0),1)&gt;=100000,INDEX($AB$1005:$AQ$1005,1,MATCH(COLUMNS($AB$1006:AC1006),$AB$1006:$AQ$1006,0))&gt;=100000), " ",IF(INDEX($AB$2:$AQ$1001,MATCH(ROWS($U$2:U145),$U$2:$U$1001,0),MATCH(COLUMNS($AB$1006:AC1006),$AB$1006:$AQ$1006,0)), HYPERLINK("#",""), HYPERLINK(CONCATENATE("#metadata!", ADDRESS(INDEX($W$2:$W$1001,MATCH(ROWS($U$2:U145),$U$2:$U$1001,0),0), INDEX($AB$1004:$AQ$1004,1,MATCH(COLUMNS($AB$1006:AC1006),$AB$1006:$AQ$1006,0)))),"Fix")))</f>
        <v>0</v>
      </c>
      <c r="D145" s="4">
        <f>IF(OR(INDEX($V$2:$V$1001,MATCH(ROWS($U$2:U145),$U$2:$U$1001,0),1)&gt;=100000,INDEX($AB$1005:$AQ$1005,1,MATCH(COLUMNS($AB$1006:AD1006),$AB$1006:$AQ$1006,0))&gt;=100000), " ",IF(INDEX($AB$2:$AQ$1001,MATCH(ROWS($U$2:U145),$U$2:$U$1001,0),MATCH(COLUMNS($AB$1006:AD1006),$AB$1006:$AQ$1006,0)), HYPERLINK("#",""), HYPERLINK(CONCATENATE("#metadata!", ADDRESS(INDEX($W$2:$W$1001,MATCH(ROWS($U$2:U145),$U$2:$U$1001,0),0), INDEX($AB$1004:$AQ$1004,1,MATCH(COLUMNS($AB$1006:AD1006),$AB$1006:$AQ$1006,0)))),"Fix")))</f>
        <v>0</v>
      </c>
      <c r="E145" s="4">
        <f>IF(OR(INDEX($V$2:$V$1001,MATCH(ROWS($U$2:U145),$U$2:$U$1001,0),1)&gt;=100000,INDEX($AB$1005:$AQ$1005,1,MATCH(COLUMNS($AB$1006:AE1006),$AB$1006:$AQ$1006,0))&gt;=100000), " ",IF(INDEX($AB$2:$AQ$1001,MATCH(ROWS($U$2:U145),$U$2:$U$1001,0),MATCH(COLUMNS($AB$1006:AE1006),$AB$1006:$AQ$1006,0)), HYPERLINK("#",""), HYPERLINK(CONCATENATE("#metadata!", ADDRESS(INDEX($W$2:$W$1001,MATCH(ROWS($U$2:U145),$U$2:$U$1001,0),0), INDEX($AB$1004:$AQ$1004,1,MATCH(COLUMNS($AB$1006:AE1006),$AB$1006:$AQ$1006,0)))),"Fix")))</f>
        <v>0</v>
      </c>
      <c r="F145" s="4">
        <f>IF(OR(INDEX($V$2:$V$1001,MATCH(ROWS($U$2:U145),$U$2:$U$1001,0),1)&gt;=100000,INDEX($AB$1005:$AQ$1005,1,MATCH(COLUMNS($AB$1006:AF1006),$AB$1006:$AQ$1006,0))&gt;=100000), " ",IF(INDEX($AB$2:$AQ$1001,MATCH(ROWS($U$2:U145),$U$2:$U$1001,0),MATCH(COLUMNS($AB$1006:AF1006),$AB$1006:$AQ$1006,0)), HYPERLINK("#",""), HYPERLINK(CONCATENATE("#metadata!", ADDRESS(INDEX($W$2:$W$1001,MATCH(ROWS($U$2:U145),$U$2:$U$1001,0),0), INDEX($AB$1004:$AQ$1004,1,MATCH(COLUMNS($AB$1006:AF1006),$AB$1006:$AQ$1006,0)))),"Fix")))</f>
        <v>0</v>
      </c>
      <c r="G145" s="4">
        <f>IF(OR(INDEX($V$2:$V$1001,MATCH(ROWS($U$2:U145),$U$2:$U$1001,0),1)&gt;=100000,INDEX($AB$1005:$AQ$1005,1,MATCH(COLUMNS($AB$1006:AG1006),$AB$1006:$AQ$1006,0))&gt;=100000), " ",IF(INDEX($AB$2:$AQ$1001,MATCH(ROWS($U$2:U145),$U$2:$U$1001,0),MATCH(COLUMNS($AB$1006:AG1006),$AB$1006:$AQ$1006,0)), HYPERLINK("#",""), HYPERLINK(CONCATENATE("#metadata!", ADDRESS(INDEX($W$2:$W$1001,MATCH(ROWS($U$2:U145),$U$2:$U$1001,0),0), INDEX($AB$1004:$AQ$1004,1,MATCH(COLUMNS($AB$1006:AG1006),$AB$1006:$AQ$1006,0)))),"Fix")))</f>
        <v>0</v>
      </c>
      <c r="H145" s="4">
        <f>IF(OR(INDEX($V$2:$V$1001,MATCH(ROWS($U$2:U145),$U$2:$U$1001,0),1)&gt;=100000,INDEX($AB$1005:$AQ$1005,1,MATCH(COLUMNS($AB$1006:AH1006),$AB$1006:$AQ$1006,0))&gt;=100000), " ",IF(INDEX($AB$2:$AQ$1001,MATCH(ROWS($U$2:U145),$U$2:$U$1001,0),MATCH(COLUMNS($AB$1006:AH1006),$AB$1006:$AQ$1006,0)), HYPERLINK("#",""), HYPERLINK(CONCATENATE("#metadata!", ADDRESS(INDEX($W$2:$W$1001,MATCH(ROWS($U$2:U145),$U$2:$U$1001,0),0), INDEX($AB$1004:$AQ$1004,1,MATCH(COLUMNS($AB$1006:AH1006),$AB$1006:$AQ$1006,0)))),"Fix")))</f>
        <v>0</v>
      </c>
      <c r="I145" s="4">
        <f>IF(OR(INDEX($V$2:$V$1001,MATCH(ROWS($U$2:U145),$U$2:$U$1001,0),1)&gt;=100000,INDEX($AB$1005:$AQ$1005,1,MATCH(COLUMNS($AB$1006:AI1006),$AB$1006:$AQ$1006,0))&gt;=100000), " ",IF(INDEX($AB$2:$AQ$1001,MATCH(ROWS($U$2:U145),$U$2:$U$1001,0),MATCH(COLUMNS($AB$1006:AI1006),$AB$1006:$AQ$1006,0)), HYPERLINK("#",""), HYPERLINK(CONCATENATE("#metadata!", ADDRESS(INDEX($W$2:$W$1001,MATCH(ROWS($U$2:U145),$U$2:$U$1001,0),0), INDEX($AB$1004:$AQ$1004,1,MATCH(COLUMNS($AB$1006:AI1006),$AB$1006:$AQ$1006,0)))),"Fix")))</f>
        <v>0</v>
      </c>
      <c r="J145" s="4">
        <f>IF(OR(INDEX($V$2:$V$1001,MATCH(ROWS($U$2:U145),$U$2:$U$1001,0),1)&gt;=100000,INDEX($AB$1005:$AQ$1005,1,MATCH(COLUMNS($AB$1006:AJ1006),$AB$1006:$AQ$1006,0))&gt;=100000), " ",IF(INDEX($AB$2:$AQ$1001,MATCH(ROWS($U$2:U145),$U$2:$U$1001,0),MATCH(COLUMNS($AB$1006:AJ1006),$AB$1006:$AQ$1006,0)), HYPERLINK("#",""), HYPERLINK(CONCATENATE("#metadata!", ADDRESS(INDEX($W$2:$W$1001,MATCH(ROWS($U$2:U145),$U$2:$U$1001,0),0), INDEX($AB$1004:$AQ$1004,1,MATCH(COLUMNS($AB$1006:AJ1006),$AB$1006:$AQ$1006,0)))),"Fix")))</f>
        <v>0</v>
      </c>
      <c r="K145" s="4">
        <f>IF(OR(INDEX($V$2:$V$1001,MATCH(ROWS($U$2:U145),$U$2:$U$1001,0),1)&gt;=100000,INDEX($AB$1005:$AQ$1005,1,MATCH(COLUMNS($AB$1006:AK1006),$AB$1006:$AQ$1006,0))&gt;=100000), " ",IF(INDEX($AB$2:$AQ$1001,MATCH(ROWS($U$2:U145),$U$2:$U$1001,0),MATCH(COLUMNS($AB$1006:AK1006),$AB$1006:$AQ$1006,0)), HYPERLINK("#",""), HYPERLINK(CONCATENATE("#metadata!", ADDRESS(INDEX($W$2:$W$1001,MATCH(ROWS($U$2:U145),$U$2:$U$1001,0),0), INDEX($AB$1004:$AQ$1004,1,MATCH(COLUMNS($AB$1006:AK1006),$AB$1006:$AQ$1006,0)))),"Fix")))</f>
        <v>0</v>
      </c>
      <c r="L145" s="4">
        <f>IF(OR(INDEX($V$2:$V$1001,MATCH(ROWS($U$2:U145),$U$2:$U$1001,0),1)&gt;=100000,INDEX($AB$1005:$AQ$1005,1,MATCH(COLUMNS($AB$1006:AL1006),$AB$1006:$AQ$1006,0))&gt;=100000), " ",IF(INDEX($AB$2:$AQ$1001,MATCH(ROWS($U$2:U145),$U$2:$U$1001,0),MATCH(COLUMNS($AB$1006:AL1006),$AB$1006:$AQ$1006,0)), HYPERLINK("#",""), HYPERLINK(CONCATENATE("#metadata!", ADDRESS(INDEX($W$2:$W$1001,MATCH(ROWS($U$2:U145),$U$2:$U$1001,0),0), INDEX($AB$1004:$AQ$1004,1,MATCH(COLUMNS($AB$1006:AL1006),$AB$1006:$AQ$1006,0)))),"Fix")))</f>
        <v>0</v>
      </c>
      <c r="M145" s="4">
        <f>IF(OR(INDEX($V$2:$V$1001,MATCH(ROWS($U$2:U145),$U$2:$U$1001,0),1)&gt;=100000,INDEX($AB$1005:$AQ$1005,1,MATCH(COLUMNS($AB$1006:AM1006),$AB$1006:$AQ$1006,0))&gt;=100000), " ",IF(INDEX($AB$2:$AQ$1001,MATCH(ROWS($U$2:U145),$U$2:$U$1001,0),MATCH(COLUMNS($AB$1006:AM1006),$AB$1006:$AQ$1006,0)), HYPERLINK("#",""), HYPERLINK(CONCATENATE("#metadata!", ADDRESS(INDEX($W$2:$W$1001,MATCH(ROWS($U$2:U145),$U$2:$U$1001,0),0), INDEX($AB$1004:$AQ$1004,1,MATCH(COLUMNS($AB$1006:AM1006),$AB$1006:$AQ$1006,0)))),"Fix")))</f>
        <v>0</v>
      </c>
      <c r="N145" s="4">
        <f>IF(OR(INDEX($V$2:$V$1001,MATCH(ROWS($U$2:U145),$U$2:$U$1001,0),1)&gt;=100000,INDEX($AB$1005:$AQ$1005,1,MATCH(COLUMNS($AB$1006:AN1006),$AB$1006:$AQ$1006,0))&gt;=100000), " ",IF(INDEX($AB$2:$AQ$1001,MATCH(ROWS($U$2:U145),$U$2:$U$1001,0),MATCH(COLUMNS($AB$1006:AN1006),$AB$1006:$AQ$1006,0)), HYPERLINK("#",""), HYPERLINK(CONCATENATE("#metadata!", ADDRESS(INDEX($W$2:$W$1001,MATCH(ROWS($U$2:U145),$U$2:$U$1001,0),0), INDEX($AB$1004:$AQ$1004,1,MATCH(COLUMNS($AB$1006:AN1006),$AB$1006:$AQ$1006,0)))),"Fix")))</f>
        <v>0</v>
      </c>
      <c r="O145" s="4">
        <f>IF(OR(INDEX($V$2:$V$1001,MATCH(ROWS($U$2:U145),$U$2:$U$1001,0),1)&gt;=100000,INDEX($AB$1005:$AQ$1005,1,MATCH(COLUMNS($AB$1006:AO1006),$AB$1006:$AQ$1006,0))&gt;=100000), " ",IF(INDEX($AB$2:$AQ$1001,MATCH(ROWS($U$2:U145),$U$2:$U$1001,0),MATCH(COLUMNS($AB$1006:AO1006),$AB$1006:$AQ$1006,0)), HYPERLINK("#",""), HYPERLINK(CONCATENATE("#metadata!", ADDRESS(INDEX($W$2:$W$1001,MATCH(ROWS($U$2:U145),$U$2:$U$1001,0),0), INDEX($AB$1004:$AQ$1004,1,MATCH(COLUMNS($AB$1006:AO1006),$AB$1006:$AQ$1006,0)))),"Fix")))</f>
        <v>0</v>
      </c>
      <c r="P145" s="4">
        <f>IF(OR(INDEX($V$2:$V$1001,MATCH(ROWS($U$2:U145),$U$2:$U$1001,0),1)&gt;=100000,INDEX($AB$1005:$AQ$1005,1,MATCH(COLUMNS($AB$1006:AP1006),$AB$1006:$AQ$1006,0))&gt;=100000), " ",IF(INDEX($AB$2:$AQ$1001,MATCH(ROWS($U$2:U145),$U$2:$U$1001,0),MATCH(COLUMNS($AB$1006:AP1006),$AB$1006:$AQ$1006,0)), HYPERLINK("#",""), HYPERLINK(CONCATENATE("#metadata!", ADDRESS(INDEX($W$2:$W$1001,MATCH(ROWS($U$2:U145),$U$2:$U$1001,0),0), INDEX($AB$1004:$AQ$1004,1,MATCH(COLUMNS($AB$1006:AP1006),$AB$1006:$AQ$1006,0)))),"Fix")))</f>
        <v>0</v>
      </c>
      <c r="Q145" s="4">
        <f>IF(OR(INDEX($V$2:$V$1001,MATCH(ROWS($U$2:U145),$U$2:$U$1001,0),1)&gt;=100000,INDEX($AB$1005:$AQ$1005,1,MATCH(COLUMNS($AB$1006:AQ1006),$AB$1006:$AQ$1006,0))&gt;=100000), " ",IF(INDEX($AB$2:$AQ$1001,MATCH(ROWS($U$2:U145),$U$2:$U$1001,0),MATCH(COLUMNS($AB$1006:AQ1006),$AB$1006:$AQ$1006,0)), HYPERLINK("#",""), HYPERLINK(CONCATENATE("#metadata!", ADDRESS(INDEX($W$2:$W$1001,MATCH(ROWS($U$2:U145),$U$2:$U$1001,0),0), INDEX($AB$1004:$AQ$1004,1,MATCH(COLUMNS($AB$1006:AQ1006),$AB$1006:$AQ$1006,0)))),"Fix")))</f>
        <v>0</v>
      </c>
      <c r="U145">
        <v>0</v>
      </c>
      <c r="V145">
        <v>0</v>
      </c>
      <c r="W145">
        <v>0</v>
      </c>
      <c r="X145">
        <f>IF(Y145,TRUE,AND(AB145:AQ145))</f>
        <v>0</v>
      </c>
      <c r="Y145">
        <f>COUNTBLANK(metadata!B145:Q145)=COLUMNS(metadata!B145:Q145)</f>
        <v>0</v>
      </c>
      <c r="Z145">
        <v>0</v>
      </c>
      <c r="AB145">
        <f>AND(IF(metadata!B145="",FALSE,TRUE),COUNTIF(metadata!B:B, metadata!B145) = 1,NOT(ISERROR(SUMPRODUCT(SEARCH(MID(metadata!B145,ROW(INDIRECT("1:"&amp;LEN(metadata!B145))), 1),"0123456789abcdefghijklmnopqrstuvwxyzABCDEFGHIJKLMNOPQRSTUVWXYZ.")))))</f>
        <v>0</v>
      </c>
      <c r="AC145">
        <f>OR(AND(IF(metadata!C145="",FALSE,TRUE),OR(exact(metadata!C145,"missing: not collected"),exact(metadata!C145,"missing: not provided"),exact(metadata!C145,"missing: restricted access"))),AND(IF(metadata!C145="",FALSE,TRUE),AND(AND(IFERROR(INT(LEFT(metadata!C145,4))&gt;1900,FALSE),IFERROR(INT(LEFT(metadata!C145,4))&lt;=YEAR(NOW()),FALSE)), OR(MID(metadata!C145,5,1)="", AND(AND(MID(metadata!C145,5,1)="-",IFERROR(INT(MID(metadata!C145,6,1))&gt;=0,FALSE),IFERROR(INT(MID(metadata!C145,6,1))&lt;=1,FALSE),NOT(MID(metadata!C145,7,1)=""),IFERROR(INT(MID(metadata!C145,6,2))&gt;=1,FALSE),IFERROR(INT(MID(metadata!C145,6,2))&lt;=12,FALSE)), OR(MID(metadata!C145,8,1)="", AND(AND(MID(metadata!C145,8,1)="-",IFERROR(INT(MID(metadata!C145,9,1))&gt;=0,FALSE),IFERROR(INT(MID(metadata!C145,9,1))&lt;=3,FALSE),NOT(MID(metadata!C145,10,1)=""),IFERROR(INT(MID(metadata!C145,9,2))&gt;=1,FALSE),IFERROR(INT(MID(metadata!C145,9,2))&lt;=31,FALSE)), OR(MID(metadata!C145,11,1)="", AND(AND(MID(metadata!C145,11,1)=" ",IFERROR(INT(MID(metadata!C145,12,1))&gt;=0,FALSE),IFERROR(INT(MID(metadata!C145,12,1))&lt;=2,FALSE),NOT(MID(metadata!C145,13,1)=""),IFERROR(INT(MID(metadata!C145,12,2))&gt;=0,FALSE),IFERROR(INT(MID(metadata!C145,12,2))&lt;=23,FALSE)), OR(MID(metadata!C145,14,1)="", AND(AND(MID(metadata!C145,14,1)=":",IFERROR(INT(MID(metadata!C145,15,1))&gt;=0,FALSE),IFERROR(INT(MID(metadata!C145,15,1))&lt;=5,FALSE),NOT(MID(metadata!C145,16,1)=""),IFERROR(INT(MID(metadata!C145,15,2))&gt;=0,FALSE),IFERROR(INT(MID(metadata!C145,15,2))&lt;=59,FALSE)), OR(MID(metadata!C145,17,1)="", AND(AND(MID(metadata!C145,17,1)=":",IFERROR(INT(MID(metadata!C145,18,1))&gt;=0,FALSE),IFERROR(INT(MID(metadata!C145,18,1))&lt;=5,FALSE),NOT(MID(metadata!C145,19,1)=""),IFERROR(INT(MID(metadata!C145,18,2))&gt;=0,FALSE),IFERROR(INT(MID(metadata!C145,18,2))&lt;=59,FALSE)), LEN(metadata!C145)&lt;=19)))))))))))))</f>
        <v>0</v>
      </c>
      <c r="AD145">
        <f>IF(metadata!D145="",FALSE,TRUE)</f>
        <v>0</v>
      </c>
      <c r="AE145">
        <f>OR(AND(IF(metadata!E145="",FALSE,TRUE),OR(exact(metadata!E145,"missing: not collected"),exact(metadata!E145,"missing: not provided"))),AND(IF(metadata!E145="",FALSE,TRUE),OR(exact(metadata!E145,"TRUE"),exact(metadata!E145,"FALSE"))))</f>
        <v>0</v>
      </c>
      <c r="AF145">
        <f>IF(metadata!F145="",FALSE,TRUE)</f>
        <v>0</v>
      </c>
      <c r="AG145">
        <f>IF(metadata!G145="",FALSE,TRUE)</f>
        <v>0</v>
      </c>
      <c r="AH145">
        <f>IF(metadata!H145="",FALSE,TRUE)</f>
        <v>0</v>
      </c>
      <c r="AI145">
        <f>OR(AND(IF(metadata!I145="",FALSE,TRUE),OR(exact(metadata!I145,"missing: not collected"),exact(metadata!I145,"missing: not provided"),exact(metadata!I145,"missing: restricted access"))),AND(IF(metadata!I145="",FALSE,TRUE),OR(exact(metadata!I145,"air"),exact(metadata!I145,"built environment"),exact(metadata!I145,"host-associated"),exact(metadata!I145,"human-associated"),exact(metadata!I145,"human-skin"),exact(metadata!I145,"human-oral"),exact(metadata!I145,"human-gut"),exact(metadata!I145,"human-vaginal"),exact(metadata!I145,"microbial mat/biofilm"),exact(metadata!I145,"misc environment"),exact(metadata!I145,"plant-associated"),exact(metadata!I145,"sediment"),exact(metadata!I145,"soil"),exact(metadata!I145,"wastewater/sludge"),exact(metadata!I145,"water"))))</f>
        <v>0</v>
      </c>
      <c r="AJ145">
        <f>IF(metadata!J145="",FALSE,TRUE)</f>
        <v>0</v>
      </c>
      <c r="AK145">
        <f>OR(AND(IF(metadata!K145="",FALSE,TRUE),OR(exact(metadata!K145,"missing: not collected"),exact(metadata!K145,"missing: not provided"),exact(metadata!K145,"missing: restricted access"))),AND(IF(metadata!K145="",FALSE,ISNUMBER(VALUE(metadata!K145))),metadata!K145&gt;=-90.00,metadata!K145&lt;=90.00))</f>
        <v>0</v>
      </c>
      <c r="AL145">
        <f>OR(AND(IF(metadata!L145="",FALSE,TRUE),OR(exact(metadata!L145,"missing: not collected"),exact(metadata!L145,"missing: not provided"),exact(metadata!L145,"missing: restricted access"))),AND(IF(metadata!L145="",FALSE,ISNUMBER(VALUE(metadata!L145))),metadata!L145&gt;=-180.00,metadata!L145&lt;=180.00))</f>
        <v>0</v>
      </c>
      <c r="AM145">
        <f>IF(metadata!M145="",FALSE,TRUE)</f>
        <v>0</v>
      </c>
      <c r="AN145">
        <f>OR(AND(IF(metadata!N145="",FALSE,TRUE),OR(exact(metadata!N145,"missing: not collected"),exact(metadata!N145,"missing: not provided"),exact(metadata!N145,"missing: restricted access"))),AND(IF(metadata!N145="",FALSE,TRUE),OR(exact(metadata!N145,"TRUE"),exact(metadata!N145,"FALSE"))))</f>
        <v>0</v>
      </c>
      <c r="AO145">
        <f>IF(metadata!O145="",FALSE,TRUE)</f>
        <v>0</v>
      </c>
      <c r="AP145">
        <f>OR(AND(IF(metadata!P145="",FALSE,TRUE),OR(exact(metadata!P145,"missing: not collected"),exact(metadata!P145,"missing: not provided"))),AND(IF(metadata!P145="",FALSE,IF(ISERROR(INT(metadata!P145)),FALSE,INT(metadata!P145)=metadata!P145)),metadata!P145&gt;0))</f>
        <v>0</v>
      </c>
      <c r="AQ145">
        <f>IF(metadata!Q145="",FALSE,TRUE)</f>
        <v>0</v>
      </c>
    </row>
    <row r="146" spans="1:43">
      <c r="A146" s="5">
        <f>IF(B146=" "," ",HYPERLINK(CONCATENATE("#metadata!",ADDRESS(INDEX($W$2:$W$1001,MATCH(ROWS($U$2:U146),$U$2:$U$1001,0),0),1)),INDEX($Z$2:$Z$1001,MATCH(ROWS($U$2:U146),$U$2:$U$1001,0),0)))</f>
        <v>0</v>
      </c>
      <c r="B146" s="4">
        <f>IF(OR(INDEX($V$2:$V$1001,MATCH(ROWS($U$2:U146),$U$2:$U$1001,0),1)&gt;=100000,INDEX($AB$1005:$AQ$1005,1,MATCH(COLUMNS($AB$1006:AB1006),$AB$1006:$AQ$1006,0))&gt;=100000), " ",IF(INDEX($AB$2:$AQ$1001,MATCH(ROWS($U$2:U146),$U$2:$U$1001,0),MATCH(COLUMNS($AB$1006:AB1006),$AB$1006:$AQ$1006,0)), HYPERLINK("#",""), HYPERLINK(CONCATENATE("#metadata!", ADDRESS(INDEX($W$2:$W$1001,MATCH(ROWS($U$2:U146),$U$2:$U$1001,0),0), INDEX($AB$1004:$AQ$1004,1,MATCH(COLUMNS($AB$1006:AB1006),$AB$1006:$AQ$1006,0)))),"Fix")))</f>
        <v>0</v>
      </c>
      <c r="C146" s="4">
        <f>IF(OR(INDEX($V$2:$V$1001,MATCH(ROWS($U$2:U146),$U$2:$U$1001,0),1)&gt;=100000,INDEX($AB$1005:$AQ$1005,1,MATCH(COLUMNS($AB$1006:AC1006),$AB$1006:$AQ$1006,0))&gt;=100000), " ",IF(INDEX($AB$2:$AQ$1001,MATCH(ROWS($U$2:U146),$U$2:$U$1001,0),MATCH(COLUMNS($AB$1006:AC1006),$AB$1006:$AQ$1006,0)), HYPERLINK("#",""), HYPERLINK(CONCATENATE("#metadata!", ADDRESS(INDEX($W$2:$W$1001,MATCH(ROWS($U$2:U146),$U$2:$U$1001,0),0), INDEX($AB$1004:$AQ$1004,1,MATCH(COLUMNS($AB$1006:AC1006),$AB$1006:$AQ$1006,0)))),"Fix")))</f>
        <v>0</v>
      </c>
      <c r="D146" s="4">
        <f>IF(OR(INDEX($V$2:$V$1001,MATCH(ROWS($U$2:U146),$U$2:$U$1001,0),1)&gt;=100000,INDEX($AB$1005:$AQ$1005,1,MATCH(COLUMNS($AB$1006:AD1006),$AB$1006:$AQ$1006,0))&gt;=100000), " ",IF(INDEX($AB$2:$AQ$1001,MATCH(ROWS($U$2:U146),$U$2:$U$1001,0),MATCH(COLUMNS($AB$1006:AD1006),$AB$1006:$AQ$1006,0)), HYPERLINK("#",""), HYPERLINK(CONCATENATE("#metadata!", ADDRESS(INDEX($W$2:$W$1001,MATCH(ROWS($U$2:U146),$U$2:$U$1001,0),0), INDEX($AB$1004:$AQ$1004,1,MATCH(COLUMNS($AB$1006:AD1006),$AB$1006:$AQ$1006,0)))),"Fix")))</f>
        <v>0</v>
      </c>
      <c r="E146" s="4">
        <f>IF(OR(INDEX($V$2:$V$1001,MATCH(ROWS($U$2:U146),$U$2:$U$1001,0),1)&gt;=100000,INDEX($AB$1005:$AQ$1005,1,MATCH(COLUMNS($AB$1006:AE1006),$AB$1006:$AQ$1006,0))&gt;=100000), " ",IF(INDEX($AB$2:$AQ$1001,MATCH(ROWS($U$2:U146),$U$2:$U$1001,0),MATCH(COLUMNS($AB$1006:AE1006),$AB$1006:$AQ$1006,0)), HYPERLINK("#",""), HYPERLINK(CONCATENATE("#metadata!", ADDRESS(INDEX($W$2:$W$1001,MATCH(ROWS($U$2:U146),$U$2:$U$1001,0),0), INDEX($AB$1004:$AQ$1004,1,MATCH(COLUMNS($AB$1006:AE1006),$AB$1006:$AQ$1006,0)))),"Fix")))</f>
        <v>0</v>
      </c>
      <c r="F146" s="4">
        <f>IF(OR(INDEX($V$2:$V$1001,MATCH(ROWS($U$2:U146),$U$2:$U$1001,0),1)&gt;=100000,INDEX($AB$1005:$AQ$1005,1,MATCH(COLUMNS($AB$1006:AF1006),$AB$1006:$AQ$1006,0))&gt;=100000), " ",IF(INDEX($AB$2:$AQ$1001,MATCH(ROWS($U$2:U146),$U$2:$U$1001,0),MATCH(COLUMNS($AB$1006:AF1006),$AB$1006:$AQ$1006,0)), HYPERLINK("#",""), HYPERLINK(CONCATENATE("#metadata!", ADDRESS(INDEX($W$2:$W$1001,MATCH(ROWS($U$2:U146),$U$2:$U$1001,0),0), INDEX($AB$1004:$AQ$1004,1,MATCH(COLUMNS($AB$1006:AF1006),$AB$1006:$AQ$1006,0)))),"Fix")))</f>
        <v>0</v>
      </c>
      <c r="G146" s="4">
        <f>IF(OR(INDEX($V$2:$V$1001,MATCH(ROWS($U$2:U146),$U$2:$U$1001,0),1)&gt;=100000,INDEX($AB$1005:$AQ$1005,1,MATCH(COLUMNS($AB$1006:AG1006),$AB$1006:$AQ$1006,0))&gt;=100000), " ",IF(INDEX($AB$2:$AQ$1001,MATCH(ROWS($U$2:U146),$U$2:$U$1001,0),MATCH(COLUMNS($AB$1006:AG1006),$AB$1006:$AQ$1006,0)), HYPERLINK("#",""), HYPERLINK(CONCATENATE("#metadata!", ADDRESS(INDEX($W$2:$W$1001,MATCH(ROWS($U$2:U146),$U$2:$U$1001,0),0), INDEX($AB$1004:$AQ$1004,1,MATCH(COLUMNS($AB$1006:AG1006),$AB$1006:$AQ$1006,0)))),"Fix")))</f>
        <v>0</v>
      </c>
      <c r="H146" s="4">
        <f>IF(OR(INDEX($V$2:$V$1001,MATCH(ROWS($U$2:U146),$U$2:$U$1001,0),1)&gt;=100000,INDEX($AB$1005:$AQ$1005,1,MATCH(COLUMNS($AB$1006:AH1006),$AB$1006:$AQ$1006,0))&gt;=100000), " ",IF(INDEX($AB$2:$AQ$1001,MATCH(ROWS($U$2:U146),$U$2:$U$1001,0),MATCH(COLUMNS($AB$1006:AH1006),$AB$1006:$AQ$1006,0)), HYPERLINK("#",""), HYPERLINK(CONCATENATE("#metadata!", ADDRESS(INDEX($W$2:$W$1001,MATCH(ROWS($U$2:U146),$U$2:$U$1001,0),0), INDEX($AB$1004:$AQ$1004,1,MATCH(COLUMNS($AB$1006:AH1006),$AB$1006:$AQ$1006,0)))),"Fix")))</f>
        <v>0</v>
      </c>
      <c r="I146" s="4">
        <f>IF(OR(INDEX($V$2:$V$1001,MATCH(ROWS($U$2:U146),$U$2:$U$1001,0),1)&gt;=100000,INDEX($AB$1005:$AQ$1005,1,MATCH(COLUMNS($AB$1006:AI1006),$AB$1006:$AQ$1006,0))&gt;=100000), " ",IF(INDEX($AB$2:$AQ$1001,MATCH(ROWS($U$2:U146),$U$2:$U$1001,0),MATCH(COLUMNS($AB$1006:AI1006),$AB$1006:$AQ$1006,0)), HYPERLINK("#",""), HYPERLINK(CONCATENATE("#metadata!", ADDRESS(INDEX($W$2:$W$1001,MATCH(ROWS($U$2:U146),$U$2:$U$1001,0),0), INDEX($AB$1004:$AQ$1004,1,MATCH(COLUMNS($AB$1006:AI1006),$AB$1006:$AQ$1006,0)))),"Fix")))</f>
        <v>0</v>
      </c>
      <c r="J146" s="4">
        <f>IF(OR(INDEX($V$2:$V$1001,MATCH(ROWS($U$2:U146),$U$2:$U$1001,0),1)&gt;=100000,INDEX($AB$1005:$AQ$1005,1,MATCH(COLUMNS($AB$1006:AJ1006),$AB$1006:$AQ$1006,0))&gt;=100000), " ",IF(INDEX($AB$2:$AQ$1001,MATCH(ROWS($U$2:U146),$U$2:$U$1001,0),MATCH(COLUMNS($AB$1006:AJ1006),$AB$1006:$AQ$1006,0)), HYPERLINK("#",""), HYPERLINK(CONCATENATE("#metadata!", ADDRESS(INDEX($W$2:$W$1001,MATCH(ROWS($U$2:U146),$U$2:$U$1001,0),0), INDEX($AB$1004:$AQ$1004,1,MATCH(COLUMNS($AB$1006:AJ1006),$AB$1006:$AQ$1006,0)))),"Fix")))</f>
        <v>0</v>
      </c>
      <c r="K146" s="4">
        <f>IF(OR(INDEX($V$2:$V$1001,MATCH(ROWS($U$2:U146),$U$2:$U$1001,0),1)&gt;=100000,INDEX($AB$1005:$AQ$1005,1,MATCH(COLUMNS($AB$1006:AK1006),$AB$1006:$AQ$1006,0))&gt;=100000), " ",IF(INDEX($AB$2:$AQ$1001,MATCH(ROWS($U$2:U146),$U$2:$U$1001,0),MATCH(COLUMNS($AB$1006:AK1006),$AB$1006:$AQ$1006,0)), HYPERLINK("#",""), HYPERLINK(CONCATENATE("#metadata!", ADDRESS(INDEX($W$2:$W$1001,MATCH(ROWS($U$2:U146),$U$2:$U$1001,0),0), INDEX($AB$1004:$AQ$1004,1,MATCH(COLUMNS($AB$1006:AK1006),$AB$1006:$AQ$1006,0)))),"Fix")))</f>
        <v>0</v>
      </c>
      <c r="L146" s="4">
        <f>IF(OR(INDEX($V$2:$V$1001,MATCH(ROWS($U$2:U146),$U$2:$U$1001,0),1)&gt;=100000,INDEX($AB$1005:$AQ$1005,1,MATCH(COLUMNS($AB$1006:AL1006),$AB$1006:$AQ$1006,0))&gt;=100000), " ",IF(INDEX($AB$2:$AQ$1001,MATCH(ROWS($U$2:U146),$U$2:$U$1001,0),MATCH(COLUMNS($AB$1006:AL1006),$AB$1006:$AQ$1006,0)), HYPERLINK("#",""), HYPERLINK(CONCATENATE("#metadata!", ADDRESS(INDEX($W$2:$W$1001,MATCH(ROWS($U$2:U146),$U$2:$U$1001,0),0), INDEX($AB$1004:$AQ$1004,1,MATCH(COLUMNS($AB$1006:AL1006),$AB$1006:$AQ$1006,0)))),"Fix")))</f>
        <v>0</v>
      </c>
      <c r="M146" s="4">
        <f>IF(OR(INDEX($V$2:$V$1001,MATCH(ROWS($U$2:U146),$U$2:$U$1001,0),1)&gt;=100000,INDEX($AB$1005:$AQ$1005,1,MATCH(COLUMNS($AB$1006:AM1006),$AB$1006:$AQ$1006,0))&gt;=100000), " ",IF(INDEX($AB$2:$AQ$1001,MATCH(ROWS($U$2:U146),$U$2:$U$1001,0),MATCH(COLUMNS($AB$1006:AM1006),$AB$1006:$AQ$1006,0)), HYPERLINK("#",""), HYPERLINK(CONCATENATE("#metadata!", ADDRESS(INDEX($W$2:$W$1001,MATCH(ROWS($U$2:U146),$U$2:$U$1001,0),0), INDEX($AB$1004:$AQ$1004,1,MATCH(COLUMNS($AB$1006:AM1006),$AB$1006:$AQ$1006,0)))),"Fix")))</f>
        <v>0</v>
      </c>
      <c r="N146" s="4">
        <f>IF(OR(INDEX($V$2:$V$1001,MATCH(ROWS($U$2:U146),$U$2:$U$1001,0),1)&gt;=100000,INDEX($AB$1005:$AQ$1005,1,MATCH(COLUMNS($AB$1006:AN1006),$AB$1006:$AQ$1006,0))&gt;=100000), " ",IF(INDEX($AB$2:$AQ$1001,MATCH(ROWS($U$2:U146),$U$2:$U$1001,0),MATCH(COLUMNS($AB$1006:AN1006),$AB$1006:$AQ$1006,0)), HYPERLINK("#",""), HYPERLINK(CONCATENATE("#metadata!", ADDRESS(INDEX($W$2:$W$1001,MATCH(ROWS($U$2:U146),$U$2:$U$1001,0),0), INDEX($AB$1004:$AQ$1004,1,MATCH(COLUMNS($AB$1006:AN1006),$AB$1006:$AQ$1006,0)))),"Fix")))</f>
        <v>0</v>
      </c>
      <c r="O146" s="4">
        <f>IF(OR(INDEX($V$2:$V$1001,MATCH(ROWS($U$2:U146),$U$2:$U$1001,0),1)&gt;=100000,INDEX($AB$1005:$AQ$1005,1,MATCH(COLUMNS($AB$1006:AO1006),$AB$1006:$AQ$1006,0))&gt;=100000), " ",IF(INDEX($AB$2:$AQ$1001,MATCH(ROWS($U$2:U146),$U$2:$U$1001,0),MATCH(COLUMNS($AB$1006:AO1006),$AB$1006:$AQ$1006,0)), HYPERLINK("#",""), HYPERLINK(CONCATENATE("#metadata!", ADDRESS(INDEX($W$2:$W$1001,MATCH(ROWS($U$2:U146),$U$2:$U$1001,0),0), INDEX($AB$1004:$AQ$1004,1,MATCH(COLUMNS($AB$1006:AO1006),$AB$1006:$AQ$1006,0)))),"Fix")))</f>
        <v>0</v>
      </c>
      <c r="P146" s="4">
        <f>IF(OR(INDEX($V$2:$V$1001,MATCH(ROWS($U$2:U146),$U$2:$U$1001,0),1)&gt;=100000,INDEX($AB$1005:$AQ$1005,1,MATCH(COLUMNS($AB$1006:AP1006),$AB$1006:$AQ$1006,0))&gt;=100000), " ",IF(INDEX($AB$2:$AQ$1001,MATCH(ROWS($U$2:U146),$U$2:$U$1001,0),MATCH(COLUMNS($AB$1006:AP1006),$AB$1006:$AQ$1006,0)), HYPERLINK("#",""), HYPERLINK(CONCATENATE("#metadata!", ADDRESS(INDEX($W$2:$W$1001,MATCH(ROWS($U$2:U146),$U$2:$U$1001,0),0), INDEX($AB$1004:$AQ$1004,1,MATCH(COLUMNS($AB$1006:AP1006),$AB$1006:$AQ$1006,0)))),"Fix")))</f>
        <v>0</v>
      </c>
      <c r="Q146" s="4">
        <f>IF(OR(INDEX($V$2:$V$1001,MATCH(ROWS($U$2:U146),$U$2:$U$1001,0),1)&gt;=100000,INDEX($AB$1005:$AQ$1005,1,MATCH(COLUMNS($AB$1006:AQ1006),$AB$1006:$AQ$1006,0))&gt;=100000), " ",IF(INDEX($AB$2:$AQ$1001,MATCH(ROWS($U$2:U146),$U$2:$U$1001,0),MATCH(COLUMNS($AB$1006:AQ1006),$AB$1006:$AQ$1006,0)), HYPERLINK("#",""), HYPERLINK(CONCATENATE("#metadata!", ADDRESS(INDEX($W$2:$W$1001,MATCH(ROWS($U$2:U146),$U$2:$U$1001,0),0), INDEX($AB$1004:$AQ$1004,1,MATCH(COLUMNS($AB$1006:AQ1006),$AB$1006:$AQ$1006,0)))),"Fix")))</f>
        <v>0</v>
      </c>
      <c r="U146">
        <v>0</v>
      </c>
      <c r="V146">
        <v>0</v>
      </c>
      <c r="W146">
        <v>0</v>
      </c>
      <c r="X146">
        <f>IF(Y146,TRUE,AND(AB146:AQ146))</f>
        <v>0</v>
      </c>
      <c r="Y146">
        <f>COUNTBLANK(metadata!B146:Q146)=COLUMNS(metadata!B146:Q146)</f>
        <v>0</v>
      </c>
      <c r="Z146">
        <v>0</v>
      </c>
      <c r="AB146">
        <f>AND(IF(metadata!B146="",FALSE,TRUE),COUNTIF(metadata!B:B, metadata!B146) = 1,NOT(ISERROR(SUMPRODUCT(SEARCH(MID(metadata!B146,ROW(INDIRECT("1:"&amp;LEN(metadata!B146))), 1),"0123456789abcdefghijklmnopqrstuvwxyzABCDEFGHIJKLMNOPQRSTUVWXYZ.")))))</f>
        <v>0</v>
      </c>
      <c r="AC146">
        <f>OR(AND(IF(metadata!C146="",FALSE,TRUE),OR(exact(metadata!C146,"missing: not collected"),exact(metadata!C146,"missing: not provided"),exact(metadata!C146,"missing: restricted access"))),AND(IF(metadata!C146="",FALSE,TRUE),AND(AND(IFERROR(INT(LEFT(metadata!C146,4))&gt;1900,FALSE),IFERROR(INT(LEFT(metadata!C146,4))&lt;=YEAR(NOW()),FALSE)), OR(MID(metadata!C146,5,1)="", AND(AND(MID(metadata!C146,5,1)="-",IFERROR(INT(MID(metadata!C146,6,1))&gt;=0,FALSE),IFERROR(INT(MID(metadata!C146,6,1))&lt;=1,FALSE),NOT(MID(metadata!C146,7,1)=""),IFERROR(INT(MID(metadata!C146,6,2))&gt;=1,FALSE),IFERROR(INT(MID(metadata!C146,6,2))&lt;=12,FALSE)), OR(MID(metadata!C146,8,1)="", AND(AND(MID(metadata!C146,8,1)="-",IFERROR(INT(MID(metadata!C146,9,1))&gt;=0,FALSE),IFERROR(INT(MID(metadata!C146,9,1))&lt;=3,FALSE),NOT(MID(metadata!C146,10,1)=""),IFERROR(INT(MID(metadata!C146,9,2))&gt;=1,FALSE),IFERROR(INT(MID(metadata!C146,9,2))&lt;=31,FALSE)), OR(MID(metadata!C146,11,1)="", AND(AND(MID(metadata!C146,11,1)=" ",IFERROR(INT(MID(metadata!C146,12,1))&gt;=0,FALSE),IFERROR(INT(MID(metadata!C146,12,1))&lt;=2,FALSE),NOT(MID(metadata!C146,13,1)=""),IFERROR(INT(MID(metadata!C146,12,2))&gt;=0,FALSE),IFERROR(INT(MID(metadata!C146,12,2))&lt;=23,FALSE)), OR(MID(metadata!C146,14,1)="", AND(AND(MID(metadata!C146,14,1)=":",IFERROR(INT(MID(metadata!C146,15,1))&gt;=0,FALSE),IFERROR(INT(MID(metadata!C146,15,1))&lt;=5,FALSE),NOT(MID(metadata!C146,16,1)=""),IFERROR(INT(MID(metadata!C146,15,2))&gt;=0,FALSE),IFERROR(INT(MID(metadata!C146,15,2))&lt;=59,FALSE)), OR(MID(metadata!C146,17,1)="", AND(AND(MID(metadata!C146,17,1)=":",IFERROR(INT(MID(metadata!C146,18,1))&gt;=0,FALSE),IFERROR(INT(MID(metadata!C146,18,1))&lt;=5,FALSE),NOT(MID(metadata!C146,19,1)=""),IFERROR(INT(MID(metadata!C146,18,2))&gt;=0,FALSE),IFERROR(INT(MID(metadata!C146,18,2))&lt;=59,FALSE)), LEN(metadata!C146)&lt;=19)))))))))))))</f>
        <v>0</v>
      </c>
      <c r="AD146">
        <f>IF(metadata!D146="",FALSE,TRUE)</f>
        <v>0</v>
      </c>
      <c r="AE146">
        <f>OR(AND(IF(metadata!E146="",FALSE,TRUE),OR(exact(metadata!E146,"missing: not collected"),exact(metadata!E146,"missing: not provided"))),AND(IF(metadata!E146="",FALSE,TRUE),OR(exact(metadata!E146,"TRUE"),exact(metadata!E146,"FALSE"))))</f>
        <v>0</v>
      </c>
      <c r="AF146">
        <f>IF(metadata!F146="",FALSE,TRUE)</f>
        <v>0</v>
      </c>
      <c r="AG146">
        <f>IF(metadata!G146="",FALSE,TRUE)</f>
        <v>0</v>
      </c>
      <c r="AH146">
        <f>IF(metadata!H146="",FALSE,TRUE)</f>
        <v>0</v>
      </c>
      <c r="AI146">
        <f>OR(AND(IF(metadata!I146="",FALSE,TRUE),OR(exact(metadata!I146,"missing: not collected"),exact(metadata!I146,"missing: not provided"),exact(metadata!I146,"missing: restricted access"))),AND(IF(metadata!I146="",FALSE,TRUE),OR(exact(metadata!I146,"air"),exact(metadata!I146,"built environment"),exact(metadata!I146,"host-associated"),exact(metadata!I146,"human-associated"),exact(metadata!I146,"human-skin"),exact(metadata!I146,"human-oral"),exact(metadata!I146,"human-gut"),exact(metadata!I146,"human-vaginal"),exact(metadata!I146,"microbial mat/biofilm"),exact(metadata!I146,"misc environment"),exact(metadata!I146,"plant-associated"),exact(metadata!I146,"sediment"),exact(metadata!I146,"soil"),exact(metadata!I146,"wastewater/sludge"),exact(metadata!I146,"water"))))</f>
        <v>0</v>
      </c>
      <c r="AJ146">
        <f>IF(metadata!J146="",FALSE,TRUE)</f>
        <v>0</v>
      </c>
      <c r="AK146">
        <f>OR(AND(IF(metadata!K146="",FALSE,TRUE),OR(exact(metadata!K146,"missing: not collected"),exact(metadata!K146,"missing: not provided"),exact(metadata!K146,"missing: restricted access"))),AND(IF(metadata!K146="",FALSE,ISNUMBER(VALUE(metadata!K146))),metadata!K146&gt;=-90.00,metadata!K146&lt;=90.00))</f>
        <v>0</v>
      </c>
      <c r="AL146">
        <f>OR(AND(IF(metadata!L146="",FALSE,TRUE),OR(exact(metadata!L146,"missing: not collected"),exact(metadata!L146,"missing: not provided"),exact(metadata!L146,"missing: restricted access"))),AND(IF(metadata!L146="",FALSE,ISNUMBER(VALUE(metadata!L146))),metadata!L146&gt;=-180.00,metadata!L146&lt;=180.00))</f>
        <v>0</v>
      </c>
      <c r="AM146">
        <f>IF(metadata!M146="",FALSE,TRUE)</f>
        <v>0</v>
      </c>
      <c r="AN146">
        <f>OR(AND(IF(metadata!N146="",FALSE,TRUE),OR(exact(metadata!N146,"missing: not collected"),exact(metadata!N146,"missing: not provided"),exact(metadata!N146,"missing: restricted access"))),AND(IF(metadata!N146="",FALSE,TRUE),OR(exact(metadata!N146,"TRUE"),exact(metadata!N146,"FALSE"))))</f>
        <v>0</v>
      </c>
      <c r="AO146">
        <f>IF(metadata!O146="",FALSE,TRUE)</f>
        <v>0</v>
      </c>
      <c r="AP146">
        <f>OR(AND(IF(metadata!P146="",FALSE,TRUE),OR(exact(metadata!P146,"missing: not collected"),exact(metadata!P146,"missing: not provided"))),AND(IF(metadata!P146="",FALSE,IF(ISERROR(INT(metadata!P146)),FALSE,INT(metadata!P146)=metadata!P146)),metadata!P146&gt;0))</f>
        <v>0</v>
      </c>
      <c r="AQ146">
        <f>IF(metadata!Q146="",FALSE,TRUE)</f>
        <v>0</v>
      </c>
    </row>
    <row r="147" spans="1:43">
      <c r="A147" s="5">
        <f>IF(B147=" "," ",HYPERLINK(CONCATENATE("#metadata!",ADDRESS(INDEX($W$2:$W$1001,MATCH(ROWS($U$2:U147),$U$2:$U$1001,0),0),1)),INDEX($Z$2:$Z$1001,MATCH(ROWS($U$2:U147),$U$2:$U$1001,0),0)))</f>
        <v>0</v>
      </c>
      <c r="B147" s="4">
        <f>IF(OR(INDEX($V$2:$V$1001,MATCH(ROWS($U$2:U147),$U$2:$U$1001,0),1)&gt;=100000,INDEX($AB$1005:$AQ$1005,1,MATCH(COLUMNS($AB$1006:AB1006),$AB$1006:$AQ$1006,0))&gt;=100000), " ",IF(INDEX($AB$2:$AQ$1001,MATCH(ROWS($U$2:U147),$U$2:$U$1001,0),MATCH(COLUMNS($AB$1006:AB1006),$AB$1006:$AQ$1006,0)), HYPERLINK("#",""), HYPERLINK(CONCATENATE("#metadata!", ADDRESS(INDEX($W$2:$W$1001,MATCH(ROWS($U$2:U147),$U$2:$U$1001,0),0), INDEX($AB$1004:$AQ$1004,1,MATCH(COLUMNS($AB$1006:AB1006),$AB$1006:$AQ$1006,0)))),"Fix")))</f>
        <v>0</v>
      </c>
      <c r="C147" s="4">
        <f>IF(OR(INDEX($V$2:$V$1001,MATCH(ROWS($U$2:U147),$U$2:$U$1001,0),1)&gt;=100000,INDEX($AB$1005:$AQ$1005,1,MATCH(COLUMNS($AB$1006:AC1006),$AB$1006:$AQ$1006,0))&gt;=100000), " ",IF(INDEX($AB$2:$AQ$1001,MATCH(ROWS($U$2:U147),$U$2:$U$1001,0),MATCH(COLUMNS($AB$1006:AC1006),$AB$1006:$AQ$1006,0)), HYPERLINK("#",""), HYPERLINK(CONCATENATE("#metadata!", ADDRESS(INDEX($W$2:$W$1001,MATCH(ROWS($U$2:U147),$U$2:$U$1001,0),0), INDEX($AB$1004:$AQ$1004,1,MATCH(COLUMNS($AB$1006:AC1006),$AB$1006:$AQ$1006,0)))),"Fix")))</f>
        <v>0</v>
      </c>
      <c r="D147" s="4">
        <f>IF(OR(INDEX($V$2:$V$1001,MATCH(ROWS($U$2:U147),$U$2:$U$1001,0),1)&gt;=100000,INDEX($AB$1005:$AQ$1005,1,MATCH(COLUMNS($AB$1006:AD1006),$AB$1006:$AQ$1006,0))&gt;=100000), " ",IF(INDEX($AB$2:$AQ$1001,MATCH(ROWS($U$2:U147),$U$2:$U$1001,0),MATCH(COLUMNS($AB$1006:AD1006),$AB$1006:$AQ$1006,0)), HYPERLINK("#",""), HYPERLINK(CONCATENATE("#metadata!", ADDRESS(INDEX($W$2:$W$1001,MATCH(ROWS($U$2:U147),$U$2:$U$1001,0),0), INDEX($AB$1004:$AQ$1004,1,MATCH(COLUMNS($AB$1006:AD1006),$AB$1006:$AQ$1006,0)))),"Fix")))</f>
        <v>0</v>
      </c>
      <c r="E147" s="4">
        <f>IF(OR(INDEX($V$2:$V$1001,MATCH(ROWS($U$2:U147),$U$2:$U$1001,0),1)&gt;=100000,INDEX($AB$1005:$AQ$1005,1,MATCH(COLUMNS($AB$1006:AE1006),$AB$1006:$AQ$1006,0))&gt;=100000), " ",IF(INDEX($AB$2:$AQ$1001,MATCH(ROWS($U$2:U147),$U$2:$U$1001,0),MATCH(COLUMNS($AB$1006:AE1006),$AB$1006:$AQ$1006,0)), HYPERLINK("#",""), HYPERLINK(CONCATENATE("#metadata!", ADDRESS(INDEX($W$2:$W$1001,MATCH(ROWS($U$2:U147),$U$2:$U$1001,0),0), INDEX($AB$1004:$AQ$1004,1,MATCH(COLUMNS($AB$1006:AE1006),$AB$1006:$AQ$1006,0)))),"Fix")))</f>
        <v>0</v>
      </c>
      <c r="F147" s="4">
        <f>IF(OR(INDEX($V$2:$V$1001,MATCH(ROWS($U$2:U147),$U$2:$U$1001,0),1)&gt;=100000,INDEX($AB$1005:$AQ$1005,1,MATCH(COLUMNS($AB$1006:AF1006),$AB$1006:$AQ$1006,0))&gt;=100000), " ",IF(INDEX($AB$2:$AQ$1001,MATCH(ROWS($U$2:U147),$U$2:$U$1001,0),MATCH(COLUMNS($AB$1006:AF1006),$AB$1006:$AQ$1006,0)), HYPERLINK("#",""), HYPERLINK(CONCATENATE("#metadata!", ADDRESS(INDEX($W$2:$W$1001,MATCH(ROWS($U$2:U147),$U$2:$U$1001,0),0), INDEX($AB$1004:$AQ$1004,1,MATCH(COLUMNS($AB$1006:AF1006),$AB$1006:$AQ$1006,0)))),"Fix")))</f>
        <v>0</v>
      </c>
      <c r="G147" s="4">
        <f>IF(OR(INDEX($V$2:$V$1001,MATCH(ROWS($U$2:U147),$U$2:$U$1001,0),1)&gt;=100000,INDEX($AB$1005:$AQ$1005,1,MATCH(COLUMNS($AB$1006:AG1006),$AB$1006:$AQ$1006,0))&gt;=100000), " ",IF(INDEX($AB$2:$AQ$1001,MATCH(ROWS($U$2:U147),$U$2:$U$1001,0),MATCH(COLUMNS($AB$1006:AG1006),$AB$1006:$AQ$1006,0)), HYPERLINK("#",""), HYPERLINK(CONCATENATE("#metadata!", ADDRESS(INDEX($W$2:$W$1001,MATCH(ROWS($U$2:U147),$U$2:$U$1001,0),0), INDEX($AB$1004:$AQ$1004,1,MATCH(COLUMNS($AB$1006:AG1006),$AB$1006:$AQ$1006,0)))),"Fix")))</f>
        <v>0</v>
      </c>
      <c r="H147" s="4">
        <f>IF(OR(INDEX($V$2:$V$1001,MATCH(ROWS($U$2:U147),$U$2:$U$1001,0),1)&gt;=100000,INDEX($AB$1005:$AQ$1005,1,MATCH(COLUMNS($AB$1006:AH1006),$AB$1006:$AQ$1006,0))&gt;=100000), " ",IF(INDEX($AB$2:$AQ$1001,MATCH(ROWS($U$2:U147),$U$2:$U$1001,0),MATCH(COLUMNS($AB$1006:AH1006),$AB$1006:$AQ$1006,0)), HYPERLINK("#",""), HYPERLINK(CONCATENATE("#metadata!", ADDRESS(INDEX($W$2:$W$1001,MATCH(ROWS($U$2:U147),$U$2:$U$1001,0),0), INDEX($AB$1004:$AQ$1004,1,MATCH(COLUMNS($AB$1006:AH1006),$AB$1006:$AQ$1006,0)))),"Fix")))</f>
        <v>0</v>
      </c>
      <c r="I147" s="4">
        <f>IF(OR(INDEX($V$2:$V$1001,MATCH(ROWS($U$2:U147),$U$2:$U$1001,0),1)&gt;=100000,INDEX($AB$1005:$AQ$1005,1,MATCH(COLUMNS($AB$1006:AI1006),$AB$1006:$AQ$1006,0))&gt;=100000), " ",IF(INDEX($AB$2:$AQ$1001,MATCH(ROWS($U$2:U147),$U$2:$U$1001,0),MATCH(COLUMNS($AB$1006:AI1006),$AB$1006:$AQ$1006,0)), HYPERLINK("#",""), HYPERLINK(CONCATENATE("#metadata!", ADDRESS(INDEX($W$2:$W$1001,MATCH(ROWS($U$2:U147),$U$2:$U$1001,0),0), INDEX($AB$1004:$AQ$1004,1,MATCH(COLUMNS($AB$1006:AI1006),$AB$1006:$AQ$1006,0)))),"Fix")))</f>
        <v>0</v>
      </c>
      <c r="J147" s="4">
        <f>IF(OR(INDEX($V$2:$V$1001,MATCH(ROWS($U$2:U147),$U$2:$U$1001,0),1)&gt;=100000,INDEX($AB$1005:$AQ$1005,1,MATCH(COLUMNS($AB$1006:AJ1006),$AB$1006:$AQ$1006,0))&gt;=100000), " ",IF(INDEX($AB$2:$AQ$1001,MATCH(ROWS($U$2:U147),$U$2:$U$1001,0),MATCH(COLUMNS($AB$1006:AJ1006),$AB$1006:$AQ$1006,0)), HYPERLINK("#",""), HYPERLINK(CONCATENATE("#metadata!", ADDRESS(INDEX($W$2:$W$1001,MATCH(ROWS($U$2:U147),$U$2:$U$1001,0),0), INDEX($AB$1004:$AQ$1004,1,MATCH(COLUMNS($AB$1006:AJ1006),$AB$1006:$AQ$1006,0)))),"Fix")))</f>
        <v>0</v>
      </c>
      <c r="K147" s="4">
        <f>IF(OR(INDEX($V$2:$V$1001,MATCH(ROWS($U$2:U147),$U$2:$U$1001,0),1)&gt;=100000,INDEX($AB$1005:$AQ$1005,1,MATCH(COLUMNS($AB$1006:AK1006),$AB$1006:$AQ$1006,0))&gt;=100000), " ",IF(INDEX($AB$2:$AQ$1001,MATCH(ROWS($U$2:U147),$U$2:$U$1001,0),MATCH(COLUMNS($AB$1006:AK1006),$AB$1006:$AQ$1006,0)), HYPERLINK("#",""), HYPERLINK(CONCATENATE("#metadata!", ADDRESS(INDEX($W$2:$W$1001,MATCH(ROWS($U$2:U147),$U$2:$U$1001,0),0), INDEX($AB$1004:$AQ$1004,1,MATCH(COLUMNS($AB$1006:AK1006),$AB$1006:$AQ$1006,0)))),"Fix")))</f>
        <v>0</v>
      </c>
      <c r="L147" s="4">
        <f>IF(OR(INDEX($V$2:$V$1001,MATCH(ROWS($U$2:U147),$U$2:$U$1001,0),1)&gt;=100000,INDEX($AB$1005:$AQ$1005,1,MATCH(COLUMNS($AB$1006:AL1006),$AB$1006:$AQ$1006,0))&gt;=100000), " ",IF(INDEX($AB$2:$AQ$1001,MATCH(ROWS($U$2:U147),$U$2:$U$1001,0),MATCH(COLUMNS($AB$1006:AL1006),$AB$1006:$AQ$1006,0)), HYPERLINK("#",""), HYPERLINK(CONCATENATE("#metadata!", ADDRESS(INDEX($W$2:$W$1001,MATCH(ROWS($U$2:U147),$U$2:$U$1001,0),0), INDEX($AB$1004:$AQ$1004,1,MATCH(COLUMNS($AB$1006:AL1006),$AB$1006:$AQ$1006,0)))),"Fix")))</f>
        <v>0</v>
      </c>
      <c r="M147" s="4">
        <f>IF(OR(INDEX($V$2:$V$1001,MATCH(ROWS($U$2:U147),$U$2:$U$1001,0),1)&gt;=100000,INDEX($AB$1005:$AQ$1005,1,MATCH(COLUMNS($AB$1006:AM1006),$AB$1006:$AQ$1006,0))&gt;=100000), " ",IF(INDEX($AB$2:$AQ$1001,MATCH(ROWS($U$2:U147),$U$2:$U$1001,0),MATCH(COLUMNS($AB$1006:AM1006),$AB$1006:$AQ$1006,0)), HYPERLINK("#",""), HYPERLINK(CONCATENATE("#metadata!", ADDRESS(INDEX($W$2:$W$1001,MATCH(ROWS($U$2:U147),$U$2:$U$1001,0),0), INDEX($AB$1004:$AQ$1004,1,MATCH(COLUMNS($AB$1006:AM1006),$AB$1006:$AQ$1006,0)))),"Fix")))</f>
        <v>0</v>
      </c>
      <c r="N147" s="4">
        <f>IF(OR(INDEX($V$2:$V$1001,MATCH(ROWS($U$2:U147),$U$2:$U$1001,0),1)&gt;=100000,INDEX($AB$1005:$AQ$1005,1,MATCH(COLUMNS($AB$1006:AN1006),$AB$1006:$AQ$1006,0))&gt;=100000), " ",IF(INDEX($AB$2:$AQ$1001,MATCH(ROWS($U$2:U147),$U$2:$U$1001,0),MATCH(COLUMNS($AB$1006:AN1006),$AB$1006:$AQ$1006,0)), HYPERLINK("#",""), HYPERLINK(CONCATENATE("#metadata!", ADDRESS(INDEX($W$2:$W$1001,MATCH(ROWS($U$2:U147),$U$2:$U$1001,0),0), INDEX($AB$1004:$AQ$1004,1,MATCH(COLUMNS($AB$1006:AN1006),$AB$1006:$AQ$1006,0)))),"Fix")))</f>
        <v>0</v>
      </c>
      <c r="O147" s="4">
        <f>IF(OR(INDEX($V$2:$V$1001,MATCH(ROWS($U$2:U147),$U$2:$U$1001,0),1)&gt;=100000,INDEX($AB$1005:$AQ$1005,1,MATCH(COLUMNS($AB$1006:AO1006),$AB$1006:$AQ$1006,0))&gt;=100000), " ",IF(INDEX($AB$2:$AQ$1001,MATCH(ROWS($U$2:U147),$U$2:$U$1001,0),MATCH(COLUMNS($AB$1006:AO1006),$AB$1006:$AQ$1006,0)), HYPERLINK("#",""), HYPERLINK(CONCATENATE("#metadata!", ADDRESS(INDEX($W$2:$W$1001,MATCH(ROWS($U$2:U147),$U$2:$U$1001,0),0), INDEX($AB$1004:$AQ$1004,1,MATCH(COLUMNS($AB$1006:AO1006),$AB$1006:$AQ$1006,0)))),"Fix")))</f>
        <v>0</v>
      </c>
      <c r="P147" s="4">
        <f>IF(OR(INDEX($V$2:$V$1001,MATCH(ROWS($U$2:U147),$U$2:$U$1001,0),1)&gt;=100000,INDEX($AB$1005:$AQ$1005,1,MATCH(COLUMNS($AB$1006:AP1006),$AB$1006:$AQ$1006,0))&gt;=100000), " ",IF(INDEX($AB$2:$AQ$1001,MATCH(ROWS($U$2:U147),$U$2:$U$1001,0),MATCH(COLUMNS($AB$1006:AP1006),$AB$1006:$AQ$1006,0)), HYPERLINK("#",""), HYPERLINK(CONCATENATE("#metadata!", ADDRESS(INDEX($W$2:$W$1001,MATCH(ROWS($U$2:U147),$U$2:$U$1001,0),0), INDEX($AB$1004:$AQ$1004,1,MATCH(COLUMNS($AB$1006:AP1006),$AB$1006:$AQ$1006,0)))),"Fix")))</f>
        <v>0</v>
      </c>
      <c r="Q147" s="4">
        <f>IF(OR(INDEX($V$2:$V$1001,MATCH(ROWS($U$2:U147),$U$2:$U$1001,0),1)&gt;=100000,INDEX($AB$1005:$AQ$1005,1,MATCH(COLUMNS($AB$1006:AQ1006),$AB$1006:$AQ$1006,0))&gt;=100000), " ",IF(INDEX($AB$2:$AQ$1001,MATCH(ROWS($U$2:U147),$U$2:$U$1001,0),MATCH(COLUMNS($AB$1006:AQ1006),$AB$1006:$AQ$1006,0)), HYPERLINK("#",""), HYPERLINK(CONCATENATE("#metadata!", ADDRESS(INDEX($W$2:$W$1001,MATCH(ROWS($U$2:U147),$U$2:$U$1001,0),0), INDEX($AB$1004:$AQ$1004,1,MATCH(COLUMNS($AB$1006:AQ1006),$AB$1006:$AQ$1006,0)))),"Fix")))</f>
        <v>0</v>
      </c>
      <c r="U147">
        <v>0</v>
      </c>
      <c r="V147">
        <v>0</v>
      </c>
      <c r="W147">
        <v>0</v>
      </c>
      <c r="X147">
        <f>IF(Y147,TRUE,AND(AB147:AQ147))</f>
        <v>0</v>
      </c>
      <c r="Y147">
        <f>COUNTBLANK(metadata!B147:Q147)=COLUMNS(metadata!B147:Q147)</f>
        <v>0</v>
      </c>
      <c r="Z147">
        <v>0</v>
      </c>
      <c r="AB147">
        <f>AND(IF(metadata!B147="",FALSE,TRUE),COUNTIF(metadata!B:B, metadata!B147) = 1,NOT(ISERROR(SUMPRODUCT(SEARCH(MID(metadata!B147,ROW(INDIRECT("1:"&amp;LEN(metadata!B147))), 1),"0123456789abcdefghijklmnopqrstuvwxyzABCDEFGHIJKLMNOPQRSTUVWXYZ.")))))</f>
        <v>0</v>
      </c>
      <c r="AC147">
        <f>OR(AND(IF(metadata!C147="",FALSE,TRUE),OR(exact(metadata!C147,"missing: not collected"),exact(metadata!C147,"missing: not provided"),exact(metadata!C147,"missing: restricted access"))),AND(IF(metadata!C147="",FALSE,TRUE),AND(AND(IFERROR(INT(LEFT(metadata!C147,4))&gt;1900,FALSE),IFERROR(INT(LEFT(metadata!C147,4))&lt;=YEAR(NOW()),FALSE)), OR(MID(metadata!C147,5,1)="", AND(AND(MID(metadata!C147,5,1)="-",IFERROR(INT(MID(metadata!C147,6,1))&gt;=0,FALSE),IFERROR(INT(MID(metadata!C147,6,1))&lt;=1,FALSE),NOT(MID(metadata!C147,7,1)=""),IFERROR(INT(MID(metadata!C147,6,2))&gt;=1,FALSE),IFERROR(INT(MID(metadata!C147,6,2))&lt;=12,FALSE)), OR(MID(metadata!C147,8,1)="", AND(AND(MID(metadata!C147,8,1)="-",IFERROR(INT(MID(metadata!C147,9,1))&gt;=0,FALSE),IFERROR(INT(MID(metadata!C147,9,1))&lt;=3,FALSE),NOT(MID(metadata!C147,10,1)=""),IFERROR(INT(MID(metadata!C147,9,2))&gt;=1,FALSE),IFERROR(INT(MID(metadata!C147,9,2))&lt;=31,FALSE)), OR(MID(metadata!C147,11,1)="", AND(AND(MID(metadata!C147,11,1)=" ",IFERROR(INT(MID(metadata!C147,12,1))&gt;=0,FALSE),IFERROR(INT(MID(metadata!C147,12,1))&lt;=2,FALSE),NOT(MID(metadata!C147,13,1)=""),IFERROR(INT(MID(metadata!C147,12,2))&gt;=0,FALSE),IFERROR(INT(MID(metadata!C147,12,2))&lt;=23,FALSE)), OR(MID(metadata!C147,14,1)="", AND(AND(MID(metadata!C147,14,1)=":",IFERROR(INT(MID(metadata!C147,15,1))&gt;=0,FALSE),IFERROR(INT(MID(metadata!C147,15,1))&lt;=5,FALSE),NOT(MID(metadata!C147,16,1)=""),IFERROR(INT(MID(metadata!C147,15,2))&gt;=0,FALSE),IFERROR(INT(MID(metadata!C147,15,2))&lt;=59,FALSE)), OR(MID(metadata!C147,17,1)="", AND(AND(MID(metadata!C147,17,1)=":",IFERROR(INT(MID(metadata!C147,18,1))&gt;=0,FALSE),IFERROR(INT(MID(metadata!C147,18,1))&lt;=5,FALSE),NOT(MID(metadata!C147,19,1)=""),IFERROR(INT(MID(metadata!C147,18,2))&gt;=0,FALSE),IFERROR(INT(MID(metadata!C147,18,2))&lt;=59,FALSE)), LEN(metadata!C147)&lt;=19)))))))))))))</f>
        <v>0</v>
      </c>
      <c r="AD147">
        <f>IF(metadata!D147="",FALSE,TRUE)</f>
        <v>0</v>
      </c>
      <c r="AE147">
        <f>OR(AND(IF(metadata!E147="",FALSE,TRUE),OR(exact(metadata!E147,"missing: not collected"),exact(metadata!E147,"missing: not provided"))),AND(IF(metadata!E147="",FALSE,TRUE),OR(exact(metadata!E147,"TRUE"),exact(metadata!E147,"FALSE"))))</f>
        <v>0</v>
      </c>
      <c r="AF147">
        <f>IF(metadata!F147="",FALSE,TRUE)</f>
        <v>0</v>
      </c>
      <c r="AG147">
        <f>IF(metadata!G147="",FALSE,TRUE)</f>
        <v>0</v>
      </c>
      <c r="AH147">
        <f>IF(metadata!H147="",FALSE,TRUE)</f>
        <v>0</v>
      </c>
      <c r="AI147">
        <f>OR(AND(IF(metadata!I147="",FALSE,TRUE),OR(exact(metadata!I147,"missing: not collected"),exact(metadata!I147,"missing: not provided"),exact(metadata!I147,"missing: restricted access"))),AND(IF(metadata!I147="",FALSE,TRUE),OR(exact(metadata!I147,"air"),exact(metadata!I147,"built environment"),exact(metadata!I147,"host-associated"),exact(metadata!I147,"human-associated"),exact(metadata!I147,"human-skin"),exact(metadata!I147,"human-oral"),exact(metadata!I147,"human-gut"),exact(metadata!I147,"human-vaginal"),exact(metadata!I147,"microbial mat/biofilm"),exact(metadata!I147,"misc environment"),exact(metadata!I147,"plant-associated"),exact(metadata!I147,"sediment"),exact(metadata!I147,"soil"),exact(metadata!I147,"wastewater/sludge"),exact(metadata!I147,"water"))))</f>
        <v>0</v>
      </c>
      <c r="AJ147">
        <f>IF(metadata!J147="",FALSE,TRUE)</f>
        <v>0</v>
      </c>
      <c r="AK147">
        <f>OR(AND(IF(metadata!K147="",FALSE,TRUE),OR(exact(metadata!K147,"missing: not collected"),exact(metadata!K147,"missing: not provided"),exact(metadata!K147,"missing: restricted access"))),AND(IF(metadata!K147="",FALSE,ISNUMBER(VALUE(metadata!K147))),metadata!K147&gt;=-90.00,metadata!K147&lt;=90.00))</f>
        <v>0</v>
      </c>
      <c r="AL147">
        <f>OR(AND(IF(metadata!L147="",FALSE,TRUE),OR(exact(metadata!L147,"missing: not collected"),exact(metadata!L147,"missing: not provided"),exact(metadata!L147,"missing: restricted access"))),AND(IF(metadata!L147="",FALSE,ISNUMBER(VALUE(metadata!L147))),metadata!L147&gt;=-180.00,metadata!L147&lt;=180.00))</f>
        <v>0</v>
      </c>
      <c r="AM147">
        <f>IF(metadata!M147="",FALSE,TRUE)</f>
        <v>0</v>
      </c>
      <c r="AN147">
        <f>OR(AND(IF(metadata!N147="",FALSE,TRUE),OR(exact(metadata!N147,"missing: not collected"),exact(metadata!N147,"missing: not provided"),exact(metadata!N147,"missing: restricted access"))),AND(IF(metadata!N147="",FALSE,TRUE),OR(exact(metadata!N147,"TRUE"),exact(metadata!N147,"FALSE"))))</f>
        <v>0</v>
      </c>
      <c r="AO147">
        <f>IF(metadata!O147="",FALSE,TRUE)</f>
        <v>0</v>
      </c>
      <c r="AP147">
        <f>OR(AND(IF(metadata!P147="",FALSE,TRUE),OR(exact(metadata!P147,"missing: not collected"),exact(metadata!P147,"missing: not provided"))),AND(IF(metadata!P147="",FALSE,IF(ISERROR(INT(metadata!P147)),FALSE,INT(metadata!P147)=metadata!P147)),metadata!P147&gt;0))</f>
        <v>0</v>
      </c>
      <c r="AQ147">
        <f>IF(metadata!Q147="",FALSE,TRUE)</f>
        <v>0</v>
      </c>
    </row>
    <row r="148" spans="1:43">
      <c r="A148" s="5">
        <f>IF(B148=" "," ",HYPERLINK(CONCATENATE("#metadata!",ADDRESS(INDEX($W$2:$W$1001,MATCH(ROWS($U$2:U148),$U$2:$U$1001,0),0),1)),INDEX($Z$2:$Z$1001,MATCH(ROWS($U$2:U148),$U$2:$U$1001,0),0)))</f>
        <v>0</v>
      </c>
      <c r="B148" s="4">
        <f>IF(OR(INDEX($V$2:$V$1001,MATCH(ROWS($U$2:U148),$U$2:$U$1001,0),1)&gt;=100000,INDEX($AB$1005:$AQ$1005,1,MATCH(COLUMNS($AB$1006:AB1006),$AB$1006:$AQ$1006,0))&gt;=100000), " ",IF(INDEX($AB$2:$AQ$1001,MATCH(ROWS($U$2:U148),$U$2:$U$1001,0),MATCH(COLUMNS($AB$1006:AB1006),$AB$1006:$AQ$1006,0)), HYPERLINK("#",""), HYPERLINK(CONCATENATE("#metadata!", ADDRESS(INDEX($W$2:$W$1001,MATCH(ROWS($U$2:U148),$U$2:$U$1001,0),0), INDEX($AB$1004:$AQ$1004,1,MATCH(COLUMNS($AB$1006:AB1006),$AB$1006:$AQ$1006,0)))),"Fix")))</f>
        <v>0</v>
      </c>
      <c r="C148" s="4">
        <f>IF(OR(INDEX($V$2:$V$1001,MATCH(ROWS($U$2:U148),$U$2:$U$1001,0),1)&gt;=100000,INDEX($AB$1005:$AQ$1005,1,MATCH(COLUMNS($AB$1006:AC1006),$AB$1006:$AQ$1006,0))&gt;=100000), " ",IF(INDEX($AB$2:$AQ$1001,MATCH(ROWS($U$2:U148),$U$2:$U$1001,0),MATCH(COLUMNS($AB$1006:AC1006),$AB$1006:$AQ$1006,0)), HYPERLINK("#",""), HYPERLINK(CONCATENATE("#metadata!", ADDRESS(INDEX($W$2:$W$1001,MATCH(ROWS($U$2:U148),$U$2:$U$1001,0),0), INDEX($AB$1004:$AQ$1004,1,MATCH(COLUMNS($AB$1006:AC1006),$AB$1006:$AQ$1006,0)))),"Fix")))</f>
        <v>0</v>
      </c>
      <c r="D148" s="4">
        <f>IF(OR(INDEX($V$2:$V$1001,MATCH(ROWS($U$2:U148),$U$2:$U$1001,0),1)&gt;=100000,INDEX($AB$1005:$AQ$1005,1,MATCH(COLUMNS($AB$1006:AD1006),$AB$1006:$AQ$1006,0))&gt;=100000), " ",IF(INDEX($AB$2:$AQ$1001,MATCH(ROWS($U$2:U148),$U$2:$U$1001,0),MATCH(COLUMNS($AB$1006:AD1006),$AB$1006:$AQ$1006,0)), HYPERLINK("#",""), HYPERLINK(CONCATENATE("#metadata!", ADDRESS(INDEX($W$2:$W$1001,MATCH(ROWS($U$2:U148),$U$2:$U$1001,0),0), INDEX($AB$1004:$AQ$1004,1,MATCH(COLUMNS($AB$1006:AD1006),$AB$1006:$AQ$1006,0)))),"Fix")))</f>
        <v>0</v>
      </c>
      <c r="E148" s="4">
        <f>IF(OR(INDEX($V$2:$V$1001,MATCH(ROWS($U$2:U148),$U$2:$U$1001,0),1)&gt;=100000,INDEX($AB$1005:$AQ$1005,1,MATCH(COLUMNS($AB$1006:AE1006),$AB$1006:$AQ$1006,0))&gt;=100000), " ",IF(INDEX($AB$2:$AQ$1001,MATCH(ROWS($U$2:U148),$U$2:$U$1001,0),MATCH(COLUMNS($AB$1006:AE1006),$AB$1006:$AQ$1006,0)), HYPERLINK("#",""), HYPERLINK(CONCATENATE("#metadata!", ADDRESS(INDEX($W$2:$W$1001,MATCH(ROWS($U$2:U148),$U$2:$U$1001,0),0), INDEX($AB$1004:$AQ$1004,1,MATCH(COLUMNS($AB$1006:AE1006),$AB$1006:$AQ$1006,0)))),"Fix")))</f>
        <v>0</v>
      </c>
      <c r="F148" s="4">
        <f>IF(OR(INDEX($V$2:$V$1001,MATCH(ROWS($U$2:U148),$U$2:$U$1001,0),1)&gt;=100000,INDEX($AB$1005:$AQ$1005,1,MATCH(COLUMNS($AB$1006:AF1006),$AB$1006:$AQ$1006,0))&gt;=100000), " ",IF(INDEX($AB$2:$AQ$1001,MATCH(ROWS($U$2:U148),$U$2:$U$1001,0),MATCH(COLUMNS($AB$1006:AF1006),$AB$1006:$AQ$1006,0)), HYPERLINK("#",""), HYPERLINK(CONCATENATE("#metadata!", ADDRESS(INDEX($W$2:$W$1001,MATCH(ROWS($U$2:U148),$U$2:$U$1001,0),0), INDEX($AB$1004:$AQ$1004,1,MATCH(COLUMNS($AB$1006:AF1006),$AB$1006:$AQ$1006,0)))),"Fix")))</f>
        <v>0</v>
      </c>
      <c r="G148" s="4">
        <f>IF(OR(INDEX($V$2:$V$1001,MATCH(ROWS($U$2:U148),$U$2:$U$1001,0),1)&gt;=100000,INDEX($AB$1005:$AQ$1005,1,MATCH(COLUMNS($AB$1006:AG1006),$AB$1006:$AQ$1006,0))&gt;=100000), " ",IF(INDEX($AB$2:$AQ$1001,MATCH(ROWS($U$2:U148),$U$2:$U$1001,0),MATCH(COLUMNS($AB$1006:AG1006),$AB$1006:$AQ$1006,0)), HYPERLINK("#",""), HYPERLINK(CONCATENATE("#metadata!", ADDRESS(INDEX($W$2:$W$1001,MATCH(ROWS($U$2:U148),$U$2:$U$1001,0),0), INDEX($AB$1004:$AQ$1004,1,MATCH(COLUMNS($AB$1006:AG1006),$AB$1006:$AQ$1006,0)))),"Fix")))</f>
        <v>0</v>
      </c>
      <c r="H148" s="4">
        <f>IF(OR(INDEX($V$2:$V$1001,MATCH(ROWS($U$2:U148),$U$2:$U$1001,0),1)&gt;=100000,INDEX($AB$1005:$AQ$1005,1,MATCH(COLUMNS($AB$1006:AH1006),$AB$1006:$AQ$1006,0))&gt;=100000), " ",IF(INDEX($AB$2:$AQ$1001,MATCH(ROWS($U$2:U148),$U$2:$U$1001,0),MATCH(COLUMNS($AB$1006:AH1006),$AB$1006:$AQ$1006,0)), HYPERLINK("#",""), HYPERLINK(CONCATENATE("#metadata!", ADDRESS(INDEX($W$2:$W$1001,MATCH(ROWS($U$2:U148),$U$2:$U$1001,0),0), INDEX($AB$1004:$AQ$1004,1,MATCH(COLUMNS($AB$1006:AH1006),$AB$1006:$AQ$1006,0)))),"Fix")))</f>
        <v>0</v>
      </c>
      <c r="I148" s="4">
        <f>IF(OR(INDEX($V$2:$V$1001,MATCH(ROWS($U$2:U148),$U$2:$U$1001,0),1)&gt;=100000,INDEX($AB$1005:$AQ$1005,1,MATCH(COLUMNS($AB$1006:AI1006),$AB$1006:$AQ$1006,0))&gt;=100000), " ",IF(INDEX($AB$2:$AQ$1001,MATCH(ROWS($U$2:U148),$U$2:$U$1001,0),MATCH(COLUMNS($AB$1006:AI1006),$AB$1006:$AQ$1006,0)), HYPERLINK("#",""), HYPERLINK(CONCATENATE("#metadata!", ADDRESS(INDEX($W$2:$W$1001,MATCH(ROWS($U$2:U148),$U$2:$U$1001,0),0), INDEX($AB$1004:$AQ$1004,1,MATCH(COLUMNS($AB$1006:AI1006),$AB$1006:$AQ$1006,0)))),"Fix")))</f>
        <v>0</v>
      </c>
      <c r="J148" s="4">
        <f>IF(OR(INDEX($V$2:$V$1001,MATCH(ROWS($U$2:U148),$U$2:$U$1001,0),1)&gt;=100000,INDEX($AB$1005:$AQ$1005,1,MATCH(COLUMNS($AB$1006:AJ1006),$AB$1006:$AQ$1006,0))&gt;=100000), " ",IF(INDEX($AB$2:$AQ$1001,MATCH(ROWS($U$2:U148),$U$2:$U$1001,0),MATCH(COLUMNS($AB$1006:AJ1006),$AB$1006:$AQ$1006,0)), HYPERLINK("#",""), HYPERLINK(CONCATENATE("#metadata!", ADDRESS(INDEX($W$2:$W$1001,MATCH(ROWS($U$2:U148),$U$2:$U$1001,0),0), INDEX($AB$1004:$AQ$1004,1,MATCH(COLUMNS($AB$1006:AJ1006),$AB$1006:$AQ$1006,0)))),"Fix")))</f>
        <v>0</v>
      </c>
      <c r="K148" s="4">
        <f>IF(OR(INDEX($V$2:$V$1001,MATCH(ROWS($U$2:U148),$U$2:$U$1001,0),1)&gt;=100000,INDEX($AB$1005:$AQ$1005,1,MATCH(COLUMNS($AB$1006:AK1006),$AB$1006:$AQ$1006,0))&gt;=100000), " ",IF(INDEX($AB$2:$AQ$1001,MATCH(ROWS($U$2:U148),$U$2:$U$1001,0),MATCH(COLUMNS($AB$1006:AK1006),$AB$1006:$AQ$1006,0)), HYPERLINK("#",""), HYPERLINK(CONCATENATE("#metadata!", ADDRESS(INDEX($W$2:$W$1001,MATCH(ROWS($U$2:U148),$U$2:$U$1001,0),0), INDEX($AB$1004:$AQ$1004,1,MATCH(COLUMNS($AB$1006:AK1006),$AB$1006:$AQ$1006,0)))),"Fix")))</f>
        <v>0</v>
      </c>
      <c r="L148" s="4">
        <f>IF(OR(INDEX($V$2:$V$1001,MATCH(ROWS($U$2:U148),$U$2:$U$1001,0),1)&gt;=100000,INDEX($AB$1005:$AQ$1005,1,MATCH(COLUMNS($AB$1006:AL1006),$AB$1006:$AQ$1006,0))&gt;=100000), " ",IF(INDEX($AB$2:$AQ$1001,MATCH(ROWS($U$2:U148),$U$2:$U$1001,0),MATCH(COLUMNS($AB$1006:AL1006),$AB$1006:$AQ$1006,0)), HYPERLINK("#",""), HYPERLINK(CONCATENATE("#metadata!", ADDRESS(INDEX($W$2:$W$1001,MATCH(ROWS($U$2:U148),$U$2:$U$1001,0),0), INDEX($AB$1004:$AQ$1004,1,MATCH(COLUMNS($AB$1006:AL1006),$AB$1006:$AQ$1006,0)))),"Fix")))</f>
        <v>0</v>
      </c>
      <c r="M148" s="4">
        <f>IF(OR(INDEX($V$2:$V$1001,MATCH(ROWS($U$2:U148),$U$2:$U$1001,0),1)&gt;=100000,INDEX($AB$1005:$AQ$1005,1,MATCH(COLUMNS($AB$1006:AM1006),$AB$1006:$AQ$1006,0))&gt;=100000), " ",IF(INDEX($AB$2:$AQ$1001,MATCH(ROWS($U$2:U148),$U$2:$U$1001,0),MATCH(COLUMNS($AB$1006:AM1006),$AB$1006:$AQ$1006,0)), HYPERLINK("#",""), HYPERLINK(CONCATENATE("#metadata!", ADDRESS(INDEX($W$2:$W$1001,MATCH(ROWS($U$2:U148),$U$2:$U$1001,0),0), INDEX($AB$1004:$AQ$1004,1,MATCH(COLUMNS($AB$1006:AM1006),$AB$1006:$AQ$1006,0)))),"Fix")))</f>
        <v>0</v>
      </c>
      <c r="N148" s="4">
        <f>IF(OR(INDEX($V$2:$V$1001,MATCH(ROWS($U$2:U148),$U$2:$U$1001,0),1)&gt;=100000,INDEX($AB$1005:$AQ$1005,1,MATCH(COLUMNS($AB$1006:AN1006),$AB$1006:$AQ$1006,0))&gt;=100000), " ",IF(INDEX($AB$2:$AQ$1001,MATCH(ROWS($U$2:U148),$U$2:$U$1001,0),MATCH(COLUMNS($AB$1006:AN1006),$AB$1006:$AQ$1006,0)), HYPERLINK("#",""), HYPERLINK(CONCATENATE("#metadata!", ADDRESS(INDEX($W$2:$W$1001,MATCH(ROWS($U$2:U148),$U$2:$U$1001,0),0), INDEX($AB$1004:$AQ$1004,1,MATCH(COLUMNS($AB$1006:AN1006),$AB$1006:$AQ$1006,0)))),"Fix")))</f>
        <v>0</v>
      </c>
      <c r="O148" s="4">
        <f>IF(OR(INDEX($V$2:$V$1001,MATCH(ROWS($U$2:U148),$U$2:$U$1001,0),1)&gt;=100000,INDEX($AB$1005:$AQ$1005,1,MATCH(COLUMNS($AB$1006:AO1006),$AB$1006:$AQ$1006,0))&gt;=100000), " ",IF(INDEX($AB$2:$AQ$1001,MATCH(ROWS($U$2:U148),$U$2:$U$1001,0),MATCH(COLUMNS($AB$1006:AO1006),$AB$1006:$AQ$1006,0)), HYPERLINK("#",""), HYPERLINK(CONCATENATE("#metadata!", ADDRESS(INDEX($W$2:$W$1001,MATCH(ROWS($U$2:U148),$U$2:$U$1001,0),0), INDEX($AB$1004:$AQ$1004,1,MATCH(COLUMNS($AB$1006:AO1006),$AB$1006:$AQ$1006,0)))),"Fix")))</f>
        <v>0</v>
      </c>
      <c r="P148" s="4">
        <f>IF(OR(INDEX($V$2:$V$1001,MATCH(ROWS($U$2:U148),$U$2:$U$1001,0),1)&gt;=100000,INDEX($AB$1005:$AQ$1005,1,MATCH(COLUMNS($AB$1006:AP1006),$AB$1006:$AQ$1006,0))&gt;=100000), " ",IF(INDEX($AB$2:$AQ$1001,MATCH(ROWS($U$2:U148),$U$2:$U$1001,0),MATCH(COLUMNS($AB$1006:AP1006),$AB$1006:$AQ$1006,0)), HYPERLINK("#",""), HYPERLINK(CONCATENATE("#metadata!", ADDRESS(INDEX($W$2:$W$1001,MATCH(ROWS($U$2:U148),$U$2:$U$1001,0),0), INDEX($AB$1004:$AQ$1004,1,MATCH(COLUMNS($AB$1006:AP1006),$AB$1006:$AQ$1006,0)))),"Fix")))</f>
        <v>0</v>
      </c>
      <c r="Q148" s="4">
        <f>IF(OR(INDEX($V$2:$V$1001,MATCH(ROWS($U$2:U148),$U$2:$U$1001,0),1)&gt;=100000,INDEX($AB$1005:$AQ$1005,1,MATCH(COLUMNS($AB$1006:AQ1006),$AB$1006:$AQ$1006,0))&gt;=100000), " ",IF(INDEX($AB$2:$AQ$1001,MATCH(ROWS($U$2:U148),$U$2:$U$1001,0),MATCH(COLUMNS($AB$1006:AQ1006),$AB$1006:$AQ$1006,0)), HYPERLINK("#",""), HYPERLINK(CONCATENATE("#metadata!", ADDRESS(INDEX($W$2:$W$1001,MATCH(ROWS($U$2:U148),$U$2:$U$1001,0),0), INDEX($AB$1004:$AQ$1004,1,MATCH(COLUMNS($AB$1006:AQ1006),$AB$1006:$AQ$1006,0)))),"Fix")))</f>
        <v>0</v>
      </c>
      <c r="U148">
        <v>0</v>
      </c>
      <c r="V148">
        <v>0</v>
      </c>
      <c r="W148">
        <v>0</v>
      </c>
      <c r="X148">
        <f>IF(Y148,TRUE,AND(AB148:AQ148))</f>
        <v>0</v>
      </c>
      <c r="Y148">
        <f>COUNTBLANK(metadata!B148:Q148)=COLUMNS(metadata!B148:Q148)</f>
        <v>0</v>
      </c>
      <c r="Z148">
        <v>0</v>
      </c>
      <c r="AB148">
        <f>AND(IF(metadata!B148="",FALSE,TRUE),COUNTIF(metadata!B:B, metadata!B148) = 1,NOT(ISERROR(SUMPRODUCT(SEARCH(MID(metadata!B148,ROW(INDIRECT("1:"&amp;LEN(metadata!B148))), 1),"0123456789abcdefghijklmnopqrstuvwxyzABCDEFGHIJKLMNOPQRSTUVWXYZ.")))))</f>
        <v>0</v>
      </c>
      <c r="AC148">
        <f>OR(AND(IF(metadata!C148="",FALSE,TRUE),OR(exact(metadata!C148,"missing: not collected"),exact(metadata!C148,"missing: not provided"),exact(metadata!C148,"missing: restricted access"))),AND(IF(metadata!C148="",FALSE,TRUE),AND(AND(IFERROR(INT(LEFT(metadata!C148,4))&gt;1900,FALSE),IFERROR(INT(LEFT(metadata!C148,4))&lt;=YEAR(NOW()),FALSE)), OR(MID(metadata!C148,5,1)="", AND(AND(MID(metadata!C148,5,1)="-",IFERROR(INT(MID(metadata!C148,6,1))&gt;=0,FALSE),IFERROR(INT(MID(metadata!C148,6,1))&lt;=1,FALSE),NOT(MID(metadata!C148,7,1)=""),IFERROR(INT(MID(metadata!C148,6,2))&gt;=1,FALSE),IFERROR(INT(MID(metadata!C148,6,2))&lt;=12,FALSE)), OR(MID(metadata!C148,8,1)="", AND(AND(MID(metadata!C148,8,1)="-",IFERROR(INT(MID(metadata!C148,9,1))&gt;=0,FALSE),IFERROR(INT(MID(metadata!C148,9,1))&lt;=3,FALSE),NOT(MID(metadata!C148,10,1)=""),IFERROR(INT(MID(metadata!C148,9,2))&gt;=1,FALSE),IFERROR(INT(MID(metadata!C148,9,2))&lt;=31,FALSE)), OR(MID(metadata!C148,11,1)="", AND(AND(MID(metadata!C148,11,1)=" ",IFERROR(INT(MID(metadata!C148,12,1))&gt;=0,FALSE),IFERROR(INT(MID(metadata!C148,12,1))&lt;=2,FALSE),NOT(MID(metadata!C148,13,1)=""),IFERROR(INT(MID(metadata!C148,12,2))&gt;=0,FALSE),IFERROR(INT(MID(metadata!C148,12,2))&lt;=23,FALSE)), OR(MID(metadata!C148,14,1)="", AND(AND(MID(metadata!C148,14,1)=":",IFERROR(INT(MID(metadata!C148,15,1))&gt;=0,FALSE),IFERROR(INT(MID(metadata!C148,15,1))&lt;=5,FALSE),NOT(MID(metadata!C148,16,1)=""),IFERROR(INT(MID(metadata!C148,15,2))&gt;=0,FALSE),IFERROR(INT(MID(metadata!C148,15,2))&lt;=59,FALSE)), OR(MID(metadata!C148,17,1)="", AND(AND(MID(metadata!C148,17,1)=":",IFERROR(INT(MID(metadata!C148,18,1))&gt;=0,FALSE),IFERROR(INT(MID(metadata!C148,18,1))&lt;=5,FALSE),NOT(MID(metadata!C148,19,1)=""),IFERROR(INT(MID(metadata!C148,18,2))&gt;=0,FALSE),IFERROR(INT(MID(metadata!C148,18,2))&lt;=59,FALSE)), LEN(metadata!C148)&lt;=19)))))))))))))</f>
        <v>0</v>
      </c>
      <c r="AD148">
        <f>IF(metadata!D148="",FALSE,TRUE)</f>
        <v>0</v>
      </c>
      <c r="AE148">
        <f>OR(AND(IF(metadata!E148="",FALSE,TRUE),OR(exact(metadata!E148,"missing: not collected"),exact(metadata!E148,"missing: not provided"))),AND(IF(metadata!E148="",FALSE,TRUE),OR(exact(metadata!E148,"TRUE"),exact(metadata!E148,"FALSE"))))</f>
        <v>0</v>
      </c>
      <c r="AF148">
        <f>IF(metadata!F148="",FALSE,TRUE)</f>
        <v>0</v>
      </c>
      <c r="AG148">
        <f>IF(metadata!G148="",FALSE,TRUE)</f>
        <v>0</v>
      </c>
      <c r="AH148">
        <f>IF(metadata!H148="",FALSE,TRUE)</f>
        <v>0</v>
      </c>
      <c r="AI148">
        <f>OR(AND(IF(metadata!I148="",FALSE,TRUE),OR(exact(metadata!I148,"missing: not collected"),exact(metadata!I148,"missing: not provided"),exact(metadata!I148,"missing: restricted access"))),AND(IF(metadata!I148="",FALSE,TRUE),OR(exact(metadata!I148,"air"),exact(metadata!I148,"built environment"),exact(metadata!I148,"host-associated"),exact(metadata!I148,"human-associated"),exact(metadata!I148,"human-skin"),exact(metadata!I148,"human-oral"),exact(metadata!I148,"human-gut"),exact(metadata!I148,"human-vaginal"),exact(metadata!I148,"microbial mat/biofilm"),exact(metadata!I148,"misc environment"),exact(metadata!I148,"plant-associated"),exact(metadata!I148,"sediment"),exact(metadata!I148,"soil"),exact(metadata!I148,"wastewater/sludge"),exact(metadata!I148,"water"))))</f>
        <v>0</v>
      </c>
      <c r="AJ148">
        <f>IF(metadata!J148="",FALSE,TRUE)</f>
        <v>0</v>
      </c>
      <c r="AK148">
        <f>OR(AND(IF(metadata!K148="",FALSE,TRUE),OR(exact(metadata!K148,"missing: not collected"),exact(metadata!K148,"missing: not provided"),exact(metadata!K148,"missing: restricted access"))),AND(IF(metadata!K148="",FALSE,ISNUMBER(VALUE(metadata!K148))),metadata!K148&gt;=-90.00,metadata!K148&lt;=90.00))</f>
        <v>0</v>
      </c>
      <c r="AL148">
        <f>OR(AND(IF(metadata!L148="",FALSE,TRUE),OR(exact(metadata!L148,"missing: not collected"),exact(metadata!L148,"missing: not provided"),exact(metadata!L148,"missing: restricted access"))),AND(IF(metadata!L148="",FALSE,ISNUMBER(VALUE(metadata!L148))),metadata!L148&gt;=-180.00,metadata!L148&lt;=180.00))</f>
        <v>0</v>
      </c>
      <c r="AM148">
        <f>IF(metadata!M148="",FALSE,TRUE)</f>
        <v>0</v>
      </c>
      <c r="AN148">
        <f>OR(AND(IF(metadata!N148="",FALSE,TRUE),OR(exact(metadata!N148,"missing: not collected"),exact(metadata!N148,"missing: not provided"),exact(metadata!N148,"missing: restricted access"))),AND(IF(metadata!N148="",FALSE,TRUE),OR(exact(metadata!N148,"TRUE"),exact(metadata!N148,"FALSE"))))</f>
        <v>0</v>
      </c>
      <c r="AO148">
        <f>IF(metadata!O148="",FALSE,TRUE)</f>
        <v>0</v>
      </c>
      <c r="AP148">
        <f>OR(AND(IF(metadata!P148="",FALSE,TRUE),OR(exact(metadata!P148,"missing: not collected"),exact(metadata!P148,"missing: not provided"))),AND(IF(metadata!P148="",FALSE,IF(ISERROR(INT(metadata!P148)),FALSE,INT(metadata!P148)=metadata!P148)),metadata!P148&gt;0))</f>
        <v>0</v>
      </c>
      <c r="AQ148">
        <f>IF(metadata!Q148="",FALSE,TRUE)</f>
        <v>0</v>
      </c>
    </row>
    <row r="149" spans="1:43">
      <c r="A149" s="5">
        <f>IF(B149=" "," ",HYPERLINK(CONCATENATE("#metadata!",ADDRESS(INDEX($W$2:$W$1001,MATCH(ROWS($U$2:U149),$U$2:$U$1001,0),0),1)),INDEX($Z$2:$Z$1001,MATCH(ROWS($U$2:U149),$U$2:$U$1001,0),0)))</f>
        <v>0</v>
      </c>
      <c r="B149" s="4">
        <f>IF(OR(INDEX($V$2:$V$1001,MATCH(ROWS($U$2:U149),$U$2:$U$1001,0),1)&gt;=100000,INDEX($AB$1005:$AQ$1005,1,MATCH(COLUMNS($AB$1006:AB1006),$AB$1006:$AQ$1006,0))&gt;=100000), " ",IF(INDEX($AB$2:$AQ$1001,MATCH(ROWS($U$2:U149),$U$2:$U$1001,0),MATCH(COLUMNS($AB$1006:AB1006),$AB$1006:$AQ$1006,0)), HYPERLINK("#",""), HYPERLINK(CONCATENATE("#metadata!", ADDRESS(INDEX($W$2:$W$1001,MATCH(ROWS($U$2:U149),$U$2:$U$1001,0),0), INDEX($AB$1004:$AQ$1004,1,MATCH(COLUMNS($AB$1006:AB1006),$AB$1006:$AQ$1006,0)))),"Fix")))</f>
        <v>0</v>
      </c>
      <c r="C149" s="4">
        <f>IF(OR(INDEX($V$2:$V$1001,MATCH(ROWS($U$2:U149),$U$2:$U$1001,0),1)&gt;=100000,INDEX($AB$1005:$AQ$1005,1,MATCH(COLUMNS($AB$1006:AC1006),$AB$1006:$AQ$1006,0))&gt;=100000), " ",IF(INDEX($AB$2:$AQ$1001,MATCH(ROWS($U$2:U149),$U$2:$U$1001,0),MATCH(COLUMNS($AB$1006:AC1006),$AB$1006:$AQ$1006,0)), HYPERLINK("#",""), HYPERLINK(CONCATENATE("#metadata!", ADDRESS(INDEX($W$2:$W$1001,MATCH(ROWS($U$2:U149),$U$2:$U$1001,0),0), INDEX($AB$1004:$AQ$1004,1,MATCH(COLUMNS($AB$1006:AC1006),$AB$1006:$AQ$1006,0)))),"Fix")))</f>
        <v>0</v>
      </c>
      <c r="D149" s="4">
        <f>IF(OR(INDEX($V$2:$V$1001,MATCH(ROWS($U$2:U149),$U$2:$U$1001,0),1)&gt;=100000,INDEX($AB$1005:$AQ$1005,1,MATCH(COLUMNS($AB$1006:AD1006),$AB$1006:$AQ$1006,0))&gt;=100000), " ",IF(INDEX($AB$2:$AQ$1001,MATCH(ROWS($U$2:U149),$U$2:$U$1001,0),MATCH(COLUMNS($AB$1006:AD1006),$AB$1006:$AQ$1006,0)), HYPERLINK("#",""), HYPERLINK(CONCATENATE("#metadata!", ADDRESS(INDEX($W$2:$W$1001,MATCH(ROWS($U$2:U149),$U$2:$U$1001,0),0), INDEX($AB$1004:$AQ$1004,1,MATCH(COLUMNS($AB$1006:AD1006),$AB$1006:$AQ$1006,0)))),"Fix")))</f>
        <v>0</v>
      </c>
      <c r="E149" s="4">
        <f>IF(OR(INDEX($V$2:$V$1001,MATCH(ROWS($U$2:U149),$U$2:$U$1001,0),1)&gt;=100000,INDEX($AB$1005:$AQ$1005,1,MATCH(COLUMNS($AB$1006:AE1006),$AB$1006:$AQ$1006,0))&gt;=100000), " ",IF(INDEX($AB$2:$AQ$1001,MATCH(ROWS($U$2:U149),$U$2:$U$1001,0),MATCH(COLUMNS($AB$1006:AE1006),$AB$1006:$AQ$1006,0)), HYPERLINK("#",""), HYPERLINK(CONCATENATE("#metadata!", ADDRESS(INDEX($W$2:$W$1001,MATCH(ROWS($U$2:U149),$U$2:$U$1001,0),0), INDEX($AB$1004:$AQ$1004,1,MATCH(COLUMNS($AB$1006:AE1006),$AB$1006:$AQ$1006,0)))),"Fix")))</f>
        <v>0</v>
      </c>
      <c r="F149" s="4">
        <f>IF(OR(INDEX($V$2:$V$1001,MATCH(ROWS($U$2:U149),$U$2:$U$1001,0),1)&gt;=100000,INDEX($AB$1005:$AQ$1005,1,MATCH(COLUMNS($AB$1006:AF1006),$AB$1006:$AQ$1006,0))&gt;=100000), " ",IF(INDEX($AB$2:$AQ$1001,MATCH(ROWS($U$2:U149),$U$2:$U$1001,0),MATCH(COLUMNS($AB$1006:AF1006),$AB$1006:$AQ$1006,0)), HYPERLINK("#",""), HYPERLINK(CONCATENATE("#metadata!", ADDRESS(INDEX($W$2:$W$1001,MATCH(ROWS($U$2:U149),$U$2:$U$1001,0),0), INDEX($AB$1004:$AQ$1004,1,MATCH(COLUMNS($AB$1006:AF1006),$AB$1006:$AQ$1006,0)))),"Fix")))</f>
        <v>0</v>
      </c>
      <c r="G149" s="4">
        <f>IF(OR(INDEX($V$2:$V$1001,MATCH(ROWS($U$2:U149),$U$2:$U$1001,0),1)&gt;=100000,INDEX($AB$1005:$AQ$1005,1,MATCH(COLUMNS($AB$1006:AG1006),$AB$1006:$AQ$1006,0))&gt;=100000), " ",IF(INDEX($AB$2:$AQ$1001,MATCH(ROWS($U$2:U149),$U$2:$U$1001,0),MATCH(COLUMNS($AB$1006:AG1006),$AB$1006:$AQ$1006,0)), HYPERLINK("#",""), HYPERLINK(CONCATENATE("#metadata!", ADDRESS(INDEX($W$2:$W$1001,MATCH(ROWS($U$2:U149),$U$2:$U$1001,0),0), INDEX($AB$1004:$AQ$1004,1,MATCH(COLUMNS($AB$1006:AG1006),$AB$1006:$AQ$1006,0)))),"Fix")))</f>
        <v>0</v>
      </c>
      <c r="H149" s="4">
        <f>IF(OR(INDEX($V$2:$V$1001,MATCH(ROWS($U$2:U149),$U$2:$U$1001,0),1)&gt;=100000,INDEX($AB$1005:$AQ$1005,1,MATCH(COLUMNS($AB$1006:AH1006),$AB$1006:$AQ$1006,0))&gt;=100000), " ",IF(INDEX($AB$2:$AQ$1001,MATCH(ROWS($U$2:U149),$U$2:$U$1001,0),MATCH(COLUMNS($AB$1006:AH1006),$AB$1006:$AQ$1006,0)), HYPERLINK("#",""), HYPERLINK(CONCATENATE("#metadata!", ADDRESS(INDEX($W$2:$W$1001,MATCH(ROWS($U$2:U149),$U$2:$U$1001,0),0), INDEX($AB$1004:$AQ$1004,1,MATCH(COLUMNS($AB$1006:AH1006),$AB$1006:$AQ$1006,0)))),"Fix")))</f>
        <v>0</v>
      </c>
      <c r="I149" s="4">
        <f>IF(OR(INDEX($V$2:$V$1001,MATCH(ROWS($U$2:U149),$U$2:$U$1001,0),1)&gt;=100000,INDEX($AB$1005:$AQ$1005,1,MATCH(COLUMNS($AB$1006:AI1006),$AB$1006:$AQ$1006,0))&gt;=100000), " ",IF(INDEX($AB$2:$AQ$1001,MATCH(ROWS($U$2:U149),$U$2:$U$1001,0),MATCH(COLUMNS($AB$1006:AI1006),$AB$1006:$AQ$1006,0)), HYPERLINK("#",""), HYPERLINK(CONCATENATE("#metadata!", ADDRESS(INDEX($W$2:$W$1001,MATCH(ROWS($U$2:U149),$U$2:$U$1001,0),0), INDEX($AB$1004:$AQ$1004,1,MATCH(COLUMNS($AB$1006:AI1006),$AB$1006:$AQ$1006,0)))),"Fix")))</f>
        <v>0</v>
      </c>
      <c r="J149" s="4">
        <f>IF(OR(INDEX($V$2:$V$1001,MATCH(ROWS($U$2:U149),$U$2:$U$1001,0),1)&gt;=100000,INDEX($AB$1005:$AQ$1005,1,MATCH(COLUMNS($AB$1006:AJ1006),$AB$1006:$AQ$1006,0))&gt;=100000), " ",IF(INDEX($AB$2:$AQ$1001,MATCH(ROWS($U$2:U149),$U$2:$U$1001,0),MATCH(COLUMNS($AB$1006:AJ1006),$AB$1006:$AQ$1006,0)), HYPERLINK("#",""), HYPERLINK(CONCATENATE("#metadata!", ADDRESS(INDEX($W$2:$W$1001,MATCH(ROWS($U$2:U149),$U$2:$U$1001,0),0), INDEX($AB$1004:$AQ$1004,1,MATCH(COLUMNS($AB$1006:AJ1006),$AB$1006:$AQ$1006,0)))),"Fix")))</f>
        <v>0</v>
      </c>
      <c r="K149" s="4">
        <f>IF(OR(INDEX($V$2:$V$1001,MATCH(ROWS($U$2:U149),$U$2:$U$1001,0),1)&gt;=100000,INDEX($AB$1005:$AQ$1005,1,MATCH(COLUMNS($AB$1006:AK1006),$AB$1006:$AQ$1006,0))&gt;=100000), " ",IF(INDEX($AB$2:$AQ$1001,MATCH(ROWS($U$2:U149),$U$2:$U$1001,0),MATCH(COLUMNS($AB$1006:AK1006),$AB$1006:$AQ$1006,0)), HYPERLINK("#",""), HYPERLINK(CONCATENATE("#metadata!", ADDRESS(INDEX($W$2:$W$1001,MATCH(ROWS($U$2:U149),$U$2:$U$1001,0),0), INDEX($AB$1004:$AQ$1004,1,MATCH(COLUMNS($AB$1006:AK1006),$AB$1006:$AQ$1006,0)))),"Fix")))</f>
        <v>0</v>
      </c>
      <c r="L149" s="4">
        <f>IF(OR(INDEX($V$2:$V$1001,MATCH(ROWS($U$2:U149),$U$2:$U$1001,0),1)&gt;=100000,INDEX($AB$1005:$AQ$1005,1,MATCH(COLUMNS($AB$1006:AL1006),$AB$1006:$AQ$1006,0))&gt;=100000), " ",IF(INDEX($AB$2:$AQ$1001,MATCH(ROWS($U$2:U149),$U$2:$U$1001,0),MATCH(COLUMNS($AB$1006:AL1006),$AB$1006:$AQ$1006,0)), HYPERLINK("#",""), HYPERLINK(CONCATENATE("#metadata!", ADDRESS(INDEX($W$2:$W$1001,MATCH(ROWS($U$2:U149),$U$2:$U$1001,0),0), INDEX($AB$1004:$AQ$1004,1,MATCH(COLUMNS($AB$1006:AL1006),$AB$1006:$AQ$1006,0)))),"Fix")))</f>
        <v>0</v>
      </c>
      <c r="M149" s="4">
        <f>IF(OR(INDEX($V$2:$V$1001,MATCH(ROWS($U$2:U149),$U$2:$U$1001,0),1)&gt;=100000,INDEX($AB$1005:$AQ$1005,1,MATCH(COLUMNS($AB$1006:AM1006),$AB$1006:$AQ$1006,0))&gt;=100000), " ",IF(INDEX($AB$2:$AQ$1001,MATCH(ROWS($U$2:U149),$U$2:$U$1001,0),MATCH(COLUMNS($AB$1006:AM1006),$AB$1006:$AQ$1006,0)), HYPERLINK("#",""), HYPERLINK(CONCATENATE("#metadata!", ADDRESS(INDEX($W$2:$W$1001,MATCH(ROWS($U$2:U149),$U$2:$U$1001,0),0), INDEX($AB$1004:$AQ$1004,1,MATCH(COLUMNS($AB$1006:AM1006),$AB$1006:$AQ$1006,0)))),"Fix")))</f>
        <v>0</v>
      </c>
      <c r="N149" s="4">
        <f>IF(OR(INDEX($V$2:$V$1001,MATCH(ROWS($U$2:U149),$U$2:$U$1001,0),1)&gt;=100000,INDEX($AB$1005:$AQ$1005,1,MATCH(COLUMNS($AB$1006:AN1006),$AB$1006:$AQ$1006,0))&gt;=100000), " ",IF(INDEX($AB$2:$AQ$1001,MATCH(ROWS($U$2:U149),$U$2:$U$1001,0),MATCH(COLUMNS($AB$1006:AN1006),$AB$1006:$AQ$1006,0)), HYPERLINK("#",""), HYPERLINK(CONCATENATE("#metadata!", ADDRESS(INDEX($W$2:$W$1001,MATCH(ROWS($U$2:U149),$U$2:$U$1001,0),0), INDEX($AB$1004:$AQ$1004,1,MATCH(COLUMNS($AB$1006:AN1006),$AB$1006:$AQ$1006,0)))),"Fix")))</f>
        <v>0</v>
      </c>
      <c r="O149" s="4">
        <f>IF(OR(INDEX($V$2:$V$1001,MATCH(ROWS($U$2:U149),$U$2:$U$1001,0),1)&gt;=100000,INDEX($AB$1005:$AQ$1005,1,MATCH(COLUMNS($AB$1006:AO1006),$AB$1006:$AQ$1006,0))&gt;=100000), " ",IF(INDEX($AB$2:$AQ$1001,MATCH(ROWS($U$2:U149),$U$2:$U$1001,0),MATCH(COLUMNS($AB$1006:AO1006),$AB$1006:$AQ$1006,0)), HYPERLINK("#",""), HYPERLINK(CONCATENATE("#metadata!", ADDRESS(INDEX($W$2:$W$1001,MATCH(ROWS($U$2:U149),$U$2:$U$1001,0),0), INDEX($AB$1004:$AQ$1004,1,MATCH(COLUMNS($AB$1006:AO1006),$AB$1006:$AQ$1006,0)))),"Fix")))</f>
        <v>0</v>
      </c>
      <c r="P149" s="4">
        <f>IF(OR(INDEX($V$2:$V$1001,MATCH(ROWS($U$2:U149),$U$2:$U$1001,0),1)&gt;=100000,INDEX($AB$1005:$AQ$1005,1,MATCH(COLUMNS($AB$1006:AP1006),$AB$1006:$AQ$1006,0))&gt;=100000), " ",IF(INDEX($AB$2:$AQ$1001,MATCH(ROWS($U$2:U149),$U$2:$U$1001,0),MATCH(COLUMNS($AB$1006:AP1006),$AB$1006:$AQ$1006,0)), HYPERLINK("#",""), HYPERLINK(CONCATENATE("#metadata!", ADDRESS(INDEX($W$2:$W$1001,MATCH(ROWS($U$2:U149),$U$2:$U$1001,0),0), INDEX($AB$1004:$AQ$1004,1,MATCH(COLUMNS($AB$1006:AP1006),$AB$1006:$AQ$1006,0)))),"Fix")))</f>
        <v>0</v>
      </c>
      <c r="Q149" s="4">
        <f>IF(OR(INDEX($V$2:$V$1001,MATCH(ROWS($U$2:U149),$U$2:$U$1001,0),1)&gt;=100000,INDEX($AB$1005:$AQ$1005,1,MATCH(COLUMNS($AB$1006:AQ1006),$AB$1006:$AQ$1006,0))&gt;=100000), " ",IF(INDEX($AB$2:$AQ$1001,MATCH(ROWS($U$2:U149),$U$2:$U$1001,0),MATCH(COLUMNS($AB$1006:AQ1006),$AB$1006:$AQ$1006,0)), HYPERLINK("#",""), HYPERLINK(CONCATENATE("#metadata!", ADDRESS(INDEX($W$2:$W$1001,MATCH(ROWS($U$2:U149),$U$2:$U$1001,0),0), INDEX($AB$1004:$AQ$1004,1,MATCH(COLUMNS($AB$1006:AQ1006),$AB$1006:$AQ$1006,0)))),"Fix")))</f>
        <v>0</v>
      </c>
      <c r="U149">
        <v>0</v>
      </c>
      <c r="V149">
        <v>0</v>
      </c>
      <c r="W149">
        <v>0</v>
      </c>
      <c r="X149">
        <f>IF(Y149,TRUE,AND(AB149:AQ149))</f>
        <v>0</v>
      </c>
      <c r="Y149">
        <f>COUNTBLANK(metadata!B149:Q149)=COLUMNS(metadata!B149:Q149)</f>
        <v>0</v>
      </c>
      <c r="Z149">
        <v>0</v>
      </c>
      <c r="AB149">
        <f>AND(IF(metadata!B149="",FALSE,TRUE),COUNTIF(metadata!B:B, metadata!B149) = 1,NOT(ISERROR(SUMPRODUCT(SEARCH(MID(metadata!B149,ROW(INDIRECT("1:"&amp;LEN(metadata!B149))), 1),"0123456789abcdefghijklmnopqrstuvwxyzABCDEFGHIJKLMNOPQRSTUVWXYZ.")))))</f>
        <v>0</v>
      </c>
      <c r="AC149">
        <f>OR(AND(IF(metadata!C149="",FALSE,TRUE),OR(exact(metadata!C149,"missing: not collected"),exact(metadata!C149,"missing: not provided"),exact(metadata!C149,"missing: restricted access"))),AND(IF(metadata!C149="",FALSE,TRUE),AND(AND(IFERROR(INT(LEFT(metadata!C149,4))&gt;1900,FALSE),IFERROR(INT(LEFT(metadata!C149,4))&lt;=YEAR(NOW()),FALSE)), OR(MID(metadata!C149,5,1)="", AND(AND(MID(metadata!C149,5,1)="-",IFERROR(INT(MID(metadata!C149,6,1))&gt;=0,FALSE),IFERROR(INT(MID(metadata!C149,6,1))&lt;=1,FALSE),NOT(MID(metadata!C149,7,1)=""),IFERROR(INT(MID(metadata!C149,6,2))&gt;=1,FALSE),IFERROR(INT(MID(metadata!C149,6,2))&lt;=12,FALSE)), OR(MID(metadata!C149,8,1)="", AND(AND(MID(metadata!C149,8,1)="-",IFERROR(INT(MID(metadata!C149,9,1))&gt;=0,FALSE),IFERROR(INT(MID(metadata!C149,9,1))&lt;=3,FALSE),NOT(MID(metadata!C149,10,1)=""),IFERROR(INT(MID(metadata!C149,9,2))&gt;=1,FALSE),IFERROR(INT(MID(metadata!C149,9,2))&lt;=31,FALSE)), OR(MID(metadata!C149,11,1)="", AND(AND(MID(metadata!C149,11,1)=" ",IFERROR(INT(MID(metadata!C149,12,1))&gt;=0,FALSE),IFERROR(INT(MID(metadata!C149,12,1))&lt;=2,FALSE),NOT(MID(metadata!C149,13,1)=""),IFERROR(INT(MID(metadata!C149,12,2))&gt;=0,FALSE),IFERROR(INT(MID(metadata!C149,12,2))&lt;=23,FALSE)), OR(MID(metadata!C149,14,1)="", AND(AND(MID(metadata!C149,14,1)=":",IFERROR(INT(MID(metadata!C149,15,1))&gt;=0,FALSE),IFERROR(INT(MID(metadata!C149,15,1))&lt;=5,FALSE),NOT(MID(metadata!C149,16,1)=""),IFERROR(INT(MID(metadata!C149,15,2))&gt;=0,FALSE),IFERROR(INT(MID(metadata!C149,15,2))&lt;=59,FALSE)), OR(MID(metadata!C149,17,1)="", AND(AND(MID(metadata!C149,17,1)=":",IFERROR(INT(MID(metadata!C149,18,1))&gt;=0,FALSE),IFERROR(INT(MID(metadata!C149,18,1))&lt;=5,FALSE),NOT(MID(metadata!C149,19,1)=""),IFERROR(INT(MID(metadata!C149,18,2))&gt;=0,FALSE),IFERROR(INT(MID(metadata!C149,18,2))&lt;=59,FALSE)), LEN(metadata!C149)&lt;=19)))))))))))))</f>
        <v>0</v>
      </c>
      <c r="AD149">
        <f>IF(metadata!D149="",FALSE,TRUE)</f>
        <v>0</v>
      </c>
      <c r="AE149">
        <f>OR(AND(IF(metadata!E149="",FALSE,TRUE),OR(exact(metadata!E149,"missing: not collected"),exact(metadata!E149,"missing: not provided"))),AND(IF(metadata!E149="",FALSE,TRUE),OR(exact(metadata!E149,"TRUE"),exact(metadata!E149,"FALSE"))))</f>
        <v>0</v>
      </c>
      <c r="AF149">
        <f>IF(metadata!F149="",FALSE,TRUE)</f>
        <v>0</v>
      </c>
      <c r="AG149">
        <f>IF(metadata!G149="",FALSE,TRUE)</f>
        <v>0</v>
      </c>
      <c r="AH149">
        <f>IF(metadata!H149="",FALSE,TRUE)</f>
        <v>0</v>
      </c>
      <c r="AI149">
        <f>OR(AND(IF(metadata!I149="",FALSE,TRUE),OR(exact(metadata!I149,"missing: not collected"),exact(metadata!I149,"missing: not provided"),exact(metadata!I149,"missing: restricted access"))),AND(IF(metadata!I149="",FALSE,TRUE),OR(exact(metadata!I149,"air"),exact(metadata!I149,"built environment"),exact(metadata!I149,"host-associated"),exact(metadata!I149,"human-associated"),exact(metadata!I149,"human-skin"),exact(metadata!I149,"human-oral"),exact(metadata!I149,"human-gut"),exact(metadata!I149,"human-vaginal"),exact(metadata!I149,"microbial mat/biofilm"),exact(metadata!I149,"misc environment"),exact(metadata!I149,"plant-associated"),exact(metadata!I149,"sediment"),exact(metadata!I149,"soil"),exact(metadata!I149,"wastewater/sludge"),exact(metadata!I149,"water"))))</f>
        <v>0</v>
      </c>
      <c r="AJ149">
        <f>IF(metadata!J149="",FALSE,TRUE)</f>
        <v>0</v>
      </c>
      <c r="AK149">
        <f>OR(AND(IF(metadata!K149="",FALSE,TRUE),OR(exact(metadata!K149,"missing: not collected"),exact(metadata!K149,"missing: not provided"),exact(metadata!K149,"missing: restricted access"))),AND(IF(metadata!K149="",FALSE,ISNUMBER(VALUE(metadata!K149))),metadata!K149&gt;=-90.00,metadata!K149&lt;=90.00))</f>
        <v>0</v>
      </c>
      <c r="AL149">
        <f>OR(AND(IF(metadata!L149="",FALSE,TRUE),OR(exact(metadata!L149,"missing: not collected"),exact(metadata!L149,"missing: not provided"),exact(metadata!L149,"missing: restricted access"))),AND(IF(metadata!L149="",FALSE,ISNUMBER(VALUE(metadata!L149))),metadata!L149&gt;=-180.00,metadata!L149&lt;=180.00))</f>
        <v>0</v>
      </c>
      <c r="AM149">
        <f>IF(metadata!M149="",FALSE,TRUE)</f>
        <v>0</v>
      </c>
      <c r="AN149">
        <f>OR(AND(IF(metadata!N149="",FALSE,TRUE),OR(exact(metadata!N149,"missing: not collected"),exact(metadata!N149,"missing: not provided"),exact(metadata!N149,"missing: restricted access"))),AND(IF(metadata!N149="",FALSE,TRUE),OR(exact(metadata!N149,"TRUE"),exact(metadata!N149,"FALSE"))))</f>
        <v>0</v>
      </c>
      <c r="AO149">
        <f>IF(metadata!O149="",FALSE,TRUE)</f>
        <v>0</v>
      </c>
      <c r="AP149">
        <f>OR(AND(IF(metadata!P149="",FALSE,TRUE),OR(exact(metadata!P149,"missing: not collected"),exact(metadata!P149,"missing: not provided"))),AND(IF(metadata!P149="",FALSE,IF(ISERROR(INT(metadata!P149)),FALSE,INT(metadata!P149)=metadata!P149)),metadata!P149&gt;0))</f>
        <v>0</v>
      </c>
      <c r="AQ149">
        <f>IF(metadata!Q149="",FALSE,TRUE)</f>
        <v>0</v>
      </c>
    </row>
    <row r="150" spans="1:43">
      <c r="A150" s="5">
        <f>IF(B150=" "," ",HYPERLINK(CONCATENATE("#metadata!",ADDRESS(INDEX($W$2:$W$1001,MATCH(ROWS($U$2:U150),$U$2:$U$1001,0),0),1)),INDEX($Z$2:$Z$1001,MATCH(ROWS($U$2:U150),$U$2:$U$1001,0),0)))</f>
        <v>0</v>
      </c>
      <c r="B150" s="4">
        <f>IF(OR(INDEX($V$2:$V$1001,MATCH(ROWS($U$2:U150),$U$2:$U$1001,0),1)&gt;=100000,INDEX($AB$1005:$AQ$1005,1,MATCH(COLUMNS($AB$1006:AB1006),$AB$1006:$AQ$1006,0))&gt;=100000), " ",IF(INDEX($AB$2:$AQ$1001,MATCH(ROWS($U$2:U150),$U$2:$U$1001,0),MATCH(COLUMNS($AB$1006:AB1006),$AB$1006:$AQ$1006,0)), HYPERLINK("#",""), HYPERLINK(CONCATENATE("#metadata!", ADDRESS(INDEX($W$2:$W$1001,MATCH(ROWS($U$2:U150),$U$2:$U$1001,0),0), INDEX($AB$1004:$AQ$1004,1,MATCH(COLUMNS($AB$1006:AB1006),$AB$1006:$AQ$1006,0)))),"Fix")))</f>
        <v>0</v>
      </c>
      <c r="C150" s="4">
        <f>IF(OR(INDEX($V$2:$V$1001,MATCH(ROWS($U$2:U150),$U$2:$U$1001,0),1)&gt;=100000,INDEX($AB$1005:$AQ$1005,1,MATCH(COLUMNS($AB$1006:AC1006),$AB$1006:$AQ$1006,0))&gt;=100000), " ",IF(INDEX($AB$2:$AQ$1001,MATCH(ROWS($U$2:U150),$U$2:$U$1001,0),MATCH(COLUMNS($AB$1006:AC1006),$AB$1006:$AQ$1006,0)), HYPERLINK("#",""), HYPERLINK(CONCATENATE("#metadata!", ADDRESS(INDEX($W$2:$W$1001,MATCH(ROWS($U$2:U150),$U$2:$U$1001,0),0), INDEX($AB$1004:$AQ$1004,1,MATCH(COLUMNS($AB$1006:AC1006),$AB$1006:$AQ$1006,0)))),"Fix")))</f>
        <v>0</v>
      </c>
      <c r="D150" s="4">
        <f>IF(OR(INDEX($V$2:$V$1001,MATCH(ROWS($U$2:U150),$U$2:$U$1001,0),1)&gt;=100000,INDEX($AB$1005:$AQ$1005,1,MATCH(COLUMNS($AB$1006:AD1006),$AB$1006:$AQ$1006,0))&gt;=100000), " ",IF(INDEX($AB$2:$AQ$1001,MATCH(ROWS($U$2:U150),$U$2:$U$1001,0),MATCH(COLUMNS($AB$1006:AD1006),$AB$1006:$AQ$1006,0)), HYPERLINK("#",""), HYPERLINK(CONCATENATE("#metadata!", ADDRESS(INDEX($W$2:$W$1001,MATCH(ROWS($U$2:U150),$U$2:$U$1001,0),0), INDEX($AB$1004:$AQ$1004,1,MATCH(COLUMNS($AB$1006:AD1006),$AB$1006:$AQ$1006,0)))),"Fix")))</f>
        <v>0</v>
      </c>
      <c r="E150" s="4">
        <f>IF(OR(INDEX($V$2:$V$1001,MATCH(ROWS($U$2:U150),$U$2:$U$1001,0),1)&gt;=100000,INDEX($AB$1005:$AQ$1005,1,MATCH(COLUMNS($AB$1006:AE1006),$AB$1006:$AQ$1006,0))&gt;=100000), " ",IF(INDEX($AB$2:$AQ$1001,MATCH(ROWS($U$2:U150),$U$2:$U$1001,0),MATCH(COLUMNS($AB$1006:AE1006),$AB$1006:$AQ$1006,0)), HYPERLINK("#",""), HYPERLINK(CONCATENATE("#metadata!", ADDRESS(INDEX($W$2:$W$1001,MATCH(ROWS($U$2:U150),$U$2:$U$1001,0),0), INDEX($AB$1004:$AQ$1004,1,MATCH(COLUMNS($AB$1006:AE1006),$AB$1006:$AQ$1006,0)))),"Fix")))</f>
        <v>0</v>
      </c>
      <c r="F150" s="4">
        <f>IF(OR(INDEX($V$2:$V$1001,MATCH(ROWS($U$2:U150),$U$2:$U$1001,0),1)&gt;=100000,INDEX($AB$1005:$AQ$1005,1,MATCH(COLUMNS($AB$1006:AF1006),$AB$1006:$AQ$1006,0))&gt;=100000), " ",IF(INDEX($AB$2:$AQ$1001,MATCH(ROWS($U$2:U150),$U$2:$U$1001,0),MATCH(COLUMNS($AB$1006:AF1006),$AB$1006:$AQ$1006,0)), HYPERLINK("#",""), HYPERLINK(CONCATENATE("#metadata!", ADDRESS(INDEX($W$2:$W$1001,MATCH(ROWS($U$2:U150),$U$2:$U$1001,0),0), INDEX($AB$1004:$AQ$1004,1,MATCH(COLUMNS($AB$1006:AF1006),$AB$1006:$AQ$1006,0)))),"Fix")))</f>
        <v>0</v>
      </c>
      <c r="G150" s="4">
        <f>IF(OR(INDEX($V$2:$V$1001,MATCH(ROWS($U$2:U150),$U$2:$U$1001,0),1)&gt;=100000,INDEX($AB$1005:$AQ$1005,1,MATCH(COLUMNS($AB$1006:AG1006),$AB$1006:$AQ$1006,0))&gt;=100000), " ",IF(INDEX($AB$2:$AQ$1001,MATCH(ROWS($U$2:U150),$U$2:$U$1001,0),MATCH(COLUMNS($AB$1006:AG1006),$AB$1006:$AQ$1006,0)), HYPERLINK("#",""), HYPERLINK(CONCATENATE("#metadata!", ADDRESS(INDEX($W$2:$W$1001,MATCH(ROWS($U$2:U150),$U$2:$U$1001,0),0), INDEX($AB$1004:$AQ$1004,1,MATCH(COLUMNS($AB$1006:AG1006),$AB$1006:$AQ$1006,0)))),"Fix")))</f>
        <v>0</v>
      </c>
      <c r="H150" s="4">
        <f>IF(OR(INDEX($V$2:$V$1001,MATCH(ROWS($U$2:U150),$U$2:$U$1001,0),1)&gt;=100000,INDEX($AB$1005:$AQ$1005,1,MATCH(COLUMNS($AB$1006:AH1006),$AB$1006:$AQ$1006,0))&gt;=100000), " ",IF(INDEX($AB$2:$AQ$1001,MATCH(ROWS($U$2:U150),$U$2:$U$1001,0),MATCH(COLUMNS($AB$1006:AH1006),$AB$1006:$AQ$1006,0)), HYPERLINK("#",""), HYPERLINK(CONCATENATE("#metadata!", ADDRESS(INDEX($W$2:$W$1001,MATCH(ROWS($U$2:U150),$U$2:$U$1001,0),0), INDEX($AB$1004:$AQ$1004,1,MATCH(COLUMNS($AB$1006:AH1006),$AB$1006:$AQ$1006,0)))),"Fix")))</f>
        <v>0</v>
      </c>
      <c r="I150" s="4">
        <f>IF(OR(INDEX($V$2:$V$1001,MATCH(ROWS($U$2:U150),$U$2:$U$1001,0),1)&gt;=100000,INDEX($AB$1005:$AQ$1005,1,MATCH(COLUMNS($AB$1006:AI1006),$AB$1006:$AQ$1006,0))&gt;=100000), " ",IF(INDEX($AB$2:$AQ$1001,MATCH(ROWS($U$2:U150),$U$2:$U$1001,0),MATCH(COLUMNS($AB$1006:AI1006),$AB$1006:$AQ$1006,0)), HYPERLINK("#",""), HYPERLINK(CONCATENATE("#metadata!", ADDRESS(INDEX($W$2:$W$1001,MATCH(ROWS($U$2:U150),$U$2:$U$1001,0),0), INDEX($AB$1004:$AQ$1004,1,MATCH(COLUMNS($AB$1006:AI1006),$AB$1006:$AQ$1006,0)))),"Fix")))</f>
        <v>0</v>
      </c>
      <c r="J150" s="4">
        <f>IF(OR(INDEX($V$2:$V$1001,MATCH(ROWS($U$2:U150),$U$2:$U$1001,0),1)&gt;=100000,INDEX($AB$1005:$AQ$1005,1,MATCH(COLUMNS($AB$1006:AJ1006),$AB$1006:$AQ$1006,0))&gt;=100000), " ",IF(INDEX($AB$2:$AQ$1001,MATCH(ROWS($U$2:U150),$U$2:$U$1001,0),MATCH(COLUMNS($AB$1006:AJ1006),$AB$1006:$AQ$1006,0)), HYPERLINK("#",""), HYPERLINK(CONCATENATE("#metadata!", ADDRESS(INDEX($W$2:$W$1001,MATCH(ROWS($U$2:U150),$U$2:$U$1001,0),0), INDEX($AB$1004:$AQ$1004,1,MATCH(COLUMNS($AB$1006:AJ1006),$AB$1006:$AQ$1006,0)))),"Fix")))</f>
        <v>0</v>
      </c>
      <c r="K150" s="4">
        <f>IF(OR(INDEX($V$2:$V$1001,MATCH(ROWS($U$2:U150),$U$2:$U$1001,0),1)&gt;=100000,INDEX($AB$1005:$AQ$1005,1,MATCH(COLUMNS($AB$1006:AK1006),$AB$1006:$AQ$1006,0))&gt;=100000), " ",IF(INDEX($AB$2:$AQ$1001,MATCH(ROWS($U$2:U150),$U$2:$U$1001,0),MATCH(COLUMNS($AB$1006:AK1006),$AB$1006:$AQ$1006,0)), HYPERLINK("#",""), HYPERLINK(CONCATENATE("#metadata!", ADDRESS(INDEX($W$2:$W$1001,MATCH(ROWS($U$2:U150),$U$2:$U$1001,0),0), INDEX($AB$1004:$AQ$1004,1,MATCH(COLUMNS($AB$1006:AK1006),$AB$1006:$AQ$1006,0)))),"Fix")))</f>
        <v>0</v>
      </c>
      <c r="L150" s="4">
        <f>IF(OR(INDEX($V$2:$V$1001,MATCH(ROWS($U$2:U150),$U$2:$U$1001,0),1)&gt;=100000,INDEX($AB$1005:$AQ$1005,1,MATCH(COLUMNS($AB$1006:AL1006),$AB$1006:$AQ$1006,0))&gt;=100000), " ",IF(INDEX($AB$2:$AQ$1001,MATCH(ROWS($U$2:U150),$U$2:$U$1001,0),MATCH(COLUMNS($AB$1006:AL1006),$AB$1006:$AQ$1006,0)), HYPERLINK("#",""), HYPERLINK(CONCATENATE("#metadata!", ADDRESS(INDEX($W$2:$W$1001,MATCH(ROWS($U$2:U150),$U$2:$U$1001,0),0), INDEX($AB$1004:$AQ$1004,1,MATCH(COLUMNS($AB$1006:AL1006),$AB$1006:$AQ$1006,0)))),"Fix")))</f>
        <v>0</v>
      </c>
      <c r="M150" s="4">
        <f>IF(OR(INDEX($V$2:$V$1001,MATCH(ROWS($U$2:U150),$U$2:$U$1001,0),1)&gt;=100000,INDEX($AB$1005:$AQ$1005,1,MATCH(COLUMNS($AB$1006:AM1006),$AB$1006:$AQ$1006,0))&gt;=100000), " ",IF(INDEX($AB$2:$AQ$1001,MATCH(ROWS($U$2:U150),$U$2:$U$1001,0),MATCH(COLUMNS($AB$1006:AM1006),$AB$1006:$AQ$1006,0)), HYPERLINK("#",""), HYPERLINK(CONCATENATE("#metadata!", ADDRESS(INDEX($W$2:$W$1001,MATCH(ROWS($U$2:U150),$U$2:$U$1001,0),0), INDEX($AB$1004:$AQ$1004,1,MATCH(COLUMNS($AB$1006:AM1006),$AB$1006:$AQ$1006,0)))),"Fix")))</f>
        <v>0</v>
      </c>
      <c r="N150" s="4">
        <f>IF(OR(INDEX($V$2:$V$1001,MATCH(ROWS($U$2:U150),$U$2:$U$1001,0),1)&gt;=100000,INDEX($AB$1005:$AQ$1005,1,MATCH(COLUMNS($AB$1006:AN1006),$AB$1006:$AQ$1006,0))&gt;=100000), " ",IF(INDEX($AB$2:$AQ$1001,MATCH(ROWS($U$2:U150),$U$2:$U$1001,0),MATCH(COLUMNS($AB$1006:AN1006),$AB$1006:$AQ$1006,0)), HYPERLINK("#",""), HYPERLINK(CONCATENATE("#metadata!", ADDRESS(INDEX($W$2:$W$1001,MATCH(ROWS($U$2:U150),$U$2:$U$1001,0),0), INDEX($AB$1004:$AQ$1004,1,MATCH(COLUMNS($AB$1006:AN1006),$AB$1006:$AQ$1006,0)))),"Fix")))</f>
        <v>0</v>
      </c>
      <c r="O150" s="4">
        <f>IF(OR(INDEX($V$2:$V$1001,MATCH(ROWS($U$2:U150),$U$2:$U$1001,0),1)&gt;=100000,INDEX($AB$1005:$AQ$1005,1,MATCH(COLUMNS($AB$1006:AO1006),$AB$1006:$AQ$1006,0))&gt;=100000), " ",IF(INDEX($AB$2:$AQ$1001,MATCH(ROWS($U$2:U150),$U$2:$U$1001,0),MATCH(COLUMNS($AB$1006:AO1006),$AB$1006:$AQ$1006,0)), HYPERLINK("#",""), HYPERLINK(CONCATENATE("#metadata!", ADDRESS(INDEX($W$2:$W$1001,MATCH(ROWS($U$2:U150),$U$2:$U$1001,0),0), INDEX($AB$1004:$AQ$1004,1,MATCH(COLUMNS($AB$1006:AO1006),$AB$1006:$AQ$1006,0)))),"Fix")))</f>
        <v>0</v>
      </c>
      <c r="P150" s="4">
        <f>IF(OR(INDEX($V$2:$V$1001,MATCH(ROWS($U$2:U150),$U$2:$U$1001,0),1)&gt;=100000,INDEX($AB$1005:$AQ$1005,1,MATCH(COLUMNS($AB$1006:AP1006),$AB$1006:$AQ$1006,0))&gt;=100000), " ",IF(INDEX($AB$2:$AQ$1001,MATCH(ROWS($U$2:U150),$U$2:$U$1001,0),MATCH(COLUMNS($AB$1006:AP1006),$AB$1006:$AQ$1006,0)), HYPERLINK("#",""), HYPERLINK(CONCATENATE("#metadata!", ADDRESS(INDEX($W$2:$W$1001,MATCH(ROWS($U$2:U150),$U$2:$U$1001,0),0), INDEX($AB$1004:$AQ$1004,1,MATCH(COLUMNS($AB$1006:AP1006),$AB$1006:$AQ$1006,0)))),"Fix")))</f>
        <v>0</v>
      </c>
      <c r="Q150" s="4">
        <f>IF(OR(INDEX($V$2:$V$1001,MATCH(ROWS($U$2:U150),$U$2:$U$1001,0),1)&gt;=100000,INDEX($AB$1005:$AQ$1005,1,MATCH(COLUMNS($AB$1006:AQ1006),$AB$1006:$AQ$1006,0))&gt;=100000), " ",IF(INDEX($AB$2:$AQ$1001,MATCH(ROWS($U$2:U150),$U$2:$U$1001,0),MATCH(COLUMNS($AB$1006:AQ1006),$AB$1006:$AQ$1006,0)), HYPERLINK("#",""), HYPERLINK(CONCATENATE("#metadata!", ADDRESS(INDEX($W$2:$W$1001,MATCH(ROWS($U$2:U150),$U$2:$U$1001,0),0), INDEX($AB$1004:$AQ$1004,1,MATCH(COLUMNS($AB$1006:AQ1006),$AB$1006:$AQ$1006,0)))),"Fix")))</f>
        <v>0</v>
      </c>
      <c r="U150">
        <v>0</v>
      </c>
      <c r="V150">
        <v>0</v>
      </c>
      <c r="W150">
        <v>0</v>
      </c>
      <c r="X150">
        <f>IF(Y150,TRUE,AND(AB150:AQ150))</f>
        <v>0</v>
      </c>
      <c r="Y150">
        <f>COUNTBLANK(metadata!B150:Q150)=COLUMNS(metadata!B150:Q150)</f>
        <v>0</v>
      </c>
      <c r="Z150">
        <v>0</v>
      </c>
      <c r="AB150">
        <f>AND(IF(metadata!B150="",FALSE,TRUE),COUNTIF(metadata!B:B, metadata!B150) = 1,NOT(ISERROR(SUMPRODUCT(SEARCH(MID(metadata!B150,ROW(INDIRECT("1:"&amp;LEN(metadata!B150))), 1),"0123456789abcdefghijklmnopqrstuvwxyzABCDEFGHIJKLMNOPQRSTUVWXYZ.")))))</f>
        <v>0</v>
      </c>
      <c r="AC150">
        <f>OR(AND(IF(metadata!C150="",FALSE,TRUE),OR(exact(metadata!C150,"missing: not collected"),exact(metadata!C150,"missing: not provided"),exact(metadata!C150,"missing: restricted access"))),AND(IF(metadata!C150="",FALSE,TRUE),AND(AND(IFERROR(INT(LEFT(metadata!C150,4))&gt;1900,FALSE),IFERROR(INT(LEFT(metadata!C150,4))&lt;=YEAR(NOW()),FALSE)), OR(MID(metadata!C150,5,1)="", AND(AND(MID(metadata!C150,5,1)="-",IFERROR(INT(MID(metadata!C150,6,1))&gt;=0,FALSE),IFERROR(INT(MID(metadata!C150,6,1))&lt;=1,FALSE),NOT(MID(metadata!C150,7,1)=""),IFERROR(INT(MID(metadata!C150,6,2))&gt;=1,FALSE),IFERROR(INT(MID(metadata!C150,6,2))&lt;=12,FALSE)), OR(MID(metadata!C150,8,1)="", AND(AND(MID(metadata!C150,8,1)="-",IFERROR(INT(MID(metadata!C150,9,1))&gt;=0,FALSE),IFERROR(INT(MID(metadata!C150,9,1))&lt;=3,FALSE),NOT(MID(metadata!C150,10,1)=""),IFERROR(INT(MID(metadata!C150,9,2))&gt;=1,FALSE),IFERROR(INT(MID(metadata!C150,9,2))&lt;=31,FALSE)), OR(MID(metadata!C150,11,1)="", AND(AND(MID(metadata!C150,11,1)=" ",IFERROR(INT(MID(metadata!C150,12,1))&gt;=0,FALSE),IFERROR(INT(MID(metadata!C150,12,1))&lt;=2,FALSE),NOT(MID(metadata!C150,13,1)=""),IFERROR(INT(MID(metadata!C150,12,2))&gt;=0,FALSE),IFERROR(INT(MID(metadata!C150,12,2))&lt;=23,FALSE)), OR(MID(metadata!C150,14,1)="", AND(AND(MID(metadata!C150,14,1)=":",IFERROR(INT(MID(metadata!C150,15,1))&gt;=0,FALSE),IFERROR(INT(MID(metadata!C150,15,1))&lt;=5,FALSE),NOT(MID(metadata!C150,16,1)=""),IFERROR(INT(MID(metadata!C150,15,2))&gt;=0,FALSE),IFERROR(INT(MID(metadata!C150,15,2))&lt;=59,FALSE)), OR(MID(metadata!C150,17,1)="", AND(AND(MID(metadata!C150,17,1)=":",IFERROR(INT(MID(metadata!C150,18,1))&gt;=0,FALSE),IFERROR(INT(MID(metadata!C150,18,1))&lt;=5,FALSE),NOT(MID(metadata!C150,19,1)=""),IFERROR(INT(MID(metadata!C150,18,2))&gt;=0,FALSE),IFERROR(INT(MID(metadata!C150,18,2))&lt;=59,FALSE)), LEN(metadata!C150)&lt;=19)))))))))))))</f>
        <v>0</v>
      </c>
      <c r="AD150">
        <f>IF(metadata!D150="",FALSE,TRUE)</f>
        <v>0</v>
      </c>
      <c r="AE150">
        <f>OR(AND(IF(metadata!E150="",FALSE,TRUE),OR(exact(metadata!E150,"missing: not collected"),exact(metadata!E150,"missing: not provided"))),AND(IF(metadata!E150="",FALSE,TRUE),OR(exact(metadata!E150,"TRUE"),exact(metadata!E150,"FALSE"))))</f>
        <v>0</v>
      </c>
      <c r="AF150">
        <f>IF(metadata!F150="",FALSE,TRUE)</f>
        <v>0</v>
      </c>
      <c r="AG150">
        <f>IF(metadata!G150="",FALSE,TRUE)</f>
        <v>0</v>
      </c>
      <c r="AH150">
        <f>IF(metadata!H150="",FALSE,TRUE)</f>
        <v>0</v>
      </c>
      <c r="AI150">
        <f>OR(AND(IF(metadata!I150="",FALSE,TRUE),OR(exact(metadata!I150,"missing: not collected"),exact(metadata!I150,"missing: not provided"),exact(metadata!I150,"missing: restricted access"))),AND(IF(metadata!I150="",FALSE,TRUE),OR(exact(metadata!I150,"air"),exact(metadata!I150,"built environment"),exact(metadata!I150,"host-associated"),exact(metadata!I150,"human-associated"),exact(metadata!I150,"human-skin"),exact(metadata!I150,"human-oral"),exact(metadata!I150,"human-gut"),exact(metadata!I150,"human-vaginal"),exact(metadata!I150,"microbial mat/biofilm"),exact(metadata!I150,"misc environment"),exact(metadata!I150,"plant-associated"),exact(metadata!I150,"sediment"),exact(metadata!I150,"soil"),exact(metadata!I150,"wastewater/sludge"),exact(metadata!I150,"water"))))</f>
        <v>0</v>
      </c>
      <c r="AJ150">
        <f>IF(metadata!J150="",FALSE,TRUE)</f>
        <v>0</v>
      </c>
      <c r="AK150">
        <f>OR(AND(IF(metadata!K150="",FALSE,TRUE),OR(exact(metadata!K150,"missing: not collected"),exact(metadata!K150,"missing: not provided"),exact(metadata!K150,"missing: restricted access"))),AND(IF(metadata!K150="",FALSE,ISNUMBER(VALUE(metadata!K150))),metadata!K150&gt;=-90.00,metadata!K150&lt;=90.00))</f>
        <v>0</v>
      </c>
      <c r="AL150">
        <f>OR(AND(IF(metadata!L150="",FALSE,TRUE),OR(exact(metadata!L150,"missing: not collected"),exact(metadata!L150,"missing: not provided"),exact(metadata!L150,"missing: restricted access"))),AND(IF(metadata!L150="",FALSE,ISNUMBER(VALUE(metadata!L150))),metadata!L150&gt;=-180.00,metadata!L150&lt;=180.00))</f>
        <v>0</v>
      </c>
      <c r="AM150">
        <f>IF(metadata!M150="",FALSE,TRUE)</f>
        <v>0</v>
      </c>
      <c r="AN150">
        <f>OR(AND(IF(metadata!N150="",FALSE,TRUE),OR(exact(metadata!N150,"missing: not collected"),exact(metadata!N150,"missing: not provided"),exact(metadata!N150,"missing: restricted access"))),AND(IF(metadata!N150="",FALSE,TRUE),OR(exact(metadata!N150,"TRUE"),exact(metadata!N150,"FALSE"))))</f>
        <v>0</v>
      </c>
      <c r="AO150">
        <f>IF(metadata!O150="",FALSE,TRUE)</f>
        <v>0</v>
      </c>
      <c r="AP150">
        <f>OR(AND(IF(metadata!P150="",FALSE,TRUE),OR(exact(metadata!P150,"missing: not collected"),exact(metadata!P150,"missing: not provided"))),AND(IF(metadata!P150="",FALSE,IF(ISERROR(INT(metadata!P150)),FALSE,INT(metadata!P150)=metadata!P150)),metadata!P150&gt;0))</f>
        <v>0</v>
      </c>
      <c r="AQ150">
        <f>IF(metadata!Q150="",FALSE,TRUE)</f>
        <v>0</v>
      </c>
    </row>
    <row r="151" spans="1:43">
      <c r="A151" s="5">
        <f>IF(B151=" "," ",HYPERLINK(CONCATENATE("#metadata!",ADDRESS(INDEX($W$2:$W$1001,MATCH(ROWS($U$2:U151),$U$2:$U$1001,0),0),1)),INDEX($Z$2:$Z$1001,MATCH(ROWS($U$2:U151),$U$2:$U$1001,0),0)))</f>
        <v>0</v>
      </c>
      <c r="B151" s="4">
        <f>IF(OR(INDEX($V$2:$V$1001,MATCH(ROWS($U$2:U151),$U$2:$U$1001,0),1)&gt;=100000,INDEX($AB$1005:$AQ$1005,1,MATCH(COLUMNS($AB$1006:AB1006),$AB$1006:$AQ$1006,0))&gt;=100000), " ",IF(INDEX($AB$2:$AQ$1001,MATCH(ROWS($U$2:U151),$U$2:$U$1001,0),MATCH(COLUMNS($AB$1006:AB1006),$AB$1006:$AQ$1006,0)), HYPERLINK("#",""), HYPERLINK(CONCATENATE("#metadata!", ADDRESS(INDEX($W$2:$W$1001,MATCH(ROWS($U$2:U151),$U$2:$U$1001,0),0), INDEX($AB$1004:$AQ$1004,1,MATCH(COLUMNS($AB$1006:AB1006),$AB$1006:$AQ$1006,0)))),"Fix")))</f>
        <v>0</v>
      </c>
      <c r="C151" s="4">
        <f>IF(OR(INDEX($V$2:$V$1001,MATCH(ROWS($U$2:U151),$U$2:$U$1001,0),1)&gt;=100000,INDEX($AB$1005:$AQ$1005,1,MATCH(COLUMNS($AB$1006:AC1006),$AB$1006:$AQ$1006,0))&gt;=100000), " ",IF(INDEX($AB$2:$AQ$1001,MATCH(ROWS($U$2:U151),$U$2:$U$1001,0),MATCH(COLUMNS($AB$1006:AC1006),$AB$1006:$AQ$1006,0)), HYPERLINK("#",""), HYPERLINK(CONCATENATE("#metadata!", ADDRESS(INDEX($W$2:$W$1001,MATCH(ROWS($U$2:U151),$U$2:$U$1001,0),0), INDEX($AB$1004:$AQ$1004,1,MATCH(COLUMNS($AB$1006:AC1006),$AB$1006:$AQ$1006,0)))),"Fix")))</f>
        <v>0</v>
      </c>
      <c r="D151" s="4">
        <f>IF(OR(INDEX($V$2:$V$1001,MATCH(ROWS($U$2:U151),$U$2:$U$1001,0),1)&gt;=100000,INDEX($AB$1005:$AQ$1005,1,MATCH(COLUMNS($AB$1006:AD1006),$AB$1006:$AQ$1006,0))&gt;=100000), " ",IF(INDEX($AB$2:$AQ$1001,MATCH(ROWS($U$2:U151),$U$2:$U$1001,0),MATCH(COLUMNS($AB$1006:AD1006),$AB$1006:$AQ$1006,0)), HYPERLINK("#",""), HYPERLINK(CONCATENATE("#metadata!", ADDRESS(INDEX($W$2:$W$1001,MATCH(ROWS($U$2:U151),$U$2:$U$1001,0),0), INDEX($AB$1004:$AQ$1004,1,MATCH(COLUMNS($AB$1006:AD1006),$AB$1006:$AQ$1006,0)))),"Fix")))</f>
        <v>0</v>
      </c>
      <c r="E151" s="4">
        <f>IF(OR(INDEX($V$2:$V$1001,MATCH(ROWS($U$2:U151),$U$2:$U$1001,0),1)&gt;=100000,INDEX($AB$1005:$AQ$1005,1,MATCH(COLUMNS($AB$1006:AE1006),$AB$1006:$AQ$1006,0))&gt;=100000), " ",IF(INDEX($AB$2:$AQ$1001,MATCH(ROWS($U$2:U151),$U$2:$U$1001,0),MATCH(COLUMNS($AB$1006:AE1006),$AB$1006:$AQ$1006,0)), HYPERLINK("#",""), HYPERLINK(CONCATENATE("#metadata!", ADDRESS(INDEX($W$2:$W$1001,MATCH(ROWS($U$2:U151),$U$2:$U$1001,0),0), INDEX($AB$1004:$AQ$1004,1,MATCH(COLUMNS($AB$1006:AE1006),$AB$1006:$AQ$1006,0)))),"Fix")))</f>
        <v>0</v>
      </c>
      <c r="F151" s="4">
        <f>IF(OR(INDEX($V$2:$V$1001,MATCH(ROWS($U$2:U151),$U$2:$U$1001,0),1)&gt;=100000,INDEX($AB$1005:$AQ$1005,1,MATCH(COLUMNS($AB$1006:AF1006),$AB$1006:$AQ$1006,0))&gt;=100000), " ",IF(INDEX($AB$2:$AQ$1001,MATCH(ROWS($U$2:U151),$U$2:$U$1001,0),MATCH(COLUMNS($AB$1006:AF1006),$AB$1006:$AQ$1006,0)), HYPERLINK("#",""), HYPERLINK(CONCATENATE("#metadata!", ADDRESS(INDEX($W$2:$W$1001,MATCH(ROWS($U$2:U151),$U$2:$U$1001,0),0), INDEX($AB$1004:$AQ$1004,1,MATCH(COLUMNS($AB$1006:AF1006),$AB$1006:$AQ$1006,0)))),"Fix")))</f>
        <v>0</v>
      </c>
      <c r="G151" s="4">
        <f>IF(OR(INDEX($V$2:$V$1001,MATCH(ROWS($U$2:U151),$U$2:$U$1001,0),1)&gt;=100000,INDEX($AB$1005:$AQ$1005,1,MATCH(COLUMNS($AB$1006:AG1006),$AB$1006:$AQ$1006,0))&gt;=100000), " ",IF(INDEX($AB$2:$AQ$1001,MATCH(ROWS($U$2:U151),$U$2:$U$1001,0),MATCH(COLUMNS($AB$1006:AG1006),$AB$1006:$AQ$1006,0)), HYPERLINK("#",""), HYPERLINK(CONCATENATE("#metadata!", ADDRESS(INDEX($W$2:$W$1001,MATCH(ROWS($U$2:U151),$U$2:$U$1001,0),0), INDEX($AB$1004:$AQ$1004,1,MATCH(COLUMNS($AB$1006:AG1006),$AB$1006:$AQ$1006,0)))),"Fix")))</f>
        <v>0</v>
      </c>
      <c r="H151" s="4">
        <f>IF(OR(INDEX($V$2:$V$1001,MATCH(ROWS($U$2:U151),$U$2:$U$1001,0),1)&gt;=100000,INDEX($AB$1005:$AQ$1005,1,MATCH(COLUMNS($AB$1006:AH1006),$AB$1006:$AQ$1006,0))&gt;=100000), " ",IF(INDEX($AB$2:$AQ$1001,MATCH(ROWS($U$2:U151),$U$2:$U$1001,0),MATCH(COLUMNS($AB$1006:AH1006),$AB$1006:$AQ$1006,0)), HYPERLINK("#",""), HYPERLINK(CONCATENATE("#metadata!", ADDRESS(INDEX($W$2:$W$1001,MATCH(ROWS($U$2:U151),$U$2:$U$1001,0),0), INDEX($AB$1004:$AQ$1004,1,MATCH(COLUMNS($AB$1006:AH1006),$AB$1006:$AQ$1006,0)))),"Fix")))</f>
        <v>0</v>
      </c>
      <c r="I151" s="4">
        <f>IF(OR(INDEX($V$2:$V$1001,MATCH(ROWS($U$2:U151),$U$2:$U$1001,0),1)&gt;=100000,INDEX($AB$1005:$AQ$1005,1,MATCH(COLUMNS($AB$1006:AI1006),$AB$1006:$AQ$1006,0))&gt;=100000), " ",IF(INDEX($AB$2:$AQ$1001,MATCH(ROWS($U$2:U151),$U$2:$U$1001,0),MATCH(COLUMNS($AB$1006:AI1006),$AB$1006:$AQ$1006,0)), HYPERLINK("#",""), HYPERLINK(CONCATENATE("#metadata!", ADDRESS(INDEX($W$2:$W$1001,MATCH(ROWS($U$2:U151),$U$2:$U$1001,0),0), INDEX($AB$1004:$AQ$1004,1,MATCH(COLUMNS($AB$1006:AI1006),$AB$1006:$AQ$1006,0)))),"Fix")))</f>
        <v>0</v>
      </c>
      <c r="J151" s="4">
        <f>IF(OR(INDEX($V$2:$V$1001,MATCH(ROWS($U$2:U151),$U$2:$U$1001,0),1)&gt;=100000,INDEX($AB$1005:$AQ$1005,1,MATCH(COLUMNS($AB$1006:AJ1006),$AB$1006:$AQ$1006,0))&gt;=100000), " ",IF(INDEX($AB$2:$AQ$1001,MATCH(ROWS($U$2:U151),$U$2:$U$1001,0),MATCH(COLUMNS($AB$1006:AJ1006),$AB$1006:$AQ$1006,0)), HYPERLINK("#",""), HYPERLINK(CONCATENATE("#metadata!", ADDRESS(INDEX($W$2:$W$1001,MATCH(ROWS($U$2:U151),$U$2:$U$1001,0),0), INDEX($AB$1004:$AQ$1004,1,MATCH(COLUMNS($AB$1006:AJ1006),$AB$1006:$AQ$1006,0)))),"Fix")))</f>
        <v>0</v>
      </c>
      <c r="K151" s="4">
        <f>IF(OR(INDEX($V$2:$V$1001,MATCH(ROWS($U$2:U151),$U$2:$U$1001,0),1)&gt;=100000,INDEX($AB$1005:$AQ$1005,1,MATCH(COLUMNS($AB$1006:AK1006),$AB$1006:$AQ$1006,0))&gt;=100000), " ",IF(INDEX($AB$2:$AQ$1001,MATCH(ROWS($U$2:U151),$U$2:$U$1001,0),MATCH(COLUMNS($AB$1006:AK1006),$AB$1006:$AQ$1006,0)), HYPERLINK("#",""), HYPERLINK(CONCATENATE("#metadata!", ADDRESS(INDEX($W$2:$W$1001,MATCH(ROWS($U$2:U151),$U$2:$U$1001,0),0), INDEX($AB$1004:$AQ$1004,1,MATCH(COLUMNS($AB$1006:AK1006),$AB$1006:$AQ$1006,0)))),"Fix")))</f>
        <v>0</v>
      </c>
      <c r="L151" s="4">
        <f>IF(OR(INDEX($V$2:$V$1001,MATCH(ROWS($U$2:U151),$U$2:$U$1001,0),1)&gt;=100000,INDEX($AB$1005:$AQ$1005,1,MATCH(COLUMNS($AB$1006:AL1006),$AB$1006:$AQ$1006,0))&gt;=100000), " ",IF(INDEX($AB$2:$AQ$1001,MATCH(ROWS($U$2:U151),$U$2:$U$1001,0),MATCH(COLUMNS($AB$1006:AL1006),$AB$1006:$AQ$1006,0)), HYPERLINK("#",""), HYPERLINK(CONCATENATE("#metadata!", ADDRESS(INDEX($W$2:$W$1001,MATCH(ROWS($U$2:U151),$U$2:$U$1001,0),0), INDEX($AB$1004:$AQ$1004,1,MATCH(COLUMNS($AB$1006:AL1006),$AB$1006:$AQ$1006,0)))),"Fix")))</f>
        <v>0</v>
      </c>
      <c r="M151" s="4">
        <f>IF(OR(INDEX($V$2:$V$1001,MATCH(ROWS($U$2:U151),$U$2:$U$1001,0),1)&gt;=100000,INDEX($AB$1005:$AQ$1005,1,MATCH(COLUMNS($AB$1006:AM1006),$AB$1006:$AQ$1006,0))&gt;=100000), " ",IF(INDEX($AB$2:$AQ$1001,MATCH(ROWS($U$2:U151),$U$2:$U$1001,0),MATCH(COLUMNS($AB$1006:AM1006),$AB$1006:$AQ$1006,0)), HYPERLINK("#",""), HYPERLINK(CONCATENATE("#metadata!", ADDRESS(INDEX($W$2:$W$1001,MATCH(ROWS($U$2:U151),$U$2:$U$1001,0),0), INDEX($AB$1004:$AQ$1004,1,MATCH(COLUMNS($AB$1006:AM1006),$AB$1006:$AQ$1006,0)))),"Fix")))</f>
        <v>0</v>
      </c>
      <c r="N151" s="4">
        <f>IF(OR(INDEX($V$2:$V$1001,MATCH(ROWS($U$2:U151),$U$2:$U$1001,0),1)&gt;=100000,INDEX($AB$1005:$AQ$1005,1,MATCH(COLUMNS($AB$1006:AN1006),$AB$1006:$AQ$1006,0))&gt;=100000), " ",IF(INDEX($AB$2:$AQ$1001,MATCH(ROWS($U$2:U151),$U$2:$U$1001,0),MATCH(COLUMNS($AB$1006:AN1006),$AB$1006:$AQ$1006,0)), HYPERLINK("#",""), HYPERLINK(CONCATENATE("#metadata!", ADDRESS(INDEX($W$2:$W$1001,MATCH(ROWS($U$2:U151),$U$2:$U$1001,0),0), INDEX($AB$1004:$AQ$1004,1,MATCH(COLUMNS($AB$1006:AN1006),$AB$1006:$AQ$1006,0)))),"Fix")))</f>
        <v>0</v>
      </c>
      <c r="O151" s="4">
        <f>IF(OR(INDEX($V$2:$V$1001,MATCH(ROWS($U$2:U151),$U$2:$U$1001,0),1)&gt;=100000,INDEX($AB$1005:$AQ$1005,1,MATCH(COLUMNS($AB$1006:AO1006),$AB$1006:$AQ$1006,0))&gt;=100000), " ",IF(INDEX($AB$2:$AQ$1001,MATCH(ROWS($U$2:U151),$U$2:$U$1001,0),MATCH(COLUMNS($AB$1006:AO1006),$AB$1006:$AQ$1006,0)), HYPERLINK("#",""), HYPERLINK(CONCATENATE("#metadata!", ADDRESS(INDEX($W$2:$W$1001,MATCH(ROWS($U$2:U151),$U$2:$U$1001,0),0), INDEX($AB$1004:$AQ$1004,1,MATCH(COLUMNS($AB$1006:AO1006),$AB$1006:$AQ$1006,0)))),"Fix")))</f>
        <v>0</v>
      </c>
      <c r="P151" s="4">
        <f>IF(OR(INDEX($V$2:$V$1001,MATCH(ROWS($U$2:U151),$U$2:$U$1001,0),1)&gt;=100000,INDEX($AB$1005:$AQ$1005,1,MATCH(COLUMNS($AB$1006:AP1006),$AB$1006:$AQ$1006,0))&gt;=100000), " ",IF(INDEX($AB$2:$AQ$1001,MATCH(ROWS($U$2:U151),$U$2:$U$1001,0),MATCH(COLUMNS($AB$1006:AP1006),$AB$1006:$AQ$1006,0)), HYPERLINK("#",""), HYPERLINK(CONCATENATE("#metadata!", ADDRESS(INDEX($W$2:$W$1001,MATCH(ROWS($U$2:U151),$U$2:$U$1001,0),0), INDEX($AB$1004:$AQ$1004,1,MATCH(COLUMNS($AB$1006:AP1006),$AB$1006:$AQ$1006,0)))),"Fix")))</f>
        <v>0</v>
      </c>
      <c r="Q151" s="4">
        <f>IF(OR(INDEX($V$2:$V$1001,MATCH(ROWS($U$2:U151),$U$2:$U$1001,0),1)&gt;=100000,INDEX($AB$1005:$AQ$1005,1,MATCH(COLUMNS($AB$1006:AQ1006),$AB$1006:$AQ$1006,0))&gt;=100000), " ",IF(INDEX($AB$2:$AQ$1001,MATCH(ROWS($U$2:U151),$U$2:$U$1001,0),MATCH(COLUMNS($AB$1006:AQ1006),$AB$1006:$AQ$1006,0)), HYPERLINK("#",""), HYPERLINK(CONCATENATE("#metadata!", ADDRESS(INDEX($W$2:$W$1001,MATCH(ROWS($U$2:U151),$U$2:$U$1001,0),0), INDEX($AB$1004:$AQ$1004,1,MATCH(COLUMNS($AB$1006:AQ1006),$AB$1006:$AQ$1006,0)))),"Fix")))</f>
        <v>0</v>
      </c>
      <c r="U151">
        <v>0</v>
      </c>
      <c r="V151">
        <v>0</v>
      </c>
      <c r="W151">
        <v>0</v>
      </c>
      <c r="X151">
        <f>IF(Y151,TRUE,AND(AB151:AQ151))</f>
        <v>0</v>
      </c>
      <c r="Y151">
        <f>COUNTBLANK(metadata!B151:Q151)=COLUMNS(metadata!B151:Q151)</f>
        <v>0</v>
      </c>
      <c r="Z151">
        <v>0</v>
      </c>
      <c r="AB151">
        <f>AND(IF(metadata!B151="",FALSE,TRUE),COUNTIF(metadata!B:B, metadata!B151) = 1,NOT(ISERROR(SUMPRODUCT(SEARCH(MID(metadata!B151,ROW(INDIRECT("1:"&amp;LEN(metadata!B151))), 1),"0123456789abcdefghijklmnopqrstuvwxyzABCDEFGHIJKLMNOPQRSTUVWXYZ.")))))</f>
        <v>0</v>
      </c>
      <c r="AC151">
        <f>OR(AND(IF(metadata!C151="",FALSE,TRUE),OR(exact(metadata!C151,"missing: not collected"),exact(metadata!C151,"missing: not provided"),exact(metadata!C151,"missing: restricted access"))),AND(IF(metadata!C151="",FALSE,TRUE),AND(AND(IFERROR(INT(LEFT(metadata!C151,4))&gt;1900,FALSE),IFERROR(INT(LEFT(metadata!C151,4))&lt;=YEAR(NOW()),FALSE)), OR(MID(metadata!C151,5,1)="", AND(AND(MID(metadata!C151,5,1)="-",IFERROR(INT(MID(metadata!C151,6,1))&gt;=0,FALSE),IFERROR(INT(MID(metadata!C151,6,1))&lt;=1,FALSE),NOT(MID(metadata!C151,7,1)=""),IFERROR(INT(MID(metadata!C151,6,2))&gt;=1,FALSE),IFERROR(INT(MID(metadata!C151,6,2))&lt;=12,FALSE)), OR(MID(metadata!C151,8,1)="", AND(AND(MID(metadata!C151,8,1)="-",IFERROR(INT(MID(metadata!C151,9,1))&gt;=0,FALSE),IFERROR(INT(MID(metadata!C151,9,1))&lt;=3,FALSE),NOT(MID(metadata!C151,10,1)=""),IFERROR(INT(MID(metadata!C151,9,2))&gt;=1,FALSE),IFERROR(INT(MID(metadata!C151,9,2))&lt;=31,FALSE)), OR(MID(metadata!C151,11,1)="", AND(AND(MID(metadata!C151,11,1)=" ",IFERROR(INT(MID(metadata!C151,12,1))&gt;=0,FALSE),IFERROR(INT(MID(metadata!C151,12,1))&lt;=2,FALSE),NOT(MID(metadata!C151,13,1)=""),IFERROR(INT(MID(metadata!C151,12,2))&gt;=0,FALSE),IFERROR(INT(MID(metadata!C151,12,2))&lt;=23,FALSE)), OR(MID(metadata!C151,14,1)="", AND(AND(MID(metadata!C151,14,1)=":",IFERROR(INT(MID(metadata!C151,15,1))&gt;=0,FALSE),IFERROR(INT(MID(metadata!C151,15,1))&lt;=5,FALSE),NOT(MID(metadata!C151,16,1)=""),IFERROR(INT(MID(metadata!C151,15,2))&gt;=0,FALSE),IFERROR(INT(MID(metadata!C151,15,2))&lt;=59,FALSE)), OR(MID(metadata!C151,17,1)="", AND(AND(MID(metadata!C151,17,1)=":",IFERROR(INT(MID(metadata!C151,18,1))&gt;=0,FALSE),IFERROR(INT(MID(metadata!C151,18,1))&lt;=5,FALSE),NOT(MID(metadata!C151,19,1)=""),IFERROR(INT(MID(metadata!C151,18,2))&gt;=0,FALSE),IFERROR(INT(MID(metadata!C151,18,2))&lt;=59,FALSE)), LEN(metadata!C151)&lt;=19)))))))))))))</f>
        <v>0</v>
      </c>
      <c r="AD151">
        <f>IF(metadata!D151="",FALSE,TRUE)</f>
        <v>0</v>
      </c>
      <c r="AE151">
        <f>OR(AND(IF(metadata!E151="",FALSE,TRUE),OR(exact(metadata!E151,"missing: not collected"),exact(metadata!E151,"missing: not provided"))),AND(IF(metadata!E151="",FALSE,TRUE),OR(exact(metadata!E151,"TRUE"),exact(metadata!E151,"FALSE"))))</f>
        <v>0</v>
      </c>
      <c r="AF151">
        <f>IF(metadata!F151="",FALSE,TRUE)</f>
        <v>0</v>
      </c>
      <c r="AG151">
        <f>IF(metadata!G151="",FALSE,TRUE)</f>
        <v>0</v>
      </c>
      <c r="AH151">
        <f>IF(metadata!H151="",FALSE,TRUE)</f>
        <v>0</v>
      </c>
      <c r="AI151">
        <f>OR(AND(IF(metadata!I151="",FALSE,TRUE),OR(exact(metadata!I151,"missing: not collected"),exact(metadata!I151,"missing: not provided"),exact(metadata!I151,"missing: restricted access"))),AND(IF(metadata!I151="",FALSE,TRUE),OR(exact(metadata!I151,"air"),exact(metadata!I151,"built environment"),exact(metadata!I151,"host-associated"),exact(metadata!I151,"human-associated"),exact(metadata!I151,"human-skin"),exact(metadata!I151,"human-oral"),exact(metadata!I151,"human-gut"),exact(metadata!I151,"human-vaginal"),exact(metadata!I151,"microbial mat/biofilm"),exact(metadata!I151,"misc environment"),exact(metadata!I151,"plant-associated"),exact(metadata!I151,"sediment"),exact(metadata!I151,"soil"),exact(metadata!I151,"wastewater/sludge"),exact(metadata!I151,"water"))))</f>
        <v>0</v>
      </c>
      <c r="AJ151">
        <f>IF(metadata!J151="",FALSE,TRUE)</f>
        <v>0</v>
      </c>
      <c r="AK151">
        <f>OR(AND(IF(metadata!K151="",FALSE,TRUE),OR(exact(metadata!K151,"missing: not collected"),exact(metadata!K151,"missing: not provided"),exact(metadata!K151,"missing: restricted access"))),AND(IF(metadata!K151="",FALSE,ISNUMBER(VALUE(metadata!K151))),metadata!K151&gt;=-90.00,metadata!K151&lt;=90.00))</f>
        <v>0</v>
      </c>
      <c r="AL151">
        <f>OR(AND(IF(metadata!L151="",FALSE,TRUE),OR(exact(metadata!L151,"missing: not collected"),exact(metadata!L151,"missing: not provided"),exact(metadata!L151,"missing: restricted access"))),AND(IF(metadata!L151="",FALSE,ISNUMBER(VALUE(metadata!L151))),metadata!L151&gt;=-180.00,metadata!L151&lt;=180.00))</f>
        <v>0</v>
      </c>
      <c r="AM151">
        <f>IF(metadata!M151="",FALSE,TRUE)</f>
        <v>0</v>
      </c>
      <c r="AN151">
        <f>OR(AND(IF(metadata!N151="",FALSE,TRUE),OR(exact(metadata!N151,"missing: not collected"),exact(metadata!N151,"missing: not provided"),exact(metadata!N151,"missing: restricted access"))),AND(IF(metadata!N151="",FALSE,TRUE),OR(exact(metadata!N151,"TRUE"),exact(metadata!N151,"FALSE"))))</f>
        <v>0</v>
      </c>
      <c r="AO151">
        <f>IF(metadata!O151="",FALSE,TRUE)</f>
        <v>0</v>
      </c>
      <c r="AP151">
        <f>OR(AND(IF(metadata!P151="",FALSE,TRUE),OR(exact(metadata!P151,"missing: not collected"),exact(metadata!P151,"missing: not provided"))),AND(IF(metadata!P151="",FALSE,IF(ISERROR(INT(metadata!P151)),FALSE,INT(metadata!P151)=metadata!P151)),metadata!P151&gt;0))</f>
        <v>0</v>
      </c>
      <c r="AQ151">
        <f>IF(metadata!Q151="",FALSE,TRUE)</f>
        <v>0</v>
      </c>
    </row>
    <row r="152" spans="1:43">
      <c r="A152" s="5">
        <f>IF(B152=" "," ",HYPERLINK(CONCATENATE("#metadata!",ADDRESS(INDEX($W$2:$W$1001,MATCH(ROWS($U$2:U152),$U$2:$U$1001,0),0),1)),INDEX($Z$2:$Z$1001,MATCH(ROWS($U$2:U152),$U$2:$U$1001,0),0)))</f>
        <v>0</v>
      </c>
      <c r="B152" s="4">
        <f>IF(OR(INDEX($V$2:$V$1001,MATCH(ROWS($U$2:U152),$U$2:$U$1001,0),1)&gt;=100000,INDEX($AB$1005:$AQ$1005,1,MATCH(COLUMNS($AB$1006:AB1006),$AB$1006:$AQ$1006,0))&gt;=100000), " ",IF(INDEX($AB$2:$AQ$1001,MATCH(ROWS($U$2:U152),$U$2:$U$1001,0),MATCH(COLUMNS($AB$1006:AB1006),$AB$1006:$AQ$1006,0)), HYPERLINK("#",""), HYPERLINK(CONCATENATE("#metadata!", ADDRESS(INDEX($W$2:$W$1001,MATCH(ROWS($U$2:U152),$U$2:$U$1001,0),0), INDEX($AB$1004:$AQ$1004,1,MATCH(COLUMNS($AB$1006:AB1006),$AB$1006:$AQ$1006,0)))),"Fix")))</f>
        <v>0</v>
      </c>
      <c r="C152" s="4">
        <f>IF(OR(INDEX($V$2:$V$1001,MATCH(ROWS($U$2:U152),$U$2:$U$1001,0),1)&gt;=100000,INDEX($AB$1005:$AQ$1005,1,MATCH(COLUMNS($AB$1006:AC1006),$AB$1006:$AQ$1006,0))&gt;=100000), " ",IF(INDEX($AB$2:$AQ$1001,MATCH(ROWS($U$2:U152),$U$2:$U$1001,0),MATCH(COLUMNS($AB$1006:AC1006),$AB$1006:$AQ$1006,0)), HYPERLINK("#",""), HYPERLINK(CONCATENATE("#metadata!", ADDRESS(INDEX($W$2:$W$1001,MATCH(ROWS($U$2:U152),$U$2:$U$1001,0),0), INDEX($AB$1004:$AQ$1004,1,MATCH(COLUMNS($AB$1006:AC1006),$AB$1006:$AQ$1006,0)))),"Fix")))</f>
        <v>0</v>
      </c>
      <c r="D152" s="4">
        <f>IF(OR(INDEX($V$2:$V$1001,MATCH(ROWS($U$2:U152),$U$2:$U$1001,0),1)&gt;=100000,INDEX($AB$1005:$AQ$1005,1,MATCH(COLUMNS($AB$1006:AD1006),$AB$1006:$AQ$1006,0))&gt;=100000), " ",IF(INDEX($AB$2:$AQ$1001,MATCH(ROWS($U$2:U152),$U$2:$U$1001,0),MATCH(COLUMNS($AB$1006:AD1006),$AB$1006:$AQ$1006,0)), HYPERLINK("#",""), HYPERLINK(CONCATENATE("#metadata!", ADDRESS(INDEX($W$2:$W$1001,MATCH(ROWS($U$2:U152),$U$2:$U$1001,0),0), INDEX($AB$1004:$AQ$1004,1,MATCH(COLUMNS($AB$1006:AD1006),$AB$1006:$AQ$1006,0)))),"Fix")))</f>
        <v>0</v>
      </c>
      <c r="E152" s="4">
        <f>IF(OR(INDEX($V$2:$V$1001,MATCH(ROWS($U$2:U152),$U$2:$U$1001,0),1)&gt;=100000,INDEX($AB$1005:$AQ$1005,1,MATCH(COLUMNS($AB$1006:AE1006),$AB$1006:$AQ$1006,0))&gt;=100000), " ",IF(INDEX($AB$2:$AQ$1001,MATCH(ROWS($U$2:U152),$U$2:$U$1001,0),MATCH(COLUMNS($AB$1006:AE1006),$AB$1006:$AQ$1006,0)), HYPERLINK("#",""), HYPERLINK(CONCATENATE("#metadata!", ADDRESS(INDEX($W$2:$W$1001,MATCH(ROWS($U$2:U152),$U$2:$U$1001,0),0), INDEX($AB$1004:$AQ$1004,1,MATCH(COLUMNS($AB$1006:AE1006),$AB$1006:$AQ$1006,0)))),"Fix")))</f>
        <v>0</v>
      </c>
      <c r="F152" s="4">
        <f>IF(OR(INDEX($V$2:$V$1001,MATCH(ROWS($U$2:U152),$U$2:$U$1001,0),1)&gt;=100000,INDEX($AB$1005:$AQ$1005,1,MATCH(COLUMNS($AB$1006:AF1006),$AB$1006:$AQ$1006,0))&gt;=100000), " ",IF(INDEX($AB$2:$AQ$1001,MATCH(ROWS($U$2:U152),$U$2:$U$1001,0),MATCH(COLUMNS($AB$1006:AF1006),$AB$1006:$AQ$1006,0)), HYPERLINK("#",""), HYPERLINK(CONCATENATE("#metadata!", ADDRESS(INDEX($W$2:$W$1001,MATCH(ROWS($U$2:U152),$U$2:$U$1001,0),0), INDEX($AB$1004:$AQ$1004,1,MATCH(COLUMNS($AB$1006:AF1006),$AB$1006:$AQ$1006,0)))),"Fix")))</f>
        <v>0</v>
      </c>
      <c r="G152" s="4">
        <f>IF(OR(INDEX($V$2:$V$1001,MATCH(ROWS($U$2:U152),$U$2:$U$1001,0),1)&gt;=100000,INDEX($AB$1005:$AQ$1005,1,MATCH(COLUMNS($AB$1006:AG1006),$AB$1006:$AQ$1006,0))&gt;=100000), " ",IF(INDEX($AB$2:$AQ$1001,MATCH(ROWS($U$2:U152),$U$2:$U$1001,0),MATCH(COLUMNS($AB$1006:AG1006),$AB$1006:$AQ$1006,0)), HYPERLINK("#",""), HYPERLINK(CONCATENATE("#metadata!", ADDRESS(INDEX($W$2:$W$1001,MATCH(ROWS($U$2:U152),$U$2:$U$1001,0),0), INDEX($AB$1004:$AQ$1004,1,MATCH(COLUMNS($AB$1006:AG1006),$AB$1006:$AQ$1006,0)))),"Fix")))</f>
        <v>0</v>
      </c>
      <c r="H152" s="4">
        <f>IF(OR(INDEX($V$2:$V$1001,MATCH(ROWS($U$2:U152),$U$2:$U$1001,0),1)&gt;=100000,INDEX($AB$1005:$AQ$1005,1,MATCH(COLUMNS($AB$1006:AH1006),$AB$1006:$AQ$1006,0))&gt;=100000), " ",IF(INDEX($AB$2:$AQ$1001,MATCH(ROWS($U$2:U152),$U$2:$U$1001,0),MATCH(COLUMNS($AB$1006:AH1006),$AB$1006:$AQ$1006,0)), HYPERLINK("#",""), HYPERLINK(CONCATENATE("#metadata!", ADDRESS(INDEX($W$2:$W$1001,MATCH(ROWS($U$2:U152),$U$2:$U$1001,0),0), INDEX($AB$1004:$AQ$1004,1,MATCH(COLUMNS($AB$1006:AH1006),$AB$1006:$AQ$1006,0)))),"Fix")))</f>
        <v>0</v>
      </c>
      <c r="I152" s="4">
        <f>IF(OR(INDEX($V$2:$V$1001,MATCH(ROWS($U$2:U152),$U$2:$U$1001,0),1)&gt;=100000,INDEX($AB$1005:$AQ$1005,1,MATCH(COLUMNS($AB$1006:AI1006),$AB$1006:$AQ$1006,0))&gt;=100000), " ",IF(INDEX($AB$2:$AQ$1001,MATCH(ROWS($U$2:U152),$U$2:$U$1001,0),MATCH(COLUMNS($AB$1006:AI1006),$AB$1006:$AQ$1006,0)), HYPERLINK("#",""), HYPERLINK(CONCATENATE("#metadata!", ADDRESS(INDEX($W$2:$W$1001,MATCH(ROWS($U$2:U152),$U$2:$U$1001,0),0), INDEX($AB$1004:$AQ$1004,1,MATCH(COLUMNS($AB$1006:AI1006),$AB$1006:$AQ$1006,0)))),"Fix")))</f>
        <v>0</v>
      </c>
      <c r="J152" s="4">
        <f>IF(OR(INDEX($V$2:$V$1001,MATCH(ROWS($U$2:U152),$U$2:$U$1001,0),1)&gt;=100000,INDEX($AB$1005:$AQ$1005,1,MATCH(COLUMNS($AB$1006:AJ1006),$AB$1006:$AQ$1006,0))&gt;=100000), " ",IF(INDEX($AB$2:$AQ$1001,MATCH(ROWS($U$2:U152),$U$2:$U$1001,0),MATCH(COLUMNS($AB$1006:AJ1006),$AB$1006:$AQ$1006,0)), HYPERLINK("#",""), HYPERLINK(CONCATENATE("#metadata!", ADDRESS(INDEX($W$2:$W$1001,MATCH(ROWS($U$2:U152),$U$2:$U$1001,0),0), INDEX($AB$1004:$AQ$1004,1,MATCH(COLUMNS($AB$1006:AJ1006),$AB$1006:$AQ$1006,0)))),"Fix")))</f>
        <v>0</v>
      </c>
      <c r="K152" s="4">
        <f>IF(OR(INDEX($V$2:$V$1001,MATCH(ROWS($U$2:U152),$U$2:$U$1001,0),1)&gt;=100000,INDEX($AB$1005:$AQ$1005,1,MATCH(COLUMNS($AB$1006:AK1006),$AB$1006:$AQ$1006,0))&gt;=100000), " ",IF(INDEX($AB$2:$AQ$1001,MATCH(ROWS($U$2:U152),$U$2:$U$1001,0),MATCH(COLUMNS($AB$1006:AK1006),$AB$1006:$AQ$1006,0)), HYPERLINK("#",""), HYPERLINK(CONCATENATE("#metadata!", ADDRESS(INDEX($W$2:$W$1001,MATCH(ROWS($U$2:U152),$U$2:$U$1001,0),0), INDEX($AB$1004:$AQ$1004,1,MATCH(COLUMNS($AB$1006:AK1006),$AB$1006:$AQ$1006,0)))),"Fix")))</f>
        <v>0</v>
      </c>
      <c r="L152" s="4">
        <f>IF(OR(INDEX($V$2:$V$1001,MATCH(ROWS($U$2:U152),$U$2:$U$1001,0),1)&gt;=100000,INDEX($AB$1005:$AQ$1005,1,MATCH(COLUMNS($AB$1006:AL1006),$AB$1006:$AQ$1006,0))&gt;=100000), " ",IF(INDEX($AB$2:$AQ$1001,MATCH(ROWS($U$2:U152),$U$2:$U$1001,0),MATCH(COLUMNS($AB$1006:AL1006),$AB$1006:$AQ$1006,0)), HYPERLINK("#",""), HYPERLINK(CONCATENATE("#metadata!", ADDRESS(INDEX($W$2:$W$1001,MATCH(ROWS($U$2:U152),$U$2:$U$1001,0),0), INDEX($AB$1004:$AQ$1004,1,MATCH(COLUMNS($AB$1006:AL1006),$AB$1006:$AQ$1006,0)))),"Fix")))</f>
        <v>0</v>
      </c>
      <c r="M152" s="4">
        <f>IF(OR(INDEX($V$2:$V$1001,MATCH(ROWS($U$2:U152),$U$2:$U$1001,0),1)&gt;=100000,INDEX($AB$1005:$AQ$1005,1,MATCH(COLUMNS($AB$1006:AM1006),$AB$1006:$AQ$1006,0))&gt;=100000), " ",IF(INDEX($AB$2:$AQ$1001,MATCH(ROWS($U$2:U152),$U$2:$U$1001,0),MATCH(COLUMNS($AB$1006:AM1006),$AB$1006:$AQ$1006,0)), HYPERLINK("#",""), HYPERLINK(CONCATENATE("#metadata!", ADDRESS(INDEX($W$2:$W$1001,MATCH(ROWS($U$2:U152),$U$2:$U$1001,0),0), INDEX($AB$1004:$AQ$1004,1,MATCH(COLUMNS($AB$1006:AM1006),$AB$1006:$AQ$1006,0)))),"Fix")))</f>
        <v>0</v>
      </c>
      <c r="N152" s="4">
        <f>IF(OR(INDEX($V$2:$V$1001,MATCH(ROWS($U$2:U152),$U$2:$U$1001,0),1)&gt;=100000,INDEX($AB$1005:$AQ$1005,1,MATCH(COLUMNS($AB$1006:AN1006),$AB$1006:$AQ$1006,0))&gt;=100000), " ",IF(INDEX($AB$2:$AQ$1001,MATCH(ROWS($U$2:U152),$U$2:$U$1001,0),MATCH(COLUMNS($AB$1006:AN1006),$AB$1006:$AQ$1006,0)), HYPERLINK("#",""), HYPERLINK(CONCATENATE("#metadata!", ADDRESS(INDEX($W$2:$W$1001,MATCH(ROWS($U$2:U152),$U$2:$U$1001,0),0), INDEX($AB$1004:$AQ$1004,1,MATCH(COLUMNS($AB$1006:AN1006),$AB$1006:$AQ$1006,0)))),"Fix")))</f>
        <v>0</v>
      </c>
      <c r="O152" s="4">
        <f>IF(OR(INDEX($V$2:$V$1001,MATCH(ROWS($U$2:U152),$U$2:$U$1001,0),1)&gt;=100000,INDEX($AB$1005:$AQ$1005,1,MATCH(COLUMNS($AB$1006:AO1006),$AB$1006:$AQ$1006,0))&gt;=100000), " ",IF(INDEX($AB$2:$AQ$1001,MATCH(ROWS($U$2:U152),$U$2:$U$1001,0),MATCH(COLUMNS($AB$1006:AO1006),$AB$1006:$AQ$1006,0)), HYPERLINK("#",""), HYPERLINK(CONCATENATE("#metadata!", ADDRESS(INDEX($W$2:$W$1001,MATCH(ROWS($U$2:U152),$U$2:$U$1001,0),0), INDEX($AB$1004:$AQ$1004,1,MATCH(COLUMNS($AB$1006:AO1006),$AB$1006:$AQ$1006,0)))),"Fix")))</f>
        <v>0</v>
      </c>
      <c r="P152" s="4">
        <f>IF(OR(INDEX($V$2:$V$1001,MATCH(ROWS($U$2:U152),$U$2:$U$1001,0),1)&gt;=100000,INDEX($AB$1005:$AQ$1005,1,MATCH(COLUMNS($AB$1006:AP1006),$AB$1006:$AQ$1006,0))&gt;=100000), " ",IF(INDEX($AB$2:$AQ$1001,MATCH(ROWS($U$2:U152),$U$2:$U$1001,0),MATCH(COLUMNS($AB$1006:AP1006),$AB$1006:$AQ$1006,0)), HYPERLINK("#",""), HYPERLINK(CONCATENATE("#metadata!", ADDRESS(INDEX($W$2:$W$1001,MATCH(ROWS($U$2:U152),$U$2:$U$1001,0),0), INDEX($AB$1004:$AQ$1004,1,MATCH(COLUMNS($AB$1006:AP1006),$AB$1006:$AQ$1006,0)))),"Fix")))</f>
        <v>0</v>
      </c>
      <c r="Q152" s="4">
        <f>IF(OR(INDEX($V$2:$V$1001,MATCH(ROWS($U$2:U152),$U$2:$U$1001,0),1)&gt;=100000,INDEX($AB$1005:$AQ$1005,1,MATCH(COLUMNS($AB$1006:AQ1006),$AB$1006:$AQ$1006,0))&gt;=100000), " ",IF(INDEX($AB$2:$AQ$1001,MATCH(ROWS($U$2:U152),$U$2:$U$1001,0),MATCH(COLUMNS($AB$1006:AQ1006),$AB$1006:$AQ$1006,0)), HYPERLINK("#",""), HYPERLINK(CONCATENATE("#metadata!", ADDRESS(INDEX($W$2:$W$1001,MATCH(ROWS($U$2:U152),$U$2:$U$1001,0),0), INDEX($AB$1004:$AQ$1004,1,MATCH(COLUMNS($AB$1006:AQ1006),$AB$1006:$AQ$1006,0)))),"Fix")))</f>
        <v>0</v>
      </c>
      <c r="U152">
        <v>0</v>
      </c>
      <c r="V152">
        <v>0</v>
      </c>
      <c r="W152">
        <v>0</v>
      </c>
      <c r="X152">
        <f>IF(Y152,TRUE,AND(AB152:AQ152))</f>
        <v>0</v>
      </c>
      <c r="Y152">
        <f>COUNTBLANK(metadata!B152:Q152)=COLUMNS(metadata!B152:Q152)</f>
        <v>0</v>
      </c>
      <c r="Z152">
        <v>0</v>
      </c>
      <c r="AB152">
        <f>AND(IF(metadata!B152="",FALSE,TRUE),COUNTIF(metadata!B:B, metadata!B152) = 1,NOT(ISERROR(SUMPRODUCT(SEARCH(MID(metadata!B152,ROW(INDIRECT("1:"&amp;LEN(metadata!B152))), 1),"0123456789abcdefghijklmnopqrstuvwxyzABCDEFGHIJKLMNOPQRSTUVWXYZ.")))))</f>
        <v>0</v>
      </c>
      <c r="AC152">
        <f>OR(AND(IF(metadata!C152="",FALSE,TRUE),OR(exact(metadata!C152,"missing: not collected"),exact(metadata!C152,"missing: not provided"),exact(metadata!C152,"missing: restricted access"))),AND(IF(metadata!C152="",FALSE,TRUE),AND(AND(IFERROR(INT(LEFT(metadata!C152,4))&gt;1900,FALSE),IFERROR(INT(LEFT(metadata!C152,4))&lt;=YEAR(NOW()),FALSE)), OR(MID(metadata!C152,5,1)="", AND(AND(MID(metadata!C152,5,1)="-",IFERROR(INT(MID(metadata!C152,6,1))&gt;=0,FALSE),IFERROR(INT(MID(metadata!C152,6,1))&lt;=1,FALSE),NOT(MID(metadata!C152,7,1)=""),IFERROR(INT(MID(metadata!C152,6,2))&gt;=1,FALSE),IFERROR(INT(MID(metadata!C152,6,2))&lt;=12,FALSE)), OR(MID(metadata!C152,8,1)="", AND(AND(MID(metadata!C152,8,1)="-",IFERROR(INT(MID(metadata!C152,9,1))&gt;=0,FALSE),IFERROR(INT(MID(metadata!C152,9,1))&lt;=3,FALSE),NOT(MID(metadata!C152,10,1)=""),IFERROR(INT(MID(metadata!C152,9,2))&gt;=1,FALSE),IFERROR(INT(MID(metadata!C152,9,2))&lt;=31,FALSE)), OR(MID(metadata!C152,11,1)="", AND(AND(MID(metadata!C152,11,1)=" ",IFERROR(INT(MID(metadata!C152,12,1))&gt;=0,FALSE),IFERROR(INT(MID(metadata!C152,12,1))&lt;=2,FALSE),NOT(MID(metadata!C152,13,1)=""),IFERROR(INT(MID(metadata!C152,12,2))&gt;=0,FALSE),IFERROR(INT(MID(metadata!C152,12,2))&lt;=23,FALSE)), OR(MID(metadata!C152,14,1)="", AND(AND(MID(metadata!C152,14,1)=":",IFERROR(INT(MID(metadata!C152,15,1))&gt;=0,FALSE),IFERROR(INT(MID(metadata!C152,15,1))&lt;=5,FALSE),NOT(MID(metadata!C152,16,1)=""),IFERROR(INT(MID(metadata!C152,15,2))&gt;=0,FALSE),IFERROR(INT(MID(metadata!C152,15,2))&lt;=59,FALSE)), OR(MID(metadata!C152,17,1)="", AND(AND(MID(metadata!C152,17,1)=":",IFERROR(INT(MID(metadata!C152,18,1))&gt;=0,FALSE),IFERROR(INT(MID(metadata!C152,18,1))&lt;=5,FALSE),NOT(MID(metadata!C152,19,1)=""),IFERROR(INT(MID(metadata!C152,18,2))&gt;=0,FALSE),IFERROR(INT(MID(metadata!C152,18,2))&lt;=59,FALSE)), LEN(metadata!C152)&lt;=19)))))))))))))</f>
        <v>0</v>
      </c>
      <c r="AD152">
        <f>IF(metadata!D152="",FALSE,TRUE)</f>
        <v>0</v>
      </c>
      <c r="AE152">
        <f>OR(AND(IF(metadata!E152="",FALSE,TRUE),OR(exact(metadata!E152,"missing: not collected"),exact(metadata!E152,"missing: not provided"))),AND(IF(metadata!E152="",FALSE,TRUE),OR(exact(metadata!E152,"TRUE"),exact(metadata!E152,"FALSE"))))</f>
        <v>0</v>
      </c>
      <c r="AF152">
        <f>IF(metadata!F152="",FALSE,TRUE)</f>
        <v>0</v>
      </c>
      <c r="AG152">
        <f>IF(metadata!G152="",FALSE,TRUE)</f>
        <v>0</v>
      </c>
      <c r="AH152">
        <f>IF(metadata!H152="",FALSE,TRUE)</f>
        <v>0</v>
      </c>
      <c r="AI152">
        <f>OR(AND(IF(metadata!I152="",FALSE,TRUE),OR(exact(metadata!I152,"missing: not collected"),exact(metadata!I152,"missing: not provided"),exact(metadata!I152,"missing: restricted access"))),AND(IF(metadata!I152="",FALSE,TRUE),OR(exact(metadata!I152,"air"),exact(metadata!I152,"built environment"),exact(metadata!I152,"host-associated"),exact(metadata!I152,"human-associated"),exact(metadata!I152,"human-skin"),exact(metadata!I152,"human-oral"),exact(metadata!I152,"human-gut"),exact(metadata!I152,"human-vaginal"),exact(metadata!I152,"microbial mat/biofilm"),exact(metadata!I152,"misc environment"),exact(metadata!I152,"plant-associated"),exact(metadata!I152,"sediment"),exact(metadata!I152,"soil"),exact(metadata!I152,"wastewater/sludge"),exact(metadata!I152,"water"))))</f>
        <v>0</v>
      </c>
      <c r="AJ152">
        <f>IF(metadata!J152="",FALSE,TRUE)</f>
        <v>0</v>
      </c>
      <c r="AK152">
        <f>OR(AND(IF(metadata!K152="",FALSE,TRUE),OR(exact(metadata!K152,"missing: not collected"),exact(metadata!K152,"missing: not provided"),exact(metadata!K152,"missing: restricted access"))),AND(IF(metadata!K152="",FALSE,ISNUMBER(VALUE(metadata!K152))),metadata!K152&gt;=-90.00,metadata!K152&lt;=90.00))</f>
        <v>0</v>
      </c>
      <c r="AL152">
        <f>OR(AND(IF(metadata!L152="",FALSE,TRUE),OR(exact(metadata!L152,"missing: not collected"),exact(metadata!L152,"missing: not provided"),exact(metadata!L152,"missing: restricted access"))),AND(IF(metadata!L152="",FALSE,ISNUMBER(VALUE(metadata!L152))),metadata!L152&gt;=-180.00,metadata!L152&lt;=180.00))</f>
        <v>0</v>
      </c>
      <c r="AM152">
        <f>IF(metadata!M152="",FALSE,TRUE)</f>
        <v>0</v>
      </c>
      <c r="AN152">
        <f>OR(AND(IF(metadata!N152="",FALSE,TRUE),OR(exact(metadata!N152,"missing: not collected"),exact(metadata!N152,"missing: not provided"),exact(metadata!N152,"missing: restricted access"))),AND(IF(metadata!N152="",FALSE,TRUE),OR(exact(metadata!N152,"TRUE"),exact(metadata!N152,"FALSE"))))</f>
        <v>0</v>
      </c>
      <c r="AO152">
        <f>IF(metadata!O152="",FALSE,TRUE)</f>
        <v>0</v>
      </c>
      <c r="AP152">
        <f>OR(AND(IF(metadata!P152="",FALSE,TRUE),OR(exact(metadata!P152,"missing: not collected"),exact(metadata!P152,"missing: not provided"))),AND(IF(metadata!P152="",FALSE,IF(ISERROR(INT(metadata!P152)),FALSE,INT(metadata!P152)=metadata!P152)),metadata!P152&gt;0))</f>
        <v>0</v>
      </c>
      <c r="AQ152">
        <f>IF(metadata!Q152="",FALSE,TRUE)</f>
        <v>0</v>
      </c>
    </row>
    <row r="153" spans="1:43">
      <c r="A153" s="5">
        <f>IF(B153=" "," ",HYPERLINK(CONCATENATE("#metadata!",ADDRESS(INDEX($W$2:$W$1001,MATCH(ROWS($U$2:U153),$U$2:$U$1001,0),0),1)),INDEX($Z$2:$Z$1001,MATCH(ROWS($U$2:U153),$U$2:$U$1001,0),0)))</f>
        <v>0</v>
      </c>
      <c r="B153" s="4">
        <f>IF(OR(INDEX($V$2:$V$1001,MATCH(ROWS($U$2:U153),$U$2:$U$1001,0),1)&gt;=100000,INDEX($AB$1005:$AQ$1005,1,MATCH(COLUMNS($AB$1006:AB1006),$AB$1006:$AQ$1006,0))&gt;=100000), " ",IF(INDEX($AB$2:$AQ$1001,MATCH(ROWS($U$2:U153),$U$2:$U$1001,0),MATCH(COLUMNS($AB$1006:AB1006),$AB$1006:$AQ$1006,0)), HYPERLINK("#",""), HYPERLINK(CONCATENATE("#metadata!", ADDRESS(INDEX($W$2:$W$1001,MATCH(ROWS($U$2:U153),$U$2:$U$1001,0),0), INDEX($AB$1004:$AQ$1004,1,MATCH(COLUMNS($AB$1006:AB1006),$AB$1006:$AQ$1006,0)))),"Fix")))</f>
        <v>0</v>
      </c>
      <c r="C153" s="4">
        <f>IF(OR(INDEX($V$2:$V$1001,MATCH(ROWS($U$2:U153),$U$2:$U$1001,0),1)&gt;=100000,INDEX($AB$1005:$AQ$1005,1,MATCH(COLUMNS($AB$1006:AC1006),$AB$1006:$AQ$1006,0))&gt;=100000), " ",IF(INDEX($AB$2:$AQ$1001,MATCH(ROWS($U$2:U153),$U$2:$U$1001,0),MATCH(COLUMNS($AB$1006:AC1006),$AB$1006:$AQ$1006,0)), HYPERLINK("#",""), HYPERLINK(CONCATENATE("#metadata!", ADDRESS(INDEX($W$2:$W$1001,MATCH(ROWS($U$2:U153),$U$2:$U$1001,0),0), INDEX($AB$1004:$AQ$1004,1,MATCH(COLUMNS($AB$1006:AC1006),$AB$1006:$AQ$1006,0)))),"Fix")))</f>
        <v>0</v>
      </c>
      <c r="D153" s="4">
        <f>IF(OR(INDEX($V$2:$V$1001,MATCH(ROWS($U$2:U153),$U$2:$U$1001,0),1)&gt;=100000,INDEX($AB$1005:$AQ$1005,1,MATCH(COLUMNS($AB$1006:AD1006),$AB$1006:$AQ$1006,0))&gt;=100000), " ",IF(INDEX($AB$2:$AQ$1001,MATCH(ROWS($U$2:U153),$U$2:$U$1001,0),MATCH(COLUMNS($AB$1006:AD1006),$AB$1006:$AQ$1006,0)), HYPERLINK("#",""), HYPERLINK(CONCATENATE("#metadata!", ADDRESS(INDEX($W$2:$W$1001,MATCH(ROWS($U$2:U153),$U$2:$U$1001,0),0), INDEX($AB$1004:$AQ$1004,1,MATCH(COLUMNS($AB$1006:AD1006),$AB$1006:$AQ$1006,0)))),"Fix")))</f>
        <v>0</v>
      </c>
      <c r="E153" s="4">
        <f>IF(OR(INDEX($V$2:$V$1001,MATCH(ROWS($U$2:U153),$U$2:$U$1001,0),1)&gt;=100000,INDEX($AB$1005:$AQ$1005,1,MATCH(COLUMNS($AB$1006:AE1006),$AB$1006:$AQ$1006,0))&gt;=100000), " ",IF(INDEX($AB$2:$AQ$1001,MATCH(ROWS($U$2:U153),$U$2:$U$1001,0),MATCH(COLUMNS($AB$1006:AE1006),$AB$1006:$AQ$1006,0)), HYPERLINK("#",""), HYPERLINK(CONCATENATE("#metadata!", ADDRESS(INDEX($W$2:$W$1001,MATCH(ROWS($U$2:U153),$U$2:$U$1001,0),0), INDEX($AB$1004:$AQ$1004,1,MATCH(COLUMNS($AB$1006:AE1006),$AB$1006:$AQ$1006,0)))),"Fix")))</f>
        <v>0</v>
      </c>
      <c r="F153" s="4">
        <f>IF(OR(INDEX($V$2:$V$1001,MATCH(ROWS($U$2:U153),$U$2:$U$1001,0),1)&gt;=100000,INDEX($AB$1005:$AQ$1005,1,MATCH(COLUMNS($AB$1006:AF1006),$AB$1006:$AQ$1006,0))&gt;=100000), " ",IF(INDEX($AB$2:$AQ$1001,MATCH(ROWS($U$2:U153),$U$2:$U$1001,0),MATCH(COLUMNS($AB$1006:AF1006),$AB$1006:$AQ$1006,0)), HYPERLINK("#",""), HYPERLINK(CONCATENATE("#metadata!", ADDRESS(INDEX($W$2:$W$1001,MATCH(ROWS($U$2:U153),$U$2:$U$1001,0),0), INDEX($AB$1004:$AQ$1004,1,MATCH(COLUMNS($AB$1006:AF1006),$AB$1006:$AQ$1006,0)))),"Fix")))</f>
        <v>0</v>
      </c>
      <c r="G153" s="4">
        <f>IF(OR(INDEX($V$2:$V$1001,MATCH(ROWS($U$2:U153),$U$2:$U$1001,0),1)&gt;=100000,INDEX($AB$1005:$AQ$1005,1,MATCH(COLUMNS($AB$1006:AG1006),$AB$1006:$AQ$1006,0))&gt;=100000), " ",IF(INDEX($AB$2:$AQ$1001,MATCH(ROWS($U$2:U153),$U$2:$U$1001,0),MATCH(COLUMNS($AB$1006:AG1006),$AB$1006:$AQ$1006,0)), HYPERLINK("#",""), HYPERLINK(CONCATENATE("#metadata!", ADDRESS(INDEX($W$2:$W$1001,MATCH(ROWS($U$2:U153),$U$2:$U$1001,0),0), INDEX($AB$1004:$AQ$1004,1,MATCH(COLUMNS($AB$1006:AG1006),$AB$1006:$AQ$1006,0)))),"Fix")))</f>
        <v>0</v>
      </c>
      <c r="H153" s="4">
        <f>IF(OR(INDEX($V$2:$V$1001,MATCH(ROWS($U$2:U153),$U$2:$U$1001,0),1)&gt;=100000,INDEX($AB$1005:$AQ$1005,1,MATCH(COLUMNS($AB$1006:AH1006),$AB$1006:$AQ$1006,0))&gt;=100000), " ",IF(INDEX($AB$2:$AQ$1001,MATCH(ROWS($U$2:U153),$U$2:$U$1001,0),MATCH(COLUMNS($AB$1006:AH1006),$AB$1006:$AQ$1006,0)), HYPERLINK("#",""), HYPERLINK(CONCATENATE("#metadata!", ADDRESS(INDEX($W$2:$W$1001,MATCH(ROWS($U$2:U153),$U$2:$U$1001,0),0), INDEX($AB$1004:$AQ$1004,1,MATCH(COLUMNS($AB$1006:AH1006),$AB$1006:$AQ$1006,0)))),"Fix")))</f>
        <v>0</v>
      </c>
      <c r="I153" s="4">
        <f>IF(OR(INDEX($V$2:$V$1001,MATCH(ROWS($U$2:U153),$U$2:$U$1001,0),1)&gt;=100000,INDEX($AB$1005:$AQ$1005,1,MATCH(COLUMNS($AB$1006:AI1006),$AB$1006:$AQ$1006,0))&gt;=100000), " ",IF(INDEX($AB$2:$AQ$1001,MATCH(ROWS($U$2:U153),$U$2:$U$1001,0),MATCH(COLUMNS($AB$1006:AI1006),$AB$1006:$AQ$1006,0)), HYPERLINK("#",""), HYPERLINK(CONCATENATE("#metadata!", ADDRESS(INDEX($W$2:$W$1001,MATCH(ROWS($U$2:U153),$U$2:$U$1001,0),0), INDEX($AB$1004:$AQ$1004,1,MATCH(COLUMNS($AB$1006:AI1006),$AB$1006:$AQ$1006,0)))),"Fix")))</f>
        <v>0</v>
      </c>
      <c r="J153" s="4">
        <f>IF(OR(INDEX($V$2:$V$1001,MATCH(ROWS($U$2:U153),$U$2:$U$1001,0),1)&gt;=100000,INDEX($AB$1005:$AQ$1005,1,MATCH(COLUMNS($AB$1006:AJ1006),$AB$1006:$AQ$1006,0))&gt;=100000), " ",IF(INDEX($AB$2:$AQ$1001,MATCH(ROWS($U$2:U153),$U$2:$U$1001,0),MATCH(COLUMNS($AB$1006:AJ1006),$AB$1006:$AQ$1006,0)), HYPERLINK("#",""), HYPERLINK(CONCATENATE("#metadata!", ADDRESS(INDEX($W$2:$W$1001,MATCH(ROWS($U$2:U153),$U$2:$U$1001,0),0), INDEX($AB$1004:$AQ$1004,1,MATCH(COLUMNS($AB$1006:AJ1006),$AB$1006:$AQ$1006,0)))),"Fix")))</f>
        <v>0</v>
      </c>
      <c r="K153" s="4">
        <f>IF(OR(INDEX($V$2:$V$1001,MATCH(ROWS($U$2:U153),$U$2:$U$1001,0),1)&gt;=100000,INDEX($AB$1005:$AQ$1005,1,MATCH(COLUMNS($AB$1006:AK1006),$AB$1006:$AQ$1006,0))&gt;=100000), " ",IF(INDEX($AB$2:$AQ$1001,MATCH(ROWS($U$2:U153),$U$2:$U$1001,0),MATCH(COLUMNS($AB$1006:AK1006),$AB$1006:$AQ$1006,0)), HYPERLINK("#",""), HYPERLINK(CONCATENATE("#metadata!", ADDRESS(INDEX($W$2:$W$1001,MATCH(ROWS($U$2:U153),$U$2:$U$1001,0),0), INDEX($AB$1004:$AQ$1004,1,MATCH(COLUMNS($AB$1006:AK1006),$AB$1006:$AQ$1006,0)))),"Fix")))</f>
        <v>0</v>
      </c>
      <c r="L153" s="4">
        <f>IF(OR(INDEX($V$2:$V$1001,MATCH(ROWS($U$2:U153),$U$2:$U$1001,0),1)&gt;=100000,INDEX($AB$1005:$AQ$1005,1,MATCH(COLUMNS($AB$1006:AL1006),$AB$1006:$AQ$1006,0))&gt;=100000), " ",IF(INDEX($AB$2:$AQ$1001,MATCH(ROWS($U$2:U153),$U$2:$U$1001,0),MATCH(COLUMNS($AB$1006:AL1006),$AB$1006:$AQ$1006,0)), HYPERLINK("#",""), HYPERLINK(CONCATENATE("#metadata!", ADDRESS(INDEX($W$2:$W$1001,MATCH(ROWS($U$2:U153),$U$2:$U$1001,0),0), INDEX($AB$1004:$AQ$1004,1,MATCH(COLUMNS($AB$1006:AL1006),$AB$1006:$AQ$1006,0)))),"Fix")))</f>
        <v>0</v>
      </c>
      <c r="M153" s="4">
        <f>IF(OR(INDEX($V$2:$V$1001,MATCH(ROWS($U$2:U153),$U$2:$U$1001,0),1)&gt;=100000,INDEX($AB$1005:$AQ$1005,1,MATCH(COLUMNS($AB$1006:AM1006),$AB$1006:$AQ$1006,0))&gt;=100000), " ",IF(INDEX($AB$2:$AQ$1001,MATCH(ROWS($U$2:U153),$U$2:$U$1001,0),MATCH(COLUMNS($AB$1006:AM1006),$AB$1006:$AQ$1006,0)), HYPERLINK("#",""), HYPERLINK(CONCATENATE("#metadata!", ADDRESS(INDEX($W$2:$W$1001,MATCH(ROWS($U$2:U153),$U$2:$U$1001,0),0), INDEX($AB$1004:$AQ$1004,1,MATCH(COLUMNS($AB$1006:AM1006),$AB$1006:$AQ$1006,0)))),"Fix")))</f>
        <v>0</v>
      </c>
      <c r="N153" s="4">
        <f>IF(OR(INDEX($V$2:$V$1001,MATCH(ROWS($U$2:U153),$U$2:$U$1001,0),1)&gt;=100000,INDEX($AB$1005:$AQ$1005,1,MATCH(COLUMNS($AB$1006:AN1006),$AB$1006:$AQ$1006,0))&gt;=100000), " ",IF(INDEX($AB$2:$AQ$1001,MATCH(ROWS($U$2:U153),$U$2:$U$1001,0),MATCH(COLUMNS($AB$1006:AN1006),$AB$1006:$AQ$1006,0)), HYPERLINK("#",""), HYPERLINK(CONCATENATE("#metadata!", ADDRESS(INDEX($W$2:$W$1001,MATCH(ROWS($U$2:U153),$U$2:$U$1001,0),0), INDEX($AB$1004:$AQ$1004,1,MATCH(COLUMNS($AB$1006:AN1006),$AB$1006:$AQ$1006,0)))),"Fix")))</f>
        <v>0</v>
      </c>
      <c r="O153" s="4">
        <f>IF(OR(INDEX($V$2:$V$1001,MATCH(ROWS($U$2:U153),$U$2:$U$1001,0),1)&gt;=100000,INDEX($AB$1005:$AQ$1005,1,MATCH(COLUMNS($AB$1006:AO1006),$AB$1006:$AQ$1006,0))&gt;=100000), " ",IF(INDEX($AB$2:$AQ$1001,MATCH(ROWS($U$2:U153),$U$2:$U$1001,0),MATCH(COLUMNS($AB$1006:AO1006),$AB$1006:$AQ$1006,0)), HYPERLINK("#",""), HYPERLINK(CONCATENATE("#metadata!", ADDRESS(INDEX($W$2:$W$1001,MATCH(ROWS($U$2:U153),$U$2:$U$1001,0),0), INDEX($AB$1004:$AQ$1004,1,MATCH(COLUMNS($AB$1006:AO1006),$AB$1006:$AQ$1006,0)))),"Fix")))</f>
        <v>0</v>
      </c>
      <c r="P153" s="4">
        <f>IF(OR(INDEX($V$2:$V$1001,MATCH(ROWS($U$2:U153),$U$2:$U$1001,0),1)&gt;=100000,INDEX($AB$1005:$AQ$1005,1,MATCH(COLUMNS($AB$1006:AP1006),$AB$1006:$AQ$1006,0))&gt;=100000), " ",IF(INDEX($AB$2:$AQ$1001,MATCH(ROWS($U$2:U153),$U$2:$U$1001,0),MATCH(COLUMNS($AB$1006:AP1006),$AB$1006:$AQ$1006,0)), HYPERLINK("#",""), HYPERLINK(CONCATENATE("#metadata!", ADDRESS(INDEX($W$2:$W$1001,MATCH(ROWS($U$2:U153),$U$2:$U$1001,0),0), INDEX($AB$1004:$AQ$1004,1,MATCH(COLUMNS($AB$1006:AP1006),$AB$1006:$AQ$1006,0)))),"Fix")))</f>
        <v>0</v>
      </c>
      <c r="Q153" s="4">
        <f>IF(OR(INDEX($V$2:$V$1001,MATCH(ROWS($U$2:U153),$U$2:$U$1001,0),1)&gt;=100000,INDEX($AB$1005:$AQ$1005,1,MATCH(COLUMNS($AB$1006:AQ1006),$AB$1006:$AQ$1006,0))&gt;=100000), " ",IF(INDEX($AB$2:$AQ$1001,MATCH(ROWS($U$2:U153),$U$2:$U$1001,0),MATCH(COLUMNS($AB$1006:AQ1006),$AB$1006:$AQ$1006,0)), HYPERLINK("#",""), HYPERLINK(CONCATENATE("#metadata!", ADDRESS(INDEX($W$2:$W$1001,MATCH(ROWS($U$2:U153),$U$2:$U$1001,0),0), INDEX($AB$1004:$AQ$1004,1,MATCH(COLUMNS($AB$1006:AQ1006),$AB$1006:$AQ$1006,0)))),"Fix")))</f>
        <v>0</v>
      </c>
      <c r="U153">
        <v>0</v>
      </c>
      <c r="V153">
        <v>0</v>
      </c>
      <c r="W153">
        <v>0</v>
      </c>
      <c r="X153">
        <f>IF(Y153,TRUE,AND(AB153:AQ153))</f>
        <v>0</v>
      </c>
      <c r="Y153">
        <f>COUNTBLANK(metadata!B153:Q153)=COLUMNS(metadata!B153:Q153)</f>
        <v>0</v>
      </c>
      <c r="Z153">
        <v>0</v>
      </c>
      <c r="AB153">
        <f>AND(IF(metadata!B153="",FALSE,TRUE),COUNTIF(metadata!B:B, metadata!B153) = 1,NOT(ISERROR(SUMPRODUCT(SEARCH(MID(metadata!B153,ROW(INDIRECT("1:"&amp;LEN(metadata!B153))), 1),"0123456789abcdefghijklmnopqrstuvwxyzABCDEFGHIJKLMNOPQRSTUVWXYZ.")))))</f>
        <v>0</v>
      </c>
      <c r="AC153">
        <f>OR(AND(IF(metadata!C153="",FALSE,TRUE),OR(exact(metadata!C153,"missing: not collected"),exact(metadata!C153,"missing: not provided"),exact(metadata!C153,"missing: restricted access"))),AND(IF(metadata!C153="",FALSE,TRUE),AND(AND(IFERROR(INT(LEFT(metadata!C153,4))&gt;1900,FALSE),IFERROR(INT(LEFT(metadata!C153,4))&lt;=YEAR(NOW()),FALSE)), OR(MID(metadata!C153,5,1)="", AND(AND(MID(metadata!C153,5,1)="-",IFERROR(INT(MID(metadata!C153,6,1))&gt;=0,FALSE),IFERROR(INT(MID(metadata!C153,6,1))&lt;=1,FALSE),NOT(MID(metadata!C153,7,1)=""),IFERROR(INT(MID(metadata!C153,6,2))&gt;=1,FALSE),IFERROR(INT(MID(metadata!C153,6,2))&lt;=12,FALSE)), OR(MID(metadata!C153,8,1)="", AND(AND(MID(metadata!C153,8,1)="-",IFERROR(INT(MID(metadata!C153,9,1))&gt;=0,FALSE),IFERROR(INT(MID(metadata!C153,9,1))&lt;=3,FALSE),NOT(MID(metadata!C153,10,1)=""),IFERROR(INT(MID(metadata!C153,9,2))&gt;=1,FALSE),IFERROR(INT(MID(metadata!C153,9,2))&lt;=31,FALSE)), OR(MID(metadata!C153,11,1)="", AND(AND(MID(metadata!C153,11,1)=" ",IFERROR(INT(MID(metadata!C153,12,1))&gt;=0,FALSE),IFERROR(INT(MID(metadata!C153,12,1))&lt;=2,FALSE),NOT(MID(metadata!C153,13,1)=""),IFERROR(INT(MID(metadata!C153,12,2))&gt;=0,FALSE),IFERROR(INT(MID(metadata!C153,12,2))&lt;=23,FALSE)), OR(MID(metadata!C153,14,1)="", AND(AND(MID(metadata!C153,14,1)=":",IFERROR(INT(MID(metadata!C153,15,1))&gt;=0,FALSE),IFERROR(INT(MID(metadata!C153,15,1))&lt;=5,FALSE),NOT(MID(metadata!C153,16,1)=""),IFERROR(INT(MID(metadata!C153,15,2))&gt;=0,FALSE),IFERROR(INT(MID(metadata!C153,15,2))&lt;=59,FALSE)), OR(MID(metadata!C153,17,1)="", AND(AND(MID(metadata!C153,17,1)=":",IFERROR(INT(MID(metadata!C153,18,1))&gt;=0,FALSE),IFERROR(INT(MID(metadata!C153,18,1))&lt;=5,FALSE),NOT(MID(metadata!C153,19,1)=""),IFERROR(INT(MID(metadata!C153,18,2))&gt;=0,FALSE),IFERROR(INT(MID(metadata!C153,18,2))&lt;=59,FALSE)), LEN(metadata!C153)&lt;=19)))))))))))))</f>
        <v>0</v>
      </c>
      <c r="AD153">
        <f>IF(metadata!D153="",FALSE,TRUE)</f>
        <v>0</v>
      </c>
      <c r="AE153">
        <f>OR(AND(IF(metadata!E153="",FALSE,TRUE),OR(exact(metadata!E153,"missing: not collected"),exact(metadata!E153,"missing: not provided"))),AND(IF(metadata!E153="",FALSE,TRUE),OR(exact(metadata!E153,"TRUE"),exact(metadata!E153,"FALSE"))))</f>
        <v>0</v>
      </c>
      <c r="AF153">
        <f>IF(metadata!F153="",FALSE,TRUE)</f>
        <v>0</v>
      </c>
      <c r="AG153">
        <f>IF(metadata!G153="",FALSE,TRUE)</f>
        <v>0</v>
      </c>
      <c r="AH153">
        <f>IF(metadata!H153="",FALSE,TRUE)</f>
        <v>0</v>
      </c>
      <c r="AI153">
        <f>OR(AND(IF(metadata!I153="",FALSE,TRUE),OR(exact(metadata!I153,"missing: not collected"),exact(metadata!I153,"missing: not provided"),exact(metadata!I153,"missing: restricted access"))),AND(IF(metadata!I153="",FALSE,TRUE),OR(exact(metadata!I153,"air"),exact(metadata!I153,"built environment"),exact(metadata!I153,"host-associated"),exact(metadata!I153,"human-associated"),exact(metadata!I153,"human-skin"),exact(metadata!I153,"human-oral"),exact(metadata!I153,"human-gut"),exact(metadata!I153,"human-vaginal"),exact(metadata!I153,"microbial mat/biofilm"),exact(metadata!I153,"misc environment"),exact(metadata!I153,"plant-associated"),exact(metadata!I153,"sediment"),exact(metadata!I153,"soil"),exact(metadata!I153,"wastewater/sludge"),exact(metadata!I153,"water"))))</f>
        <v>0</v>
      </c>
      <c r="AJ153">
        <f>IF(metadata!J153="",FALSE,TRUE)</f>
        <v>0</v>
      </c>
      <c r="AK153">
        <f>OR(AND(IF(metadata!K153="",FALSE,TRUE),OR(exact(metadata!K153,"missing: not collected"),exact(metadata!K153,"missing: not provided"),exact(metadata!K153,"missing: restricted access"))),AND(IF(metadata!K153="",FALSE,ISNUMBER(VALUE(metadata!K153))),metadata!K153&gt;=-90.00,metadata!K153&lt;=90.00))</f>
        <v>0</v>
      </c>
      <c r="AL153">
        <f>OR(AND(IF(metadata!L153="",FALSE,TRUE),OR(exact(metadata!L153,"missing: not collected"),exact(metadata!L153,"missing: not provided"),exact(metadata!L153,"missing: restricted access"))),AND(IF(metadata!L153="",FALSE,ISNUMBER(VALUE(metadata!L153))),metadata!L153&gt;=-180.00,metadata!L153&lt;=180.00))</f>
        <v>0</v>
      </c>
      <c r="AM153">
        <f>IF(metadata!M153="",FALSE,TRUE)</f>
        <v>0</v>
      </c>
      <c r="AN153">
        <f>OR(AND(IF(metadata!N153="",FALSE,TRUE),OR(exact(metadata!N153,"missing: not collected"),exact(metadata!N153,"missing: not provided"),exact(metadata!N153,"missing: restricted access"))),AND(IF(metadata!N153="",FALSE,TRUE),OR(exact(metadata!N153,"TRUE"),exact(metadata!N153,"FALSE"))))</f>
        <v>0</v>
      </c>
      <c r="AO153">
        <f>IF(metadata!O153="",FALSE,TRUE)</f>
        <v>0</v>
      </c>
      <c r="AP153">
        <f>OR(AND(IF(metadata!P153="",FALSE,TRUE),OR(exact(metadata!P153,"missing: not collected"),exact(metadata!P153,"missing: not provided"))),AND(IF(metadata!P153="",FALSE,IF(ISERROR(INT(metadata!P153)),FALSE,INT(metadata!P153)=metadata!P153)),metadata!P153&gt;0))</f>
        <v>0</v>
      </c>
      <c r="AQ153">
        <f>IF(metadata!Q153="",FALSE,TRUE)</f>
        <v>0</v>
      </c>
    </row>
    <row r="154" spans="1:43">
      <c r="A154" s="5">
        <f>IF(B154=" "," ",HYPERLINK(CONCATENATE("#metadata!",ADDRESS(INDEX($W$2:$W$1001,MATCH(ROWS($U$2:U154),$U$2:$U$1001,0),0),1)),INDEX($Z$2:$Z$1001,MATCH(ROWS($U$2:U154),$U$2:$U$1001,0),0)))</f>
        <v>0</v>
      </c>
      <c r="B154" s="4">
        <f>IF(OR(INDEX($V$2:$V$1001,MATCH(ROWS($U$2:U154),$U$2:$U$1001,0),1)&gt;=100000,INDEX($AB$1005:$AQ$1005,1,MATCH(COLUMNS($AB$1006:AB1006),$AB$1006:$AQ$1006,0))&gt;=100000), " ",IF(INDEX($AB$2:$AQ$1001,MATCH(ROWS($U$2:U154),$U$2:$U$1001,0),MATCH(COLUMNS($AB$1006:AB1006),$AB$1006:$AQ$1006,0)), HYPERLINK("#",""), HYPERLINK(CONCATENATE("#metadata!", ADDRESS(INDEX($W$2:$W$1001,MATCH(ROWS($U$2:U154),$U$2:$U$1001,0),0), INDEX($AB$1004:$AQ$1004,1,MATCH(COLUMNS($AB$1006:AB1006),$AB$1006:$AQ$1006,0)))),"Fix")))</f>
        <v>0</v>
      </c>
      <c r="C154" s="4">
        <f>IF(OR(INDEX($V$2:$V$1001,MATCH(ROWS($U$2:U154),$U$2:$U$1001,0),1)&gt;=100000,INDEX($AB$1005:$AQ$1005,1,MATCH(COLUMNS($AB$1006:AC1006),$AB$1006:$AQ$1006,0))&gt;=100000), " ",IF(INDEX($AB$2:$AQ$1001,MATCH(ROWS($U$2:U154),$U$2:$U$1001,0),MATCH(COLUMNS($AB$1006:AC1006),$AB$1006:$AQ$1006,0)), HYPERLINK("#",""), HYPERLINK(CONCATENATE("#metadata!", ADDRESS(INDEX($W$2:$W$1001,MATCH(ROWS($U$2:U154),$U$2:$U$1001,0),0), INDEX($AB$1004:$AQ$1004,1,MATCH(COLUMNS($AB$1006:AC1006),$AB$1006:$AQ$1006,0)))),"Fix")))</f>
        <v>0</v>
      </c>
      <c r="D154" s="4">
        <f>IF(OR(INDEX($V$2:$V$1001,MATCH(ROWS($U$2:U154),$U$2:$U$1001,0),1)&gt;=100000,INDEX($AB$1005:$AQ$1005,1,MATCH(COLUMNS($AB$1006:AD1006),$AB$1006:$AQ$1006,0))&gt;=100000), " ",IF(INDEX($AB$2:$AQ$1001,MATCH(ROWS($U$2:U154),$U$2:$U$1001,0),MATCH(COLUMNS($AB$1006:AD1006),$AB$1006:$AQ$1006,0)), HYPERLINK("#",""), HYPERLINK(CONCATENATE("#metadata!", ADDRESS(INDEX($W$2:$W$1001,MATCH(ROWS($U$2:U154),$U$2:$U$1001,0),0), INDEX($AB$1004:$AQ$1004,1,MATCH(COLUMNS($AB$1006:AD1006),$AB$1006:$AQ$1006,0)))),"Fix")))</f>
        <v>0</v>
      </c>
      <c r="E154" s="4">
        <f>IF(OR(INDEX($V$2:$V$1001,MATCH(ROWS($U$2:U154),$U$2:$U$1001,0),1)&gt;=100000,INDEX($AB$1005:$AQ$1005,1,MATCH(COLUMNS($AB$1006:AE1006),$AB$1006:$AQ$1006,0))&gt;=100000), " ",IF(INDEX($AB$2:$AQ$1001,MATCH(ROWS($U$2:U154),$U$2:$U$1001,0),MATCH(COLUMNS($AB$1006:AE1006),$AB$1006:$AQ$1006,0)), HYPERLINK("#",""), HYPERLINK(CONCATENATE("#metadata!", ADDRESS(INDEX($W$2:$W$1001,MATCH(ROWS($U$2:U154),$U$2:$U$1001,0),0), INDEX($AB$1004:$AQ$1004,1,MATCH(COLUMNS($AB$1006:AE1006),$AB$1006:$AQ$1006,0)))),"Fix")))</f>
        <v>0</v>
      </c>
      <c r="F154" s="4">
        <f>IF(OR(INDEX($V$2:$V$1001,MATCH(ROWS($U$2:U154),$U$2:$U$1001,0),1)&gt;=100000,INDEX($AB$1005:$AQ$1005,1,MATCH(COLUMNS($AB$1006:AF1006),$AB$1006:$AQ$1006,0))&gt;=100000), " ",IF(INDEX($AB$2:$AQ$1001,MATCH(ROWS($U$2:U154),$U$2:$U$1001,0),MATCH(COLUMNS($AB$1006:AF1006),$AB$1006:$AQ$1006,0)), HYPERLINK("#",""), HYPERLINK(CONCATENATE("#metadata!", ADDRESS(INDEX($W$2:$W$1001,MATCH(ROWS($U$2:U154),$U$2:$U$1001,0),0), INDEX($AB$1004:$AQ$1004,1,MATCH(COLUMNS($AB$1006:AF1006),$AB$1006:$AQ$1006,0)))),"Fix")))</f>
        <v>0</v>
      </c>
      <c r="G154" s="4">
        <f>IF(OR(INDEX($V$2:$V$1001,MATCH(ROWS($U$2:U154),$U$2:$U$1001,0),1)&gt;=100000,INDEX($AB$1005:$AQ$1005,1,MATCH(COLUMNS($AB$1006:AG1006),$AB$1006:$AQ$1006,0))&gt;=100000), " ",IF(INDEX($AB$2:$AQ$1001,MATCH(ROWS($U$2:U154),$U$2:$U$1001,0),MATCH(COLUMNS($AB$1006:AG1006),$AB$1006:$AQ$1006,0)), HYPERLINK("#",""), HYPERLINK(CONCATENATE("#metadata!", ADDRESS(INDEX($W$2:$W$1001,MATCH(ROWS($U$2:U154),$U$2:$U$1001,0),0), INDEX($AB$1004:$AQ$1004,1,MATCH(COLUMNS($AB$1006:AG1006),$AB$1006:$AQ$1006,0)))),"Fix")))</f>
        <v>0</v>
      </c>
      <c r="H154" s="4">
        <f>IF(OR(INDEX($V$2:$V$1001,MATCH(ROWS($U$2:U154),$U$2:$U$1001,0),1)&gt;=100000,INDEX($AB$1005:$AQ$1005,1,MATCH(COLUMNS($AB$1006:AH1006),$AB$1006:$AQ$1006,0))&gt;=100000), " ",IF(INDEX($AB$2:$AQ$1001,MATCH(ROWS($U$2:U154),$U$2:$U$1001,0),MATCH(COLUMNS($AB$1006:AH1006),$AB$1006:$AQ$1006,0)), HYPERLINK("#",""), HYPERLINK(CONCATENATE("#metadata!", ADDRESS(INDEX($W$2:$W$1001,MATCH(ROWS($U$2:U154),$U$2:$U$1001,0),0), INDEX($AB$1004:$AQ$1004,1,MATCH(COLUMNS($AB$1006:AH1006),$AB$1006:$AQ$1006,0)))),"Fix")))</f>
        <v>0</v>
      </c>
      <c r="I154" s="4">
        <f>IF(OR(INDEX($V$2:$V$1001,MATCH(ROWS($U$2:U154),$U$2:$U$1001,0),1)&gt;=100000,INDEX($AB$1005:$AQ$1005,1,MATCH(COLUMNS($AB$1006:AI1006),$AB$1006:$AQ$1006,0))&gt;=100000), " ",IF(INDEX($AB$2:$AQ$1001,MATCH(ROWS($U$2:U154),$U$2:$U$1001,0),MATCH(COLUMNS($AB$1006:AI1006),$AB$1006:$AQ$1006,0)), HYPERLINK("#",""), HYPERLINK(CONCATENATE("#metadata!", ADDRESS(INDEX($W$2:$W$1001,MATCH(ROWS($U$2:U154),$U$2:$U$1001,0),0), INDEX($AB$1004:$AQ$1004,1,MATCH(COLUMNS($AB$1006:AI1006),$AB$1006:$AQ$1006,0)))),"Fix")))</f>
        <v>0</v>
      </c>
      <c r="J154" s="4">
        <f>IF(OR(INDEX($V$2:$V$1001,MATCH(ROWS($U$2:U154),$U$2:$U$1001,0),1)&gt;=100000,INDEX($AB$1005:$AQ$1005,1,MATCH(COLUMNS($AB$1006:AJ1006),$AB$1006:$AQ$1006,0))&gt;=100000), " ",IF(INDEX($AB$2:$AQ$1001,MATCH(ROWS($U$2:U154),$U$2:$U$1001,0),MATCH(COLUMNS($AB$1006:AJ1006),$AB$1006:$AQ$1006,0)), HYPERLINK("#",""), HYPERLINK(CONCATENATE("#metadata!", ADDRESS(INDEX($W$2:$W$1001,MATCH(ROWS($U$2:U154),$U$2:$U$1001,0),0), INDEX($AB$1004:$AQ$1004,1,MATCH(COLUMNS($AB$1006:AJ1006),$AB$1006:$AQ$1006,0)))),"Fix")))</f>
        <v>0</v>
      </c>
      <c r="K154" s="4">
        <f>IF(OR(INDEX($V$2:$V$1001,MATCH(ROWS($U$2:U154),$U$2:$U$1001,0),1)&gt;=100000,INDEX($AB$1005:$AQ$1005,1,MATCH(COLUMNS($AB$1006:AK1006),$AB$1006:$AQ$1006,0))&gt;=100000), " ",IF(INDEX($AB$2:$AQ$1001,MATCH(ROWS($U$2:U154),$U$2:$U$1001,0),MATCH(COLUMNS($AB$1006:AK1006),$AB$1006:$AQ$1006,0)), HYPERLINK("#",""), HYPERLINK(CONCATENATE("#metadata!", ADDRESS(INDEX($W$2:$W$1001,MATCH(ROWS($U$2:U154),$U$2:$U$1001,0),0), INDEX($AB$1004:$AQ$1004,1,MATCH(COLUMNS($AB$1006:AK1006),$AB$1006:$AQ$1006,0)))),"Fix")))</f>
        <v>0</v>
      </c>
      <c r="L154" s="4">
        <f>IF(OR(INDEX($V$2:$V$1001,MATCH(ROWS($U$2:U154),$U$2:$U$1001,0),1)&gt;=100000,INDEX($AB$1005:$AQ$1005,1,MATCH(COLUMNS($AB$1006:AL1006),$AB$1006:$AQ$1006,0))&gt;=100000), " ",IF(INDEX($AB$2:$AQ$1001,MATCH(ROWS($U$2:U154),$U$2:$U$1001,0),MATCH(COLUMNS($AB$1006:AL1006),$AB$1006:$AQ$1006,0)), HYPERLINK("#",""), HYPERLINK(CONCATENATE("#metadata!", ADDRESS(INDEX($W$2:$W$1001,MATCH(ROWS($U$2:U154),$U$2:$U$1001,0),0), INDEX($AB$1004:$AQ$1004,1,MATCH(COLUMNS($AB$1006:AL1006),$AB$1006:$AQ$1006,0)))),"Fix")))</f>
        <v>0</v>
      </c>
      <c r="M154" s="4">
        <f>IF(OR(INDEX($V$2:$V$1001,MATCH(ROWS($U$2:U154),$U$2:$U$1001,0),1)&gt;=100000,INDEX($AB$1005:$AQ$1005,1,MATCH(COLUMNS($AB$1006:AM1006),$AB$1006:$AQ$1006,0))&gt;=100000), " ",IF(INDEX($AB$2:$AQ$1001,MATCH(ROWS($U$2:U154),$U$2:$U$1001,0),MATCH(COLUMNS($AB$1006:AM1006),$AB$1006:$AQ$1006,0)), HYPERLINK("#",""), HYPERLINK(CONCATENATE("#metadata!", ADDRESS(INDEX($W$2:$W$1001,MATCH(ROWS($U$2:U154),$U$2:$U$1001,0),0), INDEX($AB$1004:$AQ$1004,1,MATCH(COLUMNS($AB$1006:AM1006),$AB$1006:$AQ$1006,0)))),"Fix")))</f>
        <v>0</v>
      </c>
      <c r="N154" s="4">
        <f>IF(OR(INDEX($V$2:$V$1001,MATCH(ROWS($U$2:U154),$U$2:$U$1001,0),1)&gt;=100000,INDEX($AB$1005:$AQ$1005,1,MATCH(COLUMNS($AB$1006:AN1006),$AB$1006:$AQ$1006,0))&gt;=100000), " ",IF(INDEX($AB$2:$AQ$1001,MATCH(ROWS($U$2:U154),$U$2:$U$1001,0),MATCH(COLUMNS($AB$1006:AN1006),$AB$1006:$AQ$1006,0)), HYPERLINK("#",""), HYPERLINK(CONCATENATE("#metadata!", ADDRESS(INDEX($W$2:$W$1001,MATCH(ROWS($U$2:U154),$U$2:$U$1001,0),0), INDEX($AB$1004:$AQ$1004,1,MATCH(COLUMNS($AB$1006:AN1006),$AB$1006:$AQ$1006,0)))),"Fix")))</f>
        <v>0</v>
      </c>
      <c r="O154" s="4">
        <f>IF(OR(INDEX($V$2:$V$1001,MATCH(ROWS($U$2:U154),$U$2:$U$1001,0),1)&gt;=100000,INDEX($AB$1005:$AQ$1005,1,MATCH(COLUMNS($AB$1006:AO1006),$AB$1006:$AQ$1006,0))&gt;=100000), " ",IF(INDEX($AB$2:$AQ$1001,MATCH(ROWS($U$2:U154),$U$2:$U$1001,0),MATCH(COLUMNS($AB$1006:AO1006),$AB$1006:$AQ$1006,0)), HYPERLINK("#",""), HYPERLINK(CONCATENATE("#metadata!", ADDRESS(INDEX($W$2:$W$1001,MATCH(ROWS($U$2:U154),$U$2:$U$1001,0),0), INDEX($AB$1004:$AQ$1004,1,MATCH(COLUMNS($AB$1006:AO1006),$AB$1006:$AQ$1006,0)))),"Fix")))</f>
        <v>0</v>
      </c>
      <c r="P154" s="4">
        <f>IF(OR(INDEX($V$2:$V$1001,MATCH(ROWS($U$2:U154),$U$2:$U$1001,0),1)&gt;=100000,INDEX($AB$1005:$AQ$1005,1,MATCH(COLUMNS($AB$1006:AP1006),$AB$1006:$AQ$1006,0))&gt;=100000), " ",IF(INDEX($AB$2:$AQ$1001,MATCH(ROWS($U$2:U154),$U$2:$U$1001,0),MATCH(COLUMNS($AB$1006:AP1006),$AB$1006:$AQ$1006,0)), HYPERLINK("#",""), HYPERLINK(CONCATENATE("#metadata!", ADDRESS(INDEX($W$2:$W$1001,MATCH(ROWS($U$2:U154),$U$2:$U$1001,0),0), INDEX($AB$1004:$AQ$1004,1,MATCH(COLUMNS($AB$1006:AP1006),$AB$1006:$AQ$1006,0)))),"Fix")))</f>
        <v>0</v>
      </c>
      <c r="Q154" s="4">
        <f>IF(OR(INDEX($V$2:$V$1001,MATCH(ROWS($U$2:U154),$U$2:$U$1001,0),1)&gt;=100000,INDEX($AB$1005:$AQ$1005,1,MATCH(COLUMNS($AB$1006:AQ1006),$AB$1006:$AQ$1006,0))&gt;=100000), " ",IF(INDEX($AB$2:$AQ$1001,MATCH(ROWS($U$2:U154),$U$2:$U$1001,0),MATCH(COLUMNS($AB$1006:AQ1006),$AB$1006:$AQ$1006,0)), HYPERLINK("#",""), HYPERLINK(CONCATENATE("#metadata!", ADDRESS(INDEX($W$2:$W$1001,MATCH(ROWS($U$2:U154),$U$2:$U$1001,0),0), INDEX($AB$1004:$AQ$1004,1,MATCH(COLUMNS($AB$1006:AQ1006),$AB$1006:$AQ$1006,0)))),"Fix")))</f>
        <v>0</v>
      </c>
      <c r="U154">
        <v>0</v>
      </c>
      <c r="V154">
        <v>0</v>
      </c>
      <c r="W154">
        <v>0</v>
      </c>
      <c r="X154">
        <f>IF(Y154,TRUE,AND(AB154:AQ154))</f>
        <v>0</v>
      </c>
      <c r="Y154">
        <f>COUNTBLANK(metadata!B154:Q154)=COLUMNS(metadata!B154:Q154)</f>
        <v>0</v>
      </c>
      <c r="Z154">
        <v>0</v>
      </c>
      <c r="AB154">
        <f>AND(IF(metadata!B154="",FALSE,TRUE),COUNTIF(metadata!B:B, metadata!B154) = 1,NOT(ISERROR(SUMPRODUCT(SEARCH(MID(metadata!B154,ROW(INDIRECT("1:"&amp;LEN(metadata!B154))), 1),"0123456789abcdefghijklmnopqrstuvwxyzABCDEFGHIJKLMNOPQRSTUVWXYZ.")))))</f>
        <v>0</v>
      </c>
      <c r="AC154">
        <f>OR(AND(IF(metadata!C154="",FALSE,TRUE),OR(exact(metadata!C154,"missing: not collected"),exact(metadata!C154,"missing: not provided"),exact(metadata!C154,"missing: restricted access"))),AND(IF(metadata!C154="",FALSE,TRUE),AND(AND(IFERROR(INT(LEFT(metadata!C154,4))&gt;1900,FALSE),IFERROR(INT(LEFT(metadata!C154,4))&lt;=YEAR(NOW()),FALSE)), OR(MID(metadata!C154,5,1)="", AND(AND(MID(metadata!C154,5,1)="-",IFERROR(INT(MID(metadata!C154,6,1))&gt;=0,FALSE),IFERROR(INT(MID(metadata!C154,6,1))&lt;=1,FALSE),NOT(MID(metadata!C154,7,1)=""),IFERROR(INT(MID(metadata!C154,6,2))&gt;=1,FALSE),IFERROR(INT(MID(metadata!C154,6,2))&lt;=12,FALSE)), OR(MID(metadata!C154,8,1)="", AND(AND(MID(metadata!C154,8,1)="-",IFERROR(INT(MID(metadata!C154,9,1))&gt;=0,FALSE),IFERROR(INT(MID(metadata!C154,9,1))&lt;=3,FALSE),NOT(MID(metadata!C154,10,1)=""),IFERROR(INT(MID(metadata!C154,9,2))&gt;=1,FALSE),IFERROR(INT(MID(metadata!C154,9,2))&lt;=31,FALSE)), OR(MID(metadata!C154,11,1)="", AND(AND(MID(metadata!C154,11,1)=" ",IFERROR(INT(MID(metadata!C154,12,1))&gt;=0,FALSE),IFERROR(INT(MID(metadata!C154,12,1))&lt;=2,FALSE),NOT(MID(metadata!C154,13,1)=""),IFERROR(INT(MID(metadata!C154,12,2))&gt;=0,FALSE),IFERROR(INT(MID(metadata!C154,12,2))&lt;=23,FALSE)), OR(MID(metadata!C154,14,1)="", AND(AND(MID(metadata!C154,14,1)=":",IFERROR(INT(MID(metadata!C154,15,1))&gt;=0,FALSE),IFERROR(INT(MID(metadata!C154,15,1))&lt;=5,FALSE),NOT(MID(metadata!C154,16,1)=""),IFERROR(INT(MID(metadata!C154,15,2))&gt;=0,FALSE),IFERROR(INT(MID(metadata!C154,15,2))&lt;=59,FALSE)), OR(MID(metadata!C154,17,1)="", AND(AND(MID(metadata!C154,17,1)=":",IFERROR(INT(MID(metadata!C154,18,1))&gt;=0,FALSE),IFERROR(INT(MID(metadata!C154,18,1))&lt;=5,FALSE),NOT(MID(metadata!C154,19,1)=""),IFERROR(INT(MID(metadata!C154,18,2))&gt;=0,FALSE),IFERROR(INT(MID(metadata!C154,18,2))&lt;=59,FALSE)), LEN(metadata!C154)&lt;=19)))))))))))))</f>
        <v>0</v>
      </c>
      <c r="AD154">
        <f>IF(metadata!D154="",FALSE,TRUE)</f>
        <v>0</v>
      </c>
      <c r="AE154">
        <f>OR(AND(IF(metadata!E154="",FALSE,TRUE),OR(exact(metadata!E154,"missing: not collected"),exact(metadata!E154,"missing: not provided"))),AND(IF(metadata!E154="",FALSE,TRUE),OR(exact(metadata!E154,"TRUE"),exact(metadata!E154,"FALSE"))))</f>
        <v>0</v>
      </c>
      <c r="AF154">
        <f>IF(metadata!F154="",FALSE,TRUE)</f>
        <v>0</v>
      </c>
      <c r="AG154">
        <f>IF(metadata!G154="",FALSE,TRUE)</f>
        <v>0</v>
      </c>
      <c r="AH154">
        <f>IF(metadata!H154="",FALSE,TRUE)</f>
        <v>0</v>
      </c>
      <c r="AI154">
        <f>OR(AND(IF(metadata!I154="",FALSE,TRUE),OR(exact(metadata!I154,"missing: not collected"),exact(metadata!I154,"missing: not provided"),exact(metadata!I154,"missing: restricted access"))),AND(IF(metadata!I154="",FALSE,TRUE),OR(exact(metadata!I154,"air"),exact(metadata!I154,"built environment"),exact(metadata!I154,"host-associated"),exact(metadata!I154,"human-associated"),exact(metadata!I154,"human-skin"),exact(metadata!I154,"human-oral"),exact(metadata!I154,"human-gut"),exact(metadata!I154,"human-vaginal"),exact(metadata!I154,"microbial mat/biofilm"),exact(metadata!I154,"misc environment"),exact(metadata!I154,"plant-associated"),exact(metadata!I154,"sediment"),exact(metadata!I154,"soil"),exact(metadata!I154,"wastewater/sludge"),exact(metadata!I154,"water"))))</f>
        <v>0</v>
      </c>
      <c r="AJ154">
        <f>IF(metadata!J154="",FALSE,TRUE)</f>
        <v>0</v>
      </c>
      <c r="AK154">
        <f>OR(AND(IF(metadata!K154="",FALSE,TRUE),OR(exact(metadata!K154,"missing: not collected"),exact(metadata!K154,"missing: not provided"),exact(metadata!K154,"missing: restricted access"))),AND(IF(metadata!K154="",FALSE,ISNUMBER(VALUE(metadata!K154))),metadata!K154&gt;=-90.00,metadata!K154&lt;=90.00))</f>
        <v>0</v>
      </c>
      <c r="AL154">
        <f>OR(AND(IF(metadata!L154="",FALSE,TRUE),OR(exact(metadata!L154,"missing: not collected"),exact(metadata!L154,"missing: not provided"),exact(metadata!L154,"missing: restricted access"))),AND(IF(metadata!L154="",FALSE,ISNUMBER(VALUE(metadata!L154))),metadata!L154&gt;=-180.00,metadata!L154&lt;=180.00))</f>
        <v>0</v>
      </c>
      <c r="AM154">
        <f>IF(metadata!M154="",FALSE,TRUE)</f>
        <v>0</v>
      </c>
      <c r="AN154">
        <f>OR(AND(IF(metadata!N154="",FALSE,TRUE),OR(exact(metadata!N154,"missing: not collected"),exact(metadata!N154,"missing: not provided"),exact(metadata!N154,"missing: restricted access"))),AND(IF(metadata!N154="",FALSE,TRUE),OR(exact(metadata!N154,"TRUE"),exact(metadata!N154,"FALSE"))))</f>
        <v>0</v>
      </c>
      <c r="AO154">
        <f>IF(metadata!O154="",FALSE,TRUE)</f>
        <v>0</v>
      </c>
      <c r="AP154">
        <f>OR(AND(IF(metadata!P154="",FALSE,TRUE),OR(exact(metadata!P154,"missing: not collected"),exact(metadata!P154,"missing: not provided"))),AND(IF(metadata!P154="",FALSE,IF(ISERROR(INT(metadata!P154)),FALSE,INT(metadata!P154)=metadata!P154)),metadata!P154&gt;0))</f>
        <v>0</v>
      </c>
      <c r="AQ154">
        <f>IF(metadata!Q154="",FALSE,TRUE)</f>
        <v>0</v>
      </c>
    </row>
    <row r="155" spans="1:43">
      <c r="A155" s="5">
        <f>IF(B155=" "," ",HYPERLINK(CONCATENATE("#metadata!",ADDRESS(INDEX($W$2:$W$1001,MATCH(ROWS($U$2:U155),$U$2:$U$1001,0),0),1)),INDEX($Z$2:$Z$1001,MATCH(ROWS($U$2:U155),$U$2:$U$1001,0),0)))</f>
        <v>0</v>
      </c>
      <c r="B155" s="4">
        <f>IF(OR(INDEX($V$2:$V$1001,MATCH(ROWS($U$2:U155),$U$2:$U$1001,0),1)&gt;=100000,INDEX($AB$1005:$AQ$1005,1,MATCH(COLUMNS($AB$1006:AB1006),$AB$1006:$AQ$1006,0))&gt;=100000), " ",IF(INDEX($AB$2:$AQ$1001,MATCH(ROWS($U$2:U155),$U$2:$U$1001,0),MATCH(COLUMNS($AB$1006:AB1006),$AB$1006:$AQ$1006,0)), HYPERLINK("#",""), HYPERLINK(CONCATENATE("#metadata!", ADDRESS(INDEX($W$2:$W$1001,MATCH(ROWS($U$2:U155),$U$2:$U$1001,0),0), INDEX($AB$1004:$AQ$1004,1,MATCH(COLUMNS($AB$1006:AB1006),$AB$1006:$AQ$1006,0)))),"Fix")))</f>
        <v>0</v>
      </c>
      <c r="C155" s="4">
        <f>IF(OR(INDEX($V$2:$V$1001,MATCH(ROWS($U$2:U155),$U$2:$U$1001,0),1)&gt;=100000,INDEX($AB$1005:$AQ$1005,1,MATCH(COLUMNS($AB$1006:AC1006),$AB$1006:$AQ$1006,0))&gt;=100000), " ",IF(INDEX($AB$2:$AQ$1001,MATCH(ROWS($U$2:U155),$U$2:$U$1001,0),MATCH(COLUMNS($AB$1006:AC1006),$AB$1006:$AQ$1006,0)), HYPERLINK("#",""), HYPERLINK(CONCATENATE("#metadata!", ADDRESS(INDEX($W$2:$W$1001,MATCH(ROWS($U$2:U155),$U$2:$U$1001,0),0), INDEX($AB$1004:$AQ$1004,1,MATCH(COLUMNS($AB$1006:AC1006),$AB$1006:$AQ$1006,0)))),"Fix")))</f>
        <v>0</v>
      </c>
      <c r="D155" s="4">
        <f>IF(OR(INDEX($V$2:$V$1001,MATCH(ROWS($U$2:U155),$U$2:$U$1001,0),1)&gt;=100000,INDEX($AB$1005:$AQ$1005,1,MATCH(COLUMNS($AB$1006:AD1006),$AB$1006:$AQ$1006,0))&gt;=100000), " ",IF(INDEX($AB$2:$AQ$1001,MATCH(ROWS($U$2:U155),$U$2:$U$1001,0),MATCH(COLUMNS($AB$1006:AD1006),$AB$1006:$AQ$1006,0)), HYPERLINK("#",""), HYPERLINK(CONCATENATE("#metadata!", ADDRESS(INDEX($W$2:$W$1001,MATCH(ROWS($U$2:U155),$U$2:$U$1001,0),0), INDEX($AB$1004:$AQ$1004,1,MATCH(COLUMNS($AB$1006:AD1006),$AB$1006:$AQ$1006,0)))),"Fix")))</f>
        <v>0</v>
      </c>
      <c r="E155" s="4">
        <f>IF(OR(INDEX($V$2:$V$1001,MATCH(ROWS($U$2:U155),$U$2:$U$1001,0),1)&gt;=100000,INDEX($AB$1005:$AQ$1005,1,MATCH(COLUMNS($AB$1006:AE1006),$AB$1006:$AQ$1006,0))&gt;=100000), " ",IF(INDEX($AB$2:$AQ$1001,MATCH(ROWS($U$2:U155),$U$2:$U$1001,0),MATCH(COLUMNS($AB$1006:AE1006),$AB$1006:$AQ$1006,0)), HYPERLINK("#",""), HYPERLINK(CONCATENATE("#metadata!", ADDRESS(INDEX($W$2:$W$1001,MATCH(ROWS($U$2:U155),$U$2:$U$1001,0),0), INDEX($AB$1004:$AQ$1004,1,MATCH(COLUMNS($AB$1006:AE1006),$AB$1006:$AQ$1006,0)))),"Fix")))</f>
        <v>0</v>
      </c>
      <c r="F155" s="4">
        <f>IF(OR(INDEX($V$2:$V$1001,MATCH(ROWS($U$2:U155),$U$2:$U$1001,0),1)&gt;=100000,INDEX($AB$1005:$AQ$1005,1,MATCH(COLUMNS($AB$1006:AF1006),$AB$1006:$AQ$1006,0))&gt;=100000), " ",IF(INDEX($AB$2:$AQ$1001,MATCH(ROWS($U$2:U155),$U$2:$U$1001,0),MATCH(COLUMNS($AB$1006:AF1006),$AB$1006:$AQ$1006,0)), HYPERLINK("#",""), HYPERLINK(CONCATENATE("#metadata!", ADDRESS(INDEX($W$2:$W$1001,MATCH(ROWS($U$2:U155),$U$2:$U$1001,0),0), INDEX($AB$1004:$AQ$1004,1,MATCH(COLUMNS($AB$1006:AF1006),$AB$1006:$AQ$1006,0)))),"Fix")))</f>
        <v>0</v>
      </c>
      <c r="G155" s="4">
        <f>IF(OR(INDEX($V$2:$V$1001,MATCH(ROWS($U$2:U155),$U$2:$U$1001,0),1)&gt;=100000,INDEX($AB$1005:$AQ$1005,1,MATCH(COLUMNS($AB$1006:AG1006),$AB$1006:$AQ$1006,0))&gt;=100000), " ",IF(INDEX($AB$2:$AQ$1001,MATCH(ROWS($U$2:U155),$U$2:$U$1001,0),MATCH(COLUMNS($AB$1006:AG1006),$AB$1006:$AQ$1006,0)), HYPERLINK("#",""), HYPERLINK(CONCATENATE("#metadata!", ADDRESS(INDEX($W$2:$W$1001,MATCH(ROWS($U$2:U155),$U$2:$U$1001,0),0), INDEX($AB$1004:$AQ$1004,1,MATCH(COLUMNS($AB$1006:AG1006),$AB$1006:$AQ$1006,0)))),"Fix")))</f>
        <v>0</v>
      </c>
      <c r="H155" s="4">
        <f>IF(OR(INDEX($V$2:$V$1001,MATCH(ROWS($U$2:U155),$U$2:$U$1001,0),1)&gt;=100000,INDEX($AB$1005:$AQ$1005,1,MATCH(COLUMNS($AB$1006:AH1006),$AB$1006:$AQ$1006,0))&gt;=100000), " ",IF(INDEX($AB$2:$AQ$1001,MATCH(ROWS($U$2:U155),$U$2:$U$1001,0),MATCH(COLUMNS($AB$1006:AH1006),$AB$1006:$AQ$1006,0)), HYPERLINK("#",""), HYPERLINK(CONCATENATE("#metadata!", ADDRESS(INDEX($W$2:$W$1001,MATCH(ROWS($U$2:U155),$U$2:$U$1001,0),0), INDEX($AB$1004:$AQ$1004,1,MATCH(COLUMNS($AB$1006:AH1006),$AB$1006:$AQ$1006,0)))),"Fix")))</f>
        <v>0</v>
      </c>
      <c r="I155" s="4">
        <f>IF(OR(INDEX($V$2:$V$1001,MATCH(ROWS($U$2:U155),$U$2:$U$1001,0),1)&gt;=100000,INDEX($AB$1005:$AQ$1005,1,MATCH(COLUMNS($AB$1006:AI1006),$AB$1006:$AQ$1006,0))&gt;=100000), " ",IF(INDEX($AB$2:$AQ$1001,MATCH(ROWS($U$2:U155),$U$2:$U$1001,0),MATCH(COLUMNS($AB$1006:AI1006),$AB$1006:$AQ$1006,0)), HYPERLINK("#",""), HYPERLINK(CONCATENATE("#metadata!", ADDRESS(INDEX($W$2:$W$1001,MATCH(ROWS($U$2:U155),$U$2:$U$1001,0),0), INDEX($AB$1004:$AQ$1004,1,MATCH(COLUMNS($AB$1006:AI1006),$AB$1006:$AQ$1006,0)))),"Fix")))</f>
        <v>0</v>
      </c>
      <c r="J155" s="4">
        <f>IF(OR(INDEX($V$2:$V$1001,MATCH(ROWS($U$2:U155),$U$2:$U$1001,0),1)&gt;=100000,INDEX($AB$1005:$AQ$1005,1,MATCH(COLUMNS($AB$1006:AJ1006),$AB$1006:$AQ$1006,0))&gt;=100000), " ",IF(INDEX($AB$2:$AQ$1001,MATCH(ROWS($U$2:U155),$U$2:$U$1001,0),MATCH(COLUMNS($AB$1006:AJ1006),$AB$1006:$AQ$1006,0)), HYPERLINK("#",""), HYPERLINK(CONCATENATE("#metadata!", ADDRESS(INDEX($W$2:$W$1001,MATCH(ROWS($U$2:U155),$U$2:$U$1001,0),0), INDEX($AB$1004:$AQ$1004,1,MATCH(COLUMNS($AB$1006:AJ1006),$AB$1006:$AQ$1006,0)))),"Fix")))</f>
        <v>0</v>
      </c>
      <c r="K155" s="4">
        <f>IF(OR(INDEX($V$2:$V$1001,MATCH(ROWS($U$2:U155),$U$2:$U$1001,0),1)&gt;=100000,INDEX($AB$1005:$AQ$1005,1,MATCH(COLUMNS($AB$1006:AK1006),$AB$1006:$AQ$1006,0))&gt;=100000), " ",IF(INDEX($AB$2:$AQ$1001,MATCH(ROWS($U$2:U155),$U$2:$U$1001,0),MATCH(COLUMNS($AB$1006:AK1006),$AB$1006:$AQ$1006,0)), HYPERLINK("#",""), HYPERLINK(CONCATENATE("#metadata!", ADDRESS(INDEX($W$2:$W$1001,MATCH(ROWS($U$2:U155),$U$2:$U$1001,0),0), INDEX($AB$1004:$AQ$1004,1,MATCH(COLUMNS($AB$1006:AK1006),$AB$1006:$AQ$1006,0)))),"Fix")))</f>
        <v>0</v>
      </c>
      <c r="L155" s="4">
        <f>IF(OR(INDEX($V$2:$V$1001,MATCH(ROWS($U$2:U155),$U$2:$U$1001,0),1)&gt;=100000,INDEX($AB$1005:$AQ$1005,1,MATCH(COLUMNS($AB$1006:AL1006),$AB$1006:$AQ$1006,0))&gt;=100000), " ",IF(INDEX($AB$2:$AQ$1001,MATCH(ROWS($U$2:U155),$U$2:$U$1001,0),MATCH(COLUMNS($AB$1006:AL1006),$AB$1006:$AQ$1006,0)), HYPERLINK("#",""), HYPERLINK(CONCATENATE("#metadata!", ADDRESS(INDEX($W$2:$W$1001,MATCH(ROWS($U$2:U155),$U$2:$U$1001,0),0), INDEX($AB$1004:$AQ$1004,1,MATCH(COLUMNS($AB$1006:AL1006),$AB$1006:$AQ$1006,0)))),"Fix")))</f>
        <v>0</v>
      </c>
      <c r="M155" s="4">
        <f>IF(OR(INDEX($V$2:$V$1001,MATCH(ROWS($U$2:U155),$U$2:$U$1001,0),1)&gt;=100000,INDEX($AB$1005:$AQ$1005,1,MATCH(COLUMNS($AB$1006:AM1006),$AB$1006:$AQ$1006,0))&gt;=100000), " ",IF(INDEX($AB$2:$AQ$1001,MATCH(ROWS($U$2:U155),$U$2:$U$1001,0),MATCH(COLUMNS($AB$1006:AM1006),$AB$1006:$AQ$1006,0)), HYPERLINK("#",""), HYPERLINK(CONCATENATE("#metadata!", ADDRESS(INDEX($W$2:$W$1001,MATCH(ROWS($U$2:U155),$U$2:$U$1001,0),0), INDEX($AB$1004:$AQ$1004,1,MATCH(COLUMNS($AB$1006:AM1006),$AB$1006:$AQ$1006,0)))),"Fix")))</f>
        <v>0</v>
      </c>
      <c r="N155" s="4">
        <f>IF(OR(INDEX($V$2:$V$1001,MATCH(ROWS($U$2:U155),$U$2:$U$1001,0),1)&gt;=100000,INDEX($AB$1005:$AQ$1005,1,MATCH(COLUMNS($AB$1006:AN1006),$AB$1006:$AQ$1006,0))&gt;=100000), " ",IF(INDEX($AB$2:$AQ$1001,MATCH(ROWS($U$2:U155),$U$2:$U$1001,0),MATCH(COLUMNS($AB$1006:AN1006),$AB$1006:$AQ$1006,0)), HYPERLINK("#",""), HYPERLINK(CONCATENATE("#metadata!", ADDRESS(INDEX($W$2:$W$1001,MATCH(ROWS($U$2:U155),$U$2:$U$1001,0),0), INDEX($AB$1004:$AQ$1004,1,MATCH(COLUMNS($AB$1006:AN1006),$AB$1006:$AQ$1006,0)))),"Fix")))</f>
        <v>0</v>
      </c>
      <c r="O155" s="4">
        <f>IF(OR(INDEX($V$2:$V$1001,MATCH(ROWS($U$2:U155),$U$2:$U$1001,0),1)&gt;=100000,INDEX($AB$1005:$AQ$1005,1,MATCH(COLUMNS($AB$1006:AO1006),$AB$1006:$AQ$1006,0))&gt;=100000), " ",IF(INDEX($AB$2:$AQ$1001,MATCH(ROWS($U$2:U155),$U$2:$U$1001,0),MATCH(COLUMNS($AB$1006:AO1006),$AB$1006:$AQ$1006,0)), HYPERLINK("#",""), HYPERLINK(CONCATENATE("#metadata!", ADDRESS(INDEX($W$2:$W$1001,MATCH(ROWS($U$2:U155),$U$2:$U$1001,0),0), INDEX($AB$1004:$AQ$1004,1,MATCH(COLUMNS($AB$1006:AO1006),$AB$1006:$AQ$1006,0)))),"Fix")))</f>
        <v>0</v>
      </c>
      <c r="P155" s="4">
        <f>IF(OR(INDEX($V$2:$V$1001,MATCH(ROWS($U$2:U155),$U$2:$U$1001,0),1)&gt;=100000,INDEX($AB$1005:$AQ$1005,1,MATCH(COLUMNS($AB$1006:AP1006),$AB$1006:$AQ$1006,0))&gt;=100000), " ",IF(INDEX($AB$2:$AQ$1001,MATCH(ROWS($U$2:U155),$U$2:$U$1001,0),MATCH(COLUMNS($AB$1006:AP1006),$AB$1006:$AQ$1006,0)), HYPERLINK("#",""), HYPERLINK(CONCATENATE("#metadata!", ADDRESS(INDEX($W$2:$W$1001,MATCH(ROWS($U$2:U155),$U$2:$U$1001,0),0), INDEX($AB$1004:$AQ$1004,1,MATCH(COLUMNS($AB$1006:AP1006),$AB$1006:$AQ$1006,0)))),"Fix")))</f>
        <v>0</v>
      </c>
      <c r="Q155" s="4">
        <f>IF(OR(INDEX($V$2:$V$1001,MATCH(ROWS($U$2:U155),$U$2:$U$1001,0),1)&gt;=100000,INDEX($AB$1005:$AQ$1005,1,MATCH(COLUMNS($AB$1006:AQ1006),$AB$1006:$AQ$1006,0))&gt;=100000), " ",IF(INDEX($AB$2:$AQ$1001,MATCH(ROWS($U$2:U155),$U$2:$U$1001,0),MATCH(COLUMNS($AB$1006:AQ1006),$AB$1006:$AQ$1006,0)), HYPERLINK("#",""), HYPERLINK(CONCATENATE("#metadata!", ADDRESS(INDEX($W$2:$W$1001,MATCH(ROWS($U$2:U155),$U$2:$U$1001,0),0), INDEX($AB$1004:$AQ$1004,1,MATCH(COLUMNS($AB$1006:AQ1006),$AB$1006:$AQ$1006,0)))),"Fix")))</f>
        <v>0</v>
      </c>
      <c r="U155">
        <v>0</v>
      </c>
      <c r="V155">
        <v>0</v>
      </c>
      <c r="W155">
        <v>0</v>
      </c>
      <c r="X155">
        <f>IF(Y155,TRUE,AND(AB155:AQ155))</f>
        <v>0</v>
      </c>
      <c r="Y155">
        <f>COUNTBLANK(metadata!B155:Q155)=COLUMNS(metadata!B155:Q155)</f>
        <v>0</v>
      </c>
      <c r="Z155">
        <v>0</v>
      </c>
      <c r="AB155">
        <f>AND(IF(metadata!B155="",FALSE,TRUE),COUNTIF(metadata!B:B, metadata!B155) = 1,NOT(ISERROR(SUMPRODUCT(SEARCH(MID(metadata!B155,ROW(INDIRECT("1:"&amp;LEN(metadata!B155))), 1),"0123456789abcdefghijklmnopqrstuvwxyzABCDEFGHIJKLMNOPQRSTUVWXYZ.")))))</f>
        <v>0</v>
      </c>
      <c r="AC155">
        <f>OR(AND(IF(metadata!C155="",FALSE,TRUE),OR(exact(metadata!C155,"missing: not collected"),exact(metadata!C155,"missing: not provided"),exact(metadata!C155,"missing: restricted access"))),AND(IF(metadata!C155="",FALSE,TRUE),AND(AND(IFERROR(INT(LEFT(metadata!C155,4))&gt;1900,FALSE),IFERROR(INT(LEFT(metadata!C155,4))&lt;=YEAR(NOW()),FALSE)), OR(MID(metadata!C155,5,1)="", AND(AND(MID(metadata!C155,5,1)="-",IFERROR(INT(MID(metadata!C155,6,1))&gt;=0,FALSE),IFERROR(INT(MID(metadata!C155,6,1))&lt;=1,FALSE),NOT(MID(metadata!C155,7,1)=""),IFERROR(INT(MID(metadata!C155,6,2))&gt;=1,FALSE),IFERROR(INT(MID(metadata!C155,6,2))&lt;=12,FALSE)), OR(MID(metadata!C155,8,1)="", AND(AND(MID(metadata!C155,8,1)="-",IFERROR(INT(MID(metadata!C155,9,1))&gt;=0,FALSE),IFERROR(INT(MID(metadata!C155,9,1))&lt;=3,FALSE),NOT(MID(metadata!C155,10,1)=""),IFERROR(INT(MID(metadata!C155,9,2))&gt;=1,FALSE),IFERROR(INT(MID(metadata!C155,9,2))&lt;=31,FALSE)), OR(MID(metadata!C155,11,1)="", AND(AND(MID(metadata!C155,11,1)=" ",IFERROR(INT(MID(metadata!C155,12,1))&gt;=0,FALSE),IFERROR(INT(MID(metadata!C155,12,1))&lt;=2,FALSE),NOT(MID(metadata!C155,13,1)=""),IFERROR(INT(MID(metadata!C155,12,2))&gt;=0,FALSE),IFERROR(INT(MID(metadata!C155,12,2))&lt;=23,FALSE)), OR(MID(metadata!C155,14,1)="", AND(AND(MID(metadata!C155,14,1)=":",IFERROR(INT(MID(metadata!C155,15,1))&gt;=0,FALSE),IFERROR(INT(MID(metadata!C155,15,1))&lt;=5,FALSE),NOT(MID(metadata!C155,16,1)=""),IFERROR(INT(MID(metadata!C155,15,2))&gt;=0,FALSE),IFERROR(INT(MID(metadata!C155,15,2))&lt;=59,FALSE)), OR(MID(metadata!C155,17,1)="", AND(AND(MID(metadata!C155,17,1)=":",IFERROR(INT(MID(metadata!C155,18,1))&gt;=0,FALSE),IFERROR(INT(MID(metadata!C155,18,1))&lt;=5,FALSE),NOT(MID(metadata!C155,19,1)=""),IFERROR(INT(MID(metadata!C155,18,2))&gt;=0,FALSE),IFERROR(INT(MID(metadata!C155,18,2))&lt;=59,FALSE)), LEN(metadata!C155)&lt;=19)))))))))))))</f>
        <v>0</v>
      </c>
      <c r="AD155">
        <f>IF(metadata!D155="",FALSE,TRUE)</f>
        <v>0</v>
      </c>
      <c r="AE155">
        <f>OR(AND(IF(metadata!E155="",FALSE,TRUE),OR(exact(metadata!E155,"missing: not collected"),exact(metadata!E155,"missing: not provided"))),AND(IF(metadata!E155="",FALSE,TRUE),OR(exact(metadata!E155,"TRUE"),exact(metadata!E155,"FALSE"))))</f>
        <v>0</v>
      </c>
      <c r="AF155">
        <f>IF(metadata!F155="",FALSE,TRUE)</f>
        <v>0</v>
      </c>
      <c r="AG155">
        <f>IF(metadata!G155="",FALSE,TRUE)</f>
        <v>0</v>
      </c>
      <c r="AH155">
        <f>IF(metadata!H155="",FALSE,TRUE)</f>
        <v>0</v>
      </c>
      <c r="AI155">
        <f>OR(AND(IF(metadata!I155="",FALSE,TRUE),OR(exact(metadata!I155,"missing: not collected"),exact(metadata!I155,"missing: not provided"),exact(metadata!I155,"missing: restricted access"))),AND(IF(metadata!I155="",FALSE,TRUE),OR(exact(metadata!I155,"air"),exact(metadata!I155,"built environment"),exact(metadata!I155,"host-associated"),exact(metadata!I155,"human-associated"),exact(metadata!I155,"human-skin"),exact(metadata!I155,"human-oral"),exact(metadata!I155,"human-gut"),exact(metadata!I155,"human-vaginal"),exact(metadata!I155,"microbial mat/biofilm"),exact(metadata!I155,"misc environment"),exact(metadata!I155,"plant-associated"),exact(metadata!I155,"sediment"),exact(metadata!I155,"soil"),exact(metadata!I155,"wastewater/sludge"),exact(metadata!I155,"water"))))</f>
        <v>0</v>
      </c>
      <c r="AJ155">
        <f>IF(metadata!J155="",FALSE,TRUE)</f>
        <v>0</v>
      </c>
      <c r="AK155">
        <f>OR(AND(IF(metadata!K155="",FALSE,TRUE),OR(exact(metadata!K155,"missing: not collected"),exact(metadata!K155,"missing: not provided"),exact(metadata!K155,"missing: restricted access"))),AND(IF(metadata!K155="",FALSE,ISNUMBER(VALUE(metadata!K155))),metadata!K155&gt;=-90.00,metadata!K155&lt;=90.00))</f>
        <v>0</v>
      </c>
      <c r="AL155">
        <f>OR(AND(IF(metadata!L155="",FALSE,TRUE),OR(exact(metadata!L155,"missing: not collected"),exact(metadata!L155,"missing: not provided"),exact(metadata!L155,"missing: restricted access"))),AND(IF(metadata!L155="",FALSE,ISNUMBER(VALUE(metadata!L155))),metadata!L155&gt;=-180.00,metadata!L155&lt;=180.00))</f>
        <v>0</v>
      </c>
      <c r="AM155">
        <f>IF(metadata!M155="",FALSE,TRUE)</f>
        <v>0</v>
      </c>
      <c r="AN155">
        <f>OR(AND(IF(metadata!N155="",FALSE,TRUE),OR(exact(metadata!N155,"missing: not collected"),exact(metadata!N155,"missing: not provided"),exact(metadata!N155,"missing: restricted access"))),AND(IF(metadata!N155="",FALSE,TRUE),OR(exact(metadata!N155,"TRUE"),exact(metadata!N155,"FALSE"))))</f>
        <v>0</v>
      </c>
      <c r="AO155">
        <f>IF(metadata!O155="",FALSE,TRUE)</f>
        <v>0</v>
      </c>
      <c r="AP155">
        <f>OR(AND(IF(metadata!P155="",FALSE,TRUE),OR(exact(metadata!P155,"missing: not collected"),exact(metadata!P155,"missing: not provided"))),AND(IF(metadata!P155="",FALSE,IF(ISERROR(INT(metadata!P155)),FALSE,INT(metadata!P155)=metadata!P155)),metadata!P155&gt;0))</f>
        <v>0</v>
      </c>
      <c r="AQ155">
        <f>IF(metadata!Q155="",FALSE,TRUE)</f>
        <v>0</v>
      </c>
    </row>
    <row r="156" spans="1:43">
      <c r="A156" s="5">
        <f>IF(B156=" "," ",HYPERLINK(CONCATENATE("#metadata!",ADDRESS(INDEX($W$2:$W$1001,MATCH(ROWS($U$2:U156),$U$2:$U$1001,0),0),1)),INDEX($Z$2:$Z$1001,MATCH(ROWS($U$2:U156),$U$2:$U$1001,0),0)))</f>
        <v>0</v>
      </c>
      <c r="B156" s="4">
        <f>IF(OR(INDEX($V$2:$V$1001,MATCH(ROWS($U$2:U156),$U$2:$U$1001,0),1)&gt;=100000,INDEX($AB$1005:$AQ$1005,1,MATCH(COLUMNS($AB$1006:AB1006),$AB$1006:$AQ$1006,0))&gt;=100000), " ",IF(INDEX($AB$2:$AQ$1001,MATCH(ROWS($U$2:U156),$U$2:$U$1001,0),MATCH(COLUMNS($AB$1006:AB1006),$AB$1006:$AQ$1006,0)), HYPERLINK("#",""), HYPERLINK(CONCATENATE("#metadata!", ADDRESS(INDEX($W$2:$W$1001,MATCH(ROWS($U$2:U156),$U$2:$U$1001,0),0), INDEX($AB$1004:$AQ$1004,1,MATCH(COLUMNS($AB$1006:AB1006),$AB$1006:$AQ$1006,0)))),"Fix")))</f>
        <v>0</v>
      </c>
      <c r="C156" s="4">
        <f>IF(OR(INDEX($V$2:$V$1001,MATCH(ROWS($U$2:U156),$U$2:$U$1001,0),1)&gt;=100000,INDEX($AB$1005:$AQ$1005,1,MATCH(COLUMNS($AB$1006:AC1006),$AB$1006:$AQ$1006,0))&gt;=100000), " ",IF(INDEX($AB$2:$AQ$1001,MATCH(ROWS($U$2:U156),$U$2:$U$1001,0),MATCH(COLUMNS($AB$1006:AC1006),$AB$1006:$AQ$1006,0)), HYPERLINK("#",""), HYPERLINK(CONCATENATE("#metadata!", ADDRESS(INDEX($W$2:$W$1001,MATCH(ROWS($U$2:U156),$U$2:$U$1001,0),0), INDEX($AB$1004:$AQ$1004,1,MATCH(COLUMNS($AB$1006:AC1006),$AB$1006:$AQ$1006,0)))),"Fix")))</f>
        <v>0</v>
      </c>
      <c r="D156" s="4">
        <f>IF(OR(INDEX($V$2:$V$1001,MATCH(ROWS($U$2:U156),$U$2:$U$1001,0),1)&gt;=100000,INDEX($AB$1005:$AQ$1005,1,MATCH(COLUMNS($AB$1006:AD1006),$AB$1006:$AQ$1006,0))&gt;=100000), " ",IF(INDEX($AB$2:$AQ$1001,MATCH(ROWS($U$2:U156),$U$2:$U$1001,0),MATCH(COLUMNS($AB$1006:AD1006),$AB$1006:$AQ$1006,0)), HYPERLINK("#",""), HYPERLINK(CONCATENATE("#metadata!", ADDRESS(INDEX($W$2:$W$1001,MATCH(ROWS($U$2:U156),$U$2:$U$1001,0),0), INDEX($AB$1004:$AQ$1004,1,MATCH(COLUMNS($AB$1006:AD1006),$AB$1006:$AQ$1006,0)))),"Fix")))</f>
        <v>0</v>
      </c>
      <c r="E156" s="4">
        <f>IF(OR(INDEX($V$2:$V$1001,MATCH(ROWS($U$2:U156),$U$2:$U$1001,0),1)&gt;=100000,INDEX($AB$1005:$AQ$1005,1,MATCH(COLUMNS($AB$1006:AE1006),$AB$1006:$AQ$1006,0))&gt;=100000), " ",IF(INDEX($AB$2:$AQ$1001,MATCH(ROWS($U$2:U156),$U$2:$U$1001,0),MATCH(COLUMNS($AB$1006:AE1006),$AB$1006:$AQ$1006,0)), HYPERLINK("#",""), HYPERLINK(CONCATENATE("#metadata!", ADDRESS(INDEX($W$2:$W$1001,MATCH(ROWS($U$2:U156),$U$2:$U$1001,0),0), INDEX($AB$1004:$AQ$1004,1,MATCH(COLUMNS($AB$1006:AE1006),$AB$1006:$AQ$1006,0)))),"Fix")))</f>
        <v>0</v>
      </c>
      <c r="F156" s="4">
        <f>IF(OR(INDEX($V$2:$V$1001,MATCH(ROWS($U$2:U156),$U$2:$U$1001,0),1)&gt;=100000,INDEX($AB$1005:$AQ$1005,1,MATCH(COLUMNS($AB$1006:AF1006),$AB$1006:$AQ$1006,0))&gt;=100000), " ",IF(INDEX($AB$2:$AQ$1001,MATCH(ROWS($U$2:U156),$U$2:$U$1001,0),MATCH(COLUMNS($AB$1006:AF1006),$AB$1006:$AQ$1006,0)), HYPERLINK("#",""), HYPERLINK(CONCATENATE("#metadata!", ADDRESS(INDEX($W$2:$W$1001,MATCH(ROWS($U$2:U156),$U$2:$U$1001,0),0), INDEX($AB$1004:$AQ$1004,1,MATCH(COLUMNS($AB$1006:AF1006),$AB$1006:$AQ$1006,0)))),"Fix")))</f>
        <v>0</v>
      </c>
      <c r="G156" s="4">
        <f>IF(OR(INDEX($V$2:$V$1001,MATCH(ROWS($U$2:U156),$U$2:$U$1001,0),1)&gt;=100000,INDEX($AB$1005:$AQ$1005,1,MATCH(COLUMNS($AB$1006:AG1006),$AB$1006:$AQ$1006,0))&gt;=100000), " ",IF(INDEX($AB$2:$AQ$1001,MATCH(ROWS($U$2:U156),$U$2:$U$1001,0),MATCH(COLUMNS($AB$1006:AG1006),$AB$1006:$AQ$1006,0)), HYPERLINK("#",""), HYPERLINK(CONCATENATE("#metadata!", ADDRESS(INDEX($W$2:$W$1001,MATCH(ROWS($U$2:U156),$U$2:$U$1001,0),0), INDEX($AB$1004:$AQ$1004,1,MATCH(COLUMNS($AB$1006:AG1006),$AB$1006:$AQ$1006,0)))),"Fix")))</f>
        <v>0</v>
      </c>
      <c r="H156" s="4">
        <f>IF(OR(INDEX($V$2:$V$1001,MATCH(ROWS($U$2:U156),$U$2:$U$1001,0),1)&gt;=100000,INDEX($AB$1005:$AQ$1005,1,MATCH(COLUMNS($AB$1006:AH1006),$AB$1006:$AQ$1006,0))&gt;=100000), " ",IF(INDEX($AB$2:$AQ$1001,MATCH(ROWS($U$2:U156),$U$2:$U$1001,0),MATCH(COLUMNS($AB$1006:AH1006),$AB$1006:$AQ$1006,0)), HYPERLINK("#",""), HYPERLINK(CONCATENATE("#metadata!", ADDRESS(INDEX($W$2:$W$1001,MATCH(ROWS($U$2:U156),$U$2:$U$1001,0),0), INDEX($AB$1004:$AQ$1004,1,MATCH(COLUMNS($AB$1006:AH1006),$AB$1006:$AQ$1006,0)))),"Fix")))</f>
        <v>0</v>
      </c>
      <c r="I156" s="4">
        <f>IF(OR(INDEX($V$2:$V$1001,MATCH(ROWS($U$2:U156),$U$2:$U$1001,0),1)&gt;=100000,INDEX($AB$1005:$AQ$1005,1,MATCH(COLUMNS($AB$1006:AI1006),$AB$1006:$AQ$1006,0))&gt;=100000), " ",IF(INDEX($AB$2:$AQ$1001,MATCH(ROWS($U$2:U156),$U$2:$U$1001,0),MATCH(COLUMNS($AB$1006:AI1006),$AB$1006:$AQ$1006,0)), HYPERLINK("#",""), HYPERLINK(CONCATENATE("#metadata!", ADDRESS(INDEX($W$2:$W$1001,MATCH(ROWS($U$2:U156),$U$2:$U$1001,0),0), INDEX($AB$1004:$AQ$1004,1,MATCH(COLUMNS($AB$1006:AI1006),$AB$1006:$AQ$1006,0)))),"Fix")))</f>
        <v>0</v>
      </c>
      <c r="J156" s="4">
        <f>IF(OR(INDEX($V$2:$V$1001,MATCH(ROWS($U$2:U156),$U$2:$U$1001,0),1)&gt;=100000,INDEX($AB$1005:$AQ$1005,1,MATCH(COLUMNS($AB$1006:AJ1006),$AB$1006:$AQ$1006,0))&gt;=100000), " ",IF(INDEX($AB$2:$AQ$1001,MATCH(ROWS($U$2:U156),$U$2:$U$1001,0),MATCH(COLUMNS($AB$1006:AJ1006),$AB$1006:$AQ$1006,0)), HYPERLINK("#",""), HYPERLINK(CONCATENATE("#metadata!", ADDRESS(INDEX($W$2:$W$1001,MATCH(ROWS($U$2:U156),$U$2:$U$1001,0),0), INDEX($AB$1004:$AQ$1004,1,MATCH(COLUMNS($AB$1006:AJ1006),$AB$1006:$AQ$1006,0)))),"Fix")))</f>
        <v>0</v>
      </c>
      <c r="K156" s="4">
        <f>IF(OR(INDEX($V$2:$V$1001,MATCH(ROWS($U$2:U156),$U$2:$U$1001,0),1)&gt;=100000,INDEX($AB$1005:$AQ$1005,1,MATCH(COLUMNS($AB$1006:AK1006),$AB$1006:$AQ$1006,0))&gt;=100000), " ",IF(INDEX($AB$2:$AQ$1001,MATCH(ROWS($U$2:U156),$U$2:$U$1001,0),MATCH(COLUMNS($AB$1006:AK1006),$AB$1006:$AQ$1006,0)), HYPERLINK("#",""), HYPERLINK(CONCATENATE("#metadata!", ADDRESS(INDEX($W$2:$W$1001,MATCH(ROWS($U$2:U156),$U$2:$U$1001,0),0), INDEX($AB$1004:$AQ$1004,1,MATCH(COLUMNS($AB$1006:AK1006),$AB$1006:$AQ$1006,0)))),"Fix")))</f>
        <v>0</v>
      </c>
      <c r="L156" s="4">
        <f>IF(OR(INDEX($V$2:$V$1001,MATCH(ROWS($U$2:U156),$U$2:$U$1001,0),1)&gt;=100000,INDEX($AB$1005:$AQ$1005,1,MATCH(COLUMNS($AB$1006:AL1006),$AB$1006:$AQ$1006,0))&gt;=100000), " ",IF(INDEX($AB$2:$AQ$1001,MATCH(ROWS($U$2:U156),$U$2:$U$1001,0),MATCH(COLUMNS($AB$1006:AL1006),$AB$1006:$AQ$1006,0)), HYPERLINK("#",""), HYPERLINK(CONCATENATE("#metadata!", ADDRESS(INDEX($W$2:$W$1001,MATCH(ROWS($U$2:U156),$U$2:$U$1001,0),0), INDEX($AB$1004:$AQ$1004,1,MATCH(COLUMNS($AB$1006:AL1006),$AB$1006:$AQ$1006,0)))),"Fix")))</f>
        <v>0</v>
      </c>
      <c r="M156" s="4">
        <f>IF(OR(INDEX($V$2:$V$1001,MATCH(ROWS($U$2:U156),$U$2:$U$1001,0),1)&gt;=100000,INDEX($AB$1005:$AQ$1005,1,MATCH(COLUMNS($AB$1006:AM1006),$AB$1006:$AQ$1006,0))&gt;=100000), " ",IF(INDEX($AB$2:$AQ$1001,MATCH(ROWS($U$2:U156),$U$2:$U$1001,0),MATCH(COLUMNS($AB$1006:AM1006),$AB$1006:$AQ$1006,0)), HYPERLINK("#",""), HYPERLINK(CONCATENATE("#metadata!", ADDRESS(INDEX($W$2:$W$1001,MATCH(ROWS($U$2:U156),$U$2:$U$1001,0),0), INDEX($AB$1004:$AQ$1004,1,MATCH(COLUMNS($AB$1006:AM1006),$AB$1006:$AQ$1006,0)))),"Fix")))</f>
        <v>0</v>
      </c>
      <c r="N156" s="4">
        <f>IF(OR(INDEX($V$2:$V$1001,MATCH(ROWS($U$2:U156),$U$2:$U$1001,0),1)&gt;=100000,INDEX($AB$1005:$AQ$1005,1,MATCH(COLUMNS($AB$1006:AN1006),$AB$1006:$AQ$1006,0))&gt;=100000), " ",IF(INDEX($AB$2:$AQ$1001,MATCH(ROWS($U$2:U156),$U$2:$U$1001,0),MATCH(COLUMNS($AB$1006:AN1006),$AB$1006:$AQ$1006,0)), HYPERLINK("#",""), HYPERLINK(CONCATENATE("#metadata!", ADDRESS(INDEX($W$2:$W$1001,MATCH(ROWS($U$2:U156),$U$2:$U$1001,0),0), INDEX($AB$1004:$AQ$1004,1,MATCH(COLUMNS($AB$1006:AN1006),$AB$1006:$AQ$1006,0)))),"Fix")))</f>
        <v>0</v>
      </c>
      <c r="O156" s="4">
        <f>IF(OR(INDEX($V$2:$V$1001,MATCH(ROWS($U$2:U156),$U$2:$U$1001,0),1)&gt;=100000,INDEX($AB$1005:$AQ$1005,1,MATCH(COLUMNS($AB$1006:AO1006),$AB$1006:$AQ$1006,0))&gt;=100000), " ",IF(INDEX($AB$2:$AQ$1001,MATCH(ROWS($U$2:U156),$U$2:$U$1001,0),MATCH(COLUMNS($AB$1006:AO1006),$AB$1006:$AQ$1006,0)), HYPERLINK("#",""), HYPERLINK(CONCATENATE("#metadata!", ADDRESS(INDEX($W$2:$W$1001,MATCH(ROWS($U$2:U156),$U$2:$U$1001,0),0), INDEX($AB$1004:$AQ$1004,1,MATCH(COLUMNS($AB$1006:AO1006),$AB$1006:$AQ$1006,0)))),"Fix")))</f>
        <v>0</v>
      </c>
      <c r="P156" s="4">
        <f>IF(OR(INDEX($V$2:$V$1001,MATCH(ROWS($U$2:U156),$U$2:$U$1001,0),1)&gt;=100000,INDEX($AB$1005:$AQ$1005,1,MATCH(COLUMNS($AB$1006:AP1006),$AB$1006:$AQ$1006,0))&gt;=100000), " ",IF(INDEX($AB$2:$AQ$1001,MATCH(ROWS($U$2:U156),$U$2:$U$1001,0),MATCH(COLUMNS($AB$1006:AP1006),$AB$1006:$AQ$1006,0)), HYPERLINK("#",""), HYPERLINK(CONCATENATE("#metadata!", ADDRESS(INDEX($W$2:$W$1001,MATCH(ROWS($U$2:U156),$U$2:$U$1001,0),0), INDEX($AB$1004:$AQ$1004,1,MATCH(COLUMNS($AB$1006:AP1006),$AB$1006:$AQ$1006,0)))),"Fix")))</f>
        <v>0</v>
      </c>
      <c r="Q156" s="4">
        <f>IF(OR(INDEX($V$2:$V$1001,MATCH(ROWS($U$2:U156),$U$2:$U$1001,0),1)&gt;=100000,INDEX($AB$1005:$AQ$1005,1,MATCH(COLUMNS($AB$1006:AQ1006),$AB$1006:$AQ$1006,0))&gt;=100000), " ",IF(INDEX($AB$2:$AQ$1001,MATCH(ROWS($U$2:U156),$U$2:$U$1001,0),MATCH(COLUMNS($AB$1006:AQ1006),$AB$1006:$AQ$1006,0)), HYPERLINK("#",""), HYPERLINK(CONCATENATE("#metadata!", ADDRESS(INDEX($W$2:$W$1001,MATCH(ROWS($U$2:U156),$U$2:$U$1001,0),0), INDEX($AB$1004:$AQ$1004,1,MATCH(COLUMNS($AB$1006:AQ1006),$AB$1006:$AQ$1006,0)))),"Fix")))</f>
        <v>0</v>
      </c>
      <c r="U156">
        <v>0</v>
      </c>
      <c r="V156">
        <v>0</v>
      </c>
      <c r="W156">
        <v>0</v>
      </c>
      <c r="X156">
        <f>IF(Y156,TRUE,AND(AB156:AQ156))</f>
        <v>0</v>
      </c>
      <c r="Y156">
        <f>COUNTBLANK(metadata!B156:Q156)=COLUMNS(metadata!B156:Q156)</f>
        <v>0</v>
      </c>
      <c r="Z156">
        <v>0</v>
      </c>
      <c r="AB156">
        <f>AND(IF(metadata!B156="",FALSE,TRUE),COUNTIF(metadata!B:B, metadata!B156) = 1,NOT(ISERROR(SUMPRODUCT(SEARCH(MID(metadata!B156,ROW(INDIRECT("1:"&amp;LEN(metadata!B156))), 1),"0123456789abcdefghijklmnopqrstuvwxyzABCDEFGHIJKLMNOPQRSTUVWXYZ.")))))</f>
        <v>0</v>
      </c>
      <c r="AC156">
        <f>OR(AND(IF(metadata!C156="",FALSE,TRUE),OR(exact(metadata!C156,"missing: not collected"),exact(metadata!C156,"missing: not provided"),exact(metadata!C156,"missing: restricted access"))),AND(IF(metadata!C156="",FALSE,TRUE),AND(AND(IFERROR(INT(LEFT(metadata!C156,4))&gt;1900,FALSE),IFERROR(INT(LEFT(metadata!C156,4))&lt;=YEAR(NOW()),FALSE)), OR(MID(metadata!C156,5,1)="", AND(AND(MID(metadata!C156,5,1)="-",IFERROR(INT(MID(metadata!C156,6,1))&gt;=0,FALSE),IFERROR(INT(MID(metadata!C156,6,1))&lt;=1,FALSE),NOT(MID(metadata!C156,7,1)=""),IFERROR(INT(MID(metadata!C156,6,2))&gt;=1,FALSE),IFERROR(INT(MID(metadata!C156,6,2))&lt;=12,FALSE)), OR(MID(metadata!C156,8,1)="", AND(AND(MID(metadata!C156,8,1)="-",IFERROR(INT(MID(metadata!C156,9,1))&gt;=0,FALSE),IFERROR(INT(MID(metadata!C156,9,1))&lt;=3,FALSE),NOT(MID(metadata!C156,10,1)=""),IFERROR(INT(MID(metadata!C156,9,2))&gt;=1,FALSE),IFERROR(INT(MID(metadata!C156,9,2))&lt;=31,FALSE)), OR(MID(metadata!C156,11,1)="", AND(AND(MID(metadata!C156,11,1)=" ",IFERROR(INT(MID(metadata!C156,12,1))&gt;=0,FALSE),IFERROR(INT(MID(metadata!C156,12,1))&lt;=2,FALSE),NOT(MID(metadata!C156,13,1)=""),IFERROR(INT(MID(metadata!C156,12,2))&gt;=0,FALSE),IFERROR(INT(MID(metadata!C156,12,2))&lt;=23,FALSE)), OR(MID(metadata!C156,14,1)="", AND(AND(MID(metadata!C156,14,1)=":",IFERROR(INT(MID(metadata!C156,15,1))&gt;=0,FALSE),IFERROR(INT(MID(metadata!C156,15,1))&lt;=5,FALSE),NOT(MID(metadata!C156,16,1)=""),IFERROR(INT(MID(metadata!C156,15,2))&gt;=0,FALSE),IFERROR(INT(MID(metadata!C156,15,2))&lt;=59,FALSE)), OR(MID(metadata!C156,17,1)="", AND(AND(MID(metadata!C156,17,1)=":",IFERROR(INT(MID(metadata!C156,18,1))&gt;=0,FALSE),IFERROR(INT(MID(metadata!C156,18,1))&lt;=5,FALSE),NOT(MID(metadata!C156,19,1)=""),IFERROR(INT(MID(metadata!C156,18,2))&gt;=0,FALSE),IFERROR(INT(MID(metadata!C156,18,2))&lt;=59,FALSE)), LEN(metadata!C156)&lt;=19)))))))))))))</f>
        <v>0</v>
      </c>
      <c r="AD156">
        <f>IF(metadata!D156="",FALSE,TRUE)</f>
        <v>0</v>
      </c>
      <c r="AE156">
        <f>OR(AND(IF(metadata!E156="",FALSE,TRUE),OR(exact(metadata!E156,"missing: not collected"),exact(metadata!E156,"missing: not provided"))),AND(IF(metadata!E156="",FALSE,TRUE),OR(exact(metadata!E156,"TRUE"),exact(metadata!E156,"FALSE"))))</f>
        <v>0</v>
      </c>
      <c r="AF156">
        <f>IF(metadata!F156="",FALSE,TRUE)</f>
        <v>0</v>
      </c>
      <c r="AG156">
        <f>IF(metadata!G156="",FALSE,TRUE)</f>
        <v>0</v>
      </c>
      <c r="AH156">
        <f>IF(metadata!H156="",FALSE,TRUE)</f>
        <v>0</v>
      </c>
      <c r="AI156">
        <f>OR(AND(IF(metadata!I156="",FALSE,TRUE),OR(exact(metadata!I156,"missing: not collected"),exact(metadata!I156,"missing: not provided"),exact(metadata!I156,"missing: restricted access"))),AND(IF(metadata!I156="",FALSE,TRUE),OR(exact(metadata!I156,"air"),exact(metadata!I156,"built environment"),exact(metadata!I156,"host-associated"),exact(metadata!I156,"human-associated"),exact(metadata!I156,"human-skin"),exact(metadata!I156,"human-oral"),exact(metadata!I156,"human-gut"),exact(metadata!I156,"human-vaginal"),exact(metadata!I156,"microbial mat/biofilm"),exact(metadata!I156,"misc environment"),exact(metadata!I156,"plant-associated"),exact(metadata!I156,"sediment"),exact(metadata!I156,"soil"),exact(metadata!I156,"wastewater/sludge"),exact(metadata!I156,"water"))))</f>
        <v>0</v>
      </c>
      <c r="AJ156">
        <f>IF(metadata!J156="",FALSE,TRUE)</f>
        <v>0</v>
      </c>
      <c r="AK156">
        <f>OR(AND(IF(metadata!K156="",FALSE,TRUE),OR(exact(metadata!K156,"missing: not collected"),exact(metadata!K156,"missing: not provided"),exact(metadata!K156,"missing: restricted access"))),AND(IF(metadata!K156="",FALSE,ISNUMBER(VALUE(metadata!K156))),metadata!K156&gt;=-90.00,metadata!K156&lt;=90.00))</f>
        <v>0</v>
      </c>
      <c r="AL156">
        <f>OR(AND(IF(metadata!L156="",FALSE,TRUE),OR(exact(metadata!L156,"missing: not collected"),exact(metadata!L156,"missing: not provided"),exact(metadata!L156,"missing: restricted access"))),AND(IF(metadata!L156="",FALSE,ISNUMBER(VALUE(metadata!L156))),metadata!L156&gt;=-180.00,metadata!L156&lt;=180.00))</f>
        <v>0</v>
      </c>
      <c r="AM156">
        <f>IF(metadata!M156="",FALSE,TRUE)</f>
        <v>0</v>
      </c>
      <c r="AN156">
        <f>OR(AND(IF(metadata!N156="",FALSE,TRUE),OR(exact(metadata!N156,"missing: not collected"),exact(metadata!N156,"missing: not provided"),exact(metadata!N156,"missing: restricted access"))),AND(IF(metadata!N156="",FALSE,TRUE),OR(exact(metadata!N156,"TRUE"),exact(metadata!N156,"FALSE"))))</f>
        <v>0</v>
      </c>
      <c r="AO156">
        <f>IF(metadata!O156="",FALSE,TRUE)</f>
        <v>0</v>
      </c>
      <c r="AP156">
        <f>OR(AND(IF(metadata!P156="",FALSE,TRUE),OR(exact(metadata!P156,"missing: not collected"),exact(metadata!P156,"missing: not provided"))),AND(IF(metadata!P156="",FALSE,IF(ISERROR(INT(metadata!P156)),FALSE,INT(metadata!P156)=metadata!P156)),metadata!P156&gt;0))</f>
        <v>0</v>
      </c>
      <c r="AQ156">
        <f>IF(metadata!Q156="",FALSE,TRUE)</f>
        <v>0</v>
      </c>
    </row>
    <row r="157" spans="1:43">
      <c r="A157" s="5">
        <f>IF(B157=" "," ",HYPERLINK(CONCATENATE("#metadata!",ADDRESS(INDEX($W$2:$W$1001,MATCH(ROWS($U$2:U157),$U$2:$U$1001,0),0),1)),INDEX($Z$2:$Z$1001,MATCH(ROWS($U$2:U157),$U$2:$U$1001,0),0)))</f>
        <v>0</v>
      </c>
      <c r="B157" s="4">
        <f>IF(OR(INDEX($V$2:$V$1001,MATCH(ROWS($U$2:U157),$U$2:$U$1001,0),1)&gt;=100000,INDEX($AB$1005:$AQ$1005,1,MATCH(COLUMNS($AB$1006:AB1006),$AB$1006:$AQ$1006,0))&gt;=100000), " ",IF(INDEX($AB$2:$AQ$1001,MATCH(ROWS($U$2:U157),$U$2:$U$1001,0),MATCH(COLUMNS($AB$1006:AB1006),$AB$1006:$AQ$1006,0)), HYPERLINK("#",""), HYPERLINK(CONCATENATE("#metadata!", ADDRESS(INDEX($W$2:$W$1001,MATCH(ROWS($U$2:U157),$U$2:$U$1001,0),0), INDEX($AB$1004:$AQ$1004,1,MATCH(COLUMNS($AB$1006:AB1006),$AB$1006:$AQ$1006,0)))),"Fix")))</f>
        <v>0</v>
      </c>
      <c r="C157" s="4">
        <f>IF(OR(INDEX($V$2:$V$1001,MATCH(ROWS($U$2:U157),$U$2:$U$1001,0),1)&gt;=100000,INDEX($AB$1005:$AQ$1005,1,MATCH(COLUMNS($AB$1006:AC1006),$AB$1006:$AQ$1006,0))&gt;=100000), " ",IF(INDEX($AB$2:$AQ$1001,MATCH(ROWS($U$2:U157),$U$2:$U$1001,0),MATCH(COLUMNS($AB$1006:AC1006),$AB$1006:$AQ$1006,0)), HYPERLINK("#",""), HYPERLINK(CONCATENATE("#metadata!", ADDRESS(INDEX($W$2:$W$1001,MATCH(ROWS($U$2:U157),$U$2:$U$1001,0),0), INDEX($AB$1004:$AQ$1004,1,MATCH(COLUMNS($AB$1006:AC1006),$AB$1006:$AQ$1006,0)))),"Fix")))</f>
        <v>0</v>
      </c>
      <c r="D157" s="4">
        <f>IF(OR(INDEX($V$2:$V$1001,MATCH(ROWS($U$2:U157),$U$2:$U$1001,0),1)&gt;=100000,INDEX($AB$1005:$AQ$1005,1,MATCH(COLUMNS($AB$1006:AD1006),$AB$1006:$AQ$1006,0))&gt;=100000), " ",IF(INDEX($AB$2:$AQ$1001,MATCH(ROWS($U$2:U157),$U$2:$U$1001,0),MATCH(COLUMNS($AB$1006:AD1006),$AB$1006:$AQ$1006,0)), HYPERLINK("#",""), HYPERLINK(CONCATENATE("#metadata!", ADDRESS(INDEX($W$2:$W$1001,MATCH(ROWS($U$2:U157),$U$2:$U$1001,0),0), INDEX($AB$1004:$AQ$1004,1,MATCH(COLUMNS($AB$1006:AD1006),$AB$1006:$AQ$1006,0)))),"Fix")))</f>
        <v>0</v>
      </c>
      <c r="E157" s="4">
        <f>IF(OR(INDEX($V$2:$V$1001,MATCH(ROWS($U$2:U157),$U$2:$U$1001,0),1)&gt;=100000,INDEX($AB$1005:$AQ$1005,1,MATCH(COLUMNS($AB$1006:AE1006),$AB$1006:$AQ$1006,0))&gt;=100000), " ",IF(INDEX($AB$2:$AQ$1001,MATCH(ROWS($U$2:U157),$U$2:$U$1001,0),MATCH(COLUMNS($AB$1006:AE1006),$AB$1006:$AQ$1006,0)), HYPERLINK("#",""), HYPERLINK(CONCATENATE("#metadata!", ADDRESS(INDEX($W$2:$W$1001,MATCH(ROWS($U$2:U157),$U$2:$U$1001,0),0), INDEX($AB$1004:$AQ$1004,1,MATCH(COLUMNS($AB$1006:AE1006),$AB$1006:$AQ$1006,0)))),"Fix")))</f>
        <v>0</v>
      </c>
      <c r="F157" s="4">
        <f>IF(OR(INDEX($V$2:$V$1001,MATCH(ROWS($U$2:U157),$U$2:$U$1001,0),1)&gt;=100000,INDEX($AB$1005:$AQ$1005,1,MATCH(COLUMNS($AB$1006:AF1006),$AB$1006:$AQ$1006,0))&gt;=100000), " ",IF(INDEX($AB$2:$AQ$1001,MATCH(ROWS($U$2:U157),$U$2:$U$1001,0),MATCH(COLUMNS($AB$1006:AF1006),$AB$1006:$AQ$1006,0)), HYPERLINK("#",""), HYPERLINK(CONCATENATE("#metadata!", ADDRESS(INDEX($W$2:$W$1001,MATCH(ROWS($U$2:U157),$U$2:$U$1001,0),0), INDEX($AB$1004:$AQ$1004,1,MATCH(COLUMNS($AB$1006:AF1006),$AB$1006:$AQ$1006,0)))),"Fix")))</f>
        <v>0</v>
      </c>
      <c r="G157" s="4">
        <f>IF(OR(INDEX($V$2:$V$1001,MATCH(ROWS($U$2:U157),$U$2:$U$1001,0),1)&gt;=100000,INDEX($AB$1005:$AQ$1005,1,MATCH(COLUMNS($AB$1006:AG1006),$AB$1006:$AQ$1006,0))&gt;=100000), " ",IF(INDEX($AB$2:$AQ$1001,MATCH(ROWS($U$2:U157),$U$2:$U$1001,0),MATCH(COLUMNS($AB$1006:AG1006),$AB$1006:$AQ$1006,0)), HYPERLINK("#",""), HYPERLINK(CONCATENATE("#metadata!", ADDRESS(INDEX($W$2:$W$1001,MATCH(ROWS($U$2:U157),$U$2:$U$1001,0),0), INDEX($AB$1004:$AQ$1004,1,MATCH(COLUMNS($AB$1006:AG1006),$AB$1006:$AQ$1006,0)))),"Fix")))</f>
        <v>0</v>
      </c>
      <c r="H157" s="4">
        <f>IF(OR(INDEX($V$2:$V$1001,MATCH(ROWS($U$2:U157),$U$2:$U$1001,0),1)&gt;=100000,INDEX($AB$1005:$AQ$1005,1,MATCH(COLUMNS($AB$1006:AH1006),$AB$1006:$AQ$1006,0))&gt;=100000), " ",IF(INDEX($AB$2:$AQ$1001,MATCH(ROWS($U$2:U157),$U$2:$U$1001,0),MATCH(COLUMNS($AB$1006:AH1006),$AB$1006:$AQ$1006,0)), HYPERLINK("#",""), HYPERLINK(CONCATENATE("#metadata!", ADDRESS(INDEX($W$2:$W$1001,MATCH(ROWS($U$2:U157),$U$2:$U$1001,0),0), INDEX($AB$1004:$AQ$1004,1,MATCH(COLUMNS($AB$1006:AH1006),$AB$1006:$AQ$1006,0)))),"Fix")))</f>
        <v>0</v>
      </c>
      <c r="I157" s="4">
        <f>IF(OR(INDEX($V$2:$V$1001,MATCH(ROWS($U$2:U157),$U$2:$U$1001,0),1)&gt;=100000,INDEX($AB$1005:$AQ$1005,1,MATCH(COLUMNS($AB$1006:AI1006),$AB$1006:$AQ$1006,0))&gt;=100000), " ",IF(INDEX($AB$2:$AQ$1001,MATCH(ROWS($U$2:U157),$U$2:$U$1001,0),MATCH(COLUMNS($AB$1006:AI1006),$AB$1006:$AQ$1006,0)), HYPERLINK("#",""), HYPERLINK(CONCATENATE("#metadata!", ADDRESS(INDEX($W$2:$W$1001,MATCH(ROWS($U$2:U157),$U$2:$U$1001,0),0), INDEX($AB$1004:$AQ$1004,1,MATCH(COLUMNS($AB$1006:AI1006),$AB$1006:$AQ$1006,0)))),"Fix")))</f>
        <v>0</v>
      </c>
      <c r="J157" s="4">
        <f>IF(OR(INDEX($V$2:$V$1001,MATCH(ROWS($U$2:U157),$U$2:$U$1001,0),1)&gt;=100000,INDEX($AB$1005:$AQ$1005,1,MATCH(COLUMNS($AB$1006:AJ1006),$AB$1006:$AQ$1006,0))&gt;=100000), " ",IF(INDEX($AB$2:$AQ$1001,MATCH(ROWS($U$2:U157),$U$2:$U$1001,0),MATCH(COLUMNS($AB$1006:AJ1006),$AB$1006:$AQ$1006,0)), HYPERLINK("#",""), HYPERLINK(CONCATENATE("#metadata!", ADDRESS(INDEX($W$2:$W$1001,MATCH(ROWS($U$2:U157),$U$2:$U$1001,0),0), INDEX($AB$1004:$AQ$1004,1,MATCH(COLUMNS($AB$1006:AJ1006),$AB$1006:$AQ$1006,0)))),"Fix")))</f>
        <v>0</v>
      </c>
      <c r="K157" s="4">
        <f>IF(OR(INDEX($V$2:$V$1001,MATCH(ROWS($U$2:U157),$U$2:$U$1001,0),1)&gt;=100000,INDEX($AB$1005:$AQ$1005,1,MATCH(COLUMNS($AB$1006:AK1006),$AB$1006:$AQ$1006,0))&gt;=100000), " ",IF(INDEX($AB$2:$AQ$1001,MATCH(ROWS($U$2:U157),$U$2:$U$1001,0),MATCH(COLUMNS($AB$1006:AK1006),$AB$1006:$AQ$1006,0)), HYPERLINK("#",""), HYPERLINK(CONCATENATE("#metadata!", ADDRESS(INDEX($W$2:$W$1001,MATCH(ROWS($U$2:U157),$U$2:$U$1001,0),0), INDEX($AB$1004:$AQ$1004,1,MATCH(COLUMNS($AB$1006:AK1006),$AB$1006:$AQ$1006,0)))),"Fix")))</f>
        <v>0</v>
      </c>
      <c r="L157" s="4">
        <f>IF(OR(INDEX($V$2:$V$1001,MATCH(ROWS($U$2:U157),$U$2:$U$1001,0),1)&gt;=100000,INDEX($AB$1005:$AQ$1005,1,MATCH(COLUMNS($AB$1006:AL1006),$AB$1006:$AQ$1006,0))&gt;=100000), " ",IF(INDEX($AB$2:$AQ$1001,MATCH(ROWS($U$2:U157),$U$2:$U$1001,0),MATCH(COLUMNS($AB$1006:AL1006),$AB$1006:$AQ$1006,0)), HYPERLINK("#",""), HYPERLINK(CONCATENATE("#metadata!", ADDRESS(INDEX($W$2:$W$1001,MATCH(ROWS($U$2:U157),$U$2:$U$1001,0),0), INDEX($AB$1004:$AQ$1004,1,MATCH(COLUMNS($AB$1006:AL1006),$AB$1006:$AQ$1006,0)))),"Fix")))</f>
        <v>0</v>
      </c>
      <c r="M157" s="4">
        <f>IF(OR(INDEX($V$2:$V$1001,MATCH(ROWS($U$2:U157),$U$2:$U$1001,0),1)&gt;=100000,INDEX($AB$1005:$AQ$1005,1,MATCH(COLUMNS($AB$1006:AM1006),$AB$1006:$AQ$1006,0))&gt;=100000), " ",IF(INDEX($AB$2:$AQ$1001,MATCH(ROWS($U$2:U157),$U$2:$U$1001,0),MATCH(COLUMNS($AB$1006:AM1006),$AB$1006:$AQ$1006,0)), HYPERLINK("#",""), HYPERLINK(CONCATENATE("#metadata!", ADDRESS(INDEX($W$2:$W$1001,MATCH(ROWS($U$2:U157),$U$2:$U$1001,0),0), INDEX($AB$1004:$AQ$1004,1,MATCH(COLUMNS($AB$1006:AM1006),$AB$1006:$AQ$1006,0)))),"Fix")))</f>
        <v>0</v>
      </c>
      <c r="N157" s="4">
        <f>IF(OR(INDEX($V$2:$V$1001,MATCH(ROWS($U$2:U157),$U$2:$U$1001,0),1)&gt;=100000,INDEX($AB$1005:$AQ$1005,1,MATCH(COLUMNS($AB$1006:AN1006),$AB$1006:$AQ$1006,0))&gt;=100000), " ",IF(INDEX($AB$2:$AQ$1001,MATCH(ROWS($U$2:U157),$U$2:$U$1001,0),MATCH(COLUMNS($AB$1006:AN1006),$AB$1006:$AQ$1006,0)), HYPERLINK("#",""), HYPERLINK(CONCATENATE("#metadata!", ADDRESS(INDEX($W$2:$W$1001,MATCH(ROWS($U$2:U157),$U$2:$U$1001,0),0), INDEX($AB$1004:$AQ$1004,1,MATCH(COLUMNS($AB$1006:AN1006),$AB$1006:$AQ$1006,0)))),"Fix")))</f>
        <v>0</v>
      </c>
      <c r="O157" s="4">
        <f>IF(OR(INDEX($V$2:$V$1001,MATCH(ROWS($U$2:U157),$U$2:$U$1001,0),1)&gt;=100000,INDEX($AB$1005:$AQ$1005,1,MATCH(COLUMNS($AB$1006:AO1006),$AB$1006:$AQ$1006,0))&gt;=100000), " ",IF(INDEX($AB$2:$AQ$1001,MATCH(ROWS($U$2:U157),$U$2:$U$1001,0),MATCH(COLUMNS($AB$1006:AO1006),$AB$1006:$AQ$1006,0)), HYPERLINK("#",""), HYPERLINK(CONCATENATE("#metadata!", ADDRESS(INDEX($W$2:$W$1001,MATCH(ROWS($U$2:U157),$U$2:$U$1001,0),0), INDEX($AB$1004:$AQ$1004,1,MATCH(COLUMNS($AB$1006:AO1006),$AB$1006:$AQ$1006,0)))),"Fix")))</f>
        <v>0</v>
      </c>
      <c r="P157" s="4">
        <f>IF(OR(INDEX($V$2:$V$1001,MATCH(ROWS($U$2:U157),$U$2:$U$1001,0),1)&gt;=100000,INDEX($AB$1005:$AQ$1005,1,MATCH(COLUMNS($AB$1006:AP1006),$AB$1006:$AQ$1006,0))&gt;=100000), " ",IF(INDEX($AB$2:$AQ$1001,MATCH(ROWS($U$2:U157),$U$2:$U$1001,0),MATCH(COLUMNS($AB$1006:AP1006),$AB$1006:$AQ$1006,0)), HYPERLINK("#",""), HYPERLINK(CONCATENATE("#metadata!", ADDRESS(INDEX($W$2:$W$1001,MATCH(ROWS($U$2:U157),$U$2:$U$1001,0),0), INDEX($AB$1004:$AQ$1004,1,MATCH(COLUMNS($AB$1006:AP1006),$AB$1006:$AQ$1006,0)))),"Fix")))</f>
        <v>0</v>
      </c>
      <c r="Q157" s="4">
        <f>IF(OR(INDEX($V$2:$V$1001,MATCH(ROWS($U$2:U157),$U$2:$U$1001,0),1)&gt;=100000,INDEX($AB$1005:$AQ$1005,1,MATCH(COLUMNS($AB$1006:AQ1006),$AB$1006:$AQ$1006,0))&gt;=100000), " ",IF(INDEX($AB$2:$AQ$1001,MATCH(ROWS($U$2:U157),$U$2:$U$1001,0),MATCH(COLUMNS($AB$1006:AQ1006),$AB$1006:$AQ$1006,0)), HYPERLINK("#",""), HYPERLINK(CONCATENATE("#metadata!", ADDRESS(INDEX($W$2:$W$1001,MATCH(ROWS($U$2:U157),$U$2:$U$1001,0),0), INDEX($AB$1004:$AQ$1004,1,MATCH(COLUMNS($AB$1006:AQ1006),$AB$1006:$AQ$1006,0)))),"Fix")))</f>
        <v>0</v>
      </c>
      <c r="U157">
        <v>0</v>
      </c>
      <c r="V157">
        <v>0</v>
      </c>
      <c r="W157">
        <v>0</v>
      </c>
      <c r="X157">
        <f>IF(Y157,TRUE,AND(AB157:AQ157))</f>
        <v>0</v>
      </c>
      <c r="Y157">
        <f>COUNTBLANK(metadata!B157:Q157)=COLUMNS(metadata!B157:Q157)</f>
        <v>0</v>
      </c>
      <c r="Z157">
        <v>0</v>
      </c>
      <c r="AB157">
        <f>AND(IF(metadata!B157="",FALSE,TRUE),COUNTIF(metadata!B:B, metadata!B157) = 1,NOT(ISERROR(SUMPRODUCT(SEARCH(MID(metadata!B157,ROW(INDIRECT("1:"&amp;LEN(metadata!B157))), 1),"0123456789abcdefghijklmnopqrstuvwxyzABCDEFGHIJKLMNOPQRSTUVWXYZ.")))))</f>
        <v>0</v>
      </c>
      <c r="AC157">
        <f>OR(AND(IF(metadata!C157="",FALSE,TRUE),OR(exact(metadata!C157,"missing: not collected"),exact(metadata!C157,"missing: not provided"),exact(metadata!C157,"missing: restricted access"))),AND(IF(metadata!C157="",FALSE,TRUE),AND(AND(IFERROR(INT(LEFT(metadata!C157,4))&gt;1900,FALSE),IFERROR(INT(LEFT(metadata!C157,4))&lt;=YEAR(NOW()),FALSE)), OR(MID(metadata!C157,5,1)="", AND(AND(MID(metadata!C157,5,1)="-",IFERROR(INT(MID(metadata!C157,6,1))&gt;=0,FALSE),IFERROR(INT(MID(metadata!C157,6,1))&lt;=1,FALSE),NOT(MID(metadata!C157,7,1)=""),IFERROR(INT(MID(metadata!C157,6,2))&gt;=1,FALSE),IFERROR(INT(MID(metadata!C157,6,2))&lt;=12,FALSE)), OR(MID(metadata!C157,8,1)="", AND(AND(MID(metadata!C157,8,1)="-",IFERROR(INT(MID(metadata!C157,9,1))&gt;=0,FALSE),IFERROR(INT(MID(metadata!C157,9,1))&lt;=3,FALSE),NOT(MID(metadata!C157,10,1)=""),IFERROR(INT(MID(metadata!C157,9,2))&gt;=1,FALSE),IFERROR(INT(MID(metadata!C157,9,2))&lt;=31,FALSE)), OR(MID(metadata!C157,11,1)="", AND(AND(MID(metadata!C157,11,1)=" ",IFERROR(INT(MID(metadata!C157,12,1))&gt;=0,FALSE),IFERROR(INT(MID(metadata!C157,12,1))&lt;=2,FALSE),NOT(MID(metadata!C157,13,1)=""),IFERROR(INT(MID(metadata!C157,12,2))&gt;=0,FALSE),IFERROR(INT(MID(metadata!C157,12,2))&lt;=23,FALSE)), OR(MID(metadata!C157,14,1)="", AND(AND(MID(metadata!C157,14,1)=":",IFERROR(INT(MID(metadata!C157,15,1))&gt;=0,FALSE),IFERROR(INT(MID(metadata!C157,15,1))&lt;=5,FALSE),NOT(MID(metadata!C157,16,1)=""),IFERROR(INT(MID(metadata!C157,15,2))&gt;=0,FALSE),IFERROR(INT(MID(metadata!C157,15,2))&lt;=59,FALSE)), OR(MID(metadata!C157,17,1)="", AND(AND(MID(metadata!C157,17,1)=":",IFERROR(INT(MID(metadata!C157,18,1))&gt;=0,FALSE),IFERROR(INT(MID(metadata!C157,18,1))&lt;=5,FALSE),NOT(MID(metadata!C157,19,1)=""),IFERROR(INT(MID(metadata!C157,18,2))&gt;=0,FALSE),IFERROR(INT(MID(metadata!C157,18,2))&lt;=59,FALSE)), LEN(metadata!C157)&lt;=19)))))))))))))</f>
        <v>0</v>
      </c>
      <c r="AD157">
        <f>IF(metadata!D157="",FALSE,TRUE)</f>
        <v>0</v>
      </c>
      <c r="AE157">
        <f>OR(AND(IF(metadata!E157="",FALSE,TRUE),OR(exact(metadata!E157,"missing: not collected"),exact(metadata!E157,"missing: not provided"))),AND(IF(metadata!E157="",FALSE,TRUE),OR(exact(metadata!E157,"TRUE"),exact(metadata!E157,"FALSE"))))</f>
        <v>0</v>
      </c>
      <c r="AF157">
        <f>IF(metadata!F157="",FALSE,TRUE)</f>
        <v>0</v>
      </c>
      <c r="AG157">
        <f>IF(metadata!G157="",FALSE,TRUE)</f>
        <v>0</v>
      </c>
      <c r="AH157">
        <f>IF(metadata!H157="",FALSE,TRUE)</f>
        <v>0</v>
      </c>
      <c r="AI157">
        <f>OR(AND(IF(metadata!I157="",FALSE,TRUE),OR(exact(metadata!I157,"missing: not collected"),exact(metadata!I157,"missing: not provided"),exact(metadata!I157,"missing: restricted access"))),AND(IF(metadata!I157="",FALSE,TRUE),OR(exact(metadata!I157,"air"),exact(metadata!I157,"built environment"),exact(metadata!I157,"host-associated"),exact(metadata!I157,"human-associated"),exact(metadata!I157,"human-skin"),exact(metadata!I157,"human-oral"),exact(metadata!I157,"human-gut"),exact(metadata!I157,"human-vaginal"),exact(metadata!I157,"microbial mat/biofilm"),exact(metadata!I157,"misc environment"),exact(metadata!I157,"plant-associated"),exact(metadata!I157,"sediment"),exact(metadata!I157,"soil"),exact(metadata!I157,"wastewater/sludge"),exact(metadata!I157,"water"))))</f>
        <v>0</v>
      </c>
      <c r="AJ157">
        <f>IF(metadata!J157="",FALSE,TRUE)</f>
        <v>0</v>
      </c>
      <c r="AK157">
        <f>OR(AND(IF(metadata!K157="",FALSE,TRUE),OR(exact(metadata!K157,"missing: not collected"),exact(metadata!K157,"missing: not provided"),exact(metadata!K157,"missing: restricted access"))),AND(IF(metadata!K157="",FALSE,ISNUMBER(VALUE(metadata!K157))),metadata!K157&gt;=-90.00,metadata!K157&lt;=90.00))</f>
        <v>0</v>
      </c>
      <c r="AL157">
        <f>OR(AND(IF(metadata!L157="",FALSE,TRUE),OR(exact(metadata!L157,"missing: not collected"),exact(metadata!L157,"missing: not provided"),exact(metadata!L157,"missing: restricted access"))),AND(IF(metadata!L157="",FALSE,ISNUMBER(VALUE(metadata!L157))),metadata!L157&gt;=-180.00,metadata!L157&lt;=180.00))</f>
        <v>0</v>
      </c>
      <c r="AM157">
        <f>IF(metadata!M157="",FALSE,TRUE)</f>
        <v>0</v>
      </c>
      <c r="AN157">
        <f>OR(AND(IF(metadata!N157="",FALSE,TRUE),OR(exact(metadata!N157,"missing: not collected"),exact(metadata!N157,"missing: not provided"),exact(metadata!N157,"missing: restricted access"))),AND(IF(metadata!N157="",FALSE,TRUE),OR(exact(metadata!N157,"TRUE"),exact(metadata!N157,"FALSE"))))</f>
        <v>0</v>
      </c>
      <c r="AO157">
        <f>IF(metadata!O157="",FALSE,TRUE)</f>
        <v>0</v>
      </c>
      <c r="AP157">
        <f>OR(AND(IF(metadata!P157="",FALSE,TRUE),OR(exact(metadata!P157,"missing: not collected"),exact(metadata!P157,"missing: not provided"))),AND(IF(metadata!P157="",FALSE,IF(ISERROR(INT(metadata!P157)),FALSE,INT(metadata!P157)=metadata!P157)),metadata!P157&gt;0))</f>
        <v>0</v>
      </c>
      <c r="AQ157">
        <f>IF(metadata!Q157="",FALSE,TRUE)</f>
        <v>0</v>
      </c>
    </row>
    <row r="158" spans="1:43">
      <c r="A158" s="5">
        <f>IF(B158=" "," ",HYPERLINK(CONCATENATE("#metadata!",ADDRESS(INDEX($W$2:$W$1001,MATCH(ROWS($U$2:U158),$U$2:$U$1001,0),0),1)),INDEX($Z$2:$Z$1001,MATCH(ROWS($U$2:U158),$U$2:$U$1001,0),0)))</f>
        <v>0</v>
      </c>
      <c r="B158" s="4">
        <f>IF(OR(INDEX($V$2:$V$1001,MATCH(ROWS($U$2:U158),$U$2:$U$1001,0),1)&gt;=100000,INDEX($AB$1005:$AQ$1005,1,MATCH(COLUMNS($AB$1006:AB1006),$AB$1006:$AQ$1006,0))&gt;=100000), " ",IF(INDEX($AB$2:$AQ$1001,MATCH(ROWS($U$2:U158),$U$2:$U$1001,0),MATCH(COLUMNS($AB$1006:AB1006),$AB$1006:$AQ$1006,0)), HYPERLINK("#",""), HYPERLINK(CONCATENATE("#metadata!", ADDRESS(INDEX($W$2:$W$1001,MATCH(ROWS($U$2:U158),$U$2:$U$1001,0),0), INDEX($AB$1004:$AQ$1004,1,MATCH(COLUMNS($AB$1006:AB1006),$AB$1006:$AQ$1006,0)))),"Fix")))</f>
        <v>0</v>
      </c>
      <c r="C158" s="4">
        <f>IF(OR(INDEX($V$2:$V$1001,MATCH(ROWS($U$2:U158),$U$2:$U$1001,0),1)&gt;=100000,INDEX($AB$1005:$AQ$1005,1,MATCH(COLUMNS($AB$1006:AC1006),$AB$1006:$AQ$1006,0))&gt;=100000), " ",IF(INDEX($AB$2:$AQ$1001,MATCH(ROWS($U$2:U158),$U$2:$U$1001,0),MATCH(COLUMNS($AB$1006:AC1006),$AB$1006:$AQ$1006,0)), HYPERLINK("#",""), HYPERLINK(CONCATENATE("#metadata!", ADDRESS(INDEX($W$2:$W$1001,MATCH(ROWS($U$2:U158),$U$2:$U$1001,0),0), INDEX($AB$1004:$AQ$1004,1,MATCH(COLUMNS($AB$1006:AC1006),$AB$1006:$AQ$1006,0)))),"Fix")))</f>
        <v>0</v>
      </c>
      <c r="D158" s="4">
        <f>IF(OR(INDEX($V$2:$V$1001,MATCH(ROWS($U$2:U158),$U$2:$U$1001,0),1)&gt;=100000,INDEX($AB$1005:$AQ$1005,1,MATCH(COLUMNS($AB$1006:AD1006),$AB$1006:$AQ$1006,0))&gt;=100000), " ",IF(INDEX($AB$2:$AQ$1001,MATCH(ROWS($U$2:U158),$U$2:$U$1001,0),MATCH(COLUMNS($AB$1006:AD1006),$AB$1006:$AQ$1006,0)), HYPERLINK("#",""), HYPERLINK(CONCATENATE("#metadata!", ADDRESS(INDEX($W$2:$W$1001,MATCH(ROWS($U$2:U158),$U$2:$U$1001,0),0), INDEX($AB$1004:$AQ$1004,1,MATCH(COLUMNS($AB$1006:AD1006),$AB$1006:$AQ$1006,0)))),"Fix")))</f>
        <v>0</v>
      </c>
      <c r="E158" s="4">
        <f>IF(OR(INDEX($V$2:$V$1001,MATCH(ROWS($U$2:U158),$U$2:$U$1001,0),1)&gt;=100000,INDEX($AB$1005:$AQ$1005,1,MATCH(COLUMNS($AB$1006:AE1006),$AB$1006:$AQ$1006,0))&gt;=100000), " ",IF(INDEX($AB$2:$AQ$1001,MATCH(ROWS($U$2:U158),$U$2:$U$1001,0),MATCH(COLUMNS($AB$1006:AE1006),$AB$1006:$AQ$1006,0)), HYPERLINK("#",""), HYPERLINK(CONCATENATE("#metadata!", ADDRESS(INDEX($W$2:$W$1001,MATCH(ROWS($U$2:U158),$U$2:$U$1001,0),0), INDEX($AB$1004:$AQ$1004,1,MATCH(COLUMNS($AB$1006:AE1006),$AB$1006:$AQ$1006,0)))),"Fix")))</f>
        <v>0</v>
      </c>
      <c r="F158" s="4">
        <f>IF(OR(INDEX($V$2:$V$1001,MATCH(ROWS($U$2:U158),$U$2:$U$1001,0),1)&gt;=100000,INDEX($AB$1005:$AQ$1005,1,MATCH(COLUMNS($AB$1006:AF1006),$AB$1006:$AQ$1006,0))&gt;=100000), " ",IF(INDEX($AB$2:$AQ$1001,MATCH(ROWS($U$2:U158),$U$2:$U$1001,0),MATCH(COLUMNS($AB$1006:AF1006),$AB$1006:$AQ$1006,0)), HYPERLINK("#",""), HYPERLINK(CONCATENATE("#metadata!", ADDRESS(INDEX($W$2:$W$1001,MATCH(ROWS($U$2:U158),$U$2:$U$1001,0),0), INDEX($AB$1004:$AQ$1004,1,MATCH(COLUMNS($AB$1006:AF1006),$AB$1006:$AQ$1006,0)))),"Fix")))</f>
        <v>0</v>
      </c>
      <c r="G158" s="4">
        <f>IF(OR(INDEX($V$2:$V$1001,MATCH(ROWS($U$2:U158),$U$2:$U$1001,0),1)&gt;=100000,INDEX($AB$1005:$AQ$1005,1,MATCH(COLUMNS($AB$1006:AG1006),$AB$1006:$AQ$1006,0))&gt;=100000), " ",IF(INDEX($AB$2:$AQ$1001,MATCH(ROWS($U$2:U158),$U$2:$U$1001,0),MATCH(COLUMNS($AB$1006:AG1006),$AB$1006:$AQ$1006,0)), HYPERLINK("#",""), HYPERLINK(CONCATENATE("#metadata!", ADDRESS(INDEX($W$2:$W$1001,MATCH(ROWS($U$2:U158),$U$2:$U$1001,0),0), INDEX($AB$1004:$AQ$1004,1,MATCH(COLUMNS($AB$1006:AG1006),$AB$1006:$AQ$1006,0)))),"Fix")))</f>
        <v>0</v>
      </c>
      <c r="H158" s="4">
        <f>IF(OR(INDEX($V$2:$V$1001,MATCH(ROWS($U$2:U158),$U$2:$U$1001,0),1)&gt;=100000,INDEX($AB$1005:$AQ$1005,1,MATCH(COLUMNS($AB$1006:AH1006),$AB$1006:$AQ$1006,0))&gt;=100000), " ",IF(INDEX($AB$2:$AQ$1001,MATCH(ROWS($U$2:U158),$U$2:$U$1001,0),MATCH(COLUMNS($AB$1006:AH1006),$AB$1006:$AQ$1006,0)), HYPERLINK("#",""), HYPERLINK(CONCATENATE("#metadata!", ADDRESS(INDEX($W$2:$W$1001,MATCH(ROWS($U$2:U158),$U$2:$U$1001,0),0), INDEX($AB$1004:$AQ$1004,1,MATCH(COLUMNS($AB$1006:AH1006),$AB$1006:$AQ$1006,0)))),"Fix")))</f>
        <v>0</v>
      </c>
      <c r="I158" s="4">
        <f>IF(OR(INDEX($V$2:$V$1001,MATCH(ROWS($U$2:U158),$U$2:$U$1001,0),1)&gt;=100000,INDEX($AB$1005:$AQ$1005,1,MATCH(COLUMNS($AB$1006:AI1006),$AB$1006:$AQ$1006,0))&gt;=100000), " ",IF(INDEX($AB$2:$AQ$1001,MATCH(ROWS($U$2:U158),$U$2:$U$1001,0),MATCH(COLUMNS($AB$1006:AI1006),$AB$1006:$AQ$1006,0)), HYPERLINK("#",""), HYPERLINK(CONCATENATE("#metadata!", ADDRESS(INDEX($W$2:$W$1001,MATCH(ROWS($U$2:U158),$U$2:$U$1001,0),0), INDEX($AB$1004:$AQ$1004,1,MATCH(COLUMNS($AB$1006:AI1006),$AB$1006:$AQ$1006,0)))),"Fix")))</f>
        <v>0</v>
      </c>
      <c r="J158" s="4">
        <f>IF(OR(INDEX($V$2:$V$1001,MATCH(ROWS($U$2:U158),$U$2:$U$1001,0),1)&gt;=100000,INDEX($AB$1005:$AQ$1005,1,MATCH(COLUMNS($AB$1006:AJ1006),$AB$1006:$AQ$1006,0))&gt;=100000), " ",IF(INDEX($AB$2:$AQ$1001,MATCH(ROWS($U$2:U158),$U$2:$U$1001,0),MATCH(COLUMNS($AB$1006:AJ1006),$AB$1006:$AQ$1006,0)), HYPERLINK("#",""), HYPERLINK(CONCATENATE("#metadata!", ADDRESS(INDEX($W$2:$W$1001,MATCH(ROWS($U$2:U158),$U$2:$U$1001,0),0), INDEX($AB$1004:$AQ$1004,1,MATCH(COLUMNS($AB$1006:AJ1006),$AB$1006:$AQ$1006,0)))),"Fix")))</f>
        <v>0</v>
      </c>
      <c r="K158" s="4">
        <f>IF(OR(INDEX($V$2:$V$1001,MATCH(ROWS($U$2:U158),$U$2:$U$1001,0),1)&gt;=100000,INDEX($AB$1005:$AQ$1005,1,MATCH(COLUMNS($AB$1006:AK1006),$AB$1006:$AQ$1006,0))&gt;=100000), " ",IF(INDEX($AB$2:$AQ$1001,MATCH(ROWS($U$2:U158),$U$2:$U$1001,0),MATCH(COLUMNS($AB$1006:AK1006),$AB$1006:$AQ$1006,0)), HYPERLINK("#",""), HYPERLINK(CONCATENATE("#metadata!", ADDRESS(INDEX($W$2:$W$1001,MATCH(ROWS($U$2:U158),$U$2:$U$1001,0),0), INDEX($AB$1004:$AQ$1004,1,MATCH(COLUMNS($AB$1006:AK1006),$AB$1006:$AQ$1006,0)))),"Fix")))</f>
        <v>0</v>
      </c>
      <c r="L158" s="4">
        <f>IF(OR(INDEX($V$2:$V$1001,MATCH(ROWS($U$2:U158),$U$2:$U$1001,0),1)&gt;=100000,INDEX($AB$1005:$AQ$1005,1,MATCH(COLUMNS($AB$1006:AL1006),$AB$1006:$AQ$1006,0))&gt;=100000), " ",IF(INDEX($AB$2:$AQ$1001,MATCH(ROWS($U$2:U158),$U$2:$U$1001,0),MATCH(COLUMNS($AB$1006:AL1006),$AB$1006:$AQ$1006,0)), HYPERLINK("#",""), HYPERLINK(CONCATENATE("#metadata!", ADDRESS(INDEX($W$2:$W$1001,MATCH(ROWS($U$2:U158),$U$2:$U$1001,0),0), INDEX($AB$1004:$AQ$1004,1,MATCH(COLUMNS($AB$1006:AL1006),$AB$1006:$AQ$1006,0)))),"Fix")))</f>
        <v>0</v>
      </c>
      <c r="M158" s="4">
        <f>IF(OR(INDEX($V$2:$V$1001,MATCH(ROWS($U$2:U158),$U$2:$U$1001,0),1)&gt;=100000,INDEX($AB$1005:$AQ$1005,1,MATCH(COLUMNS($AB$1006:AM1006),$AB$1006:$AQ$1006,0))&gt;=100000), " ",IF(INDEX($AB$2:$AQ$1001,MATCH(ROWS($U$2:U158),$U$2:$U$1001,0),MATCH(COLUMNS($AB$1006:AM1006),$AB$1006:$AQ$1006,0)), HYPERLINK("#",""), HYPERLINK(CONCATENATE("#metadata!", ADDRESS(INDEX($W$2:$W$1001,MATCH(ROWS($U$2:U158),$U$2:$U$1001,0),0), INDEX($AB$1004:$AQ$1004,1,MATCH(COLUMNS($AB$1006:AM1006),$AB$1006:$AQ$1006,0)))),"Fix")))</f>
        <v>0</v>
      </c>
      <c r="N158" s="4">
        <f>IF(OR(INDEX($V$2:$V$1001,MATCH(ROWS($U$2:U158),$U$2:$U$1001,0),1)&gt;=100000,INDEX($AB$1005:$AQ$1005,1,MATCH(COLUMNS($AB$1006:AN1006),$AB$1006:$AQ$1006,0))&gt;=100000), " ",IF(INDEX($AB$2:$AQ$1001,MATCH(ROWS($U$2:U158),$U$2:$U$1001,0),MATCH(COLUMNS($AB$1006:AN1006),$AB$1006:$AQ$1006,0)), HYPERLINK("#",""), HYPERLINK(CONCATENATE("#metadata!", ADDRESS(INDEX($W$2:$W$1001,MATCH(ROWS($U$2:U158),$U$2:$U$1001,0),0), INDEX($AB$1004:$AQ$1004,1,MATCH(COLUMNS($AB$1006:AN1006),$AB$1006:$AQ$1006,0)))),"Fix")))</f>
        <v>0</v>
      </c>
      <c r="O158" s="4">
        <f>IF(OR(INDEX($V$2:$V$1001,MATCH(ROWS($U$2:U158),$U$2:$U$1001,0),1)&gt;=100000,INDEX($AB$1005:$AQ$1005,1,MATCH(COLUMNS($AB$1006:AO1006),$AB$1006:$AQ$1006,0))&gt;=100000), " ",IF(INDEX($AB$2:$AQ$1001,MATCH(ROWS($U$2:U158),$U$2:$U$1001,0),MATCH(COLUMNS($AB$1006:AO1006),$AB$1006:$AQ$1006,0)), HYPERLINK("#",""), HYPERLINK(CONCATENATE("#metadata!", ADDRESS(INDEX($W$2:$W$1001,MATCH(ROWS($U$2:U158),$U$2:$U$1001,0),0), INDEX($AB$1004:$AQ$1004,1,MATCH(COLUMNS($AB$1006:AO1006),$AB$1006:$AQ$1006,0)))),"Fix")))</f>
        <v>0</v>
      </c>
      <c r="P158" s="4">
        <f>IF(OR(INDEX($V$2:$V$1001,MATCH(ROWS($U$2:U158),$U$2:$U$1001,0),1)&gt;=100000,INDEX($AB$1005:$AQ$1005,1,MATCH(COLUMNS($AB$1006:AP1006),$AB$1006:$AQ$1006,0))&gt;=100000), " ",IF(INDEX($AB$2:$AQ$1001,MATCH(ROWS($U$2:U158),$U$2:$U$1001,0),MATCH(COLUMNS($AB$1006:AP1006),$AB$1006:$AQ$1006,0)), HYPERLINK("#",""), HYPERLINK(CONCATENATE("#metadata!", ADDRESS(INDEX($W$2:$W$1001,MATCH(ROWS($U$2:U158),$U$2:$U$1001,0),0), INDEX($AB$1004:$AQ$1004,1,MATCH(COLUMNS($AB$1006:AP1006),$AB$1006:$AQ$1006,0)))),"Fix")))</f>
        <v>0</v>
      </c>
      <c r="Q158" s="4">
        <f>IF(OR(INDEX($V$2:$V$1001,MATCH(ROWS($U$2:U158),$U$2:$U$1001,0),1)&gt;=100000,INDEX($AB$1005:$AQ$1005,1,MATCH(COLUMNS($AB$1006:AQ1006),$AB$1006:$AQ$1006,0))&gt;=100000), " ",IF(INDEX($AB$2:$AQ$1001,MATCH(ROWS($U$2:U158),$U$2:$U$1001,0),MATCH(COLUMNS($AB$1006:AQ1006),$AB$1006:$AQ$1006,0)), HYPERLINK("#",""), HYPERLINK(CONCATENATE("#metadata!", ADDRESS(INDEX($W$2:$W$1001,MATCH(ROWS($U$2:U158),$U$2:$U$1001,0),0), INDEX($AB$1004:$AQ$1004,1,MATCH(COLUMNS($AB$1006:AQ1006),$AB$1006:$AQ$1006,0)))),"Fix")))</f>
        <v>0</v>
      </c>
      <c r="U158">
        <v>0</v>
      </c>
      <c r="V158">
        <v>0</v>
      </c>
      <c r="W158">
        <v>0</v>
      </c>
      <c r="X158">
        <f>IF(Y158,TRUE,AND(AB158:AQ158))</f>
        <v>0</v>
      </c>
      <c r="Y158">
        <f>COUNTBLANK(metadata!B158:Q158)=COLUMNS(metadata!B158:Q158)</f>
        <v>0</v>
      </c>
      <c r="Z158">
        <v>0</v>
      </c>
      <c r="AB158">
        <f>AND(IF(metadata!B158="",FALSE,TRUE),COUNTIF(metadata!B:B, metadata!B158) = 1,NOT(ISERROR(SUMPRODUCT(SEARCH(MID(metadata!B158,ROW(INDIRECT("1:"&amp;LEN(metadata!B158))), 1),"0123456789abcdefghijklmnopqrstuvwxyzABCDEFGHIJKLMNOPQRSTUVWXYZ.")))))</f>
        <v>0</v>
      </c>
      <c r="AC158">
        <f>OR(AND(IF(metadata!C158="",FALSE,TRUE),OR(exact(metadata!C158,"missing: not collected"),exact(metadata!C158,"missing: not provided"),exact(metadata!C158,"missing: restricted access"))),AND(IF(metadata!C158="",FALSE,TRUE),AND(AND(IFERROR(INT(LEFT(metadata!C158,4))&gt;1900,FALSE),IFERROR(INT(LEFT(metadata!C158,4))&lt;=YEAR(NOW()),FALSE)), OR(MID(metadata!C158,5,1)="", AND(AND(MID(metadata!C158,5,1)="-",IFERROR(INT(MID(metadata!C158,6,1))&gt;=0,FALSE),IFERROR(INT(MID(metadata!C158,6,1))&lt;=1,FALSE),NOT(MID(metadata!C158,7,1)=""),IFERROR(INT(MID(metadata!C158,6,2))&gt;=1,FALSE),IFERROR(INT(MID(metadata!C158,6,2))&lt;=12,FALSE)), OR(MID(metadata!C158,8,1)="", AND(AND(MID(metadata!C158,8,1)="-",IFERROR(INT(MID(metadata!C158,9,1))&gt;=0,FALSE),IFERROR(INT(MID(metadata!C158,9,1))&lt;=3,FALSE),NOT(MID(metadata!C158,10,1)=""),IFERROR(INT(MID(metadata!C158,9,2))&gt;=1,FALSE),IFERROR(INT(MID(metadata!C158,9,2))&lt;=31,FALSE)), OR(MID(metadata!C158,11,1)="", AND(AND(MID(metadata!C158,11,1)=" ",IFERROR(INT(MID(metadata!C158,12,1))&gt;=0,FALSE),IFERROR(INT(MID(metadata!C158,12,1))&lt;=2,FALSE),NOT(MID(metadata!C158,13,1)=""),IFERROR(INT(MID(metadata!C158,12,2))&gt;=0,FALSE),IFERROR(INT(MID(metadata!C158,12,2))&lt;=23,FALSE)), OR(MID(metadata!C158,14,1)="", AND(AND(MID(metadata!C158,14,1)=":",IFERROR(INT(MID(metadata!C158,15,1))&gt;=0,FALSE),IFERROR(INT(MID(metadata!C158,15,1))&lt;=5,FALSE),NOT(MID(metadata!C158,16,1)=""),IFERROR(INT(MID(metadata!C158,15,2))&gt;=0,FALSE),IFERROR(INT(MID(metadata!C158,15,2))&lt;=59,FALSE)), OR(MID(metadata!C158,17,1)="", AND(AND(MID(metadata!C158,17,1)=":",IFERROR(INT(MID(metadata!C158,18,1))&gt;=0,FALSE),IFERROR(INT(MID(metadata!C158,18,1))&lt;=5,FALSE),NOT(MID(metadata!C158,19,1)=""),IFERROR(INT(MID(metadata!C158,18,2))&gt;=0,FALSE),IFERROR(INT(MID(metadata!C158,18,2))&lt;=59,FALSE)), LEN(metadata!C158)&lt;=19)))))))))))))</f>
        <v>0</v>
      </c>
      <c r="AD158">
        <f>IF(metadata!D158="",FALSE,TRUE)</f>
        <v>0</v>
      </c>
      <c r="AE158">
        <f>OR(AND(IF(metadata!E158="",FALSE,TRUE),OR(exact(metadata!E158,"missing: not collected"),exact(metadata!E158,"missing: not provided"))),AND(IF(metadata!E158="",FALSE,TRUE),OR(exact(metadata!E158,"TRUE"),exact(metadata!E158,"FALSE"))))</f>
        <v>0</v>
      </c>
      <c r="AF158">
        <f>IF(metadata!F158="",FALSE,TRUE)</f>
        <v>0</v>
      </c>
      <c r="AG158">
        <f>IF(metadata!G158="",FALSE,TRUE)</f>
        <v>0</v>
      </c>
      <c r="AH158">
        <f>IF(metadata!H158="",FALSE,TRUE)</f>
        <v>0</v>
      </c>
      <c r="AI158">
        <f>OR(AND(IF(metadata!I158="",FALSE,TRUE),OR(exact(metadata!I158,"missing: not collected"),exact(metadata!I158,"missing: not provided"),exact(metadata!I158,"missing: restricted access"))),AND(IF(metadata!I158="",FALSE,TRUE),OR(exact(metadata!I158,"air"),exact(metadata!I158,"built environment"),exact(metadata!I158,"host-associated"),exact(metadata!I158,"human-associated"),exact(metadata!I158,"human-skin"),exact(metadata!I158,"human-oral"),exact(metadata!I158,"human-gut"),exact(metadata!I158,"human-vaginal"),exact(metadata!I158,"microbial mat/biofilm"),exact(metadata!I158,"misc environment"),exact(metadata!I158,"plant-associated"),exact(metadata!I158,"sediment"),exact(metadata!I158,"soil"),exact(metadata!I158,"wastewater/sludge"),exact(metadata!I158,"water"))))</f>
        <v>0</v>
      </c>
      <c r="AJ158">
        <f>IF(metadata!J158="",FALSE,TRUE)</f>
        <v>0</v>
      </c>
      <c r="AK158">
        <f>OR(AND(IF(metadata!K158="",FALSE,TRUE),OR(exact(metadata!K158,"missing: not collected"),exact(metadata!K158,"missing: not provided"),exact(metadata!K158,"missing: restricted access"))),AND(IF(metadata!K158="",FALSE,ISNUMBER(VALUE(metadata!K158))),metadata!K158&gt;=-90.00,metadata!K158&lt;=90.00))</f>
        <v>0</v>
      </c>
      <c r="AL158">
        <f>OR(AND(IF(metadata!L158="",FALSE,TRUE),OR(exact(metadata!L158,"missing: not collected"),exact(metadata!L158,"missing: not provided"),exact(metadata!L158,"missing: restricted access"))),AND(IF(metadata!L158="",FALSE,ISNUMBER(VALUE(metadata!L158))),metadata!L158&gt;=-180.00,metadata!L158&lt;=180.00))</f>
        <v>0</v>
      </c>
      <c r="AM158">
        <f>IF(metadata!M158="",FALSE,TRUE)</f>
        <v>0</v>
      </c>
      <c r="AN158">
        <f>OR(AND(IF(metadata!N158="",FALSE,TRUE),OR(exact(metadata!N158,"missing: not collected"),exact(metadata!N158,"missing: not provided"),exact(metadata!N158,"missing: restricted access"))),AND(IF(metadata!N158="",FALSE,TRUE),OR(exact(metadata!N158,"TRUE"),exact(metadata!N158,"FALSE"))))</f>
        <v>0</v>
      </c>
      <c r="AO158">
        <f>IF(metadata!O158="",FALSE,TRUE)</f>
        <v>0</v>
      </c>
      <c r="AP158">
        <f>OR(AND(IF(metadata!P158="",FALSE,TRUE),OR(exact(metadata!P158,"missing: not collected"),exact(metadata!P158,"missing: not provided"))),AND(IF(metadata!P158="",FALSE,IF(ISERROR(INT(metadata!P158)),FALSE,INT(metadata!P158)=metadata!P158)),metadata!P158&gt;0))</f>
        <v>0</v>
      </c>
      <c r="AQ158">
        <f>IF(metadata!Q158="",FALSE,TRUE)</f>
        <v>0</v>
      </c>
    </row>
    <row r="159" spans="1:43">
      <c r="A159" s="5">
        <f>IF(B159=" "," ",HYPERLINK(CONCATENATE("#metadata!",ADDRESS(INDEX($W$2:$W$1001,MATCH(ROWS($U$2:U159),$U$2:$U$1001,0),0),1)),INDEX($Z$2:$Z$1001,MATCH(ROWS($U$2:U159),$U$2:$U$1001,0),0)))</f>
        <v>0</v>
      </c>
      <c r="B159" s="4">
        <f>IF(OR(INDEX($V$2:$V$1001,MATCH(ROWS($U$2:U159),$U$2:$U$1001,0),1)&gt;=100000,INDEX($AB$1005:$AQ$1005,1,MATCH(COLUMNS($AB$1006:AB1006),$AB$1006:$AQ$1006,0))&gt;=100000), " ",IF(INDEX($AB$2:$AQ$1001,MATCH(ROWS($U$2:U159),$U$2:$U$1001,0),MATCH(COLUMNS($AB$1006:AB1006),$AB$1006:$AQ$1006,0)), HYPERLINK("#",""), HYPERLINK(CONCATENATE("#metadata!", ADDRESS(INDEX($W$2:$W$1001,MATCH(ROWS($U$2:U159),$U$2:$U$1001,0),0), INDEX($AB$1004:$AQ$1004,1,MATCH(COLUMNS($AB$1006:AB1006),$AB$1006:$AQ$1006,0)))),"Fix")))</f>
        <v>0</v>
      </c>
      <c r="C159" s="4">
        <f>IF(OR(INDEX($V$2:$V$1001,MATCH(ROWS($U$2:U159),$U$2:$U$1001,0),1)&gt;=100000,INDEX($AB$1005:$AQ$1005,1,MATCH(COLUMNS($AB$1006:AC1006),$AB$1006:$AQ$1006,0))&gt;=100000), " ",IF(INDEX($AB$2:$AQ$1001,MATCH(ROWS($U$2:U159),$U$2:$U$1001,0),MATCH(COLUMNS($AB$1006:AC1006),$AB$1006:$AQ$1006,0)), HYPERLINK("#",""), HYPERLINK(CONCATENATE("#metadata!", ADDRESS(INDEX($W$2:$W$1001,MATCH(ROWS($U$2:U159),$U$2:$U$1001,0),0), INDEX($AB$1004:$AQ$1004,1,MATCH(COLUMNS($AB$1006:AC1006),$AB$1006:$AQ$1006,0)))),"Fix")))</f>
        <v>0</v>
      </c>
      <c r="D159" s="4">
        <f>IF(OR(INDEX($V$2:$V$1001,MATCH(ROWS($U$2:U159),$U$2:$U$1001,0),1)&gt;=100000,INDEX($AB$1005:$AQ$1005,1,MATCH(COLUMNS($AB$1006:AD1006),$AB$1006:$AQ$1006,0))&gt;=100000), " ",IF(INDEX($AB$2:$AQ$1001,MATCH(ROWS($U$2:U159),$U$2:$U$1001,0),MATCH(COLUMNS($AB$1006:AD1006),$AB$1006:$AQ$1006,0)), HYPERLINK("#",""), HYPERLINK(CONCATENATE("#metadata!", ADDRESS(INDEX($W$2:$W$1001,MATCH(ROWS($U$2:U159),$U$2:$U$1001,0),0), INDEX($AB$1004:$AQ$1004,1,MATCH(COLUMNS($AB$1006:AD1006),$AB$1006:$AQ$1006,0)))),"Fix")))</f>
        <v>0</v>
      </c>
      <c r="E159" s="4">
        <f>IF(OR(INDEX($V$2:$V$1001,MATCH(ROWS($U$2:U159),$U$2:$U$1001,0),1)&gt;=100000,INDEX($AB$1005:$AQ$1005,1,MATCH(COLUMNS($AB$1006:AE1006),$AB$1006:$AQ$1006,0))&gt;=100000), " ",IF(INDEX($AB$2:$AQ$1001,MATCH(ROWS($U$2:U159),$U$2:$U$1001,0),MATCH(COLUMNS($AB$1006:AE1006),$AB$1006:$AQ$1006,0)), HYPERLINK("#",""), HYPERLINK(CONCATENATE("#metadata!", ADDRESS(INDEX($W$2:$W$1001,MATCH(ROWS($U$2:U159),$U$2:$U$1001,0),0), INDEX($AB$1004:$AQ$1004,1,MATCH(COLUMNS($AB$1006:AE1006),$AB$1006:$AQ$1006,0)))),"Fix")))</f>
        <v>0</v>
      </c>
      <c r="F159" s="4">
        <f>IF(OR(INDEX($V$2:$V$1001,MATCH(ROWS($U$2:U159),$U$2:$U$1001,0),1)&gt;=100000,INDEX($AB$1005:$AQ$1005,1,MATCH(COLUMNS($AB$1006:AF1006),$AB$1006:$AQ$1006,0))&gt;=100000), " ",IF(INDEX($AB$2:$AQ$1001,MATCH(ROWS($U$2:U159),$U$2:$U$1001,0),MATCH(COLUMNS($AB$1006:AF1006),$AB$1006:$AQ$1006,0)), HYPERLINK("#",""), HYPERLINK(CONCATENATE("#metadata!", ADDRESS(INDEX($W$2:$W$1001,MATCH(ROWS($U$2:U159),$U$2:$U$1001,0),0), INDEX($AB$1004:$AQ$1004,1,MATCH(COLUMNS($AB$1006:AF1006),$AB$1006:$AQ$1006,0)))),"Fix")))</f>
        <v>0</v>
      </c>
      <c r="G159" s="4">
        <f>IF(OR(INDEX($V$2:$V$1001,MATCH(ROWS($U$2:U159),$U$2:$U$1001,0),1)&gt;=100000,INDEX($AB$1005:$AQ$1005,1,MATCH(COLUMNS($AB$1006:AG1006),$AB$1006:$AQ$1006,0))&gt;=100000), " ",IF(INDEX($AB$2:$AQ$1001,MATCH(ROWS($U$2:U159),$U$2:$U$1001,0),MATCH(COLUMNS($AB$1006:AG1006),$AB$1006:$AQ$1006,0)), HYPERLINK("#",""), HYPERLINK(CONCATENATE("#metadata!", ADDRESS(INDEX($W$2:$W$1001,MATCH(ROWS($U$2:U159),$U$2:$U$1001,0),0), INDEX($AB$1004:$AQ$1004,1,MATCH(COLUMNS($AB$1006:AG1006),$AB$1006:$AQ$1006,0)))),"Fix")))</f>
        <v>0</v>
      </c>
      <c r="H159" s="4">
        <f>IF(OR(INDEX($V$2:$V$1001,MATCH(ROWS($U$2:U159),$U$2:$U$1001,0),1)&gt;=100000,INDEX($AB$1005:$AQ$1005,1,MATCH(COLUMNS($AB$1006:AH1006),$AB$1006:$AQ$1006,0))&gt;=100000), " ",IF(INDEX($AB$2:$AQ$1001,MATCH(ROWS($U$2:U159),$U$2:$U$1001,0),MATCH(COLUMNS($AB$1006:AH1006),$AB$1006:$AQ$1006,0)), HYPERLINK("#",""), HYPERLINK(CONCATENATE("#metadata!", ADDRESS(INDEX($W$2:$W$1001,MATCH(ROWS($U$2:U159),$U$2:$U$1001,0),0), INDEX($AB$1004:$AQ$1004,1,MATCH(COLUMNS($AB$1006:AH1006),$AB$1006:$AQ$1006,0)))),"Fix")))</f>
        <v>0</v>
      </c>
      <c r="I159" s="4">
        <f>IF(OR(INDEX($V$2:$V$1001,MATCH(ROWS($U$2:U159),$U$2:$U$1001,0),1)&gt;=100000,INDEX($AB$1005:$AQ$1005,1,MATCH(COLUMNS($AB$1006:AI1006),$AB$1006:$AQ$1006,0))&gt;=100000), " ",IF(INDEX($AB$2:$AQ$1001,MATCH(ROWS($U$2:U159),$U$2:$U$1001,0),MATCH(COLUMNS($AB$1006:AI1006),$AB$1006:$AQ$1006,0)), HYPERLINK("#",""), HYPERLINK(CONCATENATE("#metadata!", ADDRESS(INDEX($W$2:$W$1001,MATCH(ROWS($U$2:U159),$U$2:$U$1001,0),0), INDEX($AB$1004:$AQ$1004,1,MATCH(COLUMNS($AB$1006:AI1006),$AB$1006:$AQ$1006,0)))),"Fix")))</f>
        <v>0</v>
      </c>
      <c r="J159" s="4">
        <f>IF(OR(INDEX($V$2:$V$1001,MATCH(ROWS($U$2:U159),$U$2:$U$1001,0),1)&gt;=100000,INDEX($AB$1005:$AQ$1005,1,MATCH(COLUMNS($AB$1006:AJ1006),$AB$1006:$AQ$1006,0))&gt;=100000), " ",IF(INDEX($AB$2:$AQ$1001,MATCH(ROWS($U$2:U159),$U$2:$U$1001,0),MATCH(COLUMNS($AB$1006:AJ1006),$AB$1006:$AQ$1006,0)), HYPERLINK("#",""), HYPERLINK(CONCATENATE("#metadata!", ADDRESS(INDEX($W$2:$W$1001,MATCH(ROWS($U$2:U159),$U$2:$U$1001,0),0), INDEX($AB$1004:$AQ$1004,1,MATCH(COLUMNS($AB$1006:AJ1006),$AB$1006:$AQ$1006,0)))),"Fix")))</f>
        <v>0</v>
      </c>
      <c r="K159" s="4">
        <f>IF(OR(INDEX($V$2:$V$1001,MATCH(ROWS($U$2:U159),$U$2:$U$1001,0),1)&gt;=100000,INDEX($AB$1005:$AQ$1005,1,MATCH(COLUMNS($AB$1006:AK1006),$AB$1006:$AQ$1006,0))&gt;=100000), " ",IF(INDEX($AB$2:$AQ$1001,MATCH(ROWS($U$2:U159),$U$2:$U$1001,0),MATCH(COLUMNS($AB$1006:AK1006),$AB$1006:$AQ$1006,0)), HYPERLINK("#",""), HYPERLINK(CONCATENATE("#metadata!", ADDRESS(INDEX($W$2:$W$1001,MATCH(ROWS($U$2:U159),$U$2:$U$1001,0),0), INDEX($AB$1004:$AQ$1004,1,MATCH(COLUMNS($AB$1006:AK1006),$AB$1006:$AQ$1006,0)))),"Fix")))</f>
        <v>0</v>
      </c>
      <c r="L159" s="4">
        <f>IF(OR(INDEX($V$2:$V$1001,MATCH(ROWS($U$2:U159),$U$2:$U$1001,0),1)&gt;=100000,INDEX($AB$1005:$AQ$1005,1,MATCH(COLUMNS($AB$1006:AL1006),$AB$1006:$AQ$1006,0))&gt;=100000), " ",IF(INDEX($AB$2:$AQ$1001,MATCH(ROWS($U$2:U159),$U$2:$U$1001,0),MATCH(COLUMNS($AB$1006:AL1006),$AB$1006:$AQ$1006,0)), HYPERLINK("#",""), HYPERLINK(CONCATENATE("#metadata!", ADDRESS(INDEX($W$2:$W$1001,MATCH(ROWS($U$2:U159),$U$2:$U$1001,0),0), INDEX($AB$1004:$AQ$1004,1,MATCH(COLUMNS($AB$1006:AL1006),$AB$1006:$AQ$1006,0)))),"Fix")))</f>
        <v>0</v>
      </c>
      <c r="M159" s="4">
        <f>IF(OR(INDEX($V$2:$V$1001,MATCH(ROWS($U$2:U159),$U$2:$U$1001,0),1)&gt;=100000,INDEX($AB$1005:$AQ$1005,1,MATCH(COLUMNS($AB$1006:AM1006),$AB$1006:$AQ$1006,0))&gt;=100000), " ",IF(INDEX($AB$2:$AQ$1001,MATCH(ROWS($U$2:U159),$U$2:$U$1001,0),MATCH(COLUMNS($AB$1006:AM1006),$AB$1006:$AQ$1006,0)), HYPERLINK("#",""), HYPERLINK(CONCATENATE("#metadata!", ADDRESS(INDEX($W$2:$W$1001,MATCH(ROWS($U$2:U159),$U$2:$U$1001,0),0), INDEX($AB$1004:$AQ$1004,1,MATCH(COLUMNS($AB$1006:AM1006),$AB$1006:$AQ$1006,0)))),"Fix")))</f>
        <v>0</v>
      </c>
      <c r="N159" s="4">
        <f>IF(OR(INDEX($V$2:$V$1001,MATCH(ROWS($U$2:U159),$U$2:$U$1001,0),1)&gt;=100000,INDEX($AB$1005:$AQ$1005,1,MATCH(COLUMNS($AB$1006:AN1006),$AB$1006:$AQ$1006,0))&gt;=100000), " ",IF(INDEX($AB$2:$AQ$1001,MATCH(ROWS($U$2:U159),$U$2:$U$1001,0),MATCH(COLUMNS($AB$1006:AN1006),$AB$1006:$AQ$1006,0)), HYPERLINK("#",""), HYPERLINK(CONCATENATE("#metadata!", ADDRESS(INDEX($W$2:$W$1001,MATCH(ROWS($U$2:U159),$U$2:$U$1001,0),0), INDEX($AB$1004:$AQ$1004,1,MATCH(COLUMNS($AB$1006:AN1006),$AB$1006:$AQ$1006,0)))),"Fix")))</f>
        <v>0</v>
      </c>
      <c r="O159" s="4">
        <f>IF(OR(INDEX($V$2:$V$1001,MATCH(ROWS($U$2:U159),$U$2:$U$1001,0),1)&gt;=100000,INDEX($AB$1005:$AQ$1005,1,MATCH(COLUMNS($AB$1006:AO1006),$AB$1006:$AQ$1006,0))&gt;=100000), " ",IF(INDEX($AB$2:$AQ$1001,MATCH(ROWS($U$2:U159),$U$2:$U$1001,0),MATCH(COLUMNS($AB$1006:AO1006),$AB$1006:$AQ$1006,0)), HYPERLINK("#",""), HYPERLINK(CONCATENATE("#metadata!", ADDRESS(INDEX($W$2:$W$1001,MATCH(ROWS($U$2:U159),$U$2:$U$1001,0),0), INDEX($AB$1004:$AQ$1004,1,MATCH(COLUMNS($AB$1006:AO1006),$AB$1006:$AQ$1006,0)))),"Fix")))</f>
        <v>0</v>
      </c>
      <c r="P159" s="4">
        <f>IF(OR(INDEX($V$2:$V$1001,MATCH(ROWS($U$2:U159),$U$2:$U$1001,0),1)&gt;=100000,INDEX($AB$1005:$AQ$1005,1,MATCH(COLUMNS($AB$1006:AP1006),$AB$1006:$AQ$1006,0))&gt;=100000), " ",IF(INDEX($AB$2:$AQ$1001,MATCH(ROWS($U$2:U159),$U$2:$U$1001,0),MATCH(COLUMNS($AB$1006:AP1006),$AB$1006:$AQ$1006,0)), HYPERLINK("#",""), HYPERLINK(CONCATENATE("#metadata!", ADDRESS(INDEX($W$2:$W$1001,MATCH(ROWS($U$2:U159),$U$2:$U$1001,0),0), INDEX($AB$1004:$AQ$1004,1,MATCH(COLUMNS($AB$1006:AP1006),$AB$1006:$AQ$1006,0)))),"Fix")))</f>
        <v>0</v>
      </c>
      <c r="Q159" s="4">
        <f>IF(OR(INDEX($V$2:$V$1001,MATCH(ROWS($U$2:U159),$U$2:$U$1001,0),1)&gt;=100000,INDEX($AB$1005:$AQ$1005,1,MATCH(COLUMNS($AB$1006:AQ1006),$AB$1006:$AQ$1006,0))&gt;=100000), " ",IF(INDEX($AB$2:$AQ$1001,MATCH(ROWS($U$2:U159),$U$2:$U$1001,0),MATCH(COLUMNS($AB$1006:AQ1006),$AB$1006:$AQ$1006,0)), HYPERLINK("#",""), HYPERLINK(CONCATENATE("#metadata!", ADDRESS(INDEX($W$2:$W$1001,MATCH(ROWS($U$2:U159),$U$2:$U$1001,0),0), INDEX($AB$1004:$AQ$1004,1,MATCH(COLUMNS($AB$1006:AQ1006),$AB$1006:$AQ$1006,0)))),"Fix")))</f>
        <v>0</v>
      </c>
      <c r="U159">
        <v>0</v>
      </c>
      <c r="V159">
        <v>0</v>
      </c>
      <c r="W159">
        <v>0</v>
      </c>
      <c r="X159">
        <f>IF(Y159,TRUE,AND(AB159:AQ159))</f>
        <v>0</v>
      </c>
      <c r="Y159">
        <f>COUNTBLANK(metadata!B159:Q159)=COLUMNS(metadata!B159:Q159)</f>
        <v>0</v>
      </c>
      <c r="Z159">
        <v>0</v>
      </c>
      <c r="AB159">
        <f>AND(IF(metadata!B159="",FALSE,TRUE),COUNTIF(metadata!B:B, metadata!B159) = 1,NOT(ISERROR(SUMPRODUCT(SEARCH(MID(metadata!B159,ROW(INDIRECT("1:"&amp;LEN(metadata!B159))), 1),"0123456789abcdefghijklmnopqrstuvwxyzABCDEFGHIJKLMNOPQRSTUVWXYZ.")))))</f>
        <v>0</v>
      </c>
      <c r="AC159">
        <f>OR(AND(IF(metadata!C159="",FALSE,TRUE),OR(exact(metadata!C159,"missing: not collected"),exact(metadata!C159,"missing: not provided"),exact(metadata!C159,"missing: restricted access"))),AND(IF(metadata!C159="",FALSE,TRUE),AND(AND(IFERROR(INT(LEFT(metadata!C159,4))&gt;1900,FALSE),IFERROR(INT(LEFT(metadata!C159,4))&lt;=YEAR(NOW()),FALSE)), OR(MID(metadata!C159,5,1)="", AND(AND(MID(metadata!C159,5,1)="-",IFERROR(INT(MID(metadata!C159,6,1))&gt;=0,FALSE),IFERROR(INT(MID(metadata!C159,6,1))&lt;=1,FALSE),NOT(MID(metadata!C159,7,1)=""),IFERROR(INT(MID(metadata!C159,6,2))&gt;=1,FALSE),IFERROR(INT(MID(metadata!C159,6,2))&lt;=12,FALSE)), OR(MID(metadata!C159,8,1)="", AND(AND(MID(metadata!C159,8,1)="-",IFERROR(INT(MID(metadata!C159,9,1))&gt;=0,FALSE),IFERROR(INT(MID(metadata!C159,9,1))&lt;=3,FALSE),NOT(MID(metadata!C159,10,1)=""),IFERROR(INT(MID(metadata!C159,9,2))&gt;=1,FALSE),IFERROR(INT(MID(metadata!C159,9,2))&lt;=31,FALSE)), OR(MID(metadata!C159,11,1)="", AND(AND(MID(metadata!C159,11,1)=" ",IFERROR(INT(MID(metadata!C159,12,1))&gt;=0,FALSE),IFERROR(INT(MID(metadata!C159,12,1))&lt;=2,FALSE),NOT(MID(metadata!C159,13,1)=""),IFERROR(INT(MID(metadata!C159,12,2))&gt;=0,FALSE),IFERROR(INT(MID(metadata!C159,12,2))&lt;=23,FALSE)), OR(MID(metadata!C159,14,1)="", AND(AND(MID(metadata!C159,14,1)=":",IFERROR(INT(MID(metadata!C159,15,1))&gt;=0,FALSE),IFERROR(INT(MID(metadata!C159,15,1))&lt;=5,FALSE),NOT(MID(metadata!C159,16,1)=""),IFERROR(INT(MID(metadata!C159,15,2))&gt;=0,FALSE),IFERROR(INT(MID(metadata!C159,15,2))&lt;=59,FALSE)), OR(MID(metadata!C159,17,1)="", AND(AND(MID(metadata!C159,17,1)=":",IFERROR(INT(MID(metadata!C159,18,1))&gt;=0,FALSE),IFERROR(INT(MID(metadata!C159,18,1))&lt;=5,FALSE),NOT(MID(metadata!C159,19,1)=""),IFERROR(INT(MID(metadata!C159,18,2))&gt;=0,FALSE),IFERROR(INT(MID(metadata!C159,18,2))&lt;=59,FALSE)), LEN(metadata!C159)&lt;=19)))))))))))))</f>
        <v>0</v>
      </c>
      <c r="AD159">
        <f>IF(metadata!D159="",FALSE,TRUE)</f>
        <v>0</v>
      </c>
      <c r="AE159">
        <f>OR(AND(IF(metadata!E159="",FALSE,TRUE),OR(exact(metadata!E159,"missing: not collected"),exact(metadata!E159,"missing: not provided"))),AND(IF(metadata!E159="",FALSE,TRUE),OR(exact(metadata!E159,"TRUE"),exact(metadata!E159,"FALSE"))))</f>
        <v>0</v>
      </c>
      <c r="AF159">
        <f>IF(metadata!F159="",FALSE,TRUE)</f>
        <v>0</v>
      </c>
      <c r="AG159">
        <f>IF(metadata!G159="",FALSE,TRUE)</f>
        <v>0</v>
      </c>
      <c r="AH159">
        <f>IF(metadata!H159="",FALSE,TRUE)</f>
        <v>0</v>
      </c>
      <c r="AI159">
        <f>OR(AND(IF(metadata!I159="",FALSE,TRUE),OR(exact(metadata!I159,"missing: not collected"),exact(metadata!I159,"missing: not provided"),exact(metadata!I159,"missing: restricted access"))),AND(IF(metadata!I159="",FALSE,TRUE),OR(exact(metadata!I159,"air"),exact(metadata!I159,"built environment"),exact(metadata!I159,"host-associated"),exact(metadata!I159,"human-associated"),exact(metadata!I159,"human-skin"),exact(metadata!I159,"human-oral"),exact(metadata!I159,"human-gut"),exact(metadata!I159,"human-vaginal"),exact(metadata!I159,"microbial mat/biofilm"),exact(metadata!I159,"misc environment"),exact(metadata!I159,"plant-associated"),exact(metadata!I159,"sediment"),exact(metadata!I159,"soil"),exact(metadata!I159,"wastewater/sludge"),exact(metadata!I159,"water"))))</f>
        <v>0</v>
      </c>
      <c r="AJ159">
        <f>IF(metadata!J159="",FALSE,TRUE)</f>
        <v>0</v>
      </c>
      <c r="AK159">
        <f>OR(AND(IF(metadata!K159="",FALSE,TRUE),OR(exact(metadata!K159,"missing: not collected"),exact(metadata!K159,"missing: not provided"),exact(metadata!K159,"missing: restricted access"))),AND(IF(metadata!K159="",FALSE,ISNUMBER(VALUE(metadata!K159))),metadata!K159&gt;=-90.00,metadata!K159&lt;=90.00))</f>
        <v>0</v>
      </c>
      <c r="AL159">
        <f>OR(AND(IF(metadata!L159="",FALSE,TRUE),OR(exact(metadata!L159,"missing: not collected"),exact(metadata!L159,"missing: not provided"),exact(metadata!L159,"missing: restricted access"))),AND(IF(metadata!L159="",FALSE,ISNUMBER(VALUE(metadata!L159))),metadata!L159&gt;=-180.00,metadata!L159&lt;=180.00))</f>
        <v>0</v>
      </c>
      <c r="AM159">
        <f>IF(metadata!M159="",FALSE,TRUE)</f>
        <v>0</v>
      </c>
      <c r="AN159">
        <f>OR(AND(IF(metadata!N159="",FALSE,TRUE),OR(exact(metadata!N159,"missing: not collected"),exact(metadata!N159,"missing: not provided"),exact(metadata!N159,"missing: restricted access"))),AND(IF(metadata!N159="",FALSE,TRUE),OR(exact(metadata!N159,"TRUE"),exact(metadata!N159,"FALSE"))))</f>
        <v>0</v>
      </c>
      <c r="AO159">
        <f>IF(metadata!O159="",FALSE,TRUE)</f>
        <v>0</v>
      </c>
      <c r="AP159">
        <f>OR(AND(IF(metadata!P159="",FALSE,TRUE),OR(exact(metadata!P159,"missing: not collected"),exact(metadata!P159,"missing: not provided"))),AND(IF(metadata!P159="",FALSE,IF(ISERROR(INT(metadata!P159)),FALSE,INT(metadata!P159)=metadata!P159)),metadata!P159&gt;0))</f>
        <v>0</v>
      </c>
      <c r="AQ159">
        <f>IF(metadata!Q159="",FALSE,TRUE)</f>
        <v>0</v>
      </c>
    </row>
    <row r="160" spans="1:43">
      <c r="A160" s="5">
        <f>IF(B160=" "," ",HYPERLINK(CONCATENATE("#metadata!",ADDRESS(INDEX($W$2:$W$1001,MATCH(ROWS($U$2:U160),$U$2:$U$1001,0),0),1)),INDEX($Z$2:$Z$1001,MATCH(ROWS($U$2:U160),$U$2:$U$1001,0),0)))</f>
        <v>0</v>
      </c>
      <c r="B160" s="4">
        <f>IF(OR(INDEX($V$2:$V$1001,MATCH(ROWS($U$2:U160),$U$2:$U$1001,0),1)&gt;=100000,INDEX($AB$1005:$AQ$1005,1,MATCH(COLUMNS($AB$1006:AB1006),$AB$1006:$AQ$1006,0))&gt;=100000), " ",IF(INDEX($AB$2:$AQ$1001,MATCH(ROWS($U$2:U160),$U$2:$U$1001,0),MATCH(COLUMNS($AB$1006:AB1006),$AB$1006:$AQ$1006,0)), HYPERLINK("#",""), HYPERLINK(CONCATENATE("#metadata!", ADDRESS(INDEX($W$2:$W$1001,MATCH(ROWS($U$2:U160),$U$2:$U$1001,0),0), INDEX($AB$1004:$AQ$1004,1,MATCH(COLUMNS($AB$1006:AB1006),$AB$1006:$AQ$1006,0)))),"Fix")))</f>
        <v>0</v>
      </c>
      <c r="C160" s="4">
        <f>IF(OR(INDEX($V$2:$V$1001,MATCH(ROWS($U$2:U160),$U$2:$U$1001,0),1)&gt;=100000,INDEX($AB$1005:$AQ$1005,1,MATCH(COLUMNS($AB$1006:AC1006),$AB$1006:$AQ$1006,0))&gt;=100000), " ",IF(INDEX($AB$2:$AQ$1001,MATCH(ROWS($U$2:U160),$U$2:$U$1001,0),MATCH(COLUMNS($AB$1006:AC1006),$AB$1006:$AQ$1006,0)), HYPERLINK("#",""), HYPERLINK(CONCATENATE("#metadata!", ADDRESS(INDEX($W$2:$W$1001,MATCH(ROWS($U$2:U160),$U$2:$U$1001,0),0), INDEX($AB$1004:$AQ$1004,1,MATCH(COLUMNS($AB$1006:AC1006),$AB$1006:$AQ$1006,0)))),"Fix")))</f>
        <v>0</v>
      </c>
      <c r="D160" s="4">
        <f>IF(OR(INDEX($V$2:$V$1001,MATCH(ROWS($U$2:U160),$U$2:$U$1001,0),1)&gt;=100000,INDEX($AB$1005:$AQ$1005,1,MATCH(COLUMNS($AB$1006:AD1006),$AB$1006:$AQ$1006,0))&gt;=100000), " ",IF(INDEX($AB$2:$AQ$1001,MATCH(ROWS($U$2:U160),$U$2:$U$1001,0),MATCH(COLUMNS($AB$1006:AD1006),$AB$1006:$AQ$1006,0)), HYPERLINK("#",""), HYPERLINK(CONCATENATE("#metadata!", ADDRESS(INDEX($W$2:$W$1001,MATCH(ROWS($U$2:U160),$U$2:$U$1001,0),0), INDEX($AB$1004:$AQ$1004,1,MATCH(COLUMNS($AB$1006:AD1006),$AB$1006:$AQ$1006,0)))),"Fix")))</f>
        <v>0</v>
      </c>
      <c r="E160" s="4">
        <f>IF(OR(INDEX($V$2:$V$1001,MATCH(ROWS($U$2:U160),$U$2:$U$1001,0),1)&gt;=100000,INDEX($AB$1005:$AQ$1005,1,MATCH(COLUMNS($AB$1006:AE1006),$AB$1006:$AQ$1006,0))&gt;=100000), " ",IF(INDEX($AB$2:$AQ$1001,MATCH(ROWS($U$2:U160),$U$2:$U$1001,0),MATCH(COLUMNS($AB$1006:AE1006),$AB$1006:$AQ$1006,0)), HYPERLINK("#",""), HYPERLINK(CONCATENATE("#metadata!", ADDRESS(INDEX($W$2:$W$1001,MATCH(ROWS($U$2:U160),$U$2:$U$1001,0),0), INDEX($AB$1004:$AQ$1004,1,MATCH(COLUMNS($AB$1006:AE1006),$AB$1006:$AQ$1006,0)))),"Fix")))</f>
        <v>0</v>
      </c>
      <c r="F160" s="4">
        <f>IF(OR(INDEX($V$2:$V$1001,MATCH(ROWS($U$2:U160),$U$2:$U$1001,0),1)&gt;=100000,INDEX($AB$1005:$AQ$1005,1,MATCH(COLUMNS($AB$1006:AF1006),$AB$1006:$AQ$1006,0))&gt;=100000), " ",IF(INDEX($AB$2:$AQ$1001,MATCH(ROWS($U$2:U160),$U$2:$U$1001,0),MATCH(COLUMNS($AB$1006:AF1006),$AB$1006:$AQ$1006,0)), HYPERLINK("#",""), HYPERLINK(CONCATENATE("#metadata!", ADDRESS(INDEX($W$2:$W$1001,MATCH(ROWS($U$2:U160),$U$2:$U$1001,0),0), INDEX($AB$1004:$AQ$1004,1,MATCH(COLUMNS($AB$1006:AF1006),$AB$1006:$AQ$1006,0)))),"Fix")))</f>
        <v>0</v>
      </c>
      <c r="G160" s="4">
        <f>IF(OR(INDEX($V$2:$V$1001,MATCH(ROWS($U$2:U160),$U$2:$U$1001,0),1)&gt;=100000,INDEX($AB$1005:$AQ$1005,1,MATCH(COLUMNS($AB$1006:AG1006),$AB$1006:$AQ$1006,0))&gt;=100000), " ",IF(INDEX($AB$2:$AQ$1001,MATCH(ROWS($U$2:U160),$U$2:$U$1001,0),MATCH(COLUMNS($AB$1006:AG1006),$AB$1006:$AQ$1006,0)), HYPERLINK("#",""), HYPERLINK(CONCATENATE("#metadata!", ADDRESS(INDEX($W$2:$W$1001,MATCH(ROWS($U$2:U160),$U$2:$U$1001,0),0), INDEX($AB$1004:$AQ$1004,1,MATCH(COLUMNS($AB$1006:AG1006),$AB$1006:$AQ$1006,0)))),"Fix")))</f>
        <v>0</v>
      </c>
      <c r="H160" s="4">
        <f>IF(OR(INDEX($V$2:$V$1001,MATCH(ROWS($U$2:U160),$U$2:$U$1001,0),1)&gt;=100000,INDEX($AB$1005:$AQ$1005,1,MATCH(COLUMNS($AB$1006:AH1006),$AB$1006:$AQ$1006,0))&gt;=100000), " ",IF(INDEX($AB$2:$AQ$1001,MATCH(ROWS($U$2:U160),$U$2:$U$1001,0),MATCH(COLUMNS($AB$1006:AH1006),$AB$1006:$AQ$1006,0)), HYPERLINK("#",""), HYPERLINK(CONCATENATE("#metadata!", ADDRESS(INDEX($W$2:$W$1001,MATCH(ROWS($U$2:U160),$U$2:$U$1001,0),0), INDEX($AB$1004:$AQ$1004,1,MATCH(COLUMNS($AB$1006:AH1006),$AB$1006:$AQ$1006,0)))),"Fix")))</f>
        <v>0</v>
      </c>
      <c r="I160" s="4">
        <f>IF(OR(INDEX($V$2:$V$1001,MATCH(ROWS($U$2:U160),$U$2:$U$1001,0),1)&gt;=100000,INDEX($AB$1005:$AQ$1005,1,MATCH(COLUMNS($AB$1006:AI1006),$AB$1006:$AQ$1006,0))&gt;=100000), " ",IF(INDEX($AB$2:$AQ$1001,MATCH(ROWS($U$2:U160),$U$2:$U$1001,0),MATCH(COLUMNS($AB$1006:AI1006),$AB$1006:$AQ$1006,0)), HYPERLINK("#",""), HYPERLINK(CONCATENATE("#metadata!", ADDRESS(INDEX($W$2:$W$1001,MATCH(ROWS($U$2:U160),$U$2:$U$1001,0),0), INDEX($AB$1004:$AQ$1004,1,MATCH(COLUMNS($AB$1006:AI1006),$AB$1006:$AQ$1006,0)))),"Fix")))</f>
        <v>0</v>
      </c>
      <c r="J160" s="4">
        <f>IF(OR(INDEX($V$2:$V$1001,MATCH(ROWS($U$2:U160),$U$2:$U$1001,0),1)&gt;=100000,INDEX($AB$1005:$AQ$1005,1,MATCH(COLUMNS($AB$1006:AJ1006),$AB$1006:$AQ$1006,0))&gt;=100000), " ",IF(INDEX($AB$2:$AQ$1001,MATCH(ROWS($U$2:U160),$U$2:$U$1001,0),MATCH(COLUMNS($AB$1006:AJ1006),$AB$1006:$AQ$1006,0)), HYPERLINK("#",""), HYPERLINK(CONCATENATE("#metadata!", ADDRESS(INDEX($W$2:$W$1001,MATCH(ROWS($U$2:U160),$U$2:$U$1001,0),0), INDEX($AB$1004:$AQ$1004,1,MATCH(COLUMNS($AB$1006:AJ1006),$AB$1006:$AQ$1006,0)))),"Fix")))</f>
        <v>0</v>
      </c>
      <c r="K160" s="4">
        <f>IF(OR(INDEX($V$2:$V$1001,MATCH(ROWS($U$2:U160),$U$2:$U$1001,0),1)&gt;=100000,INDEX($AB$1005:$AQ$1005,1,MATCH(COLUMNS($AB$1006:AK1006),$AB$1006:$AQ$1006,0))&gt;=100000), " ",IF(INDEX($AB$2:$AQ$1001,MATCH(ROWS($U$2:U160),$U$2:$U$1001,0),MATCH(COLUMNS($AB$1006:AK1006),$AB$1006:$AQ$1006,0)), HYPERLINK("#",""), HYPERLINK(CONCATENATE("#metadata!", ADDRESS(INDEX($W$2:$W$1001,MATCH(ROWS($U$2:U160),$U$2:$U$1001,0),0), INDEX($AB$1004:$AQ$1004,1,MATCH(COLUMNS($AB$1006:AK1006),$AB$1006:$AQ$1006,0)))),"Fix")))</f>
        <v>0</v>
      </c>
      <c r="L160" s="4">
        <f>IF(OR(INDEX($V$2:$V$1001,MATCH(ROWS($U$2:U160),$U$2:$U$1001,0),1)&gt;=100000,INDEX($AB$1005:$AQ$1005,1,MATCH(COLUMNS($AB$1006:AL1006),$AB$1006:$AQ$1006,0))&gt;=100000), " ",IF(INDEX($AB$2:$AQ$1001,MATCH(ROWS($U$2:U160),$U$2:$U$1001,0),MATCH(COLUMNS($AB$1006:AL1006),$AB$1006:$AQ$1006,0)), HYPERLINK("#",""), HYPERLINK(CONCATENATE("#metadata!", ADDRESS(INDEX($W$2:$W$1001,MATCH(ROWS($U$2:U160),$U$2:$U$1001,0),0), INDEX($AB$1004:$AQ$1004,1,MATCH(COLUMNS($AB$1006:AL1006),$AB$1006:$AQ$1006,0)))),"Fix")))</f>
        <v>0</v>
      </c>
      <c r="M160" s="4">
        <f>IF(OR(INDEX($V$2:$V$1001,MATCH(ROWS($U$2:U160),$U$2:$U$1001,0),1)&gt;=100000,INDEX($AB$1005:$AQ$1005,1,MATCH(COLUMNS($AB$1006:AM1006),$AB$1006:$AQ$1006,0))&gt;=100000), " ",IF(INDEX($AB$2:$AQ$1001,MATCH(ROWS($U$2:U160),$U$2:$U$1001,0),MATCH(COLUMNS($AB$1006:AM1006),$AB$1006:$AQ$1006,0)), HYPERLINK("#",""), HYPERLINK(CONCATENATE("#metadata!", ADDRESS(INDEX($W$2:$W$1001,MATCH(ROWS($U$2:U160),$U$2:$U$1001,0),0), INDEX($AB$1004:$AQ$1004,1,MATCH(COLUMNS($AB$1006:AM1006),$AB$1006:$AQ$1006,0)))),"Fix")))</f>
        <v>0</v>
      </c>
      <c r="N160" s="4">
        <f>IF(OR(INDEX($V$2:$V$1001,MATCH(ROWS($U$2:U160),$U$2:$U$1001,0),1)&gt;=100000,INDEX($AB$1005:$AQ$1005,1,MATCH(COLUMNS($AB$1006:AN1006),$AB$1006:$AQ$1006,0))&gt;=100000), " ",IF(INDEX($AB$2:$AQ$1001,MATCH(ROWS($U$2:U160),$U$2:$U$1001,0),MATCH(COLUMNS($AB$1006:AN1006),$AB$1006:$AQ$1006,0)), HYPERLINK("#",""), HYPERLINK(CONCATENATE("#metadata!", ADDRESS(INDEX($W$2:$W$1001,MATCH(ROWS($U$2:U160),$U$2:$U$1001,0),0), INDEX($AB$1004:$AQ$1004,1,MATCH(COLUMNS($AB$1006:AN1006),$AB$1006:$AQ$1006,0)))),"Fix")))</f>
        <v>0</v>
      </c>
      <c r="O160" s="4">
        <f>IF(OR(INDEX($V$2:$V$1001,MATCH(ROWS($U$2:U160),$U$2:$U$1001,0),1)&gt;=100000,INDEX($AB$1005:$AQ$1005,1,MATCH(COLUMNS($AB$1006:AO1006),$AB$1006:$AQ$1006,0))&gt;=100000), " ",IF(INDEX($AB$2:$AQ$1001,MATCH(ROWS($U$2:U160),$U$2:$U$1001,0),MATCH(COLUMNS($AB$1006:AO1006),$AB$1006:$AQ$1006,0)), HYPERLINK("#",""), HYPERLINK(CONCATENATE("#metadata!", ADDRESS(INDEX($W$2:$W$1001,MATCH(ROWS($U$2:U160),$U$2:$U$1001,0),0), INDEX($AB$1004:$AQ$1004,1,MATCH(COLUMNS($AB$1006:AO1006),$AB$1006:$AQ$1006,0)))),"Fix")))</f>
        <v>0</v>
      </c>
      <c r="P160" s="4">
        <f>IF(OR(INDEX($V$2:$V$1001,MATCH(ROWS($U$2:U160),$U$2:$U$1001,0),1)&gt;=100000,INDEX($AB$1005:$AQ$1005,1,MATCH(COLUMNS($AB$1006:AP1006),$AB$1006:$AQ$1006,0))&gt;=100000), " ",IF(INDEX($AB$2:$AQ$1001,MATCH(ROWS($U$2:U160),$U$2:$U$1001,0),MATCH(COLUMNS($AB$1006:AP1006),$AB$1006:$AQ$1006,0)), HYPERLINK("#",""), HYPERLINK(CONCATENATE("#metadata!", ADDRESS(INDEX($W$2:$W$1001,MATCH(ROWS($U$2:U160),$U$2:$U$1001,0),0), INDEX($AB$1004:$AQ$1004,1,MATCH(COLUMNS($AB$1006:AP1006),$AB$1006:$AQ$1006,0)))),"Fix")))</f>
        <v>0</v>
      </c>
      <c r="Q160" s="4">
        <f>IF(OR(INDEX($V$2:$V$1001,MATCH(ROWS($U$2:U160),$U$2:$U$1001,0),1)&gt;=100000,INDEX($AB$1005:$AQ$1005,1,MATCH(COLUMNS($AB$1006:AQ1006),$AB$1006:$AQ$1006,0))&gt;=100000), " ",IF(INDEX($AB$2:$AQ$1001,MATCH(ROWS($U$2:U160),$U$2:$U$1001,0),MATCH(COLUMNS($AB$1006:AQ1006),$AB$1006:$AQ$1006,0)), HYPERLINK("#",""), HYPERLINK(CONCATENATE("#metadata!", ADDRESS(INDEX($W$2:$W$1001,MATCH(ROWS($U$2:U160),$U$2:$U$1001,0),0), INDEX($AB$1004:$AQ$1004,1,MATCH(COLUMNS($AB$1006:AQ1006),$AB$1006:$AQ$1006,0)))),"Fix")))</f>
        <v>0</v>
      </c>
      <c r="U160">
        <v>0</v>
      </c>
      <c r="V160">
        <v>0</v>
      </c>
      <c r="W160">
        <v>0</v>
      </c>
      <c r="X160">
        <f>IF(Y160,TRUE,AND(AB160:AQ160))</f>
        <v>0</v>
      </c>
      <c r="Y160">
        <f>COUNTBLANK(metadata!B160:Q160)=COLUMNS(metadata!B160:Q160)</f>
        <v>0</v>
      </c>
      <c r="Z160">
        <v>0</v>
      </c>
      <c r="AB160">
        <f>AND(IF(metadata!B160="",FALSE,TRUE),COUNTIF(metadata!B:B, metadata!B160) = 1,NOT(ISERROR(SUMPRODUCT(SEARCH(MID(metadata!B160,ROW(INDIRECT("1:"&amp;LEN(metadata!B160))), 1),"0123456789abcdefghijklmnopqrstuvwxyzABCDEFGHIJKLMNOPQRSTUVWXYZ.")))))</f>
        <v>0</v>
      </c>
      <c r="AC160">
        <f>OR(AND(IF(metadata!C160="",FALSE,TRUE),OR(exact(metadata!C160,"missing: not collected"),exact(metadata!C160,"missing: not provided"),exact(metadata!C160,"missing: restricted access"))),AND(IF(metadata!C160="",FALSE,TRUE),AND(AND(IFERROR(INT(LEFT(metadata!C160,4))&gt;1900,FALSE),IFERROR(INT(LEFT(metadata!C160,4))&lt;=YEAR(NOW()),FALSE)), OR(MID(metadata!C160,5,1)="", AND(AND(MID(metadata!C160,5,1)="-",IFERROR(INT(MID(metadata!C160,6,1))&gt;=0,FALSE),IFERROR(INT(MID(metadata!C160,6,1))&lt;=1,FALSE),NOT(MID(metadata!C160,7,1)=""),IFERROR(INT(MID(metadata!C160,6,2))&gt;=1,FALSE),IFERROR(INT(MID(metadata!C160,6,2))&lt;=12,FALSE)), OR(MID(metadata!C160,8,1)="", AND(AND(MID(metadata!C160,8,1)="-",IFERROR(INT(MID(metadata!C160,9,1))&gt;=0,FALSE),IFERROR(INT(MID(metadata!C160,9,1))&lt;=3,FALSE),NOT(MID(metadata!C160,10,1)=""),IFERROR(INT(MID(metadata!C160,9,2))&gt;=1,FALSE),IFERROR(INT(MID(metadata!C160,9,2))&lt;=31,FALSE)), OR(MID(metadata!C160,11,1)="", AND(AND(MID(metadata!C160,11,1)=" ",IFERROR(INT(MID(metadata!C160,12,1))&gt;=0,FALSE),IFERROR(INT(MID(metadata!C160,12,1))&lt;=2,FALSE),NOT(MID(metadata!C160,13,1)=""),IFERROR(INT(MID(metadata!C160,12,2))&gt;=0,FALSE),IFERROR(INT(MID(metadata!C160,12,2))&lt;=23,FALSE)), OR(MID(metadata!C160,14,1)="", AND(AND(MID(metadata!C160,14,1)=":",IFERROR(INT(MID(metadata!C160,15,1))&gt;=0,FALSE),IFERROR(INT(MID(metadata!C160,15,1))&lt;=5,FALSE),NOT(MID(metadata!C160,16,1)=""),IFERROR(INT(MID(metadata!C160,15,2))&gt;=0,FALSE),IFERROR(INT(MID(metadata!C160,15,2))&lt;=59,FALSE)), OR(MID(metadata!C160,17,1)="", AND(AND(MID(metadata!C160,17,1)=":",IFERROR(INT(MID(metadata!C160,18,1))&gt;=0,FALSE),IFERROR(INT(MID(metadata!C160,18,1))&lt;=5,FALSE),NOT(MID(metadata!C160,19,1)=""),IFERROR(INT(MID(metadata!C160,18,2))&gt;=0,FALSE),IFERROR(INT(MID(metadata!C160,18,2))&lt;=59,FALSE)), LEN(metadata!C160)&lt;=19)))))))))))))</f>
        <v>0</v>
      </c>
      <c r="AD160">
        <f>IF(metadata!D160="",FALSE,TRUE)</f>
        <v>0</v>
      </c>
      <c r="AE160">
        <f>OR(AND(IF(metadata!E160="",FALSE,TRUE),OR(exact(metadata!E160,"missing: not collected"),exact(metadata!E160,"missing: not provided"))),AND(IF(metadata!E160="",FALSE,TRUE),OR(exact(metadata!E160,"TRUE"),exact(metadata!E160,"FALSE"))))</f>
        <v>0</v>
      </c>
      <c r="AF160">
        <f>IF(metadata!F160="",FALSE,TRUE)</f>
        <v>0</v>
      </c>
      <c r="AG160">
        <f>IF(metadata!G160="",FALSE,TRUE)</f>
        <v>0</v>
      </c>
      <c r="AH160">
        <f>IF(metadata!H160="",FALSE,TRUE)</f>
        <v>0</v>
      </c>
      <c r="AI160">
        <f>OR(AND(IF(metadata!I160="",FALSE,TRUE),OR(exact(metadata!I160,"missing: not collected"),exact(metadata!I160,"missing: not provided"),exact(metadata!I160,"missing: restricted access"))),AND(IF(metadata!I160="",FALSE,TRUE),OR(exact(metadata!I160,"air"),exact(metadata!I160,"built environment"),exact(metadata!I160,"host-associated"),exact(metadata!I160,"human-associated"),exact(metadata!I160,"human-skin"),exact(metadata!I160,"human-oral"),exact(metadata!I160,"human-gut"),exact(metadata!I160,"human-vaginal"),exact(metadata!I160,"microbial mat/biofilm"),exact(metadata!I160,"misc environment"),exact(metadata!I160,"plant-associated"),exact(metadata!I160,"sediment"),exact(metadata!I160,"soil"),exact(metadata!I160,"wastewater/sludge"),exact(metadata!I160,"water"))))</f>
        <v>0</v>
      </c>
      <c r="AJ160">
        <f>IF(metadata!J160="",FALSE,TRUE)</f>
        <v>0</v>
      </c>
      <c r="AK160">
        <f>OR(AND(IF(metadata!K160="",FALSE,TRUE),OR(exact(metadata!K160,"missing: not collected"),exact(metadata!K160,"missing: not provided"),exact(metadata!K160,"missing: restricted access"))),AND(IF(metadata!K160="",FALSE,ISNUMBER(VALUE(metadata!K160))),metadata!K160&gt;=-90.00,metadata!K160&lt;=90.00))</f>
        <v>0</v>
      </c>
      <c r="AL160">
        <f>OR(AND(IF(metadata!L160="",FALSE,TRUE),OR(exact(metadata!L160,"missing: not collected"),exact(metadata!L160,"missing: not provided"),exact(metadata!L160,"missing: restricted access"))),AND(IF(metadata!L160="",FALSE,ISNUMBER(VALUE(metadata!L160))),metadata!L160&gt;=-180.00,metadata!L160&lt;=180.00))</f>
        <v>0</v>
      </c>
      <c r="AM160">
        <f>IF(metadata!M160="",FALSE,TRUE)</f>
        <v>0</v>
      </c>
      <c r="AN160">
        <f>OR(AND(IF(metadata!N160="",FALSE,TRUE),OR(exact(metadata!N160,"missing: not collected"),exact(metadata!N160,"missing: not provided"),exact(metadata!N160,"missing: restricted access"))),AND(IF(metadata!N160="",FALSE,TRUE),OR(exact(metadata!N160,"TRUE"),exact(metadata!N160,"FALSE"))))</f>
        <v>0</v>
      </c>
      <c r="AO160">
        <f>IF(metadata!O160="",FALSE,TRUE)</f>
        <v>0</v>
      </c>
      <c r="AP160">
        <f>OR(AND(IF(metadata!P160="",FALSE,TRUE),OR(exact(metadata!P160,"missing: not collected"),exact(metadata!P160,"missing: not provided"))),AND(IF(metadata!P160="",FALSE,IF(ISERROR(INT(metadata!P160)),FALSE,INT(metadata!P160)=metadata!P160)),metadata!P160&gt;0))</f>
        <v>0</v>
      </c>
      <c r="AQ160">
        <f>IF(metadata!Q160="",FALSE,TRUE)</f>
        <v>0</v>
      </c>
    </row>
    <row r="161" spans="1:43">
      <c r="A161" s="5">
        <f>IF(B161=" "," ",HYPERLINK(CONCATENATE("#metadata!",ADDRESS(INDEX($W$2:$W$1001,MATCH(ROWS($U$2:U161),$U$2:$U$1001,0),0),1)),INDEX($Z$2:$Z$1001,MATCH(ROWS($U$2:U161),$U$2:$U$1001,0),0)))</f>
        <v>0</v>
      </c>
      <c r="B161" s="4">
        <f>IF(OR(INDEX($V$2:$V$1001,MATCH(ROWS($U$2:U161),$U$2:$U$1001,0),1)&gt;=100000,INDEX($AB$1005:$AQ$1005,1,MATCH(COLUMNS($AB$1006:AB1006),$AB$1006:$AQ$1006,0))&gt;=100000), " ",IF(INDEX($AB$2:$AQ$1001,MATCH(ROWS($U$2:U161),$U$2:$U$1001,0),MATCH(COLUMNS($AB$1006:AB1006),$AB$1006:$AQ$1006,0)), HYPERLINK("#",""), HYPERLINK(CONCATENATE("#metadata!", ADDRESS(INDEX($W$2:$W$1001,MATCH(ROWS($U$2:U161),$U$2:$U$1001,0),0), INDEX($AB$1004:$AQ$1004,1,MATCH(COLUMNS($AB$1006:AB1006),$AB$1006:$AQ$1006,0)))),"Fix")))</f>
        <v>0</v>
      </c>
      <c r="C161" s="4">
        <f>IF(OR(INDEX($V$2:$V$1001,MATCH(ROWS($U$2:U161),$U$2:$U$1001,0),1)&gt;=100000,INDEX($AB$1005:$AQ$1005,1,MATCH(COLUMNS($AB$1006:AC1006),$AB$1006:$AQ$1006,0))&gt;=100000), " ",IF(INDEX($AB$2:$AQ$1001,MATCH(ROWS($U$2:U161),$U$2:$U$1001,0),MATCH(COLUMNS($AB$1006:AC1006),$AB$1006:$AQ$1006,0)), HYPERLINK("#",""), HYPERLINK(CONCATENATE("#metadata!", ADDRESS(INDEX($W$2:$W$1001,MATCH(ROWS($U$2:U161),$U$2:$U$1001,0),0), INDEX($AB$1004:$AQ$1004,1,MATCH(COLUMNS($AB$1006:AC1006),$AB$1006:$AQ$1006,0)))),"Fix")))</f>
        <v>0</v>
      </c>
      <c r="D161" s="4">
        <f>IF(OR(INDEX($V$2:$V$1001,MATCH(ROWS($U$2:U161),$U$2:$U$1001,0),1)&gt;=100000,INDEX($AB$1005:$AQ$1005,1,MATCH(COLUMNS($AB$1006:AD1006),$AB$1006:$AQ$1006,0))&gt;=100000), " ",IF(INDEX($AB$2:$AQ$1001,MATCH(ROWS($U$2:U161),$U$2:$U$1001,0),MATCH(COLUMNS($AB$1006:AD1006),$AB$1006:$AQ$1006,0)), HYPERLINK("#",""), HYPERLINK(CONCATENATE("#metadata!", ADDRESS(INDEX($W$2:$W$1001,MATCH(ROWS($U$2:U161),$U$2:$U$1001,0),0), INDEX($AB$1004:$AQ$1004,1,MATCH(COLUMNS($AB$1006:AD1006),$AB$1006:$AQ$1006,0)))),"Fix")))</f>
        <v>0</v>
      </c>
      <c r="E161" s="4">
        <f>IF(OR(INDEX($V$2:$V$1001,MATCH(ROWS($U$2:U161),$U$2:$U$1001,0),1)&gt;=100000,INDEX($AB$1005:$AQ$1005,1,MATCH(COLUMNS($AB$1006:AE1006),$AB$1006:$AQ$1006,0))&gt;=100000), " ",IF(INDEX($AB$2:$AQ$1001,MATCH(ROWS($U$2:U161),$U$2:$U$1001,0),MATCH(COLUMNS($AB$1006:AE1006),$AB$1006:$AQ$1006,0)), HYPERLINK("#",""), HYPERLINK(CONCATENATE("#metadata!", ADDRESS(INDEX($W$2:$W$1001,MATCH(ROWS($U$2:U161),$U$2:$U$1001,0),0), INDEX($AB$1004:$AQ$1004,1,MATCH(COLUMNS($AB$1006:AE1006),$AB$1006:$AQ$1006,0)))),"Fix")))</f>
        <v>0</v>
      </c>
      <c r="F161" s="4">
        <f>IF(OR(INDEX($V$2:$V$1001,MATCH(ROWS($U$2:U161),$U$2:$U$1001,0),1)&gt;=100000,INDEX($AB$1005:$AQ$1005,1,MATCH(COLUMNS($AB$1006:AF1006),$AB$1006:$AQ$1006,0))&gt;=100000), " ",IF(INDEX($AB$2:$AQ$1001,MATCH(ROWS($U$2:U161),$U$2:$U$1001,0),MATCH(COLUMNS($AB$1006:AF1006),$AB$1006:$AQ$1006,0)), HYPERLINK("#",""), HYPERLINK(CONCATENATE("#metadata!", ADDRESS(INDEX($W$2:$W$1001,MATCH(ROWS($U$2:U161),$U$2:$U$1001,0),0), INDEX($AB$1004:$AQ$1004,1,MATCH(COLUMNS($AB$1006:AF1006),$AB$1006:$AQ$1006,0)))),"Fix")))</f>
        <v>0</v>
      </c>
      <c r="G161" s="4">
        <f>IF(OR(INDEX($V$2:$V$1001,MATCH(ROWS($U$2:U161),$U$2:$U$1001,0),1)&gt;=100000,INDEX($AB$1005:$AQ$1005,1,MATCH(COLUMNS($AB$1006:AG1006),$AB$1006:$AQ$1006,0))&gt;=100000), " ",IF(INDEX($AB$2:$AQ$1001,MATCH(ROWS($U$2:U161),$U$2:$U$1001,0),MATCH(COLUMNS($AB$1006:AG1006),$AB$1006:$AQ$1006,0)), HYPERLINK("#",""), HYPERLINK(CONCATENATE("#metadata!", ADDRESS(INDEX($W$2:$W$1001,MATCH(ROWS($U$2:U161),$U$2:$U$1001,0),0), INDEX($AB$1004:$AQ$1004,1,MATCH(COLUMNS($AB$1006:AG1006),$AB$1006:$AQ$1006,0)))),"Fix")))</f>
        <v>0</v>
      </c>
      <c r="H161" s="4">
        <f>IF(OR(INDEX($V$2:$V$1001,MATCH(ROWS($U$2:U161),$U$2:$U$1001,0),1)&gt;=100000,INDEX($AB$1005:$AQ$1005,1,MATCH(COLUMNS($AB$1006:AH1006),$AB$1006:$AQ$1006,0))&gt;=100000), " ",IF(INDEX($AB$2:$AQ$1001,MATCH(ROWS($U$2:U161),$U$2:$U$1001,0),MATCH(COLUMNS($AB$1006:AH1006),$AB$1006:$AQ$1006,0)), HYPERLINK("#",""), HYPERLINK(CONCATENATE("#metadata!", ADDRESS(INDEX($W$2:$W$1001,MATCH(ROWS($U$2:U161),$U$2:$U$1001,0),0), INDEX($AB$1004:$AQ$1004,1,MATCH(COLUMNS($AB$1006:AH1006),$AB$1006:$AQ$1006,0)))),"Fix")))</f>
        <v>0</v>
      </c>
      <c r="I161" s="4">
        <f>IF(OR(INDEX($V$2:$V$1001,MATCH(ROWS($U$2:U161),$U$2:$U$1001,0),1)&gt;=100000,INDEX($AB$1005:$AQ$1005,1,MATCH(COLUMNS($AB$1006:AI1006),$AB$1006:$AQ$1006,0))&gt;=100000), " ",IF(INDEX($AB$2:$AQ$1001,MATCH(ROWS($U$2:U161),$U$2:$U$1001,0),MATCH(COLUMNS($AB$1006:AI1006),$AB$1006:$AQ$1006,0)), HYPERLINK("#",""), HYPERLINK(CONCATENATE("#metadata!", ADDRESS(INDEX($W$2:$W$1001,MATCH(ROWS($U$2:U161),$U$2:$U$1001,0),0), INDEX($AB$1004:$AQ$1004,1,MATCH(COLUMNS($AB$1006:AI1006),$AB$1006:$AQ$1006,0)))),"Fix")))</f>
        <v>0</v>
      </c>
      <c r="J161" s="4">
        <f>IF(OR(INDEX($V$2:$V$1001,MATCH(ROWS($U$2:U161),$U$2:$U$1001,0),1)&gt;=100000,INDEX($AB$1005:$AQ$1005,1,MATCH(COLUMNS($AB$1006:AJ1006),$AB$1006:$AQ$1006,0))&gt;=100000), " ",IF(INDEX($AB$2:$AQ$1001,MATCH(ROWS($U$2:U161),$U$2:$U$1001,0),MATCH(COLUMNS($AB$1006:AJ1006),$AB$1006:$AQ$1006,0)), HYPERLINK("#",""), HYPERLINK(CONCATENATE("#metadata!", ADDRESS(INDEX($W$2:$W$1001,MATCH(ROWS($U$2:U161),$U$2:$U$1001,0),0), INDEX($AB$1004:$AQ$1004,1,MATCH(COLUMNS($AB$1006:AJ1006),$AB$1006:$AQ$1006,0)))),"Fix")))</f>
        <v>0</v>
      </c>
      <c r="K161" s="4">
        <f>IF(OR(INDEX($V$2:$V$1001,MATCH(ROWS($U$2:U161),$U$2:$U$1001,0),1)&gt;=100000,INDEX($AB$1005:$AQ$1005,1,MATCH(COLUMNS($AB$1006:AK1006),$AB$1006:$AQ$1006,0))&gt;=100000), " ",IF(INDEX($AB$2:$AQ$1001,MATCH(ROWS($U$2:U161),$U$2:$U$1001,0),MATCH(COLUMNS($AB$1006:AK1006),$AB$1006:$AQ$1006,0)), HYPERLINK("#",""), HYPERLINK(CONCATENATE("#metadata!", ADDRESS(INDEX($W$2:$W$1001,MATCH(ROWS($U$2:U161),$U$2:$U$1001,0),0), INDEX($AB$1004:$AQ$1004,1,MATCH(COLUMNS($AB$1006:AK1006),$AB$1006:$AQ$1006,0)))),"Fix")))</f>
        <v>0</v>
      </c>
      <c r="L161" s="4">
        <f>IF(OR(INDEX($V$2:$V$1001,MATCH(ROWS($U$2:U161),$U$2:$U$1001,0),1)&gt;=100000,INDEX($AB$1005:$AQ$1005,1,MATCH(COLUMNS($AB$1006:AL1006),$AB$1006:$AQ$1006,0))&gt;=100000), " ",IF(INDEX($AB$2:$AQ$1001,MATCH(ROWS($U$2:U161),$U$2:$U$1001,0),MATCH(COLUMNS($AB$1006:AL1006),$AB$1006:$AQ$1006,0)), HYPERLINK("#",""), HYPERLINK(CONCATENATE("#metadata!", ADDRESS(INDEX($W$2:$W$1001,MATCH(ROWS($U$2:U161),$U$2:$U$1001,0),0), INDEX($AB$1004:$AQ$1004,1,MATCH(COLUMNS($AB$1006:AL1006),$AB$1006:$AQ$1006,0)))),"Fix")))</f>
        <v>0</v>
      </c>
      <c r="M161" s="4">
        <f>IF(OR(INDEX($V$2:$V$1001,MATCH(ROWS($U$2:U161),$U$2:$U$1001,0),1)&gt;=100000,INDEX($AB$1005:$AQ$1005,1,MATCH(COLUMNS($AB$1006:AM1006),$AB$1006:$AQ$1006,0))&gt;=100000), " ",IF(INDEX($AB$2:$AQ$1001,MATCH(ROWS($U$2:U161),$U$2:$U$1001,0),MATCH(COLUMNS($AB$1006:AM1006),$AB$1006:$AQ$1006,0)), HYPERLINK("#",""), HYPERLINK(CONCATENATE("#metadata!", ADDRESS(INDEX($W$2:$W$1001,MATCH(ROWS($U$2:U161),$U$2:$U$1001,0),0), INDEX($AB$1004:$AQ$1004,1,MATCH(COLUMNS($AB$1006:AM1006),$AB$1006:$AQ$1006,0)))),"Fix")))</f>
        <v>0</v>
      </c>
      <c r="N161" s="4">
        <f>IF(OR(INDEX($V$2:$V$1001,MATCH(ROWS($U$2:U161),$U$2:$U$1001,0),1)&gt;=100000,INDEX($AB$1005:$AQ$1005,1,MATCH(COLUMNS($AB$1006:AN1006),$AB$1006:$AQ$1006,0))&gt;=100000), " ",IF(INDEX($AB$2:$AQ$1001,MATCH(ROWS($U$2:U161),$U$2:$U$1001,0),MATCH(COLUMNS($AB$1006:AN1006),$AB$1006:$AQ$1006,0)), HYPERLINK("#",""), HYPERLINK(CONCATENATE("#metadata!", ADDRESS(INDEX($W$2:$W$1001,MATCH(ROWS($U$2:U161),$U$2:$U$1001,0),0), INDEX($AB$1004:$AQ$1004,1,MATCH(COLUMNS($AB$1006:AN1006),$AB$1006:$AQ$1006,0)))),"Fix")))</f>
        <v>0</v>
      </c>
      <c r="O161" s="4">
        <f>IF(OR(INDEX($V$2:$V$1001,MATCH(ROWS($U$2:U161),$U$2:$U$1001,0),1)&gt;=100000,INDEX($AB$1005:$AQ$1005,1,MATCH(COLUMNS($AB$1006:AO1006),$AB$1006:$AQ$1006,0))&gt;=100000), " ",IF(INDEX($AB$2:$AQ$1001,MATCH(ROWS($U$2:U161),$U$2:$U$1001,0),MATCH(COLUMNS($AB$1006:AO1006),$AB$1006:$AQ$1006,0)), HYPERLINK("#",""), HYPERLINK(CONCATENATE("#metadata!", ADDRESS(INDEX($W$2:$W$1001,MATCH(ROWS($U$2:U161),$U$2:$U$1001,0),0), INDEX($AB$1004:$AQ$1004,1,MATCH(COLUMNS($AB$1006:AO1006),$AB$1006:$AQ$1006,0)))),"Fix")))</f>
        <v>0</v>
      </c>
      <c r="P161" s="4">
        <f>IF(OR(INDEX($V$2:$V$1001,MATCH(ROWS($U$2:U161),$U$2:$U$1001,0),1)&gt;=100000,INDEX($AB$1005:$AQ$1005,1,MATCH(COLUMNS($AB$1006:AP1006),$AB$1006:$AQ$1006,0))&gt;=100000), " ",IF(INDEX($AB$2:$AQ$1001,MATCH(ROWS($U$2:U161),$U$2:$U$1001,0),MATCH(COLUMNS($AB$1006:AP1006),$AB$1006:$AQ$1006,0)), HYPERLINK("#",""), HYPERLINK(CONCATENATE("#metadata!", ADDRESS(INDEX($W$2:$W$1001,MATCH(ROWS($U$2:U161),$U$2:$U$1001,0),0), INDEX($AB$1004:$AQ$1004,1,MATCH(COLUMNS($AB$1006:AP1006),$AB$1006:$AQ$1006,0)))),"Fix")))</f>
        <v>0</v>
      </c>
      <c r="Q161" s="4">
        <f>IF(OR(INDEX($V$2:$V$1001,MATCH(ROWS($U$2:U161),$U$2:$U$1001,0),1)&gt;=100000,INDEX($AB$1005:$AQ$1005,1,MATCH(COLUMNS($AB$1006:AQ1006),$AB$1006:$AQ$1006,0))&gt;=100000), " ",IF(INDEX($AB$2:$AQ$1001,MATCH(ROWS($U$2:U161),$U$2:$U$1001,0),MATCH(COLUMNS($AB$1006:AQ1006),$AB$1006:$AQ$1006,0)), HYPERLINK("#",""), HYPERLINK(CONCATENATE("#metadata!", ADDRESS(INDEX($W$2:$W$1001,MATCH(ROWS($U$2:U161),$U$2:$U$1001,0),0), INDEX($AB$1004:$AQ$1004,1,MATCH(COLUMNS($AB$1006:AQ1006),$AB$1006:$AQ$1006,0)))),"Fix")))</f>
        <v>0</v>
      </c>
      <c r="U161">
        <v>0</v>
      </c>
      <c r="V161">
        <v>0</v>
      </c>
      <c r="W161">
        <v>0</v>
      </c>
      <c r="X161">
        <f>IF(Y161,TRUE,AND(AB161:AQ161))</f>
        <v>0</v>
      </c>
      <c r="Y161">
        <f>COUNTBLANK(metadata!B161:Q161)=COLUMNS(metadata!B161:Q161)</f>
        <v>0</v>
      </c>
      <c r="Z161">
        <v>0</v>
      </c>
      <c r="AB161">
        <f>AND(IF(metadata!B161="",FALSE,TRUE),COUNTIF(metadata!B:B, metadata!B161) = 1,NOT(ISERROR(SUMPRODUCT(SEARCH(MID(metadata!B161,ROW(INDIRECT("1:"&amp;LEN(metadata!B161))), 1),"0123456789abcdefghijklmnopqrstuvwxyzABCDEFGHIJKLMNOPQRSTUVWXYZ.")))))</f>
        <v>0</v>
      </c>
      <c r="AC161">
        <f>OR(AND(IF(metadata!C161="",FALSE,TRUE),OR(exact(metadata!C161,"missing: not collected"),exact(metadata!C161,"missing: not provided"),exact(metadata!C161,"missing: restricted access"))),AND(IF(metadata!C161="",FALSE,TRUE),AND(AND(IFERROR(INT(LEFT(metadata!C161,4))&gt;1900,FALSE),IFERROR(INT(LEFT(metadata!C161,4))&lt;=YEAR(NOW()),FALSE)), OR(MID(metadata!C161,5,1)="", AND(AND(MID(metadata!C161,5,1)="-",IFERROR(INT(MID(metadata!C161,6,1))&gt;=0,FALSE),IFERROR(INT(MID(metadata!C161,6,1))&lt;=1,FALSE),NOT(MID(metadata!C161,7,1)=""),IFERROR(INT(MID(metadata!C161,6,2))&gt;=1,FALSE),IFERROR(INT(MID(metadata!C161,6,2))&lt;=12,FALSE)), OR(MID(metadata!C161,8,1)="", AND(AND(MID(metadata!C161,8,1)="-",IFERROR(INT(MID(metadata!C161,9,1))&gt;=0,FALSE),IFERROR(INT(MID(metadata!C161,9,1))&lt;=3,FALSE),NOT(MID(metadata!C161,10,1)=""),IFERROR(INT(MID(metadata!C161,9,2))&gt;=1,FALSE),IFERROR(INT(MID(metadata!C161,9,2))&lt;=31,FALSE)), OR(MID(metadata!C161,11,1)="", AND(AND(MID(metadata!C161,11,1)=" ",IFERROR(INT(MID(metadata!C161,12,1))&gt;=0,FALSE),IFERROR(INT(MID(metadata!C161,12,1))&lt;=2,FALSE),NOT(MID(metadata!C161,13,1)=""),IFERROR(INT(MID(metadata!C161,12,2))&gt;=0,FALSE),IFERROR(INT(MID(metadata!C161,12,2))&lt;=23,FALSE)), OR(MID(metadata!C161,14,1)="", AND(AND(MID(metadata!C161,14,1)=":",IFERROR(INT(MID(metadata!C161,15,1))&gt;=0,FALSE),IFERROR(INT(MID(metadata!C161,15,1))&lt;=5,FALSE),NOT(MID(metadata!C161,16,1)=""),IFERROR(INT(MID(metadata!C161,15,2))&gt;=0,FALSE),IFERROR(INT(MID(metadata!C161,15,2))&lt;=59,FALSE)), OR(MID(metadata!C161,17,1)="", AND(AND(MID(metadata!C161,17,1)=":",IFERROR(INT(MID(metadata!C161,18,1))&gt;=0,FALSE),IFERROR(INT(MID(metadata!C161,18,1))&lt;=5,FALSE),NOT(MID(metadata!C161,19,1)=""),IFERROR(INT(MID(metadata!C161,18,2))&gt;=0,FALSE),IFERROR(INT(MID(metadata!C161,18,2))&lt;=59,FALSE)), LEN(metadata!C161)&lt;=19)))))))))))))</f>
        <v>0</v>
      </c>
      <c r="AD161">
        <f>IF(metadata!D161="",FALSE,TRUE)</f>
        <v>0</v>
      </c>
      <c r="AE161">
        <f>OR(AND(IF(metadata!E161="",FALSE,TRUE),OR(exact(metadata!E161,"missing: not collected"),exact(metadata!E161,"missing: not provided"))),AND(IF(metadata!E161="",FALSE,TRUE),OR(exact(metadata!E161,"TRUE"),exact(metadata!E161,"FALSE"))))</f>
        <v>0</v>
      </c>
      <c r="AF161">
        <f>IF(metadata!F161="",FALSE,TRUE)</f>
        <v>0</v>
      </c>
      <c r="AG161">
        <f>IF(metadata!G161="",FALSE,TRUE)</f>
        <v>0</v>
      </c>
      <c r="AH161">
        <f>IF(metadata!H161="",FALSE,TRUE)</f>
        <v>0</v>
      </c>
      <c r="AI161">
        <f>OR(AND(IF(metadata!I161="",FALSE,TRUE),OR(exact(metadata!I161,"missing: not collected"),exact(metadata!I161,"missing: not provided"),exact(metadata!I161,"missing: restricted access"))),AND(IF(metadata!I161="",FALSE,TRUE),OR(exact(metadata!I161,"air"),exact(metadata!I161,"built environment"),exact(metadata!I161,"host-associated"),exact(metadata!I161,"human-associated"),exact(metadata!I161,"human-skin"),exact(metadata!I161,"human-oral"),exact(metadata!I161,"human-gut"),exact(metadata!I161,"human-vaginal"),exact(metadata!I161,"microbial mat/biofilm"),exact(metadata!I161,"misc environment"),exact(metadata!I161,"plant-associated"),exact(metadata!I161,"sediment"),exact(metadata!I161,"soil"),exact(metadata!I161,"wastewater/sludge"),exact(metadata!I161,"water"))))</f>
        <v>0</v>
      </c>
      <c r="AJ161">
        <f>IF(metadata!J161="",FALSE,TRUE)</f>
        <v>0</v>
      </c>
      <c r="AK161">
        <f>OR(AND(IF(metadata!K161="",FALSE,TRUE),OR(exact(metadata!K161,"missing: not collected"),exact(metadata!K161,"missing: not provided"),exact(metadata!K161,"missing: restricted access"))),AND(IF(metadata!K161="",FALSE,ISNUMBER(VALUE(metadata!K161))),metadata!K161&gt;=-90.00,metadata!K161&lt;=90.00))</f>
        <v>0</v>
      </c>
      <c r="AL161">
        <f>OR(AND(IF(metadata!L161="",FALSE,TRUE),OR(exact(metadata!L161,"missing: not collected"),exact(metadata!L161,"missing: not provided"),exact(metadata!L161,"missing: restricted access"))),AND(IF(metadata!L161="",FALSE,ISNUMBER(VALUE(metadata!L161))),metadata!L161&gt;=-180.00,metadata!L161&lt;=180.00))</f>
        <v>0</v>
      </c>
      <c r="AM161">
        <f>IF(metadata!M161="",FALSE,TRUE)</f>
        <v>0</v>
      </c>
      <c r="AN161">
        <f>OR(AND(IF(metadata!N161="",FALSE,TRUE),OR(exact(metadata!N161,"missing: not collected"),exact(metadata!N161,"missing: not provided"),exact(metadata!N161,"missing: restricted access"))),AND(IF(metadata!N161="",FALSE,TRUE),OR(exact(metadata!N161,"TRUE"),exact(metadata!N161,"FALSE"))))</f>
        <v>0</v>
      </c>
      <c r="AO161">
        <f>IF(metadata!O161="",FALSE,TRUE)</f>
        <v>0</v>
      </c>
      <c r="AP161">
        <f>OR(AND(IF(metadata!P161="",FALSE,TRUE),OR(exact(metadata!P161,"missing: not collected"),exact(metadata!P161,"missing: not provided"))),AND(IF(metadata!P161="",FALSE,IF(ISERROR(INT(metadata!P161)),FALSE,INT(metadata!P161)=metadata!P161)),metadata!P161&gt;0))</f>
        <v>0</v>
      </c>
      <c r="AQ161">
        <f>IF(metadata!Q161="",FALSE,TRUE)</f>
        <v>0</v>
      </c>
    </row>
    <row r="162" spans="1:43">
      <c r="A162" s="5">
        <f>IF(B162=" "," ",HYPERLINK(CONCATENATE("#metadata!",ADDRESS(INDEX($W$2:$W$1001,MATCH(ROWS($U$2:U162),$U$2:$U$1001,0),0),1)),INDEX($Z$2:$Z$1001,MATCH(ROWS($U$2:U162),$U$2:$U$1001,0),0)))</f>
        <v>0</v>
      </c>
      <c r="B162" s="4">
        <f>IF(OR(INDEX($V$2:$V$1001,MATCH(ROWS($U$2:U162),$U$2:$U$1001,0),1)&gt;=100000,INDEX($AB$1005:$AQ$1005,1,MATCH(COLUMNS($AB$1006:AB1006),$AB$1006:$AQ$1006,0))&gt;=100000), " ",IF(INDEX($AB$2:$AQ$1001,MATCH(ROWS($U$2:U162),$U$2:$U$1001,0),MATCH(COLUMNS($AB$1006:AB1006),$AB$1006:$AQ$1006,0)), HYPERLINK("#",""), HYPERLINK(CONCATENATE("#metadata!", ADDRESS(INDEX($W$2:$W$1001,MATCH(ROWS($U$2:U162),$U$2:$U$1001,0),0), INDEX($AB$1004:$AQ$1004,1,MATCH(COLUMNS($AB$1006:AB1006),$AB$1006:$AQ$1006,0)))),"Fix")))</f>
        <v>0</v>
      </c>
      <c r="C162" s="4">
        <f>IF(OR(INDEX($V$2:$V$1001,MATCH(ROWS($U$2:U162),$U$2:$U$1001,0),1)&gt;=100000,INDEX($AB$1005:$AQ$1005,1,MATCH(COLUMNS($AB$1006:AC1006),$AB$1006:$AQ$1006,0))&gt;=100000), " ",IF(INDEX($AB$2:$AQ$1001,MATCH(ROWS($U$2:U162),$U$2:$U$1001,0),MATCH(COLUMNS($AB$1006:AC1006),$AB$1006:$AQ$1006,0)), HYPERLINK("#",""), HYPERLINK(CONCATENATE("#metadata!", ADDRESS(INDEX($W$2:$W$1001,MATCH(ROWS($U$2:U162),$U$2:$U$1001,0),0), INDEX($AB$1004:$AQ$1004,1,MATCH(COLUMNS($AB$1006:AC1006),$AB$1006:$AQ$1006,0)))),"Fix")))</f>
        <v>0</v>
      </c>
      <c r="D162" s="4">
        <f>IF(OR(INDEX($V$2:$V$1001,MATCH(ROWS($U$2:U162),$U$2:$U$1001,0),1)&gt;=100000,INDEX($AB$1005:$AQ$1005,1,MATCH(COLUMNS($AB$1006:AD1006),$AB$1006:$AQ$1006,0))&gt;=100000), " ",IF(INDEX($AB$2:$AQ$1001,MATCH(ROWS($U$2:U162),$U$2:$U$1001,0),MATCH(COLUMNS($AB$1006:AD1006),$AB$1006:$AQ$1006,0)), HYPERLINK("#",""), HYPERLINK(CONCATENATE("#metadata!", ADDRESS(INDEX($W$2:$W$1001,MATCH(ROWS($U$2:U162),$U$2:$U$1001,0),0), INDEX($AB$1004:$AQ$1004,1,MATCH(COLUMNS($AB$1006:AD1006),$AB$1006:$AQ$1006,0)))),"Fix")))</f>
        <v>0</v>
      </c>
      <c r="E162" s="4">
        <f>IF(OR(INDEX($V$2:$V$1001,MATCH(ROWS($U$2:U162),$U$2:$U$1001,0),1)&gt;=100000,INDEX($AB$1005:$AQ$1005,1,MATCH(COLUMNS($AB$1006:AE1006),$AB$1006:$AQ$1006,0))&gt;=100000), " ",IF(INDEX($AB$2:$AQ$1001,MATCH(ROWS($U$2:U162),$U$2:$U$1001,0),MATCH(COLUMNS($AB$1006:AE1006),$AB$1006:$AQ$1006,0)), HYPERLINK("#",""), HYPERLINK(CONCATENATE("#metadata!", ADDRESS(INDEX($W$2:$W$1001,MATCH(ROWS($U$2:U162),$U$2:$U$1001,0),0), INDEX($AB$1004:$AQ$1004,1,MATCH(COLUMNS($AB$1006:AE1006),$AB$1006:$AQ$1006,0)))),"Fix")))</f>
        <v>0</v>
      </c>
      <c r="F162" s="4">
        <f>IF(OR(INDEX($V$2:$V$1001,MATCH(ROWS($U$2:U162),$U$2:$U$1001,0),1)&gt;=100000,INDEX($AB$1005:$AQ$1005,1,MATCH(COLUMNS($AB$1006:AF1006),$AB$1006:$AQ$1006,0))&gt;=100000), " ",IF(INDEX($AB$2:$AQ$1001,MATCH(ROWS($U$2:U162),$U$2:$U$1001,0),MATCH(COLUMNS($AB$1006:AF1006),$AB$1006:$AQ$1006,0)), HYPERLINK("#",""), HYPERLINK(CONCATENATE("#metadata!", ADDRESS(INDEX($W$2:$W$1001,MATCH(ROWS($U$2:U162),$U$2:$U$1001,0),0), INDEX($AB$1004:$AQ$1004,1,MATCH(COLUMNS($AB$1006:AF1006),$AB$1006:$AQ$1006,0)))),"Fix")))</f>
        <v>0</v>
      </c>
      <c r="G162" s="4">
        <f>IF(OR(INDEX($V$2:$V$1001,MATCH(ROWS($U$2:U162),$U$2:$U$1001,0),1)&gt;=100000,INDEX($AB$1005:$AQ$1005,1,MATCH(COLUMNS($AB$1006:AG1006),$AB$1006:$AQ$1006,0))&gt;=100000), " ",IF(INDEX($AB$2:$AQ$1001,MATCH(ROWS($U$2:U162),$U$2:$U$1001,0),MATCH(COLUMNS($AB$1006:AG1006),$AB$1006:$AQ$1006,0)), HYPERLINK("#",""), HYPERLINK(CONCATENATE("#metadata!", ADDRESS(INDEX($W$2:$W$1001,MATCH(ROWS($U$2:U162),$U$2:$U$1001,0),0), INDEX($AB$1004:$AQ$1004,1,MATCH(COLUMNS($AB$1006:AG1006),$AB$1006:$AQ$1006,0)))),"Fix")))</f>
        <v>0</v>
      </c>
      <c r="H162" s="4">
        <f>IF(OR(INDEX($V$2:$V$1001,MATCH(ROWS($U$2:U162),$U$2:$U$1001,0),1)&gt;=100000,INDEX($AB$1005:$AQ$1005,1,MATCH(COLUMNS($AB$1006:AH1006),$AB$1006:$AQ$1006,0))&gt;=100000), " ",IF(INDEX($AB$2:$AQ$1001,MATCH(ROWS($U$2:U162),$U$2:$U$1001,0),MATCH(COLUMNS($AB$1006:AH1006),$AB$1006:$AQ$1006,0)), HYPERLINK("#",""), HYPERLINK(CONCATENATE("#metadata!", ADDRESS(INDEX($W$2:$W$1001,MATCH(ROWS($U$2:U162),$U$2:$U$1001,0),0), INDEX($AB$1004:$AQ$1004,1,MATCH(COLUMNS($AB$1006:AH1006),$AB$1006:$AQ$1006,0)))),"Fix")))</f>
        <v>0</v>
      </c>
      <c r="I162" s="4">
        <f>IF(OR(INDEX($V$2:$V$1001,MATCH(ROWS($U$2:U162),$U$2:$U$1001,0),1)&gt;=100000,INDEX($AB$1005:$AQ$1005,1,MATCH(COLUMNS($AB$1006:AI1006),$AB$1006:$AQ$1006,0))&gt;=100000), " ",IF(INDEX($AB$2:$AQ$1001,MATCH(ROWS($U$2:U162),$U$2:$U$1001,0),MATCH(COLUMNS($AB$1006:AI1006),$AB$1006:$AQ$1006,0)), HYPERLINK("#",""), HYPERLINK(CONCATENATE("#metadata!", ADDRESS(INDEX($W$2:$W$1001,MATCH(ROWS($U$2:U162),$U$2:$U$1001,0),0), INDEX($AB$1004:$AQ$1004,1,MATCH(COLUMNS($AB$1006:AI1006),$AB$1006:$AQ$1006,0)))),"Fix")))</f>
        <v>0</v>
      </c>
      <c r="J162" s="4">
        <f>IF(OR(INDEX($V$2:$V$1001,MATCH(ROWS($U$2:U162),$U$2:$U$1001,0),1)&gt;=100000,INDEX($AB$1005:$AQ$1005,1,MATCH(COLUMNS($AB$1006:AJ1006),$AB$1006:$AQ$1006,0))&gt;=100000), " ",IF(INDEX($AB$2:$AQ$1001,MATCH(ROWS($U$2:U162),$U$2:$U$1001,0),MATCH(COLUMNS($AB$1006:AJ1006),$AB$1006:$AQ$1006,0)), HYPERLINK("#",""), HYPERLINK(CONCATENATE("#metadata!", ADDRESS(INDEX($W$2:$W$1001,MATCH(ROWS($U$2:U162),$U$2:$U$1001,0),0), INDEX($AB$1004:$AQ$1004,1,MATCH(COLUMNS($AB$1006:AJ1006),$AB$1006:$AQ$1006,0)))),"Fix")))</f>
        <v>0</v>
      </c>
      <c r="K162" s="4">
        <f>IF(OR(INDEX($V$2:$V$1001,MATCH(ROWS($U$2:U162),$U$2:$U$1001,0),1)&gt;=100000,INDEX($AB$1005:$AQ$1005,1,MATCH(COLUMNS($AB$1006:AK1006),$AB$1006:$AQ$1006,0))&gt;=100000), " ",IF(INDEX($AB$2:$AQ$1001,MATCH(ROWS($U$2:U162),$U$2:$U$1001,0),MATCH(COLUMNS($AB$1006:AK1006),$AB$1006:$AQ$1006,0)), HYPERLINK("#",""), HYPERLINK(CONCATENATE("#metadata!", ADDRESS(INDEX($W$2:$W$1001,MATCH(ROWS($U$2:U162),$U$2:$U$1001,0),0), INDEX($AB$1004:$AQ$1004,1,MATCH(COLUMNS($AB$1006:AK1006),$AB$1006:$AQ$1006,0)))),"Fix")))</f>
        <v>0</v>
      </c>
      <c r="L162" s="4">
        <f>IF(OR(INDEX($V$2:$V$1001,MATCH(ROWS($U$2:U162),$U$2:$U$1001,0),1)&gt;=100000,INDEX($AB$1005:$AQ$1005,1,MATCH(COLUMNS($AB$1006:AL1006),$AB$1006:$AQ$1006,0))&gt;=100000), " ",IF(INDEX($AB$2:$AQ$1001,MATCH(ROWS($U$2:U162),$U$2:$U$1001,0),MATCH(COLUMNS($AB$1006:AL1006),$AB$1006:$AQ$1006,0)), HYPERLINK("#",""), HYPERLINK(CONCATENATE("#metadata!", ADDRESS(INDEX($W$2:$W$1001,MATCH(ROWS($U$2:U162),$U$2:$U$1001,0),0), INDEX($AB$1004:$AQ$1004,1,MATCH(COLUMNS($AB$1006:AL1006),$AB$1006:$AQ$1006,0)))),"Fix")))</f>
        <v>0</v>
      </c>
      <c r="M162" s="4">
        <f>IF(OR(INDEX($V$2:$V$1001,MATCH(ROWS($U$2:U162),$U$2:$U$1001,0),1)&gt;=100000,INDEX($AB$1005:$AQ$1005,1,MATCH(COLUMNS($AB$1006:AM1006),$AB$1006:$AQ$1006,0))&gt;=100000), " ",IF(INDEX($AB$2:$AQ$1001,MATCH(ROWS($U$2:U162),$U$2:$U$1001,0),MATCH(COLUMNS($AB$1006:AM1006),$AB$1006:$AQ$1006,0)), HYPERLINK("#",""), HYPERLINK(CONCATENATE("#metadata!", ADDRESS(INDEX($W$2:$W$1001,MATCH(ROWS($U$2:U162),$U$2:$U$1001,0),0), INDEX($AB$1004:$AQ$1004,1,MATCH(COLUMNS($AB$1006:AM1006),$AB$1006:$AQ$1006,0)))),"Fix")))</f>
        <v>0</v>
      </c>
      <c r="N162" s="4">
        <f>IF(OR(INDEX($V$2:$V$1001,MATCH(ROWS($U$2:U162),$U$2:$U$1001,0),1)&gt;=100000,INDEX($AB$1005:$AQ$1005,1,MATCH(COLUMNS($AB$1006:AN1006),$AB$1006:$AQ$1006,0))&gt;=100000), " ",IF(INDEX($AB$2:$AQ$1001,MATCH(ROWS($U$2:U162),$U$2:$U$1001,0),MATCH(COLUMNS($AB$1006:AN1006),$AB$1006:$AQ$1006,0)), HYPERLINK("#",""), HYPERLINK(CONCATENATE("#metadata!", ADDRESS(INDEX($W$2:$W$1001,MATCH(ROWS($U$2:U162),$U$2:$U$1001,0),0), INDEX($AB$1004:$AQ$1004,1,MATCH(COLUMNS($AB$1006:AN1006),$AB$1006:$AQ$1006,0)))),"Fix")))</f>
        <v>0</v>
      </c>
      <c r="O162" s="4">
        <f>IF(OR(INDEX($V$2:$V$1001,MATCH(ROWS($U$2:U162),$U$2:$U$1001,0),1)&gt;=100000,INDEX($AB$1005:$AQ$1005,1,MATCH(COLUMNS($AB$1006:AO1006),$AB$1006:$AQ$1006,0))&gt;=100000), " ",IF(INDEX($AB$2:$AQ$1001,MATCH(ROWS($U$2:U162),$U$2:$U$1001,0),MATCH(COLUMNS($AB$1006:AO1006),$AB$1006:$AQ$1006,0)), HYPERLINK("#",""), HYPERLINK(CONCATENATE("#metadata!", ADDRESS(INDEX($W$2:$W$1001,MATCH(ROWS($U$2:U162),$U$2:$U$1001,0),0), INDEX($AB$1004:$AQ$1004,1,MATCH(COLUMNS($AB$1006:AO1006),$AB$1006:$AQ$1006,0)))),"Fix")))</f>
        <v>0</v>
      </c>
      <c r="P162" s="4">
        <f>IF(OR(INDEX($V$2:$V$1001,MATCH(ROWS($U$2:U162),$U$2:$U$1001,0),1)&gt;=100000,INDEX($AB$1005:$AQ$1005,1,MATCH(COLUMNS($AB$1006:AP1006),$AB$1006:$AQ$1006,0))&gt;=100000), " ",IF(INDEX($AB$2:$AQ$1001,MATCH(ROWS($U$2:U162),$U$2:$U$1001,0),MATCH(COLUMNS($AB$1006:AP1006),$AB$1006:$AQ$1006,0)), HYPERLINK("#",""), HYPERLINK(CONCATENATE("#metadata!", ADDRESS(INDEX($W$2:$W$1001,MATCH(ROWS($U$2:U162),$U$2:$U$1001,0),0), INDEX($AB$1004:$AQ$1004,1,MATCH(COLUMNS($AB$1006:AP1006),$AB$1006:$AQ$1006,0)))),"Fix")))</f>
        <v>0</v>
      </c>
      <c r="Q162" s="4">
        <f>IF(OR(INDEX($V$2:$V$1001,MATCH(ROWS($U$2:U162),$U$2:$U$1001,0),1)&gt;=100000,INDEX($AB$1005:$AQ$1005,1,MATCH(COLUMNS($AB$1006:AQ1006),$AB$1006:$AQ$1006,0))&gt;=100000), " ",IF(INDEX($AB$2:$AQ$1001,MATCH(ROWS($U$2:U162),$U$2:$U$1001,0),MATCH(COLUMNS($AB$1006:AQ1006),$AB$1006:$AQ$1006,0)), HYPERLINK("#",""), HYPERLINK(CONCATENATE("#metadata!", ADDRESS(INDEX($W$2:$W$1001,MATCH(ROWS($U$2:U162),$U$2:$U$1001,0),0), INDEX($AB$1004:$AQ$1004,1,MATCH(COLUMNS($AB$1006:AQ1006),$AB$1006:$AQ$1006,0)))),"Fix")))</f>
        <v>0</v>
      </c>
      <c r="U162">
        <v>0</v>
      </c>
      <c r="V162">
        <v>0</v>
      </c>
      <c r="W162">
        <v>0</v>
      </c>
      <c r="X162">
        <f>IF(Y162,TRUE,AND(AB162:AQ162))</f>
        <v>0</v>
      </c>
      <c r="Y162">
        <f>COUNTBLANK(metadata!B162:Q162)=COLUMNS(metadata!B162:Q162)</f>
        <v>0</v>
      </c>
      <c r="Z162">
        <v>0</v>
      </c>
      <c r="AB162">
        <f>AND(IF(metadata!B162="",FALSE,TRUE),COUNTIF(metadata!B:B, metadata!B162) = 1,NOT(ISERROR(SUMPRODUCT(SEARCH(MID(metadata!B162,ROW(INDIRECT("1:"&amp;LEN(metadata!B162))), 1),"0123456789abcdefghijklmnopqrstuvwxyzABCDEFGHIJKLMNOPQRSTUVWXYZ.")))))</f>
        <v>0</v>
      </c>
      <c r="AC162">
        <f>OR(AND(IF(metadata!C162="",FALSE,TRUE),OR(exact(metadata!C162,"missing: not collected"),exact(metadata!C162,"missing: not provided"),exact(metadata!C162,"missing: restricted access"))),AND(IF(metadata!C162="",FALSE,TRUE),AND(AND(IFERROR(INT(LEFT(metadata!C162,4))&gt;1900,FALSE),IFERROR(INT(LEFT(metadata!C162,4))&lt;=YEAR(NOW()),FALSE)), OR(MID(metadata!C162,5,1)="", AND(AND(MID(metadata!C162,5,1)="-",IFERROR(INT(MID(metadata!C162,6,1))&gt;=0,FALSE),IFERROR(INT(MID(metadata!C162,6,1))&lt;=1,FALSE),NOT(MID(metadata!C162,7,1)=""),IFERROR(INT(MID(metadata!C162,6,2))&gt;=1,FALSE),IFERROR(INT(MID(metadata!C162,6,2))&lt;=12,FALSE)), OR(MID(metadata!C162,8,1)="", AND(AND(MID(metadata!C162,8,1)="-",IFERROR(INT(MID(metadata!C162,9,1))&gt;=0,FALSE),IFERROR(INT(MID(metadata!C162,9,1))&lt;=3,FALSE),NOT(MID(metadata!C162,10,1)=""),IFERROR(INT(MID(metadata!C162,9,2))&gt;=1,FALSE),IFERROR(INT(MID(metadata!C162,9,2))&lt;=31,FALSE)), OR(MID(metadata!C162,11,1)="", AND(AND(MID(metadata!C162,11,1)=" ",IFERROR(INT(MID(metadata!C162,12,1))&gt;=0,FALSE),IFERROR(INT(MID(metadata!C162,12,1))&lt;=2,FALSE),NOT(MID(metadata!C162,13,1)=""),IFERROR(INT(MID(metadata!C162,12,2))&gt;=0,FALSE),IFERROR(INT(MID(metadata!C162,12,2))&lt;=23,FALSE)), OR(MID(metadata!C162,14,1)="", AND(AND(MID(metadata!C162,14,1)=":",IFERROR(INT(MID(metadata!C162,15,1))&gt;=0,FALSE),IFERROR(INT(MID(metadata!C162,15,1))&lt;=5,FALSE),NOT(MID(metadata!C162,16,1)=""),IFERROR(INT(MID(metadata!C162,15,2))&gt;=0,FALSE),IFERROR(INT(MID(metadata!C162,15,2))&lt;=59,FALSE)), OR(MID(metadata!C162,17,1)="", AND(AND(MID(metadata!C162,17,1)=":",IFERROR(INT(MID(metadata!C162,18,1))&gt;=0,FALSE),IFERROR(INT(MID(metadata!C162,18,1))&lt;=5,FALSE),NOT(MID(metadata!C162,19,1)=""),IFERROR(INT(MID(metadata!C162,18,2))&gt;=0,FALSE),IFERROR(INT(MID(metadata!C162,18,2))&lt;=59,FALSE)), LEN(metadata!C162)&lt;=19)))))))))))))</f>
        <v>0</v>
      </c>
      <c r="AD162">
        <f>IF(metadata!D162="",FALSE,TRUE)</f>
        <v>0</v>
      </c>
      <c r="AE162">
        <f>OR(AND(IF(metadata!E162="",FALSE,TRUE),OR(exact(metadata!E162,"missing: not collected"),exact(metadata!E162,"missing: not provided"))),AND(IF(metadata!E162="",FALSE,TRUE),OR(exact(metadata!E162,"TRUE"),exact(metadata!E162,"FALSE"))))</f>
        <v>0</v>
      </c>
      <c r="AF162">
        <f>IF(metadata!F162="",FALSE,TRUE)</f>
        <v>0</v>
      </c>
      <c r="AG162">
        <f>IF(metadata!G162="",FALSE,TRUE)</f>
        <v>0</v>
      </c>
      <c r="AH162">
        <f>IF(metadata!H162="",FALSE,TRUE)</f>
        <v>0</v>
      </c>
      <c r="AI162">
        <f>OR(AND(IF(metadata!I162="",FALSE,TRUE),OR(exact(metadata!I162,"missing: not collected"),exact(metadata!I162,"missing: not provided"),exact(metadata!I162,"missing: restricted access"))),AND(IF(metadata!I162="",FALSE,TRUE),OR(exact(metadata!I162,"air"),exact(metadata!I162,"built environment"),exact(metadata!I162,"host-associated"),exact(metadata!I162,"human-associated"),exact(metadata!I162,"human-skin"),exact(metadata!I162,"human-oral"),exact(metadata!I162,"human-gut"),exact(metadata!I162,"human-vaginal"),exact(metadata!I162,"microbial mat/biofilm"),exact(metadata!I162,"misc environment"),exact(metadata!I162,"plant-associated"),exact(metadata!I162,"sediment"),exact(metadata!I162,"soil"),exact(metadata!I162,"wastewater/sludge"),exact(metadata!I162,"water"))))</f>
        <v>0</v>
      </c>
      <c r="AJ162">
        <f>IF(metadata!J162="",FALSE,TRUE)</f>
        <v>0</v>
      </c>
      <c r="AK162">
        <f>OR(AND(IF(metadata!K162="",FALSE,TRUE),OR(exact(metadata!K162,"missing: not collected"),exact(metadata!K162,"missing: not provided"),exact(metadata!K162,"missing: restricted access"))),AND(IF(metadata!K162="",FALSE,ISNUMBER(VALUE(metadata!K162))),metadata!K162&gt;=-90.00,metadata!K162&lt;=90.00))</f>
        <v>0</v>
      </c>
      <c r="AL162">
        <f>OR(AND(IF(metadata!L162="",FALSE,TRUE),OR(exact(metadata!L162,"missing: not collected"),exact(metadata!L162,"missing: not provided"),exact(metadata!L162,"missing: restricted access"))),AND(IF(metadata!L162="",FALSE,ISNUMBER(VALUE(metadata!L162))),metadata!L162&gt;=-180.00,metadata!L162&lt;=180.00))</f>
        <v>0</v>
      </c>
      <c r="AM162">
        <f>IF(metadata!M162="",FALSE,TRUE)</f>
        <v>0</v>
      </c>
      <c r="AN162">
        <f>OR(AND(IF(metadata!N162="",FALSE,TRUE),OR(exact(metadata!N162,"missing: not collected"),exact(metadata!N162,"missing: not provided"),exact(metadata!N162,"missing: restricted access"))),AND(IF(metadata!N162="",FALSE,TRUE),OR(exact(metadata!N162,"TRUE"),exact(metadata!N162,"FALSE"))))</f>
        <v>0</v>
      </c>
      <c r="AO162">
        <f>IF(metadata!O162="",FALSE,TRUE)</f>
        <v>0</v>
      </c>
      <c r="AP162">
        <f>OR(AND(IF(metadata!P162="",FALSE,TRUE),OR(exact(metadata!P162,"missing: not collected"),exact(metadata!P162,"missing: not provided"))),AND(IF(metadata!P162="",FALSE,IF(ISERROR(INT(metadata!P162)),FALSE,INT(metadata!P162)=metadata!P162)),metadata!P162&gt;0))</f>
        <v>0</v>
      </c>
      <c r="AQ162">
        <f>IF(metadata!Q162="",FALSE,TRUE)</f>
        <v>0</v>
      </c>
    </row>
    <row r="163" spans="1:43">
      <c r="A163" s="5">
        <f>IF(B163=" "," ",HYPERLINK(CONCATENATE("#metadata!",ADDRESS(INDEX($W$2:$W$1001,MATCH(ROWS($U$2:U163),$U$2:$U$1001,0),0),1)),INDEX($Z$2:$Z$1001,MATCH(ROWS($U$2:U163),$U$2:$U$1001,0),0)))</f>
        <v>0</v>
      </c>
      <c r="B163" s="4">
        <f>IF(OR(INDEX($V$2:$V$1001,MATCH(ROWS($U$2:U163),$U$2:$U$1001,0),1)&gt;=100000,INDEX($AB$1005:$AQ$1005,1,MATCH(COLUMNS($AB$1006:AB1006),$AB$1006:$AQ$1006,0))&gt;=100000), " ",IF(INDEX($AB$2:$AQ$1001,MATCH(ROWS($U$2:U163),$U$2:$U$1001,0),MATCH(COLUMNS($AB$1006:AB1006),$AB$1006:$AQ$1006,0)), HYPERLINK("#",""), HYPERLINK(CONCATENATE("#metadata!", ADDRESS(INDEX($W$2:$W$1001,MATCH(ROWS($U$2:U163),$U$2:$U$1001,0),0), INDEX($AB$1004:$AQ$1004,1,MATCH(COLUMNS($AB$1006:AB1006),$AB$1006:$AQ$1006,0)))),"Fix")))</f>
        <v>0</v>
      </c>
      <c r="C163" s="4">
        <f>IF(OR(INDEX($V$2:$V$1001,MATCH(ROWS($U$2:U163),$U$2:$U$1001,0),1)&gt;=100000,INDEX($AB$1005:$AQ$1005,1,MATCH(COLUMNS($AB$1006:AC1006),$AB$1006:$AQ$1006,0))&gt;=100000), " ",IF(INDEX($AB$2:$AQ$1001,MATCH(ROWS($U$2:U163),$U$2:$U$1001,0),MATCH(COLUMNS($AB$1006:AC1006),$AB$1006:$AQ$1006,0)), HYPERLINK("#",""), HYPERLINK(CONCATENATE("#metadata!", ADDRESS(INDEX($W$2:$W$1001,MATCH(ROWS($U$2:U163),$U$2:$U$1001,0),0), INDEX($AB$1004:$AQ$1004,1,MATCH(COLUMNS($AB$1006:AC1006),$AB$1006:$AQ$1006,0)))),"Fix")))</f>
        <v>0</v>
      </c>
      <c r="D163" s="4">
        <f>IF(OR(INDEX($V$2:$V$1001,MATCH(ROWS($U$2:U163),$U$2:$U$1001,0),1)&gt;=100000,INDEX($AB$1005:$AQ$1005,1,MATCH(COLUMNS($AB$1006:AD1006),$AB$1006:$AQ$1006,0))&gt;=100000), " ",IF(INDEX($AB$2:$AQ$1001,MATCH(ROWS($U$2:U163),$U$2:$U$1001,0),MATCH(COLUMNS($AB$1006:AD1006),$AB$1006:$AQ$1006,0)), HYPERLINK("#",""), HYPERLINK(CONCATENATE("#metadata!", ADDRESS(INDEX($W$2:$W$1001,MATCH(ROWS($U$2:U163),$U$2:$U$1001,0),0), INDEX($AB$1004:$AQ$1004,1,MATCH(COLUMNS($AB$1006:AD1006),$AB$1006:$AQ$1006,0)))),"Fix")))</f>
        <v>0</v>
      </c>
      <c r="E163" s="4">
        <f>IF(OR(INDEX($V$2:$V$1001,MATCH(ROWS($U$2:U163),$U$2:$U$1001,0),1)&gt;=100000,INDEX($AB$1005:$AQ$1005,1,MATCH(COLUMNS($AB$1006:AE1006),$AB$1006:$AQ$1006,0))&gt;=100000), " ",IF(INDEX($AB$2:$AQ$1001,MATCH(ROWS($U$2:U163),$U$2:$U$1001,0),MATCH(COLUMNS($AB$1006:AE1006),$AB$1006:$AQ$1006,0)), HYPERLINK("#",""), HYPERLINK(CONCATENATE("#metadata!", ADDRESS(INDEX($W$2:$W$1001,MATCH(ROWS($U$2:U163),$U$2:$U$1001,0),0), INDEX($AB$1004:$AQ$1004,1,MATCH(COLUMNS($AB$1006:AE1006),$AB$1006:$AQ$1006,0)))),"Fix")))</f>
        <v>0</v>
      </c>
      <c r="F163" s="4">
        <f>IF(OR(INDEX($V$2:$V$1001,MATCH(ROWS($U$2:U163),$U$2:$U$1001,0),1)&gt;=100000,INDEX($AB$1005:$AQ$1005,1,MATCH(COLUMNS($AB$1006:AF1006),$AB$1006:$AQ$1006,0))&gt;=100000), " ",IF(INDEX($AB$2:$AQ$1001,MATCH(ROWS($U$2:U163),$U$2:$U$1001,0),MATCH(COLUMNS($AB$1006:AF1006),$AB$1006:$AQ$1006,0)), HYPERLINK("#",""), HYPERLINK(CONCATENATE("#metadata!", ADDRESS(INDEX($W$2:$W$1001,MATCH(ROWS($U$2:U163),$U$2:$U$1001,0),0), INDEX($AB$1004:$AQ$1004,1,MATCH(COLUMNS($AB$1006:AF1006),$AB$1006:$AQ$1006,0)))),"Fix")))</f>
        <v>0</v>
      </c>
      <c r="G163" s="4">
        <f>IF(OR(INDEX($V$2:$V$1001,MATCH(ROWS($U$2:U163),$U$2:$U$1001,0),1)&gt;=100000,INDEX($AB$1005:$AQ$1005,1,MATCH(COLUMNS($AB$1006:AG1006),$AB$1006:$AQ$1006,0))&gt;=100000), " ",IF(INDEX($AB$2:$AQ$1001,MATCH(ROWS($U$2:U163),$U$2:$U$1001,0),MATCH(COLUMNS($AB$1006:AG1006),$AB$1006:$AQ$1006,0)), HYPERLINK("#",""), HYPERLINK(CONCATENATE("#metadata!", ADDRESS(INDEX($W$2:$W$1001,MATCH(ROWS($U$2:U163),$U$2:$U$1001,0),0), INDEX($AB$1004:$AQ$1004,1,MATCH(COLUMNS($AB$1006:AG1006),$AB$1006:$AQ$1006,0)))),"Fix")))</f>
        <v>0</v>
      </c>
      <c r="H163" s="4">
        <f>IF(OR(INDEX($V$2:$V$1001,MATCH(ROWS($U$2:U163),$U$2:$U$1001,0),1)&gt;=100000,INDEX($AB$1005:$AQ$1005,1,MATCH(COLUMNS($AB$1006:AH1006),$AB$1006:$AQ$1006,0))&gt;=100000), " ",IF(INDEX($AB$2:$AQ$1001,MATCH(ROWS($U$2:U163),$U$2:$U$1001,0),MATCH(COLUMNS($AB$1006:AH1006),$AB$1006:$AQ$1006,0)), HYPERLINK("#",""), HYPERLINK(CONCATENATE("#metadata!", ADDRESS(INDEX($W$2:$W$1001,MATCH(ROWS($U$2:U163),$U$2:$U$1001,0),0), INDEX($AB$1004:$AQ$1004,1,MATCH(COLUMNS($AB$1006:AH1006),$AB$1006:$AQ$1006,0)))),"Fix")))</f>
        <v>0</v>
      </c>
      <c r="I163" s="4">
        <f>IF(OR(INDEX($V$2:$V$1001,MATCH(ROWS($U$2:U163),$U$2:$U$1001,0),1)&gt;=100000,INDEX($AB$1005:$AQ$1005,1,MATCH(COLUMNS($AB$1006:AI1006),$AB$1006:$AQ$1006,0))&gt;=100000), " ",IF(INDEX($AB$2:$AQ$1001,MATCH(ROWS($U$2:U163),$U$2:$U$1001,0),MATCH(COLUMNS($AB$1006:AI1006),$AB$1006:$AQ$1006,0)), HYPERLINK("#",""), HYPERLINK(CONCATENATE("#metadata!", ADDRESS(INDEX($W$2:$W$1001,MATCH(ROWS($U$2:U163),$U$2:$U$1001,0),0), INDEX($AB$1004:$AQ$1004,1,MATCH(COLUMNS($AB$1006:AI1006),$AB$1006:$AQ$1006,0)))),"Fix")))</f>
        <v>0</v>
      </c>
      <c r="J163" s="4">
        <f>IF(OR(INDEX($V$2:$V$1001,MATCH(ROWS($U$2:U163),$U$2:$U$1001,0),1)&gt;=100000,INDEX($AB$1005:$AQ$1005,1,MATCH(COLUMNS($AB$1006:AJ1006),$AB$1006:$AQ$1006,0))&gt;=100000), " ",IF(INDEX($AB$2:$AQ$1001,MATCH(ROWS($U$2:U163),$U$2:$U$1001,0),MATCH(COLUMNS($AB$1006:AJ1006),$AB$1006:$AQ$1006,0)), HYPERLINK("#",""), HYPERLINK(CONCATENATE("#metadata!", ADDRESS(INDEX($W$2:$W$1001,MATCH(ROWS($U$2:U163),$U$2:$U$1001,0),0), INDEX($AB$1004:$AQ$1004,1,MATCH(COLUMNS($AB$1006:AJ1006),$AB$1006:$AQ$1006,0)))),"Fix")))</f>
        <v>0</v>
      </c>
      <c r="K163" s="4">
        <f>IF(OR(INDEX($V$2:$V$1001,MATCH(ROWS($U$2:U163),$U$2:$U$1001,0),1)&gt;=100000,INDEX($AB$1005:$AQ$1005,1,MATCH(COLUMNS($AB$1006:AK1006),$AB$1006:$AQ$1006,0))&gt;=100000), " ",IF(INDEX($AB$2:$AQ$1001,MATCH(ROWS($U$2:U163),$U$2:$U$1001,0),MATCH(COLUMNS($AB$1006:AK1006),$AB$1006:$AQ$1006,0)), HYPERLINK("#",""), HYPERLINK(CONCATENATE("#metadata!", ADDRESS(INDEX($W$2:$W$1001,MATCH(ROWS($U$2:U163),$U$2:$U$1001,0),0), INDEX($AB$1004:$AQ$1004,1,MATCH(COLUMNS($AB$1006:AK1006),$AB$1006:$AQ$1006,0)))),"Fix")))</f>
        <v>0</v>
      </c>
      <c r="L163" s="4">
        <f>IF(OR(INDEX($V$2:$V$1001,MATCH(ROWS($U$2:U163),$U$2:$U$1001,0),1)&gt;=100000,INDEX($AB$1005:$AQ$1005,1,MATCH(COLUMNS($AB$1006:AL1006),$AB$1006:$AQ$1006,0))&gt;=100000), " ",IF(INDEX($AB$2:$AQ$1001,MATCH(ROWS($U$2:U163),$U$2:$U$1001,0),MATCH(COLUMNS($AB$1006:AL1006),$AB$1006:$AQ$1006,0)), HYPERLINK("#",""), HYPERLINK(CONCATENATE("#metadata!", ADDRESS(INDEX($W$2:$W$1001,MATCH(ROWS($U$2:U163),$U$2:$U$1001,0),0), INDEX($AB$1004:$AQ$1004,1,MATCH(COLUMNS($AB$1006:AL1006),$AB$1006:$AQ$1006,0)))),"Fix")))</f>
        <v>0</v>
      </c>
      <c r="M163" s="4">
        <f>IF(OR(INDEX($V$2:$V$1001,MATCH(ROWS($U$2:U163),$U$2:$U$1001,0),1)&gt;=100000,INDEX($AB$1005:$AQ$1005,1,MATCH(COLUMNS($AB$1006:AM1006),$AB$1006:$AQ$1006,0))&gt;=100000), " ",IF(INDEX($AB$2:$AQ$1001,MATCH(ROWS($U$2:U163),$U$2:$U$1001,0),MATCH(COLUMNS($AB$1006:AM1006),$AB$1006:$AQ$1006,0)), HYPERLINK("#",""), HYPERLINK(CONCATENATE("#metadata!", ADDRESS(INDEX($W$2:$W$1001,MATCH(ROWS($U$2:U163),$U$2:$U$1001,0),0), INDEX($AB$1004:$AQ$1004,1,MATCH(COLUMNS($AB$1006:AM1006),$AB$1006:$AQ$1006,0)))),"Fix")))</f>
        <v>0</v>
      </c>
      <c r="N163" s="4">
        <f>IF(OR(INDEX($V$2:$V$1001,MATCH(ROWS($U$2:U163),$U$2:$U$1001,0),1)&gt;=100000,INDEX($AB$1005:$AQ$1005,1,MATCH(COLUMNS($AB$1006:AN1006),$AB$1006:$AQ$1006,0))&gt;=100000), " ",IF(INDEX($AB$2:$AQ$1001,MATCH(ROWS($U$2:U163),$U$2:$U$1001,0),MATCH(COLUMNS($AB$1006:AN1006),$AB$1006:$AQ$1006,0)), HYPERLINK("#",""), HYPERLINK(CONCATENATE("#metadata!", ADDRESS(INDEX($W$2:$W$1001,MATCH(ROWS($U$2:U163),$U$2:$U$1001,0),0), INDEX($AB$1004:$AQ$1004,1,MATCH(COLUMNS($AB$1006:AN1006),$AB$1006:$AQ$1006,0)))),"Fix")))</f>
        <v>0</v>
      </c>
      <c r="O163" s="4">
        <f>IF(OR(INDEX($V$2:$V$1001,MATCH(ROWS($U$2:U163),$U$2:$U$1001,0),1)&gt;=100000,INDEX($AB$1005:$AQ$1005,1,MATCH(COLUMNS($AB$1006:AO1006),$AB$1006:$AQ$1006,0))&gt;=100000), " ",IF(INDEX($AB$2:$AQ$1001,MATCH(ROWS($U$2:U163),$U$2:$U$1001,0),MATCH(COLUMNS($AB$1006:AO1006),$AB$1006:$AQ$1006,0)), HYPERLINK("#",""), HYPERLINK(CONCATENATE("#metadata!", ADDRESS(INDEX($W$2:$W$1001,MATCH(ROWS($U$2:U163),$U$2:$U$1001,0),0), INDEX($AB$1004:$AQ$1004,1,MATCH(COLUMNS($AB$1006:AO1006),$AB$1006:$AQ$1006,0)))),"Fix")))</f>
        <v>0</v>
      </c>
      <c r="P163" s="4">
        <f>IF(OR(INDEX($V$2:$V$1001,MATCH(ROWS($U$2:U163),$U$2:$U$1001,0),1)&gt;=100000,INDEX($AB$1005:$AQ$1005,1,MATCH(COLUMNS($AB$1006:AP1006),$AB$1006:$AQ$1006,0))&gt;=100000), " ",IF(INDEX($AB$2:$AQ$1001,MATCH(ROWS($U$2:U163),$U$2:$U$1001,0),MATCH(COLUMNS($AB$1006:AP1006),$AB$1006:$AQ$1006,0)), HYPERLINK("#",""), HYPERLINK(CONCATENATE("#metadata!", ADDRESS(INDEX($W$2:$W$1001,MATCH(ROWS($U$2:U163),$U$2:$U$1001,0),0), INDEX($AB$1004:$AQ$1004,1,MATCH(COLUMNS($AB$1006:AP1006),$AB$1006:$AQ$1006,0)))),"Fix")))</f>
        <v>0</v>
      </c>
      <c r="Q163" s="4">
        <f>IF(OR(INDEX($V$2:$V$1001,MATCH(ROWS($U$2:U163),$U$2:$U$1001,0),1)&gt;=100000,INDEX($AB$1005:$AQ$1005,1,MATCH(COLUMNS($AB$1006:AQ1006),$AB$1006:$AQ$1006,0))&gt;=100000), " ",IF(INDEX($AB$2:$AQ$1001,MATCH(ROWS($U$2:U163),$U$2:$U$1001,0),MATCH(COLUMNS($AB$1006:AQ1006),$AB$1006:$AQ$1006,0)), HYPERLINK("#",""), HYPERLINK(CONCATENATE("#metadata!", ADDRESS(INDEX($W$2:$W$1001,MATCH(ROWS($U$2:U163),$U$2:$U$1001,0),0), INDEX($AB$1004:$AQ$1004,1,MATCH(COLUMNS($AB$1006:AQ1006),$AB$1006:$AQ$1006,0)))),"Fix")))</f>
        <v>0</v>
      </c>
      <c r="U163">
        <v>0</v>
      </c>
      <c r="V163">
        <v>0</v>
      </c>
      <c r="W163">
        <v>0</v>
      </c>
      <c r="X163">
        <f>IF(Y163,TRUE,AND(AB163:AQ163))</f>
        <v>0</v>
      </c>
      <c r="Y163">
        <f>COUNTBLANK(metadata!B163:Q163)=COLUMNS(metadata!B163:Q163)</f>
        <v>0</v>
      </c>
      <c r="Z163">
        <v>0</v>
      </c>
      <c r="AB163">
        <f>AND(IF(metadata!B163="",FALSE,TRUE),COUNTIF(metadata!B:B, metadata!B163) = 1,NOT(ISERROR(SUMPRODUCT(SEARCH(MID(metadata!B163,ROW(INDIRECT("1:"&amp;LEN(metadata!B163))), 1),"0123456789abcdefghijklmnopqrstuvwxyzABCDEFGHIJKLMNOPQRSTUVWXYZ.")))))</f>
        <v>0</v>
      </c>
      <c r="AC163">
        <f>OR(AND(IF(metadata!C163="",FALSE,TRUE),OR(exact(metadata!C163,"missing: not collected"),exact(metadata!C163,"missing: not provided"),exact(metadata!C163,"missing: restricted access"))),AND(IF(metadata!C163="",FALSE,TRUE),AND(AND(IFERROR(INT(LEFT(metadata!C163,4))&gt;1900,FALSE),IFERROR(INT(LEFT(metadata!C163,4))&lt;=YEAR(NOW()),FALSE)), OR(MID(metadata!C163,5,1)="", AND(AND(MID(metadata!C163,5,1)="-",IFERROR(INT(MID(metadata!C163,6,1))&gt;=0,FALSE),IFERROR(INT(MID(metadata!C163,6,1))&lt;=1,FALSE),NOT(MID(metadata!C163,7,1)=""),IFERROR(INT(MID(metadata!C163,6,2))&gt;=1,FALSE),IFERROR(INT(MID(metadata!C163,6,2))&lt;=12,FALSE)), OR(MID(metadata!C163,8,1)="", AND(AND(MID(metadata!C163,8,1)="-",IFERROR(INT(MID(metadata!C163,9,1))&gt;=0,FALSE),IFERROR(INT(MID(metadata!C163,9,1))&lt;=3,FALSE),NOT(MID(metadata!C163,10,1)=""),IFERROR(INT(MID(metadata!C163,9,2))&gt;=1,FALSE),IFERROR(INT(MID(metadata!C163,9,2))&lt;=31,FALSE)), OR(MID(metadata!C163,11,1)="", AND(AND(MID(metadata!C163,11,1)=" ",IFERROR(INT(MID(metadata!C163,12,1))&gt;=0,FALSE),IFERROR(INT(MID(metadata!C163,12,1))&lt;=2,FALSE),NOT(MID(metadata!C163,13,1)=""),IFERROR(INT(MID(metadata!C163,12,2))&gt;=0,FALSE),IFERROR(INT(MID(metadata!C163,12,2))&lt;=23,FALSE)), OR(MID(metadata!C163,14,1)="", AND(AND(MID(metadata!C163,14,1)=":",IFERROR(INT(MID(metadata!C163,15,1))&gt;=0,FALSE),IFERROR(INT(MID(metadata!C163,15,1))&lt;=5,FALSE),NOT(MID(metadata!C163,16,1)=""),IFERROR(INT(MID(metadata!C163,15,2))&gt;=0,FALSE),IFERROR(INT(MID(metadata!C163,15,2))&lt;=59,FALSE)), OR(MID(metadata!C163,17,1)="", AND(AND(MID(metadata!C163,17,1)=":",IFERROR(INT(MID(metadata!C163,18,1))&gt;=0,FALSE),IFERROR(INT(MID(metadata!C163,18,1))&lt;=5,FALSE),NOT(MID(metadata!C163,19,1)=""),IFERROR(INT(MID(metadata!C163,18,2))&gt;=0,FALSE),IFERROR(INT(MID(metadata!C163,18,2))&lt;=59,FALSE)), LEN(metadata!C163)&lt;=19)))))))))))))</f>
        <v>0</v>
      </c>
      <c r="AD163">
        <f>IF(metadata!D163="",FALSE,TRUE)</f>
        <v>0</v>
      </c>
      <c r="AE163">
        <f>OR(AND(IF(metadata!E163="",FALSE,TRUE),OR(exact(metadata!E163,"missing: not collected"),exact(metadata!E163,"missing: not provided"))),AND(IF(metadata!E163="",FALSE,TRUE),OR(exact(metadata!E163,"TRUE"),exact(metadata!E163,"FALSE"))))</f>
        <v>0</v>
      </c>
      <c r="AF163">
        <f>IF(metadata!F163="",FALSE,TRUE)</f>
        <v>0</v>
      </c>
      <c r="AG163">
        <f>IF(metadata!G163="",FALSE,TRUE)</f>
        <v>0</v>
      </c>
      <c r="AH163">
        <f>IF(metadata!H163="",FALSE,TRUE)</f>
        <v>0</v>
      </c>
      <c r="AI163">
        <f>OR(AND(IF(metadata!I163="",FALSE,TRUE),OR(exact(metadata!I163,"missing: not collected"),exact(metadata!I163,"missing: not provided"),exact(metadata!I163,"missing: restricted access"))),AND(IF(metadata!I163="",FALSE,TRUE),OR(exact(metadata!I163,"air"),exact(metadata!I163,"built environment"),exact(metadata!I163,"host-associated"),exact(metadata!I163,"human-associated"),exact(metadata!I163,"human-skin"),exact(metadata!I163,"human-oral"),exact(metadata!I163,"human-gut"),exact(metadata!I163,"human-vaginal"),exact(metadata!I163,"microbial mat/biofilm"),exact(metadata!I163,"misc environment"),exact(metadata!I163,"plant-associated"),exact(metadata!I163,"sediment"),exact(metadata!I163,"soil"),exact(metadata!I163,"wastewater/sludge"),exact(metadata!I163,"water"))))</f>
        <v>0</v>
      </c>
      <c r="AJ163">
        <f>IF(metadata!J163="",FALSE,TRUE)</f>
        <v>0</v>
      </c>
      <c r="AK163">
        <f>OR(AND(IF(metadata!K163="",FALSE,TRUE),OR(exact(metadata!K163,"missing: not collected"),exact(metadata!K163,"missing: not provided"),exact(metadata!K163,"missing: restricted access"))),AND(IF(metadata!K163="",FALSE,ISNUMBER(VALUE(metadata!K163))),metadata!K163&gt;=-90.00,metadata!K163&lt;=90.00))</f>
        <v>0</v>
      </c>
      <c r="AL163">
        <f>OR(AND(IF(metadata!L163="",FALSE,TRUE),OR(exact(metadata!L163,"missing: not collected"),exact(metadata!L163,"missing: not provided"),exact(metadata!L163,"missing: restricted access"))),AND(IF(metadata!L163="",FALSE,ISNUMBER(VALUE(metadata!L163))),metadata!L163&gt;=-180.00,metadata!L163&lt;=180.00))</f>
        <v>0</v>
      </c>
      <c r="AM163">
        <f>IF(metadata!M163="",FALSE,TRUE)</f>
        <v>0</v>
      </c>
      <c r="AN163">
        <f>OR(AND(IF(metadata!N163="",FALSE,TRUE),OR(exact(metadata!N163,"missing: not collected"),exact(metadata!N163,"missing: not provided"),exact(metadata!N163,"missing: restricted access"))),AND(IF(metadata!N163="",FALSE,TRUE),OR(exact(metadata!N163,"TRUE"),exact(metadata!N163,"FALSE"))))</f>
        <v>0</v>
      </c>
      <c r="AO163">
        <f>IF(metadata!O163="",FALSE,TRUE)</f>
        <v>0</v>
      </c>
      <c r="AP163">
        <f>OR(AND(IF(metadata!P163="",FALSE,TRUE),OR(exact(metadata!P163,"missing: not collected"),exact(metadata!P163,"missing: not provided"))),AND(IF(metadata!P163="",FALSE,IF(ISERROR(INT(metadata!P163)),FALSE,INT(metadata!P163)=metadata!P163)),metadata!P163&gt;0))</f>
        <v>0</v>
      </c>
      <c r="AQ163">
        <f>IF(metadata!Q163="",FALSE,TRUE)</f>
        <v>0</v>
      </c>
    </row>
    <row r="164" spans="1:43">
      <c r="A164" s="5">
        <f>IF(B164=" "," ",HYPERLINK(CONCATENATE("#metadata!",ADDRESS(INDEX($W$2:$W$1001,MATCH(ROWS($U$2:U164),$U$2:$U$1001,0),0),1)),INDEX($Z$2:$Z$1001,MATCH(ROWS($U$2:U164),$U$2:$U$1001,0),0)))</f>
        <v>0</v>
      </c>
      <c r="B164" s="4">
        <f>IF(OR(INDEX($V$2:$V$1001,MATCH(ROWS($U$2:U164),$U$2:$U$1001,0),1)&gt;=100000,INDEX($AB$1005:$AQ$1005,1,MATCH(COLUMNS($AB$1006:AB1006),$AB$1006:$AQ$1006,0))&gt;=100000), " ",IF(INDEX($AB$2:$AQ$1001,MATCH(ROWS($U$2:U164),$U$2:$U$1001,0),MATCH(COLUMNS($AB$1006:AB1006),$AB$1006:$AQ$1006,0)), HYPERLINK("#",""), HYPERLINK(CONCATENATE("#metadata!", ADDRESS(INDEX($W$2:$W$1001,MATCH(ROWS($U$2:U164),$U$2:$U$1001,0),0), INDEX($AB$1004:$AQ$1004,1,MATCH(COLUMNS($AB$1006:AB1006),$AB$1006:$AQ$1006,0)))),"Fix")))</f>
        <v>0</v>
      </c>
      <c r="C164" s="4">
        <f>IF(OR(INDEX($V$2:$V$1001,MATCH(ROWS($U$2:U164),$U$2:$U$1001,0),1)&gt;=100000,INDEX($AB$1005:$AQ$1005,1,MATCH(COLUMNS($AB$1006:AC1006),$AB$1006:$AQ$1006,0))&gt;=100000), " ",IF(INDEX($AB$2:$AQ$1001,MATCH(ROWS($U$2:U164),$U$2:$U$1001,0),MATCH(COLUMNS($AB$1006:AC1006),$AB$1006:$AQ$1006,0)), HYPERLINK("#",""), HYPERLINK(CONCATENATE("#metadata!", ADDRESS(INDEX($W$2:$W$1001,MATCH(ROWS($U$2:U164),$U$2:$U$1001,0),0), INDEX($AB$1004:$AQ$1004,1,MATCH(COLUMNS($AB$1006:AC1006),$AB$1006:$AQ$1006,0)))),"Fix")))</f>
        <v>0</v>
      </c>
      <c r="D164" s="4">
        <f>IF(OR(INDEX($V$2:$V$1001,MATCH(ROWS($U$2:U164),$U$2:$U$1001,0),1)&gt;=100000,INDEX($AB$1005:$AQ$1005,1,MATCH(COLUMNS($AB$1006:AD1006),$AB$1006:$AQ$1006,0))&gt;=100000), " ",IF(INDEX($AB$2:$AQ$1001,MATCH(ROWS($U$2:U164),$U$2:$U$1001,0),MATCH(COLUMNS($AB$1006:AD1006),$AB$1006:$AQ$1006,0)), HYPERLINK("#",""), HYPERLINK(CONCATENATE("#metadata!", ADDRESS(INDEX($W$2:$W$1001,MATCH(ROWS($U$2:U164),$U$2:$U$1001,0),0), INDEX($AB$1004:$AQ$1004,1,MATCH(COLUMNS($AB$1006:AD1006),$AB$1006:$AQ$1006,0)))),"Fix")))</f>
        <v>0</v>
      </c>
      <c r="E164" s="4">
        <f>IF(OR(INDEX($V$2:$V$1001,MATCH(ROWS($U$2:U164),$U$2:$U$1001,0),1)&gt;=100000,INDEX($AB$1005:$AQ$1005,1,MATCH(COLUMNS($AB$1006:AE1006),$AB$1006:$AQ$1006,0))&gt;=100000), " ",IF(INDEX($AB$2:$AQ$1001,MATCH(ROWS($U$2:U164),$U$2:$U$1001,0),MATCH(COLUMNS($AB$1006:AE1006),$AB$1006:$AQ$1006,0)), HYPERLINK("#",""), HYPERLINK(CONCATENATE("#metadata!", ADDRESS(INDEX($W$2:$W$1001,MATCH(ROWS($U$2:U164),$U$2:$U$1001,0),0), INDEX($AB$1004:$AQ$1004,1,MATCH(COLUMNS($AB$1006:AE1006),$AB$1006:$AQ$1006,0)))),"Fix")))</f>
        <v>0</v>
      </c>
      <c r="F164" s="4">
        <f>IF(OR(INDEX($V$2:$V$1001,MATCH(ROWS($U$2:U164),$U$2:$U$1001,0),1)&gt;=100000,INDEX($AB$1005:$AQ$1005,1,MATCH(COLUMNS($AB$1006:AF1006),$AB$1006:$AQ$1006,0))&gt;=100000), " ",IF(INDEX($AB$2:$AQ$1001,MATCH(ROWS($U$2:U164),$U$2:$U$1001,0),MATCH(COLUMNS($AB$1006:AF1006),$AB$1006:$AQ$1006,0)), HYPERLINK("#",""), HYPERLINK(CONCATENATE("#metadata!", ADDRESS(INDEX($W$2:$W$1001,MATCH(ROWS($U$2:U164),$U$2:$U$1001,0),0), INDEX($AB$1004:$AQ$1004,1,MATCH(COLUMNS($AB$1006:AF1006),$AB$1006:$AQ$1006,0)))),"Fix")))</f>
        <v>0</v>
      </c>
      <c r="G164" s="4">
        <f>IF(OR(INDEX($V$2:$V$1001,MATCH(ROWS($U$2:U164),$U$2:$U$1001,0),1)&gt;=100000,INDEX($AB$1005:$AQ$1005,1,MATCH(COLUMNS($AB$1006:AG1006),$AB$1006:$AQ$1006,0))&gt;=100000), " ",IF(INDEX($AB$2:$AQ$1001,MATCH(ROWS($U$2:U164),$U$2:$U$1001,0),MATCH(COLUMNS($AB$1006:AG1006),$AB$1006:$AQ$1006,0)), HYPERLINK("#",""), HYPERLINK(CONCATENATE("#metadata!", ADDRESS(INDEX($W$2:$W$1001,MATCH(ROWS($U$2:U164),$U$2:$U$1001,0),0), INDEX($AB$1004:$AQ$1004,1,MATCH(COLUMNS($AB$1006:AG1006),$AB$1006:$AQ$1006,0)))),"Fix")))</f>
        <v>0</v>
      </c>
      <c r="H164" s="4">
        <f>IF(OR(INDEX($V$2:$V$1001,MATCH(ROWS($U$2:U164),$U$2:$U$1001,0),1)&gt;=100000,INDEX($AB$1005:$AQ$1005,1,MATCH(COLUMNS($AB$1006:AH1006),$AB$1006:$AQ$1006,0))&gt;=100000), " ",IF(INDEX($AB$2:$AQ$1001,MATCH(ROWS($U$2:U164),$U$2:$U$1001,0),MATCH(COLUMNS($AB$1006:AH1006),$AB$1006:$AQ$1006,0)), HYPERLINK("#",""), HYPERLINK(CONCATENATE("#metadata!", ADDRESS(INDEX($W$2:$W$1001,MATCH(ROWS($U$2:U164),$U$2:$U$1001,0),0), INDEX($AB$1004:$AQ$1004,1,MATCH(COLUMNS($AB$1006:AH1006),$AB$1006:$AQ$1006,0)))),"Fix")))</f>
        <v>0</v>
      </c>
      <c r="I164" s="4">
        <f>IF(OR(INDEX($V$2:$V$1001,MATCH(ROWS($U$2:U164),$U$2:$U$1001,0),1)&gt;=100000,INDEX($AB$1005:$AQ$1005,1,MATCH(COLUMNS($AB$1006:AI1006),$AB$1006:$AQ$1006,0))&gt;=100000), " ",IF(INDEX($AB$2:$AQ$1001,MATCH(ROWS($U$2:U164),$U$2:$U$1001,0),MATCH(COLUMNS($AB$1006:AI1006),$AB$1006:$AQ$1006,0)), HYPERLINK("#",""), HYPERLINK(CONCATENATE("#metadata!", ADDRESS(INDEX($W$2:$W$1001,MATCH(ROWS($U$2:U164),$U$2:$U$1001,0),0), INDEX($AB$1004:$AQ$1004,1,MATCH(COLUMNS($AB$1006:AI1006),$AB$1006:$AQ$1006,0)))),"Fix")))</f>
        <v>0</v>
      </c>
      <c r="J164" s="4">
        <f>IF(OR(INDEX($V$2:$V$1001,MATCH(ROWS($U$2:U164),$U$2:$U$1001,0),1)&gt;=100000,INDEX($AB$1005:$AQ$1005,1,MATCH(COLUMNS($AB$1006:AJ1006),$AB$1006:$AQ$1006,0))&gt;=100000), " ",IF(INDEX($AB$2:$AQ$1001,MATCH(ROWS($U$2:U164),$U$2:$U$1001,0),MATCH(COLUMNS($AB$1006:AJ1006),$AB$1006:$AQ$1006,0)), HYPERLINK("#",""), HYPERLINK(CONCATENATE("#metadata!", ADDRESS(INDEX($W$2:$W$1001,MATCH(ROWS($U$2:U164),$U$2:$U$1001,0),0), INDEX($AB$1004:$AQ$1004,1,MATCH(COLUMNS($AB$1006:AJ1006),$AB$1006:$AQ$1006,0)))),"Fix")))</f>
        <v>0</v>
      </c>
      <c r="K164" s="4">
        <f>IF(OR(INDEX($V$2:$V$1001,MATCH(ROWS($U$2:U164),$U$2:$U$1001,0),1)&gt;=100000,INDEX($AB$1005:$AQ$1005,1,MATCH(COLUMNS($AB$1006:AK1006),$AB$1006:$AQ$1006,0))&gt;=100000), " ",IF(INDEX($AB$2:$AQ$1001,MATCH(ROWS($U$2:U164),$U$2:$U$1001,0),MATCH(COLUMNS($AB$1006:AK1006),$AB$1006:$AQ$1006,0)), HYPERLINK("#",""), HYPERLINK(CONCATENATE("#metadata!", ADDRESS(INDEX($W$2:$W$1001,MATCH(ROWS($U$2:U164),$U$2:$U$1001,0),0), INDEX($AB$1004:$AQ$1004,1,MATCH(COLUMNS($AB$1006:AK1006),$AB$1006:$AQ$1006,0)))),"Fix")))</f>
        <v>0</v>
      </c>
      <c r="L164" s="4">
        <f>IF(OR(INDEX($V$2:$V$1001,MATCH(ROWS($U$2:U164),$U$2:$U$1001,0),1)&gt;=100000,INDEX($AB$1005:$AQ$1005,1,MATCH(COLUMNS($AB$1006:AL1006),$AB$1006:$AQ$1006,0))&gt;=100000), " ",IF(INDEX($AB$2:$AQ$1001,MATCH(ROWS($U$2:U164),$U$2:$U$1001,0),MATCH(COLUMNS($AB$1006:AL1006),$AB$1006:$AQ$1006,0)), HYPERLINK("#",""), HYPERLINK(CONCATENATE("#metadata!", ADDRESS(INDEX($W$2:$W$1001,MATCH(ROWS($U$2:U164),$U$2:$U$1001,0),0), INDEX($AB$1004:$AQ$1004,1,MATCH(COLUMNS($AB$1006:AL1006),$AB$1006:$AQ$1006,0)))),"Fix")))</f>
        <v>0</v>
      </c>
      <c r="M164" s="4">
        <f>IF(OR(INDEX($V$2:$V$1001,MATCH(ROWS($U$2:U164),$U$2:$U$1001,0),1)&gt;=100000,INDEX($AB$1005:$AQ$1005,1,MATCH(COLUMNS($AB$1006:AM1006),$AB$1006:$AQ$1006,0))&gt;=100000), " ",IF(INDEX($AB$2:$AQ$1001,MATCH(ROWS($U$2:U164),$U$2:$U$1001,0),MATCH(COLUMNS($AB$1006:AM1006),$AB$1006:$AQ$1006,0)), HYPERLINK("#",""), HYPERLINK(CONCATENATE("#metadata!", ADDRESS(INDEX($W$2:$W$1001,MATCH(ROWS($U$2:U164),$U$2:$U$1001,0),0), INDEX($AB$1004:$AQ$1004,1,MATCH(COLUMNS($AB$1006:AM1006),$AB$1006:$AQ$1006,0)))),"Fix")))</f>
        <v>0</v>
      </c>
      <c r="N164" s="4">
        <f>IF(OR(INDEX($V$2:$V$1001,MATCH(ROWS($U$2:U164),$U$2:$U$1001,0),1)&gt;=100000,INDEX($AB$1005:$AQ$1005,1,MATCH(COLUMNS($AB$1006:AN1006),$AB$1006:$AQ$1006,0))&gt;=100000), " ",IF(INDEX($AB$2:$AQ$1001,MATCH(ROWS($U$2:U164),$U$2:$U$1001,0),MATCH(COLUMNS($AB$1006:AN1006),$AB$1006:$AQ$1006,0)), HYPERLINK("#",""), HYPERLINK(CONCATENATE("#metadata!", ADDRESS(INDEX($W$2:$W$1001,MATCH(ROWS($U$2:U164),$U$2:$U$1001,0),0), INDEX($AB$1004:$AQ$1004,1,MATCH(COLUMNS($AB$1006:AN1006),$AB$1006:$AQ$1006,0)))),"Fix")))</f>
        <v>0</v>
      </c>
      <c r="O164" s="4">
        <f>IF(OR(INDEX($V$2:$V$1001,MATCH(ROWS($U$2:U164),$U$2:$U$1001,0),1)&gt;=100000,INDEX($AB$1005:$AQ$1005,1,MATCH(COLUMNS($AB$1006:AO1006),$AB$1006:$AQ$1006,0))&gt;=100000), " ",IF(INDEX($AB$2:$AQ$1001,MATCH(ROWS($U$2:U164),$U$2:$U$1001,0),MATCH(COLUMNS($AB$1006:AO1006),$AB$1006:$AQ$1006,0)), HYPERLINK("#",""), HYPERLINK(CONCATENATE("#metadata!", ADDRESS(INDEX($W$2:$W$1001,MATCH(ROWS($U$2:U164),$U$2:$U$1001,0),0), INDEX($AB$1004:$AQ$1004,1,MATCH(COLUMNS($AB$1006:AO1006),$AB$1006:$AQ$1006,0)))),"Fix")))</f>
        <v>0</v>
      </c>
      <c r="P164" s="4">
        <f>IF(OR(INDEX($V$2:$V$1001,MATCH(ROWS($U$2:U164),$U$2:$U$1001,0),1)&gt;=100000,INDEX($AB$1005:$AQ$1005,1,MATCH(COLUMNS($AB$1006:AP1006),$AB$1006:$AQ$1006,0))&gt;=100000), " ",IF(INDEX($AB$2:$AQ$1001,MATCH(ROWS($U$2:U164),$U$2:$U$1001,0),MATCH(COLUMNS($AB$1006:AP1006),$AB$1006:$AQ$1006,0)), HYPERLINK("#",""), HYPERLINK(CONCATENATE("#metadata!", ADDRESS(INDEX($W$2:$W$1001,MATCH(ROWS($U$2:U164),$U$2:$U$1001,0),0), INDEX($AB$1004:$AQ$1004,1,MATCH(COLUMNS($AB$1006:AP1006),$AB$1006:$AQ$1006,0)))),"Fix")))</f>
        <v>0</v>
      </c>
      <c r="Q164" s="4">
        <f>IF(OR(INDEX($V$2:$V$1001,MATCH(ROWS($U$2:U164),$U$2:$U$1001,0),1)&gt;=100000,INDEX($AB$1005:$AQ$1005,1,MATCH(COLUMNS($AB$1006:AQ1006),$AB$1006:$AQ$1006,0))&gt;=100000), " ",IF(INDEX($AB$2:$AQ$1001,MATCH(ROWS($U$2:U164),$U$2:$U$1001,0),MATCH(COLUMNS($AB$1006:AQ1006),$AB$1006:$AQ$1006,0)), HYPERLINK("#",""), HYPERLINK(CONCATENATE("#metadata!", ADDRESS(INDEX($W$2:$W$1001,MATCH(ROWS($U$2:U164),$U$2:$U$1001,0),0), INDEX($AB$1004:$AQ$1004,1,MATCH(COLUMNS($AB$1006:AQ1006),$AB$1006:$AQ$1006,0)))),"Fix")))</f>
        <v>0</v>
      </c>
      <c r="U164">
        <v>0</v>
      </c>
      <c r="V164">
        <v>0</v>
      </c>
      <c r="W164">
        <v>0</v>
      </c>
      <c r="X164">
        <f>IF(Y164,TRUE,AND(AB164:AQ164))</f>
        <v>0</v>
      </c>
      <c r="Y164">
        <f>COUNTBLANK(metadata!B164:Q164)=COLUMNS(metadata!B164:Q164)</f>
        <v>0</v>
      </c>
      <c r="Z164">
        <v>0</v>
      </c>
      <c r="AB164">
        <f>AND(IF(metadata!B164="",FALSE,TRUE),COUNTIF(metadata!B:B, metadata!B164) = 1,NOT(ISERROR(SUMPRODUCT(SEARCH(MID(metadata!B164,ROW(INDIRECT("1:"&amp;LEN(metadata!B164))), 1),"0123456789abcdefghijklmnopqrstuvwxyzABCDEFGHIJKLMNOPQRSTUVWXYZ.")))))</f>
        <v>0</v>
      </c>
      <c r="AC164">
        <f>OR(AND(IF(metadata!C164="",FALSE,TRUE),OR(exact(metadata!C164,"missing: not collected"),exact(metadata!C164,"missing: not provided"),exact(metadata!C164,"missing: restricted access"))),AND(IF(metadata!C164="",FALSE,TRUE),AND(AND(IFERROR(INT(LEFT(metadata!C164,4))&gt;1900,FALSE),IFERROR(INT(LEFT(metadata!C164,4))&lt;=YEAR(NOW()),FALSE)), OR(MID(metadata!C164,5,1)="", AND(AND(MID(metadata!C164,5,1)="-",IFERROR(INT(MID(metadata!C164,6,1))&gt;=0,FALSE),IFERROR(INT(MID(metadata!C164,6,1))&lt;=1,FALSE),NOT(MID(metadata!C164,7,1)=""),IFERROR(INT(MID(metadata!C164,6,2))&gt;=1,FALSE),IFERROR(INT(MID(metadata!C164,6,2))&lt;=12,FALSE)), OR(MID(metadata!C164,8,1)="", AND(AND(MID(metadata!C164,8,1)="-",IFERROR(INT(MID(metadata!C164,9,1))&gt;=0,FALSE),IFERROR(INT(MID(metadata!C164,9,1))&lt;=3,FALSE),NOT(MID(metadata!C164,10,1)=""),IFERROR(INT(MID(metadata!C164,9,2))&gt;=1,FALSE),IFERROR(INT(MID(metadata!C164,9,2))&lt;=31,FALSE)), OR(MID(metadata!C164,11,1)="", AND(AND(MID(metadata!C164,11,1)=" ",IFERROR(INT(MID(metadata!C164,12,1))&gt;=0,FALSE),IFERROR(INT(MID(metadata!C164,12,1))&lt;=2,FALSE),NOT(MID(metadata!C164,13,1)=""),IFERROR(INT(MID(metadata!C164,12,2))&gt;=0,FALSE),IFERROR(INT(MID(metadata!C164,12,2))&lt;=23,FALSE)), OR(MID(metadata!C164,14,1)="", AND(AND(MID(metadata!C164,14,1)=":",IFERROR(INT(MID(metadata!C164,15,1))&gt;=0,FALSE),IFERROR(INT(MID(metadata!C164,15,1))&lt;=5,FALSE),NOT(MID(metadata!C164,16,1)=""),IFERROR(INT(MID(metadata!C164,15,2))&gt;=0,FALSE),IFERROR(INT(MID(metadata!C164,15,2))&lt;=59,FALSE)), OR(MID(metadata!C164,17,1)="", AND(AND(MID(metadata!C164,17,1)=":",IFERROR(INT(MID(metadata!C164,18,1))&gt;=0,FALSE),IFERROR(INT(MID(metadata!C164,18,1))&lt;=5,FALSE),NOT(MID(metadata!C164,19,1)=""),IFERROR(INT(MID(metadata!C164,18,2))&gt;=0,FALSE),IFERROR(INT(MID(metadata!C164,18,2))&lt;=59,FALSE)), LEN(metadata!C164)&lt;=19)))))))))))))</f>
        <v>0</v>
      </c>
      <c r="AD164">
        <f>IF(metadata!D164="",FALSE,TRUE)</f>
        <v>0</v>
      </c>
      <c r="AE164">
        <f>OR(AND(IF(metadata!E164="",FALSE,TRUE),OR(exact(metadata!E164,"missing: not collected"),exact(metadata!E164,"missing: not provided"))),AND(IF(metadata!E164="",FALSE,TRUE),OR(exact(metadata!E164,"TRUE"),exact(metadata!E164,"FALSE"))))</f>
        <v>0</v>
      </c>
      <c r="AF164">
        <f>IF(metadata!F164="",FALSE,TRUE)</f>
        <v>0</v>
      </c>
      <c r="AG164">
        <f>IF(metadata!G164="",FALSE,TRUE)</f>
        <v>0</v>
      </c>
      <c r="AH164">
        <f>IF(metadata!H164="",FALSE,TRUE)</f>
        <v>0</v>
      </c>
      <c r="AI164">
        <f>OR(AND(IF(metadata!I164="",FALSE,TRUE),OR(exact(metadata!I164,"missing: not collected"),exact(metadata!I164,"missing: not provided"),exact(metadata!I164,"missing: restricted access"))),AND(IF(metadata!I164="",FALSE,TRUE),OR(exact(metadata!I164,"air"),exact(metadata!I164,"built environment"),exact(metadata!I164,"host-associated"),exact(metadata!I164,"human-associated"),exact(metadata!I164,"human-skin"),exact(metadata!I164,"human-oral"),exact(metadata!I164,"human-gut"),exact(metadata!I164,"human-vaginal"),exact(metadata!I164,"microbial mat/biofilm"),exact(metadata!I164,"misc environment"),exact(metadata!I164,"plant-associated"),exact(metadata!I164,"sediment"),exact(metadata!I164,"soil"),exact(metadata!I164,"wastewater/sludge"),exact(metadata!I164,"water"))))</f>
        <v>0</v>
      </c>
      <c r="AJ164">
        <f>IF(metadata!J164="",FALSE,TRUE)</f>
        <v>0</v>
      </c>
      <c r="AK164">
        <f>OR(AND(IF(metadata!K164="",FALSE,TRUE),OR(exact(metadata!K164,"missing: not collected"),exact(metadata!K164,"missing: not provided"),exact(metadata!K164,"missing: restricted access"))),AND(IF(metadata!K164="",FALSE,ISNUMBER(VALUE(metadata!K164))),metadata!K164&gt;=-90.00,metadata!K164&lt;=90.00))</f>
        <v>0</v>
      </c>
      <c r="AL164">
        <f>OR(AND(IF(metadata!L164="",FALSE,TRUE),OR(exact(metadata!L164,"missing: not collected"),exact(metadata!L164,"missing: not provided"),exact(metadata!L164,"missing: restricted access"))),AND(IF(metadata!L164="",FALSE,ISNUMBER(VALUE(metadata!L164))),metadata!L164&gt;=-180.00,metadata!L164&lt;=180.00))</f>
        <v>0</v>
      </c>
      <c r="AM164">
        <f>IF(metadata!M164="",FALSE,TRUE)</f>
        <v>0</v>
      </c>
      <c r="AN164">
        <f>OR(AND(IF(metadata!N164="",FALSE,TRUE),OR(exact(metadata!N164,"missing: not collected"),exact(metadata!N164,"missing: not provided"),exact(metadata!N164,"missing: restricted access"))),AND(IF(metadata!N164="",FALSE,TRUE),OR(exact(metadata!N164,"TRUE"),exact(metadata!N164,"FALSE"))))</f>
        <v>0</v>
      </c>
      <c r="AO164">
        <f>IF(metadata!O164="",FALSE,TRUE)</f>
        <v>0</v>
      </c>
      <c r="AP164">
        <f>OR(AND(IF(metadata!P164="",FALSE,TRUE),OR(exact(metadata!P164,"missing: not collected"),exact(metadata!P164,"missing: not provided"))),AND(IF(metadata!P164="",FALSE,IF(ISERROR(INT(metadata!P164)),FALSE,INT(metadata!P164)=metadata!P164)),metadata!P164&gt;0))</f>
        <v>0</v>
      </c>
      <c r="AQ164">
        <f>IF(metadata!Q164="",FALSE,TRUE)</f>
        <v>0</v>
      </c>
    </row>
    <row r="165" spans="1:43">
      <c r="A165" s="5">
        <f>IF(B165=" "," ",HYPERLINK(CONCATENATE("#metadata!",ADDRESS(INDEX($W$2:$W$1001,MATCH(ROWS($U$2:U165),$U$2:$U$1001,0),0),1)),INDEX($Z$2:$Z$1001,MATCH(ROWS($U$2:U165),$U$2:$U$1001,0),0)))</f>
        <v>0</v>
      </c>
      <c r="B165" s="4">
        <f>IF(OR(INDEX($V$2:$V$1001,MATCH(ROWS($U$2:U165),$U$2:$U$1001,0),1)&gt;=100000,INDEX($AB$1005:$AQ$1005,1,MATCH(COLUMNS($AB$1006:AB1006),$AB$1006:$AQ$1006,0))&gt;=100000), " ",IF(INDEX($AB$2:$AQ$1001,MATCH(ROWS($U$2:U165),$U$2:$U$1001,0),MATCH(COLUMNS($AB$1006:AB1006),$AB$1006:$AQ$1006,0)), HYPERLINK("#",""), HYPERLINK(CONCATENATE("#metadata!", ADDRESS(INDEX($W$2:$W$1001,MATCH(ROWS($U$2:U165),$U$2:$U$1001,0),0), INDEX($AB$1004:$AQ$1004,1,MATCH(COLUMNS($AB$1006:AB1006),$AB$1006:$AQ$1006,0)))),"Fix")))</f>
        <v>0</v>
      </c>
      <c r="C165" s="4">
        <f>IF(OR(INDEX($V$2:$V$1001,MATCH(ROWS($U$2:U165),$U$2:$U$1001,0),1)&gt;=100000,INDEX($AB$1005:$AQ$1005,1,MATCH(COLUMNS($AB$1006:AC1006),$AB$1006:$AQ$1006,0))&gt;=100000), " ",IF(INDEX($AB$2:$AQ$1001,MATCH(ROWS($U$2:U165),$U$2:$U$1001,0),MATCH(COLUMNS($AB$1006:AC1006),$AB$1006:$AQ$1006,0)), HYPERLINK("#",""), HYPERLINK(CONCATENATE("#metadata!", ADDRESS(INDEX($W$2:$W$1001,MATCH(ROWS($U$2:U165),$U$2:$U$1001,0),0), INDEX($AB$1004:$AQ$1004,1,MATCH(COLUMNS($AB$1006:AC1006),$AB$1006:$AQ$1006,0)))),"Fix")))</f>
        <v>0</v>
      </c>
      <c r="D165" s="4">
        <f>IF(OR(INDEX($V$2:$V$1001,MATCH(ROWS($U$2:U165),$U$2:$U$1001,0),1)&gt;=100000,INDEX($AB$1005:$AQ$1005,1,MATCH(COLUMNS($AB$1006:AD1006),$AB$1006:$AQ$1006,0))&gt;=100000), " ",IF(INDEX($AB$2:$AQ$1001,MATCH(ROWS($U$2:U165),$U$2:$U$1001,0),MATCH(COLUMNS($AB$1006:AD1006),$AB$1006:$AQ$1006,0)), HYPERLINK("#",""), HYPERLINK(CONCATENATE("#metadata!", ADDRESS(INDEX($W$2:$W$1001,MATCH(ROWS($U$2:U165),$U$2:$U$1001,0),0), INDEX($AB$1004:$AQ$1004,1,MATCH(COLUMNS($AB$1006:AD1006),$AB$1006:$AQ$1006,0)))),"Fix")))</f>
        <v>0</v>
      </c>
      <c r="E165" s="4">
        <f>IF(OR(INDEX($V$2:$V$1001,MATCH(ROWS($U$2:U165),$U$2:$U$1001,0),1)&gt;=100000,INDEX($AB$1005:$AQ$1005,1,MATCH(COLUMNS($AB$1006:AE1006),$AB$1006:$AQ$1006,0))&gt;=100000), " ",IF(INDEX($AB$2:$AQ$1001,MATCH(ROWS($U$2:U165),$U$2:$U$1001,0),MATCH(COLUMNS($AB$1006:AE1006),$AB$1006:$AQ$1006,0)), HYPERLINK("#",""), HYPERLINK(CONCATENATE("#metadata!", ADDRESS(INDEX($W$2:$W$1001,MATCH(ROWS($U$2:U165),$U$2:$U$1001,0),0), INDEX($AB$1004:$AQ$1004,1,MATCH(COLUMNS($AB$1006:AE1006),$AB$1006:$AQ$1006,0)))),"Fix")))</f>
        <v>0</v>
      </c>
      <c r="F165" s="4">
        <f>IF(OR(INDEX($V$2:$V$1001,MATCH(ROWS($U$2:U165),$U$2:$U$1001,0),1)&gt;=100000,INDEX($AB$1005:$AQ$1005,1,MATCH(COLUMNS($AB$1006:AF1006),$AB$1006:$AQ$1006,0))&gt;=100000), " ",IF(INDEX($AB$2:$AQ$1001,MATCH(ROWS($U$2:U165),$U$2:$U$1001,0),MATCH(COLUMNS($AB$1006:AF1006),$AB$1006:$AQ$1006,0)), HYPERLINK("#",""), HYPERLINK(CONCATENATE("#metadata!", ADDRESS(INDEX($W$2:$W$1001,MATCH(ROWS($U$2:U165),$U$2:$U$1001,0),0), INDEX($AB$1004:$AQ$1004,1,MATCH(COLUMNS($AB$1006:AF1006),$AB$1006:$AQ$1006,0)))),"Fix")))</f>
        <v>0</v>
      </c>
      <c r="G165" s="4">
        <f>IF(OR(INDEX($V$2:$V$1001,MATCH(ROWS($U$2:U165),$U$2:$U$1001,0),1)&gt;=100000,INDEX($AB$1005:$AQ$1005,1,MATCH(COLUMNS($AB$1006:AG1006),$AB$1006:$AQ$1006,0))&gt;=100000), " ",IF(INDEX($AB$2:$AQ$1001,MATCH(ROWS($U$2:U165),$U$2:$U$1001,0),MATCH(COLUMNS($AB$1006:AG1006),$AB$1006:$AQ$1006,0)), HYPERLINK("#",""), HYPERLINK(CONCATENATE("#metadata!", ADDRESS(INDEX($W$2:$W$1001,MATCH(ROWS($U$2:U165),$U$2:$U$1001,0),0), INDEX($AB$1004:$AQ$1004,1,MATCH(COLUMNS($AB$1006:AG1006),$AB$1006:$AQ$1006,0)))),"Fix")))</f>
        <v>0</v>
      </c>
      <c r="H165" s="4">
        <f>IF(OR(INDEX($V$2:$V$1001,MATCH(ROWS($U$2:U165),$U$2:$U$1001,0),1)&gt;=100000,INDEX($AB$1005:$AQ$1005,1,MATCH(COLUMNS($AB$1006:AH1006),$AB$1006:$AQ$1006,0))&gt;=100000), " ",IF(INDEX($AB$2:$AQ$1001,MATCH(ROWS($U$2:U165),$U$2:$U$1001,0),MATCH(COLUMNS($AB$1006:AH1006),$AB$1006:$AQ$1006,0)), HYPERLINK("#",""), HYPERLINK(CONCATENATE("#metadata!", ADDRESS(INDEX($W$2:$W$1001,MATCH(ROWS($U$2:U165),$U$2:$U$1001,0),0), INDEX($AB$1004:$AQ$1004,1,MATCH(COLUMNS($AB$1006:AH1006),$AB$1006:$AQ$1006,0)))),"Fix")))</f>
        <v>0</v>
      </c>
      <c r="I165" s="4">
        <f>IF(OR(INDEX($V$2:$V$1001,MATCH(ROWS($U$2:U165),$U$2:$U$1001,0),1)&gt;=100000,INDEX($AB$1005:$AQ$1005,1,MATCH(COLUMNS($AB$1006:AI1006),$AB$1006:$AQ$1006,0))&gt;=100000), " ",IF(INDEX($AB$2:$AQ$1001,MATCH(ROWS($U$2:U165),$U$2:$U$1001,0),MATCH(COLUMNS($AB$1006:AI1006),$AB$1006:$AQ$1006,0)), HYPERLINK("#",""), HYPERLINK(CONCATENATE("#metadata!", ADDRESS(INDEX($W$2:$W$1001,MATCH(ROWS($U$2:U165),$U$2:$U$1001,0),0), INDEX($AB$1004:$AQ$1004,1,MATCH(COLUMNS($AB$1006:AI1006),$AB$1006:$AQ$1006,0)))),"Fix")))</f>
        <v>0</v>
      </c>
      <c r="J165" s="4">
        <f>IF(OR(INDEX($V$2:$V$1001,MATCH(ROWS($U$2:U165),$U$2:$U$1001,0),1)&gt;=100000,INDEX($AB$1005:$AQ$1005,1,MATCH(COLUMNS($AB$1006:AJ1006),$AB$1006:$AQ$1006,0))&gt;=100000), " ",IF(INDEX($AB$2:$AQ$1001,MATCH(ROWS($U$2:U165),$U$2:$U$1001,0),MATCH(COLUMNS($AB$1006:AJ1006),$AB$1006:$AQ$1006,0)), HYPERLINK("#",""), HYPERLINK(CONCATENATE("#metadata!", ADDRESS(INDEX($W$2:$W$1001,MATCH(ROWS($U$2:U165),$U$2:$U$1001,0),0), INDEX($AB$1004:$AQ$1004,1,MATCH(COLUMNS($AB$1006:AJ1006),$AB$1006:$AQ$1006,0)))),"Fix")))</f>
        <v>0</v>
      </c>
      <c r="K165" s="4">
        <f>IF(OR(INDEX($V$2:$V$1001,MATCH(ROWS($U$2:U165),$U$2:$U$1001,0),1)&gt;=100000,INDEX($AB$1005:$AQ$1005,1,MATCH(COLUMNS($AB$1006:AK1006),$AB$1006:$AQ$1006,0))&gt;=100000), " ",IF(INDEX($AB$2:$AQ$1001,MATCH(ROWS($U$2:U165),$U$2:$U$1001,0),MATCH(COLUMNS($AB$1006:AK1006),$AB$1006:$AQ$1006,0)), HYPERLINK("#",""), HYPERLINK(CONCATENATE("#metadata!", ADDRESS(INDEX($W$2:$W$1001,MATCH(ROWS($U$2:U165),$U$2:$U$1001,0),0), INDEX($AB$1004:$AQ$1004,1,MATCH(COLUMNS($AB$1006:AK1006),$AB$1006:$AQ$1006,0)))),"Fix")))</f>
        <v>0</v>
      </c>
      <c r="L165" s="4">
        <f>IF(OR(INDEX($V$2:$V$1001,MATCH(ROWS($U$2:U165),$U$2:$U$1001,0),1)&gt;=100000,INDEX($AB$1005:$AQ$1005,1,MATCH(COLUMNS($AB$1006:AL1006),$AB$1006:$AQ$1006,0))&gt;=100000), " ",IF(INDEX($AB$2:$AQ$1001,MATCH(ROWS($U$2:U165),$U$2:$U$1001,0),MATCH(COLUMNS($AB$1006:AL1006),$AB$1006:$AQ$1006,0)), HYPERLINK("#",""), HYPERLINK(CONCATENATE("#metadata!", ADDRESS(INDEX($W$2:$W$1001,MATCH(ROWS($U$2:U165),$U$2:$U$1001,0),0), INDEX($AB$1004:$AQ$1004,1,MATCH(COLUMNS($AB$1006:AL1006),$AB$1006:$AQ$1006,0)))),"Fix")))</f>
        <v>0</v>
      </c>
      <c r="M165" s="4">
        <f>IF(OR(INDEX($V$2:$V$1001,MATCH(ROWS($U$2:U165),$U$2:$U$1001,0),1)&gt;=100000,INDEX($AB$1005:$AQ$1005,1,MATCH(COLUMNS($AB$1006:AM1006),$AB$1006:$AQ$1006,0))&gt;=100000), " ",IF(INDEX($AB$2:$AQ$1001,MATCH(ROWS($U$2:U165),$U$2:$U$1001,0),MATCH(COLUMNS($AB$1006:AM1006),$AB$1006:$AQ$1006,0)), HYPERLINK("#",""), HYPERLINK(CONCATENATE("#metadata!", ADDRESS(INDEX($W$2:$W$1001,MATCH(ROWS($U$2:U165),$U$2:$U$1001,0),0), INDEX($AB$1004:$AQ$1004,1,MATCH(COLUMNS($AB$1006:AM1006),$AB$1006:$AQ$1006,0)))),"Fix")))</f>
        <v>0</v>
      </c>
      <c r="N165" s="4">
        <f>IF(OR(INDEX($V$2:$V$1001,MATCH(ROWS($U$2:U165),$U$2:$U$1001,0),1)&gt;=100000,INDEX($AB$1005:$AQ$1005,1,MATCH(COLUMNS($AB$1006:AN1006),$AB$1006:$AQ$1006,0))&gt;=100000), " ",IF(INDEX($AB$2:$AQ$1001,MATCH(ROWS($U$2:U165),$U$2:$U$1001,0),MATCH(COLUMNS($AB$1006:AN1006),$AB$1006:$AQ$1006,0)), HYPERLINK("#",""), HYPERLINK(CONCATENATE("#metadata!", ADDRESS(INDEX($W$2:$W$1001,MATCH(ROWS($U$2:U165),$U$2:$U$1001,0),0), INDEX($AB$1004:$AQ$1004,1,MATCH(COLUMNS($AB$1006:AN1006),$AB$1006:$AQ$1006,0)))),"Fix")))</f>
        <v>0</v>
      </c>
      <c r="O165" s="4">
        <f>IF(OR(INDEX($V$2:$V$1001,MATCH(ROWS($U$2:U165),$U$2:$U$1001,0),1)&gt;=100000,INDEX($AB$1005:$AQ$1005,1,MATCH(COLUMNS($AB$1006:AO1006),$AB$1006:$AQ$1006,0))&gt;=100000), " ",IF(INDEX($AB$2:$AQ$1001,MATCH(ROWS($U$2:U165),$U$2:$U$1001,0),MATCH(COLUMNS($AB$1006:AO1006),$AB$1006:$AQ$1006,0)), HYPERLINK("#",""), HYPERLINK(CONCATENATE("#metadata!", ADDRESS(INDEX($W$2:$W$1001,MATCH(ROWS($U$2:U165),$U$2:$U$1001,0),0), INDEX($AB$1004:$AQ$1004,1,MATCH(COLUMNS($AB$1006:AO1006),$AB$1006:$AQ$1006,0)))),"Fix")))</f>
        <v>0</v>
      </c>
      <c r="P165" s="4">
        <f>IF(OR(INDEX($V$2:$V$1001,MATCH(ROWS($U$2:U165),$U$2:$U$1001,0),1)&gt;=100000,INDEX($AB$1005:$AQ$1005,1,MATCH(COLUMNS($AB$1006:AP1006),$AB$1006:$AQ$1006,0))&gt;=100000), " ",IF(INDEX($AB$2:$AQ$1001,MATCH(ROWS($U$2:U165),$U$2:$U$1001,0),MATCH(COLUMNS($AB$1006:AP1006),$AB$1006:$AQ$1006,0)), HYPERLINK("#",""), HYPERLINK(CONCATENATE("#metadata!", ADDRESS(INDEX($W$2:$W$1001,MATCH(ROWS($U$2:U165),$U$2:$U$1001,0),0), INDEX($AB$1004:$AQ$1004,1,MATCH(COLUMNS($AB$1006:AP1006),$AB$1006:$AQ$1006,0)))),"Fix")))</f>
        <v>0</v>
      </c>
      <c r="Q165" s="4">
        <f>IF(OR(INDEX($V$2:$V$1001,MATCH(ROWS($U$2:U165),$U$2:$U$1001,0),1)&gt;=100000,INDEX($AB$1005:$AQ$1005,1,MATCH(COLUMNS($AB$1006:AQ1006),$AB$1006:$AQ$1006,0))&gt;=100000), " ",IF(INDEX($AB$2:$AQ$1001,MATCH(ROWS($U$2:U165),$U$2:$U$1001,0),MATCH(COLUMNS($AB$1006:AQ1006),$AB$1006:$AQ$1006,0)), HYPERLINK("#",""), HYPERLINK(CONCATENATE("#metadata!", ADDRESS(INDEX($W$2:$W$1001,MATCH(ROWS($U$2:U165),$U$2:$U$1001,0),0), INDEX($AB$1004:$AQ$1004,1,MATCH(COLUMNS($AB$1006:AQ1006),$AB$1006:$AQ$1006,0)))),"Fix")))</f>
        <v>0</v>
      </c>
      <c r="U165">
        <v>0</v>
      </c>
      <c r="V165">
        <v>0</v>
      </c>
      <c r="W165">
        <v>0</v>
      </c>
      <c r="X165">
        <f>IF(Y165,TRUE,AND(AB165:AQ165))</f>
        <v>0</v>
      </c>
      <c r="Y165">
        <f>COUNTBLANK(metadata!B165:Q165)=COLUMNS(metadata!B165:Q165)</f>
        <v>0</v>
      </c>
      <c r="Z165">
        <v>0</v>
      </c>
      <c r="AB165">
        <f>AND(IF(metadata!B165="",FALSE,TRUE),COUNTIF(metadata!B:B, metadata!B165) = 1,NOT(ISERROR(SUMPRODUCT(SEARCH(MID(metadata!B165,ROW(INDIRECT("1:"&amp;LEN(metadata!B165))), 1),"0123456789abcdefghijklmnopqrstuvwxyzABCDEFGHIJKLMNOPQRSTUVWXYZ.")))))</f>
        <v>0</v>
      </c>
      <c r="AC165">
        <f>OR(AND(IF(metadata!C165="",FALSE,TRUE),OR(exact(metadata!C165,"missing: not collected"),exact(metadata!C165,"missing: not provided"),exact(metadata!C165,"missing: restricted access"))),AND(IF(metadata!C165="",FALSE,TRUE),AND(AND(IFERROR(INT(LEFT(metadata!C165,4))&gt;1900,FALSE),IFERROR(INT(LEFT(metadata!C165,4))&lt;=YEAR(NOW()),FALSE)), OR(MID(metadata!C165,5,1)="", AND(AND(MID(metadata!C165,5,1)="-",IFERROR(INT(MID(metadata!C165,6,1))&gt;=0,FALSE),IFERROR(INT(MID(metadata!C165,6,1))&lt;=1,FALSE),NOT(MID(metadata!C165,7,1)=""),IFERROR(INT(MID(metadata!C165,6,2))&gt;=1,FALSE),IFERROR(INT(MID(metadata!C165,6,2))&lt;=12,FALSE)), OR(MID(metadata!C165,8,1)="", AND(AND(MID(metadata!C165,8,1)="-",IFERROR(INT(MID(metadata!C165,9,1))&gt;=0,FALSE),IFERROR(INT(MID(metadata!C165,9,1))&lt;=3,FALSE),NOT(MID(metadata!C165,10,1)=""),IFERROR(INT(MID(metadata!C165,9,2))&gt;=1,FALSE),IFERROR(INT(MID(metadata!C165,9,2))&lt;=31,FALSE)), OR(MID(metadata!C165,11,1)="", AND(AND(MID(metadata!C165,11,1)=" ",IFERROR(INT(MID(metadata!C165,12,1))&gt;=0,FALSE),IFERROR(INT(MID(metadata!C165,12,1))&lt;=2,FALSE),NOT(MID(metadata!C165,13,1)=""),IFERROR(INT(MID(metadata!C165,12,2))&gt;=0,FALSE),IFERROR(INT(MID(metadata!C165,12,2))&lt;=23,FALSE)), OR(MID(metadata!C165,14,1)="", AND(AND(MID(metadata!C165,14,1)=":",IFERROR(INT(MID(metadata!C165,15,1))&gt;=0,FALSE),IFERROR(INT(MID(metadata!C165,15,1))&lt;=5,FALSE),NOT(MID(metadata!C165,16,1)=""),IFERROR(INT(MID(metadata!C165,15,2))&gt;=0,FALSE),IFERROR(INT(MID(metadata!C165,15,2))&lt;=59,FALSE)), OR(MID(metadata!C165,17,1)="", AND(AND(MID(metadata!C165,17,1)=":",IFERROR(INT(MID(metadata!C165,18,1))&gt;=0,FALSE),IFERROR(INT(MID(metadata!C165,18,1))&lt;=5,FALSE),NOT(MID(metadata!C165,19,1)=""),IFERROR(INT(MID(metadata!C165,18,2))&gt;=0,FALSE),IFERROR(INT(MID(metadata!C165,18,2))&lt;=59,FALSE)), LEN(metadata!C165)&lt;=19)))))))))))))</f>
        <v>0</v>
      </c>
      <c r="AD165">
        <f>IF(metadata!D165="",FALSE,TRUE)</f>
        <v>0</v>
      </c>
      <c r="AE165">
        <f>OR(AND(IF(metadata!E165="",FALSE,TRUE),OR(exact(metadata!E165,"missing: not collected"),exact(metadata!E165,"missing: not provided"))),AND(IF(metadata!E165="",FALSE,TRUE),OR(exact(metadata!E165,"TRUE"),exact(metadata!E165,"FALSE"))))</f>
        <v>0</v>
      </c>
      <c r="AF165">
        <f>IF(metadata!F165="",FALSE,TRUE)</f>
        <v>0</v>
      </c>
      <c r="AG165">
        <f>IF(metadata!G165="",FALSE,TRUE)</f>
        <v>0</v>
      </c>
      <c r="AH165">
        <f>IF(metadata!H165="",FALSE,TRUE)</f>
        <v>0</v>
      </c>
      <c r="AI165">
        <f>OR(AND(IF(metadata!I165="",FALSE,TRUE),OR(exact(metadata!I165,"missing: not collected"),exact(metadata!I165,"missing: not provided"),exact(metadata!I165,"missing: restricted access"))),AND(IF(metadata!I165="",FALSE,TRUE),OR(exact(metadata!I165,"air"),exact(metadata!I165,"built environment"),exact(metadata!I165,"host-associated"),exact(metadata!I165,"human-associated"),exact(metadata!I165,"human-skin"),exact(metadata!I165,"human-oral"),exact(metadata!I165,"human-gut"),exact(metadata!I165,"human-vaginal"),exact(metadata!I165,"microbial mat/biofilm"),exact(metadata!I165,"misc environment"),exact(metadata!I165,"plant-associated"),exact(metadata!I165,"sediment"),exact(metadata!I165,"soil"),exact(metadata!I165,"wastewater/sludge"),exact(metadata!I165,"water"))))</f>
        <v>0</v>
      </c>
      <c r="AJ165">
        <f>IF(metadata!J165="",FALSE,TRUE)</f>
        <v>0</v>
      </c>
      <c r="AK165">
        <f>OR(AND(IF(metadata!K165="",FALSE,TRUE),OR(exact(metadata!K165,"missing: not collected"),exact(metadata!K165,"missing: not provided"),exact(metadata!K165,"missing: restricted access"))),AND(IF(metadata!K165="",FALSE,ISNUMBER(VALUE(metadata!K165))),metadata!K165&gt;=-90.00,metadata!K165&lt;=90.00))</f>
        <v>0</v>
      </c>
      <c r="AL165">
        <f>OR(AND(IF(metadata!L165="",FALSE,TRUE),OR(exact(metadata!L165,"missing: not collected"),exact(metadata!L165,"missing: not provided"),exact(metadata!L165,"missing: restricted access"))),AND(IF(metadata!L165="",FALSE,ISNUMBER(VALUE(metadata!L165))),metadata!L165&gt;=-180.00,metadata!L165&lt;=180.00))</f>
        <v>0</v>
      </c>
      <c r="AM165">
        <f>IF(metadata!M165="",FALSE,TRUE)</f>
        <v>0</v>
      </c>
      <c r="AN165">
        <f>OR(AND(IF(metadata!N165="",FALSE,TRUE),OR(exact(metadata!N165,"missing: not collected"),exact(metadata!N165,"missing: not provided"),exact(metadata!N165,"missing: restricted access"))),AND(IF(metadata!N165="",FALSE,TRUE),OR(exact(metadata!N165,"TRUE"),exact(metadata!N165,"FALSE"))))</f>
        <v>0</v>
      </c>
      <c r="AO165">
        <f>IF(metadata!O165="",FALSE,TRUE)</f>
        <v>0</v>
      </c>
      <c r="AP165">
        <f>OR(AND(IF(metadata!P165="",FALSE,TRUE),OR(exact(metadata!P165,"missing: not collected"),exact(metadata!P165,"missing: not provided"))),AND(IF(metadata!P165="",FALSE,IF(ISERROR(INT(metadata!P165)),FALSE,INT(metadata!P165)=metadata!P165)),metadata!P165&gt;0))</f>
        <v>0</v>
      </c>
      <c r="AQ165">
        <f>IF(metadata!Q165="",FALSE,TRUE)</f>
        <v>0</v>
      </c>
    </row>
    <row r="166" spans="1:43">
      <c r="A166" s="5">
        <f>IF(B166=" "," ",HYPERLINK(CONCATENATE("#metadata!",ADDRESS(INDEX($W$2:$W$1001,MATCH(ROWS($U$2:U166),$U$2:$U$1001,0),0),1)),INDEX($Z$2:$Z$1001,MATCH(ROWS($U$2:U166),$U$2:$U$1001,0),0)))</f>
        <v>0</v>
      </c>
      <c r="B166" s="4">
        <f>IF(OR(INDEX($V$2:$V$1001,MATCH(ROWS($U$2:U166),$U$2:$U$1001,0),1)&gt;=100000,INDEX($AB$1005:$AQ$1005,1,MATCH(COLUMNS($AB$1006:AB1006),$AB$1006:$AQ$1006,0))&gt;=100000), " ",IF(INDEX($AB$2:$AQ$1001,MATCH(ROWS($U$2:U166),$U$2:$U$1001,0),MATCH(COLUMNS($AB$1006:AB1006),$AB$1006:$AQ$1006,0)), HYPERLINK("#",""), HYPERLINK(CONCATENATE("#metadata!", ADDRESS(INDEX($W$2:$W$1001,MATCH(ROWS($U$2:U166),$U$2:$U$1001,0),0), INDEX($AB$1004:$AQ$1004,1,MATCH(COLUMNS($AB$1006:AB1006),$AB$1006:$AQ$1006,0)))),"Fix")))</f>
        <v>0</v>
      </c>
      <c r="C166" s="4">
        <f>IF(OR(INDEX($V$2:$V$1001,MATCH(ROWS($U$2:U166),$U$2:$U$1001,0),1)&gt;=100000,INDEX($AB$1005:$AQ$1005,1,MATCH(COLUMNS($AB$1006:AC1006),$AB$1006:$AQ$1006,0))&gt;=100000), " ",IF(INDEX($AB$2:$AQ$1001,MATCH(ROWS($U$2:U166),$U$2:$U$1001,0),MATCH(COLUMNS($AB$1006:AC1006),$AB$1006:$AQ$1006,0)), HYPERLINK("#",""), HYPERLINK(CONCATENATE("#metadata!", ADDRESS(INDEX($W$2:$W$1001,MATCH(ROWS($U$2:U166),$U$2:$U$1001,0),0), INDEX($AB$1004:$AQ$1004,1,MATCH(COLUMNS($AB$1006:AC1006),$AB$1006:$AQ$1006,0)))),"Fix")))</f>
        <v>0</v>
      </c>
      <c r="D166" s="4">
        <f>IF(OR(INDEX($V$2:$V$1001,MATCH(ROWS($U$2:U166),$U$2:$U$1001,0),1)&gt;=100000,INDEX($AB$1005:$AQ$1005,1,MATCH(COLUMNS($AB$1006:AD1006),$AB$1006:$AQ$1006,0))&gt;=100000), " ",IF(INDEX($AB$2:$AQ$1001,MATCH(ROWS($U$2:U166),$U$2:$U$1001,0),MATCH(COLUMNS($AB$1006:AD1006),$AB$1006:$AQ$1006,0)), HYPERLINK("#",""), HYPERLINK(CONCATENATE("#metadata!", ADDRESS(INDEX($W$2:$W$1001,MATCH(ROWS($U$2:U166),$U$2:$U$1001,0),0), INDEX($AB$1004:$AQ$1004,1,MATCH(COLUMNS($AB$1006:AD1006),$AB$1006:$AQ$1006,0)))),"Fix")))</f>
        <v>0</v>
      </c>
      <c r="E166" s="4">
        <f>IF(OR(INDEX($V$2:$V$1001,MATCH(ROWS($U$2:U166),$U$2:$U$1001,0),1)&gt;=100000,INDEX($AB$1005:$AQ$1005,1,MATCH(COLUMNS($AB$1006:AE1006),$AB$1006:$AQ$1006,0))&gt;=100000), " ",IF(INDEX($AB$2:$AQ$1001,MATCH(ROWS($U$2:U166),$U$2:$U$1001,0),MATCH(COLUMNS($AB$1006:AE1006),$AB$1006:$AQ$1006,0)), HYPERLINK("#",""), HYPERLINK(CONCATENATE("#metadata!", ADDRESS(INDEX($W$2:$W$1001,MATCH(ROWS($U$2:U166),$U$2:$U$1001,0),0), INDEX($AB$1004:$AQ$1004,1,MATCH(COLUMNS($AB$1006:AE1006),$AB$1006:$AQ$1006,0)))),"Fix")))</f>
        <v>0</v>
      </c>
      <c r="F166" s="4">
        <f>IF(OR(INDEX($V$2:$V$1001,MATCH(ROWS($U$2:U166),$U$2:$U$1001,0),1)&gt;=100000,INDEX($AB$1005:$AQ$1005,1,MATCH(COLUMNS($AB$1006:AF1006),$AB$1006:$AQ$1006,0))&gt;=100000), " ",IF(INDEX($AB$2:$AQ$1001,MATCH(ROWS($U$2:U166),$U$2:$U$1001,0),MATCH(COLUMNS($AB$1006:AF1006),$AB$1006:$AQ$1006,0)), HYPERLINK("#",""), HYPERLINK(CONCATENATE("#metadata!", ADDRESS(INDEX($W$2:$W$1001,MATCH(ROWS($U$2:U166),$U$2:$U$1001,0),0), INDEX($AB$1004:$AQ$1004,1,MATCH(COLUMNS($AB$1006:AF1006),$AB$1006:$AQ$1006,0)))),"Fix")))</f>
        <v>0</v>
      </c>
      <c r="G166" s="4">
        <f>IF(OR(INDEX($V$2:$V$1001,MATCH(ROWS($U$2:U166),$U$2:$U$1001,0),1)&gt;=100000,INDEX($AB$1005:$AQ$1005,1,MATCH(COLUMNS($AB$1006:AG1006),$AB$1006:$AQ$1006,0))&gt;=100000), " ",IF(INDEX($AB$2:$AQ$1001,MATCH(ROWS($U$2:U166),$U$2:$U$1001,0),MATCH(COLUMNS($AB$1006:AG1006),$AB$1006:$AQ$1006,0)), HYPERLINK("#",""), HYPERLINK(CONCATENATE("#metadata!", ADDRESS(INDEX($W$2:$W$1001,MATCH(ROWS($U$2:U166),$U$2:$U$1001,0),0), INDEX($AB$1004:$AQ$1004,1,MATCH(COLUMNS($AB$1006:AG1006),$AB$1006:$AQ$1006,0)))),"Fix")))</f>
        <v>0</v>
      </c>
      <c r="H166" s="4">
        <f>IF(OR(INDEX($V$2:$V$1001,MATCH(ROWS($U$2:U166),$U$2:$U$1001,0),1)&gt;=100000,INDEX($AB$1005:$AQ$1005,1,MATCH(COLUMNS($AB$1006:AH1006),$AB$1006:$AQ$1006,0))&gt;=100000), " ",IF(INDEX($AB$2:$AQ$1001,MATCH(ROWS($U$2:U166),$U$2:$U$1001,0),MATCH(COLUMNS($AB$1006:AH1006),$AB$1006:$AQ$1006,0)), HYPERLINK("#",""), HYPERLINK(CONCATENATE("#metadata!", ADDRESS(INDEX($W$2:$W$1001,MATCH(ROWS($U$2:U166),$U$2:$U$1001,0),0), INDEX($AB$1004:$AQ$1004,1,MATCH(COLUMNS($AB$1006:AH1006),$AB$1006:$AQ$1006,0)))),"Fix")))</f>
        <v>0</v>
      </c>
      <c r="I166" s="4">
        <f>IF(OR(INDEX($V$2:$V$1001,MATCH(ROWS($U$2:U166),$U$2:$U$1001,0),1)&gt;=100000,INDEX($AB$1005:$AQ$1005,1,MATCH(COLUMNS($AB$1006:AI1006),$AB$1006:$AQ$1006,0))&gt;=100000), " ",IF(INDEX($AB$2:$AQ$1001,MATCH(ROWS($U$2:U166),$U$2:$U$1001,0),MATCH(COLUMNS($AB$1006:AI1006),$AB$1006:$AQ$1006,0)), HYPERLINK("#",""), HYPERLINK(CONCATENATE("#metadata!", ADDRESS(INDEX($W$2:$W$1001,MATCH(ROWS($U$2:U166),$U$2:$U$1001,0),0), INDEX($AB$1004:$AQ$1004,1,MATCH(COLUMNS($AB$1006:AI1006),$AB$1006:$AQ$1006,0)))),"Fix")))</f>
        <v>0</v>
      </c>
      <c r="J166" s="4">
        <f>IF(OR(INDEX($V$2:$V$1001,MATCH(ROWS($U$2:U166),$U$2:$U$1001,0),1)&gt;=100000,INDEX($AB$1005:$AQ$1005,1,MATCH(COLUMNS($AB$1006:AJ1006),$AB$1006:$AQ$1006,0))&gt;=100000), " ",IF(INDEX($AB$2:$AQ$1001,MATCH(ROWS($U$2:U166),$U$2:$U$1001,0),MATCH(COLUMNS($AB$1006:AJ1006),$AB$1006:$AQ$1006,0)), HYPERLINK("#",""), HYPERLINK(CONCATENATE("#metadata!", ADDRESS(INDEX($W$2:$W$1001,MATCH(ROWS($U$2:U166),$U$2:$U$1001,0),0), INDEX($AB$1004:$AQ$1004,1,MATCH(COLUMNS($AB$1006:AJ1006),$AB$1006:$AQ$1006,0)))),"Fix")))</f>
        <v>0</v>
      </c>
      <c r="K166" s="4">
        <f>IF(OR(INDEX($V$2:$V$1001,MATCH(ROWS($U$2:U166),$U$2:$U$1001,0),1)&gt;=100000,INDEX($AB$1005:$AQ$1005,1,MATCH(COLUMNS($AB$1006:AK1006),$AB$1006:$AQ$1006,0))&gt;=100000), " ",IF(INDEX($AB$2:$AQ$1001,MATCH(ROWS($U$2:U166),$U$2:$U$1001,0),MATCH(COLUMNS($AB$1006:AK1006),$AB$1006:$AQ$1006,0)), HYPERLINK("#",""), HYPERLINK(CONCATENATE("#metadata!", ADDRESS(INDEX($W$2:$W$1001,MATCH(ROWS($U$2:U166),$U$2:$U$1001,0),0), INDEX($AB$1004:$AQ$1004,1,MATCH(COLUMNS($AB$1006:AK1006),$AB$1006:$AQ$1006,0)))),"Fix")))</f>
        <v>0</v>
      </c>
      <c r="L166" s="4">
        <f>IF(OR(INDEX($V$2:$V$1001,MATCH(ROWS($U$2:U166),$U$2:$U$1001,0),1)&gt;=100000,INDEX($AB$1005:$AQ$1005,1,MATCH(COLUMNS($AB$1006:AL1006),$AB$1006:$AQ$1006,0))&gt;=100000), " ",IF(INDEX($AB$2:$AQ$1001,MATCH(ROWS($U$2:U166),$U$2:$U$1001,0),MATCH(COLUMNS($AB$1006:AL1006),$AB$1006:$AQ$1006,0)), HYPERLINK("#",""), HYPERLINK(CONCATENATE("#metadata!", ADDRESS(INDEX($W$2:$W$1001,MATCH(ROWS($U$2:U166),$U$2:$U$1001,0),0), INDEX($AB$1004:$AQ$1004,1,MATCH(COLUMNS($AB$1006:AL1006),$AB$1006:$AQ$1006,0)))),"Fix")))</f>
        <v>0</v>
      </c>
      <c r="M166" s="4">
        <f>IF(OR(INDEX($V$2:$V$1001,MATCH(ROWS($U$2:U166),$U$2:$U$1001,0),1)&gt;=100000,INDEX($AB$1005:$AQ$1005,1,MATCH(COLUMNS($AB$1006:AM1006),$AB$1006:$AQ$1006,0))&gt;=100000), " ",IF(INDEX($AB$2:$AQ$1001,MATCH(ROWS($U$2:U166),$U$2:$U$1001,0),MATCH(COLUMNS($AB$1006:AM1006),$AB$1006:$AQ$1006,0)), HYPERLINK("#",""), HYPERLINK(CONCATENATE("#metadata!", ADDRESS(INDEX($W$2:$W$1001,MATCH(ROWS($U$2:U166),$U$2:$U$1001,0),0), INDEX($AB$1004:$AQ$1004,1,MATCH(COLUMNS($AB$1006:AM1006),$AB$1006:$AQ$1006,0)))),"Fix")))</f>
        <v>0</v>
      </c>
      <c r="N166" s="4">
        <f>IF(OR(INDEX($V$2:$V$1001,MATCH(ROWS($U$2:U166),$U$2:$U$1001,0),1)&gt;=100000,INDEX($AB$1005:$AQ$1005,1,MATCH(COLUMNS($AB$1006:AN1006),$AB$1006:$AQ$1006,0))&gt;=100000), " ",IF(INDEX($AB$2:$AQ$1001,MATCH(ROWS($U$2:U166),$U$2:$U$1001,0),MATCH(COLUMNS($AB$1006:AN1006),$AB$1006:$AQ$1006,0)), HYPERLINK("#",""), HYPERLINK(CONCATENATE("#metadata!", ADDRESS(INDEX($W$2:$W$1001,MATCH(ROWS($U$2:U166),$U$2:$U$1001,0),0), INDEX($AB$1004:$AQ$1004,1,MATCH(COLUMNS($AB$1006:AN1006),$AB$1006:$AQ$1006,0)))),"Fix")))</f>
        <v>0</v>
      </c>
      <c r="O166" s="4">
        <f>IF(OR(INDEX($V$2:$V$1001,MATCH(ROWS($U$2:U166),$U$2:$U$1001,0),1)&gt;=100000,INDEX($AB$1005:$AQ$1005,1,MATCH(COLUMNS($AB$1006:AO1006),$AB$1006:$AQ$1006,0))&gt;=100000), " ",IF(INDEX($AB$2:$AQ$1001,MATCH(ROWS($U$2:U166),$U$2:$U$1001,0),MATCH(COLUMNS($AB$1006:AO1006),$AB$1006:$AQ$1006,0)), HYPERLINK("#",""), HYPERLINK(CONCATENATE("#metadata!", ADDRESS(INDEX($W$2:$W$1001,MATCH(ROWS($U$2:U166),$U$2:$U$1001,0),0), INDEX($AB$1004:$AQ$1004,1,MATCH(COLUMNS($AB$1006:AO1006),$AB$1006:$AQ$1006,0)))),"Fix")))</f>
        <v>0</v>
      </c>
      <c r="P166" s="4">
        <f>IF(OR(INDEX($V$2:$V$1001,MATCH(ROWS($U$2:U166),$U$2:$U$1001,0),1)&gt;=100000,INDEX($AB$1005:$AQ$1005,1,MATCH(COLUMNS($AB$1006:AP1006),$AB$1006:$AQ$1006,0))&gt;=100000), " ",IF(INDEX($AB$2:$AQ$1001,MATCH(ROWS($U$2:U166),$U$2:$U$1001,0),MATCH(COLUMNS($AB$1006:AP1006),$AB$1006:$AQ$1006,0)), HYPERLINK("#",""), HYPERLINK(CONCATENATE("#metadata!", ADDRESS(INDEX($W$2:$W$1001,MATCH(ROWS($U$2:U166),$U$2:$U$1001,0),0), INDEX($AB$1004:$AQ$1004,1,MATCH(COLUMNS($AB$1006:AP1006),$AB$1006:$AQ$1006,0)))),"Fix")))</f>
        <v>0</v>
      </c>
      <c r="Q166" s="4">
        <f>IF(OR(INDEX($V$2:$V$1001,MATCH(ROWS($U$2:U166),$U$2:$U$1001,0),1)&gt;=100000,INDEX($AB$1005:$AQ$1005,1,MATCH(COLUMNS($AB$1006:AQ1006),$AB$1006:$AQ$1006,0))&gt;=100000), " ",IF(INDEX($AB$2:$AQ$1001,MATCH(ROWS($U$2:U166),$U$2:$U$1001,0),MATCH(COLUMNS($AB$1006:AQ1006),$AB$1006:$AQ$1006,0)), HYPERLINK("#",""), HYPERLINK(CONCATENATE("#metadata!", ADDRESS(INDEX($W$2:$W$1001,MATCH(ROWS($U$2:U166),$U$2:$U$1001,0),0), INDEX($AB$1004:$AQ$1004,1,MATCH(COLUMNS($AB$1006:AQ1006),$AB$1006:$AQ$1006,0)))),"Fix")))</f>
        <v>0</v>
      </c>
      <c r="U166">
        <v>0</v>
      </c>
      <c r="V166">
        <v>0</v>
      </c>
      <c r="W166">
        <v>0</v>
      </c>
      <c r="X166">
        <f>IF(Y166,TRUE,AND(AB166:AQ166))</f>
        <v>0</v>
      </c>
      <c r="Y166">
        <f>COUNTBLANK(metadata!B166:Q166)=COLUMNS(metadata!B166:Q166)</f>
        <v>0</v>
      </c>
      <c r="Z166">
        <v>0</v>
      </c>
      <c r="AB166">
        <f>AND(IF(metadata!B166="",FALSE,TRUE),COUNTIF(metadata!B:B, metadata!B166) = 1,NOT(ISERROR(SUMPRODUCT(SEARCH(MID(metadata!B166,ROW(INDIRECT("1:"&amp;LEN(metadata!B166))), 1),"0123456789abcdefghijklmnopqrstuvwxyzABCDEFGHIJKLMNOPQRSTUVWXYZ.")))))</f>
        <v>0</v>
      </c>
      <c r="AC166">
        <f>OR(AND(IF(metadata!C166="",FALSE,TRUE),OR(exact(metadata!C166,"missing: not collected"),exact(metadata!C166,"missing: not provided"),exact(metadata!C166,"missing: restricted access"))),AND(IF(metadata!C166="",FALSE,TRUE),AND(AND(IFERROR(INT(LEFT(metadata!C166,4))&gt;1900,FALSE),IFERROR(INT(LEFT(metadata!C166,4))&lt;=YEAR(NOW()),FALSE)), OR(MID(metadata!C166,5,1)="", AND(AND(MID(metadata!C166,5,1)="-",IFERROR(INT(MID(metadata!C166,6,1))&gt;=0,FALSE),IFERROR(INT(MID(metadata!C166,6,1))&lt;=1,FALSE),NOT(MID(metadata!C166,7,1)=""),IFERROR(INT(MID(metadata!C166,6,2))&gt;=1,FALSE),IFERROR(INT(MID(metadata!C166,6,2))&lt;=12,FALSE)), OR(MID(metadata!C166,8,1)="", AND(AND(MID(metadata!C166,8,1)="-",IFERROR(INT(MID(metadata!C166,9,1))&gt;=0,FALSE),IFERROR(INT(MID(metadata!C166,9,1))&lt;=3,FALSE),NOT(MID(metadata!C166,10,1)=""),IFERROR(INT(MID(metadata!C166,9,2))&gt;=1,FALSE),IFERROR(INT(MID(metadata!C166,9,2))&lt;=31,FALSE)), OR(MID(metadata!C166,11,1)="", AND(AND(MID(metadata!C166,11,1)=" ",IFERROR(INT(MID(metadata!C166,12,1))&gt;=0,FALSE),IFERROR(INT(MID(metadata!C166,12,1))&lt;=2,FALSE),NOT(MID(metadata!C166,13,1)=""),IFERROR(INT(MID(metadata!C166,12,2))&gt;=0,FALSE),IFERROR(INT(MID(metadata!C166,12,2))&lt;=23,FALSE)), OR(MID(metadata!C166,14,1)="", AND(AND(MID(metadata!C166,14,1)=":",IFERROR(INT(MID(metadata!C166,15,1))&gt;=0,FALSE),IFERROR(INT(MID(metadata!C166,15,1))&lt;=5,FALSE),NOT(MID(metadata!C166,16,1)=""),IFERROR(INT(MID(metadata!C166,15,2))&gt;=0,FALSE),IFERROR(INT(MID(metadata!C166,15,2))&lt;=59,FALSE)), OR(MID(metadata!C166,17,1)="", AND(AND(MID(metadata!C166,17,1)=":",IFERROR(INT(MID(metadata!C166,18,1))&gt;=0,FALSE),IFERROR(INT(MID(metadata!C166,18,1))&lt;=5,FALSE),NOT(MID(metadata!C166,19,1)=""),IFERROR(INT(MID(metadata!C166,18,2))&gt;=0,FALSE),IFERROR(INT(MID(metadata!C166,18,2))&lt;=59,FALSE)), LEN(metadata!C166)&lt;=19)))))))))))))</f>
        <v>0</v>
      </c>
      <c r="AD166">
        <f>IF(metadata!D166="",FALSE,TRUE)</f>
        <v>0</v>
      </c>
      <c r="AE166">
        <f>OR(AND(IF(metadata!E166="",FALSE,TRUE),OR(exact(metadata!E166,"missing: not collected"),exact(metadata!E166,"missing: not provided"))),AND(IF(metadata!E166="",FALSE,TRUE),OR(exact(metadata!E166,"TRUE"),exact(metadata!E166,"FALSE"))))</f>
        <v>0</v>
      </c>
      <c r="AF166">
        <f>IF(metadata!F166="",FALSE,TRUE)</f>
        <v>0</v>
      </c>
      <c r="AG166">
        <f>IF(metadata!G166="",FALSE,TRUE)</f>
        <v>0</v>
      </c>
      <c r="AH166">
        <f>IF(metadata!H166="",FALSE,TRUE)</f>
        <v>0</v>
      </c>
      <c r="AI166">
        <f>OR(AND(IF(metadata!I166="",FALSE,TRUE),OR(exact(metadata!I166,"missing: not collected"),exact(metadata!I166,"missing: not provided"),exact(metadata!I166,"missing: restricted access"))),AND(IF(metadata!I166="",FALSE,TRUE),OR(exact(metadata!I166,"air"),exact(metadata!I166,"built environment"),exact(metadata!I166,"host-associated"),exact(metadata!I166,"human-associated"),exact(metadata!I166,"human-skin"),exact(metadata!I166,"human-oral"),exact(metadata!I166,"human-gut"),exact(metadata!I166,"human-vaginal"),exact(metadata!I166,"microbial mat/biofilm"),exact(metadata!I166,"misc environment"),exact(metadata!I166,"plant-associated"),exact(metadata!I166,"sediment"),exact(metadata!I166,"soil"),exact(metadata!I166,"wastewater/sludge"),exact(metadata!I166,"water"))))</f>
        <v>0</v>
      </c>
      <c r="AJ166">
        <f>IF(metadata!J166="",FALSE,TRUE)</f>
        <v>0</v>
      </c>
      <c r="AK166">
        <f>OR(AND(IF(metadata!K166="",FALSE,TRUE),OR(exact(metadata!K166,"missing: not collected"),exact(metadata!K166,"missing: not provided"),exact(metadata!K166,"missing: restricted access"))),AND(IF(metadata!K166="",FALSE,ISNUMBER(VALUE(metadata!K166))),metadata!K166&gt;=-90.00,metadata!K166&lt;=90.00))</f>
        <v>0</v>
      </c>
      <c r="AL166">
        <f>OR(AND(IF(metadata!L166="",FALSE,TRUE),OR(exact(metadata!L166,"missing: not collected"),exact(metadata!L166,"missing: not provided"),exact(metadata!L166,"missing: restricted access"))),AND(IF(metadata!L166="",FALSE,ISNUMBER(VALUE(metadata!L166))),metadata!L166&gt;=-180.00,metadata!L166&lt;=180.00))</f>
        <v>0</v>
      </c>
      <c r="AM166">
        <f>IF(metadata!M166="",FALSE,TRUE)</f>
        <v>0</v>
      </c>
      <c r="AN166">
        <f>OR(AND(IF(metadata!N166="",FALSE,TRUE),OR(exact(metadata!N166,"missing: not collected"),exact(metadata!N166,"missing: not provided"),exact(metadata!N166,"missing: restricted access"))),AND(IF(metadata!N166="",FALSE,TRUE),OR(exact(metadata!N166,"TRUE"),exact(metadata!N166,"FALSE"))))</f>
        <v>0</v>
      </c>
      <c r="AO166">
        <f>IF(metadata!O166="",FALSE,TRUE)</f>
        <v>0</v>
      </c>
      <c r="AP166">
        <f>OR(AND(IF(metadata!P166="",FALSE,TRUE),OR(exact(metadata!P166,"missing: not collected"),exact(metadata!P166,"missing: not provided"))),AND(IF(metadata!P166="",FALSE,IF(ISERROR(INT(metadata!P166)),FALSE,INT(metadata!P166)=metadata!P166)),metadata!P166&gt;0))</f>
        <v>0</v>
      </c>
      <c r="AQ166">
        <f>IF(metadata!Q166="",FALSE,TRUE)</f>
        <v>0</v>
      </c>
    </row>
    <row r="167" spans="1:43">
      <c r="A167" s="5">
        <f>IF(B167=" "," ",HYPERLINK(CONCATENATE("#metadata!",ADDRESS(INDEX($W$2:$W$1001,MATCH(ROWS($U$2:U167),$U$2:$U$1001,0),0),1)),INDEX($Z$2:$Z$1001,MATCH(ROWS($U$2:U167),$U$2:$U$1001,0),0)))</f>
        <v>0</v>
      </c>
      <c r="B167" s="4">
        <f>IF(OR(INDEX($V$2:$V$1001,MATCH(ROWS($U$2:U167),$U$2:$U$1001,0),1)&gt;=100000,INDEX($AB$1005:$AQ$1005,1,MATCH(COLUMNS($AB$1006:AB1006),$AB$1006:$AQ$1006,0))&gt;=100000), " ",IF(INDEX($AB$2:$AQ$1001,MATCH(ROWS($U$2:U167),$U$2:$U$1001,0),MATCH(COLUMNS($AB$1006:AB1006),$AB$1006:$AQ$1006,0)), HYPERLINK("#",""), HYPERLINK(CONCATENATE("#metadata!", ADDRESS(INDEX($W$2:$W$1001,MATCH(ROWS($U$2:U167),$U$2:$U$1001,0),0), INDEX($AB$1004:$AQ$1004,1,MATCH(COLUMNS($AB$1006:AB1006),$AB$1006:$AQ$1006,0)))),"Fix")))</f>
        <v>0</v>
      </c>
      <c r="C167" s="4">
        <f>IF(OR(INDEX($V$2:$V$1001,MATCH(ROWS($U$2:U167),$U$2:$U$1001,0),1)&gt;=100000,INDEX($AB$1005:$AQ$1005,1,MATCH(COLUMNS($AB$1006:AC1006),$AB$1006:$AQ$1006,0))&gt;=100000), " ",IF(INDEX($AB$2:$AQ$1001,MATCH(ROWS($U$2:U167),$U$2:$U$1001,0),MATCH(COLUMNS($AB$1006:AC1006),$AB$1006:$AQ$1006,0)), HYPERLINK("#",""), HYPERLINK(CONCATENATE("#metadata!", ADDRESS(INDEX($W$2:$W$1001,MATCH(ROWS($U$2:U167),$U$2:$U$1001,0),0), INDEX($AB$1004:$AQ$1004,1,MATCH(COLUMNS($AB$1006:AC1006),$AB$1006:$AQ$1006,0)))),"Fix")))</f>
        <v>0</v>
      </c>
      <c r="D167" s="4">
        <f>IF(OR(INDEX($V$2:$V$1001,MATCH(ROWS($U$2:U167),$U$2:$U$1001,0),1)&gt;=100000,INDEX($AB$1005:$AQ$1005,1,MATCH(COLUMNS($AB$1006:AD1006),$AB$1006:$AQ$1006,0))&gt;=100000), " ",IF(INDEX($AB$2:$AQ$1001,MATCH(ROWS($U$2:U167),$U$2:$U$1001,0),MATCH(COLUMNS($AB$1006:AD1006),$AB$1006:$AQ$1006,0)), HYPERLINK("#",""), HYPERLINK(CONCATENATE("#metadata!", ADDRESS(INDEX($W$2:$W$1001,MATCH(ROWS($U$2:U167),$U$2:$U$1001,0),0), INDEX($AB$1004:$AQ$1004,1,MATCH(COLUMNS($AB$1006:AD1006),$AB$1006:$AQ$1006,0)))),"Fix")))</f>
        <v>0</v>
      </c>
      <c r="E167" s="4">
        <f>IF(OR(INDEX($V$2:$V$1001,MATCH(ROWS($U$2:U167),$U$2:$U$1001,0),1)&gt;=100000,INDEX($AB$1005:$AQ$1005,1,MATCH(COLUMNS($AB$1006:AE1006),$AB$1006:$AQ$1006,0))&gt;=100000), " ",IF(INDEX($AB$2:$AQ$1001,MATCH(ROWS($U$2:U167),$U$2:$U$1001,0),MATCH(COLUMNS($AB$1006:AE1006),$AB$1006:$AQ$1006,0)), HYPERLINK("#",""), HYPERLINK(CONCATENATE("#metadata!", ADDRESS(INDEX($W$2:$W$1001,MATCH(ROWS($U$2:U167),$U$2:$U$1001,0),0), INDEX($AB$1004:$AQ$1004,1,MATCH(COLUMNS($AB$1006:AE1006),$AB$1006:$AQ$1006,0)))),"Fix")))</f>
        <v>0</v>
      </c>
      <c r="F167" s="4">
        <f>IF(OR(INDEX($V$2:$V$1001,MATCH(ROWS($U$2:U167),$U$2:$U$1001,0),1)&gt;=100000,INDEX($AB$1005:$AQ$1005,1,MATCH(COLUMNS($AB$1006:AF1006),$AB$1006:$AQ$1006,0))&gt;=100000), " ",IF(INDEX($AB$2:$AQ$1001,MATCH(ROWS($U$2:U167),$U$2:$U$1001,0),MATCH(COLUMNS($AB$1006:AF1006),$AB$1006:$AQ$1006,0)), HYPERLINK("#",""), HYPERLINK(CONCATENATE("#metadata!", ADDRESS(INDEX($W$2:$W$1001,MATCH(ROWS($U$2:U167),$U$2:$U$1001,0),0), INDEX($AB$1004:$AQ$1004,1,MATCH(COLUMNS($AB$1006:AF1006),$AB$1006:$AQ$1006,0)))),"Fix")))</f>
        <v>0</v>
      </c>
      <c r="G167" s="4">
        <f>IF(OR(INDEX($V$2:$V$1001,MATCH(ROWS($U$2:U167),$U$2:$U$1001,0),1)&gt;=100000,INDEX($AB$1005:$AQ$1005,1,MATCH(COLUMNS($AB$1006:AG1006),$AB$1006:$AQ$1006,0))&gt;=100000), " ",IF(INDEX($AB$2:$AQ$1001,MATCH(ROWS($U$2:U167),$U$2:$U$1001,0),MATCH(COLUMNS($AB$1006:AG1006),$AB$1006:$AQ$1006,0)), HYPERLINK("#",""), HYPERLINK(CONCATENATE("#metadata!", ADDRESS(INDEX($W$2:$W$1001,MATCH(ROWS($U$2:U167),$U$2:$U$1001,0),0), INDEX($AB$1004:$AQ$1004,1,MATCH(COLUMNS($AB$1006:AG1006),$AB$1006:$AQ$1006,0)))),"Fix")))</f>
        <v>0</v>
      </c>
      <c r="H167" s="4">
        <f>IF(OR(INDEX($V$2:$V$1001,MATCH(ROWS($U$2:U167),$U$2:$U$1001,0),1)&gt;=100000,INDEX($AB$1005:$AQ$1005,1,MATCH(COLUMNS($AB$1006:AH1006),$AB$1006:$AQ$1006,0))&gt;=100000), " ",IF(INDEX($AB$2:$AQ$1001,MATCH(ROWS($U$2:U167),$U$2:$U$1001,0),MATCH(COLUMNS($AB$1006:AH1006),$AB$1006:$AQ$1006,0)), HYPERLINK("#",""), HYPERLINK(CONCATENATE("#metadata!", ADDRESS(INDEX($W$2:$W$1001,MATCH(ROWS($U$2:U167),$U$2:$U$1001,0),0), INDEX($AB$1004:$AQ$1004,1,MATCH(COLUMNS($AB$1006:AH1006),$AB$1006:$AQ$1006,0)))),"Fix")))</f>
        <v>0</v>
      </c>
      <c r="I167" s="4">
        <f>IF(OR(INDEX($V$2:$V$1001,MATCH(ROWS($U$2:U167),$U$2:$U$1001,0),1)&gt;=100000,INDEX($AB$1005:$AQ$1005,1,MATCH(COLUMNS($AB$1006:AI1006),$AB$1006:$AQ$1006,0))&gt;=100000), " ",IF(INDEX($AB$2:$AQ$1001,MATCH(ROWS($U$2:U167),$U$2:$U$1001,0),MATCH(COLUMNS($AB$1006:AI1006),$AB$1006:$AQ$1006,0)), HYPERLINK("#",""), HYPERLINK(CONCATENATE("#metadata!", ADDRESS(INDEX($W$2:$W$1001,MATCH(ROWS($U$2:U167),$U$2:$U$1001,0),0), INDEX($AB$1004:$AQ$1004,1,MATCH(COLUMNS($AB$1006:AI1006),$AB$1006:$AQ$1006,0)))),"Fix")))</f>
        <v>0</v>
      </c>
      <c r="J167" s="4">
        <f>IF(OR(INDEX($V$2:$V$1001,MATCH(ROWS($U$2:U167),$U$2:$U$1001,0),1)&gt;=100000,INDEX($AB$1005:$AQ$1005,1,MATCH(COLUMNS($AB$1006:AJ1006),$AB$1006:$AQ$1006,0))&gt;=100000), " ",IF(INDEX($AB$2:$AQ$1001,MATCH(ROWS($U$2:U167),$U$2:$U$1001,0),MATCH(COLUMNS($AB$1006:AJ1006),$AB$1006:$AQ$1006,0)), HYPERLINK("#",""), HYPERLINK(CONCATENATE("#metadata!", ADDRESS(INDEX($W$2:$W$1001,MATCH(ROWS($U$2:U167),$U$2:$U$1001,0),0), INDEX($AB$1004:$AQ$1004,1,MATCH(COLUMNS($AB$1006:AJ1006),$AB$1006:$AQ$1006,0)))),"Fix")))</f>
        <v>0</v>
      </c>
      <c r="K167" s="4">
        <f>IF(OR(INDEX($V$2:$V$1001,MATCH(ROWS($U$2:U167),$U$2:$U$1001,0),1)&gt;=100000,INDEX($AB$1005:$AQ$1005,1,MATCH(COLUMNS($AB$1006:AK1006),$AB$1006:$AQ$1006,0))&gt;=100000), " ",IF(INDEX($AB$2:$AQ$1001,MATCH(ROWS($U$2:U167),$U$2:$U$1001,0),MATCH(COLUMNS($AB$1006:AK1006),$AB$1006:$AQ$1006,0)), HYPERLINK("#",""), HYPERLINK(CONCATENATE("#metadata!", ADDRESS(INDEX($W$2:$W$1001,MATCH(ROWS($U$2:U167),$U$2:$U$1001,0),0), INDEX($AB$1004:$AQ$1004,1,MATCH(COLUMNS($AB$1006:AK1006),$AB$1006:$AQ$1006,0)))),"Fix")))</f>
        <v>0</v>
      </c>
      <c r="L167" s="4">
        <f>IF(OR(INDEX($V$2:$V$1001,MATCH(ROWS($U$2:U167),$U$2:$U$1001,0),1)&gt;=100000,INDEX($AB$1005:$AQ$1005,1,MATCH(COLUMNS($AB$1006:AL1006),$AB$1006:$AQ$1006,0))&gt;=100000), " ",IF(INDEX($AB$2:$AQ$1001,MATCH(ROWS($U$2:U167),$U$2:$U$1001,0),MATCH(COLUMNS($AB$1006:AL1006),$AB$1006:$AQ$1006,0)), HYPERLINK("#",""), HYPERLINK(CONCATENATE("#metadata!", ADDRESS(INDEX($W$2:$W$1001,MATCH(ROWS($U$2:U167),$U$2:$U$1001,0),0), INDEX($AB$1004:$AQ$1004,1,MATCH(COLUMNS($AB$1006:AL1006),$AB$1006:$AQ$1006,0)))),"Fix")))</f>
        <v>0</v>
      </c>
      <c r="M167" s="4">
        <f>IF(OR(INDEX($V$2:$V$1001,MATCH(ROWS($U$2:U167),$U$2:$U$1001,0),1)&gt;=100000,INDEX($AB$1005:$AQ$1005,1,MATCH(COLUMNS($AB$1006:AM1006),$AB$1006:$AQ$1006,0))&gt;=100000), " ",IF(INDEX($AB$2:$AQ$1001,MATCH(ROWS($U$2:U167),$U$2:$U$1001,0),MATCH(COLUMNS($AB$1006:AM1006),$AB$1006:$AQ$1006,0)), HYPERLINK("#",""), HYPERLINK(CONCATENATE("#metadata!", ADDRESS(INDEX($W$2:$W$1001,MATCH(ROWS($U$2:U167),$U$2:$U$1001,0),0), INDEX($AB$1004:$AQ$1004,1,MATCH(COLUMNS($AB$1006:AM1006),$AB$1006:$AQ$1006,0)))),"Fix")))</f>
        <v>0</v>
      </c>
      <c r="N167" s="4">
        <f>IF(OR(INDEX($V$2:$V$1001,MATCH(ROWS($U$2:U167),$U$2:$U$1001,0),1)&gt;=100000,INDEX($AB$1005:$AQ$1005,1,MATCH(COLUMNS($AB$1006:AN1006),$AB$1006:$AQ$1006,0))&gt;=100000), " ",IF(INDEX($AB$2:$AQ$1001,MATCH(ROWS($U$2:U167),$U$2:$U$1001,0),MATCH(COLUMNS($AB$1006:AN1006),$AB$1006:$AQ$1006,0)), HYPERLINK("#",""), HYPERLINK(CONCATENATE("#metadata!", ADDRESS(INDEX($W$2:$W$1001,MATCH(ROWS($U$2:U167),$U$2:$U$1001,0),0), INDEX($AB$1004:$AQ$1004,1,MATCH(COLUMNS($AB$1006:AN1006),$AB$1006:$AQ$1006,0)))),"Fix")))</f>
        <v>0</v>
      </c>
      <c r="O167" s="4">
        <f>IF(OR(INDEX($V$2:$V$1001,MATCH(ROWS($U$2:U167),$U$2:$U$1001,0),1)&gt;=100000,INDEX($AB$1005:$AQ$1005,1,MATCH(COLUMNS($AB$1006:AO1006),$AB$1006:$AQ$1006,0))&gt;=100000), " ",IF(INDEX($AB$2:$AQ$1001,MATCH(ROWS($U$2:U167),$U$2:$U$1001,0),MATCH(COLUMNS($AB$1006:AO1006),$AB$1006:$AQ$1006,0)), HYPERLINK("#",""), HYPERLINK(CONCATENATE("#metadata!", ADDRESS(INDEX($W$2:$W$1001,MATCH(ROWS($U$2:U167),$U$2:$U$1001,0),0), INDEX($AB$1004:$AQ$1004,1,MATCH(COLUMNS($AB$1006:AO1006),$AB$1006:$AQ$1006,0)))),"Fix")))</f>
        <v>0</v>
      </c>
      <c r="P167" s="4">
        <f>IF(OR(INDEX($V$2:$V$1001,MATCH(ROWS($U$2:U167),$U$2:$U$1001,0),1)&gt;=100000,INDEX($AB$1005:$AQ$1005,1,MATCH(COLUMNS($AB$1006:AP1006),$AB$1006:$AQ$1006,0))&gt;=100000), " ",IF(INDEX($AB$2:$AQ$1001,MATCH(ROWS($U$2:U167),$U$2:$U$1001,0),MATCH(COLUMNS($AB$1006:AP1006),$AB$1006:$AQ$1006,0)), HYPERLINK("#",""), HYPERLINK(CONCATENATE("#metadata!", ADDRESS(INDEX($W$2:$W$1001,MATCH(ROWS($U$2:U167),$U$2:$U$1001,0),0), INDEX($AB$1004:$AQ$1004,1,MATCH(COLUMNS($AB$1006:AP1006),$AB$1006:$AQ$1006,0)))),"Fix")))</f>
        <v>0</v>
      </c>
      <c r="Q167" s="4">
        <f>IF(OR(INDEX($V$2:$V$1001,MATCH(ROWS($U$2:U167),$U$2:$U$1001,0),1)&gt;=100000,INDEX($AB$1005:$AQ$1005,1,MATCH(COLUMNS($AB$1006:AQ1006),$AB$1006:$AQ$1006,0))&gt;=100000), " ",IF(INDEX($AB$2:$AQ$1001,MATCH(ROWS($U$2:U167),$U$2:$U$1001,0),MATCH(COLUMNS($AB$1006:AQ1006),$AB$1006:$AQ$1006,0)), HYPERLINK("#",""), HYPERLINK(CONCATENATE("#metadata!", ADDRESS(INDEX($W$2:$W$1001,MATCH(ROWS($U$2:U167),$U$2:$U$1001,0),0), INDEX($AB$1004:$AQ$1004,1,MATCH(COLUMNS($AB$1006:AQ1006),$AB$1006:$AQ$1006,0)))),"Fix")))</f>
        <v>0</v>
      </c>
      <c r="U167">
        <v>0</v>
      </c>
      <c r="V167">
        <v>0</v>
      </c>
      <c r="W167">
        <v>0</v>
      </c>
      <c r="X167">
        <f>IF(Y167,TRUE,AND(AB167:AQ167))</f>
        <v>0</v>
      </c>
      <c r="Y167">
        <f>COUNTBLANK(metadata!B167:Q167)=COLUMNS(metadata!B167:Q167)</f>
        <v>0</v>
      </c>
      <c r="Z167">
        <v>0</v>
      </c>
      <c r="AB167">
        <f>AND(IF(metadata!B167="",FALSE,TRUE),COUNTIF(metadata!B:B, metadata!B167) = 1,NOT(ISERROR(SUMPRODUCT(SEARCH(MID(metadata!B167,ROW(INDIRECT("1:"&amp;LEN(metadata!B167))), 1),"0123456789abcdefghijklmnopqrstuvwxyzABCDEFGHIJKLMNOPQRSTUVWXYZ.")))))</f>
        <v>0</v>
      </c>
      <c r="AC167">
        <f>OR(AND(IF(metadata!C167="",FALSE,TRUE),OR(exact(metadata!C167,"missing: not collected"),exact(metadata!C167,"missing: not provided"),exact(metadata!C167,"missing: restricted access"))),AND(IF(metadata!C167="",FALSE,TRUE),AND(AND(IFERROR(INT(LEFT(metadata!C167,4))&gt;1900,FALSE),IFERROR(INT(LEFT(metadata!C167,4))&lt;=YEAR(NOW()),FALSE)), OR(MID(metadata!C167,5,1)="", AND(AND(MID(metadata!C167,5,1)="-",IFERROR(INT(MID(metadata!C167,6,1))&gt;=0,FALSE),IFERROR(INT(MID(metadata!C167,6,1))&lt;=1,FALSE),NOT(MID(metadata!C167,7,1)=""),IFERROR(INT(MID(metadata!C167,6,2))&gt;=1,FALSE),IFERROR(INT(MID(metadata!C167,6,2))&lt;=12,FALSE)), OR(MID(metadata!C167,8,1)="", AND(AND(MID(metadata!C167,8,1)="-",IFERROR(INT(MID(metadata!C167,9,1))&gt;=0,FALSE),IFERROR(INT(MID(metadata!C167,9,1))&lt;=3,FALSE),NOT(MID(metadata!C167,10,1)=""),IFERROR(INT(MID(metadata!C167,9,2))&gt;=1,FALSE),IFERROR(INT(MID(metadata!C167,9,2))&lt;=31,FALSE)), OR(MID(metadata!C167,11,1)="", AND(AND(MID(metadata!C167,11,1)=" ",IFERROR(INT(MID(metadata!C167,12,1))&gt;=0,FALSE),IFERROR(INT(MID(metadata!C167,12,1))&lt;=2,FALSE),NOT(MID(metadata!C167,13,1)=""),IFERROR(INT(MID(metadata!C167,12,2))&gt;=0,FALSE),IFERROR(INT(MID(metadata!C167,12,2))&lt;=23,FALSE)), OR(MID(metadata!C167,14,1)="", AND(AND(MID(metadata!C167,14,1)=":",IFERROR(INT(MID(metadata!C167,15,1))&gt;=0,FALSE),IFERROR(INT(MID(metadata!C167,15,1))&lt;=5,FALSE),NOT(MID(metadata!C167,16,1)=""),IFERROR(INT(MID(metadata!C167,15,2))&gt;=0,FALSE),IFERROR(INT(MID(metadata!C167,15,2))&lt;=59,FALSE)), OR(MID(metadata!C167,17,1)="", AND(AND(MID(metadata!C167,17,1)=":",IFERROR(INT(MID(metadata!C167,18,1))&gt;=0,FALSE),IFERROR(INT(MID(metadata!C167,18,1))&lt;=5,FALSE),NOT(MID(metadata!C167,19,1)=""),IFERROR(INT(MID(metadata!C167,18,2))&gt;=0,FALSE),IFERROR(INT(MID(metadata!C167,18,2))&lt;=59,FALSE)), LEN(metadata!C167)&lt;=19)))))))))))))</f>
        <v>0</v>
      </c>
      <c r="AD167">
        <f>IF(metadata!D167="",FALSE,TRUE)</f>
        <v>0</v>
      </c>
      <c r="AE167">
        <f>OR(AND(IF(metadata!E167="",FALSE,TRUE),OR(exact(metadata!E167,"missing: not collected"),exact(metadata!E167,"missing: not provided"))),AND(IF(metadata!E167="",FALSE,TRUE),OR(exact(metadata!E167,"TRUE"),exact(metadata!E167,"FALSE"))))</f>
        <v>0</v>
      </c>
      <c r="AF167">
        <f>IF(metadata!F167="",FALSE,TRUE)</f>
        <v>0</v>
      </c>
      <c r="AG167">
        <f>IF(metadata!G167="",FALSE,TRUE)</f>
        <v>0</v>
      </c>
      <c r="AH167">
        <f>IF(metadata!H167="",FALSE,TRUE)</f>
        <v>0</v>
      </c>
      <c r="AI167">
        <f>OR(AND(IF(metadata!I167="",FALSE,TRUE),OR(exact(metadata!I167,"missing: not collected"),exact(metadata!I167,"missing: not provided"),exact(metadata!I167,"missing: restricted access"))),AND(IF(metadata!I167="",FALSE,TRUE),OR(exact(metadata!I167,"air"),exact(metadata!I167,"built environment"),exact(metadata!I167,"host-associated"),exact(metadata!I167,"human-associated"),exact(metadata!I167,"human-skin"),exact(metadata!I167,"human-oral"),exact(metadata!I167,"human-gut"),exact(metadata!I167,"human-vaginal"),exact(metadata!I167,"microbial mat/biofilm"),exact(metadata!I167,"misc environment"),exact(metadata!I167,"plant-associated"),exact(metadata!I167,"sediment"),exact(metadata!I167,"soil"),exact(metadata!I167,"wastewater/sludge"),exact(metadata!I167,"water"))))</f>
        <v>0</v>
      </c>
      <c r="AJ167">
        <f>IF(metadata!J167="",FALSE,TRUE)</f>
        <v>0</v>
      </c>
      <c r="AK167">
        <f>OR(AND(IF(metadata!K167="",FALSE,TRUE),OR(exact(metadata!K167,"missing: not collected"),exact(metadata!K167,"missing: not provided"),exact(metadata!K167,"missing: restricted access"))),AND(IF(metadata!K167="",FALSE,ISNUMBER(VALUE(metadata!K167))),metadata!K167&gt;=-90.00,metadata!K167&lt;=90.00))</f>
        <v>0</v>
      </c>
      <c r="AL167">
        <f>OR(AND(IF(metadata!L167="",FALSE,TRUE),OR(exact(metadata!L167,"missing: not collected"),exact(metadata!L167,"missing: not provided"),exact(metadata!L167,"missing: restricted access"))),AND(IF(metadata!L167="",FALSE,ISNUMBER(VALUE(metadata!L167))),metadata!L167&gt;=-180.00,metadata!L167&lt;=180.00))</f>
        <v>0</v>
      </c>
      <c r="AM167">
        <f>IF(metadata!M167="",FALSE,TRUE)</f>
        <v>0</v>
      </c>
      <c r="AN167">
        <f>OR(AND(IF(metadata!N167="",FALSE,TRUE),OR(exact(metadata!N167,"missing: not collected"),exact(metadata!N167,"missing: not provided"),exact(metadata!N167,"missing: restricted access"))),AND(IF(metadata!N167="",FALSE,TRUE),OR(exact(metadata!N167,"TRUE"),exact(metadata!N167,"FALSE"))))</f>
        <v>0</v>
      </c>
      <c r="AO167">
        <f>IF(metadata!O167="",FALSE,TRUE)</f>
        <v>0</v>
      </c>
      <c r="AP167">
        <f>OR(AND(IF(metadata!P167="",FALSE,TRUE),OR(exact(metadata!P167,"missing: not collected"),exact(metadata!P167,"missing: not provided"))),AND(IF(metadata!P167="",FALSE,IF(ISERROR(INT(metadata!P167)),FALSE,INT(metadata!P167)=metadata!P167)),metadata!P167&gt;0))</f>
        <v>0</v>
      </c>
      <c r="AQ167">
        <f>IF(metadata!Q167="",FALSE,TRUE)</f>
        <v>0</v>
      </c>
    </row>
    <row r="168" spans="1:43">
      <c r="A168" s="5">
        <f>IF(B168=" "," ",HYPERLINK(CONCATENATE("#metadata!",ADDRESS(INDEX($W$2:$W$1001,MATCH(ROWS($U$2:U168),$U$2:$U$1001,0),0),1)),INDEX($Z$2:$Z$1001,MATCH(ROWS($U$2:U168),$U$2:$U$1001,0),0)))</f>
        <v>0</v>
      </c>
      <c r="B168" s="4">
        <f>IF(OR(INDEX($V$2:$V$1001,MATCH(ROWS($U$2:U168),$U$2:$U$1001,0),1)&gt;=100000,INDEX($AB$1005:$AQ$1005,1,MATCH(COLUMNS($AB$1006:AB1006),$AB$1006:$AQ$1006,0))&gt;=100000), " ",IF(INDEX($AB$2:$AQ$1001,MATCH(ROWS($U$2:U168),$U$2:$U$1001,0),MATCH(COLUMNS($AB$1006:AB1006),$AB$1006:$AQ$1006,0)), HYPERLINK("#",""), HYPERLINK(CONCATENATE("#metadata!", ADDRESS(INDEX($W$2:$W$1001,MATCH(ROWS($U$2:U168),$U$2:$U$1001,0),0), INDEX($AB$1004:$AQ$1004,1,MATCH(COLUMNS($AB$1006:AB1006),$AB$1006:$AQ$1006,0)))),"Fix")))</f>
        <v>0</v>
      </c>
      <c r="C168" s="4">
        <f>IF(OR(INDEX($V$2:$V$1001,MATCH(ROWS($U$2:U168),$U$2:$U$1001,0),1)&gt;=100000,INDEX($AB$1005:$AQ$1005,1,MATCH(COLUMNS($AB$1006:AC1006),$AB$1006:$AQ$1006,0))&gt;=100000), " ",IF(INDEX($AB$2:$AQ$1001,MATCH(ROWS($U$2:U168),$U$2:$U$1001,0),MATCH(COLUMNS($AB$1006:AC1006),$AB$1006:$AQ$1006,0)), HYPERLINK("#",""), HYPERLINK(CONCATENATE("#metadata!", ADDRESS(INDEX($W$2:$W$1001,MATCH(ROWS($U$2:U168),$U$2:$U$1001,0),0), INDEX($AB$1004:$AQ$1004,1,MATCH(COLUMNS($AB$1006:AC1006),$AB$1006:$AQ$1006,0)))),"Fix")))</f>
        <v>0</v>
      </c>
      <c r="D168" s="4">
        <f>IF(OR(INDEX($V$2:$V$1001,MATCH(ROWS($U$2:U168),$U$2:$U$1001,0),1)&gt;=100000,INDEX($AB$1005:$AQ$1005,1,MATCH(COLUMNS($AB$1006:AD1006),$AB$1006:$AQ$1006,0))&gt;=100000), " ",IF(INDEX($AB$2:$AQ$1001,MATCH(ROWS($U$2:U168),$U$2:$U$1001,0),MATCH(COLUMNS($AB$1006:AD1006),$AB$1006:$AQ$1006,0)), HYPERLINK("#",""), HYPERLINK(CONCATENATE("#metadata!", ADDRESS(INDEX($W$2:$W$1001,MATCH(ROWS($U$2:U168),$U$2:$U$1001,0),0), INDEX($AB$1004:$AQ$1004,1,MATCH(COLUMNS($AB$1006:AD1006),$AB$1006:$AQ$1006,0)))),"Fix")))</f>
        <v>0</v>
      </c>
      <c r="E168" s="4">
        <f>IF(OR(INDEX($V$2:$V$1001,MATCH(ROWS($U$2:U168),$U$2:$U$1001,0),1)&gt;=100000,INDEX($AB$1005:$AQ$1005,1,MATCH(COLUMNS($AB$1006:AE1006),$AB$1006:$AQ$1006,0))&gt;=100000), " ",IF(INDEX($AB$2:$AQ$1001,MATCH(ROWS($U$2:U168),$U$2:$U$1001,0),MATCH(COLUMNS($AB$1006:AE1006),$AB$1006:$AQ$1006,0)), HYPERLINK("#",""), HYPERLINK(CONCATENATE("#metadata!", ADDRESS(INDEX($W$2:$W$1001,MATCH(ROWS($U$2:U168),$U$2:$U$1001,0),0), INDEX($AB$1004:$AQ$1004,1,MATCH(COLUMNS($AB$1006:AE1006),$AB$1006:$AQ$1006,0)))),"Fix")))</f>
        <v>0</v>
      </c>
      <c r="F168" s="4">
        <f>IF(OR(INDEX($V$2:$V$1001,MATCH(ROWS($U$2:U168),$U$2:$U$1001,0),1)&gt;=100000,INDEX($AB$1005:$AQ$1005,1,MATCH(COLUMNS($AB$1006:AF1006),$AB$1006:$AQ$1006,0))&gt;=100000), " ",IF(INDEX($AB$2:$AQ$1001,MATCH(ROWS($U$2:U168),$U$2:$U$1001,0),MATCH(COLUMNS($AB$1006:AF1006),$AB$1006:$AQ$1006,0)), HYPERLINK("#",""), HYPERLINK(CONCATENATE("#metadata!", ADDRESS(INDEX($W$2:$W$1001,MATCH(ROWS($U$2:U168),$U$2:$U$1001,0),0), INDEX($AB$1004:$AQ$1004,1,MATCH(COLUMNS($AB$1006:AF1006),$AB$1006:$AQ$1006,0)))),"Fix")))</f>
        <v>0</v>
      </c>
      <c r="G168" s="4">
        <f>IF(OR(INDEX($V$2:$V$1001,MATCH(ROWS($U$2:U168),$U$2:$U$1001,0),1)&gt;=100000,INDEX($AB$1005:$AQ$1005,1,MATCH(COLUMNS($AB$1006:AG1006),$AB$1006:$AQ$1006,0))&gt;=100000), " ",IF(INDEX($AB$2:$AQ$1001,MATCH(ROWS($U$2:U168),$U$2:$U$1001,0),MATCH(COLUMNS($AB$1006:AG1006),$AB$1006:$AQ$1006,0)), HYPERLINK("#",""), HYPERLINK(CONCATENATE("#metadata!", ADDRESS(INDEX($W$2:$W$1001,MATCH(ROWS($U$2:U168),$U$2:$U$1001,0),0), INDEX($AB$1004:$AQ$1004,1,MATCH(COLUMNS($AB$1006:AG1006),$AB$1006:$AQ$1006,0)))),"Fix")))</f>
        <v>0</v>
      </c>
      <c r="H168" s="4">
        <f>IF(OR(INDEX($V$2:$V$1001,MATCH(ROWS($U$2:U168),$U$2:$U$1001,0),1)&gt;=100000,INDEX($AB$1005:$AQ$1005,1,MATCH(COLUMNS($AB$1006:AH1006),$AB$1006:$AQ$1006,0))&gt;=100000), " ",IF(INDEX($AB$2:$AQ$1001,MATCH(ROWS($U$2:U168),$U$2:$U$1001,0),MATCH(COLUMNS($AB$1006:AH1006),$AB$1006:$AQ$1006,0)), HYPERLINK("#",""), HYPERLINK(CONCATENATE("#metadata!", ADDRESS(INDEX($W$2:$W$1001,MATCH(ROWS($U$2:U168),$U$2:$U$1001,0),0), INDEX($AB$1004:$AQ$1004,1,MATCH(COLUMNS($AB$1006:AH1006),$AB$1006:$AQ$1006,0)))),"Fix")))</f>
        <v>0</v>
      </c>
      <c r="I168" s="4">
        <f>IF(OR(INDEX($V$2:$V$1001,MATCH(ROWS($U$2:U168),$U$2:$U$1001,0),1)&gt;=100000,INDEX($AB$1005:$AQ$1005,1,MATCH(COLUMNS($AB$1006:AI1006),$AB$1006:$AQ$1006,0))&gt;=100000), " ",IF(INDEX($AB$2:$AQ$1001,MATCH(ROWS($U$2:U168),$U$2:$U$1001,0),MATCH(COLUMNS($AB$1006:AI1006),$AB$1006:$AQ$1006,0)), HYPERLINK("#",""), HYPERLINK(CONCATENATE("#metadata!", ADDRESS(INDEX($W$2:$W$1001,MATCH(ROWS($U$2:U168),$U$2:$U$1001,0),0), INDEX($AB$1004:$AQ$1004,1,MATCH(COLUMNS($AB$1006:AI1006),$AB$1006:$AQ$1006,0)))),"Fix")))</f>
        <v>0</v>
      </c>
      <c r="J168" s="4">
        <f>IF(OR(INDEX($V$2:$V$1001,MATCH(ROWS($U$2:U168),$U$2:$U$1001,0),1)&gt;=100000,INDEX($AB$1005:$AQ$1005,1,MATCH(COLUMNS($AB$1006:AJ1006),$AB$1006:$AQ$1006,0))&gt;=100000), " ",IF(INDEX($AB$2:$AQ$1001,MATCH(ROWS($U$2:U168),$U$2:$U$1001,0),MATCH(COLUMNS($AB$1006:AJ1006),$AB$1006:$AQ$1006,0)), HYPERLINK("#",""), HYPERLINK(CONCATENATE("#metadata!", ADDRESS(INDEX($W$2:$W$1001,MATCH(ROWS($U$2:U168),$U$2:$U$1001,0),0), INDEX($AB$1004:$AQ$1004,1,MATCH(COLUMNS($AB$1006:AJ1006),$AB$1006:$AQ$1006,0)))),"Fix")))</f>
        <v>0</v>
      </c>
      <c r="K168" s="4">
        <f>IF(OR(INDEX($V$2:$V$1001,MATCH(ROWS($U$2:U168),$U$2:$U$1001,0),1)&gt;=100000,INDEX($AB$1005:$AQ$1005,1,MATCH(COLUMNS($AB$1006:AK1006),$AB$1006:$AQ$1006,0))&gt;=100000), " ",IF(INDEX($AB$2:$AQ$1001,MATCH(ROWS($U$2:U168),$U$2:$U$1001,0),MATCH(COLUMNS($AB$1006:AK1006),$AB$1006:$AQ$1006,0)), HYPERLINK("#",""), HYPERLINK(CONCATENATE("#metadata!", ADDRESS(INDEX($W$2:$W$1001,MATCH(ROWS($U$2:U168),$U$2:$U$1001,0),0), INDEX($AB$1004:$AQ$1004,1,MATCH(COLUMNS($AB$1006:AK1006),$AB$1006:$AQ$1006,0)))),"Fix")))</f>
        <v>0</v>
      </c>
      <c r="L168" s="4">
        <f>IF(OR(INDEX($V$2:$V$1001,MATCH(ROWS($U$2:U168),$U$2:$U$1001,0),1)&gt;=100000,INDEX($AB$1005:$AQ$1005,1,MATCH(COLUMNS($AB$1006:AL1006),$AB$1006:$AQ$1006,0))&gt;=100000), " ",IF(INDEX($AB$2:$AQ$1001,MATCH(ROWS($U$2:U168),$U$2:$U$1001,0),MATCH(COLUMNS($AB$1006:AL1006),$AB$1006:$AQ$1006,0)), HYPERLINK("#",""), HYPERLINK(CONCATENATE("#metadata!", ADDRESS(INDEX($W$2:$W$1001,MATCH(ROWS($U$2:U168),$U$2:$U$1001,0),0), INDEX($AB$1004:$AQ$1004,1,MATCH(COLUMNS($AB$1006:AL1006),$AB$1006:$AQ$1006,0)))),"Fix")))</f>
        <v>0</v>
      </c>
      <c r="M168" s="4">
        <f>IF(OR(INDEX($V$2:$V$1001,MATCH(ROWS($U$2:U168),$U$2:$U$1001,0),1)&gt;=100000,INDEX($AB$1005:$AQ$1005,1,MATCH(COLUMNS($AB$1006:AM1006),$AB$1006:$AQ$1006,0))&gt;=100000), " ",IF(INDEX($AB$2:$AQ$1001,MATCH(ROWS($U$2:U168),$U$2:$U$1001,0),MATCH(COLUMNS($AB$1006:AM1006),$AB$1006:$AQ$1006,0)), HYPERLINK("#",""), HYPERLINK(CONCATENATE("#metadata!", ADDRESS(INDEX($W$2:$W$1001,MATCH(ROWS($U$2:U168),$U$2:$U$1001,0),0), INDEX($AB$1004:$AQ$1004,1,MATCH(COLUMNS($AB$1006:AM1006),$AB$1006:$AQ$1006,0)))),"Fix")))</f>
        <v>0</v>
      </c>
      <c r="N168" s="4">
        <f>IF(OR(INDEX($V$2:$V$1001,MATCH(ROWS($U$2:U168),$U$2:$U$1001,0),1)&gt;=100000,INDEX($AB$1005:$AQ$1005,1,MATCH(COLUMNS($AB$1006:AN1006),$AB$1006:$AQ$1006,0))&gt;=100000), " ",IF(INDEX($AB$2:$AQ$1001,MATCH(ROWS($U$2:U168),$U$2:$U$1001,0),MATCH(COLUMNS($AB$1006:AN1006),$AB$1006:$AQ$1006,0)), HYPERLINK("#",""), HYPERLINK(CONCATENATE("#metadata!", ADDRESS(INDEX($W$2:$W$1001,MATCH(ROWS($U$2:U168),$U$2:$U$1001,0),0), INDEX($AB$1004:$AQ$1004,1,MATCH(COLUMNS($AB$1006:AN1006),$AB$1006:$AQ$1006,0)))),"Fix")))</f>
        <v>0</v>
      </c>
      <c r="O168" s="4">
        <f>IF(OR(INDEX($V$2:$V$1001,MATCH(ROWS($U$2:U168),$U$2:$U$1001,0),1)&gt;=100000,INDEX($AB$1005:$AQ$1005,1,MATCH(COLUMNS($AB$1006:AO1006),$AB$1006:$AQ$1006,0))&gt;=100000), " ",IF(INDEX($AB$2:$AQ$1001,MATCH(ROWS($U$2:U168),$U$2:$U$1001,0),MATCH(COLUMNS($AB$1006:AO1006),$AB$1006:$AQ$1006,0)), HYPERLINK("#",""), HYPERLINK(CONCATENATE("#metadata!", ADDRESS(INDEX($W$2:$W$1001,MATCH(ROWS($U$2:U168),$U$2:$U$1001,0),0), INDEX($AB$1004:$AQ$1004,1,MATCH(COLUMNS($AB$1006:AO1006),$AB$1006:$AQ$1006,0)))),"Fix")))</f>
        <v>0</v>
      </c>
      <c r="P168" s="4">
        <f>IF(OR(INDEX($V$2:$V$1001,MATCH(ROWS($U$2:U168),$U$2:$U$1001,0),1)&gt;=100000,INDEX($AB$1005:$AQ$1005,1,MATCH(COLUMNS($AB$1006:AP1006),$AB$1006:$AQ$1006,0))&gt;=100000), " ",IF(INDEX($AB$2:$AQ$1001,MATCH(ROWS($U$2:U168),$U$2:$U$1001,0),MATCH(COLUMNS($AB$1006:AP1006),$AB$1006:$AQ$1006,0)), HYPERLINK("#",""), HYPERLINK(CONCATENATE("#metadata!", ADDRESS(INDEX($W$2:$W$1001,MATCH(ROWS($U$2:U168),$U$2:$U$1001,0),0), INDEX($AB$1004:$AQ$1004,1,MATCH(COLUMNS($AB$1006:AP1006),$AB$1006:$AQ$1006,0)))),"Fix")))</f>
        <v>0</v>
      </c>
      <c r="Q168" s="4">
        <f>IF(OR(INDEX($V$2:$V$1001,MATCH(ROWS($U$2:U168),$U$2:$U$1001,0),1)&gt;=100000,INDEX($AB$1005:$AQ$1005,1,MATCH(COLUMNS($AB$1006:AQ1006),$AB$1006:$AQ$1006,0))&gt;=100000), " ",IF(INDEX($AB$2:$AQ$1001,MATCH(ROWS($U$2:U168),$U$2:$U$1001,0),MATCH(COLUMNS($AB$1006:AQ1006),$AB$1006:$AQ$1006,0)), HYPERLINK("#",""), HYPERLINK(CONCATENATE("#metadata!", ADDRESS(INDEX($W$2:$W$1001,MATCH(ROWS($U$2:U168),$U$2:$U$1001,0),0), INDEX($AB$1004:$AQ$1004,1,MATCH(COLUMNS($AB$1006:AQ1006),$AB$1006:$AQ$1006,0)))),"Fix")))</f>
        <v>0</v>
      </c>
      <c r="U168">
        <v>0</v>
      </c>
      <c r="V168">
        <v>0</v>
      </c>
      <c r="W168">
        <v>0</v>
      </c>
      <c r="X168">
        <f>IF(Y168,TRUE,AND(AB168:AQ168))</f>
        <v>0</v>
      </c>
      <c r="Y168">
        <f>COUNTBLANK(metadata!B168:Q168)=COLUMNS(metadata!B168:Q168)</f>
        <v>0</v>
      </c>
      <c r="Z168">
        <v>0</v>
      </c>
      <c r="AB168">
        <f>AND(IF(metadata!B168="",FALSE,TRUE),COUNTIF(metadata!B:B, metadata!B168) = 1,NOT(ISERROR(SUMPRODUCT(SEARCH(MID(metadata!B168,ROW(INDIRECT("1:"&amp;LEN(metadata!B168))), 1),"0123456789abcdefghijklmnopqrstuvwxyzABCDEFGHIJKLMNOPQRSTUVWXYZ.")))))</f>
        <v>0</v>
      </c>
      <c r="AC168">
        <f>OR(AND(IF(metadata!C168="",FALSE,TRUE),OR(exact(metadata!C168,"missing: not collected"),exact(metadata!C168,"missing: not provided"),exact(metadata!C168,"missing: restricted access"))),AND(IF(metadata!C168="",FALSE,TRUE),AND(AND(IFERROR(INT(LEFT(metadata!C168,4))&gt;1900,FALSE),IFERROR(INT(LEFT(metadata!C168,4))&lt;=YEAR(NOW()),FALSE)), OR(MID(metadata!C168,5,1)="", AND(AND(MID(metadata!C168,5,1)="-",IFERROR(INT(MID(metadata!C168,6,1))&gt;=0,FALSE),IFERROR(INT(MID(metadata!C168,6,1))&lt;=1,FALSE),NOT(MID(metadata!C168,7,1)=""),IFERROR(INT(MID(metadata!C168,6,2))&gt;=1,FALSE),IFERROR(INT(MID(metadata!C168,6,2))&lt;=12,FALSE)), OR(MID(metadata!C168,8,1)="", AND(AND(MID(metadata!C168,8,1)="-",IFERROR(INT(MID(metadata!C168,9,1))&gt;=0,FALSE),IFERROR(INT(MID(metadata!C168,9,1))&lt;=3,FALSE),NOT(MID(metadata!C168,10,1)=""),IFERROR(INT(MID(metadata!C168,9,2))&gt;=1,FALSE),IFERROR(INT(MID(metadata!C168,9,2))&lt;=31,FALSE)), OR(MID(metadata!C168,11,1)="", AND(AND(MID(metadata!C168,11,1)=" ",IFERROR(INT(MID(metadata!C168,12,1))&gt;=0,FALSE),IFERROR(INT(MID(metadata!C168,12,1))&lt;=2,FALSE),NOT(MID(metadata!C168,13,1)=""),IFERROR(INT(MID(metadata!C168,12,2))&gt;=0,FALSE),IFERROR(INT(MID(metadata!C168,12,2))&lt;=23,FALSE)), OR(MID(metadata!C168,14,1)="", AND(AND(MID(metadata!C168,14,1)=":",IFERROR(INT(MID(metadata!C168,15,1))&gt;=0,FALSE),IFERROR(INT(MID(metadata!C168,15,1))&lt;=5,FALSE),NOT(MID(metadata!C168,16,1)=""),IFERROR(INT(MID(metadata!C168,15,2))&gt;=0,FALSE),IFERROR(INT(MID(metadata!C168,15,2))&lt;=59,FALSE)), OR(MID(metadata!C168,17,1)="", AND(AND(MID(metadata!C168,17,1)=":",IFERROR(INT(MID(metadata!C168,18,1))&gt;=0,FALSE),IFERROR(INT(MID(metadata!C168,18,1))&lt;=5,FALSE),NOT(MID(metadata!C168,19,1)=""),IFERROR(INT(MID(metadata!C168,18,2))&gt;=0,FALSE),IFERROR(INT(MID(metadata!C168,18,2))&lt;=59,FALSE)), LEN(metadata!C168)&lt;=19)))))))))))))</f>
        <v>0</v>
      </c>
      <c r="AD168">
        <f>IF(metadata!D168="",FALSE,TRUE)</f>
        <v>0</v>
      </c>
      <c r="AE168">
        <f>OR(AND(IF(metadata!E168="",FALSE,TRUE),OR(exact(metadata!E168,"missing: not collected"),exact(metadata!E168,"missing: not provided"))),AND(IF(metadata!E168="",FALSE,TRUE),OR(exact(metadata!E168,"TRUE"),exact(metadata!E168,"FALSE"))))</f>
        <v>0</v>
      </c>
      <c r="AF168">
        <f>IF(metadata!F168="",FALSE,TRUE)</f>
        <v>0</v>
      </c>
      <c r="AG168">
        <f>IF(metadata!G168="",FALSE,TRUE)</f>
        <v>0</v>
      </c>
      <c r="AH168">
        <f>IF(metadata!H168="",FALSE,TRUE)</f>
        <v>0</v>
      </c>
      <c r="AI168">
        <f>OR(AND(IF(metadata!I168="",FALSE,TRUE),OR(exact(metadata!I168,"missing: not collected"),exact(metadata!I168,"missing: not provided"),exact(metadata!I168,"missing: restricted access"))),AND(IF(metadata!I168="",FALSE,TRUE),OR(exact(metadata!I168,"air"),exact(metadata!I168,"built environment"),exact(metadata!I168,"host-associated"),exact(metadata!I168,"human-associated"),exact(metadata!I168,"human-skin"),exact(metadata!I168,"human-oral"),exact(metadata!I168,"human-gut"),exact(metadata!I168,"human-vaginal"),exact(metadata!I168,"microbial mat/biofilm"),exact(metadata!I168,"misc environment"),exact(metadata!I168,"plant-associated"),exact(metadata!I168,"sediment"),exact(metadata!I168,"soil"),exact(metadata!I168,"wastewater/sludge"),exact(metadata!I168,"water"))))</f>
        <v>0</v>
      </c>
      <c r="AJ168">
        <f>IF(metadata!J168="",FALSE,TRUE)</f>
        <v>0</v>
      </c>
      <c r="AK168">
        <f>OR(AND(IF(metadata!K168="",FALSE,TRUE),OR(exact(metadata!K168,"missing: not collected"),exact(metadata!K168,"missing: not provided"),exact(metadata!K168,"missing: restricted access"))),AND(IF(metadata!K168="",FALSE,ISNUMBER(VALUE(metadata!K168))),metadata!K168&gt;=-90.00,metadata!K168&lt;=90.00))</f>
        <v>0</v>
      </c>
      <c r="AL168">
        <f>OR(AND(IF(metadata!L168="",FALSE,TRUE),OR(exact(metadata!L168,"missing: not collected"),exact(metadata!L168,"missing: not provided"),exact(metadata!L168,"missing: restricted access"))),AND(IF(metadata!L168="",FALSE,ISNUMBER(VALUE(metadata!L168))),metadata!L168&gt;=-180.00,metadata!L168&lt;=180.00))</f>
        <v>0</v>
      </c>
      <c r="AM168">
        <f>IF(metadata!M168="",FALSE,TRUE)</f>
        <v>0</v>
      </c>
      <c r="AN168">
        <f>OR(AND(IF(metadata!N168="",FALSE,TRUE),OR(exact(metadata!N168,"missing: not collected"),exact(metadata!N168,"missing: not provided"),exact(metadata!N168,"missing: restricted access"))),AND(IF(metadata!N168="",FALSE,TRUE),OR(exact(metadata!N168,"TRUE"),exact(metadata!N168,"FALSE"))))</f>
        <v>0</v>
      </c>
      <c r="AO168">
        <f>IF(metadata!O168="",FALSE,TRUE)</f>
        <v>0</v>
      </c>
      <c r="AP168">
        <f>OR(AND(IF(metadata!P168="",FALSE,TRUE),OR(exact(metadata!P168,"missing: not collected"),exact(metadata!P168,"missing: not provided"))),AND(IF(metadata!P168="",FALSE,IF(ISERROR(INT(metadata!P168)),FALSE,INT(metadata!P168)=metadata!P168)),metadata!P168&gt;0))</f>
        <v>0</v>
      </c>
      <c r="AQ168">
        <f>IF(metadata!Q168="",FALSE,TRUE)</f>
        <v>0</v>
      </c>
    </row>
    <row r="169" spans="1:43">
      <c r="A169" s="5">
        <f>IF(B169=" "," ",HYPERLINK(CONCATENATE("#metadata!",ADDRESS(INDEX($W$2:$W$1001,MATCH(ROWS($U$2:U169),$U$2:$U$1001,0),0),1)),INDEX($Z$2:$Z$1001,MATCH(ROWS($U$2:U169),$U$2:$U$1001,0),0)))</f>
        <v>0</v>
      </c>
      <c r="B169" s="4">
        <f>IF(OR(INDEX($V$2:$V$1001,MATCH(ROWS($U$2:U169),$U$2:$U$1001,0),1)&gt;=100000,INDEX($AB$1005:$AQ$1005,1,MATCH(COLUMNS($AB$1006:AB1006),$AB$1006:$AQ$1006,0))&gt;=100000), " ",IF(INDEX($AB$2:$AQ$1001,MATCH(ROWS($U$2:U169),$U$2:$U$1001,0),MATCH(COLUMNS($AB$1006:AB1006),$AB$1006:$AQ$1006,0)), HYPERLINK("#",""), HYPERLINK(CONCATENATE("#metadata!", ADDRESS(INDEX($W$2:$W$1001,MATCH(ROWS($U$2:U169),$U$2:$U$1001,0),0), INDEX($AB$1004:$AQ$1004,1,MATCH(COLUMNS($AB$1006:AB1006),$AB$1006:$AQ$1006,0)))),"Fix")))</f>
        <v>0</v>
      </c>
      <c r="C169" s="4">
        <f>IF(OR(INDEX($V$2:$V$1001,MATCH(ROWS($U$2:U169),$U$2:$U$1001,0),1)&gt;=100000,INDEX($AB$1005:$AQ$1005,1,MATCH(COLUMNS($AB$1006:AC1006),$AB$1006:$AQ$1006,0))&gt;=100000), " ",IF(INDEX($AB$2:$AQ$1001,MATCH(ROWS($U$2:U169),$U$2:$U$1001,0),MATCH(COLUMNS($AB$1006:AC1006),$AB$1006:$AQ$1006,0)), HYPERLINK("#",""), HYPERLINK(CONCATENATE("#metadata!", ADDRESS(INDEX($W$2:$W$1001,MATCH(ROWS($U$2:U169),$U$2:$U$1001,0),0), INDEX($AB$1004:$AQ$1004,1,MATCH(COLUMNS($AB$1006:AC1006),$AB$1006:$AQ$1006,0)))),"Fix")))</f>
        <v>0</v>
      </c>
      <c r="D169" s="4">
        <f>IF(OR(INDEX($V$2:$V$1001,MATCH(ROWS($U$2:U169),$U$2:$U$1001,0),1)&gt;=100000,INDEX($AB$1005:$AQ$1005,1,MATCH(COLUMNS($AB$1006:AD1006),$AB$1006:$AQ$1006,0))&gt;=100000), " ",IF(INDEX($AB$2:$AQ$1001,MATCH(ROWS($U$2:U169),$U$2:$U$1001,0),MATCH(COLUMNS($AB$1006:AD1006),$AB$1006:$AQ$1006,0)), HYPERLINK("#",""), HYPERLINK(CONCATENATE("#metadata!", ADDRESS(INDEX($W$2:$W$1001,MATCH(ROWS($U$2:U169),$U$2:$U$1001,0),0), INDEX($AB$1004:$AQ$1004,1,MATCH(COLUMNS($AB$1006:AD1006),$AB$1006:$AQ$1006,0)))),"Fix")))</f>
        <v>0</v>
      </c>
      <c r="E169" s="4">
        <f>IF(OR(INDEX($V$2:$V$1001,MATCH(ROWS($U$2:U169),$U$2:$U$1001,0),1)&gt;=100000,INDEX($AB$1005:$AQ$1005,1,MATCH(COLUMNS($AB$1006:AE1006),$AB$1006:$AQ$1006,0))&gt;=100000), " ",IF(INDEX($AB$2:$AQ$1001,MATCH(ROWS($U$2:U169),$U$2:$U$1001,0),MATCH(COLUMNS($AB$1006:AE1006),$AB$1006:$AQ$1006,0)), HYPERLINK("#",""), HYPERLINK(CONCATENATE("#metadata!", ADDRESS(INDEX($W$2:$W$1001,MATCH(ROWS($U$2:U169),$U$2:$U$1001,0),0), INDEX($AB$1004:$AQ$1004,1,MATCH(COLUMNS($AB$1006:AE1006),$AB$1006:$AQ$1006,0)))),"Fix")))</f>
        <v>0</v>
      </c>
      <c r="F169" s="4">
        <f>IF(OR(INDEX($V$2:$V$1001,MATCH(ROWS($U$2:U169),$U$2:$U$1001,0),1)&gt;=100000,INDEX($AB$1005:$AQ$1005,1,MATCH(COLUMNS($AB$1006:AF1006),$AB$1006:$AQ$1006,0))&gt;=100000), " ",IF(INDEX($AB$2:$AQ$1001,MATCH(ROWS($U$2:U169),$U$2:$U$1001,0),MATCH(COLUMNS($AB$1006:AF1006),$AB$1006:$AQ$1006,0)), HYPERLINK("#",""), HYPERLINK(CONCATENATE("#metadata!", ADDRESS(INDEX($W$2:$W$1001,MATCH(ROWS($U$2:U169),$U$2:$U$1001,0),0), INDEX($AB$1004:$AQ$1004,1,MATCH(COLUMNS($AB$1006:AF1006),$AB$1006:$AQ$1006,0)))),"Fix")))</f>
        <v>0</v>
      </c>
      <c r="G169" s="4">
        <f>IF(OR(INDEX($V$2:$V$1001,MATCH(ROWS($U$2:U169),$U$2:$U$1001,0),1)&gt;=100000,INDEX($AB$1005:$AQ$1005,1,MATCH(COLUMNS($AB$1006:AG1006),$AB$1006:$AQ$1006,0))&gt;=100000), " ",IF(INDEX($AB$2:$AQ$1001,MATCH(ROWS($U$2:U169),$U$2:$U$1001,0),MATCH(COLUMNS($AB$1006:AG1006),$AB$1006:$AQ$1006,0)), HYPERLINK("#",""), HYPERLINK(CONCATENATE("#metadata!", ADDRESS(INDEX($W$2:$W$1001,MATCH(ROWS($U$2:U169),$U$2:$U$1001,0),0), INDEX($AB$1004:$AQ$1004,1,MATCH(COLUMNS($AB$1006:AG1006),$AB$1006:$AQ$1006,0)))),"Fix")))</f>
        <v>0</v>
      </c>
      <c r="H169" s="4">
        <f>IF(OR(INDEX($V$2:$V$1001,MATCH(ROWS($U$2:U169),$U$2:$U$1001,0),1)&gt;=100000,INDEX($AB$1005:$AQ$1005,1,MATCH(COLUMNS($AB$1006:AH1006),$AB$1006:$AQ$1006,0))&gt;=100000), " ",IF(INDEX($AB$2:$AQ$1001,MATCH(ROWS($U$2:U169),$U$2:$U$1001,0),MATCH(COLUMNS($AB$1006:AH1006),$AB$1006:$AQ$1006,0)), HYPERLINK("#",""), HYPERLINK(CONCATENATE("#metadata!", ADDRESS(INDEX($W$2:$W$1001,MATCH(ROWS($U$2:U169),$U$2:$U$1001,0),0), INDEX($AB$1004:$AQ$1004,1,MATCH(COLUMNS($AB$1006:AH1006),$AB$1006:$AQ$1006,0)))),"Fix")))</f>
        <v>0</v>
      </c>
      <c r="I169" s="4">
        <f>IF(OR(INDEX($V$2:$V$1001,MATCH(ROWS($U$2:U169),$U$2:$U$1001,0),1)&gt;=100000,INDEX($AB$1005:$AQ$1005,1,MATCH(COLUMNS($AB$1006:AI1006),$AB$1006:$AQ$1006,0))&gt;=100000), " ",IF(INDEX($AB$2:$AQ$1001,MATCH(ROWS($U$2:U169),$U$2:$U$1001,0),MATCH(COLUMNS($AB$1006:AI1006),$AB$1006:$AQ$1006,0)), HYPERLINK("#",""), HYPERLINK(CONCATENATE("#metadata!", ADDRESS(INDEX($W$2:$W$1001,MATCH(ROWS($U$2:U169),$U$2:$U$1001,0),0), INDEX($AB$1004:$AQ$1004,1,MATCH(COLUMNS($AB$1006:AI1006),$AB$1006:$AQ$1006,0)))),"Fix")))</f>
        <v>0</v>
      </c>
      <c r="J169" s="4">
        <f>IF(OR(INDEX($V$2:$V$1001,MATCH(ROWS($U$2:U169),$U$2:$U$1001,0),1)&gt;=100000,INDEX($AB$1005:$AQ$1005,1,MATCH(COLUMNS($AB$1006:AJ1006),$AB$1006:$AQ$1006,0))&gt;=100000), " ",IF(INDEX($AB$2:$AQ$1001,MATCH(ROWS($U$2:U169),$U$2:$U$1001,0),MATCH(COLUMNS($AB$1006:AJ1006),$AB$1006:$AQ$1006,0)), HYPERLINK("#",""), HYPERLINK(CONCATENATE("#metadata!", ADDRESS(INDEX($W$2:$W$1001,MATCH(ROWS($U$2:U169),$U$2:$U$1001,0),0), INDEX($AB$1004:$AQ$1004,1,MATCH(COLUMNS($AB$1006:AJ1006),$AB$1006:$AQ$1006,0)))),"Fix")))</f>
        <v>0</v>
      </c>
      <c r="K169" s="4">
        <f>IF(OR(INDEX($V$2:$V$1001,MATCH(ROWS($U$2:U169),$U$2:$U$1001,0),1)&gt;=100000,INDEX($AB$1005:$AQ$1005,1,MATCH(COLUMNS($AB$1006:AK1006),$AB$1006:$AQ$1006,0))&gt;=100000), " ",IF(INDEX($AB$2:$AQ$1001,MATCH(ROWS($U$2:U169),$U$2:$U$1001,0),MATCH(COLUMNS($AB$1006:AK1006),$AB$1006:$AQ$1006,0)), HYPERLINK("#",""), HYPERLINK(CONCATENATE("#metadata!", ADDRESS(INDEX($W$2:$W$1001,MATCH(ROWS($U$2:U169),$U$2:$U$1001,0),0), INDEX($AB$1004:$AQ$1004,1,MATCH(COLUMNS($AB$1006:AK1006),$AB$1006:$AQ$1006,0)))),"Fix")))</f>
        <v>0</v>
      </c>
      <c r="L169" s="4">
        <f>IF(OR(INDEX($V$2:$V$1001,MATCH(ROWS($U$2:U169),$U$2:$U$1001,0),1)&gt;=100000,INDEX($AB$1005:$AQ$1005,1,MATCH(COLUMNS($AB$1006:AL1006),$AB$1006:$AQ$1006,0))&gt;=100000), " ",IF(INDEX($AB$2:$AQ$1001,MATCH(ROWS($U$2:U169),$U$2:$U$1001,0),MATCH(COLUMNS($AB$1006:AL1006),$AB$1006:$AQ$1006,0)), HYPERLINK("#",""), HYPERLINK(CONCATENATE("#metadata!", ADDRESS(INDEX($W$2:$W$1001,MATCH(ROWS($U$2:U169),$U$2:$U$1001,0),0), INDEX($AB$1004:$AQ$1004,1,MATCH(COLUMNS($AB$1006:AL1006),$AB$1006:$AQ$1006,0)))),"Fix")))</f>
        <v>0</v>
      </c>
      <c r="M169" s="4">
        <f>IF(OR(INDEX($V$2:$V$1001,MATCH(ROWS($U$2:U169),$U$2:$U$1001,0),1)&gt;=100000,INDEX($AB$1005:$AQ$1005,1,MATCH(COLUMNS($AB$1006:AM1006),$AB$1006:$AQ$1006,0))&gt;=100000), " ",IF(INDEX($AB$2:$AQ$1001,MATCH(ROWS($U$2:U169),$U$2:$U$1001,0),MATCH(COLUMNS($AB$1006:AM1006),$AB$1006:$AQ$1006,0)), HYPERLINK("#",""), HYPERLINK(CONCATENATE("#metadata!", ADDRESS(INDEX($W$2:$W$1001,MATCH(ROWS($U$2:U169),$U$2:$U$1001,0),0), INDEX($AB$1004:$AQ$1004,1,MATCH(COLUMNS($AB$1006:AM1006),$AB$1006:$AQ$1006,0)))),"Fix")))</f>
        <v>0</v>
      </c>
      <c r="N169" s="4">
        <f>IF(OR(INDEX($V$2:$V$1001,MATCH(ROWS($U$2:U169),$U$2:$U$1001,0),1)&gt;=100000,INDEX($AB$1005:$AQ$1005,1,MATCH(COLUMNS($AB$1006:AN1006),$AB$1006:$AQ$1006,0))&gt;=100000), " ",IF(INDEX($AB$2:$AQ$1001,MATCH(ROWS($U$2:U169),$U$2:$U$1001,0),MATCH(COLUMNS($AB$1006:AN1006),$AB$1006:$AQ$1006,0)), HYPERLINK("#",""), HYPERLINK(CONCATENATE("#metadata!", ADDRESS(INDEX($W$2:$W$1001,MATCH(ROWS($U$2:U169),$U$2:$U$1001,0),0), INDEX($AB$1004:$AQ$1004,1,MATCH(COLUMNS($AB$1006:AN1006),$AB$1006:$AQ$1006,0)))),"Fix")))</f>
        <v>0</v>
      </c>
      <c r="O169" s="4">
        <f>IF(OR(INDEX($V$2:$V$1001,MATCH(ROWS($U$2:U169),$U$2:$U$1001,0),1)&gt;=100000,INDEX($AB$1005:$AQ$1005,1,MATCH(COLUMNS($AB$1006:AO1006),$AB$1006:$AQ$1006,0))&gt;=100000), " ",IF(INDEX($AB$2:$AQ$1001,MATCH(ROWS($U$2:U169),$U$2:$U$1001,0),MATCH(COLUMNS($AB$1006:AO1006),$AB$1006:$AQ$1006,0)), HYPERLINK("#",""), HYPERLINK(CONCATENATE("#metadata!", ADDRESS(INDEX($W$2:$W$1001,MATCH(ROWS($U$2:U169),$U$2:$U$1001,0),0), INDEX($AB$1004:$AQ$1004,1,MATCH(COLUMNS($AB$1006:AO1006),$AB$1006:$AQ$1006,0)))),"Fix")))</f>
        <v>0</v>
      </c>
      <c r="P169" s="4">
        <f>IF(OR(INDEX($V$2:$V$1001,MATCH(ROWS($U$2:U169),$U$2:$U$1001,0),1)&gt;=100000,INDEX($AB$1005:$AQ$1005,1,MATCH(COLUMNS($AB$1006:AP1006),$AB$1006:$AQ$1006,0))&gt;=100000), " ",IF(INDEX($AB$2:$AQ$1001,MATCH(ROWS($U$2:U169),$U$2:$U$1001,0),MATCH(COLUMNS($AB$1006:AP1006),$AB$1006:$AQ$1006,0)), HYPERLINK("#",""), HYPERLINK(CONCATENATE("#metadata!", ADDRESS(INDEX($W$2:$W$1001,MATCH(ROWS($U$2:U169),$U$2:$U$1001,0),0), INDEX($AB$1004:$AQ$1004,1,MATCH(COLUMNS($AB$1006:AP1006),$AB$1006:$AQ$1006,0)))),"Fix")))</f>
        <v>0</v>
      </c>
      <c r="Q169" s="4">
        <f>IF(OR(INDEX($V$2:$V$1001,MATCH(ROWS($U$2:U169),$U$2:$U$1001,0),1)&gt;=100000,INDEX($AB$1005:$AQ$1005,1,MATCH(COLUMNS($AB$1006:AQ1006),$AB$1006:$AQ$1006,0))&gt;=100000), " ",IF(INDEX($AB$2:$AQ$1001,MATCH(ROWS($U$2:U169),$U$2:$U$1001,0),MATCH(COLUMNS($AB$1006:AQ1006),$AB$1006:$AQ$1006,0)), HYPERLINK("#",""), HYPERLINK(CONCATENATE("#metadata!", ADDRESS(INDEX($W$2:$W$1001,MATCH(ROWS($U$2:U169),$U$2:$U$1001,0),0), INDEX($AB$1004:$AQ$1004,1,MATCH(COLUMNS($AB$1006:AQ1006),$AB$1006:$AQ$1006,0)))),"Fix")))</f>
        <v>0</v>
      </c>
      <c r="U169">
        <v>0</v>
      </c>
      <c r="V169">
        <v>0</v>
      </c>
      <c r="W169">
        <v>0</v>
      </c>
      <c r="X169">
        <f>IF(Y169,TRUE,AND(AB169:AQ169))</f>
        <v>0</v>
      </c>
      <c r="Y169">
        <f>COUNTBLANK(metadata!B169:Q169)=COLUMNS(metadata!B169:Q169)</f>
        <v>0</v>
      </c>
      <c r="Z169">
        <v>0</v>
      </c>
      <c r="AB169">
        <f>AND(IF(metadata!B169="",FALSE,TRUE),COUNTIF(metadata!B:B, metadata!B169) = 1,NOT(ISERROR(SUMPRODUCT(SEARCH(MID(metadata!B169,ROW(INDIRECT("1:"&amp;LEN(metadata!B169))), 1),"0123456789abcdefghijklmnopqrstuvwxyzABCDEFGHIJKLMNOPQRSTUVWXYZ.")))))</f>
        <v>0</v>
      </c>
      <c r="AC169">
        <f>OR(AND(IF(metadata!C169="",FALSE,TRUE),OR(exact(metadata!C169,"missing: not collected"),exact(metadata!C169,"missing: not provided"),exact(metadata!C169,"missing: restricted access"))),AND(IF(metadata!C169="",FALSE,TRUE),AND(AND(IFERROR(INT(LEFT(metadata!C169,4))&gt;1900,FALSE),IFERROR(INT(LEFT(metadata!C169,4))&lt;=YEAR(NOW()),FALSE)), OR(MID(metadata!C169,5,1)="", AND(AND(MID(metadata!C169,5,1)="-",IFERROR(INT(MID(metadata!C169,6,1))&gt;=0,FALSE),IFERROR(INT(MID(metadata!C169,6,1))&lt;=1,FALSE),NOT(MID(metadata!C169,7,1)=""),IFERROR(INT(MID(metadata!C169,6,2))&gt;=1,FALSE),IFERROR(INT(MID(metadata!C169,6,2))&lt;=12,FALSE)), OR(MID(metadata!C169,8,1)="", AND(AND(MID(metadata!C169,8,1)="-",IFERROR(INT(MID(metadata!C169,9,1))&gt;=0,FALSE),IFERROR(INT(MID(metadata!C169,9,1))&lt;=3,FALSE),NOT(MID(metadata!C169,10,1)=""),IFERROR(INT(MID(metadata!C169,9,2))&gt;=1,FALSE),IFERROR(INT(MID(metadata!C169,9,2))&lt;=31,FALSE)), OR(MID(metadata!C169,11,1)="", AND(AND(MID(metadata!C169,11,1)=" ",IFERROR(INT(MID(metadata!C169,12,1))&gt;=0,FALSE),IFERROR(INT(MID(metadata!C169,12,1))&lt;=2,FALSE),NOT(MID(metadata!C169,13,1)=""),IFERROR(INT(MID(metadata!C169,12,2))&gt;=0,FALSE),IFERROR(INT(MID(metadata!C169,12,2))&lt;=23,FALSE)), OR(MID(metadata!C169,14,1)="", AND(AND(MID(metadata!C169,14,1)=":",IFERROR(INT(MID(metadata!C169,15,1))&gt;=0,FALSE),IFERROR(INT(MID(metadata!C169,15,1))&lt;=5,FALSE),NOT(MID(metadata!C169,16,1)=""),IFERROR(INT(MID(metadata!C169,15,2))&gt;=0,FALSE),IFERROR(INT(MID(metadata!C169,15,2))&lt;=59,FALSE)), OR(MID(metadata!C169,17,1)="", AND(AND(MID(metadata!C169,17,1)=":",IFERROR(INT(MID(metadata!C169,18,1))&gt;=0,FALSE),IFERROR(INT(MID(metadata!C169,18,1))&lt;=5,FALSE),NOT(MID(metadata!C169,19,1)=""),IFERROR(INT(MID(metadata!C169,18,2))&gt;=0,FALSE),IFERROR(INT(MID(metadata!C169,18,2))&lt;=59,FALSE)), LEN(metadata!C169)&lt;=19)))))))))))))</f>
        <v>0</v>
      </c>
      <c r="AD169">
        <f>IF(metadata!D169="",FALSE,TRUE)</f>
        <v>0</v>
      </c>
      <c r="AE169">
        <f>OR(AND(IF(metadata!E169="",FALSE,TRUE),OR(exact(metadata!E169,"missing: not collected"),exact(metadata!E169,"missing: not provided"))),AND(IF(metadata!E169="",FALSE,TRUE),OR(exact(metadata!E169,"TRUE"),exact(metadata!E169,"FALSE"))))</f>
        <v>0</v>
      </c>
      <c r="AF169">
        <f>IF(metadata!F169="",FALSE,TRUE)</f>
        <v>0</v>
      </c>
      <c r="AG169">
        <f>IF(metadata!G169="",FALSE,TRUE)</f>
        <v>0</v>
      </c>
      <c r="AH169">
        <f>IF(metadata!H169="",FALSE,TRUE)</f>
        <v>0</v>
      </c>
      <c r="AI169">
        <f>OR(AND(IF(metadata!I169="",FALSE,TRUE),OR(exact(metadata!I169,"missing: not collected"),exact(metadata!I169,"missing: not provided"),exact(metadata!I169,"missing: restricted access"))),AND(IF(metadata!I169="",FALSE,TRUE),OR(exact(metadata!I169,"air"),exact(metadata!I169,"built environment"),exact(metadata!I169,"host-associated"),exact(metadata!I169,"human-associated"),exact(metadata!I169,"human-skin"),exact(metadata!I169,"human-oral"),exact(metadata!I169,"human-gut"),exact(metadata!I169,"human-vaginal"),exact(metadata!I169,"microbial mat/biofilm"),exact(metadata!I169,"misc environment"),exact(metadata!I169,"plant-associated"),exact(metadata!I169,"sediment"),exact(metadata!I169,"soil"),exact(metadata!I169,"wastewater/sludge"),exact(metadata!I169,"water"))))</f>
        <v>0</v>
      </c>
      <c r="AJ169">
        <f>IF(metadata!J169="",FALSE,TRUE)</f>
        <v>0</v>
      </c>
      <c r="AK169">
        <f>OR(AND(IF(metadata!K169="",FALSE,TRUE),OR(exact(metadata!K169,"missing: not collected"),exact(metadata!K169,"missing: not provided"),exact(metadata!K169,"missing: restricted access"))),AND(IF(metadata!K169="",FALSE,ISNUMBER(VALUE(metadata!K169))),metadata!K169&gt;=-90.00,metadata!K169&lt;=90.00))</f>
        <v>0</v>
      </c>
      <c r="AL169">
        <f>OR(AND(IF(metadata!L169="",FALSE,TRUE),OR(exact(metadata!L169,"missing: not collected"),exact(metadata!L169,"missing: not provided"),exact(metadata!L169,"missing: restricted access"))),AND(IF(metadata!L169="",FALSE,ISNUMBER(VALUE(metadata!L169))),metadata!L169&gt;=-180.00,metadata!L169&lt;=180.00))</f>
        <v>0</v>
      </c>
      <c r="AM169">
        <f>IF(metadata!M169="",FALSE,TRUE)</f>
        <v>0</v>
      </c>
      <c r="AN169">
        <f>OR(AND(IF(metadata!N169="",FALSE,TRUE),OR(exact(metadata!N169,"missing: not collected"),exact(metadata!N169,"missing: not provided"),exact(metadata!N169,"missing: restricted access"))),AND(IF(metadata!N169="",FALSE,TRUE),OR(exact(metadata!N169,"TRUE"),exact(metadata!N169,"FALSE"))))</f>
        <v>0</v>
      </c>
      <c r="AO169">
        <f>IF(metadata!O169="",FALSE,TRUE)</f>
        <v>0</v>
      </c>
      <c r="AP169">
        <f>OR(AND(IF(metadata!P169="",FALSE,TRUE),OR(exact(metadata!P169,"missing: not collected"),exact(metadata!P169,"missing: not provided"))),AND(IF(metadata!P169="",FALSE,IF(ISERROR(INT(metadata!P169)),FALSE,INT(metadata!P169)=metadata!P169)),metadata!P169&gt;0))</f>
        <v>0</v>
      </c>
      <c r="AQ169">
        <f>IF(metadata!Q169="",FALSE,TRUE)</f>
        <v>0</v>
      </c>
    </row>
    <row r="170" spans="1:43">
      <c r="A170" s="5">
        <f>IF(B170=" "," ",HYPERLINK(CONCATENATE("#metadata!",ADDRESS(INDEX($W$2:$W$1001,MATCH(ROWS($U$2:U170),$U$2:$U$1001,0),0),1)),INDEX($Z$2:$Z$1001,MATCH(ROWS($U$2:U170),$U$2:$U$1001,0),0)))</f>
        <v>0</v>
      </c>
      <c r="B170" s="4">
        <f>IF(OR(INDEX($V$2:$V$1001,MATCH(ROWS($U$2:U170),$U$2:$U$1001,0),1)&gt;=100000,INDEX($AB$1005:$AQ$1005,1,MATCH(COLUMNS($AB$1006:AB1006),$AB$1006:$AQ$1006,0))&gt;=100000), " ",IF(INDEX($AB$2:$AQ$1001,MATCH(ROWS($U$2:U170),$U$2:$U$1001,0),MATCH(COLUMNS($AB$1006:AB1006),$AB$1006:$AQ$1006,0)), HYPERLINK("#",""), HYPERLINK(CONCATENATE("#metadata!", ADDRESS(INDEX($W$2:$W$1001,MATCH(ROWS($U$2:U170),$U$2:$U$1001,0),0), INDEX($AB$1004:$AQ$1004,1,MATCH(COLUMNS($AB$1006:AB1006),$AB$1006:$AQ$1006,0)))),"Fix")))</f>
        <v>0</v>
      </c>
      <c r="C170" s="4">
        <f>IF(OR(INDEX($V$2:$V$1001,MATCH(ROWS($U$2:U170),$U$2:$U$1001,0),1)&gt;=100000,INDEX($AB$1005:$AQ$1005,1,MATCH(COLUMNS($AB$1006:AC1006),$AB$1006:$AQ$1006,0))&gt;=100000), " ",IF(INDEX($AB$2:$AQ$1001,MATCH(ROWS($U$2:U170),$U$2:$U$1001,0),MATCH(COLUMNS($AB$1006:AC1006),$AB$1006:$AQ$1006,0)), HYPERLINK("#",""), HYPERLINK(CONCATENATE("#metadata!", ADDRESS(INDEX($W$2:$W$1001,MATCH(ROWS($U$2:U170),$U$2:$U$1001,0),0), INDEX($AB$1004:$AQ$1004,1,MATCH(COLUMNS($AB$1006:AC1006),$AB$1006:$AQ$1006,0)))),"Fix")))</f>
        <v>0</v>
      </c>
      <c r="D170" s="4">
        <f>IF(OR(INDEX($V$2:$V$1001,MATCH(ROWS($U$2:U170),$U$2:$U$1001,0),1)&gt;=100000,INDEX($AB$1005:$AQ$1005,1,MATCH(COLUMNS($AB$1006:AD1006),$AB$1006:$AQ$1006,0))&gt;=100000), " ",IF(INDEX($AB$2:$AQ$1001,MATCH(ROWS($U$2:U170),$U$2:$U$1001,0),MATCH(COLUMNS($AB$1006:AD1006),$AB$1006:$AQ$1006,0)), HYPERLINK("#",""), HYPERLINK(CONCATENATE("#metadata!", ADDRESS(INDEX($W$2:$W$1001,MATCH(ROWS($U$2:U170),$U$2:$U$1001,0),0), INDEX($AB$1004:$AQ$1004,1,MATCH(COLUMNS($AB$1006:AD1006),$AB$1006:$AQ$1006,0)))),"Fix")))</f>
        <v>0</v>
      </c>
      <c r="E170" s="4">
        <f>IF(OR(INDEX($V$2:$V$1001,MATCH(ROWS($U$2:U170),$U$2:$U$1001,0),1)&gt;=100000,INDEX($AB$1005:$AQ$1005,1,MATCH(COLUMNS($AB$1006:AE1006),$AB$1006:$AQ$1006,0))&gt;=100000), " ",IF(INDEX($AB$2:$AQ$1001,MATCH(ROWS($U$2:U170),$U$2:$U$1001,0),MATCH(COLUMNS($AB$1006:AE1006),$AB$1006:$AQ$1006,0)), HYPERLINK("#",""), HYPERLINK(CONCATENATE("#metadata!", ADDRESS(INDEX($W$2:$W$1001,MATCH(ROWS($U$2:U170),$U$2:$U$1001,0),0), INDEX($AB$1004:$AQ$1004,1,MATCH(COLUMNS($AB$1006:AE1006),$AB$1006:$AQ$1006,0)))),"Fix")))</f>
        <v>0</v>
      </c>
      <c r="F170" s="4">
        <f>IF(OR(INDEX($V$2:$V$1001,MATCH(ROWS($U$2:U170),$U$2:$U$1001,0),1)&gt;=100000,INDEX($AB$1005:$AQ$1005,1,MATCH(COLUMNS($AB$1006:AF1006),$AB$1006:$AQ$1006,0))&gt;=100000), " ",IF(INDEX($AB$2:$AQ$1001,MATCH(ROWS($U$2:U170),$U$2:$U$1001,0),MATCH(COLUMNS($AB$1006:AF1006),$AB$1006:$AQ$1006,0)), HYPERLINK("#",""), HYPERLINK(CONCATENATE("#metadata!", ADDRESS(INDEX($W$2:$W$1001,MATCH(ROWS($U$2:U170),$U$2:$U$1001,0),0), INDEX($AB$1004:$AQ$1004,1,MATCH(COLUMNS($AB$1006:AF1006),$AB$1006:$AQ$1006,0)))),"Fix")))</f>
        <v>0</v>
      </c>
      <c r="G170" s="4">
        <f>IF(OR(INDEX($V$2:$V$1001,MATCH(ROWS($U$2:U170),$U$2:$U$1001,0),1)&gt;=100000,INDEX($AB$1005:$AQ$1005,1,MATCH(COLUMNS($AB$1006:AG1006),$AB$1006:$AQ$1006,0))&gt;=100000), " ",IF(INDEX($AB$2:$AQ$1001,MATCH(ROWS($U$2:U170),$U$2:$U$1001,0),MATCH(COLUMNS($AB$1006:AG1006),$AB$1006:$AQ$1006,0)), HYPERLINK("#",""), HYPERLINK(CONCATENATE("#metadata!", ADDRESS(INDEX($W$2:$W$1001,MATCH(ROWS($U$2:U170),$U$2:$U$1001,0),0), INDEX($AB$1004:$AQ$1004,1,MATCH(COLUMNS($AB$1006:AG1006),$AB$1006:$AQ$1006,0)))),"Fix")))</f>
        <v>0</v>
      </c>
      <c r="H170" s="4">
        <f>IF(OR(INDEX($V$2:$V$1001,MATCH(ROWS($U$2:U170),$U$2:$U$1001,0),1)&gt;=100000,INDEX($AB$1005:$AQ$1005,1,MATCH(COLUMNS($AB$1006:AH1006),$AB$1006:$AQ$1006,0))&gt;=100000), " ",IF(INDEX($AB$2:$AQ$1001,MATCH(ROWS($U$2:U170),$U$2:$U$1001,0),MATCH(COLUMNS($AB$1006:AH1006),$AB$1006:$AQ$1006,0)), HYPERLINK("#",""), HYPERLINK(CONCATENATE("#metadata!", ADDRESS(INDEX($W$2:$W$1001,MATCH(ROWS($U$2:U170),$U$2:$U$1001,0),0), INDEX($AB$1004:$AQ$1004,1,MATCH(COLUMNS($AB$1006:AH1006),$AB$1006:$AQ$1006,0)))),"Fix")))</f>
        <v>0</v>
      </c>
      <c r="I170" s="4">
        <f>IF(OR(INDEX($V$2:$V$1001,MATCH(ROWS($U$2:U170),$U$2:$U$1001,0),1)&gt;=100000,INDEX($AB$1005:$AQ$1005,1,MATCH(COLUMNS($AB$1006:AI1006),$AB$1006:$AQ$1006,0))&gt;=100000), " ",IF(INDEX($AB$2:$AQ$1001,MATCH(ROWS($U$2:U170),$U$2:$U$1001,0),MATCH(COLUMNS($AB$1006:AI1006),$AB$1006:$AQ$1006,0)), HYPERLINK("#",""), HYPERLINK(CONCATENATE("#metadata!", ADDRESS(INDEX($W$2:$W$1001,MATCH(ROWS($U$2:U170),$U$2:$U$1001,0),0), INDEX($AB$1004:$AQ$1004,1,MATCH(COLUMNS($AB$1006:AI1006),$AB$1006:$AQ$1006,0)))),"Fix")))</f>
        <v>0</v>
      </c>
      <c r="J170" s="4">
        <f>IF(OR(INDEX($V$2:$V$1001,MATCH(ROWS($U$2:U170),$U$2:$U$1001,0),1)&gt;=100000,INDEX($AB$1005:$AQ$1005,1,MATCH(COLUMNS($AB$1006:AJ1006),$AB$1006:$AQ$1006,0))&gt;=100000), " ",IF(INDEX($AB$2:$AQ$1001,MATCH(ROWS($U$2:U170),$U$2:$U$1001,0),MATCH(COLUMNS($AB$1006:AJ1006),$AB$1006:$AQ$1006,0)), HYPERLINK("#",""), HYPERLINK(CONCATENATE("#metadata!", ADDRESS(INDEX($W$2:$W$1001,MATCH(ROWS($U$2:U170),$U$2:$U$1001,0),0), INDEX($AB$1004:$AQ$1004,1,MATCH(COLUMNS($AB$1006:AJ1006),$AB$1006:$AQ$1006,0)))),"Fix")))</f>
        <v>0</v>
      </c>
      <c r="K170" s="4">
        <f>IF(OR(INDEX($V$2:$V$1001,MATCH(ROWS($U$2:U170),$U$2:$U$1001,0),1)&gt;=100000,INDEX($AB$1005:$AQ$1005,1,MATCH(COLUMNS($AB$1006:AK1006),$AB$1006:$AQ$1006,0))&gt;=100000), " ",IF(INDEX($AB$2:$AQ$1001,MATCH(ROWS($U$2:U170),$U$2:$U$1001,0),MATCH(COLUMNS($AB$1006:AK1006),$AB$1006:$AQ$1006,0)), HYPERLINK("#",""), HYPERLINK(CONCATENATE("#metadata!", ADDRESS(INDEX($W$2:$W$1001,MATCH(ROWS($U$2:U170),$U$2:$U$1001,0),0), INDEX($AB$1004:$AQ$1004,1,MATCH(COLUMNS($AB$1006:AK1006),$AB$1006:$AQ$1006,0)))),"Fix")))</f>
        <v>0</v>
      </c>
      <c r="L170" s="4">
        <f>IF(OR(INDEX($V$2:$V$1001,MATCH(ROWS($U$2:U170),$U$2:$U$1001,0),1)&gt;=100000,INDEX($AB$1005:$AQ$1005,1,MATCH(COLUMNS($AB$1006:AL1006),$AB$1006:$AQ$1006,0))&gt;=100000), " ",IF(INDEX($AB$2:$AQ$1001,MATCH(ROWS($U$2:U170),$U$2:$U$1001,0),MATCH(COLUMNS($AB$1006:AL1006),$AB$1006:$AQ$1006,0)), HYPERLINK("#",""), HYPERLINK(CONCATENATE("#metadata!", ADDRESS(INDEX($W$2:$W$1001,MATCH(ROWS($U$2:U170),$U$2:$U$1001,0),0), INDEX($AB$1004:$AQ$1004,1,MATCH(COLUMNS($AB$1006:AL1006),$AB$1006:$AQ$1006,0)))),"Fix")))</f>
        <v>0</v>
      </c>
      <c r="M170" s="4">
        <f>IF(OR(INDEX($V$2:$V$1001,MATCH(ROWS($U$2:U170),$U$2:$U$1001,0),1)&gt;=100000,INDEX($AB$1005:$AQ$1005,1,MATCH(COLUMNS($AB$1006:AM1006),$AB$1006:$AQ$1006,0))&gt;=100000), " ",IF(INDEX($AB$2:$AQ$1001,MATCH(ROWS($U$2:U170),$U$2:$U$1001,0),MATCH(COLUMNS($AB$1006:AM1006),$AB$1006:$AQ$1006,0)), HYPERLINK("#",""), HYPERLINK(CONCATENATE("#metadata!", ADDRESS(INDEX($W$2:$W$1001,MATCH(ROWS($U$2:U170),$U$2:$U$1001,0),0), INDEX($AB$1004:$AQ$1004,1,MATCH(COLUMNS($AB$1006:AM1006),$AB$1006:$AQ$1006,0)))),"Fix")))</f>
        <v>0</v>
      </c>
      <c r="N170" s="4">
        <f>IF(OR(INDEX($V$2:$V$1001,MATCH(ROWS($U$2:U170),$U$2:$U$1001,0),1)&gt;=100000,INDEX($AB$1005:$AQ$1005,1,MATCH(COLUMNS($AB$1006:AN1006),$AB$1006:$AQ$1006,0))&gt;=100000), " ",IF(INDEX($AB$2:$AQ$1001,MATCH(ROWS($U$2:U170),$U$2:$U$1001,0),MATCH(COLUMNS($AB$1006:AN1006),$AB$1006:$AQ$1006,0)), HYPERLINK("#",""), HYPERLINK(CONCATENATE("#metadata!", ADDRESS(INDEX($W$2:$W$1001,MATCH(ROWS($U$2:U170),$U$2:$U$1001,0),0), INDEX($AB$1004:$AQ$1004,1,MATCH(COLUMNS($AB$1006:AN1006),$AB$1006:$AQ$1006,0)))),"Fix")))</f>
        <v>0</v>
      </c>
      <c r="O170" s="4">
        <f>IF(OR(INDEX($V$2:$V$1001,MATCH(ROWS($U$2:U170),$U$2:$U$1001,0),1)&gt;=100000,INDEX($AB$1005:$AQ$1005,1,MATCH(COLUMNS($AB$1006:AO1006),$AB$1006:$AQ$1006,0))&gt;=100000), " ",IF(INDEX($AB$2:$AQ$1001,MATCH(ROWS($U$2:U170),$U$2:$U$1001,0),MATCH(COLUMNS($AB$1006:AO1006),$AB$1006:$AQ$1006,0)), HYPERLINK("#",""), HYPERLINK(CONCATENATE("#metadata!", ADDRESS(INDEX($W$2:$W$1001,MATCH(ROWS($U$2:U170),$U$2:$U$1001,0),0), INDEX($AB$1004:$AQ$1004,1,MATCH(COLUMNS($AB$1006:AO1006),$AB$1006:$AQ$1006,0)))),"Fix")))</f>
        <v>0</v>
      </c>
      <c r="P170" s="4">
        <f>IF(OR(INDEX($V$2:$V$1001,MATCH(ROWS($U$2:U170),$U$2:$U$1001,0),1)&gt;=100000,INDEX($AB$1005:$AQ$1005,1,MATCH(COLUMNS($AB$1006:AP1006),$AB$1006:$AQ$1006,0))&gt;=100000), " ",IF(INDEX($AB$2:$AQ$1001,MATCH(ROWS($U$2:U170),$U$2:$U$1001,0),MATCH(COLUMNS($AB$1006:AP1006),$AB$1006:$AQ$1006,0)), HYPERLINK("#",""), HYPERLINK(CONCATENATE("#metadata!", ADDRESS(INDEX($W$2:$W$1001,MATCH(ROWS($U$2:U170),$U$2:$U$1001,0),0), INDEX($AB$1004:$AQ$1004,1,MATCH(COLUMNS($AB$1006:AP1006),$AB$1006:$AQ$1006,0)))),"Fix")))</f>
        <v>0</v>
      </c>
      <c r="Q170" s="4">
        <f>IF(OR(INDEX($V$2:$V$1001,MATCH(ROWS($U$2:U170),$U$2:$U$1001,0),1)&gt;=100000,INDEX($AB$1005:$AQ$1005,1,MATCH(COLUMNS($AB$1006:AQ1006),$AB$1006:$AQ$1006,0))&gt;=100000), " ",IF(INDEX($AB$2:$AQ$1001,MATCH(ROWS($U$2:U170),$U$2:$U$1001,0),MATCH(COLUMNS($AB$1006:AQ1006),$AB$1006:$AQ$1006,0)), HYPERLINK("#",""), HYPERLINK(CONCATENATE("#metadata!", ADDRESS(INDEX($W$2:$W$1001,MATCH(ROWS($U$2:U170),$U$2:$U$1001,0),0), INDEX($AB$1004:$AQ$1004,1,MATCH(COLUMNS($AB$1006:AQ1006),$AB$1006:$AQ$1006,0)))),"Fix")))</f>
        <v>0</v>
      </c>
      <c r="U170">
        <v>0</v>
      </c>
      <c r="V170">
        <v>0</v>
      </c>
      <c r="W170">
        <v>0</v>
      </c>
      <c r="X170">
        <f>IF(Y170,TRUE,AND(AB170:AQ170))</f>
        <v>0</v>
      </c>
      <c r="Y170">
        <f>COUNTBLANK(metadata!B170:Q170)=COLUMNS(metadata!B170:Q170)</f>
        <v>0</v>
      </c>
      <c r="Z170">
        <v>0</v>
      </c>
      <c r="AB170">
        <f>AND(IF(metadata!B170="",FALSE,TRUE),COUNTIF(metadata!B:B, metadata!B170) = 1,NOT(ISERROR(SUMPRODUCT(SEARCH(MID(metadata!B170,ROW(INDIRECT("1:"&amp;LEN(metadata!B170))), 1),"0123456789abcdefghijklmnopqrstuvwxyzABCDEFGHIJKLMNOPQRSTUVWXYZ.")))))</f>
        <v>0</v>
      </c>
      <c r="AC170">
        <f>OR(AND(IF(metadata!C170="",FALSE,TRUE),OR(exact(metadata!C170,"missing: not collected"),exact(metadata!C170,"missing: not provided"),exact(metadata!C170,"missing: restricted access"))),AND(IF(metadata!C170="",FALSE,TRUE),AND(AND(IFERROR(INT(LEFT(metadata!C170,4))&gt;1900,FALSE),IFERROR(INT(LEFT(metadata!C170,4))&lt;=YEAR(NOW()),FALSE)), OR(MID(metadata!C170,5,1)="", AND(AND(MID(metadata!C170,5,1)="-",IFERROR(INT(MID(metadata!C170,6,1))&gt;=0,FALSE),IFERROR(INT(MID(metadata!C170,6,1))&lt;=1,FALSE),NOT(MID(metadata!C170,7,1)=""),IFERROR(INT(MID(metadata!C170,6,2))&gt;=1,FALSE),IFERROR(INT(MID(metadata!C170,6,2))&lt;=12,FALSE)), OR(MID(metadata!C170,8,1)="", AND(AND(MID(metadata!C170,8,1)="-",IFERROR(INT(MID(metadata!C170,9,1))&gt;=0,FALSE),IFERROR(INT(MID(metadata!C170,9,1))&lt;=3,FALSE),NOT(MID(metadata!C170,10,1)=""),IFERROR(INT(MID(metadata!C170,9,2))&gt;=1,FALSE),IFERROR(INT(MID(metadata!C170,9,2))&lt;=31,FALSE)), OR(MID(metadata!C170,11,1)="", AND(AND(MID(metadata!C170,11,1)=" ",IFERROR(INT(MID(metadata!C170,12,1))&gt;=0,FALSE),IFERROR(INT(MID(metadata!C170,12,1))&lt;=2,FALSE),NOT(MID(metadata!C170,13,1)=""),IFERROR(INT(MID(metadata!C170,12,2))&gt;=0,FALSE),IFERROR(INT(MID(metadata!C170,12,2))&lt;=23,FALSE)), OR(MID(metadata!C170,14,1)="", AND(AND(MID(metadata!C170,14,1)=":",IFERROR(INT(MID(metadata!C170,15,1))&gt;=0,FALSE),IFERROR(INT(MID(metadata!C170,15,1))&lt;=5,FALSE),NOT(MID(metadata!C170,16,1)=""),IFERROR(INT(MID(metadata!C170,15,2))&gt;=0,FALSE),IFERROR(INT(MID(metadata!C170,15,2))&lt;=59,FALSE)), OR(MID(metadata!C170,17,1)="", AND(AND(MID(metadata!C170,17,1)=":",IFERROR(INT(MID(metadata!C170,18,1))&gt;=0,FALSE),IFERROR(INT(MID(metadata!C170,18,1))&lt;=5,FALSE),NOT(MID(metadata!C170,19,1)=""),IFERROR(INT(MID(metadata!C170,18,2))&gt;=0,FALSE),IFERROR(INT(MID(metadata!C170,18,2))&lt;=59,FALSE)), LEN(metadata!C170)&lt;=19)))))))))))))</f>
        <v>0</v>
      </c>
      <c r="AD170">
        <f>IF(metadata!D170="",FALSE,TRUE)</f>
        <v>0</v>
      </c>
      <c r="AE170">
        <f>OR(AND(IF(metadata!E170="",FALSE,TRUE),OR(exact(metadata!E170,"missing: not collected"),exact(metadata!E170,"missing: not provided"))),AND(IF(metadata!E170="",FALSE,TRUE),OR(exact(metadata!E170,"TRUE"),exact(metadata!E170,"FALSE"))))</f>
        <v>0</v>
      </c>
      <c r="AF170">
        <f>IF(metadata!F170="",FALSE,TRUE)</f>
        <v>0</v>
      </c>
      <c r="AG170">
        <f>IF(metadata!G170="",FALSE,TRUE)</f>
        <v>0</v>
      </c>
      <c r="AH170">
        <f>IF(metadata!H170="",FALSE,TRUE)</f>
        <v>0</v>
      </c>
      <c r="AI170">
        <f>OR(AND(IF(metadata!I170="",FALSE,TRUE),OR(exact(metadata!I170,"missing: not collected"),exact(metadata!I170,"missing: not provided"),exact(metadata!I170,"missing: restricted access"))),AND(IF(metadata!I170="",FALSE,TRUE),OR(exact(metadata!I170,"air"),exact(metadata!I170,"built environment"),exact(metadata!I170,"host-associated"),exact(metadata!I170,"human-associated"),exact(metadata!I170,"human-skin"),exact(metadata!I170,"human-oral"),exact(metadata!I170,"human-gut"),exact(metadata!I170,"human-vaginal"),exact(metadata!I170,"microbial mat/biofilm"),exact(metadata!I170,"misc environment"),exact(metadata!I170,"plant-associated"),exact(metadata!I170,"sediment"),exact(metadata!I170,"soil"),exact(metadata!I170,"wastewater/sludge"),exact(metadata!I170,"water"))))</f>
        <v>0</v>
      </c>
      <c r="AJ170">
        <f>IF(metadata!J170="",FALSE,TRUE)</f>
        <v>0</v>
      </c>
      <c r="AK170">
        <f>OR(AND(IF(metadata!K170="",FALSE,TRUE),OR(exact(metadata!K170,"missing: not collected"),exact(metadata!K170,"missing: not provided"),exact(metadata!K170,"missing: restricted access"))),AND(IF(metadata!K170="",FALSE,ISNUMBER(VALUE(metadata!K170))),metadata!K170&gt;=-90.00,metadata!K170&lt;=90.00))</f>
        <v>0</v>
      </c>
      <c r="AL170">
        <f>OR(AND(IF(metadata!L170="",FALSE,TRUE),OR(exact(metadata!L170,"missing: not collected"),exact(metadata!L170,"missing: not provided"),exact(metadata!L170,"missing: restricted access"))),AND(IF(metadata!L170="",FALSE,ISNUMBER(VALUE(metadata!L170))),metadata!L170&gt;=-180.00,metadata!L170&lt;=180.00))</f>
        <v>0</v>
      </c>
      <c r="AM170">
        <f>IF(metadata!M170="",FALSE,TRUE)</f>
        <v>0</v>
      </c>
      <c r="AN170">
        <f>OR(AND(IF(metadata!N170="",FALSE,TRUE),OR(exact(metadata!N170,"missing: not collected"),exact(metadata!N170,"missing: not provided"),exact(metadata!N170,"missing: restricted access"))),AND(IF(metadata!N170="",FALSE,TRUE),OR(exact(metadata!N170,"TRUE"),exact(metadata!N170,"FALSE"))))</f>
        <v>0</v>
      </c>
      <c r="AO170">
        <f>IF(metadata!O170="",FALSE,TRUE)</f>
        <v>0</v>
      </c>
      <c r="AP170">
        <f>OR(AND(IF(metadata!P170="",FALSE,TRUE),OR(exact(metadata!P170,"missing: not collected"),exact(metadata!P170,"missing: not provided"))),AND(IF(metadata!P170="",FALSE,IF(ISERROR(INT(metadata!P170)),FALSE,INT(metadata!P170)=metadata!P170)),metadata!P170&gt;0))</f>
        <v>0</v>
      </c>
      <c r="AQ170">
        <f>IF(metadata!Q170="",FALSE,TRUE)</f>
        <v>0</v>
      </c>
    </row>
    <row r="171" spans="1:43">
      <c r="A171" s="5">
        <f>IF(B171=" "," ",HYPERLINK(CONCATENATE("#metadata!",ADDRESS(INDEX($W$2:$W$1001,MATCH(ROWS($U$2:U171),$U$2:$U$1001,0),0),1)),INDEX($Z$2:$Z$1001,MATCH(ROWS($U$2:U171),$U$2:$U$1001,0),0)))</f>
        <v>0</v>
      </c>
      <c r="B171" s="4">
        <f>IF(OR(INDEX($V$2:$V$1001,MATCH(ROWS($U$2:U171),$U$2:$U$1001,0),1)&gt;=100000,INDEX($AB$1005:$AQ$1005,1,MATCH(COLUMNS($AB$1006:AB1006),$AB$1006:$AQ$1006,0))&gt;=100000), " ",IF(INDEX($AB$2:$AQ$1001,MATCH(ROWS($U$2:U171),$U$2:$U$1001,0),MATCH(COLUMNS($AB$1006:AB1006),$AB$1006:$AQ$1006,0)), HYPERLINK("#",""), HYPERLINK(CONCATENATE("#metadata!", ADDRESS(INDEX($W$2:$W$1001,MATCH(ROWS($U$2:U171),$U$2:$U$1001,0),0), INDEX($AB$1004:$AQ$1004,1,MATCH(COLUMNS($AB$1006:AB1006),$AB$1006:$AQ$1006,0)))),"Fix")))</f>
        <v>0</v>
      </c>
      <c r="C171" s="4">
        <f>IF(OR(INDEX($V$2:$V$1001,MATCH(ROWS($U$2:U171),$U$2:$U$1001,0),1)&gt;=100000,INDEX($AB$1005:$AQ$1005,1,MATCH(COLUMNS($AB$1006:AC1006),$AB$1006:$AQ$1006,0))&gt;=100000), " ",IF(INDEX($AB$2:$AQ$1001,MATCH(ROWS($U$2:U171),$U$2:$U$1001,0),MATCH(COLUMNS($AB$1006:AC1006),$AB$1006:$AQ$1006,0)), HYPERLINK("#",""), HYPERLINK(CONCATENATE("#metadata!", ADDRESS(INDEX($W$2:$W$1001,MATCH(ROWS($U$2:U171),$U$2:$U$1001,0),0), INDEX($AB$1004:$AQ$1004,1,MATCH(COLUMNS($AB$1006:AC1006),$AB$1006:$AQ$1006,0)))),"Fix")))</f>
        <v>0</v>
      </c>
      <c r="D171" s="4">
        <f>IF(OR(INDEX($V$2:$V$1001,MATCH(ROWS($U$2:U171),$U$2:$U$1001,0),1)&gt;=100000,INDEX($AB$1005:$AQ$1005,1,MATCH(COLUMNS($AB$1006:AD1006),$AB$1006:$AQ$1006,0))&gt;=100000), " ",IF(INDEX($AB$2:$AQ$1001,MATCH(ROWS($U$2:U171),$U$2:$U$1001,0),MATCH(COLUMNS($AB$1006:AD1006),$AB$1006:$AQ$1006,0)), HYPERLINK("#",""), HYPERLINK(CONCATENATE("#metadata!", ADDRESS(INDEX($W$2:$W$1001,MATCH(ROWS($U$2:U171),$U$2:$U$1001,0),0), INDEX($AB$1004:$AQ$1004,1,MATCH(COLUMNS($AB$1006:AD1006),$AB$1006:$AQ$1006,0)))),"Fix")))</f>
        <v>0</v>
      </c>
      <c r="E171" s="4">
        <f>IF(OR(INDEX($V$2:$V$1001,MATCH(ROWS($U$2:U171),$U$2:$U$1001,0),1)&gt;=100000,INDEX($AB$1005:$AQ$1005,1,MATCH(COLUMNS($AB$1006:AE1006),$AB$1006:$AQ$1006,0))&gt;=100000), " ",IF(INDEX($AB$2:$AQ$1001,MATCH(ROWS($U$2:U171),$U$2:$U$1001,0),MATCH(COLUMNS($AB$1006:AE1006),$AB$1006:$AQ$1006,0)), HYPERLINK("#",""), HYPERLINK(CONCATENATE("#metadata!", ADDRESS(INDEX($W$2:$W$1001,MATCH(ROWS($U$2:U171),$U$2:$U$1001,0),0), INDEX($AB$1004:$AQ$1004,1,MATCH(COLUMNS($AB$1006:AE1006),$AB$1006:$AQ$1006,0)))),"Fix")))</f>
        <v>0</v>
      </c>
      <c r="F171" s="4">
        <f>IF(OR(INDEX($V$2:$V$1001,MATCH(ROWS($U$2:U171),$U$2:$U$1001,0),1)&gt;=100000,INDEX($AB$1005:$AQ$1005,1,MATCH(COLUMNS($AB$1006:AF1006),$AB$1006:$AQ$1006,0))&gt;=100000), " ",IF(INDEX($AB$2:$AQ$1001,MATCH(ROWS($U$2:U171),$U$2:$U$1001,0),MATCH(COLUMNS($AB$1006:AF1006),$AB$1006:$AQ$1006,0)), HYPERLINK("#",""), HYPERLINK(CONCATENATE("#metadata!", ADDRESS(INDEX($W$2:$W$1001,MATCH(ROWS($U$2:U171),$U$2:$U$1001,0),0), INDEX($AB$1004:$AQ$1004,1,MATCH(COLUMNS($AB$1006:AF1006),$AB$1006:$AQ$1006,0)))),"Fix")))</f>
        <v>0</v>
      </c>
      <c r="G171" s="4">
        <f>IF(OR(INDEX($V$2:$V$1001,MATCH(ROWS($U$2:U171),$U$2:$U$1001,0),1)&gt;=100000,INDEX($AB$1005:$AQ$1005,1,MATCH(COLUMNS($AB$1006:AG1006),$AB$1006:$AQ$1006,0))&gt;=100000), " ",IF(INDEX($AB$2:$AQ$1001,MATCH(ROWS($U$2:U171),$U$2:$U$1001,0),MATCH(COLUMNS($AB$1006:AG1006),$AB$1006:$AQ$1006,0)), HYPERLINK("#",""), HYPERLINK(CONCATENATE("#metadata!", ADDRESS(INDEX($W$2:$W$1001,MATCH(ROWS($U$2:U171),$U$2:$U$1001,0),0), INDEX($AB$1004:$AQ$1004,1,MATCH(COLUMNS($AB$1006:AG1006),$AB$1006:$AQ$1006,0)))),"Fix")))</f>
        <v>0</v>
      </c>
      <c r="H171" s="4">
        <f>IF(OR(INDEX($V$2:$V$1001,MATCH(ROWS($U$2:U171),$U$2:$U$1001,0),1)&gt;=100000,INDEX($AB$1005:$AQ$1005,1,MATCH(COLUMNS($AB$1006:AH1006),$AB$1006:$AQ$1006,0))&gt;=100000), " ",IF(INDEX($AB$2:$AQ$1001,MATCH(ROWS($U$2:U171),$U$2:$U$1001,0),MATCH(COLUMNS($AB$1006:AH1006),$AB$1006:$AQ$1006,0)), HYPERLINK("#",""), HYPERLINK(CONCATENATE("#metadata!", ADDRESS(INDEX($W$2:$W$1001,MATCH(ROWS($U$2:U171),$U$2:$U$1001,0),0), INDEX($AB$1004:$AQ$1004,1,MATCH(COLUMNS($AB$1006:AH1006),$AB$1006:$AQ$1006,0)))),"Fix")))</f>
        <v>0</v>
      </c>
      <c r="I171" s="4">
        <f>IF(OR(INDEX($V$2:$V$1001,MATCH(ROWS($U$2:U171),$U$2:$U$1001,0),1)&gt;=100000,INDEX($AB$1005:$AQ$1005,1,MATCH(COLUMNS($AB$1006:AI1006),$AB$1006:$AQ$1006,0))&gt;=100000), " ",IF(INDEX($AB$2:$AQ$1001,MATCH(ROWS($U$2:U171),$U$2:$U$1001,0),MATCH(COLUMNS($AB$1006:AI1006),$AB$1006:$AQ$1006,0)), HYPERLINK("#",""), HYPERLINK(CONCATENATE("#metadata!", ADDRESS(INDEX($W$2:$W$1001,MATCH(ROWS($U$2:U171),$U$2:$U$1001,0),0), INDEX($AB$1004:$AQ$1004,1,MATCH(COLUMNS($AB$1006:AI1006),$AB$1006:$AQ$1006,0)))),"Fix")))</f>
        <v>0</v>
      </c>
      <c r="J171" s="4">
        <f>IF(OR(INDEX($V$2:$V$1001,MATCH(ROWS($U$2:U171),$U$2:$U$1001,0),1)&gt;=100000,INDEX($AB$1005:$AQ$1005,1,MATCH(COLUMNS($AB$1006:AJ1006),$AB$1006:$AQ$1006,0))&gt;=100000), " ",IF(INDEX($AB$2:$AQ$1001,MATCH(ROWS($U$2:U171),$U$2:$U$1001,0),MATCH(COLUMNS($AB$1006:AJ1006),$AB$1006:$AQ$1006,0)), HYPERLINK("#",""), HYPERLINK(CONCATENATE("#metadata!", ADDRESS(INDEX($W$2:$W$1001,MATCH(ROWS($U$2:U171),$U$2:$U$1001,0),0), INDEX($AB$1004:$AQ$1004,1,MATCH(COLUMNS($AB$1006:AJ1006),$AB$1006:$AQ$1006,0)))),"Fix")))</f>
        <v>0</v>
      </c>
      <c r="K171" s="4">
        <f>IF(OR(INDEX($V$2:$V$1001,MATCH(ROWS($U$2:U171),$U$2:$U$1001,0),1)&gt;=100000,INDEX($AB$1005:$AQ$1005,1,MATCH(COLUMNS($AB$1006:AK1006),$AB$1006:$AQ$1006,0))&gt;=100000), " ",IF(INDEX($AB$2:$AQ$1001,MATCH(ROWS($U$2:U171),$U$2:$U$1001,0),MATCH(COLUMNS($AB$1006:AK1006),$AB$1006:$AQ$1006,0)), HYPERLINK("#",""), HYPERLINK(CONCATENATE("#metadata!", ADDRESS(INDEX($W$2:$W$1001,MATCH(ROWS($U$2:U171),$U$2:$U$1001,0),0), INDEX($AB$1004:$AQ$1004,1,MATCH(COLUMNS($AB$1006:AK1006),$AB$1006:$AQ$1006,0)))),"Fix")))</f>
        <v>0</v>
      </c>
      <c r="L171" s="4">
        <f>IF(OR(INDEX($V$2:$V$1001,MATCH(ROWS($U$2:U171),$U$2:$U$1001,0),1)&gt;=100000,INDEX($AB$1005:$AQ$1005,1,MATCH(COLUMNS($AB$1006:AL1006),$AB$1006:$AQ$1006,0))&gt;=100000), " ",IF(INDEX($AB$2:$AQ$1001,MATCH(ROWS($U$2:U171),$U$2:$U$1001,0),MATCH(COLUMNS($AB$1006:AL1006),$AB$1006:$AQ$1006,0)), HYPERLINK("#",""), HYPERLINK(CONCATENATE("#metadata!", ADDRESS(INDEX($W$2:$W$1001,MATCH(ROWS($U$2:U171),$U$2:$U$1001,0),0), INDEX($AB$1004:$AQ$1004,1,MATCH(COLUMNS($AB$1006:AL1006),$AB$1006:$AQ$1006,0)))),"Fix")))</f>
        <v>0</v>
      </c>
      <c r="M171" s="4">
        <f>IF(OR(INDEX($V$2:$V$1001,MATCH(ROWS($U$2:U171),$U$2:$U$1001,0),1)&gt;=100000,INDEX($AB$1005:$AQ$1005,1,MATCH(COLUMNS($AB$1006:AM1006),$AB$1006:$AQ$1006,0))&gt;=100000), " ",IF(INDEX($AB$2:$AQ$1001,MATCH(ROWS($U$2:U171),$U$2:$U$1001,0),MATCH(COLUMNS($AB$1006:AM1006),$AB$1006:$AQ$1006,0)), HYPERLINK("#",""), HYPERLINK(CONCATENATE("#metadata!", ADDRESS(INDEX($W$2:$W$1001,MATCH(ROWS($U$2:U171),$U$2:$U$1001,0),0), INDEX($AB$1004:$AQ$1004,1,MATCH(COLUMNS($AB$1006:AM1006),$AB$1006:$AQ$1006,0)))),"Fix")))</f>
        <v>0</v>
      </c>
      <c r="N171" s="4">
        <f>IF(OR(INDEX($V$2:$V$1001,MATCH(ROWS($U$2:U171),$U$2:$U$1001,0),1)&gt;=100000,INDEX($AB$1005:$AQ$1005,1,MATCH(COLUMNS($AB$1006:AN1006),$AB$1006:$AQ$1006,0))&gt;=100000), " ",IF(INDEX($AB$2:$AQ$1001,MATCH(ROWS($U$2:U171),$U$2:$U$1001,0),MATCH(COLUMNS($AB$1006:AN1006),$AB$1006:$AQ$1006,0)), HYPERLINK("#",""), HYPERLINK(CONCATENATE("#metadata!", ADDRESS(INDEX($W$2:$W$1001,MATCH(ROWS($U$2:U171),$U$2:$U$1001,0),0), INDEX($AB$1004:$AQ$1004,1,MATCH(COLUMNS($AB$1006:AN1006),$AB$1006:$AQ$1006,0)))),"Fix")))</f>
        <v>0</v>
      </c>
      <c r="O171" s="4">
        <f>IF(OR(INDEX($V$2:$V$1001,MATCH(ROWS($U$2:U171),$U$2:$U$1001,0),1)&gt;=100000,INDEX($AB$1005:$AQ$1005,1,MATCH(COLUMNS($AB$1006:AO1006),$AB$1006:$AQ$1006,0))&gt;=100000), " ",IF(INDEX($AB$2:$AQ$1001,MATCH(ROWS($U$2:U171),$U$2:$U$1001,0),MATCH(COLUMNS($AB$1006:AO1006),$AB$1006:$AQ$1006,0)), HYPERLINK("#",""), HYPERLINK(CONCATENATE("#metadata!", ADDRESS(INDEX($W$2:$W$1001,MATCH(ROWS($U$2:U171),$U$2:$U$1001,0),0), INDEX($AB$1004:$AQ$1004,1,MATCH(COLUMNS($AB$1006:AO1006),$AB$1006:$AQ$1006,0)))),"Fix")))</f>
        <v>0</v>
      </c>
      <c r="P171" s="4">
        <f>IF(OR(INDEX($V$2:$V$1001,MATCH(ROWS($U$2:U171),$U$2:$U$1001,0),1)&gt;=100000,INDEX($AB$1005:$AQ$1005,1,MATCH(COLUMNS($AB$1006:AP1006),$AB$1006:$AQ$1006,0))&gt;=100000), " ",IF(INDEX($AB$2:$AQ$1001,MATCH(ROWS($U$2:U171),$U$2:$U$1001,0),MATCH(COLUMNS($AB$1006:AP1006),$AB$1006:$AQ$1006,0)), HYPERLINK("#",""), HYPERLINK(CONCATENATE("#metadata!", ADDRESS(INDEX($W$2:$W$1001,MATCH(ROWS($U$2:U171),$U$2:$U$1001,0),0), INDEX($AB$1004:$AQ$1004,1,MATCH(COLUMNS($AB$1006:AP1006),$AB$1006:$AQ$1006,0)))),"Fix")))</f>
        <v>0</v>
      </c>
      <c r="Q171" s="4">
        <f>IF(OR(INDEX($V$2:$V$1001,MATCH(ROWS($U$2:U171),$U$2:$U$1001,0),1)&gt;=100000,INDEX($AB$1005:$AQ$1005,1,MATCH(COLUMNS($AB$1006:AQ1006),$AB$1006:$AQ$1006,0))&gt;=100000), " ",IF(INDEX($AB$2:$AQ$1001,MATCH(ROWS($U$2:U171),$U$2:$U$1001,0),MATCH(COLUMNS($AB$1006:AQ1006),$AB$1006:$AQ$1006,0)), HYPERLINK("#",""), HYPERLINK(CONCATENATE("#metadata!", ADDRESS(INDEX($W$2:$W$1001,MATCH(ROWS($U$2:U171),$U$2:$U$1001,0),0), INDEX($AB$1004:$AQ$1004,1,MATCH(COLUMNS($AB$1006:AQ1006),$AB$1006:$AQ$1006,0)))),"Fix")))</f>
        <v>0</v>
      </c>
      <c r="U171">
        <v>0</v>
      </c>
      <c r="V171">
        <v>0</v>
      </c>
      <c r="W171">
        <v>0</v>
      </c>
      <c r="X171">
        <f>IF(Y171,TRUE,AND(AB171:AQ171))</f>
        <v>0</v>
      </c>
      <c r="Y171">
        <f>COUNTBLANK(metadata!B171:Q171)=COLUMNS(metadata!B171:Q171)</f>
        <v>0</v>
      </c>
      <c r="Z171">
        <v>0</v>
      </c>
      <c r="AB171">
        <f>AND(IF(metadata!B171="",FALSE,TRUE),COUNTIF(metadata!B:B, metadata!B171) = 1,NOT(ISERROR(SUMPRODUCT(SEARCH(MID(metadata!B171,ROW(INDIRECT("1:"&amp;LEN(metadata!B171))), 1),"0123456789abcdefghijklmnopqrstuvwxyzABCDEFGHIJKLMNOPQRSTUVWXYZ.")))))</f>
        <v>0</v>
      </c>
      <c r="AC171">
        <f>OR(AND(IF(metadata!C171="",FALSE,TRUE),OR(exact(metadata!C171,"missing: not collected"),exact(metadata!C171,"missing: not provided"),exact(metadata!C171,"missing: restricted access"))),AND(IF(metadata!C171="",FALSE,TRUE),AND(AND(IFERROR(INT(LEFT(metadata!C171,4))&gt;1900,FALSE),IFERROR(INT(LEFT(metadata!C171,4))&lt;=YEAR(NOW()),FALSE)), OR(MID(metadata!C171,5,1)="", AND(AND(MID(metadata!C171,5,1)="-",IFERROR(INT(MID(metadata!C171,6,1))&gt;=0,FALSE),IFERROR(INT(MID(metadata!C171,6,1))&lt;=1,FALSE),NOT(MID(metadata!C171,7,1)=""),IFERROR(INT(MID(metadata!C171,6,2))&gt;=1,FALSE),IFERROR(INT(MID(metadata!C171,6,2))&lt;=12,FALSE)), OR(MID(metadata!C171,8,1)="", AND(AND(MID(metadata!C171,8,1)="-",IFERROR(INT(MID(metadata!C171,9,1))&gt;=0,FALSE),IFERROR(INT(MID(metadata!C171,9,1))&lt;=3,FALSE),NOT(MID(metadata!C171,10,1)=""),IFERROR(INT(MID(metadata!C171,9,2))&gt;=1,FALSE),IFERROR(INT(MID(metadata!C171,9,2))&lt;=31,FALSE)), OR(MID(metadata!C171,11,1)="", AND(AND(MID(metadata!C171,11,1)=" ",IFERROR(INT(MID(metadata!C171,12,1))&gt;=0,FALSE),IFERROR(INT(MID(metadata!C171,12,1))&lt;=2,FALSE),NOT(MID(metadata!C171,13,1)=""),IFERROR(INT(MID(metadata!C171,12,2))&gt;=0,FALSE),IFERROR(INT(MID(metadata!C171,12,2))&lt;=23,FALSE)), OR(MID(metadata!C171,14,1)="", AND(AND(MID(metadata!C171,14,1)=":",IFERROR(INT(MID(metadata!C171,15,1))&gt;=0,FALSE),IFERROR(INT(MID(metadata!C171,15,1))&lt;=5,FALSE),NOT(MID(metadata!C171,16,1)=""),IFERROR(INT(MID(metadata!C171,15,2))&gt;=0,FALSE),IFERROR(INT(MID(metadata!C171,15,2))&lt;=59,FALSE)), OR(MID(metadata!C171,17,1)="", AND(AND(MID(metadata!C171,17,1)=":",IFERROR(INT(MID(metadata!C171,18,1))&gt;=0,FALSE),IFERROR(INT(MID(metadata!C171,18,1))&lt;=5,FALSE),NOT(MID(metadata!C171,19,1)=""),IFERROR(INT(MID(metadata!C171,18,2))&gt;=0,FALSE),IFERROR(INT(MID(metadata!C171,18,2))&lt;=59,FALSE)), LEN(metadata!C171)&lt;=19)))))))))))))</f>
        <v>0</v>
      </c>
      <c r="AD171">
        <f>IF(metadata!D171="",FALSE,TRUE)</f>
        <v>0</v>
      </c>
      <c r="AE171">
        <f>OR(AND(IF(metadata!E171="",FALSE,TRUE),OR(exact(metadata!E171,"missing: not collected"),exact(metadata!E171,"missing: not provided"))),AND(IF(metadata!E171="",FALSE,TRUE),OR(exact(metadata!E171,"TRUE"),exact(metadata!E171,"FALSE"))))</f>
        <v>0</v>
      </c>
      <c r="AF171">
        <f>IF(metadata!F171="",FALSE,TRUE)</f>
        <v>0</v>
      </c>
      <c r="AG171">
        <f>IF(metadata!G171="",FALSE,TRUE)</f>
        <v>0</v>
      </c>
      <c r="AH171">
        <f>IF(metadata!H171="",FALSE,TRUE)</f>
        <v>0</v>
      </c>
      <c r="AI171">
        <f>OR(AND(IF(metadata!I171="",FALSE,TRUE),OR(exact(metadata!I171,"missing: not collected"),exact(metadata!I171,"missing: not provided"),exact(metadata!I171,"missing: restricted access"))),AND(IF(metadata!I171="",FALSE,TRUE),OR(exact(metadata!I171,"air"),exact(metadata!I171,"built environment"),exact(metadata!I171,"host-associated"),exact(metadata!I171,"human-associated"),exact(metadata!I171,"human-skin"),exact(metadata!I171,"human-oral"),exact(metadata!I171,"human-gut"),exact(metadata!I171,"human-vaginal"),exact(metadata!I171,"microbial mat/biofilm"),exact(metadata!I171,"misc environment"),exact(metadata!I171,"plant-associated"),exact(metadata!I171,"sediment"),exact(metadata!I171,"soil"),exact(metadata!I171,"wastewater/sludge"),exact(metadata!I171,"water"))))</f>
        <v>0</v>
      </c>
      <c r="AJ171">
        <f>IF(metadata!J171="",FALSE,TRUE)</f>
        <v>0</v>
      </c>
      <c r="AK171">
        <f>OR(AND(IF(metadata!K171="",FALSE,TRUE),OR(exact(metadata!K171,"missing: not collected"),exact(metadata!K171,"missing: not provided"),exact(metadata!K171,"missing: restricted access"))),AND(IF(metadata!K171="",FALSE,ISNUMBER(VALUE(metadata!K171))),metadata!K171&gt;=-90.00,metadata!K171&lt;=90.00))</f>
        <v>0</v>
      </c>
      <c r="AL171">
        <f>OR(AND(IF(metadata!L171="",FALSE,TRUE),OR(exact(metadata!L171,"missing: not collected"),exact(metadata!L171,"missing: not provided"),exact(metadata!L171,"missing: restricted access"))),AND(IF(metadata!L171="",FALSE,ISNUMBER(VALUE(metadata!L171))),metadata!L171&gt;=-180.00,metadata!L171&lt;=180.00))</f>
        <v>0</v>
      </c>
      <c r="AM171">
        <f>IF(metadata!M171="",FALSE,TRUE)</f>
        <v>0</v>
      </c>
      <c r="AN171">
        <f>OR(AND(IF(metadata!N171="",FALSE,TRUE),OR(exact(metadata!N171,"missing: not collected"),exact(metadata!N171,"missing: not provided"),exact(metadata!N171,"missing: restricted access"))),AND(IF(metadata!N171="",FALSE,TRUE),OR(exact(metadata!N171,"TRUE"),exact(metadata!N171,"FALSE"))))</f>
        <v>0</v>
      </c>
      <c r="AO171">
        <f>IF(metadata!O171="",FALSE,TRUE)</f>
        <v>0</v>
      </c>
      <c r="AP171">
        <f>OR(AND(IF(metadata!P171="",FALSE,TRUE),OR(exact(metadata!P171,"missing: not collected"),exact(metadata!P171,"missing: not provided"))),AND(IF(metadata!P171="",FALSE,IF(ISERROR(INT(metadata!P171)),FALSE,INT(metadata!P171)=metadata!P171)),metadata!P171&gt;0))</f>
        <v>0</v>
      </c>
      <c r="AQ171">
        <f>IF(metadata!Q171="",FALSE,TRUE)</f>
        <v>0</v>
      </c>
    </row>
    <row r="172" spans="1:43">
      <c r="A172" s="5">
        <f>IF(B172=" "," ",HYPERLINK(CONCATENATE("#metadata!",ADDRESS(INDEX($W$2:$W$1001,MATCH(ROWS($U$2:U172),$U$2:$U$1001,0),0),1)),INDEX($Z$2:$Z$1001,MATCH(ROWS($U$2:U172),$U$2:$U$1001,0),0)))</f>
        <v>0</v>
      </c>
      <c r="B172" s="4">
        <f>IF(OR(INDEX($V$2:$V$1001,MATCH(ROWS($U$2:U172),$U$2:$U$1001,0),1)&gt;=100000,INDEX($AB$1005:$AQ$1005,1,MATCH(COLUMNS($AB$1006:AB1006),$AB$1006:$AQ$1006,0))&gt;=100000), " ",IF(INDEX($AB$2:$AQ$1001,MATCH(ROWS($U$2:U172),$U$2:$U$1001,0),MATCH(COLUMNS($AB$1006:AB1006),$AB$1006:$AQ$1006,0)), HYPERLINK("#",""), HYPERLINK(CONCATENATE("#metadata!", ADDRESS(INDEX($W$2:$W$1001,MATCH(ROWS($U$2:U172),$U$2:$U$1001,0),0), INDEX($AB$1004:$AQ$1004,1,MATCH(COLUMNS($AB$1006:AB1006),$AB$1006:$AQ$1006,0)))),"Fix")))</f>
        <v>0</v>
      </c>
      <c r="C172" s="4">
        <f>IF(OR(INDEX($V$2:$V$1001,MATCH(ROWS($U$2:U172),$U$2:$U$1001,0),1)&gt;=100000,INDEX($AB$1005:$AQ$1005,1,MATCH(COLUMNS($AB$1006:AC1006),$AB$1006:$AQ$1006,0))&gt;=100000), " ",IF(INDEX($AB$2:$AQ$1001,MATCH(ROWS($U$2:U172),$U$2:$U$1001,0),MATCH(COLUMNS($AB$1006:AC1006),$AB$1006:$AQ$1006,0)), HYPERLINK("#",""), HYPERLINK(CONCATENATE("#metadata!", ADDRESS(INDEX($W$2:$W$1001,MATCH(ROWS($U$2:U172),$U$2:$U$1001,0),0), INDEX($AB$1004:$AQ$1004,1,MATCH(COLUMNS($AB$1006:AC1006),$AB$1006:$AQ$1006,0)))),"Fix")))</f>
        <v>0</v>
      </c>
      <c r="D172" s="4">
        <f>IF(OR(INDEX($V$2:$V$1001,MATCH(ROWS($U$2:U172),$U$2:$U$1001,0),1)&gt;=100000,INDEX($AB$1005:$AQ$1005,1,MATCH(COLUMNS($AB$1006:AD1006),$AB$1006:$AQ$1006,0))&gt;=100000), " ",IF(INDEX($AB$2:$AQ$1001,MATCH(ROWS($U$2:U172),$U$2:$U$1001,0),MATCH(COLUMNS($AB$1006:AD1006),$AB$1006:$AQ$1006,0)), HYPERLINK("#",""), HYPERLINK(CONCATENATE("#metadata!", ADDRESS(INDEX($W$2:$W$1001,MATCH(ROWS($U$2:U172),$U$2:$U$1001,0),0), INDEX($AB$1004:$AQ$1004,1,MATCH(COLUMNS($AB$1006:AD1006),$AB$1006:$AQ$1006,0)))),"Fix")))</f>
        <v>0</v>
      </c>
      <c r="E172" s="4">
        <f>IF(OR(INDEX($V$2:$V$1001,MATCH(ROWS($U$2:U172),$U$2:$U$1001,0),1)&gt;=100000,INDEX($AB$1005:$AQ$1005,1,MATCH(COLUMNS($AB$1006:AE1006),$AB$1006:$AQ$1006,0))&gt;=100000), " ",IF(INDEX($AB$2:$AQ$1001,MATCH(ROWS($U$2:U172),$U$2:$U$1001,0),MATCH(COLUMNS($AB$1006:AE1006),$AB$1006:$AQ$1006,0)), HYPERLINK("#",""), HYPERLINK(CONCATENATE("#metadata!", ADDRESS(INDEX($W$2:$W$1001,MATCH(ROWS($U$2:U172),$U$2:$U$1001,0),0), INDEX($AB$1004:$AQ$1004,1,MATCH(COLUMNS($AB$1006:AE1006),$AB$1006:$AQ$1006,0)))),"Fix")))</f>
        <v>0</v>
      </c>
      <c r="F172" s="4">
        <f>IF(OR(INDEX($V$2:$V$1001,MATCH(ROWS($U$2:U172),$U$2:$U$1001,0),1)&gt;=100000,INDEX($AB$1005:$AQ$1005,1,MATCH(COLUMNS($AB$1006:AF1006),$AB$1006:$AQ$1006,0))&gt;=100000), " ",IF(INDEX($AB$2:$AQ$1001,MATCH(ROWS($U$2:U172),$U$2:$U$1001,0),MATCH(COLUMNS($AB$1006:AF1006),$AB$1006:$AQ$1006,0)), HYPERLINK("#",""), HYPERLINK(CONCATENATE("#metadata!", ADDRESS(INDEX($W$2:$W$1001,MATCH(ROWS($U$2:U172),$U$2:$U$1001,0),0), INDEX($AB$1004:$AQ$1004,1,MATCH(COLUMNS($AB$1006:AF1006),$AB$1006:$AQ$1006,0)))),"Fix")))</f>
        <v>0</v>
      </c>
      <c r="G172" s="4">
        <f>IF(OR(INDEX($V$2:$V$1001,MATCH(ROWS($U$2:U172),$U$2:$U$1001,0),1)&gt;=100000,INDEX($AB$1005:$AQ$1005,1,MATCH(COLUMNS($AB$1006:AG1006),$AB$1006:$AQ$1006,0))&gt;=100000), " ",IF(INDEX($AB$2:$AQ$1001,MATCH(ROWS($U$2:U172),$U$2:$U$1001,0),MATCH(COLUMNS($AB$1006:AG1006),$AB$1006:$AQ$1006,0)), HYPERLINK("#",""), HYPERLINK(CONCATENATE("#metadata!", ADDRESS(INDEX($W$2:$W$1001,MATCH(ROWS($U$2:U172),$U$2:$U$1001,0),0), INDEX($AB$1004:$AQ$1004,1,MATCH(COLUMNS($AB$1006:AG1006),$AB$1006:$AQ$1006,0)))),"Fix")))</f>
        <v>0</v>
      </c>
      <c r="H172" s="4">
        <f>IF(OR(INDEX($V$2:$V$1001,MATCH(ROWS($U$2:U172),$U$2:$U$1001,0),1)&gt;=100000,INDEX($AB$1005:$AQ$1005,1,MATCH(COLUMNS($AB$1006:AH1006),$AB$1006:$AQ$1006,0))&gt;=100000), " ",IF(INDEX($AB$2:$AQ$1001,MATCH(ROWS($U$2:U172),$U$2:$U$1001,0),MATCH(COLUMNS($AB$1006:AH1006),$AB$1006:$AQ$1006,0)), HYPERLINK("#",""), HYPERLINK(CONCATENATE("#metadata!", ADDRESS(INDEX($W$2:$W$1001,MATCH(ROWS($U$2:U172),$U$2:$U$1001,0),0), INDEX($AB$1004:$AQ$1004,1,MATCH(COLUMNS($AB$1006:AH1006),$AB$1006:$AQ$1006,0)))),"Fix")))</f>
        <v>0</v>
      </c>
      <c r="I172" s="4">
        <f>IF(OR(INDEX($V$2:$V$1001,MATCH(ROWS($U$2:U172),$U$2:$U$1001,0),1)&gt;=100000,INDEX($AB$1005:$AQ$1005,1,MATCH(COLUMNS($AB$1006:AI1006),$AB$1006:$AQ$1006,0))&gt;=100000), " ",IF(INDEX($AB$2:$AQ$1001,MATCH(ROWS($U$2:U172),$U$2:$U$1001,0),MATCH(COLUMNS($AB$1006:AI1006),$AB$1006:$AQ$1006,0)), HYPERLINK("#",""), HYPERLINK(CONCATENATE("#metadata!", ADDRESS(INDEX($W$2:$W$1001,MATCH(ROWS($U$2:U172),$U$2:$U$1001,0),0), INDEX($AB$1004:$AQ$1004,1,MATCH(COLUMNS($AB$1006:AI1006),$AB$1006:$AQ$1006,0)))),"Fix")))</f>
        <v>0</v>
      </c>
      <c r="J172" s="4">
        <f>IF(OR(INDEX($V$2:$V$1001,MATCH(ROWS($U$2:U172),$U$2:$U$1001,0),1)&gt;=100000,INDEX($AB$1005:$AQ$1005,1,MATCH(COLUMNS($AB$1006:AJ1006),$AB$1006:$AQ$1006,0))&gt;=100000), " ",IF(INDEX($AB$2:$AQ$1001,MATCH(ROWS($U$2:U172),$U$2:$U$1001,0),MATCH(COLUMNS($AB$1006:AJ1006),$AB$1006:$AQ$1006,0)), HYPERLINK("#",""), HYPERLINK(CONCATENATE("#metadata!", ADDRESS(INDEX($W$2:$W$1001,MATCH(ROWS($U$2:U172),$U$2:$U$1001,0),0), INDEX($AB$1004:$AQ$1004,1,MATCH(COLUMNS($AB$1006:AJ1006),$AB$1006:$AQ$1006,0)))),"Fix")))</f>
        <v>0</v>
      </c>
      <c r="K172" s="4">
        <f>IF(OR(INDEX($V$2:$V$1001,MATCH(ROWS($U$2:U172),$U$2:$U$1001,0),1)&gt;=100000,INDEX($AB$1005:$AQ$1005,1,MATCH(COLUMNS($AB$1006:AK1006),$AB$1006:$AQ$1006,0))&gt;=100000), " ",IF(INDEX($AB$2:$AQ$1001,MATCH(ROWS($U$2:U172),$U$2:$U$1001,0),MATCH(COLUMNS($AB$1006:AK1006),$AB$1006:$AQ$1006,0)), HYPERLINK("#",""), HYPERLINK(CONCATENATE("#metadata!", ADDRESS(INDEX($W$2:$W$1001,MATCH(ROWS($U$2:U172),$U$2:$U$1001,0),0), INDEX($AB$1004:$AQ$1004,1,MATCH(COLUMNS($AB$1006:AK1006),$AB$1006:$AQ$1006,0)))),"Fix")))</f>
        <v>0</v>
      </c>
      <c r="L172" s="4">
        <f>IF(OR(INDEX($V$2:$V$1001,MATCH(ROWS($U$2:U172),$U$2:$U$1001,0),1)&gt;=100000,INDEX($AB$1005:$AQ$1005,1,MATCH(COLUMNS($AB$1006:AL1006),$AB$1006:$AQ$1006,0))&gt;=100000), " ",IF(INDEX($AB$2:$AQ$1001,MATCH(ROWS($U$2:U172),$U$2:$U$1001,0),MATCH(COLUMNS($AB$1006:AL1006),$AB$1006:$AQ$1006,0)), HYPERLINK("#",""), HYPERLINK(CONCATENATE("#metadata!", ADDRESS(INDEX($W$2:$W$1001,MATCH(ROWS($U$2:U172),$U$2:$U$1001,0),0), INDEX($AB$1004:$AQ$1004,1,MATCH(COLUMNS($AB$1006:AL1006),$AB$1006:$AQ$1006,0)))),"Fix")))</f>
        <v>0</v>
      </c>
      <c r="M172" s="4">
        <f>IF(OR(INDEX($V$2:$V$1001,MATCH(ROWS($U$2:U172),$U$2:$U$1001,0),1)&gt;=100000,INDEX($AB$1005:$AQ$1005,1,MATCH(COLUMNS($AB$1006:AM1006),$AB$1006:$AQ$1006,0))&gt;=100000), " ",IF(INDEX($AB$2:$AQ$1001,MATCH(ROWS($U$2:U172),$U$2:$U$1001,0),MATCH(COLUMNS($AB$1006:AM1006),$AB$1006:$AQ$1006,0)), HYPERLINK("#",""), HYPERLINK(CONCATENATE("#metadata!", ADDRESS(INDEX($W$2:$W$1001,MATCH(ROWS($U$2:U172),$U$2:$U$1001,0),0), INDEX($AB$1004:$AQ$1004,1,MATCH(COLUMNS($AB$1006:AM1006),$AB$1006:$AQ$1006,0)))),"Fix")))</f>
        <v>0</v>
      </c>
      <c r="N172" s="4">
        <f>IF(OR(INDEX($V$2:$V$1001,MATCH(ROWS($U$2:U172),$U$2:$U$1001,0),1)&gt;=100000,INDEX($AB$1005:$AQ$1005,1,MATCH(COLUMNS($AB$1006:AN1006),$AB$1006:$AQ$1006,0))&gt;=100000), " ",IF(INDEX($AB$2:$AQ$1001,MATCH(ROWS($U$2:U172),$U$2:$U$1001,0),MATCH(COLUMNS($AB$1006:AN1006),$AB$1006:$AQ$1006,0)), HYPERLINK("#",""), HYPERLINK(CONCATENATE("#metadata!", ADDRESS(INDEX($W$2:$W$1001,MATCH(ROWS($U$2:U172),$U$2:$U$1001,0),0), INDEX($AB$1004:$AQ$1004,1,MATCH(COLUMNS($AB$1006:AN1006),$AB$1006:$AQ$1006,0)))),"Fix")))</f>
        <v>0</v>
      </c>
      <c r="O172" s="4">
        <f>IF(OR(INDEX($V$2:$V$1001,MATCH(ROWS($U$2:U172),$U$2:$U$1001,0),1)&gt;=100000,INDEX($AB$1005:$AQ$1005,1,MATCH(COLUMNS($AB$1006:AO1006),$AB$1006:$AQ$1006,0))&gt;=100000), " ",IF(INDEX($AB$2:$AQ$1001,MATCH(ROWS($U$2:U172),$U$2:$U$1001,0),MATCH(COLUMNS($AB$1006:AO1006),$AB$1006:$AQ$1006,0)), HYPERLINK("#",""), HYPERLINK(CONCATENATE("#metadata!", ADDRESS(INDEX($W$2:$W$1001,MATCH(ROWS($U$2:U172),$U$2:$U$1001,0),0), INDEX($AB$1004:$AQ$1004,1,MATCH(COLUMNS($AB$1006:AO1006),$AB$1006:$AQ$1006,0)))),"Fix")))</f>
        <v>0</v>
      </c>
      <c r="P172" s="4">
        <f>IF(OR(INDEX($V$2:$V$1001,MATCH(ROWS($U$2:U172),$U$2:$U$1001,0),1)&gt;=100000,INDEX($AB$1005:$AQ$1005,1,MATCH(COLUMNS($AB$1006:AP1006),$AB$1006:$AQ$1006,0))&gt;=100000), " ",IF(INDEX($AB$2:$AQ$1001,MATCH(ROWS($U$2:U172),$U$2:$U$1001,0),MATCH(COLUMNS($AB$1006:AP1006),$AB$1006:$AQ$1006,0)), HYPERLINK("#",""), HYPERLINK(CONCATENATE("#metadata!", ADDRESS(INDEX($W$2:$W$1001,MATCH(ROWS($U$2:U172),$U$2:$U$1001,0),0), INDEX($AB$1004:$AQ$1004,1,MATCH(COLUMNS($AB$1006:AP1006),$AB$1006:$AQ$1006,0)))),"Fix")))</f>
        <v>0</v>
      </c>
      <c r="Q172" s="4">
        <f>IF(OR(INDEX($V$2:$V$1001,MATCH(ROWS($U$2:U172),$U$2:$U$1001,0),1)&gt;=100000,INDEX($AB$1005:$AQ$1005,1,MATCH(COLUMNS($AB$1006:AQ1006),$AB$1006:$AQ$1006,0))&gt;=100000), " ",IF(INDEX($AB$2:$AQ$1001,MATCH(ROWS($U$2:U172),$U$2:$U$1001,0),MATCH(COLUMNS($AB$1006:AQ1006),$AB$1006:$AQ$1006,0)), HYPERLINK("#",""), HYPERLINK(CONCATENATE("#metadata!", ADDRESS(INDEX($W$2:$W$1001,MATCH(ROWS($U$2:U172),$U$2:$U$1001,0),0), INDEX($AB$1004:$AQ$1004,1,MATCH(COLUMNS($AB$1006:AQ1006),$AB$1006:$AQ$1006,0)))),"Fix")))</f>
        <v>0</v>
      </c>
      <c r="U172">
        <v>0</v>
      </c>
      <c r="V172">
        <v>0</v>
      </c>
      <c r="W172">
        <v>0</v>
      </c>
      <c r="X172">
        <f>IF(Y172,TRUE,AND(AB172:AQ172))</f>
        <v>0</v>
      </c>
      <c r="Y172">
        <f>COUNTBLANK(metadata!B172:Q172)=COLUMNS(metadata!B172:Q172)</f>
        <v>0</v>
      </c>
      <c r="Z172">
        <v>0</v>
      </c>
      <c r="AB172">
        <f>AND(IF(metadata!B172="",FALSE,TRUE),COUNTIF(metadata!B:B, metadata!B172) = 1,NOT(ISERROR(SUMPRODUCT(SEARCH(MID(metadata!B172,ROW(INDIRECT("1:"&amp;LEN(metadata!B172))), 1),"0123456789abcdefghijklmnopqrstuvwxyzABCDEFGHIJKLMNOPQRSTUVWXYZ.")))))</f>
        <v>0</v>
      </c>
      <c r="AC172">
        <f>OR(AND(IF(metadata!C172="",FALSE,TRUE),OR(exact(metadata!C172,"missing: not collected"),exact(metadata!C172,"missing: not provided"),exact(metadata!C172,"missing: restricted access"))),AND(IF(metadata!C172="",FALSE,TRUE),AND(AND(IFERROR(INT(LEFT(metadata!C172,4))&gt;1900,FALSE),IFERROR(INT(LEFT(metadata!C172,4))&lt;=YEAR(NOW()),FALSE)), OR(MID(metadata!C172,5,1)="", AND(AND(MID(metadata!C172,5,1)="-",IFERROR(INT(MID(metadata!C172,6,1))&gt;=0,FALSE),IFERROR(INT(MID(metadata!C172,6,1))&lt;=1,FALSE),NOT(MID(metadata!C172,7,1)=""),IFERROR(INT(MID(metadata!C172,6,2))&gt;=1,FALSE),IFERROR(INT(MID(metadata!C172,6,2))&lt;=12,FALSE)), OR(MID(metadata!C172,8,1)="", AND(AND(MID(metadata!C172,8,1)="-",IFERROR(INT(MID(metadata!C172,9,1))&gt;=0,FALSE),IFERROR(INT(MID(metadata!C172,9,1))&lt;=3,FALSE),NOT(MID(metadata!C172,10,1)=""),IFERROR(INT(MID(metadata!C172,9,2))&gt;=1,FALSE),IFERROR(INT(MID(metadata!C172,9,2))&lt;=31,FALSE)), OR(MID(metadata!C172,11,1)="", AND(AND(MID(metadata!C172,11,1)=" ",IFERROR(INT(MID(metadata!C172,12,1))&gt;=0,FALSE),IFERROR(INT(MID(metadata!C172,12,1))&lt;=2,FALSE),NOT(MID(metadata!C172,13,1)=""),IFERROR(INT(MID(metadata!C172,12,2))&gt;=0,FALSE),IFERROR(INT(MID(metadata!C172,12,2))&lt;=23,FALSE)), OR(MID(metadata!C172,14,1)="", AND(AND(MID(metadata!C172,14,1)=":",IFERROR(INT(MID(metadata!C172,15,1))&gt;=0,FALSE),IFERROR(INT(MID(metadata!C172,15,1))&lt;=5,FALSE),NOT(MID(metadata!C172,16,1)=""),IFERROR(INT(MID(metadata!C172,15,2))&gt;=0,FALSE),IFERROR(INT(MID(metadata!C172,15,2))&lt;=59,FALSE)), OR(MID(metadata!C172,17,1)="", AND(AND(MID(metadata!C172,17,1)=":",IFERROR(INT(MID(metadata!C172,18,1))&gt;=0,FALSE),IFERROR(INT(MID(metadata!C172,18,1))&lt;=5,FALSE),NOT(MID(metadata!C172,19,1)=""),IFERROR(INT(MID(metadata!C172,18,2))&gt;=0,FALSE),IFERROR(INT(MID(metadata!C172,18,2))&lt;=59,FALSE)), LEN(metadata!C172)&lt;=19)))))))))))))</f>
        <v>0</v>
      </c>
      <c r="AD172">
        <f>IF(metadata!D172="",FALSE,TRUE)</f>
        <v>0</v>
      </c>
      <c r="AE172">
        <f>OR(AND(IF(metadata!E172="",FALSE,TRUE),OR(exact(metadata!E172,"missing: not collected"),exact(metadata!E172,"missing: not provided"))),AND(IF(metadata!E172="",FALSE,TRUE),OR(exact(metadata!E172,"TRUE"),exact(metadata!E172,"FALSE"))))</f>
        <v>0</v>
      </c>
      <c r="AF172">
        <f>IF(metadata!F172="",FALSE,TRUE)</f>
        <v>0</v>
      </c>
      <c r="AG172">
        <f>IF(metadata!G172="",FALSE,TRUE)</f>
        <v>0</v>
      </c>
      <c r="AH172">
        <f>IF(metadata!H172="",FALSE,TRUE)</f>
        <v>0</v>
      </c>
      <c r="AI172">
        <f>OR(AND(IF(metadata!I172="",FALSE,TRUE),OR(exact(metadata!I172,"missing: not collected"),exact(metadata!I172,"missing: not provided"),exact(metadata!I172,"missing: restricted access"))),AND(IF(metadata!I172="",FALSE,TRUE),OR(exact(metadata!I172,"air"),exact(metadata!I172,"built environment"),exact(metadata!I172,"host-associated"),exact(metadata!I172,"human-associated"),exact(metadata!I172,"human-skin"),exact(metadata!I172,"human-oral"),exact(metadata!I172,"human-gut"),exact(metadata!I172,"human-vaginal"),exact(metadata!I172,"microbial mat/biofilm"),exact(metadata!I172,"misc environment"),exact(metadata!I172,"plant-associated"),exact(metadata!I172,"sediment"),exact(metadata!I172,"soil"),exact(metadata!I172,"wastewater/sludge"),exact(metadata!I172,"water"))))</f>
        <v>0</v>
      </c>
      <c r="AJ172">
        <f>IF(metadata!J172="",FALSE,TRUE)</f>
        <v>0</v>
      </c>
      <c r="AK172">
        <f>OR(AND(IF(metadata!K172="",FALSE,TRUE),OR(exact(metadata!K172,"missing: not collected"),exact(metadata!K172,"missing: not provided"),exact(metadata!K172,"missing: restricted access"))),AND(IF(metadata!K172="",FALSE,ISNUMBER(VALUE(metadata!K172))),metadata!K172&gt;=-90.00,metadata!K172&lt;=90.00))</f>
        <v>0</v>
      </c>
      <c r="AL172">
        <f>OR(AND(IF(metadata!L172="",FALSE,TRUE),OR(exact(metadata!L172,"missing: not collected"),exact(metadata!L172,"missing: not provided"),exact(metadata!L172,"missing: restricted access"))),AND(IF(metadata!L172="",FALSE,ISNUMBER(VALUE(metadata!L172))),metadata!L172&gt;=-180.00,metadata!L172&lt;=180.00))</f>
        <v>0</v>
      </c>
      <c r="AM172">
        <f>IF(metadata!M172="",FALSE,TRUE)</f>
        <v>0</v>
      </c>
      <c r="AN172">
        <f>OR(AND(IF(metadata!N172="",FALSE,TRUE),OR(exact(metadata!N172,"missing: not collected"),exact(metadata!N172,"missing: not provided"),exact(metadata!N172,"missing: restricted access"))),AND(IF(metadata!N172="",FALSE,TRUE),OR(exact(metadata!N172,"TRUE"),exact(metadata!N172,"FALSE"))))</f>
        <v>0</v>
      </c>
      <c r="AO172">
        <f>IF(metadata!O172="",FALSE,TRUE)</f>
        <v>0</v>
      </c>
      <c r="AP172">
        <f>OR(AND(IF(metadata!P172="",FALSE,TRUE),OR(exact(metadata!P172,"missing: not collected"),exact(metadata!P172,"missing: not provided"))),AND(IF(metadata!P172="",FALSE,IF(ISERROR(INT(metadata!P172)),FALSE,INT(metadata!P172)=metadata!P172)),metadata!P172&gt;0))</f>
        <v>0</v>
      </c>
      <c r="AQ172">
        <f>IF(metadata!Q172="",FALSE,TRUE)</f>
        <v>0</v>
      </c>
    </row>
    <row r="173" spans="1:43">
      <c r="A173" s="5">
        <f>IF(B173=" "," ",HYPERLINK(CONCATENATE("#metadata!",ADDRESS(INDEX($W$2:$W$1001,MATCH(ROWS($U$2:U173),$U$2:$U$1001,0),0),1)),INDEX($Z$2:$Z$1001,MATCH(ROWS($U$2:U173),$U$2:$U$1001,0),0)))</f>
        <v>0</v>
      </c>
      <c r="B173" s="4">
        <f>IF(OR(INDEX($V$2:$V$1001,MATCH(ROWS($U$2:U173),$U$2:$U$1001,0),1)&gt;=100000,INDEX($AB$1005:$AQ$1005,1,MATCH(COLUMNS($AB$1006:AB1006),$AB$1006:$AQ$1006,0))&gt;=100000), " ",IF(INDEX($AB$2:$AQ$1001,MATCH(ROWS($U$2:U173),$U$2:$U$1001,0),MATCH(COLUMNS($AB$1006:AB1006),$AB$1006:$AQ$1006,0)), HYPERLINK("#",""), HYPERLINK(CONCATENATE("#metadata!", ADDRESS(INDEX($W$2:$W$1001,MATCH(ROWS($U$2:U173),$U$2:$U$1001,0),0), INDEX($AB$1004:$AQ$1004,1,MATCH(COLUMNS($AB$1006:AB1006),$AB$1006:$AQ$1006,0)))),"Fix")))</f>
        <v>0</v>
      </c>
      <c r="C173" s="4">
        <f>IF(OR(INDEX($V$2:$V$1001,MATCH(ROWS($U$2:U173),$U$2:$U$1001,0),1)&gt;=100000,INDEX($AB$1005:$AQ$1005,1,MATCH(COLUMNS($AB$1006:AC1006),$AB$1006:$AQ$1006,0))&gt;=100000), " ",IF(INDEX($AB$2:$AQ$1001,MATCH(ROWS($U$2:U173),$U$2:$U$1001,0),MATCH(COLUMNS($AB$1006:AC1006),$AB$1006:$AQ$1006,0)), HYPERLINK("#",""), HYPERLINK(CONCATENATE("#metadata!", ADDRESS(INDEX($W$2:$W$1001,MATCH(ROWS($U$2:U173),$U$2:$U$1001,0),0), INDEX($AB$1004:$AQ$1004,1,MATCH(COLUMNS($AB$1006:AC1006),$AB$1006:$AQ$1006,0)))),"Fix")))</f>
        <v>0</v>
      </c>
      <c r="D173" s="4">
        <f>IF(OR(INDEX($V$2:$V$1001,MATCH(ROWS($U$2:U173),$U$2:$U$1001,0),1)&gt;=100000,INDEX($AB$1005:$AQ$1005,1,MATCH(COLUMNS($AB$1006:AD1006),$AB$1006:$AQ$1006,0))&gt;=100000), " ",IF(INDEX($AB$2:$AQ$1001,MATCH(ROWS($U$2:U173),$U$2:$U$1001,0),MATCH(COLUMNS($AB$1006:AD1006),$AB$1006:$AQ$1006,0)), HYPERLINK("#",""), HYPERLINK(CONCATENATE("#metadata!", ADDRESS(INDEX($W$2:$W$1001,MATCH(ROWS($U$2:U173),$U$2:$U$1001,0),0), INDEX($AB$1004:$AQ$1004,1,MATCH(COLUMNS($AB$1006:AD1006),$AB$1006:$AQ$1006,0)))),"Fix")))</f>
        <v>0</v>
      </c>
      <c r="E173" s="4">
        <f>IF(OR(INDEX($V$2:$V$1001,MATCH(ROWS($U$2:U173),$U$2:$U$1001,0),1)&gt;=100000,INDEX($AB$1005:$AQ$1005,1,MATCH(COLUMNS($AB$1006:AE1006),$AB$1006:$AQ$1006,0))&gt;=100000), " ",IF(INDEX($AB$2:$AQ$1001,MATCH(ROWS($U$2:U173),$U$2:$U$1001,0),MATCH(COLUMNS($AB$1006:AE1006),$AB$1006:$AQ$1006,0)), HYPERLINK("#",""), HYPERLINK(CONCATENATE("#metadata!", ADDRESS(INDEX($W$2:$W$1001,MATCH(ROWS($U$2:U173),$U$2:$U$1001,0),0), INDEX($AB$1004:$AQ$1004,1,MATCH(COLUMNS($AB$1006:AE1006),$AB$1006:$AQ$1006,0)))),"Fix")))</f>
        <v>0</v>
      </c>
      <c r="F173" s="4">
        <f>IF(OR(INDEX($V$2:$V$1001,MATCH(ROWS($U$2:U173),$U$2:$U$1001,0),1)&gt;=100000,INDEX($AB$1005:$AQ$1005,1,MATCH(COLUMNS($AB$1006:AF1006),$AB$1006:$AQ$1006,0))&gt;=100000), " ",IF(INDEX($AB$2:$AQ$1001,MATCH(ROWS($U$2:U173),$U$2:$U$1001,0),MATCH(COLUMNS($AB$1006:AF1006),$AB$1006:$AQ$1006,0)), HYPERLINK("#",""), HYPERLINK(CONCATENATE("#metadata!", ADDRESS(INDEX($W$2:$W$1001,MATCH(ROWS($U$2:U173),$U$2:$U$1001,0),0), INDEX($AB$1004:$AQ$1004,1,MATCH(COLUMNS($AB$1006:AF1006),$AB$1006:$AQ$1006,0)))),"Fix")))</f>
        <v>0</v>
      </c>
      <c r="G173" s="4">
        <f>IF(OR(INDEX($V$2:$V$1001,MATCH(ROWS($U$2:U173),$U$2:$U$1001,0),1)&gt;=100000,INDEX($AB$1005:$AQ$1005,1,MATCH(COLUMNS($AB$1006:AG1006),$AB$1006:$AQ$1006,0))&gt;=100000), " ",IF(INDEX($AB$2:$AQ$1001,MATCH(ROWS($U$2:U173),$U$2:$U$1001,0),MATCH(COLUMNS($AB$1006:AG1006),$AB$1006:$AQ$1006,0)), HYPERLINK("#",""), HYPERLINK(CONCATENATE("#metadata!", ADDRESS(INDEX($W$2:$W$1001,MATCH(ROWS($U$2:U173),$U$2:$U$1001,0),0), INDEX($AB$1004:$AQ$1004,1,MATCH(COLUMNS($AB$1006:AG1006),$AB$1006:$AQ$1006,0)))),"Fix")))</f>
        <v>0</v>
      </c>
      <c r="H173" s="4">
        <f>IF(OR(INDEX($V$2:$V$1001,MATCH(ROWS($U$2:U173),$U$2:$U$1001,0),1)&gt;=100000,INDEX($AB$1005:$AQ$1005,1,MATCH(COLUMNS($AB$1006:AH1006),$AB$1006:$AQ$1006,0))&gt;=100000), " ",IF(INDEX($AB$2:$AQ$1001,MATCH(ROWS($U$2:U173),$U$2:$U$1001,0),MATCH(COLUMNS($AB$1006:AH1006),$AB$1006:$AQ$1006,0)), HYPERLINK("#",""), HYPERLINK(CONCATENATE("#metadata!", ADDRESS(INDEX($W$2:$W$1001,MATCH(ROWS($U$2:U173),$U$2:$U$1001,0),0), INDEX($AB$1004:$AQ$1004,1,MATCH(COLUMNS($AB$1006:AH1006),$AB$1006:$AQ$1006,0)))),"Fix")))</f>
        <v>0</v>
      </c>
      <c r="I173" s="4">
        <f>IF(OR(INDEX($V$2:$V$1001,MATCH(ROWS($U$2:U173),$U$2:$U$1001,0),1)&gt;=100000,INDEX($AB$1005:$AQ$1005,1,MATCH(COLUMNS($AB$1006:AI1006),$AB$1006:$AQ$1006,0))&gt;=100000), " ",IF(INDEX($AB$2:$AQ$1001,MATCH(ROWS($U$2:U173),$U$2:$U$1001,0),MATCH(COLUMNS($AB$1006:AI1006),$AB$1006:$AQ$1006,0)), HYPERLINK("#",""), HYPERLINK(CONCATENATE("#metadata!", ADDRESS(INDEX($W$2:$W$1001,MATCH(ROWS($U$2:U173),$U$2:$U$1001,0),0), INDEX($AB$1004:$AQ$1004,1,MATCH(COLUMNS($AB$1006:AI1006),$AB$1006:$AQ$1006,0)))),"Fix")))</f>
        <v>0</v>
      </c>
      <c r="J173" s="4">
        <f>IF(OR(INDEX($V$2:$V$1001,MATCH(ROWS($U$2:U173),$U$2:$U$1001,0),1)&gt;=100000,INDEX($AB$1005:$AQ$1005,1,MATCH(COLUMNS($AB$1006:AJ1006),$AB$1006:$AQ$1006,0))&gt;=100000), " ",IF(INDEX($AB$2:$AQ$1001,MATCH(ROWS($U$2:U173),$U$2:$U$1001,0),MATCH(COLUMNS($AB$1006:AJ1006),$AB$1006:$AQ$1006,0)), HYPERLINK("#",""), HYPERLINK(CONCATENATE("#metadata!", ADDRESS(INDEX($W$2:$W$1001,MATCH(ROWS($U$2:U173),$U$2:$U$1001,0),0), INDEX($AB$1004:$AQ$1004,1,MATCH(COLUMNS($AB$1006:AJ1006),$AB$1006:$AQ$1006,0)))),"Fix")))</f>
        <v>0</v>
      </c>
      <c r="K173" s="4">
        <f>IF(OR(INDEX($V$2:$V$1001,MATCH(ROWS($U$2:U173),$U$2:$U$1001,0),1)&gt;=100000,INDEX($AB$1005:$AQ$1005,1,MATCH(COLUMNS($AB$1006:AK1006),$AB$1006:$AQ$1006,0))&gt;=100000), " ",IF(INDEX($AB$2:$AQ$1001,MATCH(ROWS($U$2:U173),$U$2:$U$1001,0),MATCH(COLUMNS($AB$1006:AK1006),$AB$1006:$AQ$1006,0)), HYPERLINK("#",""), HYPERLINK(CONCATENATE("#metadata!", ADDRESS(INDEX($W$2:$W$1001,MATCH(ROWS($U$2:U173),$U$2:$U$1001,0),0), INDEX($AB$1004:$AQ$1004,1,MATCH(COLUMNS($AB$1006:AK1006),$AB$1006:$AQ$1006,0)))),"Fix")))</f>
        <v>0</v>
      </c>
      <c r="L173" s="4">
        <f>IF(OR(INDEX($V$2:$V$1001,MATCH(ROWS($U$2:U173),$U$2:$U$1001,0),1)&gt;=100000,INDEX($AB$1005:$AQ$1005,1,MATCH(COLUMNS($AB$1006:AL1006),$AB$1006:$AQ$1006,0))&gt;=100000), " ",IF(INDEX($AB$2:$AQ$1001,MATCH(ROWS($U$2:U173),$U$2:$U$1001,0),MATCH(COLUMNS($AB$1006:AL1006),$AB$1006:$AQ$1006,0)), HYPERLINK("#",""), HYPERLINK(CONCATENATE("#metadata!", ADDRESS(INDEX($W$2:$W$1001,MATCH(ROWS($U$2:U173),$U$2:$U$1001,0),0), INDEX($AB$1004:$AQ$1004,1,MATCH(COLUMNS($AB$1006:AL1006),$AB$1006:$AQ$1006,0)))),"Fix")))</f>
        <v>0</v>
      </c>
      <c r="M173" s="4">
        <f>IF(OR(INDEX($V$2:$V$1001,MATCH(ROWS($U$2:U173),$U$2:$U$1001,0),1)&gt;=100000,INDEX($AB$1005:$AQ$1005,1,MATCH(COLUMNS($AB$1006:AM1006),$AB$1006:$AQ$1006,0))&gt;=100000), " ",IF(INDEX($AB$2:$AQ$1001,MATCH(ROWS($U$2:U173),$U$2:$U$1001,0),MATCH(COLUMNS($AB$1006:AM1006),$AB$1006:$AQ$1006,0)), HYPERLINK("#",""), HYPERLINK(CONCATENATE("#metadata!", ADDRESS(INDEX($W$2:$W$1001,MATCH(ROWS($U$2:U173),$U$2:$U$1001,0),0), INDEX($AB$1004:$AQ$1004,1,MATCH(COLUMNS($AB$1006:AM1006),$AB$1006:$AQ$1006,0)))),"Fix")))</f>
        <v>0</v>
      </c>
      <c r="N173" s="4">
        <f>IF(OR(INDEX($V$2:$V$1001,MATCH(ROWS($U$2:U173),$U$2:$U$1001,0),1)&gt;=100000,INDEX($AB$1005:$AQ$1005,1,MATCH(COLUMNS($AB$1006:AN1006),$AB$1006:$AQ$1006,0))&gt;=100000), " ",IF(INDEX($AB$2:$AQ$1001,MATCH(ROWS($U$2:U173),$U$2:$U$1001,0),MATCH(COLUMNS($AB$1006:AN1006),$AB$1006:$AQ$1006,0)), HYPERLINK("#",""), HYPERLINK(CONCATENATE("#metadata!", ADDRESS(INDEX($W$2:$W$1001,MATCH(ROWS($U$2:U173),$U$2:$U$1001,0),0), INDEX($AB$1004:$AQ$1004,1,MATCH(COLUMNS($AB$1006:AN1006),$AB$1006:$AQ$1006,0)))),"Fix")))</f>
        <v>0</v>
      </c>
      <c r="O173" s="4">
        <f>IF(OR(INDEX($V$2:$V$1001,MATCH(ROWS($U$2:U173),$U$2:$U$1001,0),1)&gt;=100000,INDEX($AB$1005:$AQ$1005,1,MATCH(COLUMNS($AB$1006:AO1006),$AB$1006:$AQ$1006,0))&gt;=100000), " ",IF(INDEX($AB$2:$AQ$1001,MATCH(ROWS($U$2:U173),$U$2:$U$1001,0),MATCH(COLUMNS($AB$1006:AO1006),$AB$1006:$AQ$1006,0)), HYPERLINK("#",""), HYPERLINK(CONCATENATE("#metadata!", ADDRESS(INDEX($W$2:$W$1001,MATCH(ROWS($U$2:U173),$U$2:$U$1001,0),0), INDEX($AB$1004:$AQ$1004,1,MATCH(COLUMNS($AB$1006:AO1006),$AB$1006:$AQ$1006,0)))),"Fix")))</f>
        <v>0</v>
      </c>
      <c r="P173" s="4">
        <f>IF(OR(INDEX($V$2:$V$1001,MATCH(ROWS($U$2:U173),$U$2:$U$1001,0),1)&gt;=100000,INDEX($AB$1005:$AQ$1005,1,MATCH(COLUMNS($AB$1006:AP1006),$AB$1006:$AQ$1006,0))&gt;=100000), " ",IF(INDEX($AB$2:$AQ$1001,MATCH(ROWS($U$2:U173),$U$2:$U$1001,0),MATCH(COLUMNS($AB$1006:AP1006),$AB$1006:$AQ$1006,0)), HYPERLINK("#",""), HYPERLINK(CONCATENATE("#metadata!", ADDRESS(INDEX($W$2:$W$1001,MATCH(ROWS($U$2:U173),$U$2:$U$1001,0),0), INDEX($AB$1004:$AQ$1004,1,MATCH(COLUMNS($AB$1006:AP1006),$AB$1006:$AQ$1006,0)))),"Fix")))</f>
        <v>0</v>
      </c>
      <c r="Q173" s="4">
        <f>IF(OR(INDEX($V$2:$V$1001,MATCH(ROWS($U$2:U173),$U$2:$U$1001,0),1)&gt;=100000,INDEX($AB$1005:$AQ$1005,1,MATCH(COLUMNS($AB$1006:AQ1006),$AB$1006:$AQ$1006,0))&gt;=100000), " ",IF(INDEX($AB$2:$AQ$1001,MATCH(ROWS($U$2:U173),$U$2:$U$1001,0),MATCH(COLUMNS($AB$1006:AQ1006),$AB$1006:$AQ$1006,0)), HYPERLINK("#",""), HYPERLINK(CONCATENATE("#metadata!", ADDRESS(INDEX($W$2:$W$1001,MATCH(ROWS($U$2:U173),$U$2:$U$1001,0),0), INDEX($AB$1004:$AQ$1004,1,MATCH(COLUMNS($AB$1006:AQ1006),$AB$1006:$AQ$1006,0)))),"Fix")))</f>
        <v>0</v>
      </c>
      <c r="U173">
        <v>0</v>
      </c>
      <c r="V173">
        <v>0</v>
      </c>
      <c r="W173">
        <v>0</v>
      </c>
      <c r="X173">
        <f>IF(Y173,TRUE,AND(AB173:AQ173))</f>
        <v>0</v>
      </c>
      <c r="Y173">
        <f>COUNTBLANK(metadata!B173:Q173)=COLUMNS(metadata!B173:Q173)</f>
        <v>0</v>
      </c>
      <c r="Z173">
        <v>0</v>
      </c>
      <c r="AB173">
        <f>AND(IF(metadata!B173="",FALSE,TRUE),COUNTIF(metadata!B:B, metadata!B173) = 1,NOT(ISERROR(SUMPRODUCT(SEARCH(MID(metadata!B173,ROW(INDIRECT("1:"&amp;LEN(metadata!B173))), 1),"0123456789abcdefghijklmnopqrstuvwxyzABCDEFGHIJKLMNOPQRSTUVWXYZ.")))))</f>
        <v>0</v>
      </c>
      <c r="AC173">
        <f>OR(AND(IF(metadata!C173="",FALSE,TRUE),OR(exact(metadata!C173,"missing: not collected"),exact(metadata!C173,"missing: not provided"),exact(metadata!C173,"missing: restricted access"))),AND(IF(metadata!C173="",FALSE,TRUE),AND(AND(IFERROR(INT(LEFT(metadata!C173,4))&gt;1900,FALSE),IFERROR(INT(LEFT(metadata!C173,4))&lt;=YEAR(NOW()),FALSE)), OR(MID(metadata!C173,5,1)="", AND(AND(MID(metadata!C173,5,1)="-",IFERROR(INT(MID(metadata!C173,6,1))&gt;=0,FALSE),IFERROR(INT(MID(metadata!C173,6,1))&lt;=1,FALSE),NOT(MID(metadata!C173,7,1)=""),IFERROR(INT(MID(metadata!C173,6,2))&gt;=1,FALSE),IFERROR(INT(MID(metadata!C173,6,2))&lt;=12,FALSE)), OR(MID(metadata!C173,8,1)="", AND(AND(MID(metadata!C173,8,1)="-",IFERROR(INT(MID(metadata!C173,9,1))&gt;=0,FALSE),IFERROR(INT(MID(metadata!C173,9,1))&lt;=3,FALSE),NOT(MID(metadata!C173,10,1)=""),IFERROR(INT(MID(metadata!C173,9,2))&gt;=1,FALSE),IFERROR(INT(MID(metadata!C173,9,2))&lt;=31,FALSE)), OR(MID(metadata!C173,11,1)="", AND(AND(MID(metadata!C173,11,1)=" ",IFERROR(INT(MID(metadata!C173,12,1))&gt;=0,FALSE),IFERROR(INT(MID(metadata!C173,12,1))&lt;=2,FALSE),NOT(MID(metadata!C173,13,1)=""),IFERROR(INT(MID(metadata!C173,12,2))&gt;=0,FALSE),IFERROR(INT(MID(metadata!C173,12,2))&lt;=23,FALSE)), OR(MID(metadata!C173,14,1)="", AND(AND(MID(metadata!C173,14,1)=":",IFERROR(INT(MID(metadata!C173,15,1))&gt;=0,FALSE),IFERROR(INT(MID(metadata!C173,15,1))&lt;=5,FALSE),NOT(MID(metadata!C173,16,1)=""),IFERROR(INT(MID(metadata!C173,15,2))&gt;=0,FALSE),IFERROR(INT(MID(metadata!C173,15,2))&lt;=59,FALSE)), OR(MID(metadata!C173,17,1)="", AND(AND(MID(metadata!C173,17,1)=":",IFERROR(INT(MID(metadata!C173,18,1))&gt;=0,FALSE),IFERROR(INT(MID(metadata!C173,18,1))&lt;=5,FALSE),NOT(MID(metadata!C173,19,1)=""),IFERROR(INT(MID(metadata!C173,18,2))&gt;=0,FALSE),IFERROR(INT(MID(metadata!C173,18,2))&lt;=59,FALSE)), LEN(metadata!C173)&lt;=19)))))))))))))</f>
        <v>0</v>
      </c>
      <c r="AD173">
        <f>IF(metadata!D173="",FALSE,TRUE)</f>
        <v>0</v>
      </c>
      <c r="AE173">
        <f>OR(AND(IF(metadata!E173="",FALSE,TRUE),OR(exact(metadata!E173,"missing: not collected"),exact(metadata!E173,"missing: not provided"))),AND(IF(metadata!E173="",FALSE,TRUE),OR(exact(metadata!E173,"TRUE"),exact(metadata!E173,"FALSE"))))</f>
        <v>0</v>
      </c>
      <c r="AF173">
        <f>IF(metadata!F173="",FALSE,TRUE)</f>
        <v>0</v>
      </c>
      <c r="AG173">
        <f>IF(metadata!G173="",FALSE,TRUE)</f>
        <v>0</v>
      </c>
      <c r="AH173">
        <f>IF(metadata!H173="",FALSE,TRUE)</f>
        <v>0</v>
      </c>
      <c r="AI173">
        <f>OR(AND(IF(metadata!I173="",FALSE,TRUE),OR(exact(metadata!I173,"missing: not collected"),exact(metadata!I173,"missing: not provided"),exact(metadata!I173,"missing: restricted access"))),AND(IF(metadata!I173="",FALSE,TRUE),OR(exact(metadata!I173,"air"),exact(metadata!I173,"built environment"),exact(metadata!I173,"host-associated"),exact(metadata!I173,"human-associated"),exact(metadata!I173,"human-skin"),exact(metadata!I173,"human-oral"),exact(metadata!I173,"human-gut"),exact(metadata!I173,"human-vaginal"),exact(metadata!I173,"microbial mat/biofilm"),exact(metadata!I173,"misc environment"),exact(metadata!I173,"plant-associated"),exact(metadata!I173,"sediment"),exact(metadata!I173,"soil"),exact(metadata!I173,"wastewater/sludge"),exact(metadata!I173,"water"))))</f>
        <v>0</v>
      </c>
      <c r="AJ173">
        <f>IF(metadata!J173="",FALSE,TRUE)</f>
        <v>0</v>
      </c>
      <c r="AK173">
        <f>OR(AND(IF(metadata!K173="",FALSE,TRUE),OR(exact(metadata!K173,"missing: not collected"),exact(metadata!K173,"missing: not provided"),exact(metadata!K173,"missing: restricted access"))),AND(IF(metadata!K173="",FALSE,ISNUMBER(VALUE(metadata!K173))),metadata!K173&gt;=-90.00,metadata!K173&lt;=90.00))</f>
        <v>0</v>
      </c>
      <c r="AL173">
        <f>OR(AND(IF(metadata!L173="",FALSE,TRUE),OR(exact(metadata!L173,"missing: not collected"),exact(metadata!L173,"missing: not provided"),exact(metadata!L173,"missing: restricted access"))),AND(IF(metadata!L173="",FALSE,ISNUMBER(VALUE(metadata!L173))),metadata!L173&gt;=-180.00,metadata!L173&lt;=180.00))</f>
        <v>0</v>
      </c>
      <c r="AM173">
        <f>IF(metadata!M173="",FALSE,TRUE)</f>
        <v>0</v>
      </c>
      <c r="AN173">
        <f>OR(AND(IF(metadata!N173="",FALSE,TRUE),OR(exact(metadata!N173,"missing: not collected"),exact(metadata!N173,"missing: not provided"),exact(metadata!N173,"missing: restricted access"))),AND(IF(metadata!N173="",FALSE,TRUE),OR(exact(metadata!N173,"TRUE"),exact(metadata!N173,"FALSE"))))</f>
        <v>0</v>
      </c>
      <c r="AO173">
        <f>IF(metadata!O173="",FALSE,TRUE)</f>
        <v>0</v>
      </c>
      <c r="AP173">
        <f>OR(AND(IF(metadata!P173="",FALSE,TRUE),OR(exact(metadata!P173,"missing: not collected"),exact(metadata!P173,"missing: not provided"))),AND(IF(metadata!P173="",FALSE,IF(ISERROR(INT(metadata!P173)),FALSE,INT(metadata!P173)=metadata!P173)),metadata!P173&gt;0))</f>
        <v>0</v>
      </c>
      <c r="AQ173">
        <f>IF(metadata!Q173="",FALSE,TRUE)</f>
        <v>0</v>
      </c>
    </row>
    <row r="174" spans="1:43">
      <c r="A174" s="5">
        <f>IF(B174=" "," ",HYPERLINK(CONCATENATE("#metadata!",ADDRESS(INDEX($W$2:$W$1001,MATCH(ROWS($U$2:U174),$U$2:$U$1001,0),0),1)),INDEX($Z$2:$Z$1001,MATCH(ROWS($U$2:U174),$U$2:$U$1001,0),0)))</f>
        <v>0</v>
      </c>
      <c r="B174" s="4">
        <f>IF(OR(INDEX($V$2:$V$1001,MATCH(ROWS($U$2:U174),$U$2:$U$1001,0),1)&gt;=100000,INDEX($AB$1005:$AQ$1005,1,MATCH(COLUMNS($AB$1006:AB1006),$AB$1006:$AQ$1006,0))&gt;=100000), " ",IF(INDEX($AB$2:$AQ$1001,MATCH(ROWS($U$2:U174),$U$2:$U$1001,0),MATCH(COLUMNS($AB$1006:AB1006),$AB$1006:$AQ$1006,0)), HYPERLINK("#",""), HYPERLINK(CONCATENATE("#metadata!", ADDRESS(INDEX($W$2:$W$1001,MATCH(ROWS($U$2:U174),$U$2:$U$1001,0),0), INDEX($AB$1004:$AQ$1004,1,MATCH(COLUMNS($AB$1006:AB1006),$AB$1006:$AQ$1006,0)))),"Fix")))</f>
        <v>0</v>
      </c>
      <c r="C174" s="4">
        <f>IF(OR(INDEX($V$2:$V$1001,MATCH(ROWS($U$2:U174),$U$2:$U$1001,0),1)&gt;=100000,INDEX($AB$1005:$AQ$1005,1,MATCH(COLUMNS($AB$1006:AC1006),$AB$1006:$AQ$1006,0))&gt;=100000), " ",IF(INDEX($AB$2:$AQ$1001,MATCH(ROWS($U$2:U174),$U$2:$U$1001,0),MATCH(COLUMNS($AB$1006:AC1006),$AB$1006:$AQ$1006,0)), HYPERLINK("#",""), HYPERLINK(CONCATENATE("#metadata!", ADDRESS(INDEX($W$2:$W$1001,MATCH(ROWS($U$2:U174),$U$2:$U$1001,0),0), INDEX($AB$1004:$AQ$1004,1,MATCH(COLUMNS($AB$1006:AC1006),$AB$1006:$AQ$1006,0)))),"Fix")))</f>
        <v>0</v>
      </c>
      <c r="D174" s="4">
        <f>IF(OR(INDEX($V$2:$V$1001,MATCH(ROWS($U$2:U174),$U$2:$U$1001,0),1)&gt;=100000,INDEX($AB$1005:$AQ$1005,1,MATCH(COLUMNS($AB$1006:AD1006),$AB$1006:$AQ$1006,0))&gt;=100000), " ",IF(INDEX($AB$2:$AQ$1001,MATCH(ROWS($U$2:U174),$U$2:$U$1001,0),MATCH(COLUMNS($AB$1006:AD1006),$AB$1006:$AQ$1006,0)), HYPERLINK("#",""), HYPERLINK(CONCATENATE("#metadata!", ADDRESS(INDEX($W$2:$W$1001,MATCH(ROWS($U$2:U174),$U$2:$U$1001,0),0), INDEX($AB$1004:$AQ$1004,1,MATCH(COLUMNS($AB$1006:AD1006),$AB$1006:$AQ$1006,0)))),"Fix")))</f>
        <v>0</v>
      </c>
      <c r="E174" s="4">
        <f>IF(OR(INDEX($V$2:$V$1001,MATCH(ROWS($U$2:U174),$U$2:$U$1001,0),1)&gt;=100000,INDEX($AB$1005:$AQ$1005,1,MATCH(COLUMNS($AB$1006:AE1006),$AB$1006:$AQ$1006,0))&gt;=100000), " ",IF(INDEX($AB$2:$AQ$1001,MATCH(ROWS($U$2:U174),$U$2:$U$1001,0),MATCH(COLUMNS($AB$1006:AE1006),$AB$1006:$AQ$1006,0)), HYPERLINK("#",""), HYPERLINK(CONCATENATE("#metadata!", ADDRESS(INDEX($W$2:$W$1001,MATCH(ROWS($U$2:U174),$U$2:$U$1001,0),0), INDEX($AB$1004:$AQ$1004,1,MATCH(COLUMNS($AB$1006:AE1006),$AB$1006:$AQ$1006,0)))),"Fix")))</f>
        <v>0</v>
      </c>
      <c r="F174" s="4">
        <f>IF(OR(INDEX($V$2:$V$1001,MATCH(ROWS($U$2:U174),$U$2:$U$1001,0),1)&gt;=100000,INDEX($AB$1005:$AQ$1005,1,MATCH(COLUMNS($AB$1006:AF1006),$AB$1006:$AQ$1006,0))&gt;=100000), " ",IF(INDEX($AB$2:$AQ$1001,MATCH(ROWS($U$2:U174),$U$2:$U$1001,0),MATCH(COLUMNS($AB$1006:AF1006),$AB$1006:$AQ$1006,0)), HYPERLINK("#",""), HYPERLINK(CONCATENATE("#metadata!", ADDRESS(INDEX($W$2:$W$1001,MATCH(ROWS($U$2:U174),$U$2:$U$1001,0),0), INDEX($AB$1004:$AQ$1004,1,MATCH(COLUMNS($AB$1006:AF1006),$AB$1006:$AQ$1006,0)))),"Fix")))</f>
        <v>0</v>
      </c>
      <c r="G174" s="4">
        <f>IF(OR(INDEX($V$2:$V$1001,MATCH(ROWS($U$2:U174),$U$2:$U$1001,0),1)&gt;=100000,INDEX($AB$1005:$AQ$1005,1,MATCH(COLUMNS($AB$1006:AG1006),$AB$1006:$AQ$1006,0))&gt;=100000), " ",IF(INDEX($AB$2:$AQ$1001,MATCH(ROWS($U$2:U174),$U$2:$U$1001,0),MATCH(COLUMNS($AB$1006:AG1006),$AB$1006:$AQ$1006,0)), HYPERLINK("#",""), HYPERLINK(CONCATENATE("#metadata!", ADDRESS(INDEX($W$2:$W$1001,MATCH(ROWS($U$2:U174),$U$2:$U$1001,0),0), INDEX($AB$1004:$AQ$1004,1,MATCH(COLUMNS($AB$1006:AG1006),$AB$1006:$AQ$1006,0)))),"Fix")))</f>
        <v>0</v>
      </c>
      <c r="H174" s="4">
        <f>IF(OR(INDEX($V$2:$V$1001,MATCH(ROWS($U$2:U174),$U$2:$U$1001,0),1)&gt;=100000,INDEX($AB$1005:$AQ$1005,1,MATCH(COLUMNS($AB$1006:AH1006),$AB$1006:$AQ$1006,0))&gt;=100000), " ",IF(INDEX($AB$2:$AQ$1001,MATCH(ROWS($U$2:U174),$U$2:$U$1001,0),MATCH(COLUMNS($AB$1006:AH1006),$AB$1006:$AQ$1006,0)), HYPERLINK("#",""), HYPERLINK(CONCATENATE("#metadata!", ADDRESS(INDEX($W$2:$W$1001,MATCH(ROWS($U$2:U174),$U$2:$U$1001,0),0), INDEX($AB$1004:$AQ$1004,1,MATCH(COLUMNS($AB$1006:AH1006),$AB$1006:$AQ$1006,0)))),"Fix")))</f>
        <v>0</v>
      </c>
      <c r="I174" s="4">
        <f>IF(OR(INDEX($V$2:$V$1001,MATCH(ROWS($U$2:U174),$U$2:$U$1001,0),1)&gt;=100000,INDEX($AB$1005:$AQ$1005,1,MATCH(COLUMNS($AB$1006:AI1006),$AB$1006:$AQ$1006,0))&gt;=100000), " ",IF(INDEX($AB$2:$AQ$1001,MATCH(ROWS($U$2:U174),$U$2:$U$1001,0),MATCH(COLUMNS($AB$1006:AI1006),$AB$1006:$AQ$1006,0)), HYPERLINK("#",""), HYPERLINK(CONCATENATE("#metadata!", ADDRESS(INDEX($W$2:$W$1001,MATCH(ROWS($U$2:U174),$U$2:$U$1001,0),0), INDEX($AB$1004:$AQ$1004,1,MATCH(COLUMNS($AB$1006:AI1006),$AB$1006:$AQ$1006,0)))),"Fix")))</f>
        <v>0</v>
      </c>
      <c r="J174" s="4">
        <f>IF(OR(INDEX($V$2:$V$1001,MATCH(ROWS($U$2:U174),$U$2:$U$1001,0),1)&gt;=100000,INDEX($AB$1005:$AQ$1005,1,MATCH(COLUMNS($AB$1006:AJ1006),$AB$1006:$AQ$1006,0))&gt;=100000), " ",IF(INDEX($AB$2:$AQ$1001,MATCH(ROWS($U$2:U174),$U$2:$U$1001,0),MATCH(COLUMNS($AB$1006:AJ1006),$AB$1006:$AQ$1006,0)), HYPERLINK("#",""), HYPERLINK(CONCATENATE("#metadata!", ADDRESS(INDEX($W$2:$W$1001,MATCH(ROWS($U$2:U174),$U$2:$U$1001,0),0), INDEX($AB$1004:$AQ$1004,1,MATCH(COLUMNS($AB$1006:AJ1006),$AB$1006:$AQ$1006,0)))),"Fix")))</f>
        <v>0</v>
      </c>
      <c r="K174" s="4">
        <f>IF(OR(INDEX($V$2:$V$1001,MATCH(ROWS($U$2:U174),$U$2:$U$1001,0),1)&gt;=100000,INDEX($AB$1005:$AQ$1005,1,MATCH(COLUMNS($AB$1006:AK1006),$AB$1006:$AQ$1006,0))&gt;=100000), " ",IF(INDEX($AB$2:$AQ$1001,MATCH(ROWS($U$2:U174),$U$2:$U$1001,0),MATCH(COLUMNS($AB$1006:AK1006),$AB$1006:$AQ$1006,0)), HYPERLINK("#",""), HYPERLINK(CONCATENATE("#metadata!", ADDRESS(INDEX($W$2:$W$1001,MATCH(ROWS($U$2:U174),$U$2:$U$1001,0),0), INDEX($AB$1004:$AQ$1004,1,MATCH(COLUMNS($AB$1006:AK1006),$AB$1006:$AQ$1006,0)))),"Fix")))</f>
        <v>0</v>
      </c>
      <c r="L174" s="4">
        <f>IF(OR(INDEX($V$2:$V$1001,MATCH(ROWS($U$2:U174),$U$2:$U$1001,0),1)&gt;=100000,INDEX($AB$1005:$AQ$1005,1,MATCH(COLUMNS($AB$1006:AL1006),$AB$1006:$AQ$1006,0))&gt;=100000), " ",IF(INDEX($AB$2:$AQ$1001,MATCH(ROWS($U$2:U174),$U$2:$U$1001,0),MATCH(COLUMNS($AB$1006:AL1006),$AB$1006:$AQ$1006,0)), HYPERLINK("#",""), HYPERLINK(CONCATENATE("#metadata!", ADDRESS(INDEX($W$2:$W$1001,MATCH(ROWS($U$2:U174),$U$2:$U$1001,0),0), INDEX($AB$1004:$AQ$1004,1,MATCH(COLUMNS($AB$1006:AL1006),$AB$1006:$AQ$1006,0)))),"Fix")))</f>
        <v>0</v>
      </c>
      <c r="M174" s="4">
        <f>IF(OR(INDEX($V$2:$V$1001,MATCH(ROWS($U$2:U174),$U$2:$U$1001,0),1)&gt;=100000,INDEX($AB$1005:$AQ$1005,1,MATCH(COLUMNS($AB$1006:AM1006),$AB$1006:$AQ$1006,0))&gt;=100000), " ",IF(INDEX($AB$2:$AQ$1001,MATCH(ROWS($U$2:U174),$U$2:$U$1001,0),MATCH(COLUMNS($AB$1006:AM1006),$AB$1006:$AQ$1006,0)), HYPERLINK("#",""), HYPERLINK(CONCATENATE("#metadata!", ADDRESS(INDEX($W$2:$W$1001,MATCH(ROWS($U$2:U174),$U$2:$U$1001,0),0), INDEX($AB$1004:$AQ$1004,1,MATCH(COLUMNS($AB$1006:AM1006),$AB$1006:$AQ$1006,0)))),"Fix")))</f>
        <v>0</v>
      </c>
      <c r="N174" s="4">
        <f>IF(OR(INDEX($V$2:$V$1001,MATCH(ROWS($U$2:U174),$U$2:$U$1001,0),1)&gt;=100000,INDEX($AB$1005:$AQ$1005,1,MATCH(COLUMNS($AB$1006:AN1006),$AB$1006:$AQ$1006,0))&gt;=100000), " ",IF(INDEX($AB$2:$AQ$1001,MATCH(ROWS($U$2:U174),$U$2:$U$1001,0),MATCH(COLUMNS($AB$1006:AN1006),$AB$1006:$AQ$1006,0)), HYPERLINK("#",""), HYPERLINK(CONCATENATE("#metadata!", ADDRESS(INDEX($W$2:$W$1001,MATCH(ROWS($U$2:U174),$U$2:$U$1001,0),0), INDEX($AB$1004:$AQ$1004,1,MATCH(COLUMNS($AB$1006:AN1006),$AB$1006:$AQ$1006,0)))),"Fix")))</f>
        <v>0</v>
      </c>
      <c r="O174" s="4">
        <f>IF(OR(INDEX($V$2:$V$1001,MATCH(ROWS($U$2:U174),$U$2:$U$1001,0),1)&gt;=100000,INDEX($AB$1005:$AQ$1005,1,MATCH(COLUMNS($AB$1006:AO1006),$AB$1006:$AQ$1006,0))&gt;=100000), " ",IF(INDEX($AB$2:$AQ$1001,MATCH(ROWS($U$2:U174),$U$2:$U$1001,0),MATCH(COLUMNS($AB$1006:AO1006),$AB$1006:$AQ$1006,0)), HYPERLINK("#",""), HYPERLINK(CONCATENATE("#metadata!", ADDRESS(INDEX($W$2:$W$1001,MATCH(ROWS($U$2:U174),$U$2:$U$1001,0),0), INDEX($AB$1004:$AQ$1004,1,MATCH(COLUMNS($AB$1006:AO1006),$AB$1006:$AQ$1006,0)))),"Fix")))</f>
        <v>0</v>
      </c>
      <c r="P174" s="4">
        <f>IF(OR(INDEX($V$2:$V$1001,MATCH(ROWS($U$2:U174),$U$2:$U$1001,0),1)&gt;=100000,INDEX($AB$1005:$AQ$1005,1,MATCH(COLUMNS($AB$1006:AP1006),$AB$1006:$AQ$1006,0))&gt;=100000), " ",IF(INDEX($AB$2:$AQ$1001,MATCH(ROWS($U$2:U174),$U$2:$U$1001,0),MATCH(COLUMNS($AB$1006:AP1006),$AB$1006:$AQ$1006,0)), HYPERLINK("#",""), HYPERLINK(CONCATENATE("#metadata!", ADDRESS(INDEX($W$2:$W$1001,MATCH(ROWS($U$2:U174),$U$2:$U$1001,0),0), INDEX($AB$1004:$AQ$1004,1,MATCH(COLUMNS($AB$1006:AP1006),$AB$1006:$AQ$1006,0)))),"Fix")))</f>
        <v>0</v>
      </c>
      <c r="Q174" s="4">
        <f>IF(OR(INDEX($V$2:$V$1001,MATCH(ROWS($U$2:U174),$U$2:$U$1001,0),1)&gt;=100000,INDEX($AB$1005:$AQ$1005,1,MATCH(COLUMNS($AB$1006:AQ1006),$AB$1006:$AQ$1006,0))&gt;=100000), " ",IF(INDEX($AB$2:$AQ$1001,MATCH(ROWS($U$2:U174),$U$2:$U$1001,0),MATCH(COLUMNS($AB$1006:AQ1006),$AB$1006:$AQ$1006,0)), HYPERLINK("#",""), HYPERLINK(CONCATENATE("#metadata!", ADDRESS(INDEX($W$2:$W$1001,MATCH(ROWS($U$2:U174),$U$2:$U$1001,0),0), INDEX($AB$1004:$AQ$1004,1,MATCH(COLUMNS($AB$1006:AQ1006),$AB$1006:$AQ$1006,0)))),"Fix")))</f>
        <v>0</v>
      </c>
      <c r="U174">
        <v>0</v>
      </c>
      <c r="V174">
        <v>0</v>
      </c>
      <c r="W174">
        <v>0</v>
      </c>
      <c r="X174">
        <f>IF(Y174,TRUE,AND(AB174:AQ174))</f>
        <v>0</v>
      </c>
      <c r="Y174">
        <f>COUNTBLANK(metadata!B174:Q174)=COLUMNS(metadata!B174:Q174)</f>
        <v>0</v>
      </c>
      <c r="Z174">
        <v>0</v>
      </c>
      <c r="AB174">
        <f>AND(IF(metadata!B174="",FALSE,TRUE),COUNTIF(metadata!B:B, metadata!B174) = 1,NOT(ISERROR(SUMPRODUCT(SEARCH(MID(metadata!B174,ROW(INDIRECT("1:"&amp;LEN(metadata!B174))), 1),"0123456789abcdefghijklmnopqrstuvwxyzABCDEFGHIJKLMNOPQRSTUVWXYZ.")))))</f>
        <v>0</v>
      </c>
      <c r="AC174">
        <f>OR(AND(IF(metadata!C174="",FALSE,TRUE),OR(exact(metadata!C174,"missing: not collected"),exact(metadata!C174,"missing: not provided"),exact(metadata!C174,"missing: restricted access"))),AND(IF(metadata!C174="",FALSE,TRUE),AND(AND(IFERROR(INT(LEFT(metadata!C174,4))&gt;1900,FALSE),IFERROR(INT(LEFT(metadata!C174,4))&lt;=YEAR(NOW()),FALSE)), OR(MID(metadata!C174,5,1)="", AND(AND(MID(metadata!C174,5,1)="-",IFERROR(INT(MID(metadata!C174,6,1))&gt;=0,FALSE),IFERROR(INT(MID(metadata!C174,6,1))&lt;=1,FALSE),NOT(MID(metadata!C174,7,1)=""),IFERROR(INT(MID(metadata!C174,6,2))&gt;=1,FALSE),IFERROR(INT(MID(metadata!C174,6,2))&lt;=12,FALSE)), OR(MID(metadata!C174,8,1)="", AND(AND(MID(metadata!C174,8,1)="-",IFERROR(INT(MID(metadata!C174,9,1))&gt;=0,FALSE),IFERROR(INT(MID(metadata!C174,9,1))&lt;=3,FALSE),NOT(MID(metadata!C174,10,1)=""),IFERROR(INT(MID(metadata!C174,9,2))&gt;=1,FALSE),IFERROR(INT(MID(metadata!C174,9,2))&lt;=31,FALSE)), OR(MID(metadata!C174,11,1)="", AND(AND(MID(metadata!C174,11,1)=" ",IFERROR(INT(MID(metadata!C174,12,1))&gt;=0,FALSE),IFERROR(INT(MID(metadata!C174,12,1))&lt;=2,FALSE),NOT(MID(metadata!C174,13,1)=""),IFERROR(INT(MID(metadata!C174,12,2))&gt;=0,FALSE),IFERROR(INT(MID(metadata!C174,12,2))&lt;=23,FALSE)), OR(MID(metadata!C174,14,1)="", AND(AND(MID(metadata!C174,14,1)=":",IFERROR(INT(MID(metadata!C174,15,1))&gt;=0,FALSE),IFERROR(INT(MID(metadata!C174,15,1))&lt;=5,FALSE),NOT(MID(metadata!C174,16,1)=""),IFERROR(INT(MID(metadata!C174,15,2))&gt;=0,FALSE),IFERROR(INT(MID(metadata!C174,15,2))&lt;=59,FALSE)), OR(MID(metadata!C174,17,1)="", AND(AND(MID(metadata!C174,17,1)=":",IFERROR(INT(MID(metadata!C174,18,1))&gt;=0,FALSE),IFERROR(INT(MID(metadata!C174,18,1))&lt;=5,FALSE),NOT(MID(metadata!C174,19,1)=""),IFERROR(INT(MID(metadata!C174,18,2))&gt;=0,FALSE),IFERROR(INT(MID(metadata!C174,18,2))&lt;=59,FALSE)), LEN(metadata!C174)&lt;=19)))))))))))))</f>
        <v>0</v>
      </c>
      <c r="AD174">
        <f>IF(metadata!D174="",FALSE,TRUE)</f>
        <v>0</v>
      </c>
      <c r="AE174">
        <f>OR(AND(IF(metadata!E174="",FALSE,TRUE),OR(exact(metadata!E174,"missing: not collected"),exact(metadata!E174,"missing: not provided"))),AND(IF(metadata!E174="",FALSE,TRUE),OR(exact(metadata!E174,"TRUE"),exact(metadata!E174,"FALSE"))))</f>
        <v>0</v>
      </c>
      <c r="AF174">
        <f>IF(metadata!F174="",FALSE,TRUE)</f>
        <v>0</v>
      </c>
      <c r="AG174">
        <f>IF(metadata!G174="",FALSE,TRUE)</f>
        <v>0</v>
      </c>
      <c r="AH174">
        <f>IF(metadata!H174="",FALSE,TRUE)</f>
        <v>0</v>
      </c>
      <c r="AI174">
        <f>OR(AND(IF(metadata!I174="",FALSE,TRUE),OR(exact(metadata!I174,"missing: not collected"),exact(metadata!I174,"missing: not provided"),exact(metadata!I174,"missing: restricted access"))),AND(IF(metadata!I174="",FALSE,TRUE),OR(exact(metadata!I174,"air"),exact(metadata!I174,"built environment"),exact(metadata!I174,"host-associated"),exact(metadata!I174,"human-associated"),exact(metadata!I174,"human-skin"),exact(metadata!I174,"human-oral"),exact(metadata!I174,"human-gut"),exact(metadata!I174,"human-vaginal"),exact(metadata!I174,"microbial mat/biofilm"),exact(metadata!I174,"misc environment"),exact(metadata!I174,"plant-associated"),exact(metadata!I174,"sediment"),exact(metadata!I174,"soil"),exact(metadata!I174,"wastewater/sludge"),exact(metadata!I174,"water"))))</f>
        <v>0</v>
      </c>
      <c r="AJ174">
        <f>IF(metadata!J174="",FALSE,TRUE)</f>
        <v>0</v>
      </c>
      <c r="AK174">
        <f>OR(AND(IF(metadata!K174="",FALSE,TRUE),OR(exact(metadata!K174,"missing: not collected"),exact(metadata!K174,"missing: not provided"),exact(metadata!K174,"missing: restricted access"))),AND(IF(metadata!K174="",FALSE,ISNUMBER(VALUE(metadata!K174))),metadata!K174&gt;=-90.00,metadata!K174&lt;=90.00))</f>
        <v>0</v>
      </c>
      <c r="AL174">
        <f>OR(AND(IF(metadata!L174="",FALSE,TRUE),OR(exact(metadata!L174,"missing: not collected"),exact(metadata!L174,"missing: not provided"),exact(metadata!L174,"missing: restricted access"))),AND(IF(metadata!L174="",FALSE,ISNUMBER(VALUE(metadata!L174))),metadata!L174&gt;=-180.00,metadata!L174&lt;=180.00))</f>
        <v>0</v>
      </c>
      <c r="AM174">
        <f>IF(metadata!M174="",FALSE,TRUE)</f>
        <v>0</v>
      </c>
      <c r="AN174">
        <f>OR(AND(IF(metadata!N174="",FALSE,TRUE),OR(exact(metadata!N174,"missing: not collected"),exact(metadata!N174,"missing: not provided"),exact(metadata!N174,"missing: restricted access"))),AND(IF(metadata!N174="",FALSE,TRUE),OR(exact(metadata!N174,"TRUE"),exact(metadata!N174,"FALSE"))))</f>
        <v>0</v>
      </c>
      <c r="AO174">
        <f>IF(metadata!O174="",FALSE,TRUE)</f>
        <v>0</v>
      </c>
      <c r="AP174">
        <f>OR(AND(IF(metadata!P174="",FALSE,TRUE),OR(exact(metadata!P174,"missing: not collected"),exact(metadata!P174,"missing: not provided"))),AND(IF(metadata!P174="",FALSE,IF(ISERROR(INT(metadata!P174)),FALSE,INT(metadata!P174)=metadata!P174)),metadata!P174&gt;0))</f>
        <v>0</v>
      </c>
      <c r="AQ174">
        <f>IF(metadata!Q174="",FALSE,TRUE)</f>
        <v>0</v>
      </c>
    </row>
    <row r="175" spans="1:43">
      <c r="A175" s="5">
        <f>IF(B175=" "," ",HYPERLINK(CONCATENATE("#metadata!",ADDRESS(INDEX($W$2:$W$1001,MATCH(ROWS($U$2:U175),$U$2:$U$1001,0),0),1)),INDEX($Z$2:$Z$1001,MATCH(ROWS($U$2:U175),$U$2:$U$1001,0),0)))</f>
        <v>0</v>
      </c>
      <c r="B175" s="4">
        <f>IF(OR(INDEX($V$2:$V$1001,MATCH(ROWS($U$2:U175),$U$2:$U$1001,0),1)&gt;=100000,INDEX($AB$1005:$AQ$1005,1,MATCH(COLUMNS($AB$1006:AB1006),$AB$1006:$AQ$1006,0))&gt;=100000), " ",IF(INDEX($AB$2:$AQ$1001,MATCH(ROWS($U$2:U175),$U$2:$U$1001,0),MATCH(COLUMNS($AB$1006:AB1006),$AB$1006:$AQ$1006,0)), HYPERLINK("#",""), HYPERLINK(CONCATENATE("#metadata!", ADDRESS(INDEX($W$2:$W$1001,MATCH(ROWS($U$2:U175),$U$2:$U$1001,0),0), INDEX($AB$1004:$AQ$1004,1,MATCH(COLUMNS($AB$1006:AB1006),$AB$1006:$AQ$1006,0)))),"Fix")))</f>
        <v>0</v>
      </c>
      <c r="C175" s="4">
        <f>IF(OR(INDEX($V$2:$V$1001,MATCH(ROWS($U$2:U175),$U$2:$U$1001,0),1)&gt;=100000,INDEX($AB$1005:$AQ$1005,1,MATCH(COLUMNS($AB$1006:AC1006),$AB$1006:$AQ$1006,0))&gt;=100000), " ",IF(INDEX($AB$2:$AQ$1001,MATCH(ROWS($U$2:U175),$U$2:$U$1001,0),MATCH(COLUMNS($AB$1006:AC1006),$AB$1006:$AQ$1006,0)), HYPERLINK("#",""), HYPERLINK(CONCATENATE("#metadata!", ADDRESS(INDEX($W$2:$W$1001,MATCH(ROWS($U$2:U175),$U$2:$U$1001,0),0), INDEX($AB$1004:$AQ$1004,1,MATCH(COLUMNS($AB$1006:AC1006),$AB$1006:$AQ$1006,0)))),"Fix")))</f>
        <v>0</v>
      </c>
      <c r="D175" s="4">
        <f>IF(OR(INDEX($V$2:$V$1001,MATCH(ROWS($U$2:U175),$U$2:$U$1001,0),1)&gt;=100000,INDEX($AB$1005:$AQ$1005,1,MATCH(COLUMNS($AB$1006:AD1006),$AB$1006:$AQ$1006,0))&gt;=100000), " ",IF(INDEX($AB$2:$AQ$1001,MATCH(ROWS($U$2:U175),$U$2:$U$1001,0),MATCH(COLUMNS($AB$1006:AD1006),$AB$1006:$AQ$1006,0)), HYPERLINK("#",""), HYPERLINK(CONCATENATE("#metadata!", ADDRESS(INDEX($W$2:$W$1001,MATCH(ROWS($U$2:U175),$U$2:$U$1001,0),0), INDEX($AB$1004:$AQ$1004,1,MATCH(COLUMNS($AB$1006:AD1006),$AB$1006:$AQ$1006,0)))),"Fix")))</f>
        <v>0</v>
      </c>
      <c r="E175" s="4">
        <f>IF(OR(INDEX($V$2:$V$1001,MATCH(ROWS($U$2:U175),$U$2:$U$1001,0),1)&gt;=100000,INDEX($AB$1005:$AQ$1005,1,MATCH(COLUMNS($AB$1006:AE1006),$AB$1006:$AQ$1006,0))&gt;=100000), " ",IF(INDEX($AB$2:$AQ$1001,MATCH(ROWS($U$2:U175),$U$2:$U$1001,0),MATCH(COLUMNS($AB$1006:AE1006),$AB$1006:$AQ$1006,0)), HYPERLINK("#",""), HYPERLINK(CONCATENATE("#metadata!", ADDRESS(INDEX($W$2:$W$1001,MATCH(ROWS($U$2:U175),$U$2:$U$1001,0),0), INDEX($AB$1004:$AQ$1004,1,MATCH(COLUMNS($AB$1006:AE1006),$AB$1006:$AQ$1006,0)))),"Fix")))</f>
        <v>0</v>
      </c>
      <c r="F175" s="4">
        <f>IF(OR(INDEX($V$2:$V$1001,MATCH(ROWS($U$2:U175),$U$2:$U$1001,0),1)&gt;=100000,INDEX($AB$1005:$AQ$1005,1,MATCH(COLUMNS($AB$1006:AF1006),$AB$1006:$AQ$1006,0))&gt;=100000), " ",IF(INDEX($AB$2:$AQ$1001,MATCH(ROWS($U$2:U175),$U$2:$U$1001,0),MATCH(COLUMNS($AB$1006:AF1006),$AB$1006:$AQ$1006,0)), HYPERLINK("#",""), HYPERLINK(CONCATENATE("#metadata!", ADDRESS(INDEX($W$2:$W$1001,MATCH(ROWS($U$2:U175),$U$2:$U$1001,0),0), INDEX($AB$1004:$AQ$1004,1,MATCH(COLUMNS($AB$1006:AF1006),$AB$1006:$AQ$1006,0)))),"Fix")))</f>
        <v>0</v>
      </c>
      <c r="G175" s="4">
        <f>IF(OR(INDEX($V$2:$V$1001,MATCH(ROWS($U$2:U175),$U$2:$U$1001,0),1)&gt;=100000,INDEX($AB$1005:$AQ$1005,1,MATCH(COLUMNS($AB$1006:AG1006),$AB$1006:$AQ$1006,0))&gt;=100000), " ",IF(INDEX($AB$2:$AQ$1001,MATCH(ROWS($U$2:U175),$U$2:$U$1001,0),MATCH(COLUMNS($AB$1006:AG1006),$AB$1006:$AQ$1006,0)), HYPERLINK("#",""), HYPERLINK(CONCATENATE("#metadata!", ADDRESS(INDEX($W$2:$W$1001,MATCH(ROWS($U$2:U175),$U$2:$U$1001,0),0), INDEX($AB$1004:$AQ$1004,1,MATCH(COLUMNS($AB$1006:AG1006),$AB$1006:$AQ$1006,0)))),"Fix")))</f>
        <v>0</v>
      </c>
      <c r="H175" s="4">
        <f>IF(OR(INDEX($V$2:$V$1001,MATCH(ROWS($U$2:U175),$U$2:$U$1001,0),1)&gt;=100000,INDEX($AB$1005:$AQ$1005,1,MATCH(COLUMNS($AB$1006:AH1006),$AB$1006:$AQ$1006,0))&gt;=100000), " ",IF(INDEX($AB$2:$AQ$1001,MATCH(ROWS($U$2:U175),$U$2:$U$1001,0),MATCH(COLUMNS($AB$1006:AH1006),$AB$1006:$AQ$1006,0)), HYPERLINK("#",""), HYPERLINK(CONCATENATE("#metadata!", ADDRESS(INDEX($W$2:$W$1001,MATCH(ROWS($U$2:U175),$U$2:$U$1001,0),0), INDEX($AB$1004:$AQ$1004,1,MATCH(COLUMNS($AB$1006:AH1006),$AB$1006:$AQ$1006,0)))),"Fix")))</f>
        <v>0</v>
      </c>
      <c r="I175" s="4">
        <f>IF(OR(INDEX($V$2:$V$1001,MATCH(ROWS($U$2:U175),$U$2:$U$1001,0),1)&gt;=100000,INDEX($AB$1005:$AQ$1005,1,MATCH(COLUMNS($AB$1006:AI1006),$AB$1006:$AQ$1006,0))&gt;=100000), " ",IF(INDEX($AB$2:$AQ$1001,MATCH(ROWS($U$2:U175),$U$2:$U$1001,0),MATCH(COLUMNS($AB$1006:AI1006),$AB$1006:$AQ$1006,0)), HYPERLINK("#",""), HYPERLINK(CONCATENATE("#metadata!", ADDRESS(INDEX($W$2:$W$1001,MATCH(ROWS($U$2:U175),$U$2:$U$1001,0),0), INDEX($AB$1004:$AQ$1004,1,MATCH(COLUMNS($AB$1006:AI1006),$AB$1006:$AQ$1006,0)))),"Fix")))</f>
        <v>0</v>
      </c>
      <c r="J175" s="4">
        <f>IF(OR(INDEX($V$2:$V$1001,MATCH(ROWS($U$2:U175),$U$2:$U$1001,0),1)&gt;=100000,INDEX($AB$1005:$AQ$1005,1,MATCH(COLUMNS($AB$1006:AJ1006),$AB$1006:$AQ$1006,0))&gt;=100000), " ",IF(INDEX($AB$2:$AQ$1001,MATCH(ROWS($U$2:U175),$U$2:$U$1001,0),MATCH(COLUMNS($AB$1006:AJ1006),$AB$1006:$AQ$1006,0)), HYPERLINK("#",""), HYPERLINK(CONCATENATE("#metadata!", ADDRESS(INDEX($W$2:$W$1001,MATCH(ROWS($U$2:U175),$U$2:$U$1001,0),0), INDEX($AB$1004:$AQ$1004,1,MATCH(COLUMNS($AB$1006:AJ1006),$AB$1006:$AQ$1006,0)))),"Fix")))</f>
        <v>0</v>
      </c>
      <c r="K175" s="4">
        <f>IF(OR(INDEX($V$2:$V$1001,MATCH(ROWS($U$2:U175),$U$2:$U$1001,0),1)&gt;=100000,INDEX($AB$1005:$AQ$1005,1,MATCH(COLUMNS($AB$1006:AK1006),$AB$1006:$AQ$1006,0))&gt;=100000), " ",IF(INDEX($AB$2:$AQ$1001,MATCH(ROWS($U$2:U175),$U$2:$U$1001,0),MATCH(COLUMNS($AB$1006:AK1006),$AB$1006:$AQ$1006,0)), HYPERLINK("#",""), HYPERLINK(CONCATENATE("#metadata!", ADDRESS(INDEX($W$2:$W$1001,MATCH(ROWS($U$2:U175),$U$2:$U$1001,0),0), INDEX($AB$1004:$AQ$1004,1,MATCH(COLUMNS($AB$1006:AK1006),$AB$1006:$AQ$1006,0)))),"Fix")))</f>
        <v>0</v>
      </c>
      <c r="L175" s="4">
        <f>IF(OR(INDEX($V$2:$V$1001,MATCH(ROWS($U$2:U175),$U$2:$U$1001,0),1)&gt;=100000,INDEX($AB$1005:$AQ$1005,1,MATCH(COLUMNS($AB$1006:AL1006),$AB$1006:$AQ$1006,0))&gt;=100000), " ",IF(INDEX($AB$2:$AQ$1001,MATCH(ROWS($U$2:U175),$U$2:$U$1001,0),MATCH(COLUMNS($AB$1006:AL1006),$AB$1006:$AQ$1006,0)), HYPERLINK("#",""), HYPERLINK(CONCATENATE("#metadata!", ADDRESS(INDEX($W$2:$W$1001,MATCH(ROWS($U$2:U175),$U$2:$U$1001,0),0), INDEX($AB$1004:$AQ$1004,1,MATCH(COLUMNS($AB$1006:AL1006),$AB$1006:$AQ$1006,0)))),"Fix")))</f>
        <v>0</v>
      </c>
      <c r="M175" s="4">
        <f>IF(OR(INDEX($V$2:$V$1001,MATCH(ROWS($U$2:U175),$U$2:$U$1001,0),1)&gt;=100000,INDEX($AB$1005:$AQ$1005,1,MATCH(COLUMNS($AB$1006:AM1006),$AB$1006:$AQ$1006,0))&gt;=100000), " ",IF(INDEX($AB$2:$AQ$1001,MATCH(ROWS($U$2:U175),$U$2:$U$1001,0),MATCH(COLUMNS($AB$1006:AM1006),$AB$1006:$AQ$1006,0)), HYPERLINK("#",""), HYPERLINK(CONCATENATE("#metadata!", ADDRESS(INDEX($W$2:$W$1001,MATCH(ROWS($U$2:U175),$U$2:$U$1001,0),0), INDEX($AB$1004:$AQ$1004,1,MATCH(COLUMNS($AB$1006:AM1006),$AB$1006:$AQ$1006,0)))),"Fix")))</f>
        <v>0</v>
      </c>
      <c r="N175" s="4">
        <f>IF(OR(INDEX($V$2:$V$1001,MATCH(ROWS($U$2:U175),$U$2:$U$1001,0),1)&gt;=100000,INDEX($AB$1005:$AQ$1005,1,MATCH(COLUMNS($AB$1006:AN1006),$AB$1006:$AQ$1006,0))&gt;=100000), " ",IF(INDEX($AB$2:$AQ$1001,MATCH(ROWS($U$2:U175),$U$2:$U$1001,0),MATCH(COLUMNS($AB$1006:AN1006),$AB$1006:$AQ$1006,0)), HYPERLINK("#",""), HYPERLINK(CONCATENATE("#metadata!", ADDRESS(INDEX($W$2:$W$1001,MATCH(ROWS($U$2:U175),$U$2:$U$1001,0),0), INDEX($AB$1004:$AQ$1004,1,MATCH(COLUMNS($AB$1006:AN1006),$AB$1006:$AQ$1006,0)))),"Fix")))</f>
        <v>0</v>
      </c>
      <c r="O175" s="4">
        <f>IF(OR(INDEX($V$2:$V$1001,MATCH(ROWS($U$2:U175),$U$2:$U$1001,0),1)&gt;=100000,INDEX($AB$1005:$AQ$1005,1,MATCH(COLUMNS($AB$1006:AO1006),$AB$1006:$AQ$1006,0))&gt;=100000), " ",IF(INDEX($AB$2:$AQ$1001,MATCH(ROWS($U$2:U175),$U$2:$U$1001,0),MATCH(COLUMNS($AB$1006:AO1006),$AB$1006:$AQ$1006,0)), HYPERLINK("#",""), HYPERLINK(CONCATENATE("#metadata!", ADDRESS(INDEX($W$2:$W$1001,MATCH(ROWS($U$2:U175),$U$2:$U$1001,0),0), INDEX($AB$1004:$AQ$1004,1,MATCH(COLUMNS($AB$1006:AO1006),$AB$1006:$AQ$1006,0)))),"Fix")))</f>
        <v>0</v>
      </c>
      <c r="P175" s="4">
        <f>IF(OR(INDEX($V$2:$V$1001,MATCH(ROWS($U$2:U175),$U$2:$U$1001,0),1)&gt;=100000,INDEX($AB$1005:$AQ$1005,1,MATCH(COLUMNS($AB$1006:AP1006),$AB$1006:$AQ$1006,0))&gt;=100000), " ",IF(INDEX($AB$2:$AQ$1001,MATCH(ROWS($U$2:U175),$U$2:$U$1001,0),MATCH(COLUMNS($AB$1006:AP1006),$AB$1006:$AQ$1006,0)), HYPERLINK("#",""), HYPERLINK(CONCATENATE("#metadata!", ADDRESS(INDEX($W$2:$W$1001,MATCH(ROWS($U$2:U175),$U$2:$U$1001,0),0), INDEX($AB$1004:$AQ$1004,1,MATCH(COLUMNS($AB$1006:AP1006),$AB$1006:$AQ$1006,0)))),"Fix")))</f>
        <v>0</v>
      </c>
      <c r="Q175" s="4">
        <f>IF(OR(INDEX($V$2:$V$1001,MATCH(ROWS($U$2:U175),$U$2:$U$1001,0),1)&gt;=100000,INDEX($AB$1005:$AQ$1005,1,MATCH(COLUMNS($AB$1006:AQ1006),$AB$1006:$AQ$1006,0))&gt;=100000), " ",IF(INDEX($AB$2:$AQ$1001,MATCH(ROWS($U$2:U175),$U$2:$U$1001,0),MATCH(COLUMNS($AB$1006:AQ1006),$AB$1006:$AQ$1006,0)), HYPERLINK("#",""), HYPERLINK(CONCATENATE("#metadata!", ADDRESS(INDEX($W$2:$W$1001,MATCH(ROWS($U$2:U175),$U$2:$U$1001,0),0), INDEX($AB$1004:$AQ$1004,1,MATCH(COLUMNS($AB$1006:AQ1006),$AB$1006:$AQ$1006,0)))),"Fix")))</f>
        <v>0</v>
      </c>
      <c r="U175">
        <v>0</v>
      </c>
      <c r="V175">
        <v>0</v>
      </c>
      <c r="W175">
        <v>0</v>
      </c>
      <c r="X175">
        <f>IF(Y175,TRUE,AND(AB175:AQ175))</f>
        <v>0</v>
      </c>
      <c r="Y175">
        <f>COUNTBLANK(metadata!B175:Q175)=COLUMNS(metadata!B175:Q175)</f>
        <v>0</v>
      </c>
      <c r="Z175">
        <v>0</v>
      </c>
      <c r="AB175">
        <f>AND(IF(metadata!B175="",FALSE,TRUE),COUNTIF(metadata!B:B, metadata!B175) = 1,NOT(ISERROR(SUMPRODUCT(SEARCH(MID(metadata!B175,ROW(INDIRECT("1:"&amp;LEN(metadata!B175))), 1),"0123456789abcdefghijklmnopqrstuvwxyzABCDEFGHIJKLMNOPQRSTUVWXYZ.")))))</f>
        <v>0</v>
      </c>
      <c r="AC175">
        <f>OR(AND(IF(metadata!C175="",FALSE,TRUE),OR(exact(metadata!C175,"missing: not collected"),exact(metadata!C175,"missing: not provided"),exact(metadata!C175,"missing: restricted access"))),AND(IF(metadata!C175="",FALSE,TRUE),AND(AND(IFERROR(INT(LEFT(metadata!C175,4))&gt;1900,FALSE),IFERROR(INT(LEFT(metadata!C175,4))&lt;=YEAR(NOW()),FALSE)), OR(MID(metadata!C175,5,1)="", AND(AND(MID(metadata!C175,5,1)="-",IFERROR(INT(MID(metadata!C175,6,1))&gt;=0,FALSE),IFERROR(INT(MID(metadata!C175,6,1))&lt;=1,FALSE),NOT(MID(metadata!C175,7,1)=""),IFERROR(INT(MID(metadata!C175,6,2))&gt;=1,FALSE),IFERROR(INT(MID(metadata!C175,6,2))&lt;=12,FALSE)), OR(MID(metadata!C175,8,1)="", AND(AND(MID(metadata!C175,8,1)="-",IFERROR(INT(MID(metadata!C175,9,1))&gt;=0,FALSE),IFERROR(INT(MID(metadata!C175,9,1))&lt;=3,FALSE),NOT(MID(metadata!C175,10,1)=""),IFERROR(INT(MID(metadata!C175,9,2))&gt;=1,FALSE),IFERROR(INT(MID(metadata!C175,9,2))&lt;=31,FALSE)), OR(MID(metadata!C175,11,1)="", AND(AND(MID(metadata!C175,11,1)=" ",IFERROR(INT(MID(metadata!C175,12,1))&gt;=0,FALSE),IFERROR(INT(MID(metadata!C175,12,1))&lt;=2,FALSE),NOT(MID(metadata!C175,13,1)=""),IFERROR(INT(MID(metadata!C175,12,2))&gt;=0,FALSE),IFERROR(INT(MID(metadata!C175,12,2))&lt;=23,FALSE)), OR(MID(metadata!C175,14,1)="", AND(AND(MID(metadata!C175,14,1)=":",IFERROR(INT(MID(metadata!C175,15,1))&gt;=0,FALSE),IFERROR(INT(MID(metadata!C175,15,1))&lt;=5,FALSE),NOT(MID(metadata!C175,16,1)=""),IFERROR(INT(MID(metadata!C175,15,2))&gt;=0,FALSE),IFERROR(INT(MID(metadata!C175,15,2))&lt;=59,FALSE)), OR(MID(metadata!C175,17,1)="", AND(AND(MID(metadata!C175,17,1)=":",IFERROR(INT(MID(metadata!C175,18,1))&gt;=0,FALSE),IFERROR(INT(MID(metadata!C175,18,1))&lt;=5,FALSE),NOT(MID(metadata!C175,19,1)=""),IFERROR(INT(MID(metadata!C175,18,2))&gt;=0,FALSE),IFERROR(INT(MID(metadata!C175,18,2))&lt;=59,FALSE)), LEN(metadata!C175)&lt;=19)))))))))))))</f>
        <v>0</v>
      </c>
      <c r="AD175">
        <f>IF(metadata!D175="",FALSE,TRUE)</f>
        <v>0</v>
      </c>
      <c r="AE175">
        <f>OR(AND(IF(metadata!E175="",FALSE,TRUE),OR(exact(metadata!E175,"missing: not collected"),exact(metadata!E175,"missing: not provided"))),AND(IF(metadata!E175="",FALSE,TRUE),OR(exact(metadata!E175,"TRUE"),exact(metadata!E175,"FALSE"))))</f>
        <v>0</v>
      </c>
      <c r="AF175">
        <f>IF(metadata!F175="",FALSE,TRUE)</f>
        <v>0</v>
      </c>
      <c r="AG175">
        <f>IF(metadata!G175="",FALSE,TRUE)</f>
        <v>0</v>
      </c>
      <c r="AH175">
        <f>IF(metadata!H175="",FALSE,TRUE)</f>
        <v>0</v>
      </c>
      <c r="AI175">
        <f>OR(AND(IF(metadata!I175="",FALSE,TRUE),OR(exact(metadata!I175,"missing: not collected"),exact(metadata!I175,"missing: not provided"),exact(metadata!I175,"missing: restricted access"))),AND(IF(metadata!I175="",FALSE,TRUE),OR(exact(metadata!I175,"air"),exact(metadata!I175,"built environment"),exact(metadata!I175,"host-associated"),exact(metadata!I175,"human-associated"),exact(metadata!I175,"human-skin"),exact(metadata!I175,"human-oral"),exact(metadata!I175,"human-gut"),exact(metadata!I175,"human-vaginal"),exact(metadata!I175,"microbial mat/biofilm"),exact(metadata!I175,"misc environment"),exact(metadata!I175,"plant-associated"),exact(metadata!I175,"sediment"),exact(metadata!I175,"soil"),exact(metadata!I175,"wastewater/sludge"),exact(metadata!I175,"water"))))</f>
        <v>0</v>
      </c>
      <c r="AJ175">
        <f>IF(metadata!J175="",FALSE,TRUE)</f>
        <v>0</v>
      </c>
      <c r="AK175">
        <f>OR(AND(IF(metadata!K175="",FALSE,TRUE),OR(exact(metadata!K175,"missing: not collected"),exact(metadata!K175,"missing: not provided"),exact(metadata!K175,"missing: restricted access"))),AND(IF(metadata!K175="",FALSE,ISNUMBER(VALUE(metadata!K175))),metadata!K175&gt;=-90.00,metadata!K175&lt;=90.00))</f>
        <v>0</v>
      </c>
      <c r="AL175">
        <f>OR(AND(IF(metadata!L175="",FALSE,TRUE),OR(exact(metadata!L175,"missing: not collected"),exact(metadata!L175,"missing: not provided"),exact(metadata!L175,"missing: restricted access"))),AND(IF(metadata!L175="",FALSE,ISNUMBER(VALUE(metadata!L175))),metadata!L175&gt;=-180.00,metadata!L175&lt;=180.00))</f>
        <v>0</v>
      </c>
      <c r="AM175">
        <f>IF(metadata!M175="",FALSE,TRUE)</f>
        <v>0</v>
      </c>
      <c r="AN175">
        <f>OR(AND(IF(metadata!N175="",FALSE,TRUE),OR(exact(metadata!N175,"missing: not collected"),exact(metadata!N175,"missing: not provided"),exact(metadata!N175,"missing: restricted access"))),AND(IF(metadata!N175="",FALSE,TRUE),OR(exact(metadata!N175,"TRUE"),exact(metadata!N175,"FALSE"))))</f>
        <v>0</v>
      </c>
      <c r="AO175">
        <f>IF(metadata!O175="",FALSE,TRUE)</f>
        <v>0</v>
      </c>
      <c r="AP175">
        <f>OR(AND(IF(metadata!P175="",FALSE,TRUE),OR(exact(metadata!P175,"missing: not collected"),exact(metadata!P175,"missing: not provided"))),AND(IF(metadata!P175="",FALSE,IF(ISERROR(INT(metadata!P175)),FALSE,INT(metadata!P175)=metadata!P175)),metadata!P175&gt;0))</f>
        <v>0</v>
      </c>
      <c r="AQ175">
        <f>IF(metadata!Q175="",FALSE,TRUE)</f>
        <v>0</v>
      </c>
    </row>
    <row r="176" spans="1:43">
      <c r="A176" s="5">
        <f>IF(B176=" "," ",HYPERLINK(CONCATENATE("#metadata!",ADDRESS(INDEX($W$2:$W$1001,MATCH(ROWS($U$2:U176),$U$2:$U$1001,0),0),1)),INDEX($Z$2:$Z$1001,MATCH(ROWS($U$2:U176),$U$2:$U$1001,0),0)))</f>
        <v>0</v>
      </c>
      <c r="B176" s="4">
        <f>IF(OR(INDEX($V$2:$V$1001,MATCH(ROWS($U$2:U176),$U$2:$U$1001,0),1)&gt;=100000,INDEX($AB$1005:$AQ$1005,1,MATCH(COLUMNS($AB$1006:AB1006),$AB$1006:$AQ$1006,0))&gt;=100000), " ",IF(INDEX($AB$2:$AQ$1001,MATCH(ROWS($U$2:U176),$U$2:$U$1001,0),MATCH(COLUMNS($AB$1006:AB1006),$AB$1006:$AQ$1006,0)), HYPERLINK("#",""), HYPERLINK(CONCATENATE("#metadata!", ADDRESS(INDEX($W$2:$W$1001,MATCH(ROWS($U$2:U176),$U$2:$U$1001,0),0), INDEX($AB$1004:$AQ$1004,1,MATCH(COLUMNS($AB$1006:AB1006),$AB$1006:$AQ$1006,0)))),"Fix")))</f>
        <v>0</v>
      </c>
      <c r="C176" s="4">
        <f>IF(OR(INDEX($V$2:$V$1001,MATCH(ROWS($U$2:U176),$U$2:$U$1001,0),1)&gt;=100000,INDEX($AB$1005:$AQ$1005,1,MATCH(COLUMNS($AB$1006:AC1006),$AB$1006:$AQ$1006,0))&gt;=100000), " ",IF(INDEX($AB$2:$AQ$1001,MATCH(ROWS($U$2:U176),$U$2:$U$1001,0),MATCH(COLUMNS($AB$1006:AC1006),$AB$1006:$AQ$1006,0)), HYPERLINK("#",""), HYPERLINK(CONCATENATE("#metadata!", ADDRESS(INDEX($W$2:$W$1001,MATCH(ROWS($U$2:U176),$U$2:$U$1001,0),0), INDEX($AB$1004:$AQ$1004,1,MATCH(COLUMNS($AB$1006:AC1006),$AB$1006:$AQ$1006,0)))),"Fix")))</f>
        <v>0</v>
      </c>
      <c r="D176" s="4">
        <f>IF(OR(INDEX($V$2:$V$1001,MATCH(ROWS($U$2:U176),$U$2:$U$1001,0),1)&gt;=100000,INDEX($AB$1005:$AQ$1005,1,MATCH(COLUMNS($AB$1006:AD1006),$AB$1006:$AQ$1006,0))&gt;=100000), " ",IF(INDEX($AB$2:$AQ$1001,MATCH(ROWS($U$2:U176),$U$2:$U$1001,0),MATCH(COLUMNS($AB$1006:AD1006),$AB$1006:$AQ$1006,0)), HYPERLINK("#",""), HYPERLINK(CONCATENATE("#metadata!", ADDRESS(INDEX($W$2:$W$1001,MATCH(ROWS($U$2:U176),$U$2:$U$1001,0),0), INDEX($AB$1004:$AQ$1004,1,MATCH(COLUMNS($AB$1006:AD1006),$AB$1006:$AQ$1006,0)))),"Fix")))</f>
        <v>0</v>
      </c>
      <c r="E176" s="4">
        <f>IF(OR(INDEX($V$2:$V$1001,MATCH(ROWS($U$2:U176),$U$2:$U$1001,0),1)&gt;=100000,INDEX($AB$1005:$AQ$1005,1,MATCH(COLUMNS($AB$1006:AE1006),$AB$1006:$AQ$1006,0))&gt;=100000), " ",IF(INDEX($AB$2:$AQ$1001,MATCH(ROWS($U$2:U176),$U$2:$U$1001,0),MATCH(COLUMNS($AB$1006:AE1006),$AB$1006:$AQ$1006,0)), HYPERLINK("#",""), HYPERLINK(CONCATENATE("#metadata!", ADDRESS(INDEX($W$2:$W$1001,MATCH(ROWS($U$2:U176),$U$2:$U$1001,0),0), INDEX($AB$1004:$AQ$1004,1,MATCH(COLUMNS($AB$1006:AE1006),$AB$1006:$AQ$1006,0)))),"Fix")))</f>
        <v>0</v>
      </c>
      <c r="F176" s="4">
        <f>IF(OR(INDEX($V$2:$V$1001,MATCH(ROWS($U$2:U176),$U$2:$U$1001,0),1)&gt;=100000,INDEX($AB$1005:$AQ$1005,1,MATCH(COLUMNS($AB$1006:AF1006),$AB$1006:$AQ$1006,0))&gt;=100000), " ",IF(INDEX($AB$2:$AQ$1001,MATCH(ROWS($U$2:U176),$U$2:$U$1001,0),MATCH(COLUMNS($AB$1006:AF1006),$AB$1006:$AQ$1006,0)), HYPERLINK("#",""), HYPERLINK(CONCATENATE("#metadata!", ADDRESS(INDEX($W$2:$W$1001,MATCH(ROWS($U$2:U176),$U$2:$U$1001,0),0), INDEX($AB$1004:$AQ$1004,1,MATCH(COLUMNS($AB$1006:AF1006),$AB$1006:$AQ$1006,0)))),"Fix")))</f>
        <v>0</v>
      </c>
      <c r="G176" s="4">
        <f>IF(OR(INDEX($V$2:$V$1001,MATCH(ROWS($U$2:U176),$U$2:$U$1001,0),1)&gt;=100000,INDEX($AB$1005:$AQ$1005,1,MATCH(COLUMNS($AB$1006:AG1006),$AB$1006:$AQ$1006,0))&gt;=100000), " ",IF(INDEX($AB$2:$AQ$1001,MATCH(ROWS($U$2:U176),$U$2:$U$1001,0),MATCH(COLUMNS($AB$1006:AG1006),$AB$1006:$AQ$1006,0)), HYPERLINK("#",""), HYPERLINK(CONCATENATE("#metadata!", ADDRESS(INDEX($W$2:$W$1001,MATCH(ROWS($U$2:U176),$U$2:$U$1001,0),0), INDEX($AB$1004:$AQ$1004,1,MATCH(COLUMNS($AB$1006:AG1006),$AB$1006:$AQ$1006,0)))),"Fix")))</f>
        <v>0</v>
      </c>
      <c r="H176" s="4">
        <f>IF(OR(INDEX($V$2:$V$1001,MATCH(ROWS($U$2:U176),$U$2:$U$1001,0),1)&gt;=100000,INDEX($AB$1005:$AQ$1005,1,MATCH(COLUMNS($AB$1006:AH1006),$AB$1006:$AQ$1006,0))&gt;=100000), " ",IF(INDEX($AB$2:$AQ$1001,MATCH(ROWS($U$2:U176),$U$2:$U$1001,0),MATCH(COLUMNS($AB$1006:AH1006),$AB$1006:$AQ$1006,0)), HYPERLINK("#",""), HYPERLINK(CONCATENATE("#metadata!", ADDRESS(INDEX($W$2:$W$1001,MATCH(ROWS($U$2:U176),$U$2:$U$1001,0),0), INDEX($AB$1004:$AQ$1004,1,MATCH(COLUMNS($AB$1006:AH1006),$AB$1006:$AQ$1006,0)))),"Fix")))</f>
        <v>0</v>
      </c>
      <c r="I176" s="4">
        <f>IF(OR(INDEX($V$2:$V$1001,MATCH(ROWS($U$2:U176),$U$2:$U$1001,0),1)&gt;=100000,INDEX($AB$1005:$AQ$1005,1,MATCH(COLUMNS($AB$1006:AI1006),$AB$1006:$AQ$1006,0))&gt;=100000), " ",IF(INDEX($AB$2:$AQ$1001,MATCH(ROWS($U$2:U176),$U$2:$U$1001,0),MATCH(COLUMNS($AB$1006:AI1006),$AB$1006:$AQ$1006,0)), HYPERLINK("#",""), HYPERLINK(CONCATENATE("#metadata!", ADDRESS(INDEX($W$2:$W$1001,MATCH(ROWS($U$2:U176),$U$2:$U$1001,0),0), INDEX($AB$1004:$AQ$1004,1,MATCH(COLUMNS($AB$1006:AI1006),$AB$1006:$AQ$1006,0)))),"Fix")))</f>
        <v>0</v>
      </c>
      <c r="J176" s="4">
        <f>IF(OR(INDEX($V$2:$V$1001,MATCH(ROWS($U$2:U176),$U$2:$U$1001,0),1)&gt;=100000,INDEX($AB$1005:$AQ$1005,1,MATCH(COLUMNS($AB$1006:AJ1006),$AB$1006:$AQ$1006,0))&gt;=100000), " ",IF(INDEX($AB$2:$AQ$1001,MATCH(ROWS($U$2:U176),$U$2:$U$1001,0),MATCH(COLUMNS($AB$1006:AJ1006),$AB$1006:$AQ$1006,0)), HYPERLINK("#",""), HYPERLINK(CONCATENATE("#metadata!", ADDRESS(INDEX($W$2:$W$1001,MATCH(ROWS($U$2:U176),$U$2:$U$1001,0),0), INDEX($AB$1004:$AQ$1004,1,MATCH(COLUMNS($AB$1006:AJ1006),$AB$1006:$AQ$1006,0)))),"Fix")))</f>
        <v>0</v>
      </c>
      <c r="K176" s="4">
        <f>IF(OR(INDEX($V$2:$V$1001,MATCH(ROWS($U$2:U176),$U$2:$U$1001,0),1)&gt;=100000,INDEX($AB$1005:$AQ$1005,1,MATCH(COLUMNS($AB$1006:AK1006),$AB$1006:$AQ$1006,0))&gt;=100000), " ",IF(INDEX($AB$2:$AQ$1001,MATCH(ROWS($U$2:U176),$U$2:$U$1001,0),MATCH(COLUMNS($AB$1006:AK1006),$AB$1006:$AQ$1006,0)), HYPERLINK("#",""), HYPERLINK(CONCATENATE("#metadata!", ADDRESS(INDEX($W$2:$W$1001,MATCH(ROWS($U$2:U176),$U$2:$U$1001,0),0), INDEX($AB$1004:$AQ$1004,1,MATCH(COLUMNS($AB$1006:AK1006),$AB$1006:$AQ$1006,0)))),"Fix")))</f>
        <v>0</v>
      </c>
      <c r="L176" s="4">
        <f>IF(OR(INDEX($V$2:$V$1001,MATCH(ROWS($U$2:U176),$U$2:$U$1001,0),1)&gt;=100000,INDEX($AB$1005:$AQ$1005,1,MATCH(COLUMNS($AB$1006:AL1006),$AB$1006:$AQ$1006,0))&gt;=100000), " ",IF(INDEX($AB$2:$AQ$1001,MATCH(ROWS($U$2:U176),$U$2:$U$1001,0),MATCH(COLUMNS($AB$1006:AL1006),$AB$1006:$AQ$1006,0)), HYPERLINK("#",""), HYPERLINK(CONCATENATE("#metadata!", ADDRESS(INDEX($W$2:$W$1001,MATCH(ROWS($U$2:U176),$U$2:$U$1001,0),0), INDEX($AB$1004:$AQ$1004,1,MATCH(COLUMNS($AB$1006:AL1006),$AB$1006:$AQ$1006,0)))),"Fix")))</f>
        <v>0</v>
      </c>
      <c r="M176" s="4">
        <f>IF(OR(INDEX($V$2:$V$1001,MATCH(ROWS($U$2:U176),$U$2:$U$1001,0),1)&gt;=100000,INDEX($AB$1005:$AQ$1005,1,MATCH(COLUMNS($AB$1006:AM1006),$AB$1006:$AQ$1006,0))&gt;=100000), " ",IF(INDEX($AB$2:$AQ$1001,MATCH(ROWS($U$2:U176),$U$2:$U$1001,0),MATCH(COLUMNS($AB$1006:AM1006),$AB$1006:$AQ$1006,0)), HYPERLINK("#",""), HYPERLINK(CONCATENATE("#metadata!", ADDRESS(INDEX($W$2:$W$1001,MATCH(ROWS($U$2:U176),$U$2:$U$1001,0),0), INDEX($AB$1004:$AQ$1004,1,MATCH(COLUMNS($AB$1006:AM1006),$AB$1006:$AQ$1006,0)))),"Fix")))</f>
        <v>0</v>
      </c>
      <c r="N176" s="4">
        <f>IF(OR(INDEX($V$2:$V$1001,MATCH(ROWS($U$2:U176),$U$2:$U$1001,0),1)&gt;=100000,INDEX($AB$1005:$AQ$1005,1,MATCH(COLUMNS($AB$1006:AN1006),$AB$1006:$AQ$1006,0))&gt;=100000), " ",IF(INDEX($AB$2:$AQ$1001,MATCH(ROWS($U$2:U176),$U$2:$U$1001,0),MATCH(COLUMNS($AB$1006:AN1006),$AB$1006:$AQ$1006,0)), HYPERLINK("#",""), HYPERLINK(CONCATENATE("#metadata!", ADDRESS(INDEX($W$2:$W$1001,MATCH(ROWS($U$2:U176),$U$2:$U$1001,0),0), INDEX($AB$1004:$AQ$1004,1,MATCH(COLUMNS($AB$1006:AN1006),$AB$1006:$AQ$1006,0)))),"Fix")))</f>
        <v>0</v>
      </c>
      <c r="O176" s="4">
        <f>IF(OR(INDEX($V$2:$V$1001,MATCH(ROWS($U$2:U176),$U$2:$U$1001,0),1)&gt;=100000,INDEX($AB$1005:$AQ$1005,1,MATCH(COLUMNS($AB$1006:AO1006),$AB$1006:$AQ$1006,0))&gt;=100000), " ",IF(INDEX($AB$2:$AQ$1001,MATCH(ROWS($U$2:U176),$U$2:$U$1001,0),MATCH(COLUMNS($AB$1006:AO1006),$AB$1006:$AQ$1006,0)), HYPERLINK("#",""), HYPERLINK(CONCATENATE("#metadata!", ADDRESS(INDEX($W$2:$W$1001,MATCH(ROWS($U$2:U176),$U$2:$U$1001,0),0), INDEX($AB$1004:$AQ$1004,1,MATCH(COLUMNS($AB$1006:AO1006),$AB$1006:$AQ$1006,0)))),"Fix")))</f>
        <v>0</v>
      </c>
      <c r="P176" s="4">
        <f>IF(OR(INDEX($V$2:$V$1001,MATCH(ROWS($U$2:U176),$U$2:$U$1001,0),1)&gt;=100000,INDEX($AB$1005:$AQ$1005,1,MATCH(COLUMNS($AB$1006:AP1006),$AB$1006:$AQ$1006,0))&gt;=100000), " ",IF(INDEX($AB$2:$AQ$1001,MATCH(ROWS($U$2:U176),$U$2:$U$1001,0),MATCH(COLUMNS($AB$1006:AP1006),$AB$1006:$AQ$1006,0)), HYPERLINK("#",""), HYPERLINK(CONCATENATE("#metadata!", ADDRESS(INDEX($W$2:$W$1001,MATCH(ROWS($U$2:U176),$U$2:$U$1001,0),0), INDEX($AB$1004:$AQ$1004,1,MATCH(COLUMNS($AB$1006:AP1006),$AB$1006:$AQ$1006,0)))),"Fix")))</f>
        <v>0</v>
      </c>
      <c r="Q176" s="4">
        <f>IF(OR(INDEX($V$2:$V$1001,MATCH(ROWS($U$2:U176),$U$2:$U$1001,0),1)&gt;=100000,INDEX($AB$1005:$AQ$1005,1,MATCH(COLUMNS($AB$1006:AQ1006),$AB$1006:$AQ$1006,0))&gt;=100000), " ",IF(INDEX($AB$2:$AQ$1001,MATCH(ROWS($U$2:U176),$U$2:$U$1001,0),MATCH(COLUMNS($AB$1006:AQ1006),$AB$1006:$AQ$1006,0)), HYPERLINK("#",""), HYPERLINK(CONCATENATE("#metadata!", ADDRESS(INDEX($W$2:$W$1001,MATCH(ROWS($U$2:U176),$U$2:$U$1001,0),0), INDEX($AB$1004:$AQ$1004,1,MATCH(COLUMNS($AB$1006:AQ1006),$AB$1006:$AQ$1006,0)))),"Fix")))</f>
        <v>0</v>
      </c>
      <c r="U176">
        <v>0</v>
      </c>
      <c r="V176">
        <v>0</v>
      </c>
      <c r="W176">
        <v>0</v>
      </c>
      <c r="X176">
        <f>IF(Y176,TRUE,AND(AB176:AQ176))</f>
        <v>0</v>
      </c>
      <c r="Y176">
        <f>COUNTBLANK(metadata!B176:Q176)=COLUMNS(metadata!B176:Q176)</f>
        <v>0</v>
      </c>
      <c r="Z176">
        <v>0</v>
      </c>
      <c r="AB176">
        <f>AND(IF(metadata!B176="",FALSE,TRUE),COUNTIF(metadata!B:B, metadata!B176) = 1,NOT(ISERROR(SUMPRODUCT(SEARCH(MID(metadata!B176,ROW(INDIRECT("1:"&amp;LEN(metadata!B176))), 1),"0123456789abcdefghijklmnopqrstuvwxyzABCDEFGHIJKLMNOPQRSTUVWXYZ.")))))</f>
        <v>0</v>
      </c>
      <c r="AC176">
        <f>OR(AND(IF(metadata!C176="",FALSE,TRUE),OR(exact(metadata!C176,"missing: not collected"),exact(metadata!C176,"missing: not provided"),exact(metadata!C176,"missing: restricted access"))),AND(IF(metadata!C176="",FALSE,TRUE),AND(AND(IFERROR(INT(LEFT(metadata!C176,4))&gt;1900,FALSE),IFERROR(INT(LEFT(metadata!C176,4))&lt;=YEAR(NOW()),FALSE)), OR(MID(metadata!C176,5,1)="", AND(AND(MID(metadata!C176,5,1)="-",IFERROR(INT(MID(metadata!C176,6,1))&gt;=0,FALSE),IFERROR(INT(MID(metadata!C176,6,1))&lt;=1,FALSE),NOT(MID(metadata!C176,7,1)=""),IFERROR(INT(MID(metadata!C176,6,2))&gt;=1,FALSE),IFERROR(INT(MID(metadata!C176,6,2))&lt;=12,FALSE)), OR(MID(metadata!C176,8,1)="", AND(AND(MID(metadata!C176,8,1)="-",IFERROR(INT(MID(metadata!C176,9,1))&gt;=0,FALSE),IFERROR(INT(MID(metadata!C176,9,1))&lt;=3,FALSE),NOT(MID(metadata!C176,10,1)=""),IFERROR(INT(MID(metadata!C176,9,2))&gt;=1,FALSE),IFERROR(INT(MID(metadata!C176,9,2))&lt;=31,FALSE)), OR(MID(metadata!C176,11,1)="", AND(AND(MID(metadata!C176,11,1)=" ",IFERROR(INT(MID(metadata!C176,12,1))&gt;=0,FALSE),IFERROR(INT(MID(metadata!C176,12,1))&lt;=2,FALSE),NOT(MID(metadata!C176,13,1)=""),IFERROR(INT(MID(metadata!C176,12,2))&gt;=0,FALSE),IFERROR(INT(MID(metadata!C176,12,2))&lt;=23,FALSE)), OR(MID(metadata!C176,14,1)="", AND(AND(MID(metadata!C176,14,1)=":",IFERROR(INT(MID(metadata!C176,15,1))&gt;=0,FALSE),IFERROR(INT(MID(metadata!C176,15,1))&lt;=5,FALSE),NOT(MID(metadata!C176,16,1)=""),IFERROR(INT(MID(metadata!C176,15,2))&gt;=0,FALSE),IFERROR(INT(MID(metadata!C176,15,2))&lt;=59,FALSE)), OR(MID(metadata!C176,17,1)="", AND(AND(MID(metadata!C176,17,1)=":",IFERROR(INT(MID(metadata!C176,18,1))&gt;=0,FALSE),IFERROR(INT(MID(metadata!C176,18,1))&lt;=5,FALSE),NOT(MID(metadata!C176,19,1)=""),IFERROR(INT(MID(metadata!C176,18,2))&gt;=0,FALSE),IFERROR(INT(MID(metadata!C176,18,2))&lt;=59,FALSE)), LEN(metadata!C176)&lt;=19)))))))))))))</f>
        <v>0</v>
      </c>
      <c r="AD176">
        <f>IF(metadata!D176="",FALSE,TRUE)</f>
        <v>0</v>
      </c>
      <c r="AE176">
        <f>OR(AND(IF(metadata!E176="",FALSE,TRUE),OR(exact(metadata!E176,"missing: not collected"),exact(metadata!E176,"missing: not provided"))),AND(IF(metadata!E176="",FALSE,TRUE),OR(exact(metadata!E176,"TRUE"),exact(metadata!E176,"FALSE"))))</f>
        <v>0</v>
      </c>
      <c r="AF176">
        <f>IF(metadata!F176="",FALSE,TRUE)</f>
        <v>0</v>
      </c>
      <c r="AG176">
        <f>IF(metadata!G176="",FALSE,TRUE)</f>
        <v>0</v>
      </c>
      <c r="AH176">
        <f>IF(metadata!H176="",FALSE,TRUE)</f>
        <v>0</v>
      </c>
      <c r="AI176">
        <f>OR(AND(IF(metadata!I176="",FALSE,TRUE),OR(exact(metadata!I176,"missing: not collected"),exact(metadata!I176,"missing: not provided"),exact(metadata!I176,"missing: restricted access"))),AND(IF(metadata!I176="",FALSE,TRUE),OR(exact(metadata!I176,"air"),exact(metadata!I176,"built environment"),exact(metadata!I176,"host-associated"),exact(metadata!I176,"human-associated"),exact(metadata!I176,"human-skin"),exact(metadata!I176,"human-oral"),exact(metadata!I176,"human-gut"),exact(metadata!I176,"human-vaginal"),exact(metadata!I176,"microbial mat/biofilm"),exact(metadata!I176,"misc environment"),exact(metadata!I176,"plant-associated"),exact(metadata!I176,"sediment"),exact(metadata!I176,"soil"),exact(metadata!I176,"wastewater/sludge"),exact(metadata!I176,"water"))))</f>
        <v>0</v>
      </c>
      <c r="AJ176">
        <f>IF(metadata!J176="",FALSE,TRUE)</f>
        <v>0</v>
      </c>
      <c r="AK176">
        <f>OR(AND(IF(metadata!K176="",FALSE,TRUE),OR(exact(metadata!K176,"missing: not collected"),exact(metadata!K176,"missing: not provided"),exact(metadata!K176,"missing: restricted access"))),AND(IF(metadata!K176="",FALSE,ISNUMBER(VALUE(metadata!K176))),metadata!K176&gt;=-90.00,metadata!K176&lt;=90.00))</f>
        <v>0</v>
      </c>
      <c r="AL176">
        <f>OR(AND(IF(metadata!L176="",FALSE,TRUE),OR(exact(metadata!L176,"missing: not collected"),exact(metadata!L176,"missing: not provided"),exact(metadata!L176,"missing: restricted access"))),AND(IF(metadata!L176="",FALSE,ISNUMBER(VALUE(metadata!L176))),metadata!L176&gt;=-180.00,metadata!L176&lt;=180.00))</f>
        <v>0</v>
      </c>
      <c r="AM176">
        <f>IF(metadata!M176="",FALSE,TRUE)</f>
        <v>0</v>
      </c>
      <c r="AN176">
        <f>OR(AND(IF(metadata!N176="",FALSE,TRUE),OR(exact(metadata!N176,"missing: not collected"),exact(metadata!N176,"missing: not provided"),exact(metadata!N176,"missing: restricted access"))),AND(IF(metadata!N176="",FALSE,TRUE),OR(exact(metadata!N176,"TRUE"),exact(metadata!N176,"FALSE"))))</f>
        <v>0</v>
      </c>
      <c r="AO176">
        <f>IF(metadata!O176="",FALSE,TRUE)</f>
        <v>0</v>
      </c>
      <c r="AP176">
        <f>OR(AND(IF(metadata!P176="",FALSE,TRUE),OR(exact(metadata!P176,"missing: not collected"),exact(metadata!P176,"missing: not provided"))),AND(IF(metadata!P176="",FALSE,IF(ISERROR(INT(metadata!P176)),FALSE,INT(metadata!P176)=metadata!P176)),metadata!P176&gt;0))</f>
        <v>0</v>
      </c>
      <c r="AQ176">
        <f>IF(metadata!Q176="",FALSE,TRUE)</f>
        <v>0</v>
      </c>
    </row>
    <row r="177" spans="1:43">
      <c r="A177" s="5">
        <f>IF(B177=" "," ",HYPERLINK(CONCATENATE("#metadata!",ADDRESS(INDEX($W$2:$W$1001,MATCH(ROWS($U$2:U177),$U$2:$U$1001,0),0),1)),INDEX($Z$2:$Z$1001,MATCH(ROWS($U$2:U177),$U$2:$U$1001,0),0)))</f>
        <v>0</v>
      </c>
      <c r="B177" s="4">
        <f>IF(OR(INDEX($V$2:$V$1001,MATCH(ROWS($U$2:U177),$U$2:$U$1001,0),1)&gt;=100000,INDEX($AB$1005:$AQ$1005,1,MATCH(COLUMNS($AB$1006:AB1006),$AB$1006:$AQ$1006,0))&gt;=100000), " ",IF(INDEX($AB$2:$AQ$1001,MATCH(ROWS($U$2:U177),$U$2:$U$1001,0),MATCH(COLUMNS($AB$1006:AB1006),$AB$1006:$AQ$1006,0)), HYPERLINK("#",""), HYPERLINK(CONCATENATE("#metadata!", ADDRESS(INDEX($W$2:$W$1001,MATCH(ROWS($U$2:U177),$U$2:$U$1001,0),0), INDEX($AB$1004:$AQ$1004,1,MATCH(COLUMNS($AB$1006:AB1006),$AB$1006:$AQ$1006,0)))),"Fix")))</f>
        <v>0</v>
      </c>
      <c r="C177" s="4">
        <f>IF(OR(INDEX($V$2:$V$1001,MATCH(ROWS($U$2:U177),$U$2:$U$1001,0),1)&gt;=100000,INDEX($AB$1005:$AQ$1005,1,MATCH(COLUMNS($AB$1006:AC1006),$AB$1006:$AQ$1006,0))&gt;=100000), " ",IF(INDEX($AB$2:$AQ$1001,MATCH(ROWS($U$2:U177),$U$2:$U$1001,0),MATCH(COLUMNS($AB$1006:AC1006),$AB$1006:$AQ$1006,0)), HYPERLINK("#",""), HYPERLINK(CONCATENATE("#metadata!", ADDRESS(INDEX($W$2:$W$1001,MATCH(ROWS($U$2:U177),$U$2:$U$1001,0),0), INDEX($AB$1004:$AQ$1004,1,MATCH(COLUMNS($AB$1006:AC1006),$AB$1006:$AQ$1006,0)))),"Fix")))</f>
        <v>0</v>
      </c>
      <c r="D177" s="4">
        <f>IF(OR(INDEX($V$2:$V$1001,MATCH(ROWS($U$2:U177),$U$2:$U$1001,0),1)&gt;=100000,INDEX($AB$1005:$AQ$1005,1,MATCH(COLUMNS($AB$1006:AD1006),$AB$1006:$AQ$1006,0))&gt;=100000), " ",IF(INDEX($AB$2:$AQ$1001,MATCH(ROWS($U$2:U177),$U$2:$U$1001,0),MATCH(COLUMNS($AB$1006:AD1006),$AB$1006:$AQ$1006,0)), HYPERLINK("#",""), HYPERLINK(CONCATENATE("#metadata!", ADDRESS(INDEX($W$2:$W$1001,MATCH(ROWS($U$2:U177),$U$2:$U$1001,0),0), INDEX($AB$1004:$AQ$1004,1,MATCH(COLUMNS($AB$1006:AD1006),$AB$1006:$AQ$1006,0)))),"Fix")))</f>
        <v>0</v>
      </c>
      <c r="E177" s="4">
        <f>IF(OR(INDEX($V$2:$V$1001,MATCH(ROWS($U$2:U177),$U$2:$U$1001,0),1)&gt;=100000,INDEX($AB$1005:$AQ$1005,1,MATCH(COLUMNS($AB$1006:AE1006),$AB$1006:$AQ$1006,0))&gt;=100000), " ",IF(INDEX($AB$2:$AQ$1001,MATCH(ROWS($U$2:U177),$U$2:$U$1001,0),MATCH(COLUMNS($AB$1006:AE1006),$AB$1006:$AQ$1006,0)), HYPERLINK("#",""), HYPERLINK(CONCATENATE("#metadata!", ADDRESS(INDEX($W$2:$W$1001,MATCH(ROWS($U$2:U177),$U$2:$U$1001,0),0), INDEX($AB$1004:$AQ$1004,1,MATCH(COLUMNS($AB$1006:AE1006),$AB$1006:$AQ$1006,0)))),"Fix")))</f>
        <v>0</v>
      </c>
      <c r="F177" s="4">
        <f>IF(OR(INDEX($V$2:$V$1001,MATCH(ROWS($U$2:U177),$U$2:$U$1001,0),1)&gt;=100000,INDEX($AB$1005:$AQ$1005,1,MATCH(COLUMNS($AB$1006:AF1006),$AB$1006:$AQ$1006,0))&gt;=100000), " ",IF(INDEX($AB$2:$AQ$1001,MATCH(ROWS($U$2:U177),$U$2:$U$1001,0),MATCH(COLUMNS($AB$1006:AF1006),$AB$1006:$AQ$1006,0)), HYPERLINK("#",""), HYPERLINK(CONCATENATE("#metadata!", ADDRESS(INDEX($W$2:$W$1001,MATCH(ROWS($U$2:U177),$U$2:$U$1001,0),0), INDEX($AB$1004:$AQ$1004,1,MATCH(COLUMNS($AB$1006:AF1006),$AB$1006:$AQ$1006,0)))),"Fix")))</f>
        <v>0</v>
      </c>
      <c r="G177" s="4">
        <f>IF(OR(INDEX($V$2:$V$1001,MATCH(ROWS($U$2:U177),$U$2:$U$1001,0),1)&gt;=100000,INDEX($AB$1005:$AQ$1005,1,MATCH(COLUMNS($AB$1006:AG1006),$AB$1006:$AQ$1006,0))&gt;=100000), " ",IF(INDEX($AB$2:$AQ$1001,MATCH(ROWS($U$2:U177),$U$2:$U$1001,0),MATCH(COLUMNS($AB$1006:AG1006),$AB$1006:$AQ$1006,0)), HYPERLINK("#",""), HYPERLINK(CONCATENATE("#metadata!", ADDRESS(INDEX($W$2:$W$1001,MATCH(ROWS($U$2:U177),$U$2:$U$1001,0),0), INDEX($AB$1004:$AQ$1004,1,MATCH(COLUMNS($AB$1006:AG1006),$AB$1006:$AQ$1006,0)))),"Fix")))</f>
        <v>0</v>
      </c>
      <c r="H177" s="4">
        <f>IF(OR(INDEX($V$2:$V$1001,MATCH(ROWS($U$2:U177),$U$2:$U$1001,0),1)&gt;=100000,INDEX($AB$1005:$AQ$1005,1,MATCH(COLUMNS($AB$1006:AH1006),$AB$1006:$AQ$1006,0))&gt;=100000), " ",IF(INDEX($AB$2:$AQ$1001,MATCH(ROWS($U$2:U177),$U$2:$U$1001,0),MATCH(COLUMNS($AB$1006:AH1006),$AB$1006:$AQ$1006,0)), HYPERLINK("#",""), HYPERLINK(CONCATENATE("#metadata!", ADDRESS(INDEX($W$2:$W$1001,MATCH(ROWS($U$2:U177),$U$2:$U$1001,0),0), INDEX($AB$1004:$AQ$1004,1,MATCH(COLUMNS($AB$1006:AH1006),$AB$1006:$AQ$1006,0)))),"Fix")))</f>
        <v>0</v>
      </c>
      <c r="I177" s="4">
        <f>IF(OR(INDEX($V$2:$V$1001,MATCH(ROWS($U$2:U177),$U$2:$U$1001,0),1)&gt;=100000,INDEX($AB$1005:$AQ$1005,1,MATCH(COLUMNS($AB$1006:AI1006),$AB$1006:$AQ$1006,0))&gt;=100000), " ",IF(INDEX($AB$2:$AQ$1001,MATCH(ROWS($U$2:U177),$U$2:$U$1001,0),MATCH(COLUMNS($AB$1006:AI1006),$AB$1006:$AQ$1006,0)), HYPERLINK("#",""), HYPERLINK(CONCATENATE("#metadata!", ADDRESS(INDEX($W$2:$W$1001,MATCH(ROWS($U$2:U177),$U$2:$U$1001,0),0), INDEX($AB$1004:$AQ$1004,1,MATCH(COLUMNS($AB$1006:AI1006),$AB$1006:$AQ$1006,0)))),"Fix")))</f>
        <v>0</v>
      </c>
      <c r="J177" s="4">
        <f>IF(OR(INDEX($V$2:$V$1001,MATCH(ROWS($U$2:U177),$U$2:$U$1001,0),1)&gt;=100000,INDEX($AB$1005:$AQ$1005,1,MATCH(COLUMNS($AB$1006:AJ1006),$AB$1006:$AQ$1006,0))&gt;=100000), " ",IF(INDEX($AB$2:$AQ$1001,MATCH(ROWS($U$2:U177),$U$2:$U$1001,0),MATCH(COLUMNS($AB$1006:AJ1006),$AB$1006:$AQ$1006,0)), HYPERLINK("#",""), HYPERLINK(CONCATENATE("#metadata!", ADDRESS(INDEX($W$2:$W$1001,MATCH(ROWS($U$2:U177),$U$2:$U$1001,0),0), INDEX($AB$1004:$AQ$1004,1,MATCH(COLUMNS($AB$1006:AJ1006),$AB$1006:$AQ$1006,0)))),"Fix")))</f>
        <v>0</v>
      </c>
      <c r="K177" s="4">
        <f>IF(OR(INDEX($V$2:$V$1001,MATCH(ROWS($U$2:U177),$U$2:$U$1001,0),1)&gt;=100000,INDEX($AB$1005:$AQ$1005,1,MATCH(COLUMNS($AB$1006:AK1006),$AB$1006:$AQ$1006,0))&gt;=100000), " ",IF(INDEX($AB$2:$AQ$1001,MATCH(ROWS($U$2:U177),$U$2:$U$1001,0),MATCH(COLUMNS($AB$1006:AK1006),$AB$1006:$AQ$1006,0)), HYPERLINK("#",""), HYPERLINK(CONCATENATE("#metadata!", ADDRESS(INDEX($W$2:$W$1001,MATCH(ROWS($U$2:U177),$U$2:$U$1001,0),0), INDEX($AB$1004:$AQ$1004,1,MATCH(COLUMNS($AB$1006:AK1006),$AB$1006:$AQ$1006,0)))),"Fix")))</f>
        <v>0</v>
      </c>
      <c r="L177" s="4">
        <f>IF(OR(INDEX($V$2:$V$1001,MATCH(ROWS($U$2:U177),$U$2:$U$1001,0),1)&gt;=100000,INDEX($AB$1005:$AQ$1005,1,MATCH(COLUMNS($AB$1006:AL1006),$AB$1006:$AQ$1006,0))&gt;=100000), " ",IF(INDEX($AB$2:$AQ$1001,MATCH(ROWS($U$2:U177),$U$2:$U$1001,0),MATCH(COLUMNS($AB$1006:AL1006),$AB$1006:$AQ$1006,0)), HYPERLINK("#",""), HYPERLINK(CONCATENATE("#metadata!", ADDRESS(INDEX($W$2:$W$1001,MATCH(ROWS($U$2:U177),$U$2:$U$1001,0),0), INDEX($AB$1004:$AQ$1004,1,MATCH(COLUMNS($AB$1006:AL1006),$AB$1006:$AQ$1006,0)))),"Fix")))</f>
        <v>0</v>
      </c>
      <c r="M177" s="4">
        <f>IF(OR(INDEX($V$2:$V$1001,MATCH(ROWS($U$2:U177),$U$2:$U$1001,0),1)&gt;=100000,INDEX($AB$1005:$AQ$1005,1,MATCH(COLUMNS($AB$1006:AM1006),$AB$1006:$AQ$1006,0))&gt;=100000), " ",IF(INDEX($AB$2:$AQ$1001,MATCH(ROWS($U$2:U177),$U$2:$U$1001,0),MATCH(COLUMNS($AB$1006:AM1006),$AB$1006:$AQ$1006,0)), HYPERLINK("#",""), HYPERLINK(CONCATENATE("#metadata!", ADDRESS(INDEX($W$2:$W$1001,MATCH(ROWS($U$2:U177),$U$2:$U$1001,0),0), INDEX($AB$1004:$AQ$1004,1,MATCH(COLUMNS($AB$1006:AM1006),$AB$1006:$AQ$1006,0)))),"Fix")))</f>
        <v>0</v>
      </c>
      <c r="N177" s="4">
        <f>IF(OR(INDEX($V$2:$V$1001,MATCH(ROWS($U$2:U177),$U$2:$U$1001,0),1)&gt;=100000,INDEX($AB$1005:$AQ$1005,1,MATCH(COLUMNS($AB$1006:AN1006),$AB$1006:$AQ$1006,0))&gt;=100000), " ",IF(INDEX($AB$2:$AQ$1001,MATCH(ROWS($U$2:U177),$U$2:$U$1001,0),MATCH(COLUMNS($AB$1006:AN1006),$AB$1006:$AQ$1006,0)), HYPERLINK("#",""), HYPERLINK(CONCATENATE("#metadata!", ADDRESS(INDEX($W$2:$W$1001,MATCH(ROWS($U$2:U177),$U$2:$U$1001,0),0), INDEX($AB$1004:$AQ$1004,1,MATCH(COLUMNS($AB$1006:AN1006),$AB$1006:$AQ$1006,0)))),"Fix")))</f>
        <v>0</v>
      </c>
      <c r="O177" s="4">
        <f>IF(OR(INDEX($V$2:$V$1001,MATCH(ROWS($U$2:U177),$U$2:$U$1001,0),1)&gt;=100000,INDEX($AB$1005:$AQ$1005,1,MATCH(COLUMNS($AB$1006:AO1006),$AB$1006:$AQ$1006,0))&gt;=100000), " ",IF(INDEX($AB$2:$AQ$1001,MATCH(ROWS($U$2:U177),$U$2:$U$1001,0),MATCH(COLUMNS($AB$1006:AO1006),$AB$1006:$AQ$1006,0)), HYPERLINK("#",""), HYPERLINK(CONCATENATE("#metadata!", ADDRESS(INDEX($W$2:$W$1001,MATCH(ROWS($U$2:U177),$U$2:$U$1001,0),0), INDEX($AB$1004:$AQ$1004,1,MATCH(COLUMNS($AB$1006:AO1006),$AB$1006:$AQ$1006,0)))),"Fix")))</f>
        <v>0</v>
      </c>
      <c r="P177" s="4">
        <f>IF(OR(INDEX($V$2:$V$1001,MATCH(ROWS($U$2:U177),$U$2:$U$1001,0),1)&gt;=100000,INDEX($AB$1005:$AQ$1005,1,MATCH(COLUMNS($AB$1006:AP1006),$AB$1006:$AQ$1006,0))&gt;=100000), " ",IF(INDEX($AB$2:$AQ$1001,MATCH(ROWS($U$2:U177),$U$2:$U$1001,0),MATCH(COLUMNS($AB$1006:AP1006),$AB$1006:$AQ$1006,0)), HYPERLINK("#",""), HYPERLINK(CONCATENATE("#metadata!", ADDRESS(INDEX($W$2:$W$1001,MATCH(ROWS($U$2:U177),$U$2:$U$1001,0),0), INDEX($AB$1004:$AQ$1004,1,MATCH(COLUMNS($AB$1006:AP1006),$AB$1006:$AQ$1006,0)))),"Fix")))</f>
        <v>0</v>
      </c>
      <c r="Q177" s="4">
        <f>IF(OR(INDEX($V$2:$V$1001,MATCH(ROWS($U$2:U177),$U$2:$U$1001,0),1)&gt;=100000,INDEX($AB$1005:$AQ$1005,1,MATCH(COLUMNS($AB$1006:AQ1006),$AB$1006:$AQ$1006,0))&gt;=100000), " ",IF(INDEX($AB$2:$AQ$1001,MATCH(ROWS($U$2:U177),$U$2:$U$1001,0),MATCH(COLUMNS($AB$1006:AQ1006),$AB$1006:$AQ$1006,0)), HYPERLINK("#",""), HYPERLINK(CONCATENATE("#metadata!", ADDRESS(INDEX($W$2:$W$1001,MATCH(ROWS($U$2:U177),$U$2:$U$1001,0),0), INDEX($AB$1004:$AQ$1004,1,MATCH(COLUMNS($AB$1006:AQ1006),$AB$1006:$AQ$1006,0)))),"Fix")))</f>
        <v>0</v>
      </c>
      <c r="U177">
        <v>0</v>
      </c>
      <c r="V177">
        <v>0</v>
      </c>
      <c r="W177">
        <v>0</v>
      </c>
      <c r="X177">
        <f>IF(Y177,TRUE,AND(AB177:AQ177))</f>
        <v>0</v>
      </c>
      <c r="Y177">
        <f>COUNTBLANK(metadata!B177:Q177)=COLUMNS(metadata!B177:Q177)</f>
        <v>0</v>
      </c>
      <c r="Z177">
        <v>0</v>
      </c>
      <c r="AB177">
        <f>AND(IF(metadata!B177="",FALSE,TRUE),COUNTIF(metadata!B:B, metadata!B177) = 1,NOT(ISERROR(SUMPRODUCT(SEARCH(MID(metadata!B177,ROW(INDIRECT("1:"&amp;LEN(metadata!B177))), 1),"0123456789abcdefghijklmnopqrstuvwxyzABCDEFGHIJKLMNOPQRSTUVWXYZ.")))))</f>
        <v>0</v>
      </c>
      <c r="AC177">
        <f>OR(AND(IF(metadata!C177="",FALSE,TRUE),OR(exact(metadata!C177,"missing: not collected"),exact(metadata!C177,"missing: not provided"),exact(metadata!C177,"missing: restricted access"))),AND(IF(metadata!C177="",FALSE,TRUE),AND(AND(IFERROR(INT(LEFT(metadata!C177,4))&gt;1900,FALSE),IFERROR(INT(LEFT(metadata!C177,4))&lt;=YEAR(NOW()),FALSE)), OR(MID(metadata!C177,5,1)="", AND(AND(MID(metadata!C177,5,1)="-",IFERROR(INT(MID(metadata!C177,6,1))&gt;=0,FALSE),IFERROR(INT(MID(metadata!C177,6,1))&lt;=1,FALSE),NOT(MID(metadata!C177,7,1)=""),IFERROR(INT(MID(metadata!C177,6,2))&gt;=1,FALSE),IFERROR(INT(MID(metadata!C177,6,2))&lt;=12,FALSE)), OR(MID(metadata!C177,8,1)="", AND(AND(MID(metadata!C177,8,1)="-",IFERROR(INT(MID(metadata!C177,9,1))&gt;=0,FALSE),IFERROR(INT(MID(metadata!C177,9,1))&lt;=3,FALSE),NOT(MID(metadata!C177,10,1)=""),IFERROR(INT(MID(metadata!C177,9,2))&gt;=1,FALSE),IFERROR(INT(MID(metadata!C177,9,2))&lt;=31,FALSE)), OR(MID(metadata!C177,11,1)="", AND(AND(MID(metadata!C177,11,1)=" ",IFERROR(INT(MID(metadata!C177,12,1))&gt;=0,FALSE),IFERROR(INT(MID(metadata!C177,12,1))&lt;=2,FALSE),NOT(MID(metadata!C177,13,1)=""),IFERROR(INT(MID(metadata!C177,12,2))&gt;=0,FALSE),IFERROR(INT(MID(metadata!C177,12,2))&lt;=23,FALSE)), OR(MID(metadata!C177,14,1)="", AND(AND(MID(metadata!C177,14,1)=":",IFERROR(INT(MID(metadata!C177,15,1))&gt;=0,FALSE),IFERROR(INT(MID(metadata!C177,15,1))&lt;=5,FALSE),NOT(MID(metadata!C177,16,1)=""),IFERROR(INT(MID(metadata!C177,15,2))&gt;=0,FALSE),IFERROR(INT(MID(metadata!C177,15,2))&lt;=59,FALSE)), OR(MID(metadata!C177,17,1)="", AND(AND(MID(metadata!C177,17,1)=":",IFERROR(INT(MID(metadata!C177,18,1))&gt;=0,FALSE),IFERROR(INT(MID(metadata!C177,18,1))&lt;=5,FALSE),NOT(MID(metadata!C177,19,1)=""),IFERROR(INT(MID(metadata!C177,18,2))&gt;=0,FALSE),IFERROR(INT(MID(metadata!C177,18,2))&lt;=59,FALSE)), LEN(metadata!C177)&lt;=19)))))))))))))</f>
        <v>0</v>
      </c>
      <c r="AD177">
        <f>IF(metadata!D177="",FALSE,TRUE)</f>
        <v>0</v>
      </c>
      <c r="AE177">
        <f>OR(AND(IF(metadata!E177="",FALSE,TRUE),OR(exact(metadata!E177,"missing: not collected"),exact(metadata!E177,"missing: not provided"))),AND(IF(metadata!E177="",FALSE,TRUE),OR(exact(metadata!E177,"TRUE"),exact(metadata!E177,"FALSE"))))</f>
        <v>0</v>
      </c>
      <c r="AF177">
        <f>IF(metadata!F177="",FALSE,TRUE)</f>
        <v>0</v>
      </c>
      <c r="AG177">
        <f>IF(metadata!G177="",FALSE,TRUE)</f>
        <v>0</v>
      </c>
      <c r="AH177">
        <f>IF(metadata!H177="",FALSE,TRUE)</f>
        <v>0</v>
      </c>
      <c r="AI177">
        <f>OR(AND(IF(metadata!I177="",FALSE,TRUE),OR(exact(metadata!I177,"missing: not collected"),exact(metadata!I177,"missing: not provided"),exact(metadata!I177,"missing: restricted access"))),AND(IF(metadata!I177="",FALSE,TRUE),OR(exact(metadata!I177,"air"),exact(metadata!I177,"built environment"),exact(metadata!I177,"host-associated"),exact(metadata!I177,"human-associated"),exact(metadata!I177,"human-skin"),exact(metadata!I177,"human-oral"),exact(metadata!I177,"human-gut"),exact(metadata!I177,"human-vaginal"),exact(metadata!I177,"microbial mat/biofilm"),exact(metadata!I177,"misc environment"),exact(metadata!I177,"plant-associated"),exact(metadata!I177,"sediment"),exact(metadata!I177,"soil"),exact(metadata!I177,"wastewater/sludge"),exact(metadata!I177,"water"))))</f>
        <v>0</v>
      </c>
      <c r="AJ177">
        <f>IF(metadata!J177="",FALSE,TRUE)</f>
        <v>0</v>
      </c>
      <c r="AK177">
        <f>OR(AND(IF(metadata!K177="",FALSE,TRUE),OR(exact(metadata!K177,"missing: not collected"),exact(metadata!K177,"missing: not provided"),exact(metadata!K177,"missing: restricted access"))),AND(IF(metadata!K177="",FALSE,ISNUMBER(VALUE(metadata!K177))),metadata!K177&gt;=-90.00,metadata!K177&lt;=90.00))</f>
        <v>0</v>
      </c>
      <c r="AL177">
        <f>OR(AND(IF(metadata!L177="",FALSE,TRUE),OR(exact(metadata!L177,"missing: not collected"),exact(metadata!L177,"missing: not provided"),exact(metadata!L177,"missing: restricted access"))),AND(IF(metadata!L177="",FALSE,ISNUMBER(VALUE(metadata!L177))),metadata!L177&gt;=-180.00,metadata!L177&lt;=180.00))</f>
        <v>0</v>
      </c>
      <c r="AM177">
        <f>IF(metadata!M177="",FALSE,TRUE)</f>
        <v>0</v>
      </c>
      <c r="AN177">
        <f>OR(AND(IF(metadata!N177="",FALSE,TRUE),OR(exact(metadata!N177,"missing: not collected"),exact(metadata!N177,"missing: not provided"),exact(metadata!N177,"missing: restricted access"))),AND(IF(metadata!N177="",FALSE,TRUE),OR(exact(metadata!N177,"TRUE"),exact(metadata!N177,"FALSE"))))</f>
        <v>0</v>
      </c>
      <c r="AO177">
        <f>IF(metadata!O177="",FALSE,TRUE)</f>
        <v>0</v>
      </c>
      <c r="AP177">
        <f>OR(AND(IF(metadata!P177="",FALSE,TRUE),OR(exact(metadata!P177,"missing: not collected"),exact(metadata!P177,"missing: not provided"))),AND(IF(metadata!P177="",FALSE,IF(ISERROR(INT(metadata!P177)),FALSE,INT(metadata!P177)=metadata!P177)),metadata!P177&gt;0))</f>
        <v>0</v>
      </c>
      <c r="AQ177">
        <f>IF(metadata!Q177="",FALSE,TRUE)</f>
        <v>0</v>
      </c>
    </row>
    <row r="178" spans="1:43">
      <c r="A178" s="5">
        <f>IF(B178=" "," ",HYPERLINK(CONCATENATE("#metadata!",ADDRESS(INDEX($W$2:$W$1001,MATCH(ROWS($U$2:U178),$U$2:$U$1001,0),0),1)),INDEX($Z$2:$Z$1001,MATCH(ROWS($U$2:U178),$U$2:$U$1001,0),0)))</f>
        <v>0</v>
      </c>
      <c r="B178" s="4">
        <f>IF(OR(INDEX($V$2:$V$1001,MATCH(ROWS($U$2:U178),$U$2:$U$1001,0),1)&gt;=100000,INDEX($AB$1005:$AQ$1005,1,MATCH(COLUMNS($AB$1006:AB1006),$AB$1006:$AQ$1006,0))&gt;=100000), " ",IF(INDEX($AB$2:$AQ$1001,MATCH(ROWS($U$2:U178),$U$2:$U$1001,0),MATCH(COLUMNS($AB$1006:AB1006),$AB$1006:$AQ$1006,0)), HYPERLINK("#",""), HYPERLINK(CONCATENATE("#metadata!", ADDRESS(INDEX($W$2:$W$1001,MATCH(ROWS($U$2:U178),$U$2:$U$1001,0),0), INDEX($AB$1004:$AQ$1004,1,MATCH(COLUMNS($AB$1006:AB1006),$AB$1006:$AQ$1006,0)))),"Fix")))</f>
        <v>0</v>
      </c>
      <c r="C178" s="4">
        <f>IF(OR(INDEX($V$2:$V$1001,MATCH(ROWS($U$2:U178),$U$2:$U$1001,0),1)&gt;=100000,INDEX($AB$1005:$AQ$1005,1,MATCH(COLUMNS($AB$1006:AC1006),$AB$1006:$AQ$1006,0))&gt;=100000), " ",IF(INDEX($AB$2:$AQ$1001,MATCH(ROWS($U$2:U178),$U$2:$U$1001,0),MATCH(COLUMNS($AB$1006:AC1006),$AB$1006:$AQ$1006,0)), HYPERLINK("#",""), HYPERLINK(CONCATENATE("#metadata!", ADDRESS(INDEX($W$2:$W$1001,MATCH(ROWS($U$2:U178),$U$2:$U$1001,0),0), INDEX($AB$1004:$AQ$1004,1,MATCH(COLUMNS($AB$1006:AC1006),$AB$1006:$AQ$1006,0)))),"Fix")))</f>
        <v>0</v>
      </c>
      <c r="D178" s="4">
        <f>IF(OR(INDEX($V$2:$V$1001,MATCH(ROWS($U$2:U178),$U$2:$U$1001,0),1)&gt;=100000,INDEX($AB$1005:$AQ$1005,1,MATCH(COLUMNS($AB$1006:AD1006),$AB$1006:$AQ$1006,0))&gt;=100000), " ",IF(INDEX($AB$2:$AQ$1001,MATCH(ROWS($U$2:U178),$U$2:$U$1001,0),MATCH(COLUMNS($AB$1006:AD1006),$AB$1006:$AQ$1006,0)), HYPERLINK("#",""), HYPERLINK(CONCATENATE("#metadata!", ADDRESS(INDEX($W$2:$W$1001,MATCH(ROWS($U$2:U178),$U$2:$U$1001,0),0), INDEX($AB$1004:$AQ$1004,1,MATCH(COLUMNS($AB$1006:AD1006),$AB$1006:$AQ$1006,0)))),"Fix")))</f>
        <v>0</v>
      </c>
      <c r="E178" s="4">
        <f>IF(OR(INDEX($V$2:$V$1001,MATCH(ROWS($U$2:U178),$U$2:$U$1001,0),1)&gt;=100000,INDEX($AB$1005:$AQ$1005,1,MATCH(COLUMNS($AB$1006:AE1006),$AB$1006:$AQ$1006,0))&gt;=100000), " ",IF(INDEX($AB$2:$AQ$1001,MATCH(ROWS($U$2:U178),$U$2:$U$1001,0),MATCH(COLUMNS($AB$1006:AE1006),$AB$1006:$AQ$1006,0)), HYPERLINK("#",""), HYPERLINK(CONCATENATE("#metadata!", ADDRESS(INDEX($W$2:$W$1001,MATCH(ROWS($U$2:U178),$U$2:$U$1001,0),0), INDEX($AB$1004:$AQ$1004,1,MATCH(COLUMNS($AB$1006:AE1006),$AB$1006:$AQ$1006,0)))),"Fix")))</f>
        <v>0</v>
      </c>
      <c r="F178" s="4">
        <f>IF(OR(INDEX($V$2:$V$1001,MATCH(ROWS($U$2:U178),$U$2:$U$1001,0),1)&gt;=100000,INDEX($AB$1005:$AQ$1005,1,MATCH(COLUMNS($AB$1006:AF1006),$AB$1006:$AQ$1006,0))&gt;=100000), " ",IF(INDEX($AB$2:$AQ$1001,MATCH(ROWS($U$2:U178),$U$2:$U$1001,0),MATCH(COLUMNS($AB$1006:AF1006),$AB$1006:$AQ$1006,0)), HYPERLINK("#",""), HYPERLINK(CONCATENATE("#metadata!", ADDRESS(INDEX($W$2:$W$1001,MATCH(ROWS($U$2:U178),$U$2:$U$1001,0),0), INDEX($AB$1004:$AQ$1004,1,MATCH(COLUMNS($AB$1006:AF1006),$AB$1006:$AQ$1006,0)))),"Fix")))</f>
        <v>0</v>
      </c>
      <c r="G178" s="4">
        <f>IF(OR(INDEX($V$2:$V$1001,MATCH(ROWS($U$2:U178),$U$2:$U$1001,0),1)&gt;=100000,INDEX($AB$1005:$AQ$1005,1,MATCH(COLUMNS($AB$1006:AG1006),$AB$1006:$AQ$1006,0))&gt;=100000), " ",IF(INDEX($AB$2:$AQ$1001,MATCH(ROWS($U$2:U178),$U$2:$U$1001,0),MATCH(COLUMNS($AB$1006:AG1006),$AB$1006:$AQ$1006,0)), HYPERLINK("#",""), HYPERLINK(CONCATENATE("#metadata!", ADDRESS(INDEX($W$2:$W$1001,MATCH(ROWS($U$2:U178),$U$2:$U$1001,0),0), INDEX($AB$1004:$AQ$1004,1,MATCH(COLUMNS($AB$1006:AG1006),$AB$1006:$AQ$1006,0)))),"Fix")))</f>
        <v>0</v>
      </c>
      <c r="H178" s="4">
        <f>IF(OR(INDEX($V$2:$V$1001,MATCH(ROWS($U$2:U178),$U$2:$U$1001,0),1)&gt;=100000,INDEX($AB$1005:$AQ$1005,1,MATCH(COLUMNS($AB$1006:AH1006),$AB$1006:$AQ$1006,0))&gt;=100000), " ",IF(INDEX($AB$2:$AQ$1001,MATCH(ROWS($U$2:U178),$U$2:$U$1001,0),MATCH(COLUMNS($AB$1006:AH1006),$AB$1006:$AQ$1006,0)), HYPERLINK("#",""), HYPERLINK(CONCATENATE("#metadata!", ADDRESS(INDEX($W$2:$W$1001,MATCH(ROWS($U$2:U178),$U$2:$U$1001,0),0), INDEX($AB$1004:$AQ$1004,1,MATCH(COLUMNS($AB$1006:AH1006),$AB$1006:$AQ$1006,0)))),"Fix")))</f>
        <v>0</v>
      </c>
      <c r="I178" s="4">
        <f>IF(OR(INDEX($V$2:$V$1001,MATCH(ROWS($U$2:U178),$U$2:$U$1001,0),1)&gt;=100000,INDEX($AB$1005:$AQ$1005,1,MATCH(COLUMNS($AB$1006:AI1006),$AB$1006:$AQ$1006,0))&gt;=100000), " ",IF(INDEX($AB$2:$AQ$1001,MATCH(ROWS($U$2:U178),$U$2:$U$1001,0),MATCH(COLUMNS($AB$1006:AI1006),$AB$1006:$AQ$1006,0)), HYPERLINK("#",""), HYPERLINK(CONCATENATE("#metadata!", ADDRESS(INDEX($W$2:$W$1001,MATCH(ROWS($U$2:U178),$U$2:$U$1001,0),0), INDEX($AB$1004:$AQ$1004,1,MATCH(COLUMNS($AB$1006:AI1006),$AB$1006:$AQ$1006,0)))),"Fix")))</f>
        <v>0</v>
      </c>
      <c r="J178" s="4">
        <f>IF(OR(INDEX($V$2:$V$1001,MATCH(ROWS($U$2:U178),$U$2:$U$1001,0),1)&gt;=100000,INDEX($AB$1005:$AQ$1005,1,MATCH(COLUMNS($AB$1006:AJ1006),$AB$1006:$AQ$1006,0))&gt;=100000), " ",IF(INDEX($AB$2:$AQ$1001,MATCH(ROWS($U$2:U178),$U$2:$U$1001,0),MATCH(COLUMNS($AB$1006:AJ1006),$AB$1006:$AQ$1006,0)), HYPERLINK("#",""), HYPERLINK(CONCATENATE("#metadata!", ADDRESS(INDEX($W$2:$W$1001,MATCH(ROWS($U$2:U178),$U$2:$U$1001,0),0), INDEX($AB$1004:$AQ$1004,1,MATCH(COLUMNS($AB$1006:AJ1006),$AB$1006:$AQ$1006,0)))),"Fix")))</f>
        <v>0</v>
      </c>
      <c r="K178" s="4">
        <f>IF(OR(INDEX($V$2:$V$1001,MATCH(ROWS($U$2:U178),$U$2:$U$1001,0),1)&gt;=100000,INDEX($AB$1005:$AQ$1005,1,MATCH(COLUMNS($AB$1006:AK1006),$AB$1006:$AQ$1006,0))&gt;=100000), " ",IF(INDEX($AB$2:$AQ$1001,MATCH(ROWS($U$2:U178),$U$2:$U$1001,0),MATCH(COLUMNS($AB$1006:AK1006),$AB$1006:$AQ$1006,0)), HYPERLINK("#",""), HYPERLINK(CONCATENATE("#metadata!", ADDRESS(INDEX($W$2:$W$1001,MATCH(ROWS($U$2:U178),$U$2:$U$1001,0),0), INDEX($AB$1004:$AQ$1004,1,MATCH(COLUMNS($AB$1006:AK1006),$AB$1006:$AQ$1006,0)))),"Fix")))</f>
        <v>0</v>
      </c>
      <c r="L178" s="4">
        <f>IF(OR(INDEX($V$2:$V$1001,MATCH(ROWS($U$2:U178),$U$2:$U$1001,0),1)&gt;=100000,INDEX($AB$1005:$AQ$1005,1,MATCH(COLUMNS($AB$1006:AL1006),$AB$1006:$AQ$1006,0))&gt;=100000), " ",IF(INDEX($AB$2:$AQ$1001,MATCH(ROWS($U$2:U178),$U$2:$U$1001,0),MATCH(COLUMNS($AB$1006:AL1006),$AB$1006:$AQ$1006,0)), HYPERLINK("#",""), HYPERLINK(CONCATENATE("#metadata!", ADDRESS(INDEX($W$2:$W$1001,MATCH(ROWS($U$2:U178),$U$2:$U$1001,0),0), INDEX($AB$1004:$AQ$1004,1,MATCH(COLUMNS($AB$1006:AL1006),$AB$1006:$AQ$1006,0)))),"Fix")))</f>
        <v>0</v>
      </c>
      <c r="M178" s="4">
        <f>IF(OR(INDEX($V$2:$V$1001,MATCH(ROWS($U$2:U178),$U$2:$U$1001,0),1)&gt;=100000,INDEX($AB$1005:$AQ$1005,1,MATCH(COLUMNS($AB$1006:AM1006),$AB$1006:$AQ$1006,0))&gt;=100000), " ",IF(INDEX($AB$2:$AQ$1001,MATCH(ROWS($U$2:U178),$U$2:$U$1001,0),MATCH(COLUMNS($AB$1006:AM1006),$AB$1006:$AQ$1006,0)), HYPERLINK("#",""), HYPERLINK(CONCATENATE("#metadata!", ADDRESS(INDEX($W$2:$W$1001,MATCH(ROWS($U$2:U178),$U$2:$U$1001,0),0), INDEX($AB$1004:$AQ$1004,1,MATCH(COLUMNS($AB$1006:AM1006),$AB$1006:$AQ$1006,0)))),"Fix")))</f>
        <v>0</v>
      </c>
      <c r="N178" s="4">
        <f>IF(OR(INDEX($V$2:$V$1001,MATCH(ROWS($U$2:U178),$U$2:$U$1001,0),1)&gt;=100000,INDEX($AB$1005:$AQ$1005,1,MATCH(COLUMNS($AB$1006:AN1006),$AB$1006:$AQ$1006,0))&gt;=100000), " ",IF(INDEX($AB$2:$AQ$1001,MATCH(ROWS($U$2:U178),$U$2:$U$1001,0),MATCH(COLUMNS($AB$1006:AN1006),$AB$1006:$AQ$1006,0)), HYPERLINK("#",""), HYPERLINK(CONCATENATE("#metadata!", ADDRESS(INDEX($W$2:$W$1001,MATCH(ROWS($U$2:U178),$U$2:$U$1001,0),0), INDEX($AB$1004:$AQ$1004,1,MATCH(COLUMNS($AB$1006:AN1006),$AB$1006:$AQ$1006,0)))),"Fix")))</f>
        <v>0</v>
      </c>
      <c r="O178" s="4">
        <f>IF(OR(INDEX($V$2:$V$1001,MATCH(ROWS($U$2:U178),$U$2:$U$1001,0),1)&gt;=100000,INDEX($AB$1005:$AQ$1005,1,MATCH(COLUMNS($AB$1006:AO1006),$AB$1006:$AQ$1006,0))&gt;=100000), " ",IF(INDEX($AB$2:$AQ$1001,MATCH(ROWS($U$2:U178),$U$2:$U$1001,0),MATCH(COLUMNS($AB$1006:AO1006),$AB$1006:$AQ$1006,0)), HYPERLINK("#",""), HYPERLINK(CONCATENATE("#metadata!", ADDRESS(INDEX($W$2:$W$1001,MATCH(ROWS($U$2:U178),$U$2:$U$1001,0),0), INDEX($AB$1004:$AQ$1004,1,MATCH(COLUMNS($AB$1006:AO1006),$AB$1006:$AQ$1006,0)))),"Fix")))</f>
        <v>0</v>
      </c>
      <c r="P178" s="4">
        <f>IF(OR(INDEX($V$2:$V$1001,MATCH(ROWS($U$2:U178),$U$2:$U$1001,0),1)&gt;=100000,INDEX($AB$1005:$AQ$1005,1,MATCH(COLUMNS($AB$1006:AP1006),$AB$1006:$AQ$1006,0))&gt;=100000), " ",IF(INDEX($AB$2:$AQ$1001,MATCH(ROWS($U$2:U178),$U$2:$U$1001,0),MATCH(COLUMNS($AB$1006:AP1006),$AB$1006:$AQ$1006,0)), HYPERLINK("#",""), HYPERLINK(CONCATENATE("#metadata!", ADDRESS(INDEX($W$2:$W$1001,MATCH(ROWS($U$2:U178),$U$2:$U$1001,0),0), INDEX($AB$1004:$AQ$1004,1,MATCH(COLUMNS($AB$1006:AP1006),$AB$1006:$AQ$1006,0)))),"Fix")))</f>
        <v>0</v>
      </c>
      <c r="Q178" s="4">
        <f>IF(OR(INDEX($V$2:$V$1001,MATCH(ROWS($U$2:U178),$U$2:$U$1001,0),1)&gt;=100000,INDEX($AB$1005:$AQ$1005,1,MATCH(COLUMNS($AB$1006:AQ1006),$AB$1006:$AQ$1006,0))&gt;=100000), " ",IF(INDEX($AB$2:$AQ$1001,MATCH(ROWS($U$2:U178),$U$2:$U$1001,0),MATCH(COLUMNS($AB$1006:AQ1006),$AB$1006:$AQ$1006,0)), HYPERLINK("#",""), HYPERLINK(CONCATENATE("#metadata!", ADDRESS(INDEX($W$2:$W$1001,MATCH(ROWS($U$2:U178),$U$2:$U$1001,0),0), INDEX($AB$1004:$AQ$1004,1,MATCH(COLUMNS($AB$1006:AQ1006),$AB$1006:$AQ$1006,0)))),"Fix")))</f>
        <v>0</v>
      </c>
      <c r="U178">
        <v>0</v>
      </c>
      <c r="V178">
        <v>0</v>
      </c>
      <c r="W178">
        <v>0</v>
      </c>
      <c r="X178">
        <f>IF(Y178,TRUE,AND(AB178:AQ178))</f>
        <v>0</v>
      </c>
      <c r="Y178">
        <f>COUNTBLANK(metadata!B178:Q178)=COLUMNS(metadata!B178:Q178)</f>
        <v>0</v>
      </c>
      <c r="Z178">
        <v>0</v>
      </c>
      <c r="AB178">
        <f>AND(IF(metadata!B178="",FALSE,TRUE),COUNTIF(metadata!B:B, metadata!B178) = 1,NOT(ISERROR(SUMPRODUCT(SEARCH(MID(metadata!B178,ROW(INDIRECT("1:"&amp;LEN(metadata!B178))), 1),"0123456789abcdefghijklmnopqrstuvwxyzABCDEFGHIJKLMNOPQRSTUVWXYZ.")))))</f>
        <v>0</v>
      </c>
      <c r="AC178">
        <f>OR(AND(IF(metadata!C178="",FALSE,TRUE),OR(exact(metadata!C178,"missing: not collected"),exact(metadata!C178,"missing: not provided"),exact(metadata!C178,"missing: restricted access"))),AND(IF(metadata!C178="",FALSE,TRUE),AND(AND(IFERROR(INT(LEFT(metadata!C178,4))&gt;1900,FALSE),IFERROR(INT(LEFT(metadata!C178,4))&lt;=YEAR(NOW()),FALSE)), OR(MID(metadata!C178,5,1)="", AND(AND(MID(metadata!C178,5,1)="-",IFERROR(INT(MID(metadata!C178,6,1))&gt;=0,FALSE),IFERROR(INT(MID(metadata!C178,6,1))&lt;=1,FALSE),NOT(MID(metadata!C178,7,1)=""),IFERROR(INT(MID(metadata!C178,6,2))&gt;=1,FALSE),IFERROR(INT(MID(metadata!C178,6,2))&lt;=12,FALSE)), OR(MID(metadata!C178,8,1)="", AND(AND(MID(metadata!C178,8,1)="-",IFERROR(INT(MID(metadata!C178,9,1))&gt;=0,FALSE),IFERROR(INT(MID(metadata!C178,9,1))&lt;=3,FALSE),NOT(MID(metadata!C178,10,1)=""),IFERROR(INT(MID(metadata!C178,9,2))&gt;=1,FALSE),IFERROR(INT(MID(metadata!C178,9,2))&lt;=31,FALSE)), OR(MID(metadata!C178,11,1)="", AND(AND(MID(metadata!C178,11,1)=" ",IFERROR(INT(MID(metadata!C178,12,1))&gt;=0,FALSE),IFERROR(INT(MID(metadata!C178,12,1))&lt;=2,FALSE),NOT(MID(metadata!C178,13,1)=""),IFERROR(INT(MID(metadata!C178,12,2))&gt;=0,FALSE),IFERROR(INT(MID(metadata!C178,12,2))&lt;=23,FALSE)), OR(MID(metadata!C178,14,1)="", AND(AND(MID(metadata!C178,14,1)=":",IFERROR(INT(MID(metadata!C178,15,1))&gt;=0,FALSE),IFERROR(INT(MID(metadata!C178,15,1))&lt;=5,FALSE),NOT(MID(metadata!C178,16,1)=""),IFERROR(INT(MID(metadata!C178,15,2))&gt;=0,FALSE),IFERROR(INT(MID(metadata!C178,15,2))&lt;=59,FALSE)), OR(MID(metadata!C178,17,1)="", AND(AND(MID(metadata!C178,17,1)=":",IFERROR(INT(MID(metadata!C178,18,1))&gt;=0,FALSE),IFERROR(INT(MID(metadata!C178,18,1))&lt;=5,FALSE),NOT(MID(metadata!C178,19,1)=""),IFERROR(INT(MID(metadata!C178,18,2))&gt;=0,FALSE),IFERROR(INT(MID(metadata!C178,18,2))&lt;=59,FALSE)), LEN(metadata!C178)&lt;=19)))))))))))))</f>
        <v>0</v>
      </c>
      <c r="AD178">
        <f>IF(metadata!D178="",FALSE,TRUE)</f>
        <v>0</v>
      </c>
      <c r="AE178">
        <f>OR(AND(IF(metadata!E178="",FALSE,TRUE),OR(exact(metadata!E178,"missing: not collected"),exact(metadata!E178,"missing: not provided"))),AND(IF(metadata!E178="",FALSE,TRUE),OR(exact(metadata!E178,"TRUE"),exact(metadata!E178,"FALSE"))))</f>
        <v>0</v>
      </c>
      <c r="AF178">
        <f>IF(metadata!F178="",FALSE,TRUE)</f>
        <v>0</v>
      </c>
      <c r="AG178">
        <f>IF(metadata!G178="",FALSE,TRUE)</f>
        <v>0</v>
      </c>
      <c r="AH178">
        <f>IF(metadata!H178="",FALSE,TRUE)</f>
        <v>0</v>
      </c>
      <c r="AI178">
        <f>OR(AND(IF(metadata!I178="",FALSE,TRUE),OR(exact(metadata!I178,"missing: not collected"),exact(metadata!I178,"missing: not provided"),exact(metadata!I178,"missing: restricted access"))),AND(IF(metadata!I178="",FALSE,TRUE),OR(exact(metadata!I178,"air"),exact(metadata!I178,"built environment"),exact(metadata!I178,"host-associated"),exact(metadata!I178,"human-associated"),exact(metadata!I178,"human-skin"),exact(metadata!I178,"human-oral"),exact(metadata!I178,"human-gut"),exact(metadata!I178,"human-vaginal"),exact(metadata!I178,"microbial mat/biofilm"),exact(metadata!I178,"misc environment"),exact(metadata!I178,"plant-associated"),exact(metadata!I178,"sediment"),exact(metadata!I178,"soil"),exact(metadata!I178,"wastewater/sludge"),exact(metadata!I178,"water"))))</f>
        <v>0</v>
      </c>
      <c r="AJ178">
        <f>IF(metadata!J178="",FALSE,TRUE)</f>
        <v>0</v>
      </c>
      <c r="AK178">
        <f>OR(AND(IF(metadata!K178="",FALSE,TRUE),OR(exact(metadata!K178,"missing: not collected"),exact(metadata!K178,"missing: not provided"),exact(metadata!K178,"missing: restricted access"))),AND(IF(metadata!K178="",FALSE,ISNUMBER(VALUE(metadata!K178))),metadata!K178&gt;=-90.00,metadata!K178&lt;=90.00))</f>
        <v>0</v>
      </c>
      <c r="AL178">
        <f>OR(AND(IF(metadata!L178="",FALSE,TRUE),OR(exact(metadata!L178,"missing: not collected"),exact(metadata!L178,"missing: not provided"),exact(metadata!L178,"missing: restricted access"))),AND(IF(metadata!L178="",FALSE,ISNUMBER(VALUE(metadata!L178))),metadata!L178&gt;=-180.00,metadata!L178&lt;=180.00))</f>
        <v>0</v>
      </c>
      <c r="AM178">
        <f>IF(metadata!M178="",FALSE,TRUE)</f>
        <v>0</v>
      </c>
      <c r="AN178">
        <f>OR(AND(IF(metadata!N178="",FALSE,TRUE),OR(exact(metadata!N178,"missing: not collected"),exact(metadata!N178,"missing: not provided"),exact(metadata!N178,"missing: restricted access"))),AND(IF(metadata!N178="",FALSE,TRUE),OR(exact(metadata!N178,"TRUE"),exact(metadata!N178,"FALSE"))))</f>
        <v>0</v>
      </c>
      <c r="AO178">
        <f>IF(metadata!O178="",FALSE,TRUE)</f>
        <v>0</v>
      </c>
      <c r="AP178">
        <f>OR(AND(IF(metadata!P178="",FALSE,TRUE),OR(exact(metadata!P178,"missing: not collected"),exact(metadata!P178,"missing: not provided"))),AND(IF(metadata!P178="",FALSE,IF(ISERROR(INT(metadata!P178)),FALSE,INT(metadata!P178)=metadata!P178)),metadata!P178&gt;0))</f>
        <v>0</v>
      </c>
      <c r="AQ178">
        <f>IF(metadata!Q178="",FALSE,TRUE)</f>
        <v>0</v>
      </c>
    </row>
    <row r="179" spans="1:43">
      <c r="A179" s="5">
        <f>IF(B179=" "," ",HYPERLINK(CONCATENATE("#metadata!",ADDRESS(INDEX($W$2:$W$1001,MATCH(ROWS($U$2:U179),$U$2:$U$1001,0),0),1)),INDEX($Z$2:$Z$1001,MATCH(ROWS($U$2:U179),$U$2:$U$1001,0),0)))</f>
        <v>0</v>
      </c>
      <c r="B179" s="4">
        <f>IF(OR(INDEX($V$2:$V$1001,MATCH(ROWS($U$2:U179),$U$2:$U$1001,0),1)&gt;=100000,INDEX($AB$1005:$AQ$1005,1,MATCH(COLUMNS($AB$1006:AB1006),$AB$1006:$AQ$1006,0))&gt;=100000), " ",IF(INDEX($AB$2:$AQ$1001,MATCH(ROWS($U$2:U179),$U$2:$U$1001,0),MATCH(COLUMNS($AB$1006:AB1006),$AB$1006:$AQ$1006,0)), HYPERLINK("#",""), HYPERLINK(CONCATENATE("#metadata!", ADDRESS(INDEX($W$2:$W$1001,MATCH(ROWS($U$2:U179),$U$2:$U$1001,0),0), INDEX($AB$1004:$AQ$1004,1,MATCH(COLUMNS($AB$1006:AB1006),$AB$1006:$AQ$1006,0)))),"Fix")))</f>
        <v>0</v>
      </c>
      <c r="C179" s="4">
        <f>IF(OR(INDEX($V$2:$V$1001,MATCH(ROWS($U$2:U179),$U$2:$U$1001,0),1)&gt;=100000,INDEX($AB$1005:$AQ$1005,1,MATCH(COLUMNS($AB$1006:AC1006),$AB$1006:$AQ$1006,0))&gt;=100000), " ",IF(INDEX($AB$2:$AQ$1001,MATCH(ROWS($U$2:U179),$U$2:$U$1001,0),MATCH(COLUMNS($AB$1006:AC1006),$AB$1006:$AQ$1006,0)), HYPERLINK("#",""), HYPERLINK(CONCATENATE("#metadata!", ADDRESS(INDEX($W$2:$W$1001,MATCH(ROWS($U$2:U179),$U$2:$U$1001,0),0), INDEX($AB$1004:$AQ$1004,1,MATCH(COLUMNS($AB$1006:AC1006),$AB$1006:$AQ$1006,0)))),"Fix")))</f>
        <v>0</v>
      </c>
      <c r="D179" s="4">
        <f>IF(OR(INDEX($V$2:$V$1001,MATCH(ROWS($U$2:U179),$U$2:$U$1001,0),1)&gt;=100000,INDEX($AB$1005:$AQ$1005,1,MATCH(COLUMNS($AB$1006:AD1006),$AB$1006:$AQ$1006,0))&gt;=100000), " ",IF(INDEX($AB$2:$AQ$1001,MATCH(ROWS($U$2:U179),$U$2:$U$1001,0),MATCH(COLUMNS($AB$1006:AD1006),$AB$1006:$AQ$1006,0)), HYPERLINK("#",""), HYPERLINK(CONCATENATE("#metadata!", ADDRESS(INDEX($W$2:$W$1001,MATCH(ROWS($U$2:U179),$U$2:$U$1001,0),0), INDEX($AB$1004:$AQ$1004,1,MATCH(COLUMNS($AB$1006:AD1006),$AB$1006:$AQ$1006,0)))),"Fix")))</f>
        <v>0</v>
      </c>
      <c r="E179" s="4">
        <f>IF(OR(INDEX($V$2:$V$1001,MATCH(ROWS($U$2:U179),$U$2:$U$1001,0),1)&gt;=100000,INDEX($AB$1005:$AQ$1005,1,MATCH(COLUMNS($AB$1006:AE1006),$AB$1006:$AQ$1006,0))&gt;=100000), " ",IF(INDEX($AB$2:$AQ$1001,MATCH(ROWS($U$2:U179),$U$2:$U$1001,0),MATCH(COLUMNS($AB$1006:AE1006),$AB$1006:$AQ$1006,0)), HYPERLINK("#",""), HYPERLINK(CONCATENATE("#metadata!", ADDRESS(INDEX($W$2:$W$1001,MATCH(ROWS($U$2:U179),$U$2:$U$1001,0),0), INDEX($AB$1004:$AQ$1004,1,MATCH(COLUMNS($AB$1006:AE1006),$AB$1006:$AQ$1006,0)))),"Fix")))</f>
        <v>0</v>
      </c>
      <c r="F179" s="4">
        <f>IF(OR(INDEX($V$2:$V$1001,MATCH(ROWS($U$2:U179),$U$2:$U$1001,0),1)&gt;=100000,INDEX($AB$1005:$AQ$1005,1,MATCH(COLUMNS($AB$1006:AF1006),$AB$1006:$AQ$1006,0))&gt;=100000), " ",IF(INDEX($AB$2:$AQ$1001,MATCH(ROWS($U$2:U179),$U$2:$U$1001,0),MATCH(COLUMNS($AB$1006:AF1006),$AB$1006:$AQ$1006,0)), HYPERLINK("#",""), HYPERLINK(CONCATENATE("#metadata!", ADDRESS(INDEX($W$2:$W$1001,MATCH(ROWS($U$2:U179),$U$2:$U$1001,0),0), INDEX($AB$1004:$AQ$1004,1,MATCH(COLUMNS($AB$1006:AF1006),$AB$1006:$AQ$1006,0)))),"Fix")))</f>
        <v>0</v>
      </c>
      <c r="G179" s="4">
        <f>IF(OR(INDEX($V$2:$V$1001,MATCH(ROWS($U$2:U179),$U$2:$U$1001,0),1)&gt;=100000,INDEX($AB$1005:$AQ$1005,1,MATCH(COLUMNS($AB$1006:AG1006),$AB$1006:$AQ$1006,0))&gt;=100000), " ",IF(INDEX($AB$2:$AQ$1001,MATCH(ROWS($U$2:U179),$U$2:$U$1001,0),MATCH(COLUMNS($AB$1006:AG1006),$AB$1006:$AQ$1006,0)), HYPERLINK("#",""), HYPERLINK(CONCATENATE("#metadata!", ADDRESS(INDEX($W$2:$W$1001,MATCH(ROWS($U$2:U179),$U$2:$U$1001,0),0), INDEX($AB$1004:$AQ$1004,1,MATCH(COLUMNS($AB$1006:AG1006),$AB$1006:$AQ$1006,0)))),"Fix")))</f>
        <v>0</v>
      </c>
      <c r="H179" s="4">
        <f>IF(OR(INDEX($V$2:$V$1001,MATCH(ROWS($U$2:U179),$U$2:$U$1001,0),1)&gt;=100000,INDEX($AB$1005:$AQ$1005,1,MATCH(COLUMNS($AB$1006:AH1006),$AB$1006:$AQ$1006,0))&gt;=100000), " ",IF(INDEX($AB$2:$AQ$1001,MATCH(ROWS($U$2:U179),$U$2:$U$1001,0),MATCH(COLUMNS($AB$1006:AH1006),$AB$1006:$AQ$1006,0)), HYPERLINK("#",""), HYPERLINK(CONCATENATE("#metadata!", ADDRESS(INDEX($W$2:$W$1001,MATCH(ROWS($U$2:U179),$U$2:$U$1001,0),0), INDEX($AB$1004:$AQ$1004,1,MATCH(COLUMNS($AB$1006:AH1006),$AB$1006:$AQ$1006,0)))),"Fix")))</f>
        <v>0</v>
      </c>
      <c r="I179" s="4">
        <f>IF(OR(INDEX($V$2:$V$1001,MATCH(ROWS($U$2:U179),$U$2:$U$1001,0),1)&gt;=100000,INDEX($AB$1005:$AQ$1005,1,MATCH(COLUMNS($AB$1006:AI1006),$AB$1006:$AQ$1006,0))&gt;=100000), " ",IF(INDEX($AB$2:$AQ$1001,MATCH(ROWS($U$2:U179),$U$2:$U$1001,0),MATCH(COLUMNS($AB$1006:AI1006),$AB$1006:$AQ$1006,0)), HYPERLINK("#",""), HYPERLINK(CONCATENATE("#metadata!", ADDRESS(INDEX($W$2:$W$1001,MATCH(ROWS($U$2:U179),$U$2:$U$1001,0),0), INDEX($AB$1004:$AQ$1004,1,MATCH(COLUMNS($AB$1006:AI1006),$AB$1006:$AQ$1006,0)))),"Fix")))</f>
        <v>0</v>
      </c>
      <c r="J179" s="4">
        <f>IF(OR(INDEX($V$2:$V$1001,MATCH(ROWS($U$2:U179),$U$2:$U$1001,0),1)&gt;=100000,INDEX($AB$1005:$AQ$1005,1,MATCH(COLUMNS($AB$1006:AJ1006),$AB$1006:$AQ$1006,0))&gt;=100000), " ",IF(INDEX($AB$2:$AQ$1001,MATCH(ROWS($U$2:U179),$U$2:$U$1001,0),MATCH(COLUMNS($AB$1006:AJ1006),$AB$1006:$AQ$1006,0)), HYPERLINK("#",""), HYPERLINK(CONCATENATE("#metadata!", ADDRESS(INDEX($W$2:$W$1001,MATCH(ROWS($U$2:U179),$U$2:$U$1001,0),0), INDEX($AB$1004:$AQ$1004,1,MATCH(COLUMNS($AB$1006:AJ1006),$AB$1006:$AQ$1006,0)))),"Fix")))</f>
        <v>0</v>
      </c>
      <c r="K179" s="4">
        <f>IF(OR(INDEX($V$2:$V$1001,MATCH(ROWS($U$2:U179),$U$2:$U$1001,0),1)&gt;=100000,INDEX($AB$1005:$AQ$1005,1,MATCH(COLUMNS($AB$1006:AK1006),$AB$1006:$AQ$1006,0))&gt;=100000), " ",IF(INDEX($AB$2:$AQ$1001,MATCH(ROWS($U$2:U179),$U$2:$U$1001,0),MATCH(COLUMNS($AB$1006:AK1006),$AB$1006:$AQ$1006,0)), HYPERLINK("#",""), HYPERLINK(CONCATENATE("#metadata!", ADDRESS(INDEX($W$2:$W$1001,MATCH(ROWS($U$2:U179),$U$2:$U$1001,0),0), INDEX($AB$1004:$AQ$1004,1,MATCH(COLUMNS($AB$1006:AK1006),$AB$1006:$AQ$1006,0)))),"Fix")))</f>
        <v>0</v>
      </c>
      <c r="L179" s="4">
        <f>IF(OR(INDEX($V$2:$V$1001,MATCH(ROWS($U$2:U179),$U$2:$U$1001,0),1)&gt;=100000,INDEX($AB$1005:$AQ$1005,1,MATCH(COLUMNS($AB$1006:AL1006),$AB$1006:$AQ$1006,0))&gt;=100000), " ",IF(INDEX($AB$2:$AQ$1001,MATCH(ROWS($U$2:U179),$U$2:$U$1001,0),MATCH(COLUMNS($AB$1006:AL1006),$AB$1006:$AQ$1006,0)), HYPERLINK("#",""), HYPERLINK(CONCATENATE("#metadata!", ADDRESS(INDEX($W$2:$W$1001,MATCH(ROWS($U$2:U179),$U$2:$U$1001,0),0), INDEX($AB$1004:$AQ$1004,1,MATCH(COLUMNS($AB$1006:AL1006),$AB$1006:$AQ$1006,0)))),"Fix")))</f>
        <v>0</v>
      </c>
      <c r="M179" s="4">
        <f>IF(OR(INDEX($V$2:$V$1001,MATCH(ROWS($U$2:U179),$U$2:$U$1001,0),1)&gt;=100000,INDEX($AB$1005:$AQ$1005,1,MATCH(COLUMNS($AB$1006:AM1006),$AB$1006:$AQ$1006,0))&gt;=100000), " ",IF(INDEX($AB$2:$AQ$1001,MATCH(ROWS($U$2:U179),$U$2:$U$1001,0),MATCH(COLUMNS($AB$1006:AM1006),$AB$1006:$AQ$1006,0)), HYPERLINK("#",""), HYPERLINK(CONCATENATE("#metadata!", ADDRESS(INDEX($W$2:$W$1001,MATCH(ROWS($U$2:U179),$U$2:$U$1001,0),0), INDEX($AB$1004:$AQ$1004,1,MATCH(COLUMNS($AB$1006:AM1006),$AB$1006:$AQ$1006,0)))),"Fix")))</f>
        <v>0</v>
      </c>
      <c r="N179" s="4">
        <f>IF(OR(INDEX($V$2:$V$1001,MATCH(ROWS($U$2:U179),$U$2:$U$1001,0),1)&gt;=100000,INDEX($AB$1005:$AQ$1005,1,MATCH(COLUMNS($AB$1006:AN1006),$AB$1006:$AQ$1006,0))&gt;=100000), " ",IF(INDEX($AB$2:$AQ$1001,MATCH(ROWS($U$2:U179),$U$2:$U$1001,0),MATCH(COLUMNS($AB$1006:AN1006),$AB$1006:$AQ$1006,0)), HYPERLINK("#",""), HYPERLINK(CONCATENATE("#metadata!", ADDRESS(INDEX($W$2:$W$1001,MATCH(ROWS($U$2:U179),$U$2:$U$1001,0),0), INDEX($AB$1004:$AQ$1004,1,MATCH(COLUMNS($AB$1006:AN1006),$AB$1006:$AQ$1006,0)))),"Fix")))</f>
        <v>0</v>
      </c>
      <c r="O179" s="4">
        <f>IF(OR(INDEX($V$2:$V$1001,MATCH(ROWS($U$2:U179),$U$2:$U$1001,0),1)&gt;=100000,INDEX($AB$1005:$AQ$1005,1,MATCH(COLUMNS($AB$1006:AO1006),$AB$1006:$AQ$1006,0))&gt;=100000), " ",IF(INDEX($AB$2:$AQ$1001,MATCH(ROWS($U$2:U179),$U$2:$U$1001,0),MATCH(COLUMNS($AB$1006:AO1006),$AB$1006:$AQ$1006,0)), HYPERLINK("#",""), HYPERLINK(CONCATENATE("#metadata!", ADDRESS(INDEX($W$2:$W$1001,MATCH(ROWS($U$2:U179),$U$2:$U$1001,0),0), INDEX($AB$1004:$AQ$1004,1,MATCH(COLUMNS($AB$1006:AO1006),$AB$1006:$AQ$1006,0)))),"Fix")))</f>
        <v>0</v>
      </c>
      <c r="P179" s="4">
        <f>IF(OR(INDEX($V$2:$V$1001,MATCH(ROWS($U$2:U179),$U$2:$U$1001,0),1)&gt;=100000,INDEX($AB$1005:$AQ$1005,1,MATCH(COLUMNS($AB$1006:AP1006),$AB$1006:$AQ$1006,0))&gt;=100000), " ",IF(INDEX($AB$2:$AQ$1001,MATCH(ROWS($U$2:U179),$U$2:$U$1001,0),MATCH(COLUMNS($AB$1006:AP1006),$AB$1006:$AQ$1006,0)), HYPERLINK("#",""), HYPERLINK(CONCATENATE("#metadata!", ADDRESS(INDEX($W$2:$W$1001,MATCH(ROWS($U$2:U179),$U$2:$U$1001,0),0), INDEX($AB$1004:$AQ$1004,1,MATCH(COLUMNS($AB$1006:AP1006),$AB$1006:$AQ$1006,0)))),"Fix")))</f>
        <v>0</v>
      </c>
      <c r="Q179" s="4">
        <f>IF(OR(INDEX($V$2:$V$1001,MATCH(ROWS($U$2:U179),$U$2:$U$1001,0),1)&gt;=100000,INDEX($AB$1005:$AQ$1005,1,MATCH(COLUMNS($AB$1006:AQ1006),$AB$1006:$AQ$1006,0))&gt;=100000), " ",IF(INDEX($AB$2:$AQ$1001,MATCH(ROWS($U$2:U179),$U$2:$U$1001,0),MATCH(COLUMNS($AB$1006:AQ1006),$AB$1006:$AQ$1006,0)), HYPERLINK("#",""), HYPERLINK(CONCATENATE("#metadata!", ADDRESS(INDEX($W$2:$W$1001,MATCH(ROWS($U$2:U179),$U$2:$U$1001,0),0), INDEX($AB$1004:$AQ$1004,1,MATCH(COLUMNS($AB$1006:AQ1006),$AB$1006:$AQ$1006,0)))),"Fix")))</f>
        <v>0</v>
      </c>
      <c r="U179">
        <v>0</v>
      </c>
      <c r="V179">
        <v>0</v>
      </c>
      <c r="W179">
        <v>0</v>
      </c>
      <c r="X179">
        <f>IF(Y179,TRUE,AND(AB179:AQ179))</f>
        <v>0</v>
      </c>
      <c r="Y179">
        <f>COUNTBLANK(metadata!B179:Q179)=COLUMNS(metadata!B179:Q179)</f>
        <v>0</v>
      </c>
      <c r="Z179">
        <v>0</v>
      </c>
      <c r="AB179">
        <f>AND(IF(metadata!B179="",FALSE,TRUE),COUNTIF(metadata!B:B, metadata!B179) = 1,NOT(ISERROR(SUMPRODUCT(SEARCH(MID(metadata!B179,ROW(INDIRECT("1:"&amp;LEN(metadata!B179))), 1),"0123456789abcdefghijklmnopqrstuvwxyzABCDEFGHIJKLMNOPQRSTUVWXYZ.")))))</f>
        <v>0</v>
      </c>
      <c r="AC179">
        <f>OR(AND(IF(metadata!C179="",FALSE,TRUE),OR(exact(metadata!C179,"missing: not collected"),exact(metadata!C179,"missing: not provided"),exact(metadata!C179,"missing: restricted access"))),AND(IF(metadata!C179="",FALSE,TRUE),AND(AND(IFERROR(INT(LEFT(metadata!C179,4))&gt;1900,FALSE),IFERROR(INT(LEFT(metadata!C179,4))&lt;=YEAR(NOW()),FALSE)), OR(MID(metadata!C179,5,1)="", AND(AND(MID(metadata!C179,5,1)="-",IFERROR(INT(MID(metadata!C179,6,1))&gt;=0,FALSE),IFERROR(INT(MID(metadata!C179,6,1))&lt;=1,FALSE),NOT(MID(metadata!C179,7,1)=""),IFERROR(INT(MID(metadata!C179,6,2))&gt;=1,FALSE),IFERROR(INT(MID(metadata!C179,6,2))&lt;=12,FALSE)), OR(MID(metadata!C179,8,1)="", AND(AND(MID(metadata!C179,8,1)="-",IFERROR(INT(MID(metadata!C179,9,1))&gt;=0,FALSE),IFERROR(INT(MID(metadata!C179,9,1))&lt;=3,FALSE),NOT(MID(metadata!C179,10,1)=""),IFERROR(INT(MID(metadata!C179,9,2))&gt;=1,FALSE),IFERROR(INT(MID(metadata!C179,9,2))&lt;=31,FALSE)), OR(MID(metadata!C179,11,1)="", AND(AND(MID(metadata!C179,11,1)=" ",IFERROR(INT(MID(metadata!C179,12,1))&gt;=0,FALSE),IFERROR(INT(MID(metadata!C179,12,1))&lt;=2,FALSE),NOT(MID(metadata!C179,13,1)=""),IFERROR(INT(MID(metadata!C179,12,2))&gt;=0,FALSE),IFERROR(INT(MID(metadata!C179,12,2))&lt;=23,FALSE)), OR(MID(metadata!C179,14,1)="", AND(AND(MID(metadata!C179,14,1)=":",IFERROR(INT(MID(metadata!C179,15,1))&gt;=0,FALSE),IFERROR(INT(MID(metadata!C179,15,1))&lt;=5,FALSE),NOT(MID(metadata!C179,16,1)=""),IFERROR(INT(MID(metadata!C179,15,2))&gt;=0,FALSE),IFERROR(INT(MID(metadata!C179,15,2))&lt;=59,FALSE)), OR(MID(metadata!C179,17,1)="", AND(AND(MID(metadata!C179,17,1)=":",IFERROR(INT(MID(metadata!C179,18,1))&gt;=0,FALSE),IFERROR(INT(MID(metadata!C179,18,1))&lt;=5,FALSE),NOT(MID(metadata!C179,19,1)=""),IFERROR(INT(MID(metadata!C179,18,2))&gt;=0,FALSE),IFERROR(INT(MID(metadata!C179,18,2))&lt;=59,FALSE)), LEN(metadata!C179)&lt;=19)))))))))))))</f>
        <v>0</v>
      </c>
      <c r="AD179">
        <f>IF(metadata!D179="",FALSE,TRUE)</f>
        <v>0</v>
      </c>
      <c r="AE179">
        <f>OR(AND(IF(metadata!E179="",FALSE,TRUE),OR(exact(metadata!E179,"missing: not collected"),exact(metadata!E179,"missing: not provided"))),AND(IF(metadata!E179="",FALSE,TRUE),OR(exact(metadata!E179,"TRUE"),exact(metadata!E179,"FALSE"))))</f>
        <v>0</v>
      </c>
      <c r="AF179">
        <f>IF(metadata!F179="",FALSE,TRUE)</f>
        <v>0</v>
      </c>
      <c r="AG179">
        <f>IF(metadata!G179="",FALSE,TRUE)</f>
        <v>0</v>
      </c>
      <c r="AH179">
        <f>IF(metadata!H179="",FALSE,TRUE)</f>
        <v>0</v>
      </c>
      <c r="AI179">
        <f>OR(AND(IF(metadata!I179="",FALSE,TRUE),OR(exact(metadata!I179,"missing: not collected"),exact(metadata!I179,"missing: not provided"),exact(metadata!I179,"missing: restricted access"))),AND(IF(metadata!I179="",FALSE,TRUE),OR(exact(metadata!I179,"air"),exact(metadata!I179,"built environment"),exact(metadata!I179,"host-associated"),exact(metadata!I179,"human-associated"),exact(metadata!I179,"human-skin"),exact(metadata!I179,"human-oral"),exact(metadata!I179,"human-gut"),exact(metadata!I179,"human-vaginal"),exact(metadata!I179,"microbial mat/biofilm"),exact(metadata!I179,"misc environment"),exact(metadata!I179,"plant-associated"),exact(metadata!I179,"sediment"),exact(metadata!I179,"soil"),exact(metadata!I179,"wastewater/sludge"),exact(metadata!I179,"water"))))</f>
        <v>0</v>
      </c>
      <c r="AJ179">
        <f>IF(metadata!J179="",FALSE,TRUE)</f>
        <v>0</v>
      </c>
      <c r="AK179">
        <f>OR(AND(IF(metadata!K179="",FALSE,TRUE),OR(exact(metadata!K179,"missing: not collected"),exact(metadata!K179,"missing: not provided"),exact(metadata!K179,"missing: restricted access"))),AND(IF(metadata!K179="",FALSE,ISNUMBER(VALUE(metadata!K179))),metadata!K179&gt;=-90.00,metadata!K179&lt;=90.00))</f>
        <v>0</v>
      </c>
      <c r="AL179">
        <f>OR(AND(IF(metadata!L179="",FALSE,TRUE),OR(exact(metadata!L179,"missing: not collected"),exact(metadata!L179,"missing: not provided"),exact(metadata!L179,"missing: restricted access"))),AND(IF(metadata!L179="",FALSE,ISNUMBER(VALUE(metadata!L179))),metadata!L179&gt;=-180.00,metadata!L179&lt;=180.00))</f>
        <v>0</v>
      </c>
      <c r="AM179">
        <f>IF(metadata!M179="",FALSE,TRUE)</f>
        <v>0</v>
      </c>
      <c r="AN179">
        <f>OR(AND(IF(metadata!N179="",FALSE,TRUE),OR(exact(metadata!N179,"missing: not collected"),exact(metadata!N179,"missing: not provided"),exact(metadata!N179,"missing: restricted access"))),AND(IF(metadata!N179="",FALSE,TRUE),OR(exact(metadata!N179,"TRUE"),exact(metadata!N179,"FALSE"))))</f>
        <v>0</v>
      </c>
      <c r="AO179">
        <f>IF(metadata!O179="",FALSE,TRUE)</f>
        <v>0</v>
      </c>
      <c r="AP179">
        <f>OR(AND(IF(metadata!P179="",FALSE,TRUE),OR(exact(metadata!P179,"missing: not collected"),exact(metadata!P179,"missing: not provided"))),AND(IF(metadata!P179="",FALSE,IF(ISERROR(INT(metadata!P179)),FALSE,INT(metadata!P179)=metadata!P179)),metadata!P179&gt;0))</f>
        <v>0</v>
      </c>
      <c r="AQ179">
        <f>IF(metadata!Q179="",FALSE,TRUE)</f>
        <v>0</v>
      </c>
    </row>
    <row r="180" spans="1:43">
      <c r="A180" s="5">
        <f>IF(B180=" "," ",HYPERLINK(CONCATENATE("#metadata!",ADDRESS(INDEX($W$2:$W$1001,MATCH(ROWS($U$2:U180),$U$2:$U$1001,0),0),1)),INDEX($Z$2:$Z$1001,MATCH(ROWS($U$2:U180),$U$2:$U$1001,0),0)))</f>
        <v>0</v>
      </c>
      <c r="B180" s="4">
        <f>IF(OR(INDEX($V$2:$V$1001,MATCH(ROWS($U$2:U180),$U$2:$U$1001,0),1)&gt;=100000,INDEX($AB$1005:$AQ$1005,1,MATCH(COLUMNS($AB$1006:AB1006),$AB$1006:$AQ$1006,0))&gt;=100000), " ",IF(INDEX($AB$2:$AQ$1001,MATCH(ROWS($U$2:U180),$U$2:$U$1001,0),MATCH(COLUMNS($AB$1006:AB1006),$AB$1006:$AQ$1006,0)), HYPERLINK("#",""), HYPERLINK(CONCATENATE("#metadata!", ADDRESS(INDEX($W$2:$W$1001,MATCH(ROWS($U$2:U180),$U$2:$U$1001,0),0), INDEX($AB$1004:$AQ$1004,1,MATCH(COLUMNS($AB$1006:AB1006),$AB$1006:$AQ$1006,0)))),"Fix")))</f>
        <v>0</v>
      </c>
      <c r="C180" s="4">
        <f>IF(OR(INDEX($V$2:$V$1001,MATCH(ROWS($U$2:U180),$U$2:$U$1001,0),1)&gt;=100000,INDEX($AB$1005:$AQ$1005,1,MATCH(COLUMNS($AB$1006:AC1006),$AB$1006:$AQ$1006,0))&gt;=100000), " ",IF(INDEX($AB$2:$AQ$1001,MATCH(ROWS($U$2:U180),$U$2:$U$1001,0),MATCH(COLUMNS($AB$1006:AC1006),$AB$1006:$AQ$1006,0)), HYPERLINK("#",""), HYPERLINK(CONCATENATE("#metadata!", ADDRESS(INDEX($W$2:$W$1001,MATCH(ROWS($U$2:U180),$U$2:$U$1001,0),0), INDEX($AB$1004:$AQ$1004,1,MATCH(COLUMNS($AB$1006:AC1006),$AB$1006:$AQ$1006,0)))),"Fix")))</f>
        <v>0</v>
      </c>
      <c r="D180" s="4">
        <f>IF(OR(INDEX($V$2:$V$1001,MATCH(ROWS($U$2:U180),$U$2:$U$1001,0),1)&gt;=100000,INDEX($AB$1005:$AQ$1005,1,MATCH(COLUMNS($AB$1006:AD1006),$AB$1006:$AQ$1006,0))&gt;=100000), " ",IF(INDEX($AB$2:$AQ$1001,MATCH(ROWS($U$2:U180),$U$2:$U$1001,0),MATCH(COLUMNS($AB$1006:AD1006),$AB$1006:$AQ$1006,0)), HYPERLINK("#",""), HYPERLINK(CONCATENATE("#metadata!", ADDRESS(INDEX($W$2:$W$1001,MATCH(ROWS($U$2:U180),$U$2:$U$1001,0),0), INDEX($AB$1004:$AQ$1004,1,MATCH(COLUMNS($AB$1006:AD1006),$AB$1006:$AQ$1006,0)))),"Fix")))</f>
        <v>0</v>
      </c>
      <c r="E180" s="4">
        <f>IF(OR(INDEX($V$2:$V$1001,MATCH(ROWS($U$2:U180),$U$2:$U$1001,0),1)&gt;=100000,INDEX($AB$1005:$AQ$1005,1,MATCH(COLUMNS($AB$1006:AE1006),$AB$1006:$AQ$1006,0))&gt;=100000), " ",IF(INDEX($AB$2:$AQ$1001,MATCH(ROWS($U$2:U180),$U$2:$U$1001,0),MATCH(COLUMNS($AB$1006:AE1006),$AB$1006:$AQ$1006,0)), HYPERLINK("#",""), HYPERLINK(CONCATENATE("#metadata!", ADDRESS(INDEX($W$2:$W$1001,MATCH(ROWS($U$2:U180),$U$2:$U$1001,0),0), INDEX($AB$1004:$AQ$1004,1,MATCH(COLUMNS($AB$1006:AE1006),$AB$1006:$AQ$1006,0)))),"Fix")))</f>
        <v>0</v>
      </c>
      <c r="F180" s="4">
        <f>IF(OR(INDEX($V$2:$V$1001,MATCH(ROWS($U$2:U180),$U$2:$U$1001,0),1)&gt;=100000,INDEX($AB$1005:$AQ$1005,1,MATCH(COLUMNS($AB$1006:AF1006),$AB$1006:$AQ$1006,0))&gt;=100000), " ",IF(INDEX($AB$2:$AQ$1001,MATCH(ROWS($U$2:U180),$U$2:$U$1001,0),MATCH(COLUMNS($AB$1006:AF1006),$AB$1006:$AQ$1006,0)), HYPERLINK("#",""), HYPERLINK(CONCATENATE("#metadata!", ADDRESS(INDEX($W$2:$W$1001,MATCH(ROWS($U$2:U180),$U$2:$U$1001,0),0), INDEX($AB$1004:$AQ$1004,1,MATCH(COLUMNS($AB$1006:AF1006),$AB$1006:$AQ$1006,0)))),"Fix")))</f>
        <v>0</v>
      </c>
      <c r="G180" s="4">
        <f>IF(OR(INDEX($V$2:$V$1001,MATCH(ROWS($U$2:U180),$U$2:$U$1001,0),1)&gt;=100000,INDEX($AB$1005:$AQ$1005,1,MATCH(COLUMNS($AB$1006:AG1006),$AB$1006:$AQ$1006,0))&gt;=100000), " ",IF(INDEX($AB$2:$AQ$1001,MATCH(ROWS($U$2:U180),$U$2:$U$1001,0),MATCH(COLUMNS($AB$1006:AG1006),$AB$1006:$AQ$1006,0)), HYPERLINK("#",""), HYPERLINK(CONCATENATE("#metadata!", ADDRESS(INDEX($W$2:$W$1001,MATCH(ROWS($U$2:U180),$U$2:$U$1001,0),0), INDEX($AB$1004:$AQ$1004,1,MATCH(COLUMNS($AB$1006:AG1006),$AB$1006:$AQ$1006,0)))),"Fix")))</f>
        <v>0</v>
      </c>
      <c r="H180" s="4">
        <f>IF(OR(INDEX($V$2:$V$1001,MATCH(ROWS($U$2:U180),$U$2:$U$1001,0),1)&gt;=100000,INDEX($AB$1005:$AQ$1005,1,MATCH(COLUMNS($AB$1006:AH1006),$AB$1006:$AQ$1006,0))&gt;=100000), " ",IF(INDEX($AB$2:$AQ$1001,MATCH(ROWS($U$2:U180),$U$2:$U$1001,0),MATCH(COLUMNS($AB$1006:AH1006),$AB$1006:$AQ$1006,0)), HYPERLINK("#",""), HYPERLINK(CONCATENATE("#metadata!", ADDRESS(INDEX($W$2:$W$1001,MATCH(ROWS($U$2:U180),$U$2:$U$1001,0),0), INDEX($AB$1004:$AQ$1004,1,MATCH(COLUMNS($AB$1006:AH1006),$AB$1006:$AQ$1006,0)))),"Fix")))</f>
        <v>0</v>
      </c>
      <c r="I180" s="4">
        <f>IF(OR(INDEX($V$2:$V$1001,MATCH(ROWS($U$2:U180),$U$2:$U$1001,0),1)&gt;=100000,INDEX($AB$1005:$AQ$1005,1,MATCH(COLUMNS($AB$1006:AI1006),$AB$1006:$AQ$1006,0))&gt;=100000), " ",IF(INDEX($AB$2:$AQ$1001,MATCH(ROWS($U$2:U180),$U$2:$U$1001,0),MATCH(COLUMNS($AB$1006:AI1006),$AB$1006:$AQ$1006,0)), HYPERLINK("#",""), HYPERLINK(CONCATENATE("#metadata!", ADDRESS(INDEX($W$2:$W$1001,MATCH(ROWS($U$2:U180),$U$2:$U$1001,0),0), INDEX($AB$1004:$AQ$1004,1,MATCH(COLUMNS($AB$1006:AI1006),$AB$1006:$AQ$1006,0)))),"Fix")))</f>
        <v>0</v>
      </c>
      <c r="J180" s="4">
        <f>IF(OR(INDEX($V$2:$V$1001,MATCH(ROWS($U$2:U180),$U$2:$U$1001,0),1)&gt;=100000,INDEX($AB$1005:$AQ$1005,1,MATCH(COLUMNS($AB$1006:AJ1006),$AB$1006:$AQ$1006,0))&gt;=100000), " ",IF(INDEX($AB$2:$AQ$1001,MATCH(ROWS($U$2:U180),$U$2:$U$1001,0),MATCH(COLUMNS($AB$1006:AJ1006),$AB$1006:$AQ$1006,0)), HYPERLINK("#",""), HYPERLINK(CONCATENATE("#metadata!", ADDRESS(INDEX($W$2:$W$1001,MATCH(ROWS($U$2:U180),$U$2:$U$1001,0),0), INDEX($AB$1004:$AQ$1004,1,MATCH(COLUMNS($AB$1006:AJ1006),$AB$1006:$AQ$1006,0)))),"Fix")))</f>
        <v>0</v>
      </c>
      <c r="K180" s="4">
        <f>IF(OR(INDEX($V$2:$V$1001,MATCH(ROWS($U$2:U180),$U$2:$U$1001,0),1)&gt;=100000,INDEX($AB$1005:$AQ$1005,1,MATCH(COLUMNS($AB$1006:AK1006),$AB$1006:$AQ$1006,0))&gt;=100000), " ",IF(INDEX($AB$2:$AQ$1001,MATCH(ROWS($U$2:U180),$U$2:$U$1001,0),MATCH(COLUMNS($AB$1006:AK1006),$AB$1006:$AQ$1006,0)), HYPERLINK("#",""), HYPERLINK(CONCATENATE("#metadata!", ADDRESS(INDEX($W$2:$W$1001,MATCH(ROWS($U$2:U180),$U$2:$U$1001,0),0), INDEX($AB$1004:$AQ$1004,1,MATCH(COLUMNS($AB$1006:AK1006),$AB$1006:$AQ$1006,0)))),"Fix")))</f>
        <v>0</v>
      </c>
      <c r="L180" s="4">
        <f>IF(OR(INDEX($V$2:$V$1001,MATCH(ROWS($U$2:U180),$U$2:$U$1001,0),1)&gt;=100000,INDEX($AB$1005:$AQ$1005,1,MATCH(COLUMNS($AB$1006:AL1006),$AB$1006:$AQ$1006,0))&gt;=100000), " ",IF(INDEX($AB$2:$AQ$1001,MATCH(ROWS($U$2:U180),$U$2:$U$1001,0),MATCH(COLUMNS($AB$1006:AL1006),$AB$1006:$AQ$1006,0)), HYPERLINK("#",""), HYPERLINK(CONCATENATE("#metadata!", ADDRESS(INDEX($W$2:$W$1001,MATCH(ROWS($U$2:U180),$U$2:$U$1001,0),0), INDEX($AB$1004:$AQ$1004,1,MATCH(COLUMNS($AB$1006:AL1006),$AB$1006:$AQ$1006,0)))),"Fix")))</f>
        <v>0</v>
      </c>
      <c r="M180" s="4">
        <f>IF(OR(INDEX($V$2:$V$1001,MATCH(ROWS($U$2:U180),$U$2:$U$1001,0),1)&gt;=100000,INDEX($AB$1005:$AQ$1005,1,MATCH(COLUMNS($AB$1006:AM1006),$AB$1006:$AQ$1006,0))&gt;=100000), " ",IF(INDEX($AB$2:$AQ$1001,MATCH(ROWS($U$2:U180),$U$2:$U$1001,0),MATCH(COLUMNS($AB$1006:AM1006),$AB$1006:$AQ$1006,0)), HYPERLINK("#",""), HYPERLINK(CONCATENATE("#metadata!", ADDRESS(INDEX($W$2:$W$1001,MATCH(ROWS($U$2:U180),$U$2:$U$1001,0),0), INDEX($AB$1004:$AQ$1004,1,MATCH(COLUMNS($AB$1006:AM1006),$AB$1006:$AQ$1006,0)))),"Fix")))</f>
        <v>0</v>
      </c>
      <c r="N180" s="4">
        <f>IF(OR(INDEX($V$2:$V$1001,MATCH(ROWS($U$2:U180),$U$2:$U$1001,0),1)&gt;=100000,INDEX($AB$1005:$AQ$1005,1,MATCH(COLUMNS($AB$1006:AN1006),$AB$1006:$AQ$1006,0))&gt;=100000), " ",IF(INDEX($AB$2:$AQ$1001,MATCH(ROWS($U$2:U180),$U$2:$U$1001,0),MATCH(COLUMNS($AB$1006:AN1006),$AB$1006:$AQ$1006,0)), HYPERLINK("#",""), HYPERLINK(CONCATENATE("#metadata!", ADDRESS(INDEX($W$2:$W$1001,MATCH(ROWS($U$2:U180),$U$2:$U$1001,0),0), INDEX($AB$1004:$AQ$1004,1,MATCH(COLUMNS($AB$1006:AN1006),$AB$1006:$AQ$1006,0)))),"Fix")))</f>
        <v>0</v>
      </c>
      <c r="O180" s="4">
        <f>IF(OR(INDEX($V$2:$V$1001,MATCH(ROWS($U$2:U180),$U$2:$U$1001,0),1)&gt;=100000,INDEX($AB$1005:$AQ$1005,1,MATCH(COLUMNS($AB$1006:AO1006),$AB$1006:$AQ$1006,0))&gt;=100000), " ",IF(INDEX($AB$2:$AQ$1001,MATCH(ROWS($U$2:U180),$U$2:$U$1001,0),MATCH(COLUMNS($AB$1006:AO1006),$AB$1006:$AQ$1006,0)), HYPERLINK("#",""), HYPERLINK(CONCATENATE("#metadata!", ADDRESS(INDEX($W$2:$W$1001,MATCH(ROWS($U$2:U180),$U$2:$U$1001,0),0), INDEX($AB$1004:$AQ$1004,1,MATCH(COLUMNS($AB$1006:AO1006),$AB$1006:$AQ$1006,0)))),"Fix")))</f>
        <v>0</v>
      </c>
      <c r="P180" s="4">
        <f>IF(OR(INDEX($V$2:$V$1001,MATCH(ROWS($U$2:U180),$U$2:$U$1001,0),1)&gt;=100000,INDEX($AB$1005:$AQ$1005,1,MATCH(COLUMNS($AB$1006:AP1006),$AB$1006:$AQ$1006,0))&gt;=100000), " ",IF(INDEX($AB$2:$AQ$1001,MATCH(ROWS($U$2:U180),$U$2:$U$1001,0),MATCH(COLUMNS($AB$1006:AP1006),$AB$1006:$AQ$1006,0)), HYPERLINK("#",""), HYPERLINK(CONCATENATE("#metadata!", ADDRESS(INDEX($W$2:$W$1001,MATCH(ROWS($U$2:U180),$U$2:$U$1001,0),0), INDEX($AB$1004:$AQ$1004,1,MATCH(COLUMNS($AB$1006:AP1006),$AB$1006:$AQ$1006,0)))),"Fix")))</f>
        <v>0</v>
      </c>
      <c r="Q180" s="4">
        <f>IF(OR(INDEX($V$2:$V$1001,MATCH(ROWS($U$2:U180),$U$2:$U$1001,0),1)&gt;=100000,INDEX($AB$1005:$AQ$1005,1,MATCH(COLUMNS($AB$1006:AQ1006),$AB$1006:$AQ$1006,0))&gt;=100000), " ",IF(INDEX($AB$2:$AQ$1001,MATCH(ROWS($U$2:U180),$U$2:$U$1001,0),MATCH(COLUMNS($AB$1006:AQ1006),$AB$1006:$AQ$1006,0)), HYPERLINK("#",""), HYPERLINK(CONCATENATE("#metadata!", ADDRESS(INDEX($W$2:$W$1001,MATCH(ROWS($U$2:U180),$U$2:$U$1001,0),0), INDEX($AB$1004:$AQ$1004,1,MATCH(COLUMNS($AB$1006:AQ1006),$AB$1006:$AQ$1006,0)))),"Fix")))</f>
        <v>0</v>
      </c>
      <c r="U180">
        <v>0</v>
      </c>
      <c r="V180">
        <v>0</v>
      </c>
      <c r="W180">
        <v>0</v>
      </c>
      <c r="X180">
        <f>IF(Y180,TRUE,AND(AB180:AQ180))</f>
        <v>0</v>
      </c>
      <c r="Y180">
        <f>COUNTBLANK(metadata!B180:Q180)=COLUMNS(metadata!B180:Q180)</f>
        <v>0</v>
      </c>
      <c r="Z180">
        <v>0</v>
      </c>
      <c r="AB180">
        <f>AND(IF(metadata!B180="",FALSE,TRUE),COUNTIF(metadata!B:B, metadata!B180) = 1,NOT(ISERROR(SUMPRODUCT(SEARCH(MID(metadata!B180,ROW(INDIRECT("1:"&amp;LEN(metadata!B180))), 1),"0123456789abcdefghijklmnopqrstuvwxyzABCDEFGHIJKLMNOPQRSTUVWXYZ.")))))</f>
        <v>0</v>
      </c>
      <c r="AC180">
        <f>OR(AND(IF(metadata!C180="",FALSE,TRUE),OR(exact(metadata!C180,"missing: not collected"),exact(metadata!C180,"missing: not provided"),exact(metadata!C180,"missing: restricted access"))),AND(IF(metadata!C180="",FALSE,TRUE),AND(AND(IFERROR(INT(LEFT(metadata!C180,4))&gt;1900,FALSE),IFERROR(INT(LEFT(metadata!C180,4))&lt;=YEAR(NOW()),FALSE)), OR(MID(metadata!C180,5,1)="", AND(AND(MID(metadata!C180,5,1)="-",IFERROR(INT(MID(metadata!C180,6,1))&gt;=0,FALSE),IFERROR(INT(MID(metadata!C180,6,1))&lt;=1,FALSE),NOT(MID(metadata!C180,7,1)=""),IFERROR(INT(MID(metadata!C180,6,2))&gt;=1,FALSE),IFERROR(INT(MID(metadata!C180,6,2))&lt;=12,FALSE)), OR(MID(metadata!C180,8,1)="", AND(AND(MID(metadata!C180,8,1)="-",IFERROR(INT(MID(metadata!C180,9,1))&gt;=0,FALSE),IFERROR(INT(MID(metadata!C180,9,1))&lt;=3,FALSE),NOT(MID(metadata!C180,10,1)=""),IFERROR(INT(MID(metadata!C180,9,2))&gt;=1,FALSE),IFERROR(INT(MID(metadata!C180,9,2))&lt;=31,FALSE)), OR(MID(metadata!C180,11,1)="", AND(AND(MID(metadata!C180,11,1)=" ",IFERROR(INT(MID(metadata!C180,12,1))&gt;=0,FALSE),IFERROR(INT(MID(metadata!C180,12,1))&lt;=2,FALSE),NOT(MID(metadata!C180,13,1)=""),IFERROR(INT(MID(metadata!C180,12,2))&gt;=0,FALSE),IFERROR(INT(MID(metadata!C180,12,2))&lt;=23,FALSE)), OR(MID(metadata!C180,14,1)="", AND(AND(MID(metadata!C180,14,1)=":",IFERROR(INT(MID(metadata!C180,15,1))&gt;=0,FALSE),IFERROR(INT(MID(metadata!C180,15,1))&lt;=5,FALSE),NOT(MID(metadata!C180,16,1)=""),IFERROR(INT(MID(metadata!C180,15,2))&gt;=0,FALSE),IFERROR(INT(MID(metadata!C180,15,2))&lt;=59,FALSE)), OR(MID(metadata!C180,17,1)="", AND(AND(MID(metadata!C180,17,1)=":",IFERROR(INT(MID(metadata!C180,18,1))&gt;=0,FALSE),IFERROR(INT(MID(metadata!C180,18,1))&lt;=5,FALSE),NOT(MID(metadata!C180,19,1)=""),IFERROR(INT(MID(metadata!C180,18,2))&gt;=0,FALSE),IFERROR(INT(MID(metadata!C180,18,2))&lt;=59,FALSE)), LEN(metadata!C180)&lt;=19)))))))))))))</f>
        <v>0</v>
      </c>
      <c r="AD180">
        <f>IF(metadata!D180="",FALSE,TRUE)</f>
        <v>0</v>
      </c>
      <c r="AE180">
        <f>OR(AND(IF(metadata!E180="",FALSE,TRUE),OR(exact(metadata!E180,"missing: not collected"),exact(metadata!E180,"missing: not provided"))),AND(IF(metadata!E180="",FALSE,TRUE),OR(exact(metadata!E180,"TRUE"),exact(metadata!E180,"FALSE"))))</f>
        <v>0</v>
      </c>
      <c r="AF180">
        <f>IF(metadata!F180="",FALSE,TRUE)</f>
        <v>0</v>
      </c>
      <c r="AG180">
        <f>IF(metadata!G180="",FALSE,TRUE)</f>
        <v>0</v>
      </c>
      <c r="AH180">
        <f>IF(metadata!H180="",FALSE,TRUE)</f>
        <v>0</v>
      </c>
      <c r="AI180">
        <f>OR(AND(IF(metadata!I180="",FALSE,TRUE),OR(exact(metadata!I180,"missing: not collected"),exact(metadata!I180,"missing: not provided"),exact(metadata!I180,"missing: restricted access"))),AND(IF(metadata!I180="",FALSE,TRUE),OR(exact(metadata!I180,"air"),exact(metadata!I180,"built environment"),exact(metadata!I180,"host-associated"),exact(metadata!I180,"human-associated"),exact(metadata!I180,"human-skin"),exact(metadata!I180,"human-oral"),exact(metadata!I180,"human-gut"),exact(metadata!I180,"human-vaginal"),exact(metadata!I180,"microbial mat/biofilm"),exact(metadata!I180,"misc environment"),exact(metadata!I180,"plant-associated"),exact(metadata!I180,"sediment"),exact(metadata!I180,"soil"),exact(metadata!I180,"wastewater/sludge"),exact(metadata!I180,"water"))))</f>
        <v>0</v>
      </c>
      <c r="AJ180">
        <f>IF(metadata!J180="",FALSE,TRUE)</f>
        <v>0</v>
      </c>
      <c r="AK180">
        <f>OR(AND(IF(metadata!K180="",FALSE,TRUE),OR(exact(metadata!K180,"missing: not collected"),exact(metadata!K180,"missing: not provided"),exact(metadata!K180,"missing: restricted access"))),AND(IF(metadata!K180="",FALSE,ISNUMBER(VALUE(metadata!K180))),metadata!K180&gt;=-90.00,metadata!K180&lt;=90.00))</f>
        <v>0</v>
      </c>
      <c r="AL180">
        <f>OR(AND(IF(metadata!L180="",FALSE,TRUE),OR(exact(metadata!L180,"missing: not collected"),exact(metadata!L180,"missing: not provided"),exact(metadata!L180,"missing: restricted access"))),AND(IF(metadata!L180="",FALSE,ISNUMBER(VALUE(metadata!L180))),metadata!L180&gt;=-180.00,metadata!L180&lt;=180.00))</f>
        <v>0</v>
      </c>
      <c r="AM180">
        <f>IF(metadata!M180="",FALSE,TRUE)</f>
        <v>0</v>
      </c>
      <c r="AN180">
        <f>OR(AND(IF(metadata!N180="",FALSE,TRUE),OR(exact(metadata!N180,"missing: not collected"),exact(metadata!N180,"missing: not provided"),exact(metadata!N180,"missing: restricted access"))),AND(IF(metadata!N180="",FALSE,TRUE),OR(exact(metadata!N180,"TRUE"),exact(metadata!N180,"FALSE"))))</f>
        <v>0</v>
      </c>
      <c r="AO180">
        <f>IF(metadata!O180="",FALSE,TRUE)</f>
        <v>0</v>
      </c>
      <c r="AP180">
        <f>OR(AND(IF(metadata!P180="",FALSE,TRUE),OR(exact(metadata!P180,"missing: not collected"),exact(metadata!P180,"missing: not provided"))),AND(IF(metadata!P180="",FALSE,IF(ISERROR(INT(metadata!P180)),FALSE,INT(metadata!P180)=metadata!P180)),metadata!P180&gt;0))</f>
        <v>0</v>
      </c>
      <c r="AQ180">
        <f>IF(metadata!Q180="",FALSE,TRUE)</f>
        <v>0</v>
      </c>
    </row>
    <row r="181" spans="1:43">
      <c r="A181" s="5">
        <f>IF(B181=" "," ",HYPERLINK(CONCATENATE("#metadata!",ADDRESS(INDEX($W$2:$W$1001,MATCH(ROWS($U$2:U181),$U$2:$U$1001,0),0),1)),INDEX($Z$2:$Z$1001,MATCH(ROWS($U$2:U181),$U$2:$U$1001,0),0)))</f>
        <v>0</v>
      </c>
      <c r="B181" s="4">
        <f>IF(OR(INDEX($V$2:$V$1001,MATCH(ROWS($U$2:U181),$U$2:$U$1001,0),1)&gt;=100000,INDEX($AB$1005:$AQ$1005,1,MATCH(COLUMNS($AB$1006:AB1006),$AB$1006:$AQ$1006,0))&gt;=100000), " ",IF(INDEX($AB$2:$AQ$1001,MATCH(ROWS($U$2:U181),$U$2:$U$1001,0),MATCH(COLUMNS($AB$1006:AB1006),$AB$1006:$AQ$1006,0)), HYPERLINK("#",""), HYPERLINK(CONCATENATE("#metadata!", ADDRESS(INDEX($W$2:$W$1001,MATCH(ROWS($U$2:U181),$U$2:$U$1001,0),0), INDEX($AB$1004:$AQ$1004,1,MATCH(COLUMNS($AB$1006:AB1006),$AB$1006:$AQ$1006,0)))),"Fix")))</f>
        <v>0</v>
      </c>
      <c r="C181" s="4">
        <f>IF(OR(INDEX($V$2:$V$1001,MATCH(ROWS($U$2:U181),$U$2:$U$1001,0),1)&gt;=100000,INDEX($AB$1005:$AQ$1005,1,MATCH(COLUMNS($AB$1006:AC1006),$AB$1006:$AQ$1006,0))&gt;=100000), " ",IF(INDEX($AB$2:$AQ$1001,MATCH(ROWS($U$2:U181),$U$2:$U$1001,0),MATCH(COLUMNS($AB$1006:AC1006),$AB$1006:$AQ$1006,0)), HYPERLINK("#",""), HYPERLINK(CONCATENATE("#metadata!", ADDRESS(INDEX($W$2:$W$1001,MATCH(ROWS($U$2:U181),$U$2:$U$1001,0),0), INDEX($AB$1004:$AQ$1004,1,MATCH(COLUMNS($AB$1006:AC1006),$AB$1006:$AQ$1006,0)))),"Fix")))</f>
        <v>0</v>
      </c>
      <c r="D181" s="4">
        <f>IF(OR(INDEX($V$2:$V$1001,MATCH(ROWS($U$2:U181),$U$2:$U$1001,0),1)&gt;=100000,INDEX($AB$1005:$AQ$1005,1,MATCH(COLUMNS($AB$1006:AD1006),$AB$1006:$AQ$1006,0))&gt;=100000), " ",IF(INDEX($AB$2:$AQ$1001,MATCH(ROWS($U$2:U181),$U$2:$U$1001,0),MATCH(COLUMNS($AB$1006:AD1006),$AB$1006:$AQ$1006,0)), HYPERLINK("#",""), HYPERLINK(CONCATENATE("#metadata!", ADDRESS(INDEX($W$2:$W$1001,MATCH(ROWS($U$2:U181),$U$2:$U$1001,0),0), INDEX($AB$1004:$AQ$1004,1,MATCH(COLUMNS($AB$1006:AD1006),$AB$1006:$AQ$1006,0)))),"Fix")))</f>
        <v>0</v>
      </c>
      <c r="E181" s="4">
        <f>IF(OR(INDEX($V$2:$V$1001,MATCH(ROWS($U$2:U181),$U$2:$U$1001,0),1)&gt;=100000,INDEX($AB$1005:$AQ$1005,1,MATCH(COLUMNS($AB$1006:AE1006),$AB$1006:$AQ$1006,0))&gt;=100000), " ",IF(INDEX($AB$2:$AQ$1001,MATCH(ROWS($U$2:U181),$U$2:$U$1001,0),MATCH(COLUMNS($AB$1006:AE1006),$AB$1006:$AQ$1006,0)), HYPERLINK("#",""), HYPERLINK(CONCATENATE("#metadata!", ADDRESS(INDEX($W$2:$W$1001,MATCH(ROWS($U$2:U181),$U$2:$U$1001,0),0), INDEX($AB$1004:$AQ$1004,1,MATCH(COLUMNS($AB$1006:AE1006),$AB$1006:$AQ$1006,0)))),"Fix")))</f>
        <v>0</v>
      </c>
      <c r="F181" s="4">
        <f>IF(OR(INDEX($V$2:$V$1001,MATCH(ROWS($U$2:U181),$U$2:$U$1001,0),1)&gt;=100000,INDEX($AB$1005:$AQ$1005,1,MATCH(COLUMNS($AB$1006:AF1006),$AB$1006:$AQ$1006,0))&gt;=100000), " ",IF(INDEX($AB$2:$AQ$1001,MATCH(ROWS($U$2:U181),$U$2:$U$1001,0),MATCH(COLUMNS($AB$1006:AF1006),$AB$1006:$AQ$1006,0)), HYPERLINK("#",""), HYPERLINK(CONCATENATE("#metadata!", ADDRESS(INDEX($W$2:$W$1001,MATCH(ROWS($U$2:U181),$U$2:$U$1001,0),0), INDEX($AB$1004:$AQ$1004,1,MATCH(COLUMNS($AB$1006:AF1006),$AB$1006:$AQ$1006,0)))),"Fix")))</f>
        <v>0</v>
      </c>
      <c r="G181" s="4">
        <f>IF(OR(INDEX($V$2:$V$1001,MATCH(ROWS($U$2:U181),$U$2:$U$1001,0),1)&gt;=100000,INDEX($AB$1005:$AQ$1005,1,MATCH(COLUMNS($AB$1006:AG1006),$AB$1006:$AQ$1006,0))&gt;=100000), " ",IF(INDEX($AB$2:$AQ$1001,MATCH(ROWS($U$2:U181),$U$2:$U$1001,0),MATCH(COLUMNS($AB$1006:AG1006),$AB$1006:$AQ$1006,0)), HYPERLINK("#",""), HYPERLINK(CONCATENATE("#metadata!", ADDRESS(INDEX($W$2:$W$1001,MATCH(ROWS($U$2:U181),$U$2:$U$1001,0),0), INDEX($AB$1004:$AQ$1004,1,MATCH(COLUMNS($AB$1006:AG1006),$AB$1006:$AQ$1006,0)))),"Fix")))</f>
        <v>0</v>
      </c>
      <c r="H181" s="4">
        <f>IF(OR(INDEX($V$2:$V$1001,MATCH(ROWS($U$2:U181),$U$2:$U$1001,0),1)&gt;=100000,INDEX($AB$1005:$AQ$1005,1,MATCH(COLUMNS($AB$1006:AH1006),$AB$1006:$AQ$1006,0))&gt;=100000), " ",IF(INDEX($AB$2:$AQ$1001,MATCH(ROWS($U$2:U181),$U$2:$U$1001,0),MATCH(COLUMNS($AB$1006:AH1006),$AB$1006:$AQ$1006,0)), HYPERLINK("#",""), HYPERLINK(CONCATENATE("#metadata!", ADDRESS(INDEX($W$2:$W$1001,MATCH(ROWS($U$2:U181),$U$2:$U$1001,0),0), INDEX($AB$1004:$AQ$1004,1,MATCH(COLUMNS($AB$1006:AH1006),$AB$1006:$AQ$1006,0)))),"Fix")))</f>
        <v>0</v>
      </c>
      <c r="I181" s="4">
        <f>IF(OR(INDEX($V$2:$V$1001,MATCH(ROWS($U$2:U181),$U$2:$U$1001,0),1)&gt;=100000,INDEX($AB$1005:$AQ$1005,1,MATCH(COLUMNS($AB$1006:AI1006),$AB$1006:$AQ$1006,0))&gt;=100000), " ",IF(INDEX($AB$2:$AQ$1001,MATCH(ROWS($U$2:U181),$U$2:$U$1001,0),MATCH(COLUMNS($AB$1006:AI1006),$AB$1006:$AQ$1006,0)), HYPERLINK("#",""), HYPERLINK(CONCATENATE("#metadata!", ADDRESS(INDEX($W$2:$W$1001,MATCH(ROWS($U$2:U181),$U$2:$U$1001,0),0), INDEX($AB$1004:$AQ$1004,1,MATCH(COLUMNS($AB$1006:AI1006),$AB$1006:$AQ$1006,0)))),"Fix")))</f>
        <v>0</v>
      </c>
      <c r="J181" s="4">
        <f>IF(OR(INDEX($V$2:$V$1001,MATCH(ROWS($U$2:U181),$U$2:$U$1001,0),1)&gt;=100000,INDEX($AB$1005:$AQ$1005,1,MATCH(COLUMNS($AB$1006:AJ1006),$AB$1006:$AQ$1006,0))&gt;=100000), " ",IF(INDEX($AB$2:$AQ$1001,MATCH(ROWS($U$2:U181),$U$2:$U$1001,0),MATCH(COLUMNS($AB$1006:AJ1006),$AB$1006:$AQ$1006,0)), HYPERLINK("#",""), HYPERLINK(CONCATENATE("#metadata!", ADDRESS(INDEX($W$2:$W$1001,MATCH(ROWS($U$2:U181),$U$2:$U$1001,0),0), INDEX($AB$1004:$AQ$1004,1,MATCH(COLUMNS($AB$1006:AJ1006),$AB$1006:$AQ$1006,0)))),"Fix")))</f>
        <v>0</v>
      </c>
      <c r="K181" s="4">
        <f>IF(OR(INDEX($V$2:$V$1001,MATCH(ROWS($U$2:U181),$U$2:$U$1001,0),1)&gt;=100000,INDEX($AB$1005:$AQ$1005,1,MATCH(COLUMNS($AB$1006:AK1006),$AB$1006:$AQ$1006,0))&gt;=100000), " ",IF(INDEX($AB$2:$AQ$1001,MATCH(ROWS($U$2:U181),$U$2:$U$1001,0),MATCH(COLUMNS($AB$1006:AK1006),$AB$1006:$AQ$1006,0)), HYPERLINK("#",""), HYPERLINK(CONCATENATE("#metadata!", ADDRESS(INDEX($W$2:$W$1001,MATCH(ROWS($U$2:U181),$U$2:$U$1001,0),0), INDEX($AB$1004:$AQ$1004,1,MATCH(COLUMNS($AB$1006:AK1006),$AB$1006:$AQ$1006,0)))),"Fix")))</f>
        <v>0</v>
      </c>
      <c r="L181" s="4">
        <f>IF(OR(INDEX($V$2:$V$1001,MATCH(ROWS($U$2:U181),$U$2:$U$1001,0),1)&gt;=100000,INDEX($AB$1005:$AQ$1005,1,MATCH(COLUMNS($AB$1006:AL1006),$AB$1006:$AQ$1006,0))&gt;=100000), " ",IF(INDEX($AB$2:$AQ$1001,MATCH(ROWS($U$2:U181),$U$2:$U$1001,0),MATCH(COLUMNS($AB$1006:AL1006),$AB$1006:$AQ$1006,0)), HYPERLINK("#",""), HYPERLINK(CONCATENATE("#metadata!", ADDRESS(INDEX($W$2:$W$1001,MATCH(ROWS($U$2:U181),$U$2:$U$1001,0),0), INDEX($AB$1004:$AQ$1004,1,MATCH(COLUMNS($AB$1006:AL1006),$AB$1006:$AQ$1006,0)))),"Fix")))</f>
        <v>0</v>
      </c>
      <c r="M181" s="4">
        <f>IF(OR(INDEX($V$2:$V$1001,MATCH(ROWS($U$2:U181),$U$2:$U$1001,0),1)&gt;=100000,INDEX($AB$1005:$AQ$1005,1,MATCH(COLUMNS($AB$1006:AM1006),$AB$1006:$AQ$1006,0))&gt;=100000), " ",IF(INDEX($AB$2:$AQ$1001,MATCH(ROWS($U$2:U181),$U$2:$U$1001,0),MATCH(COLUMNS($AB$1006:AM1006),$AB$1006:$AQ$1006,0)), HYPERLINK("#",""), HYPERLINK(CONCATENATE("#metadata!", ADDRESS(INDEX($W$2:$W$1001,MATCH(ROWS($U$2:U181),$U$2:$U$1001,0),0), INDEX($AB$1004:$AQ$1004,1,MATCH(COLUMNS($AB$1006:AM1006),$AB$1006:$AQ$1006,0)))),"Fix")))</f>
        <v>0</v>
      </c>
      <c r="N181" s="4">
        <f>IF(OR(INDEX($V$2:$V$1001,MATCH(ROWS($U$2:U181),$U$2:$U$1001,0),1)&gt;=100000,INDEX($AB$1005:$AQ$1005,1,MATCH(COLUMNS($AB$1006:AN1006),$AB$1006:$AQ$1006,0))&gt;=100000), " ",IF(INDEX($AB$2:$AQ$1001,MATCH(ROWS($U$2:U181),$U$2:$U$1001,0),MATCH(COLUMNS($AB$1006:AN1006),$AB$1006:$AQ$1006,0)), HYPERLINK("#",""), HYPERLINK(CONCATENATE("#metadata!", ADDRESS(INDEX($W$2:$W$1001,MATCH(ROWS($U$2:U181),$U$2:$U$1001,0),0), INDEX($AB$1004:$AQ$1004,1,MATCH(COLUMNS($AB$1006:AN1006),$AB$1006:$AQ$1006,0)))),"Fix")))</f>
        <v>0</v>
      </c>
      <c r="O181" s="4">
        <f>IF(OR(INDEX($V$2:$V$1001,MATCH(ROWS($U$2:U181),$U$2:$U$1001,0),1)&gt;=100000,INDEX($AB$1005:$AQ$1005,1,MATCH(COLUMNS($AB$1006:AO1006),$AB$1006:$AQ$1006,0))&gt;=100000), " ",IF(INDEX($AB$2:$AQ$1001,MATCH(ROWS($U$2:U181),$U$2:$U$1001,0),MATCH(COLUMNS($AB$1006:AO1006),$AB$1006:$AQ$1006,0)), HYPERLINK("#",""), HYPERLINK(CONCATENATE("#metadata!", ADDRESS(INDEX($W$2:$W$1001,MATCH(ROWS($U$2:U181),$U$2:$U$1001,0),0), INDEX($AB$1004:$AQ$1004,1,MATCH(COLUMNS($AB$1006:AO1006),$AB$1006:$AQ$1006,0)))),"Fix")))</f>
        <v>0</v>
      </c>
      <c r="P181" s="4">
        <f>IF(OR(INDEX($V$2:$V$1001,MATCH(ROWS($U$2:U181),$U$2:$U$1001,0),1)&gt;=100000,INDEX($AB$1005:$AQ$1005,1,MATCH(COLUMNS($AB$1006:AP1006),$AB$1006:$AQ$1006,0))&gt;=100000), " ",IF(INDEX($AB$2:$AQ$1001,MATCH(ROWS($U$2:U181),$U$2:$U$1001,0),MATCH(COLUMNS($AB$1006:AP1006),$AB$1006:$AQ$1006,0)), HYPERLINK("#",""), HYPERLINK(CONCATENATE("#metadata!", ADDRESS(INDEX($W$2:$W$1001,MATCH(ROWS($U$2:U181),$U$2:$U$1001,0),0), INDEX($AB$1004:$AQ$1004,1,MATCH(COLUMNS($AB$1006:AP1006),$AB$1006:$AQ$1006,0)))),"Fix")))</f>
        <v>0</v>
      </c>
      <c r="Q181" s="4">
        <f>IF(OR(INDEX($V$2:$V$1001,MATCH(ROWS($U$2:U181),$U$2:$U$1001,0),1)&gt;=100000,INDEX($AB$1005:$AQ$1005,1,MATCH(COLUMNS($AB$1006:AQ1006),$AB$1006:$AQ$1006,0))&gt;=100000), " ",IF(INDEX($AB$2:$AQ$1001,MATCH(ROWS($U$2:U181),$U$2:$U$1001,0),MATCH(COLUMNS($AB$1006:AQ1006),$AB$1006:$AQ$1006,0)), HYPERLINK("#",""), HYPERLINK(CONCATENATE("#metadata!", ADDRESS(INDEX($W$2:$W$1001,MATCH(ROWS($U$2:U181),$U$2:$U$1001,0),0), INDEX($AB$1004:$AQ$1004,1,MATCH(COLUMNS($AB$1006:AQ1006),$AB$1006:$AQ$1006,0)))),"Fix")))</f>
        <v>0</v>
      </c>
      <c r="U181">
        <v>0</v>
      </c>
      <c r="V181">
        <v>0</v>
      </c>
      <c r="W181">
        <v>0</v>
      </c>
      <c r="X181">
        <f>IF(Y181,TRUE,AND(AB181:AQ181))</f>
        <v>0</v>
      </c>
      <c r="Y181">
        <f>COUNTBLANK(metadata!B181:Q181)=COLUMNS(metadata!B181:Q181)</f>
        <v>0</v>
      </c>
      <c r="Z181">
        <v>0</v>
      </c>
      <c r="AB181">
        <f>AND(IF(metadata!B181="",FALSE,TRUE),COUNTIF(metadata!B:B, metadata!B181) = 1,NOT(ISERROR(SUMPRODUCT(SEARCH(MID(metadata!B181,ROW(INDIRECT("1:"&amp;LEN(metadata!B181))), 1),"0123456789abcdefghijklmnopqrstuvwxyzABCDEFGHIJKLMNOPQRSTUVWXYZ.")))))</f>
        <v>0</v>
      </c>
      <c r="AC181">
        <f>OR(AND(IF(metadata!C181="",FALSE,TRUE),OR(exact(metadata!C181,"missing: not collected"),exact(metadata!C181,"missing: not provided"),exact(metadata!C181,"missing: restricted access"))),AND(IF(metadata!C181="",FALSE,TRUE),AND(AND(IFERROR(INT(LEFT(metadata!C181,4))&gt;1900,FALSE),IFERROR(INT(LEFT(metadata!C181,4))&lt;=YEAR(NOW()),FALSE)), OR(MID(metadata!C181,5,1)="", AND(AND(MID(metadata!C181,5,1)="-",IFERROR(INT(MID(metadata!C181,6,1))&gt;=0,FALSE),IFERROR(INT(MID(metadata!C181,6,1))&lt;=1,FALSE),NOT(MID(metadata!C181,7,1)=""),IFERROR(INT(MID(metadata!C181,6,2))&gt;=1,FALSE),IFERROR(INT(MID(metadata!C181,6,2))&lt;=12,FALSE)), OR(MID(metadata!C181,8,1)="", AND(AND(MID(metadata!C181,8,1)="-",IFERROR(INT(MID(metadata!C181,9,1))&gt;=0,FALSE),IFERROR(INT(MID(metadata!C181,9,1))&lt;=3,FALSE),NOT(MID(metadata!C181,10,1)=""),IFERROR(INT(MID(metadata!C181,9,2))&gt;=1,FALSE),IFERROR(INT(MID(metadata!C181,9,2))&lt;=31,FALSE)), OR(MID(metadata!C181,11,1)="", AND(AND(MID(metadata!C181,11,1)=" ",IFERROR(INT(MID(metadata!C181,12,1))&gt;=0,FALSE),IFERROR(INT(MID(metadata!C181,12,1))&lt;=2,FALSE),NOT(MID(metadata!C181,13,1)=""),IFERROR(INT(MID(metadata!C181,12,2))&gt;=0,FALSE),IFERROR(INT(MID(metadata!C181,12,2))&lt;=23,FALSE)), OR(MID(metadata!C181,14,1)="", AND(AND(MID(metadata!C181,14,1)=":",IFERROR(INT(MID(metadata!C181,15,1))&gt;=0,FALSE),IFERROR(INT(MID(metadata!C181,15,1))&lt;=5,FALSE),NOT(MID(metadata!C181,16,1)=""),IFERROR(INT(MID(metadata!C181,15,2))&gt;=0,FALSE),IFERROR(INT(MID(metadata!C181,15,2))&lt;=59,FALSE)), OR(MID(metadata!C181,17,1)="", AND(AND(MID(metadata!C181,17,1)=":",IFERROR(INT(MID(metadata!C181,18,1))&gt;=0,FALSE),IFERROR(INT(MID(metadata!C181,18,1))&lt;=5,FALSE),NOT(MID(metadata!C181,19,1)=""),IFERROR(INT(MID(metadata!C181,18,2))&gt;=0,FALSE),IFERROR(INT(MID(metadata!C181,18,2))&lt;=59,FALSE)), LEN(metadata!C181)&lt;=19)))))))))))))</f>
        <v>0</v>
      </c>
      <c r="AD181">
        <f>IF(metadata!D181="",FALSE,TRUE)</f>
        <v>0</v>
      </c>
      <c r="AE181">
        <f>OR(AND(IF(metadata!E181="",FALSE,TRUE),OR(exact(metadata!E181,"missing: not collected"),exact(metadata!E181,"missing: not provided"))),AND(IF(metadata!E181="",FALSE,TRUE),OR(exact(metadata!E181,"TRUE"),exact(metadata!E181,"FALSE"))))</f>
        <v>0</v>
      </c>
      <c r="AF181">
        <f>IF(metadata!F181="",FALSE,TRUE)</f>
        <v>0</v>
      </c>
      <c r="AG181">
        <f>IF(metadata!G181="",FALSE,TRUE)</f>
        <v>0</v>
      </c>
      <c r="AH181">
        <f>IF(metadata!H181="",FALSE,TRUE)</f>
        <v>0</v>
      </c>
      <c r="AI181">
        <f>OR(AND(IF(metadata!I181="",FALSE,TRUE),OR(exact(metadata!I181,"missing: not collected"),exact(metadata!I181,"missing: not provided"),exact(metadata!I181,"missing: restricted access"))),AND(IF(metadata!I181="",FALSE,TRUE),OR(exact(metadata!I181,"air"),exact(metadata!I181,"built environment"),exact(metadata!I181,"host-associated"),exact(metadata!I181,"human-associated"),exact(metadata!I181,"human-skin"),exact(metadata!I181,"human-oral"),exact(metadata!I181,"human-gut"),exact(metadata!I181,"human-vaginal"),exact(metadata!I181,"microbial mat/biofilm"),exact(metadata!I181,"misc environment"),exact(metadata!I181,"plant-associated"),exact(metadata!I181,"sediment"),exact(metadata!I181,"soil"),exact(metadata!I181,"wastewater/sludge"),exact(metadata!I181,"water"))))</f>
        <v>0</v>
      </c>
      <c r="AJ181">
        <f>IF(metadata!J181="",FALSE,TRUE)</f>
        <v>0</v>
      </c>
      <c r="AK181">
        <f>OR(AND(IF(metadata!K181="",FALSE,TRUE),OR(exact(metadata!K181,"missing: not collected"),exact(metadata!K181,"missing: not provided"),exact(metadata!K181,"missing: restricted access"))),AND(IF(metadata!K181="",FALSE,ISNUMBER(VALUE(metadata!K181))),metadata!K181&gt;=-90.00,metadata!K181&lt;=90.00))</f>
        <v>0</v>
      </c>
      <c r="AL181">
        <f>OR(AND(IF(metadata!L181="",FALSE,TRUE),OR(exact(metadata!L181,"missing: not collected"),exact(metadata!L181,"missing: not provided"),exact(metadata!L181,"missing: restricted access"))),AND(IF(metadata!L181="",FALSE,ISNUMBER(VALUE(metadata!L181))),metadata!L181&gt;=-180.00,metadata!L181&lt;=180.00))</f>
        <v>0</v>
      </c>
      <c r="AM181">
        <f>IF(metadata!M181="",FALSE,TRUE)</f>
        <v>0</v>
      </c>
      <c r="AN181">
        <f>OR(AND(IF(metadata!N181="",FALSE,TRUE),OR(exact(metadata!N181,"missing: not collected"),exact(metadata!N181,"missing: not provided"),exact(metadata!N181,"missing: restricted access"))),AND(IF(metadata!N181="",FALSE,TRUE),OR(exact(metadata!N181,"TRUE"),exact(metadata!N181,"FALSE"))))</f>
        <v>0</v>
      </c>
      <c r="AO181">
        <f>IF(metadata!O181="",FALSE,TRUE)</f>
        <v>0</v>
      </c>
      <c r="AP181">
        <f>OR(AND(IF(metadata!P181="",FALSE,TRUE),OR(exact(metadata!P181,"missing: not collected"),exact(metadata!P181,"missing: not provided"))),AND(IF(metadata!P181="",FALSE,IF(ISERROR(INT(metadata!P181)),FALSE,INT(metadata!P181)=metadata!P181)),metadata!P181&gt;0))</f>
        <v>0</v>
      </c>
      <c r="AQ181">
        <f>IF(metadata!Q181="",FALSE,TRUE)</f>
        <v>0</v>
      </c>
    </row>
    <row r="182" spans="1:43">
      <c r="A182" s="5">
        <f>IF(B182=" "," ",HYPERLINK(CONCATENATE("#metadata!",ADDRESS(INDEX($W$2:$W$1001,MATCH(ROWS($U$2:U182),$U$2:$U$1001,0),0),1)),INDEX($Z$2:$Z$1001,MATCH(ROWS($U$2:U182),$U$2:$U$1001,0),0)))</f>
        <v>0</v>
      </c>
      <c r="B182" s="4">
        <f>IF(OR(INDEX($V$2:$V$1001,MATCH(ROWS($U$2:U182),$U$2:$U$1001,0),1)&gt;=100000,INDEX($AB$1005:$AQ$1005,1,MATCH(COLUMNS($AB$1006:AB1006),$AB$1006:$AQ$1006,0))&gt;=100000), " ",IF(INDEX($AB$2:$AQ$1001,MATCH(ROWS($U$2:U182),$U$2:$U$1001,0),MATCH(COLUMNS($AB$1006:AB1006),$AB$1006:$AQ$1006,0)), HYPERLINK("#",""), HYPERLINK(CONCATENATE("#metadata!", ADDRESS(INDEX($W$2:$W$1001,MATCH(ROWS($U$2:U182),$U$2:$U$1001,0),0), INDEX($AB$1004:$AQ$1004,1,MATCH(COLUMNS($AB$1006:AB1006),$AB$1006:$AQ$1006,0)))),"Fix")))</f>
        <v>0</v>
      </c>
      <c r="C182" s="4">
        <f>IF(OR(INDEX($V$2:$V$1001,MATCH(ROWS($U$2:U182),$U$2:$U$1001,0),1)&gt;=100000,INDEX($AB$1005:$AQ$1005,1,MATCH(COLUMNS($AB$1006:AC1006),$AB$1006:$AQ$1006,0))&gt;=100000), " ",IF(INDEX($AB$2:$AQ$1001,MATCH(ROWS($U$2:U182),$U$2:$U$1001,0),MATCH(COLUMNS($AB$1006:AC1006),$AB$1006:$AQ$1006,0)), HYPERLINK("#",""), HYPERLINK(CONCATENATE("#metadata!", ADDRESS(INDEX($W$2:$W$1001,MATCH(ROWS($U$2:U182),$U$2:$U$1001,0),0), INDEX($AB$1004:$AQ$1004,1,MATCH(COLUMNS($AB$1006:AC1006),$AB$1006:$AQ$1006,0)))),"Fix")))</f>
        <v>0</v>
      </c>
      <c r="D182" s="4">
        <f>IF(OR(INDEX($V$2:$V$1001,MATCH(ROWS($U$2:U182),$U$2:$U$1001,0),1)&gt;=100000,INDEX($AB$1005:$AQ$1005,1,MATCH(COLUMNS($AB$1006:AD1006),$AB$1006:$AQ$1006,0))&gt;=100000), " ",IF(INDEX($AB$2:$AQ$1001,MATCH(ROWS($U$2:U182),$U$2:$U$1001,0),MATCH(COLUMNS($AB$1006:AD1006),$AB$1006:$AQ$1006,0)), HYPERLINK("#",""), HYPERLINK(CONCATENATE("#metadata!", ADDRESS(INDEX($W$2:$W$1001,MATCH(ROWS($U$2:U182),$U$2:$U$1001,0),0), INDEX($AB$1004:$AQ$1004,1,MATCH(COLUMNS($AB$1006:AD1006),$AB$1006:$AQ$1006,0)))),"Fix")))</f>
        <v>0</v>
      </c>
      <c r="E182" s="4">
        <f>IF(OR(INDEX($V$2:$V$1001,MATCH(ROWS($U$2:U182),$U$2:$U$1001,0),1)&gt;=100000,INDEX($AB$1005:$AQ$1005,1,MATCH(COLUMNS($AB$1006:AE1006),$AB$1006:$AQ$1006,0))&gt;=100000), " ",IF(INDEX($AB$2:$AQ$1001,MATCH(ROWS($U$2:U182),$U$2:$U$1001,0),MATCH(COLUMNS($AB$1006:AE1006),$AB$1006:$AQ$1006,0)), HYPERLINK("#",""), HYPERLINK(CONCATENATE("#metadata!", ADDRESS(INDEX($W$2:$W$1001,MATCH(ROWS($U$2:U182),$U$2:$U$1001,0),0), INDEX($AB$1004:$AQ$1004,1,MATCH(COLUMNS($AB$1006:AE1006),$AB$1006:$AQ$1006,0)))),"Fix")))</f>
        <v>0</v>
      </c>
      <c r="F182" s="4">
        <f>IF(OR(INDEX($V$2:$V$1001,MATCH(ROWS($U$2:U182),$U$2:$U$1001,0),1)&gt;=100000,INDEX($AB$1005:$AQ$1005,1,MATCH(COLUMNS($AB$1006:AF1006),$AB$1006:$AQ$1006,0))&gt;=100000), " ",IF(INDEX($AB$2:$AQ$1001,MATCH(ROWS($U$2:U182),$U$2:$U$1001,0),MATCH(COLUMNS($AB$1006:AF1006),$AB$1006:$AQ$1006,0)), HYPERLINK("#",""), HYPERLINK(CONCATENATE("#metadata!", ADDRESS(INDEX($W$2:$W$1001,MATCH(ROWS($U$2:U182),$U$2:$U$1001,0),0), INDEX($AB$1004:$AQ$1004,1,MATCH(COLUMNS($AB$1006:AF1006),$AB$1006:$AQ$1006,0)))),"Fix")))</f>
        <v>0</v>
      </c>
      <c r="G182" s="4">
        <f>IF(OR(INDEX($V$2:$V$1001,MATCH(ROWS($U$2:U182),$U$2:$U$1001,0),1)&gt;=100000,INDEX($AB$1005:$AQ$1005,1,MATCH(COLUMNS($AB$1006:AG1006),$AB$1006:$AQ$1006,0))&gt;=100000), " ",IF(INDEX($AB$2:$AQ$1001,MATCH(ROWS($U$2:U182),$U$2:$U$1001,0),MATCH(COLUMNS($AB$1006:AG1006),$AB$1006:$AQ$1006,0)), HYPERLINK("#",""), HYPERLINK(CONCATENATE("#metadata!", ADDRESS(INDEX($W$2:$W$1001,MATCH(ROWS($U$2:U182),$U$2:$U$1001,0),0), INDEX($AB$1004:$AQ$1004,1,MATCH(COLUMNS($AB$1006:AG1006),$AB$1006:$AQ$1006,0)))),"Fix")))</f>
        <v>0</v>
      </c>
      <c r="H182" s="4">
        <f>IF(OR(INDEX($V$2:$V$1001,MATCH(ROWS($U$2:U182),$U$2:$U$1001,0),1)&gt;=100000,INDEX($AB$1005:$AQ$1005,1,MATCH(COLUMNS($AB$1006:AH1006),$AB$1006:$AQ$1006,0))&gt;=100000), " ",IF(INDEX($AB$2:$AQ$1001,MATCH(ROWS($U$2:U182),$U$2:$U$1001,0),MATCH(COLUMNS($AB$1006:AH1006),$AB$1006:$AQ$1006,0)), HYPERLINK("#",""), HYPERLINK(CONCATENATE("#metadata!", ADDRESS(INDEX($W$2:$W$1001,MATCH(ROWS($U$2:U182),$U$2:$U$1001,0),0), INDEX($AB$1004:$AQ$1004,1,MATCH(COLUMNS($AB$1006:AH1006),$AB$1006:$AQ$1006,0)))),"Fix")))</f>
        <v>0</v>
      </c>
      <c r="I182" s="4">
        <f>IF(OR(INDEX($V$2:$V$1001,MATCH(ROWS($U$2:U182),$U$2:$U$1001,0),1)&gt;=100000,INDEX($AB$1005:$AQ$1005,1,MATCH(COLUMNS($AB$1006:AI1006),$AB$1006:$AQ$1006,0))&gt;=100000), " ",IF(INDEX($AB$2:$AQ$1001,MATCH(ROWS($U$2:U182),$U$2:$U$1001,0),MATCH(COLUMNS($AB$1006:AI1006),$AB$1006:$AQ$1006,0)), HYPERLINK("#",""), HYPERLINK(CONCATENATE("#metadata!", ADDRESS(INDEX($W$2:$W$1001,MATCH(ROWS($U$2:U182),$U$2:$U$1001,0),0), INDEX($AB$1004:$AQ$1004,1,MATCH(COLUMNS($AB$1006:AI1006),$AB$1006:$AQ$1006,0)))),"Fix")))</f>
        <v>0</v>
      </c>
      <c r="J182" s="4">
        <f>IF(OR(INDEX($V$2:$V$1001,MATCH(ROWS($U$2:U182),$U$2:$U$1001,0),1)&gt;=100000,INDEX($AB$1005:$AQ$1005,1,MATCH(COLUMNS($AB$1006:AJ1006),$AB$1006:$AQ$1006,0))&gt;=100000), " ",IF(INDEX($AB$2:$AQ$1001,MATCH(ROWS($U$2:U182),$U$2:$U$1001,0),MATCH(COLUMNS($AB$1006:AJ1006),$AB$1006:$AQ$1006,0)), HYPERLINK("#",""), HYPERLINK(CONCATENATE("#metadata!", ADDRESS(INDEX($W$2:$W$1001,MATCH(ROWS($U$2:U182),$U$2:$U$1001,0),0), INDEX($AB$1004:$AQ$1004,1,MATCH(COLUMNS($AB$1006:AJ1006),$AB$1006:$AQ$1006,0)))),"Fix")))</f>
        <v>0</v>
      </c>
      <c r="K182" s="4">
        <f>IF(OR(INDEX($V$2:$V$1001,MATCH(ROWS($U$2:U182),$U$2:$U$1001,0),1)&gt;=100000,INDEX($AB$1005:$AQ$1005,1,MATCH(COLUMNS($AB$1006:AK1006),$AB$1006:$AQ$1006,0))&gt;=100000), " ",IF(INDEX($AB$2:$AQ$1001,MATCH(ROWS($U$2:U182),$U$2:$U$1001,0),MATCH(COLUMNS($AB$1006:AK1006),$AB$1006:$AQ$1006,0)), HYPERLINK("#",""), HYPERLINK(CONCATENATE("#metadata!", ADDRESS(INDEX($W$2:$W$1001,MATCH(ROWS($U$2:U182),$U$2:$U$1001,0),0), INDEX($AB$1004:$AQ$1004,1,MATCH(COLUMNS($AB$1006:AK1006),$AB$1006:$AQ$1006,0)))),"Fix")))</f>
        <v>0</v>
      </c>
      <c r="L182" s="4">
        <f>IF(OR(INDEX($V$2:$V$1001,MATCH(ROWS($U$2:U182),$U$2:$U$1001,0),1)&gt;=100000,INDEX($AB$1005:$AQ$1005,1,MATCH(COLUMNS($AB$1006:AL1006),$AB$1006:$AQ$1006,0))&gt;=100000), " ",IF(INDEX($AB$2:$AQ$1001,MATCH(ROWS($U$2:U182),$U$2:$U$1001,0),MATCH(COLUMNS($AB$1006:AL1006),$AB$1006:$AQ$1006,0)), HYPERLINK("#",""), HYPERLINK(CONCATENATE("#metadata!", ADDRESS(INDEX($W$2:$W$1001,MATCH(ROWS($U$2:U182),$U$2:$U$1001,0),0), INDEX($AB$1004:$AQ$1004,1,MATCH(COLUMNS($AB$1006:AL1006),$AB$1006:$AQ$1006,0)))),"Fix")))</f>
        <v>0</v>
      </c>
      <c r="M182" s="4">
        <f>IF(OR(INDEX($V$2:$V$1001,MATCH(ROWS($U$2:U182),$U$2:$U$1001,0),1)&gt;=100000,INDEX($AB$1005:$AQ$1005,1,MATCH(COLUMNS($AB$1006:AM1006),$AB$1006:$AQ$1006,0))&gt;=100000), " ",IF(INDEX($AB$2:$AQ$1001,MATCH(ROWS($U$2:U182),$U$2:$U$1001,0),MATCH(COLUMNS($AB$1006:AM1006),$AB$1006:$AQ$1006,0)), HYPERLINK("#",""), HYPERLINK(CONCATENATE("#metadata!", ADDRESS(INDEX($W$2:$W$1001,MATCH(ROWS($U$2:U182),$U$2:$U$1001,0),0), INDEX($AB$1004:$AQ$1004,1,MATCH(COLUMNS($AB$1006:AM1006),$AB$1006:$AQ$1006,0)))),"Fix")))</f>
        <v>0</v>
      </c>
      <c r="N182" s="4">
        <f>IF(OR(INDEX($V$2:$V$1001,MATCH(ROWS($U$2:U182),$U$2:$U$1001,0),1)&gt;=100000,INDEX($AB$1005:$AQ$1005,1,MATCH(COLUMNS($AB$1006:AN1006),$AB$1006:$AQ$1006,0))&gt;=100000), " ",IF(INDEX($AB$2:$AQ$1001,MATCH(ROWS($U$2:U182),$U$2:$U$1001,0),MATCH(COLUMNS($AB$1006:AN1006),$AB$1006:$AQ$1006,0)), HYPERLINK("#",""), HYPERLINK(CONCATENATE("#metadata!", ADDRESS(INDEX($W$2:$W$1001,MATCH(ROWS($U$2:U182),$U$2:$U$1001,0),0), INDEX($AB$1004:$AQ$1004,1,MATCH(COLUMNS($AB$1006:AN1006),$AB$1006:$AQ$1006,0)))),"Fix")))</f>
        <v>0</v>
      </c>
      <c r="O182" s="4">
        <f>IF(OR(INDEX($V$2:$V$1001,MATCH(ROWS($U$2:U182),$U$2:$U$1001,0),1)&gt;=100000,INDEX($AB$1005:$AQ$1005,1,MATCH(COLUMNS($AB$1006:AO1006),$AB$1006:$AQ$1006,0))&gt;=100000), " ",IF(INDEX($AB$2:$AQ$1001,MATCH(ROWS($U$2:U182),$U$2:$U$1001,0),MATCH(COLUMNS($AB$1006:AO1006),$AB$1006:$AQ$1006,0)), HYPERLINK("#",""), HYPERLINK(CONCATENATE("#metadata!", ADDRESS(INDEX($W$2:$W$1001,MATCH(ROWS($U$2:U182),$U$2:$U$1001,0),0), INDEX($AB$1004:$AQ$1004,1,MATCH(COLUMNS($AB$1006:AO1006),$AB$1006:$AQ$1006,0)))),"Fix")))</f>
        <v>0</v>
      </c>
      <c r="P182" s="4">
        <f>IF(OR(INDEX($V$2:$V$1001,MATCH(ROWS($U$2:U182),$U$2:$U$1001,0),1)&gt;=100000,INDEX($AB$1005:$AQ$1005,1,MATCH(COLUMNS($AB$1006:AP1006),$AB$1006:$AQ$1006,0))&gt;=100000), " ",IF(INDEX($AB$2:$AQ$1001,MATCH(ROWS($U$2:U182),$U$2:$U$1001,0),MATCH(COLUMNS($AB$1006:AP1006),$AB$1006:$AQ$1006,0)), HYPERLINK("#",""), HYPERLINK(CONCATENATE("#metadata!", ADDRESS(INDEX($W$2:$W$1001,MATCH(ROWS($U$2:U182),$U$2:$U$1001,0),0), INDEX($AB$1004:$AQ$1004,1,MATCH(COLUMNS($AB$1006:AP1006),$AB$1006:$AQ$1006,0)))),"Fix")))</f>
        <v>0</v>
      </c>
      <c r="Q182" s="4">
        <f>IF(OR(INDEX($V$2:$V$1001,MATCH(ROWS($U$2:U182),$U$2:$U$1001,0),1)&gt;=100000,INDEX($AB$1005:$AQ$1005,1,MATCH(COLUMNS($AB$1006:AQ1006),$AB$1006:$AQ$1006,0))&gt;=100000), " ",IF(INDEX($AB$2:$AQ$1001,MATCH(ROWS($U$2:U182),$U$2:$U$1001,0),MATCH(COLUMNS($AB$1006:AQ1006),$AB$1006:$AQ$1006,0)), HYPERLINK("#",""), HYPERLINK(CONCATENATE("#metadata!", ADDRESS(INDEX($W$2:$W$1001,MATCH(ROWS($U$2:U182),$U$2:$U$1001,0),0), INDEX($AB$1004:$AQ$1004,1,MATCH(COLUMNS($AB$1006:AQ1006),$AB$1006:$AQ$1006,0)))),"Fix")))</f>
        <v>0</v>
      </c>
      <c r="U182">
        <v>0</v>
      </c>
      <c r="V182">
        <v>0</v>
      </c>
      <c r="W182">
        <v>0</v>
      </c>
      <c r="X182">
        <f>IF(Y182,TRUE,AND(AB182:AQ182))</f>
        <v>0</v>
      </c>
      <c r="Y182">
        <f>COUNTBLANK(metadata!B182:Q182)=COLUMNS(metadata!B182:Q182)</f>
        <v>0</v>
      </c>
      <c r="Z182">
        <v>0</v>
      </c>
      <c r="AB182">
        <f>AND(IF(metadata!B182="",FALSE,TRUE),COUNTIF(metadata!B:B, metadata!B182) = 1,NOT(ISERROR(SUMPRODUCT(SEARCH(MID(metadata!B182,ROW(INDIRECT("1:"&amp;LEN(metadata!B182))), 1),"0123456789abcdefghijklmnopqrstuvwxyzABCDEFGHIJKLMNOPQRSTUVWXYZ.")))))</f>
        <v>0</v>
      </c>
      <c r="AC182">
        <f>OR(AND(IF(metadata!C182="",FALSE,TRUE),OR(exact(metadata!C182,"missing: not collected"),exact(metadata!C182,"missing: not provided"),exact(metadata!C182,"missing: restricted access"))),AND(IF(metadata!C182="",FALSE,TRUE),AND(AND(IFERROR(INT(LEFT(metadata!C182,4))&gt;1900,FALSE),IFERROR(INT(LEFT(metadata!C182,4))&lt;=YEAR(NOW()),FALSE)), OR(MID(metadata!C182,5,1)="", AND(AND(MID(metadata!C182,5,1)="-",IFERROR(INT(MID(metadata!C182,6,1))&gt;=0,FALSE),IFERROR(INT(MID(metadata!C182,6,1))&lt;=1,FALSE),NOT(MID(metadata!C182,7,1)=""),IFERROR(INT(MID(metadata!C182,6,2))&gt;=1,FALSE),IFERROR(INT(MID(metadata!C182,6,2))&lt;=12,FALSE)), OR(MID(metadata!C182,8,1)="", AND(AND(MID(metadata!C182,8,1)="-",IFERROR(INT(MID(metadata!C182,9,1))&gt;=0,FALSE),IFERROR(INT(MID(metadata!C182,9,1))&lt;=3,FALSE),NOT(MID(metadata!C182,10,1)=""),IFERROR(INT(MID(metadata!C182,9,2))&gt;=1,FALSE),IFERROR(INT(MID(metadata!C182,9,2))&lt;=31,FALSE)), OR(MID(metadata!C182,11,1)="", AND(AND(MID(metadata!C182,11,1)=" ",IFERROR(INT(MID(metadata!C182,12,1))&gt;=0,FALSE),IFERROR(INT(MID(metadata!C182,12,1))&lt;=2,FALSE),NOT(MID(metadata!C182,13,1)=""),IFERROR(INT(MID(metadata!C182,12,2))&gt;=0,FALSE),IFERROR(INT(MID(metadata!C182,12,2))&lt;=23,FALSE)), OR(MID(metadata!C182,14,1)="", AND(AND(MID(metadata!C182,14,1)=":",IFERROR(INT(MID(metadata!C182,15,1))&gt;=0,FALSE),IFERROR(INT(MID(metadata!C182,15,1))&lt;=5,FALSE),NOT(MID(metadata!C182,16,1)=""),IFERROR(INT(MID(metadata!C182,15,2))&gt;=0,FALSE),IFERROR(INT(MID(metadata!C182,15,2))&lt;=59,FALSE)), OR(MID(metadata!C182,17,1)="", AND(AND(MID(metadata!C182,17,1)=":",IFERROR(INT(MID(metadata!C182,18,1))&gt;=0,FALSE),IFERROR(INT(MID(metadata!C182,18,1))&lt;=5,FALSE),NOT(MID(metadata!C182,19,1)=""),IFERROR(INT(MID(metadata!C182,18,2))&gt;=0,FALSE),IFERROR(INT(MID(metadata!C182,18,2))&lt;=59,FALSE)), LEN(metadata!C182)&lt;=19)))))))))))))</f>
        <v>0</v>
      </c>
      <c r="AD182">
        <f>IF(metadata!D182="",FALSE,TRUE)</f>
        <v>0</v>
      </c>
      <c r="AE182">
        <f>OR(AND(IF(metadata!E182="",FALSE,TRUE),OR(exact(metadata!E182,"missing: not collected"),exact(metadata!E182,"missing: not provided"))),AND(IF(metadata!E182="",FALSE,TRUE),OR(exact(metadata!E182,"TRUE"),exact(metadata!E182,"FALSE"))))</f>
        <v>0</v>
      </c>
      <c r="AF182">
        <f>IF(metadata!F182="",FALSE,TRUE)</f>
        <v>0</v>
      </c>
      <c r="AG182">
        <f>IF(metadata!G182="",FALSE,TRUE)</f>
        <v>0</v>
      </c>
      <c r="AH182">
        <f>IF(metadata!H182="",FALSE,TRUE)</f>
        <v>0</v>
      </c>
      <c r="AI182">
        <f>OR(AND(IF(metadata!I182="",FALSE,TRUE),OR(exact(metadata!I182,"missing: not collected"),exact(metadata!I182,"missing: not provided"),exact(metadata!I182,"missing: restricted access"))),AND(IF(metadata!I182="",FALSE,TRUE),OR(exact(metadata!I182,"air"),exact(metadata!I182,"built environment"),exact(metadata!I182,"host-associated"),exact(metadata!I182,"human-associated"),exact(metadata!I182,"human-skin"),exact(metadata!I182,"human-oral"),exact(metadata!I182,"human-gut"),exact(metadata!I182,"human-vaginal"),exact(metadata!I182,"microbial mat/biofilm"),exact(metadata!I182,"misc environment"),exact(metadata!I182,"plant-associated"),exact(metadata!I182,"sediment"),exact(metadata!I182,"soil"),exact(metadata!I182,"wastewater/sludge"),exact(metadata!I182,"water"))))</f>
        <v>0</v>
      </c>
      <c r="AJ182">
        <f>IF(metadata!J182="",FALSE,TRUE)</f>
        <v>0</v>
      </c>
      <c r="AK182">
        <f>OR(AND(IF(metadata!K182="",FALSE,TRUE),OR(exact(metadata!K182,"missing: not collected"),exact(metadata!K182,"missing: not provided"),exact(metadata!K182,"missing: restricted access"))),AND(IF(metadata!K182="",FALSE,ISNUMBER(VALUE(metadata!K182))),metadata!K182&gt;=-90.00,metadata!K182&lt;=90.00))</f>
        <v>0</v>
      </c>
      <c r="AL182">
        <f>OR(AND(IF(metadata!L182="",FALSE,TRUE),OR(exact(metadata!L182,"missing: not collected"),exact(metadata!L182,"missing: not provided"),exact(metadata!L182,"missing: restricted access"))),AND(IF(metadata!L182="",FALSE,ISNUMBER(VALUE(metadata!L182))),metadata!L182&gt;=-180.00,metadata!L182&lt;=180.00))</f>
        <v>0</v>
      </c>
      <c r="AM182">
        <f>IF(metadata!M182="",FALSE,TRUE)</f>
        <v>0</v>
      </c>
      <c r="AN182">
        <f>OR(AND(IF(metadata!N182="",FALSE,TRUE),OR(exact(metadata!N182,"missing: not collected"),exact(metadata!N182,"missing: not provided"),exact(metadata!N182,"missing: restricted access"))),AND(IF(metadata!N182="",FALSE,TRUE),OR(exact(metadata!N182,"TRUE"),exact(metadata!N182,"FALSE"))))</f>
        <v>0</v>
      </c>
      <c r="AO182">
        <f>IF(metadata!O182="",FALSE,TRUE)</f>
        <v>0</v>
      </c>
      <c r="AP182">
        <f>OR(AND(IF(metadata!P182="",FALSE,TRUE),OR(exact(metadata!P182,"missing: not collected"),exact(metadata!P182,"missing: not provided"))),AND(IF(metadata!P182="",FALSE,IF(ISERROR(INT(metadata!P182)),FALSE,INT(metadata!P182)=metadata!P182)),metadata!P182&gt;0))</f>
        <v>0</v>
      </c>
      <c r="AQ182">
        <f>IF(metadata!Q182="",FALSE,TRUE)</f>
        <v>0</v>
      </c>
    </row>
    <row r="183" spans="1:43">
      <c r="A183" s="5">
        <f>IF(B183=" "," ",HYPERLINK(CONCATENATE("#metadata!",ADDRESS(INDEX($W$2:$W$1001,MATCH(ROWS($U$2:U183),$U$2:$U$1001,0),0),1)),INDEX($Z$2:$Z$1001,MATCH(ROWS($U$2:U183),$U$2:$U$1001,0),0)))</f>
        <v>0</v>
      </c>
      <c r="B183" s="4">
        <f>IF(OR(INDEX($V$2:$V$1001,MATCH(ROWS($U$2:U183),$U$2:$U$1001,0),1)&gt;=100000,INDEX($AB$1005:$AQ$1005,1,MATCH(COLUMNS($AB$1006:AB1006),$AB$1006:$AQ$1006,0))&gt;=100000), " ",IF(INDEX($AB$2:$AQ$1001,MATCH(ROWS($U$2:U183),$U$2:$U$1001,0),MATCH(COLUMNS($AB$1006:AB1006),$AB$1006:$AQ$1006,0)), HYPERLINK("#",""), HYPERLINK(CONCATENATE("#metadata!", ADDRESS(INDEX($W$2:$W$1001,MATCH(ROWS($U$2:U183),$U$2:$U$1001,0),0), INDEX($AB$1004:$AQ$1004,1,MATCH(COLUMNS($AB$1006:AB1006),$AB$1006:$AQ$1006,0)))),"Fix")))</f>
        <v>0</v>
      </c>
      <c r="C183" s="4">
        <f>IF(OR(INDEX($V$2:$V$1001,MATCH(ROWS($U$2:U183),$U$2:$U$1001,0),1)&gt;=100000,INDEX($AB$1005:$AQ$1005,1,MATCH(COLUMNS($AB$1006:AC1006),$AB$1006:$AQ$1006,0))&gt;=100000), " ",IF(INDEX($AB$2:$AQ$1001,MATCH(ROWS($U$2:U183),$U$2:$U$1001,0),MATCH(COLUMNS($AB$1006:AC1006),$AB$1006:$AQ$1006,0)), HYPERLINK("#",""), HYPERLINK(CONCATENATE("#metadata!", ADDRESS(INDEX($W$2:$W$1001,MATCH(ROWS($U$2:U183),$U$2:$U$1001,0),0), INDEX($AB$1004:$AQ$1004,1,MATCH(COLUMNS($AB$1006:AC1006),$AB$1006:$AQ$1006,0)))),"Fix")))</f>
        <v>0</v>
      </c>
      <c r="D183" s="4">
        <f>IF(OR(INDEX($V$2:$V$1001,MATCH(ROWS($U$2:U183),$U$2:$U$1001,0),1)&gt;=100000,INDEX($AB$1005:$AQ$1005,1,MATCH(COLUMNS($AB$1006:AD1006),$AB$1006:$AQ$1006,0))&gt;=100000), " ",IF(INDEX($AB$2:$AQ$1001,MATCH(ROWS($U$2:U183),$U$2:$U$1001,0),MATCH(COLUMNS($AB$1006:AD1006),$AB$1006:$AQ$1006,0)), HYPERLINK("#",""), HYPERLINK(CONCATENATE("#metadata!", ADDRESS(INDEX($W$2:$W$1001,MATCH(ROWS($U$2:U183),$U$2:$U$1001,0),0), INDEX($AB$1004:$AQ$1004,1,MATCH(COLUMNS($AB$1006:AD1006),$AB$1006:$AQ$1006,0)))),"Fix")))</f>
        <v>0</v>
      </c>
      <c r="E183" s="4">
        <f>IF(OR(INDEX($V$2:$V$1001,MATCH(ROWS($U$2:U183),$U$2:$U$1001,0),1)&gt;=100000,INDEX($AB$1005:$AQ$1005,1,MATCH(COLUMNS($AB$1006:AE1006),$AB$1006:$AQ$1006,0))&gt;=100000), " ",IF(INDEX($AB$2:$AQ$1001,MATCH(ROWS($U$2:U183),$U$2:$U$1001,0),MATCH(COLUMNS($AB$1006:AE1006),$AB$1006:$AQ$1006,0)), HYPERLINK("#",""), HYPERLINK(CONCATENATE("#metadata!", ADDRESS(INDEX($W$2:$W$1001,MATCH(ROWS($U$2:U183),$U$2:$U$1001,0),0), INDEX($AB$1004:$AQ$1004,1,MATCH(COLUMNS($AB$1006:AE1006),$AB$1006:$AQ$1006,0)))),"Fix")))</f>
        <v>0</v>
      </c>
      <c r="F183" s="4">
        <f>IF(OR(INDEX($V$2:$V$1001,MATCH(ROWS($U$2:U183),$U$2:$U$1001,0),1)&gt;=100000,INDEX($AB$1005:$AQ$1005,1,MATCH(COLUMNS($AB$1006:AF1006),$AB$1006:$AQ$1006,0))&gt;=100000), " ",IF(INDEX($AB$2:$AQ$1001,MATCH(ROWS($U$2:U183),$U$2:$U$1001,0),MATCH(COLUMNS($AB$1006:AF1006),$AB$1006:$AQ$1006,0)), HYPERLINK("#",""), HYPERLINK(CONCATENATE("#metadata!", ADDRESS(INDEX($W$2:$W$1001,MATCH(ROWS($U$2:U183),$U$2:$U$1001,0),0), INDEX($AB$1004:$AQ$1004,1,MATCH(COLUMNS($AB$1006:AF1006),$AB$1006:$AQ$1006,0)))),"Fix")))</f>
        <v>0</v>
      </c>
      <c r="G183" s="4">
        <f>IF(OR(INDEX($V$2:$V$1001,MATCH(ROWS($U$2:U183),$U$2:$U$1001,0),1)&gt;=100000,INDEX($AB$1005:$AQ$1005,1,MATCH(COLUMNS($AB$1006:AG1006),$AB$1006:$AQ$1006,0))&gt;=100000), " ",IF(INDEX($AB$2:$AQ$1001,MATCH(ROWS($U$2:U183),$U$2:$U$1001,0),MATCH(COLUMNS($AB$1006:AG1006),$AB$1006:$AQ$1006,0)), HYPERLINK("#",""), HYPERLINK(CONCATENATE("#metadata!", ADDRESS(INDEX($W$2:$W$1001,MATCH(ROWS($U$2:U183),$U$2:$U$1001,0),0), INDEX($AB$1004:$AQ$1004,1,MATCH(COLUMNS($AB$1006:AG1006),$AB$1006:$AQ$1006,0)))),"Fix")))</f>
        <v>0</v>
      </c>
      <c r="H183" s="4">
        <f>IF(OR(INDEX($V$2:$V$1001,MATCH(ROWS($U$2:U183),$U$2:$U$1001,0),1)&gt;=100000,INDEX($AB$1005:$AQ$1005,1,MATCH(COLUMNS($AB$1006:AH1006),$AB$1006:$AQ$1006,0))&gt;=100000), " ",IF(INDEX($AB$2:$AQ$1001,MATCH(ROWS($U$2:U183),$U$2:$U$1001,0),MATCH(COLUMNS($AB$1006:AH1006),$AB$1006:$AQ$1006,0)), HYPERLINK("#",""), HYPERLINK(CONCATENATE("#metadata!", ADDRESS(INDEX($W$2:$W$1001,MATCH(ROWS($U$2:U183),$U$2:$U$1001,0),0), INDEX($AB$1004:$AQ$1004,1,MATCH(COLUMNS($AB$1006:AH1006),$AB$1006:$AQ$1006,0)))),"Fix")))</f>
        <v>0</v>
      </c>
      <c r="I183" s="4">
        <f>IF(OR(INDEX($V$2:$V$1001,MATCH(ROWS($U$2:U183),$U$2:$U$1001,0),1)&gt;=100000,INDEX($AB$1005:$AQ$1005,1,MATCH(COLUMNS($AB$1006:AI1006),$AB$1006:$AQ$1006,0))&gt;=100000), " ",IF(INDEX($AB$2:$AQ$1001,MATCH(ROWS($U$2:U183),$U$2:$U$1001,0),MATCH(COLUMNS($AB$1006:AI1006),$AB$1006:$AQ$1006,0)), HYPERLINK("#",""), HYPERLINK(CONCATENATE("#metadata!", ADDRESS(INDEX($W$2:$W$1001,MATCH(ROWS($U$2:U183),$U$2:$U$1001,0),0), INDEX($AB$1004:$AQ$1004,1,MATCH(COLUMNS($AB$1006:AI1006),$AB$1006:$AQ$1006,0)))),"Fix")))</f>
        <v>0</v>
      </c>
      <c r="J183" s="4">
        <f>IF(OR(INDEX($V$2:$V$1001,MATCH(ROWS($U$2:U183),$U$2:$U$1001,0),1)&gt;=100000,INDEX($AB$1005:$AQ$1005,1,MATCH(COLUMNS($AB$1006:AJ1006),$AB$1006:$AQ$1006,0))&gt;=100000), " ",IF(INDEX($AB$2:$AQ$1001,MATCH(ROWS($U$2:U183),$U$2:$U$1001,0),MATCH(COLUMNS($AB$1006:AJ1006),$AB$1006:$AQ$1006,0)), HYPERLINK("#",""), HYPERLINK(CONCATENATE("#metadata!", ADDRESS(INDEX($W$2:$W$1001,MATCH(ROWS($U$2:U183),$U$2:$U$1001,0),0), INDEX($AB$1004:$AQ$1004,1,MATCH(COLUMNS($AB$1006:AJ1006),$AB$1006:$AQ$1006,0)))),"Fix")))</f>
        <v>0</v>
      </c>
      <c r="K183" s="4">
        <f>IF(OR(INDEX($V$2:$V$1001,MATCH(ROWS($U$2:U183),$U$2:$U$1001,0),1)&gt;=100000,INDEX($AB$1005:$AQ$1005,1,MATCH(COLUMNS($AB$1006:AK1006),$AB$1006:$AQ$1006,0))&gt;=100000), " ",IF(INDEX($AB$2:$AQ$1001,MATCH(ROWS($U$2:U183),$U$2:$U$1001,0),MATCH(COLUMNS($AB$1006:AK1006),$AB$1006:$AQ$1006,0)), HYPERLINK("#",""), HYPERLINK(CONCATENATE("#metadata!", ADDRESS(INDEX($W$2:$W$1001,MATCH(ROWS($U$2:U183),$U$2:$U$1001,0),0), INDEX($AB$1004:$AQ$1004,1,MATCH(COLUMNS($AB$1006:AK1006),$AB$1006:$AQ$1006,0)))),"Fix")))</f>
        <v>0</v>
      </c>
      <c r="L183" s="4">
        <f>IF(OR(INDEX($V$2:$V$1001,MATCH(ROWS($U$2:U183),$U$2:$U$1001,0),1)&gt;=100000,INDEX($AB$1005:$AQ$1005,1,MATCH(COLUMNS($AB$1006:AL1006),$AB$1006:$AQ$1006,0))&gt;=100000), " ",IF(INDEX($AB$2:$AQ$1001,MATCH(ROWS($U$2:U183),$U$2:$U$1001,0),MATCH(COLUMNS($AB$1006:AL1006),$AB$1006:$AQ$1006,0)), HYPERLINK("#",""), HYPERLINK(CONCATENATE("#metadata!", ADDRESS(INDEX($W$2:$W$1001,MATCH(ROWS($U$2:U183),$U$2:$U$1001,0),0), INDEX($AB$1004:$AQ$1004,1,MATCH(COLUMNS($AB$1006:AL1006),$AB$1006:$AQ$1006,0)))),"Fix")))</f>
        <v>0</v>
      </c>
      <c r="M183" s="4">
        <f>IF(OR(INDEX($V$2:$V$1001,MATCH(ROWS($U$2:U183),$U$2:$U$1001,0),1)&gt;=100000,INDEX($AB$1005:$AQ$1005,1,MATCH(COLUMNS($AB$1006:AM1006),$AB$1006:$AQ$1006,0))&gt;=100000), " ",IF(INDEX($AB$2:$AQ$1001,MATCH(ROWS($U$2:U183),$U$2:$U$1001,0),MATCH(COLUMNS($AB$1006:AM1006),$AB$1006:$AQ$1006,0)), HYPERLINK("#",""), HYPERLINK(CONCATENATE("#metadata!", ADDRESS(INDEX($W$2:$W$1001,MATCH(ROWS($U$2:U183),$U$2:$U$1001,0),0), INDEX($AB$1004:$AQ$1004,1,MATCH(COLUMNS($AB$1006:AM1006),$AB$1006:$AQ$1006,0)))),"Fix")))</f>
        <v>0</v>
      </c>
      <c r="N183" s="4">
        <f>IF(OR(INDEX($V$2:$V$1001,MATCH(ROWS($U$2:U183),$U$2:$U$1001,0),1)&gt;=100000,INDEX($AB$1005:$AQ$1005,1,MATCH(COLUMNS($AB$1006:AN1006),$AB$1006:$AQ$1006,0))&gt;=100000), " ",IF(INDEX($AB$2:$AQ$1001,MATCH(ROWS($U$2:U183),$U$2:$U$1001,0),MATCH(COLUMNS($AB$1006:AN1006),$AB$1006:$AQ$1006,0)), HYPERLINK("#",""), HYPERLINK(CONCATENATE("#metadata!", ADDRESS(INDEX($W$2:$W$1001,MATCH(ROWS($U$2:U183),$U$2:$U$1001,0),0), INDEX($AB$1004:$AQ$1004,1,MATCH(COLUMNS($AB$1006:AN1006),$AB$1006:$AQ$1006,0)))),"Fix")))</f>
        <v>0</v>
      </c>
      <c r="O183" s="4">
        <f>IF(OR(INDEX($V$2:$V$1001,MATCH(ROWS($U$2:U183),$U$2:$U$1001,0),1)&gt;=100000,INDEX($AB$1005:$AQ$1005,1,MATCH(COLUMNS($AB$1006:AO1006),$AB$1006:$AQ$1006,0))&gt;=100000), " ",IF(INDEX($AB$2:$AQ$1001,MATCH(ROWS($U$2:U183),$U$2:$U$1001,0),MATCH(COLUMNS($AB$1006:AO1006),$AB$1006:$AQ$1006,0)), HYPERLINK("#",""), HYPERLINK(CONCATENATE("#metadata!", ADDRESS(INDEX($W$2:$W$1001,MATCH(ROWS($U$2:U183),$U$2:$U$1001,0),0), INDEX($AB$1004:$AQ$1004,1,MATCH(COLUMNS($AB$1006:AO1006),$AB$1006:$AQ$1006,0)))),"Fix")))</f>
        <v>0</v>
      </c>
      <c r="P183" s="4">
        <f>IF(OR(INDEX($V$2:$V$1001,MATCH(ROWS($U$2:U183),$U$2:$U$1001,0),1)&gt;=100000,INDEX($AB$1005:$AQ$1005,1,MATCH(COLUMNS($AB$1006:AP1006),$AB$1006:$AQ$1006,0))&gt;=100000), " ",IF(INDEX($AB$2:$AQ$1001,MATCH(ROWS($U$2:U183),$U$2:$U$1001,0),MATCH(COLUMNS($AB$1006:AP1006),$AB$1006:$AQ$1006,0)), HYPERLINK("#",""), HYPERLINK(CONCATENATE("#metadata!", ADDRESS(INDEX($W$2:$W$1001,MATCH(ROWS($U$2:U183),$U$2:$U$1001,0),0), INDEX($AB$1004:$AQ$1004,1,MATCH(COLUMNS($AB$1006:AP1006),$AB$1006:$AQ$1006,0)))),"Fix")))</f>
        <v>0</v>
      </c>
      <c r="Q183" s="4">
        <f>IF(OR(INDEX($V$2:$V$1001,MATCH(ROWS($U$2:U183),$U$2:$U$1001,0),1)&gt;=100000,INDEX($AB$1005:$AQ$1005,1,MATCH(COLUMNS($AB$1006:AQ1006),$AB$1006:$AQ$1006,0))&gt;=100000), " ",IF(INDEX($AB$2:$AQ$1001,MATCH(ROWS($U$2:U183),$U$2:$U$1001,0),MATCH(COLUMNS($AB$1006:AQ1006),$AB$1006:$AQ$1006,0)), HYPERLINK("#",""), HYPERLINK(CONCATENATE("#metadata!", ADDRESS(INDEX($W$2:$W$1001,MATCH(ROWS($U$2:U183),$U$2:$U$1001,0),0), INDEX($AB$1004:$AQ$1004,1,MATCH(COLUMNS($AB$1006:AQ1006),$AB$1006:$AQ$1006,0)))),"Fix")))</f>
        <v>0</v>
      </c>
      <c r="U183">
        <v>0</v>
      </c>
      <c r="V183">
        <v>0</v>
      </c>
      <c r="W183">
        <v>0</v>
      </c>
      <c r="X183">
        <f>IF(Y183,TRUE,AND(AB183:AQ183))</f>
        <v>0</v>
      </c>
      <c r="Y183">
        <f>COUNTBLANK(metadata!B183:Q183)=COLUMNS(metadata!B183:Q183)</f>
        <v>0</v>
      </c>
      <c r="Z183">
        <v>0</v>
      </c>
      <c r="AB183">
        <f>AND(IF(metadata!B183="",FALSE,TRUE),COUNTIF(metadata!B:B, metadata!B183) = 1,NOT(ISERROR(SUMPRODUCT(SEARCH(MID(metadata!B183,ROW(INDIRECT("1:"&amp;LEN(metadata!B183))), 1),"0123456789abcdefghijklmnopqrstuvwxyzABCDEFGHIJKLMNOPQRSTUVWXYZ.")))))</f>
        <v>0</v>
      </c>
      <c r="AC183">
        <f>OR(AND(IF(metadata!C183="",FALSE,TRUE),OR(exact(metadata!C183,"missing: not collected"),exact(metadata!C183,"missing: not provided"),exact(metadata!C183,"missing: restricted access"))),AND(IF(metadata!C183="",FALSE,TRUE),AND(AND(IFERROR(INT(LEFT(metadata!C183,4))&gt;1900,FALSE),IFERROR(INT(LEFT(metadata!C183,4))&lt;=YEAR(NOW()),FALSE)), OR(MID(metadata!C183,5,1)="", AND(AND(MID(metadata!C183,5,1)="-",IFERROR(INT(MID(metadata!C183,6,1))&gt;=0,FALSE),IFERROR(INT(MID(metadata!C183,6,1))&lt;=1,FALSE),NOT(MID(metadata!C183,7,1)=""),IFERROR(INT(MID(metadata!C183,6,2))&gt;=1,FALSE),IFERROR(INT(MID(metadata!C183,6,2))&lt;=12,FALSE)), OR(MID(metadata!C183,8,1)="", AND(AND(MID(metadata!C183,8,1)="-",IFERROR(INT(MID(metadata!C183,9,1))&gt;=0,FALSE),IFERROR(INT(MID(metadata!C183,9,1))&lt;=3,FALSE),NOT(MID(metadata!C183,10,1)=""),IFERROR(INT(MID(metadata!C183,9,2))&gt;=1,FALSE),IFERROR(INT(MID(metadata!C183,9,2))&lt;=31,FALSE)), OR(MID(metadata!C183,11,1)="", AND(AND(MID(metadata!C183,11,1)=" ",IFERROR(INT(MID(metadata!C183,12,1))&gt;=0,FALSE),IFERROR(INT(MID(metadata!C183,12,1))&lt;=2,FALSE),NOT(MID(metadata!C183,13,1)=""),IFERROR(INT(MID(metadata!C183,12,2))&gt;=0,FALSE),IFERROR(INT(MID(metadata!C183,12,2))&lt;=23,FALSE)), OR(MID(metadata!C183,14,1)="", AND(AND(MID(metadata!C183,14,1)=":",IFERROR(INT(MID(metadata!C183,15,1))&gt;=0,FALSE),IFERROR(INT(MID(metadata!C183,15,1))&lt;=5,FALSE),NOT(MID(metadata!C183,16,1)=""),IFERROR(INT(MID(metadata!C183,15,2))&gt;=0,FALSE),IFERROR(INT(MID(metadata!C183,15,2))&lt;=59,FALSE)), OR(MID(metadata!C183,17,1)="", AND(AND(MID(metadata!C183,17,1)=":",IFERROR(INT(MID(metadata!C183,18,1))&gt;=0,FALSE),IFERROR(INT(MID(metadata!C183,18,1))&lt;=5,FALSE),NOT(MID(metadata!C183,19,1)=""),IFERROR(INT(MID(metadata!C183,18,2))&gt;=0,FALSE),IFERROR(INT(MID(metadata!C183,18,2))&lt;=59,FALSE)), LEN(metadata!C183)&lt;=19)))))))))))))</f>
        <v>0</v>
      </c>
      <c r="AD183">
        <f>IF(metadata!D183="",FALSE,TRUE)</f>
        <v>0</v>
      </c>
      <c r="AE183">
        <f>OR(AND(IF(metadata!E183="",FALSE,TRUE),OR(exact(metadata!E183,"missing: not collected"),exact(metadata!E183,"missing: not provided"))),AND(IF(metadata!E183="",FALSE,TRUE),OR(exact(metadata!E183,"TRUE"),exact(metadata!E183,"FALSE"))))</f>
        <v>0</v>
      </c>
      <c r="AF183">
        <f>IF(metadata!F183="",FALSE,TRUE)</f>
        <v>0</v>
      </c>
      <c r="AG183">
        <f>IF(metadata!G183="",FALSE,TRUE)</f>
        <v>0</v>
      </c>
      <c r="AH183">
        <f>IF(metadata!H183="",FALSE,TRUE)</f>
        <v>0</v>
      </c>
      <c r="AI183">
        <f>OR(AND(IF(metadata!I183="",FALSE,TRUE),OR(exact(metadata!I183,"missing: not collected"),exact(metadata!I183,"missing: not provided"),exact(metadata!I183,"missing: restricted access"))),AND(IF(metadata!I183="",FALSE,TRUE),OR(exact(metadata!I183,"air"),exact(metadata!I183,"built environment"),exact(metadata!I183,"host-associated"),exact(metadata!I183,"human-associated"),exact(metadata!I183,"human-skin"),exact(metadata!I183,"human-oral"),exact(metadata!I183,"human-gut"),exact(metadata!I183,"human-vaginal"),exact(metadata!I183,"microbial mat/biofilm"),exact(metadata!I183,"misc environment"),exact(metadata!I183,"plant-associated"),exact(metadata!I183,"sediment"),exact(metadata!I183,"soil"),exact(metadata!I183,"wastewater/sludge"),exact(metadata!I183,"water"))))</f>
        <v>0</v>
      </c>
      <c r="AJ183">
        <f>IF(metadata!J183="",FALSE,TRUE)</f>
        <v>0</v>
      </c>
      <c r="AK183">
        <f>OR(AND(IF(metadata!K183="",FALSE,TRUE),OR(exact(metadata!K183,"missing: not collected"),exact(metadata!K183,"missing: not provided"),exact(metadata!K183,"missing: restricted access"))),AND(IF(metadata!K183="",FALSE,ISNUMBER(VALUE(metadata!K183))),metadata!K183&gt;=-90.00,metadata!K183&lt;=90.00))</f>
        <v>0</v>
      </c>
      <c r="AL183">
        <f>OR(AND(IF(metadata!L183="",FALSE,TRUE),OR(exact(metadata!L183,"missing: not collected"),exact(metadata!L183,"missing: not provided"),exact(metadata!L183,"missing: restricted access"))),AND(IF(metadata!L183="",FALSE,ISNUMBER(VALUE(metadata!L183))),metadata!L183&gt;=-180.00,metadata!L183&lt;=180.00))</f>
        <v>0</v>
      </c>
      <c r="AM183">
        <f>IF(metadata!M183="",FALSE,TRUE)</f>
        <v>0</v>
      </c>
      <c r="AN183">
        <f>OR(AND(IF(metadata!N183="",FALSE,TRUE),OR(exact(metadata!N183,"missing: not collected"),exact(metadata!N183,"missing: not provided"),exact(metadata!N183,"missing: restricted access"))),AND(IF(metadata!N183="",FALSE,TRUE),OR(exact(metadata!N183,"TRUE"),exact(metadata!N183,"FALSE"))))</f>
        <v>0</v>
      </c>
      <c r="AO183">
        <f>IF(metadata!O183="",FALSE,TRUE)</f>
        <v>0</v>
      </c>
      <c r="AP183">
        <f>OR(AND(IF(metadata!P183="",FALSE,TRUE),OR(exact(metadata!P183,"missing: not collected"),exact(metadata!P183,"missing: not provided"))),AND(IF(metadata!P183="",FALSE,IF(ISERROR(INT(metadata!P183)),FALSE,INT(metadata!P183)=metadata!P183)),metadata!P183&gt;0))</f>
        <v>0</v>
      </c>
      <c r="AQ183">
        <f>IF(metadata!Q183="",FALSE,TRUE)</f>
        <v>0</v>
      </c>
    </row>
    <row r="184" spans="1:43">
      <c r="A184" s="5">
        <f>IF(B184=" "," ",HYPERLINK(CONCATENATE("#metadata!",ADDRESS(INDEX($W$2:$W$1001,MATCH(ROWS($U$2:U184),$U$2:$U$1001,0),0),1)),INDEX($Z$2:$Z$1001,MATCH(ROWS($U$2:U184),$U$2:$U$1001,0),0)))</f>
        <v>0</v>
      </c>
      <c r="B184" s="4">
        <f>IF(OR(INDEX($V$2:$V$1001,MATCH(ROWS($U$2:U184),$U$2:$U$1001,0),1)&gt;=100000,INDEX($AB$1005:$AQ$1005,1,MATCH(COLUMNS($AB$1006:AB1006),$AB$1006:$AQ$1006,0))&gt;=100000), " ",IF(INDEX($AB$2:$AQ$1001,MATCH(ROWS($U$2:U184),$U$2:$U$1001,0),MATCH(COLUMNS($AB$1006:AB1006),$AB$1006:$AQ$1006,0)), HYPERLINK("#",""), HYPERLINK(CONCATENATE("#metadata!", ADDRESS(INDEX($W$2:$W$1001,MATCH(ROWS($U$2:U184),$U$2:$U$1001,0),0), INDEX($AB$1004:$AQ$1004,1,MATCH(COLUMNS($AB$1006:AB1006),$AB$1006:$AQ$1006,0)))),"Fix")))</f>
        <v>0</v>
      </c>
      <c r="C184" s="4">
        <f>IF(OR(INDEX($V$2:$V$1001,MATCH(ROWS($U$2:U184),$U$2:$U$1001,0),1)&gt;=100000,INDEX($AB$1005:$AQ$1005,1,MATCH(COLUMNS($AB$1006:AC1006),$AB$1006:$AQ$1006,0))&gt;=100000), " ",IF(INDEX($AB$2:$AQ$1001,MATCH(ROWS($U$2:U184),$U$2:$U$1001,0),MATCH(COLUMNS($AB$1006:AC1006),$AB$1006:$AQ$1006,0)), HYPERLINK("#",""), HYPERLINK(CONCATENATE("#metadata!", ADDRESS(INDEX($W$2:$W$1001,MATCH(ROWS($U$2:U184),$U$2:$U$1001,0),0), INDEX($AB$1004:$AQ$1004,1,MATCH(COLUMNS($AB$1006:AC1006),$AB$1006:$AQ$1006,0)))),"Fix")))</f>
        <v>0</v>
      </c>
      <c r="D184" s="4">
        <f>IF(OR(INDEX($V$2:$V$1001,MATCH(ROWS($U$2:U184),$U$2:$U$1001,0),1)&gt;=100000,INDEX($AB$1005:$AQ$1005,1,MATCH(COLUMNS($AB$1006:AD1006),$AB$1006:$AQ$1006,0))&gt;=100000), " ",IF(INDEX($AB$2:$AQ$1001,MATCH(ROWS($U$2:U184),$U$2:$U$1001,0),MATCH(COLUMNS($AB$1006:AD1006),$AB$1006:$AQ$1006,0)), HYPERLINK("#",""), HYPERLINK(CONCATENATE("#metadata!", ADDRESS(INDEX($W$2:$W$1001,MATCH(ROWS($U$2:U184),$U$2:$U$1001,0),0), INDEX($AB$1004:$AQ$1004,1,MATCH(COLUMNS($AB$1006:AD1006),$AB$1006:$AQ$1006,0)))),"Fix")))</f>
        <v>0</v>
      </c>
      <c r="E184" s="4">
        <f>IF(OR(INDEX($V$2:$V$1001,MATCH(ROWS($U$2:U184),$U$2:$U$1001,0),1)&gt;=100000,INDEX($AB$1005:$AQ$1005,1,MATCH(COLUMNS($AB$1006:AE1006),$AB$1006:$AQ$1006,0))&gt;=100000), " ",IF(INDEX($AB$2:$AQ$1001,MATCH(ROWS($U$2:U184),$U$2:$U$1001,0),MATCH(COLUMNS($AB$1006:AE1006),$AB$1006:$AQ$1006,0)), HYPERLINK("#",""), HYPERLINK(CONCATENATE("#metadata!", ADDRESS(INDEX($W$2:$W$1001,MATCH(ROWS($U$2:U184),$U$2:$U$1001,0),0), INDEX($AB$1004:$AQ$1004,1,MATCH(COLUMNS($AB$1006:AE1006),$AB$1006:$AQ$1006,0)))),"Fix")))</f>
        <v>0</v>
      </c>
      <c r="F184" s="4">
        <f>IF(OR(INDEX($V$2:$V$1001,MATCH(ROWS($U$2:U184),$U$2:$U$1001,0),1)&gt;=100000,INDEX($AB$1005:$AQ$1005,1,MATCH(COLUMNS($AB$1006:AF1006),$AB$1006:$AQ$1006,0))&gt;=100000), " ",IF(INDEX($AB$2:$AQ$1001,MATCH(ROWS($U$2:U184),$U$2:$U$1001,0),MATCH(COLUMNS($AB$1006:AF1006),$AB$1006:$AQ$1006,0)), HYPERLINK("#",""), HYPERLINK(CONCATENATE("#metadata!", ADDRESS(INDEX($W$2:$W$1001,MATCH(ROWS($U$2:U184),$U$2:$U$1001,0),0), INDEX($AB$1004:$AQ$1004,1,MATCH(COLUMNS($AB$1006:AF1006),$AB$1006:$AQ$1006,0)))),"Fix")))</f>
        <v>0</v>
      </c>
      <c r="G184" s="4">
        <f>IF(OR(INDEX($V$2:$V$1001,MATCH(ROWS($U$2:U184),$U$2:$U$1001,0),1)&gt;=100000,INDEX($AB$1005:$AQ$1005,1,MATCH(COLUMNS($AB$1006:AG1006),$AB$1006:$AQ$1006,0))&gt;=100000), " ",IF(INDEX($AB$2:$AQ$1001,MATCH(ROWS($U$2:U184),$U$2:$U$1001,0),MATCH(COLUMNS($AB$1006:AG1006),$AB$1006:$AQ$1006,0)), HYPERLINK("#",""), HYPERLINK(CONCATENATE("#metadata!", ADDRESS(INDEX($W$2:$W$1001,MATCH(ROWS($U$2:U184),$U$2:$U$1001,0),0), INDEX($AB$1004:$AQ$1004,1,MATCH(COLUMNS($AB$1006:AG1006),$AB$1006:$AQ$1006,0)))),"Fix")))</f>
        <v>0</v>
      </c>
      <c r="H184" s="4">
        <f>IF(OR(INDEX($V$2:$V$1001,MATCH(ROWS($U$2:U184),$U$2:$U$1001,0),1)&gt;=100000,INDEX($AB$1005:$AQ$1005,1,MATCH(COLUMNS($AB$1006:AH1006),$AB$1006:$AQ$1006,0))&gt;=100000), " ",IF(INDEX($AB$2:$AQ$1001,MATCH(ROWS($U$2:U184),$U$2:$U$1001,0),MATCH(COLUMNS($AB$1006:AH1006),$AB$1006:$AQ$1006,0)), HYPERLINK("#",""), HYPERLINK(CONCATENATE("#metadata!", ADDRESS(INDEX($W$2:$W$1001,MATCH(ROWS($U$2:U184),$U$2:$U$1001,0),0), INDEX($AB$1004:$AQ$1004,1,MATCH(COLUMNS($AB$1006:AH1006),$AB$1006:$AQ$1006,0)))),"Fix")))</f>
        <v>0</v>
      </c>
      <c r="I184" s="4">
        <f>IF(OR(INDEX($V$2:$V$1001,MATCH(ROWS($U$2:U184),$U$2:$U$1001,0),1)&gt;=100000,INDEX($AB$1005:$AQ$1005,1,MATCH(COLUMNS($AB$1006:AI1006),$AB$1006:$AQ$1006,0))&gt;=100000), " ",IF(INDEX($AB$2:$AQ$1001,MATCH(ROWS($U$2:U184),$U$2:$U$1001,0),MATCH(COLUMNS($AB$1006:AI1006),$AB$1006:$AQ$1006,0)), HYPERLINK("#",""), HYPERLINK(CONCATENATE("#metadata!", ADDRESS(INDEX($W$2:$W$1001,MATCH(ROWS($U$2:U184),$U$2:$U$1001,0),0), INDEX($AB$1004:$AQ$1004,1,MATCH(COLUMNS($AB$1006:AI1006),$AB$1006:$AQ$1006,0)))),"Fix")))</f>
        <v>0</v>
      </c>
      <c r="J184" s="4">
        <f>IF(OR(INDEX($V$2:$V$1001,MATCH(ROWS($U$2:U184),$U$2:$U$1001,0),1)&gt;=100000,INDEX($AB$1005:$AQ$1005,1,MATCH(COLUMNS($AB$1006:AJ1006),$AB$1006:$AQ$1006,0))&gt;=100000), " ",IF(INDEX($AB$2:$AQ$1001,MATCH(ROWS($U$2:U184),$U$2:$U$1001,0),MATCH(COLUMNS($AB$1006:AJ1006),$AB$1006:$AQ$1006,0)), HYPERLINK("#",""), HYPERLINK(CONCATENATE("#metadata!", ADDRESS(INDEX($W$2:$W$1001,MATCH(ROWS($U$2:U184),$U$2:$U$1001,0),0), INDEX($AB$1004:$AQ$1004,1,MATCH(COLUMNS($AB$1006:AJ1006),$AB$1006:$AQ$1006,0)))),"Fix")))</f>
        <v>0</v>
      </c>
      <c r="K184" s="4">
        <f>IF(OR(INDEX($V$2:$V$1001,MATCH(ROWS($U$2:U184),$U$2:$U$1001,0),1)&gt;=100000,INDEX($AB$1005:$AQ$1005,1,MATCH(COLUMNS($AB$1006:AK1006),$AB$1006:$AQ$1006,0))&gt;=100000), " ",IF(INDEX($AB$2:$AQ$1001,MATCH(ROWS($U$2:U184),$U$2:$U$1001,0),MATCH(COLUMNS($AB$1006:AK1006),$AB$1006:$AQ$1006,0)), HYPERLINK("#",""), HYPERLINK(CONCATENATE("#metadata!", ADDRESS(INDEX($W$2:$W$1001,MATCH(ROWS($U$2:U184),$U$2:$U$1001,0),0), INDEX($AB$1004:$AQ$1004,1,MATCH(COLUMNS($AB$1006:AK1006),$AB$1006:$AQ$1006,0)))),"Fix")))</f>
        <v>0</v>
      </c>
      <c r="L184" s="4">
        <f>IF(OR(INDEX($V$2:$V$1001,MATCH(ROWS($U$2:U184),$U$2:$U$1001,0),1)&gt;=100000,INDEX($AB$1005:$AQ$1005,1,MATCH(COLUMNS($AB$1006:AL1006),$AB$1006:$AQ$1006,0))&gt;=100000), " ",IF(INDEX($AB$2:$AQ$1001,MATCH(ROWS($U$2:U184),$U$2:$U$1001,0),MATCH(COLUMNS($AB$1006:AL1006),$AB$1006:$AQ$1006,0)), HYPERLINK("#",""), HYPERLINK(CONCATENATE("#metadata!", ADDRESS(INDEX($W$2:$W$1001,MATCH(ROWS($U$2:U184),$U$2:$U$1001,0),0), INDEX($AB$1004:$AQ$1004,1,MATCH(COLUMNS($AB$1006:AL1006),$AB$1006:$AQ$1006,0)))),"Fix")))</f>
        <v>0</v>
      </c>
      <c r="M184" s="4">
        <f>IF(OR(INDEX($V$2:$V$1001,MATCH(ROWS($U$2:U184),$U$2:$U$1001,0),1)&gt;=100000,INDEX($AB$1005:$AQ$1005,1,MATCH(COLUMNS($AB$1006:AM1006),$AB$1006:$AQ$1006,0))&gt;=100000), " ",IF(INDEX($AB$2:$AQ$1001,MATCH(ROWS($U$2:U184),$U$2:$U$1001,0),MATCH(COLUMNS($AB$1006:AM1006),$AB$1006:$AQ$1006,0)), HYPERLINK("#",""), HYPERLINK(CONCATENATE("#metadata!", ADDRESS(INDEX($W$2:$W$1001,MATCH(ROWS($U$2:U184),$U$2:$U$1001,0),0), INDEX($AB$1004:$AQ$1004,1,MATCH(COLUMNS($AB$1006:AM1006),$AB$1006:$AQ$1006,0)))),"Fix")))</f>
        <v>0</v>
      </c>
      <c r="N184" s="4">
        <f>IF(OR(INDEX($V$2:$V$1001,MATCH(ROWS($U$2:U184),$U$2:$U$1001,0),1)&gt;=100000,INDEX($AB$1005:$AQ$1005,1,MATCH(COLUMNS($AB$1006:AN1006),$AB$1006:$AQ$1006,0))&gt;=100000), " ",IF(INDEX($AB$2:$AQ$1001,MATCH(ROWS($U$2:U184),$U$2:$U$1001,0),MATCH(COLUMNS($AB$1006:AN1006),$AB$1006:$AQ$1006,0)), HYPERLINK("#",""), HYPERLINK(CONCATENATE("#metadata!", ADDRESS(INDEX($W$2:$W$1001,MATCH(ROWS($U$2:U184),$U$2:$U$1001,0),0), INDEX($AB$1004:$AQ$1004,1,MATCH(COLUMNS($AB$1006:AN1006),$AB$1006:$AQ$1006,0)))),"Fix")))</f>
        <v>0</v>
      </c>
      <c r="O184" s="4">
        <f>IF(OR(INDEX($V$2:$V$1001,MATCH(ROWS($U$2:U184),$U$2:$U$1001,0),1)&gt;=100000,INDEX($AB$1005:$AQ$1005,1,MATCH(COLUMNS($AB$1006:AO1006),$AB$1006:$AQ$1006,0))&gt;=100000), " ",IF(INDEX($AB$2:$AQ$1001,MATCH(ROWS($U$2:U184),$U$2:$U$1001,0),MATCH(COLUMNS($AB$1006:AO1006),$AB$1006:$AQ$1006,0)), HYPERLINK("#",""), HYPERLINK(CONCATENATE("#metadata!", ADDRESS(INDEX($W$2:$W$1001,MATCH(ROWS($U$2:U184),$U$2:$U$1001,0),0), INDEX($AB$1004:$AQ$1004,1,MATCH(COLUMNS($AB$1006:AO1006),$AB$1006:$AQ$1006,0)))),"Fix")))</f>
        <v>0</v>
      </c>
      <c r="P184" s="4">
        <f>IF(OR(INDEX($V$2:$V$1001,MATCH(ROWS($U$2:U184),$U$2:$U$1001,0),1)&gt;=100000,INDEX($AB$1005:$AQ$1005,1,MATCH(COLUMNS($AB$1006:AP1006),$AB$1006:$AQ$1006,0))&gt;=100000), " ",IF(INDEX($AB$2:$AQ$1001,MATCH(ROWS($U$2:U184),$U$2:$U$1001,0),MATCH(COLUMNS($AB$1006:AP1006),$AB$1006:$AQ$1006,0)), HYPERLINK("#",""), HYPERLINK(CONCATENATE("#metadata!", ADDRESS(INDEX($W$2:$W$1001,MATCH(ROWS($U$2:U184),$U$2:$U$1001,0),0), INDEX($AB$1004:$AQ$1004,1,MATCH(COLUMNS($AB$1006:AP1006),$AB$1006:$AQ$1006,0)))),"Fix")))</f>
        <v>0</v>
      </c>
      <c r="Q184" s="4">
        <f>IF(OR(INDEX($V$2:$V$1001,MATCH(ROWS($U$2:U184),$U$2:$U$1001,0),1)&gt;=100000,INDEX($AB$1005:$AQ$1005,1,MATCH(COLUMNS($AB$1006:AQ1006),$AB$1006:$AQ$1006,0))&gt;=100000), " ",IF(INDEX($AB$2:$AQ$1001,MATCH(ROWS($U$2:U184),$U$2:$U$1001,0),MATCH(COLUMNS($AB$1006:AQ1006),$AB$1006:$AQ$1006,0)), HYPERLINK("#",""), HYPERLINK(CONCATENATE("#metadata!", ADDRESS(INDEX($W$2:$W$1001,MATCH(ROWS($U$2:U184),$U$2:$U$1001,0),0), INDEX($AB$1004:$AQ$1004,1,MATCH(COLUMNS($AB$1006:AQ1006),$AB$1006:$AQ$1006,0)))),"Fix")))</f>
        <v>0</v>
      </c>
      <c r="U184">
        <v>0</v>
      </c>
      <c r="V184">
        <v>0</v>
      </c>
      <c r="W184">
        <v>0</v>
      </c>
      <c r="X184">
        <f>IF(Y184,TRUE,AND(AB184:AQ184))</f>
        <v>0</v>
      </c>
      <c r="Y184">
        <f>COUNTBLANK(metadata!B184:Q184)=COLUMNS(metadata!B184:Q184)</f>
        <v>0</v>
      </c>
      <c r="Z184">
        <v>0</v>
      </c>
      <c r="AB184">
        <f>AND(IF(metadata!B184="",FALSE,TRUE),COUNTIF(metadata!B:B, metadata!B184) = 1,NOT(ISERROR(SUMPRODUCT(SEARCH(MID(metadata!B184,ROW(INDIRECT("1:"&amp;LEN(metadata!B184))), 1),"0123456789abcdefghijklmnopqrstuvwxyzABCDEFGHIJKLMNOPQRSTUVWXYZ.")))))</f>
        <v>0</v>
      </c>
      <c r="AC184">
        <f>OR(AND(IF(metadata!C184="",FALSE,TRUE),OR(exact(metadata!C184,"missing: not collected"),exact(metadata!C184,"missing: not provided"),exact(metadata!C184,"missing: restricted access"))),AND(IF(metadata!C184="",FALSE,TRUE),AND(AND(IFERROR(INT(LEFT(metadata!C184,4))&gt;1900,FALSE),IFERROR(INT(LEFT(metadata!C184,4))&lt;=YEAR(NOW()),FALSE)), OR(MID(metadata!C184,5,1)="", AND(AND(MID(metadata!C184,5,1)="-",IFERROR(INT(MID(metadata!C184,6,1))&gt;=0,FALSE),IFERROR(INT(MID(metadata!C184,6,1))&lt;=1,FALSE),NOT(MID(metadata!C184,7,1)=""),IFERROR(INT(MID(metadata!C184,6,2))&gt;=1,FALSE),IFERROR(INT(MID(metadata!C184,6,2))&lt;=12,FALSE)), OR(MID(metadata!C184,8,1)="", AND(AND(MID(metadata!C184,8,1)="-",IFERROR(INT(MID(metadata!C184,9,1))&gt;=0,FALSE),IFERROR(INT(MID(metadata!C184,9,1))&lt;=3,FALSE),NOT(MID(metadata!C184,10,1)=""),IFERROR(INT(MID(metadata!C184,9,2))&gt;=1,FALSE),IFERROR(INT(MID(metadata!C184,9,2))&lt;=31,FALSE)), OR(MID(metadata!C184,11,1)="", AND(AND(MID(metadata!C184,11,1)=" ",IFERROR(INT(MID(metadata!C184,12,1))&gt;=0,FALSE),IFERROR(INT(MID(metadata!C184,12,1))&lt;=2,FALSE),NOT(MID(metadata!C184,13,1)=""),IFERROR(INT(MID(metadata!C184,12,2))&gt;=0,FALSE),IFERROR(INT(MID(metadata!C184,12,2))&lt;=23,FALSE)), OR(MID(metadata!C184,14,1)="", AND(AND(MID(metadata!C184,14,1)=":",IFERROR(INT(MID(metadata!C184,15,1))&gt;=0,FALSE),IFERROR(INT(MID(metadata!C184,15,1))&lt;=5,FALSE),NOT(MID(metadata!C184,16,1)=""),IFERROR(INT(MID(metadata!C184,15,2))&gt;=0,FALSE),IFERROR(INT(MID(metadata!C184,15,2))&lt;=59,FALSE)), OR(MID(metadata!C184,17,1)="", AND(AND(MID(metadata!C184,17,1)=":",IFERROR(INT(MID(metadata!C184,18,1))&gt;=0,FALSE),IFERROR(INT(MID(metadata!C184,18,1))&lt;=5,FALSE),NOT(MID(metadata!C184,19,1)=""),IFERROR(INT(MID(metadata!C184,18,2))&gt;=0,FALSE),IFERROR(INT(MID(metadata!C184,18,2))&lt;=59,FALSE)), LEN(metadata!C184)&lt;=19)))))))))))))</f>
        <v>0</v>
      </c>
      <c r="AD184">
        <f>IF(metadata!D184="",FALSE,TRUE)</f>
        <v>0</v>
      </c>
      <c r="AE184">
        <f>OR(AND(IF(metadata!E184="",FALSE,TRUE),OR(exact(metadata!E184,"missing: not collected"),exact(metadata!E184,"missing: not provided"))),AND(IF(metadata!E184="",FALSE,TRUE),OR(exact(metadata!E184,"TRUE"),exact(metadata!E184,"FALSE"))))</f>
        <v>0</v>
      </c>
      <c r="AF184">
        <f>IF(metadata!F184="",FALSE,TRUE)</f>
        <v>0</v>
      </c>
      <c r="AG184">
        <f>IF(metadata!G184="",FALSE,TRUE)</f>
        <v>0</v>
      </c>
      <c r="AH184">
        <f>IF(metadata!H184="",FALSE,TRUE)</f>
        <v>0</v>
      </c>
      <c r="AI184">
        <f>OR(AND(IF(metadata!I184="",FALSE,TRUE),OR(exact(metadata!I184,"missing: not collected"),exact(metadata!I184,"missing: not provided"),exact(metadata!I184,"missing: restricted access"))),AND(IF(metadata!I184="",FALSE,TRUE),OR(exact(metadata!I184,"air"),exact(metadata!I184,"built environment"),exact(metadata!I184,"host-associated"),exact(metadata!I184,"human-associated"),exact(metadata!I184,"human-skin"),exact(metadata!I184,"human-oral"),exact(metadata!I184,"human-gut"),exact(metadata!I184,"human-vaginal"),exact(metadata!I184,"microbial mat/biofilm"),exact(metadata!I184,"misc environment"),exact(metadata!I184,"plant-associated"),exact(metadata!I184,"sediment"),exact(metadata!I184,"soil"),exact(metadata!I184,"wastewater/sludge"),exact(metadata!I184,"water"))))</f>
        <v>0</v>
      </c>
      <c r="AJ184">
        <f>IF(metadata!J184="",FALSE,TRUE)</f>
        <v>0</v>
      </c>
      <c r="AK184">
        <f>OR(AND(IF(metadata!K184="",FALSE,TRUE),OR(exact(metadata!K184,"missing: not collected"),exact(metadata!K184,"missing: not provided"),exact(metadata!K184,"missing: restricted access"))),AND(IF(metadata!K184="",FALSE,ISNUMBER(VALUE(metadata!K184))),metadata!K184&gt;=-90.00,metadata!K184&lt;=90.00))</f>
        <v>0</v>
      </c>
      <c r="AL184">
        <f>OR(AND(IF(metadata!L184="",FALSE,TRUE),OR(exact(metadata!L184,"missing: not collected"),exact(metadata!L184,"missing: not provided"),exact(metadata!L184,"missing: restricted access"))),AND(IF(metadata!L184="",FALSE,ISNUMBER(VALUE(metadata!L184))),metadata!L184&gt;=-180.00,metadata!L184&lt;=180.00))</f>
        <v>0</v>
      </c>
      <c r="AM184">
        <f>IF(metadata!M184="",FALSE,TRUE)</f>
        <v>0</v>
      </c>
      <c r="AN184">
        <f>OR(AND(IF(metadata!N184="",FALSE,TRUE),OR(exact(metadata!N184,"missing: not collected"),exact(metadata!N184,"missing: not provided"),exact(metadata!N184,"missing: restricted access"))),AND(IF(metadata!N184="",FALSE,TRUE),OR(exact(metadata!N184,"TRUE"),exact(metadata!N184,"FALSE"))))</f>
        <v>0</v>
      </c>
      <c r="AO184">
        <f>IF(metadata!O184="",FALSE,TRUE)</f>
        <v>0</v>
      </c>
      <c r="AP184">
        <f>OR(AND(IF(metadata!P184="",FALSE,TRUE),OR(exact(metadata!P184,"missing: not collected"),exact(metadata!P184,"missing: not provided"))),AND(IF(metadata!P184="",FALSE,IF(ISERROR(INT(metadata!P184)),FALSE,INT(metadata!P184)=metadata!P184)),metadata!P184&gt;0))</f>
        <v>0</v>
      </c>
      <c r="AQ184">
        <f>IF(metadata!Q184="",FALSE,TRUE)</f>
        <v>0</v>
      </c>
    </row>
    <row r="185" spans="1:43">
      <c r="A185" s="5">
        <f>IF(B185=" "," ",HYPERLINK(CONCATENATE("#metadata!",ADDRESS(INDEX($W$2:$W$1001,MATCH(ROWS($U$2:U185),$U$2:$U$1001,0),0),1)),INDEX($Z$2:$Z$1001,MATCH(ROWS($U$2:U185),$U$2:$U$1001,0),0)))</f>
        <v>0</v>
      </c>
      <c r="B185" s="4">
        <f>IF(OR(INDEX($V$2:$V$1001,MATCH(ROWS($U$2:U185),$U$2:$U$1001,0),1)&gt;=100000,INDEX($AB$1005:$AQ$1005,1,MATCH(COLUMNS($AB$1006:AB1006),$AB$1006:$AQ$1006,0))&gt;=100000), " ",IF(INDEX($AB$2:$AQ$1001,MATCH(ROWS($U$2:U185),$U$2:$U$1001,0),MATCH(COLUMNS($AB$1006:AB1006),$AB$1006:$AQ$1006,0)), HYPERLINK("#",""), HYPERLINK(CONCATENATE("#metadata!", ADDRESS(INDEX($W$2:$W$1001,MATCH(ROWS($U$2:U185),$U$2:$U$1001,0),0), INDEX($AB$1004:$AQ$1004,1,MATCH(COLUMNS($AB$1006:AB1006),$AB$1006:$AQ$1006,0)))),"Fix")))</f>
        <v>0</v>
      </c>
      <c r="C185" s="4">
        <f>IF(OR(INDEX($V$2:$V$1001,MATCH(ROWS($U$2:U185),$U$2:$U$1001,0),1)&gt;=100000,INDEX($AB$1005:$AQ$1005,1,MATCH(COLUMNS($AB$1006:AC1006),$AB$1006:$AQ$1006,0))&gt;=100000), " ",IF(INDEX($AB$2:$AQ$1001,MATCH(ROWS($U$2:U185),$U$2:$U$1001,0),MATCH(COLUMNS($AB$1006:AC1006),$AB$1006:$AQ$1006,0)), HYPERLINK("#",""), HYPERLINK(CONCATENATE("#metadata!", ADDRESS(INDEX($W$2:$W$1001,MATCH(ROWS($U$2:U185),$U$2:$U$1001,0),0), INDEX($AB$1004:$AQ$1004,1,MATCH(COLUMNS($AB$1006:AC1006),$AB$1006:$AQ$1006,0)))),"Fix")))</f>
        <v>0</v>
      </c>
      <c r="D185" s="4">
        <f>IF(OR(INDEX($V$2:$V$1001,MATCH(ROWS($U$2:U185),$U$2:$U$1001,0),1)&gt;=100000,INDEX($AB$1005:$AQ$1005,1,MATCH(COLUMNS($AB$1006:AD1006),$AB$1006:$AQ$1006,0))&gt;=100000), " ",IF(INDEX($AB$2:$AQ$1001,MATCH(ROWS($U$2:U185),$U$2:$U$1001,0),MATCH(COLUMNS($AB$1006:AD1006),$AB$1006:$AQ$1006,0)), HYPERLINK("#",""), HYPERLINK(CONCATENATE("#metadata!", ADDRESS(INDEX($W$2:$W$1001,MATCH(ROWS($U$2:U185),$U$2:$U$1001,0),0), INDEX($AB$1004:$AQ$1004,1,MATCH(COLUMNS($AB$1006:AD1006),$AB$1006:$AQ$1006,0)))),"Fix")))</f>
        <v>0</v>
      </c>
      <c r="E185" s="4">
        <f>IF(OR(INDEX($V$2:$V$1001,MATCH(ROWS($U$2:U185),$U$2:$U$1001,0),1)&gt;=100000,INDEX($AB$1005:$AQ$1005,1,MATCH(COLUMNS($AB$1006:AE1006),$AB$1006:$AQ$1006,0))&gt;=100000), " ",IF(INDEX($AB$2:$AQ$1001,MATCH(ROWS($U$2:U185),$U$2:$U$1001,0),MATCH(COLUMNS($AB$1006:AE1006),$AB$1006:$AQ$1006,0)), HYPERLINK("#",""), HYPERLINK(CONCATENATE("#metadata!", ADDRESS(INDEX($W$2:$W$1001,MATCH(ROWS($U$2:U185),$U$2:$U$1001,0),0), INDEX($AB$1004:$AQ$1004,1,MATCH(COLUMNS($AB$1006:AE1006),$AB$1006:$AQ$1006,0)))),"Fix")))</f>
        <v>0</v>
      </c>
      <c r="F185" s="4">
        <f>IF(OR(INDEX($V$2:$V$1001,MATCH(ROWS($U$2:U185),$U$2:$U$1001,0),1)&gt;=100000,INDEX($AB$1005:$AQ$1005,1,MATCH(COLUMNS($AB$1006:AF1006),$AB$1006:$AQ$1006,0))&gt;=100000), " ",IF(INDEX($AB$2:$AQ$1001,MATCH(ROWS($U$2:U185),$U$2:$U$1001,0),MATCH(COLUMNS($AB$1006:AF1006),$AB$1006:$AQ$1006,0)), HYPERLINK("#",""), HYPERLINK(CONCATENATE("#metadata!", ADDRESS(INDEX($W$2:$W$1001,MATCH(ROWS($U$2:U185),$U$2:$U$1001,0),0), INDEX($AB$1004:$AQ$1004,1,MATCH(COLUMNS($AB$1006:AF1006),$AB$1006:$AQ$1006,0)))),"Fix")))</f>
        <v>0</v>
      </c>
      <c r="G185" s="4">
        <f>IF(OR(INDEX($V$2:$V$1001,MATCH(ROWS($U$2:U185),$U$2:$U$1001,0),1)&gt;=100000,INDEX($AB$1005:$AQ$1005,1,MATCH(COLUMNS($AB$1006:AG1006),$AB$1006:$AQ$1006,0))&gt;=100000), " ",IF(INDEX($AB$2:$AQ$1001,MATCH(ROWS($U$2:U185),$U$2:$U$1001,0),MATCH(COLUMNS($AB$1006:AG1006),$AB$1006:$AQ$1006,0)), HYPERLINK("#",""), HYPERLINK(CONCATENATE("#metadata!", ADDRESS(INDEX($W$2:$W$1001,MATCH(ROWS($U$2:U185),$U$2:$U$1001,0),0), INDEX($AB$1004:$AQ$1004,1,MATCH(COLUMNS($AB$1006:AG1006),$AB$1006:$AQ$1006,0)))),"Fix")))</f>
        <v>0</v>
      </c>
      <c r="H185" s="4">
        <f>IF(OR(INDEX($V$2:$V$1001,MATCH(ROWS($U$2:U185),$U$2:$U$1001,0),1)&gt;=100000,INDEX($AB$1005:$AQ$1005,1,MATCH(COLUMNS($AB$1006:AH1006),$AB$1006:$AQ$1006,0))&gt;=100000), " ",IF(INDEX($AB$2:$AQ$1001,MATCH(ROWS($U$2:U185),$U$2:$U$1001,0),MATCH(COLUMNS($AB$1006:AH1006),$AB$1006:$AQ$1006,0)), HYPERLINK("#",""), HYPERLINK(CONCATENATE("#metadata!", ADDRESS(INDEX($W$2:$W$1001,MATCH(ROWS($U$2:U185),$U$2:$U$1001,0),0), INDEX($AB$1004:$AQ$1004,1,MATCH(COLUMNS($AB$1006:AH1006),$AB$1006:$AQ$1006,0)))),"Fix")))</f>
        <v>0</v>
      </c>
      <c r="I185" s="4">
        <f>IF(OR(INDEX($V$2:$V$1001,MATCH(ROWS($U$2:U185),$U$2:$U$1001,0),1)&gt;=100000,INDEX($AB$1005:$AQ$1005,1,MATCH(COLUMNS($AB$1006:AI1006),$AB$1006:$AQ$1006,0))&gt;=100000), " ",IF(INDEX($AB$2:$AQ$1001,MATCH(ROWS($U$2:U185),$U$2:$U$1001,0),MATCH(COLUMNS($AB$1006:AI1006),$AB$1006:$AQ$1006,0)), HYPERLINK("#",""), HYPERLINK(CONCATENATE("#metadata!", ADDRESS(INDEX($W$2:$W$1001,MATCH(ROWS($U$2:U185),$U$2:$U$1001,0),0), INDEX($AB$1004:$AQ$1004,1,MATCH(COLUMNS($AB$1006:AI1006),$AB$1006:$AQ$1006,0)))),"Fix")))</f>
        <v>0</v>
      </c>
      <c r="J185" s="4">
        <f>IF(OR(INDEX($V$2:$V$1001,MATCH(ROWS($U$2:U185),$U$2:$U$1001,0),1)&gt;=100000,INDEX($AB$1005:$AQ$1005,1,MATCH(COLUMNS($AB$1006:AJ1006),$AB$1006:$AQ$1006,0))&gt;=100000), " ",IF(INDEX($AB$2:$AQ$1001,MATCH(ROWS($U$2:U185),$U$2:$U$1001,0),MATCH(COLUMNS($AB$1006:AJ1006),$AB$1006:$AQ$1006,0)), HYPERLINK("#",""), HYPERLINK(CONCATENATE("#metadata!", ADDRESS(INDEX($W$2:$W$1001,MATCH(ROWS($U$2:U185),$U$2:$U$1001,0),0), INDEX($AB$1004:$AQ$1004,1,MATCH(COLUMNS($AB$1006:AJ1006),$AB$1006:$AQ$1006,0)))),"Fix")))</f>
        <v>0</v>
      </c>
      <c r="K185" s="4">
        <f>IF(OR(INDEX($V$2:$V$1001,MATCH(ROWS($U$2:U185),$U$2:$U$1001,0),1)&gt;=100000,INDEX($AB$1005:$AQ$1005,1,MATCH(COLUMNS($AB$1006:AK1006),$AB$1006:$AQ$1006,0))&gt;=100000), " ",IF(INDEX($AB$2:$AQ$1001,MATCH(ROWS($U$2:U185),$U$2:$U$1001,0),MATCH(COLUMNS($AB$1006:AK1006),$AB$1006:$AQ$1006,0)), HYPERLINK("#",""), HYPERLINK(CONCATENATE("#metadata!", ADDRESS(INDEX($W$2:$W$1001,MATCH(ROWS($U$2:U185),$U$2:$U$1001,0),0), INDEX($AB$1004:$AQ$1004,1,MATCH(COLUMNS($AB$1006:AK1006),$AB$1006:$AQ$1006,0)))),"Fix")))</f>
        <v>0</v>
      </c>
      <c r="L185" s="4">
        <f>IF(OR(INDEX($V$2:$V$1001,MATCH(ROWS($U$2:U185),$U$2:$U$1001,0),1)&gt;=100000,INDEX($AB$1005:$AQ$1005,1,MATCH(COLUMNS($AB$1006:AL1006),$AB$1006:$AQ$1006,0))&gt;=100000), " ",IF(INDEX($AB$2:$AQ$1001,MATCH(ROWS($U$2:U185),$U$2:$U$1001,0),MATCH(COLUMNS($AB$1006:AL1006),$AB$1006:$AQ$1006,0)), HYPERLINK("#",""), HYPERLINK(CONCATENATE("#metadata!", ADDRESS(INDEX($W$2:$W$1001,MATCH(ROWS($U$2:U185),$U$2:$U$1001,0),0), INDEX($AB$1004:$AQ$1004,1,MATCH(COLUMNS($AB$1006:AL1006),$AB$1006:$AQ$1006,0)))),"Fix")))</f>
        <v>0</v>
      </c>
      <c r="M185" s="4">
        <f>IF(OR(INDEX($V$2:$V$1001,MATCH(ROWS($U$2:U185),$U$2:$U$1001,0),1)&gt;=100000,INDEX($AB$1005:$AQ$1005,1,MATCH(COLUMNS($AB$1006:AM1006),$AB$1006:$AQ$1006,0))&gt;=100000), " ",IF(INDEX($AB$2:$AQ$1001,MATCH(ROWS($U$2:U185),$U$2:$U$1001,0),MATCH(COLUMNS($AB$1006:AM1006),$AB$1006:$AQ$1006,0)), HYPERLINK("#",""), HYPERLINK(CONCATENATE("#metadata!", ADDRESS(INDEX($W$2:$W$1001,MATCH(ROWS($U$2:U185),$U$2:$U$1001,0),0), INDEX($AB$1004:$AQ$1004,1,MATCH(COLUMNS($AB$1006:AM1006),$AB$1006:$AQ$1006,0)))),"Fix")))</f>
        <v>0</v>
      </c>
      <c r="N185" s="4">
        <f>IF(OR(INDEX($V$2:$V$1001,MATCH(ROWS($U$2:U185),$U$2:$U$1001,0),1)&gt;=100000,INDEX($AB$1005:$AQ$1005,1,MATCH(COLUMNS($AB$1006:AN1006),$AB$1006:$AQ$1006,0))&gt;=100000), " ",IF(INDEX($AB$2:$AQ$1001,MATCH(ROWS($U$2:U185),$U$2:$U$1001,0),MATCH(COLUMNS($AB$1006:AN1006),$AB$1006:$AQ$1006,0)), HYPERLINK("#",""), HYPERLINK(CONCATENATE("#metadata!", ADDRESS(INDEX($W$2:$W$1001,MATCH(ROWS($U$2:U185),$U$2:$U$1001,0),0), INDEX($AB$1004:$AQ$1004,1,MATCH(COLUMNS($AB$1006:AN1006),$AB$1006:$AQ$1006,0)))),"Fix")))</f>
        <v>0</v>
      </c>
      <c r="O185" s="4">
        <f>IF(OR(INDEX($V$2:$V$1001,MATCH(ROWS($U$2:U185),$U$2:$U$1001,0),1)&gt;=100000,INDEX($AB$1005:$AQ$1005,1,MATCH(COLUMNS($AB$1006:AO1006),$AB$1006:$AQ$1006,0))&gt;=100000), " ",IF(INDEX($AB$2:$AQ$1001,MATCH(ROWS($U$2:U185),$U$2:$U$1001,0),MATCH(COLUMNS($AB$1006:AO1006),$AB$1006:$AQ$1006,0)), HYPERLINK("#",""), HYPERLINK(CONCATENATE("#metadata!", ADDRESS(INDEX($W$2:$W$1001,MATCH(ROWS($U$2:U185),$U$2:$U$1001,0),0), INDEX($AB$1004:$AQ$1004,1,MATCH(COLUMNS($AB$1006:AO1006),$AB$1006:$AQ$1006,0)))),"Fix")))</f>
        <v>0</v>
      </c>
      <c r="P185" s="4">
        <f>IF(OR(INDEX($V$2:$V$1001,MATCH(ROWS($U$2:U185),$U$2:$U$1001,0),1)&gt;=100000,INDEX($AB$1005:$AQ$1005,1,MATCH(COLUMNS($AB$1006:AP1006),$AB$1006:$AQ$1006,0))&gt;=100000), " ",IF(INDEX($AB$2:$AQ$1001,MATCH(ROWS($U$2:U185),$U$2:$U$1001,0),MATCH(COLUMNS($AB$1006:AP1006),$AB$1006:$AQ$1006,0)), HYPERLINK("#",""), HYPERLINK(CONCATENATE("#metadata!", ADDRESS(INDEX($W$2:$W$1001,MATCH(ROWS($U$2:U185),$U$2:$U$1001,0),0), INDEX($AB$1004:$AQ$1004,1,MATCH(COLUMNS($AB$1006:AP1006),$AB$1006:$AQ$1006,0)))),"Fix")))</f>
        <v>0</v>
      </c>
      <c r="Q185" s="4">
        <f>IF(OR(INDEX($V$2:$V$1001,MATCH(ROWS($U$2:U185),$U$2:$U$1001,0),1)&gt;=100000,INDEX($AB$1005:$AQ$1005,1,MATCH(COLUMNS($AB$1006:AQ1006),$AB$1006:$AQ$1006,0))&gt;=100000), " ",IF(INDEX($AB$2:$AQ$1001,MATCH(ROWS($U$2:U185),$U$2:$U$1001,0),MATCH(COLUMNS($AB$1006:AQ1006),$AB$1006:$AQ$1006,0)), HYPERLINK("#",""), HYPERLINK(CONCATENATE("#metadata!", ADDRESS(INDEX($W$2:$W$1001,MATCH(ROWS($U$2:U185),$U$2:$U$1001,0),0), INDEX($AB$1004:$AQ$1004,1,MATCH(COLUMNS($AB$1006:AQ1006),$AB$1006:$AQ$1006,0)))),"Fix")))</f>
        <v>0</v>
      </c>
      <c r="U185">
        <v>0</v>
      </c>
      <c r="V185">
        <v>0</v>
      </c>
      <c r="W185">
        <v>0</v>
      </c>
      <c r="X185">
        <f>IF(Y185,TRUE,AND(AB185:AQ185))</f>
        <v>0</v>
      </c>
      <c r="Y185">
        <f>COUNTBLANK(metadata!B185:Q185)=COLUMNS(metadata!B185:Q185)</f>
        <v>0</v>
      </c>
      <c r="Z185">
        <v>0</v>
      </c>
      <c r="AB185">
        <f>AND(IF(metadata!B185="",FALSE,TRUE),COUNTIF(metadata!B:B, metadata!B185) = 1,NOT(ISERROR(SUMPRODUCT(SEARCH(MID(metadata!B185,ROW(INDIRECT("1:"&amp;LEN(metadata!B185))), 1),"0123456789abcdefghijklmnopqrstuvwxyzABCDEFGHIJKLMNOPQRSTUVWXYZ.")))))</f>
        <v>0</v>
      </c>
      <c r="AC185">
        <f>OR(AND(IF(metadata!C185="",FALSE,TRUE),OR(exact(metadata!C185,"missing: not collected"),exact(metadata!C185,"missing: not provided"),exact(metadata!C185,"missing: restricted access"))),AND(IF(metadata!C185="",FALSE,TRUE),AND(AND(IFERROR(INT(LEFT(metadata!C185,4))&gt;1900,FALSE),IFERROR(INT(LEFT(metadata!C185,4))&lt;=YEAR(NOW()),FALSE)), OR(MID(metadata!C185,5,1)="", AND(AND(MID(metadata!C185,5,1)="-",IFERROR(INT(MID(metadata!C185,6,1))&gt;=0,FALSE),IFERROR(INT(MID(metadata!C185,6,1))&lt;=1,FALSE),NOT(MID(metadata!C185,7,1)=""),IFERROR(INT(MID(metadata!C185,6,2))&gt;=1,FALSE),IFERROR(INT(MID(metadata!C185,6,2))&lt;=12,FALSE)), OR(MID(metadata!C185,8,1)="", AND(AND(MID(metadata!C185,8,1)="-",IFERROR(INT(MID(metadata!C185,9,1))&gt;=0,FALSE),IFERROR(INT(MID(metadata!C185,9,1))&lt;=3,FALSE),NOT(MID(metadata!C185,10,1)=""),IFERROR(INT(MID(metadata!C185,9,2))&gt;=1,FALSE),IFERROR(INT(MID(metadata!C185,9,2))&lt;=31,FALSE)), OR(MID(metadata!C185,11,1)="", AND(AND(MID(metadata!C185,11,1)=" ",IFERROR(INT(MID(metadata!C185,12,1))&gt;=0,FALSE),IFERROR(INT(MID(metadata!C185,12,1))&lt;=2,FALSE),NOT(MID(metadata!C185,13,1)=""),IFERROR(INT(MID(metadata!C185,12,2))&gt;=0,FALSE),IFERROR(INT(MID(metadata!C185,12,2))&lt;=23,FALSE)), OR(MID(metadata!C185,14,1)="", AND(AND(MID(metadata!C185,14,1)=":",IFERROR(INT(MID(metadata!C185,15,1))&gt;=0,FALSE),IFERROR(INT(MID(metadata!C185,15,1))&lt;=5,FALSE),NOT(MID(metadata!C185,16,1)=""),IFERROR(INT(MID(metadata!C185,15,2))&gt;=0,FALSE),IFERROR(INT(MID(metadata!C185,15,2))&lt;=59,FALSE)), OR(MID(metadata!C185,17,1)="", AND(AND(MID(metadata!C185,17,1)=":",IFERROR(INT(MID(metadata!C185,18,1))&gt;=0,FALSE),IFERROR(INT(MID(metadata!C185,18,1))&lt;=5,FALSE),NOT(MID(metadata!C185,19,1)=""),IFERROR(INT(MID(metadata!C185,18,2))&gt;=0,FALSE),IFERROR(INT(MID(metadata!C185,18,2))&lt;=59,FALSE)), LEN(metadata!C185)&lt;=19)))))))))))))</f>
        <v>0</v>
      </c>
      <c r="AD185">
        <f>IF(metadata!D185="",FALSE,TRUE)</f>
        <v>0</v>
      </c>
      <c r="AE185">
        <f>OR(AND(IF(metadata!E185="",FALSE,TRUE),OR(exact(metadata!E185,"missing: not collected"),exact(metadata!E185,"missing: not provided"))),AND(IF(metadata!E185="",FALSE,TRUE),OR(exact(metadata!E185,"TRUE"),exact(metadata!E185,"FALSE"))))</f>
        <v>0</v>
      </c>
      <c r="AF185">
        <f>IF(metadata!F185="",FALSE,TRUE)</f>
        <v>0</v>
      </c>
      <c r="AG185">
        <f>IF(metadata!G185="",FALSE,TRUE)</f>
        <v>0</v>
      </c>
      <c r="AH185">
        <f>IF(metadata!H185="",FALSE,TRUE)</f>
        <v>0</v>
      </c>
      <c r="AI185">
        <f>OR(AND(IF(metadata!I185="",FALSE,TRUE),OR(exact(metadata!I185,"missing: not collected"),exact(metadata!I185,"missing: not provided"),exact(metadata!I185,"missing: restricted access"))),AND(IF(metadata!I185="",FALSE,TRUE),OR(exact(metadata!I185,"air"),exact(metadata!I185,"built environment"),exact(metadata!I185,"host-associated"),exact(metadata!I185,"human-associated"),exact(metadata!I185,"human-skin"),exact(metadata!I185,"human-oral"),exact(metadata!I185,"human-gut"),exact(metadata!I185,"human-vaginal"),exact(metadata!I185,"microbial mat/biofilm"),exact(metadata!I185,"misc environment"),exact(metadata!I185,"plant-associated"),exact(metadata!I185,"sediment"),exact(metadata!I185,"soil"),exact(metadata!I185,"wastewater/sludge"),exact(metadata!I185,"water"))))</f>
        <v>0</v>
      </c>
      <c r="AJ185">
        <f>IF(metadata!J185="",FALSE,TRUE)</f>
        <v>0</v>
      </c>
      <c r="AK185">
        <f>OR(AND(IF(metadata!K185="",FALSE,TRUE),OR(exact(metadata!K185,"missing: not collected"),exact(metadata!K185,"missing: not provided"),exact(metadata!K185,"missing: restricted access"))),AND(IF(metadata!K185="",FALSE,ISNUMBER(VALUE(metadata!K185))),metadata!K185&gt;=-90.00,metadata!K185&lt;=90.00))</f>
        <v>0</v>
      </c>
      <c r="AL185">
        <f>OR(AND(IF(metadata!L185="",FALSE,TRUE),OR(exact(metadata!L185,"missing: not collected"),exact(metadata!L185,"missing: not provided"),exact(metadata!L185,"missing: restricted access"))),AND(IF(metadata!L185="",FALSE,ISNUMBER(VALUE(metadata!L185))),metadata!L185&gt;=-180.00,metadata!L185&lt;=180.00))</f>
        <v>0</v>
      </c>
      <c r="AM185">
        <f>IF(metadata!M185="",FALSE,TRUE)</f>
        <v>0</v>
      </c>
      <c r="AN185">
        <f>OR(AND(IF(metadata!N185="",FALSE,TRUE),OR(exact(metadata!N185,"missing: not collected"),exact(metadata!N185,"missing: not provided"),exact(metadata!N185,"missing: restricted access"))),AND(IF(metadata!N185="",FALSE,TRUE),OR(exact(metadata!N185,"TRUE"),exact(metadata!N185,"FALSE"))))</f>
        <v>0</v>
      </c>
      <c r="AO185">
        <f>IF(metadata!O185="",FALSE,TRUE)</f>
        <v>0</v>
      </c>
      <c r="AP185">
        <f>OR(AND(IF(metadata!P185="",FALSE,TRUE),OR(exact(metadata!P185,"missing: not collected"),exact(metadata!P185,"missing: not provided"))),AND(IF(metadata!P185="",FALSE,IF(ISERROR(INT(metadata!P185)),FALSE,INT(metadata!P185)=metadata!P185)),metadata!P185&gt;0))</f>
        <v>0</v>
      </c>
      <c r="AQ185">
        <f>IF(metadata!Q185="",FALSE,TRUE)</f>
        <v>0</v>
      </c>
    </row>
    <row r="186" spans="1:43">
      <c r="A186" s="5">
        <f>IF(B186=" "," ",HYPERLINK(CONCATENATE("#metadata!",ADDRESS(INDEX($W$2:$W$1001,MATCH(ROWS($U$2:U186),$U$2:$U$1001,0),0),1)),INDEX($Z$2:$Z$1001,MATCH(ROWS($U$2:U186),$U$2:$U$1001,0),0)))</f>
        <v>0</v>
      </c>
      <c r="B186" s="4">
        <f>IF(OR(INDEX($V$2:$V$1001,MATCH(ROWS($U$2:U186),$U$2:$U$1001,0),1)&gt;=100000,INDEX($AB$1005:$AQ$1005,1,MATCH(COLUMNS($AB$1006:AB1006),$AB$1006:$AQ$1006,0))&gt;=100000), " ",IF(INDEX($AB$2:$AQ$1001,MATCH(ROWS($U$2:U186),$U$2:$U$1001,0),MATCH(COLUMNS($AB$1006:AB1006),$AB$1006:$AQ$1006,0)), HYPERLINK("#",""), HYPERLINK(CONCATENATE("#metadata!", ADDRESS(INDEX($W$2:$W$1001,MATCH(ROWS($U$2:U186),$U$2:$U$1001,0),0), INDEX($AB$1004:$AQ$1004,1,MATCH(COLUMNS($AB$1006:AB1006),$AB$1006:$AQ$1006,0)))),"Fix")))</f>
        <v>0</v>
      </c>
      <c r="C186" s="4">
        <f>IF(OR(INDEX($V$2:$V$1001,MATCH(ROWS($U$2:U186),$U$2:$U$1001,0),1)&gt;=100000,INDEX($AB$1005:$AQ$1005,1,MATCH(COLUMNS($AB$1006:AC1006),$AB$1006:$AQ$1006,0))&gt;=100000), " ",IF(INDEX($AB$2:$AQ$1001,MATCH(ROWS($U$2:U186),$U$2:$U$1001,0),MATCH(COLUMNS($AB$1006:AC1006),$AB$1006:$AQ$1006,0)), HYPERLINK("#",""), HYPERLINK(CONCATENATE("#metadata!", ADDRESS(INDEX($W$2:$W$1001,MATCH(ROWS($U$2:U186),$U$2:$U$1001,0),0), INDEX($AB$1004:$AQ$1004,1,MATCH(COLUMNS($AB$1006:AC1006),$AB$1006:$AQ$1006,0)))),"Fix")))</f>
        <v>0</v>
      </c>
      <c r="D186" s="4">
        <f>IF(OR(INDEX($V$2:$V$1001,MATCH(ROWS($U$2:U186),$U$2:$U$1001,0),1)&gt;=100000,INDEX($AB$1005:$AQ$1005,1,MATCH(COLUMNS($AB$1006:AD1006),$AB$1006:$AQ$1006,0))&gt;=100000), " ",IF(INDEX($AB$2:$AQ$1001,MATCH(ROWS($U$2:U186),$U$2:$U$1001,0),MATCH(COLUMNS($AB$1006:AD1006),$AB$1006:$AQ$1006,0)), HYPERLINK("#",""), HYPERLINK(CONCATENATE("#metadata!", ADDRESS(INDEX($W$2:$W$1001,MATCH(ROWS($U$2:U186),$U$2:$U$1001,0),0), INDEX($AB$1004:$AQ$1004,1,MATCH(COLUMNS($AB$1006:AD1006),$AB$1006:$AQ$1006,0)))),"Fix")))</f>
        <v>0</v>
      </c>
      <c r="E186" s="4">
        <f>IF(OR(INDEX($V$2:$V$1001,MATCH(ROWS($U$2:U186),$U$2:$U$1001,0),1)&gt;=100000,INDEX($AB$1005:$AQ$1005,1,MATCH(COLUMNS($AB$1006:AE1006),$AB$1006:$AQ$1006,0))&gt;=100000), " ",IF(INDEX($AB$2:$AQ$1001,MATCH(ROWS($U$2:U186),$U$2:$U$1001,0),MATCH(COLUMNS($AB$1006:AE1006),$AB$1006:$AQ$1006,0)), HYPERLINK("#",""), HYPERLINK(CONCATENATE("#metadata!", ADDRESS(INDEX($W$2:$W$1001,MATCH(ROWS($U$2:U186),$U$2:$U$1001,0),0), INDEX($AB$1004:$AQ$1004,1,MATCH(COLUMNS($AB$1006:AE1006),$AB$1006:$AQ$1006,0)))),"Fix")))</f>
        <v>0</v>
      </c>
      <c r="F186" s="4">
        <f>IF(OR(INDEX($V$2:$V$1001,MATCH(ROWS($U$2:U186),$U$2:$U$1001,0),1)&gt;=100000,INDEX($AB$1005:$AQ$1005,1,MATCH(COLUMNS($AB$1006:AF1006),$AB$1006:$AQ$1006,0))&gt;=100000), " ",IF(INDEX($AB$2:$AQ$1001,MATCH(ROWS($U$2:U186),$U$2:$U$1001,0),MATCH(COLUMNS($AB$1006:AF1006),$AB$1006:$AQ$1006,0)), HYPERLINK("#",""), HYPERLINK(CONCATENATE("#metadata!", ADDRESS(INDEX($W$2:$W$1001,MATCH(ROWS($U$2:U186),$U$2:$U$1001,0),0), INDEX($AB$1004:$AQ$1004,1,MATCH(COLUMNS($AB$1006:AF1006),$AB$1006:$AQ$1006,0)))),"Fix")))</f>
        <v>0</v>
      </c>
      <c r="G186" s="4">
        <f>IF(OR(INDEX($V$2:$V$1001,MATCH(ROWS($U$2:U186),$U$2:$U$1001,0),1)&gt;=100000,INDEX($AB$1005:$AQ$1005,1,MATCH(COLUMNS($AB$1006:AG1006),$AB$1006:$AQ$1006,0))&gt;=100000), " ",IF(INDEX($AB$2:$AQ$1001,MATCH(ROWS($U$2:U186),$U$2:$U$1001,0),MATCH(COLUMNS($AB$1006:AG1006),$AB$1006:$AQ$1006,0)), HYPERLINK("#",""), HYPERLINK(CONCATENATE("#metadata!", ADDRESS(INDEX($W$2:$W$1001,MATCH(ROWS($U$2:U186),$U$2:$U$1001,0),0), INDEX($AB$1004:$AQ$1004,1,MATCH(COLUMNS($AB$1006:AG1006),$AB$1006:$AQ$1006,0)))),"Fix")))</f>
        <v>0</v>
      </c>
      <c r="H186" s="4">
        <f>IF(OR(INDEX($V$2:$V$1001,MATCH(ROWS($U$2:U186),$U$2:$U$1001,0),1)&gt;=100000,INDEX($AB$1005:$AQ$1005,1,MATCH(COLUMNS($AB$1006:AH1006),$AB$1006:$AQ$1006,0))&gt;=100000), " ",IF(INDEX($AB$2:$AQ$1001,MATCH(ROWS($U$2:U186),$U$2:$U$1001,0),MATCH(COLUMNS($AB$1006:AH1006),$AB$1006:$AQ$1006,0)), HYPERLINK("#",""), HYPERLINK(CONCATENATE("#metadata!", ADDRESS(INDEX($W$2:$W$1001,MATCH(ROWS($U$2:U186),$U$2:$U$1001,0),0), INDEX($AB$1004:$AQ$1004,1,MATCH(COLUMNS($AB$1006:AH1006),$AB$1006:$AQ$1006,0)))),"Fix")))</f>
        <v>0</v>
      </c>
      <c r="I186" s="4">
        <f>IF(OR(INDEX($V$2:$V$1001,MATCH(ROWS($U$2:U186),$U$2:$U$1001,0),1)&gt;=100000,INDEX($AB$1005:$AQ$1005,1,MATCH(COLUMNS($AB$1006:AI1006),$AB$1006:$AQ$1006,0))&gt;=100000), " ",IF(INDEX($AB$2:$AQ$1001,MATCH(ROWS($U$2:U186),$U$2:$U$1001,0),MATCH(COLUMNS($AB$1006:AI1006),$AB$1006:$AQ$1006,0)), HYPERLINK("#",""), HYPERLINK(CONCATENATE("#metadata!", ADDRESS(INDEX($W$2:$W$1001,MATCH(ROWS($U$2:U186),$U$2:$U$1001,0),0), INDEX($AB$1004:$AQ$1004,1,MATCH(COLUMNS($AB$1006:AI1006),$AB$1006:$AQ$1006,0)))),"Fix")))</f>
        <v>0</v>
      </c>
      <c r="J186" s="4">
        <f>IF(OR(INDEX($V$2:$V$1001,MATCH(ROWS($U$2:U186),$U$2:$U$1001,0),1)&gt;=100000,INDEX($AB$1005:$AQ$1005,1,MATCH(COLUMNS($AB$1006:AJ1006),$AB$1006:$AQ$1006,0))&gt;=100000), " ",IF(INDEX($AB$2:$AQ$1001,MATCH(ROWS($U$2:U186),$U$2:$U$1001,0),MATCH(COLUMNS($AB$1006:AJ1006),$AB$1006:$AQ$1006,0)), HYPERLINK("#",""), HYPERLINK(CONCATENATE("#metadata!", ADDRESS(INDEX($W$2:$W$1001,MATCH(ROWS($U$2:U186),$U$2:$U$1001,0),0), INDEX($AB$1004:$AQ$1004,1,MATCH(COLUMNS($AB$1006:AJ1006),$AB$1006:$AQ$1006,0)))),"Fix")))</f>
        <v>0</v>
      </c>
      <c r="K186" s="4">
        <f>IF(OR(INDEX($V$2:$V$1001,MATCH(ROWS($U$2:U186),$U$2:$U$1001,0),1)&gt;=100000,INDEX($AB$1005:$AQ$1005,1,MATCH(COLUMNS($AB$1006:AK1006),$AB$1006:$AQ$1006,0))&gt;=100000), " ",IF(INDEX($AB$2:$AQ$1001,MATCH(ROWS($U$2:U186),$U$2:$U$1001,0),MATCH(COLUMNS($AB$1006:AK1006),$AB$1006:$AQ$1006,0)), HYPERLINK("#",""), HYPERLINK(CONCATENATE("#metadata!", ADDRESS(INDEX($W$2:$W$1001,MATCH(ROWS($U$2:U186),$U$2:$U$1001,0),0), INDEX($AB$1004:$AQ$1004,1,MATCH(COLUMNS($AB$1006:AK1006),$AB$1006:$AQ$1006,0)))),"Fix")))</f>
        <v>0</v>
      </c>
      <c r="L186" s="4">
        <f>IF(OR(INDEX($V$2:$V$1001,MATCH(ROWS($U$2:U186),$U$2:$U$1001,0),1)&gt;=100000,INDEX($AB$1005:$AQ$1005,1,MATCH(COLUMNS($AB$1006:AL1006),$AB$1006:$AQ$1006,0))&gt;=100000), " ",IF(INDEX($AB$2:$AQ$1001,MATCH(ROWS($U$2:U186),$U$2:$U$1001,0),MATCH(COLUMNS($AB$1006:AL1006),$AB$1006:$AQ$1006,0)), HYPERLINK("#",""), HYPERLINK(CONCATENATE("#metadata!", ADDRESS(INDEX($W$2:$W$1001,MATCH(ROWS($U$2:U186),$U$2:$U$1001,0),0), INDEX($AB$1004:$AQ$1004,1,MATCH(COLUMNS($AB$1006:AL1006),$AB$1006:$AQ$1006,0)))),"Fix")))</f>
        <v>0</v>
      </c>
      <c r="M186" s="4">
        <f>IF(OR(INDEX($V$2:$V$1001,MATCH(ROWS($U$2:U186),$U$2:$U$1001,0),1)&gt;=100000,INDEX($AB$1005:$AQ$1005,1,MATCH(COLUMNS($AB$1006:AM1006),$AB$1006:$AQ$1006,0))&gt;=100000), " ",IF(INDEX($AB$2:$AQ$1001,MATCH(ROWS($U$2:U186),$U$2:$U$1001,0),MATCH(COLUMNS($AB$1006:AM1006),$AB$1006:$AQ$1006,0)), HYPERLINK("#",""), HYPERLINK(CONCATENATE("#metadata!", ADDRESS(INDEX($W$2:$W$1001,MATCH(ROWS($U$2:U186),$U$2:$U$1001,0),0), INDEX($AB$1004:$AQ$1004,1,MATCH(COLUMNS($AB$1006:AM1006),$AB$1006:$AQ$1006,0)))),"Fix")))</f>
        <v>0</v>
      </c>
      <c r="N186" s="4">
        <f>IF(OR(INDEX($V$2:$V$1001,MATCH(ROWS($U$2:U186),$U$2:$U$1001,0),1)&gt;=100000,INDEX($AB$1005:$AQ$1005,1,MATCH(COLUMNS($AB$1006:AN1006),$AB$1006:$AQ$1006,0))&gt;=100000), " ",IF(INDEX($AB$2:$AQ$1001,MATCH(ROWS($U$2:U186),$U$2:$U$1001,0),MATCH(COLUMNS($AB$1006:AN1006),$AB$1006:$AQ$1006,0)), HYPERLINK("#",""), HYPERLINK(CONCATENATE("#metadata!", ADDRESS(INDEX($W$2:$W$1001,MATCH(ROWS($U$2:U186),$U$2:$U$1001,0),0), INDEX($AB$1004:$AQ$1004,1,MATCH(COLUMNS($AB$1006:AN1006),$AB$1006:$AQ$1006,0)))),"Fix")))</f>
        <v>0</v>
      </c>
      <c r="O186" s="4">
        <f>IF(OR(INDEX($V$2:$V$1001,MATCH(ROWS($U$2:U186),$U$2:$U$1001,0),1)&gt;=100000,INDEX($AB$1005:$AQ$1005,1,MATCH(COLUMNS($AB$1006:AO1006),$AB$1006:$AQ$1006,0))&gt;=100000), " ",IF(INDEX($AB$2:$AQ$1001,MATCH(ROWS($U$2:U186),$U$2:$U$1001,0),MATCH(COLUMNS($AB$1006:AO1006),$AB$1006:$AQ$1006,0)), HYPERLINK("#",""), HYPERLINK(CONCATENATE("#metadata!", ADDRESS(INDEX($W$2:$W$1001,MATCH(ROWS($U$2:U186),$U$2:$U$1001,0),0), INDEX($AB$1004:$AQ$1004,1,MATCH(COLUMNS($AB$1006:AO1006),$AB$1006:$AQ$1006,0)))),"Fix")))</f>
        <v>0</v>
      </c>
      <c r="P186" s="4">
        <f>IF(OR(INDEX($V$2:$V$1001,MATCH(ROWS($U$2:U186),$U$2:$U$1001,0),1)&gt;=100000,INDEX($AB$1005:$AQ$1005,1,MATCH(COLUMNS($AB$1006:AP1006),$AB$1006:$AQ$1006,0))&gt;=100000), " ",IF(INDEX($AB$2:$AQ$1001,MATCH(ROWS($U$2:U186),$U$2:$U$1001,0),MATCH(COLUMNS($AB$1006:AP1006),$AB$1006:$AQ$1006,0)), HYPERLINK("#",""), HYPERLINK(CONCATENATE("#metadata!", ADDRESS(INDEX($W$2:$W$1001,MATCH(ROWS($U$2:U186),$U$2:$U$1001,0),0), INDEX($AB$1004:$AQ$1004,1,MATCH(COLUMNS($AB$1006:AP1006),$AB$1006:$AQ$1006,0)))),"Fix")))</f>
        <v>0</v>
      </c>
      <c r="Q186" s="4">
        <f>IF(OR(INDEX($V$2:$V$1001,MATCH(ROWS($U$2:U186),$U$2:$U$1001,0),1)&gt;=100000,INDEX($AB$1005:$AQ$1005,1,MATCH(COLUMNS($AB$1006:AQ1006),$AB$1006:$AQ$1006,0))&gt;=100000), " ",IF(INDEX($AB$2:$AQ$1001,MATCH(ROWS($U$2:U186),$U$2:$U$1001,0),MATCH(COLUMNS($AB$1006:AQ1006),$AB$1006:$AQ$1006,0)), HYPERLINK("#",""), HYPERLINK(CONCATENATE("#metadata!", ADDRESS(INDEX($W$2:$W$1001,MATCH(ROWS($U$2:U186),$U$2:$U$1001,0),0), INDEX($AB$1004:$AQ$1004,1,MATCH(COLUMNS($AB$1006:AQ1006),$AB$1006:$AQ$1006,0)))),"Fix")))</f>
        <v>0</v>
      </c>
      <c r="U186">
        <v>0</v>
      </c>
      <c r="V186">
        <v>0</v>
      </c>
      <c r="W186">
        <v>0</v>
      </c>
      <c r="X186">
        <f>IF(Y186,TRUE,AND(AB186:AQ186))</f>
        <v>0</v>
      </c>
      <c r="Y186">
        <f>COUNTBLANK(metadata!B186:Q186)=COLUMNS(metadata!B186:Q186)</f>
        <v>0</v>
      </c>
      <c r="Z186">
        <v>0</v>
      </c>
      <c r="AB186">
        <f>AND(IF(metadata!B186="",FALSE,TRUE),COUNTIF(metadata!B:B, metadata!B186) = 1,NOT(ISERROR(SUMPRODUCT(SEARCH(MID(metadata!B186,ROW(INDIRECT("1:"&amp;LEN(metadata!B186))), 1),"0123456789abcdefghijklmnopqrstuvwxyzABCDEFGHIJKLMNOPQRSTUVWXYZ.")))))</f>
        <v>0</v>
      </c>
      <c r="AC186">
        <f>OR(AND(IF(metadata!C186="",FALSE,TRUE),OR(exact(metadata!C186,"missing: not collected"),exact(metadata!C186,"missing: not provided"),exact(metadata!C186,"missing: restricted access"))),AND(IF(metadata!C186="",FALSE,TRUE),AND(AND(IFERROR(INT(LEFT(metadata!C186,4))&gt;1900,FALSE),IFERROR(INT(LEFT(metadata!C186,4))&lt;=YEAR(NOW()),FALSE)), OR(MID(metadata!C186,5,1)="", AND(AND(MID(metadata!C186,5,1)="-",IFERROR(INT(MID(metadata!C186,6,1))&gt;=0,FALSE),IFERROR(INT(MID(metadata!C186,6,1))&lt;=1,FALSE),NOT(MID(metadata!C186,7,1)=""),IFERROR(INT(MID(metadata!C186,6,2))&gt;=1,FALSE),IFERROR(INT(MID(metadata!C186,6,2))&lt;=12,FALSE)), OR(MID(metadata!C186,8,1)="", AND(AND(MID(metadata!C186,8,1)="-",IFERROR(INT(MID(metadata!C186,9,1))&gt;=0,FALSE),IFERROR(INT(MID(metadata!C186,9,1))&lt;=3,FALSE),NOT(MID(metadata!C186,10,1)=""),IFERROR(INT(MID(metadata!C186,9,2))&gt;=1,FALSE),IFERROR(INT(MID(metadata!C186,9,2))&lt;=31,FALSE)), OR(MID(metadata!C186,11,1)="", AND(AND(MID(metadata!C186,11,1)=" ",IFERROR(INT(MID(metadata!C186,12,1))&gt;=0,FALSE),IFERROR(INT(MID(metadata!C186,12,1))&lt;=2,FALSE),NOT(MID(metadata!C186,13,1)=""),IFERROR(INT(MID(metadata!C186,12,2))&gt;=0,FALSE),IFERROR(INT(MID(metadata!C186,12,2))&lt;=23,FALSE)), OR(MID(metadata!C186,14,1)="", AND(AND(MID(metadata!C186,14,1)=":",IFERROR(INT(MID(metadata!C186,15,1))&gt;=0,FALSE),IFERROR(INT(MID(metadata!C186,15,1))&lt;=5,FALSE),NOT(MID(metadata!C186,16,1)=""),IFERROR(INT(MID(metadata!C186,15,2))&gt;=0,FALSE),IFERROR(INT(MID(metadata!C186,15,2))&lt;=59,FALSE)), OR(MID(metadata!C186,17,1)="", AND(AND(MID(metadata!C186,17,1)=":",IFERROR(INT(MID(metadata!C186,18,1))&gt;=0,FALSE),IFERROR(INT(MID(metadata!C186,18,1))&lt;=5,FALSE),NOT(MID(metadata!C186,19,1)=""),IFERROR(INT(MID(metadata!C186,18,2))&gt;=0,FALSE),IFERROR(INT(MID(metadata!C186,18,2))&lt;=59,FALSE)), LEN(metadata!C186)&lt;=19)))))))))))))</f>
        <v>0</v>
      </c>
      <c r="AD186">
        <f>IF(metadata!D186="",FALSE,TRUE)</f>
        <v>0</v>
      </c>
      <c r="AE186">
        <f>OR(AND(IF(metadata!E186="",FALSE,TRUE),OR(exact(metadata!E186,"missing: not collected"),exact(metadata!E186,"missing: not provided"))),AND(IF(metadata!E186="",FALSE,TRUE),OR(exact(metadata!E186,"TRUE"),exact(metadata!E186,"FALSE"))))</f>
        <v>0</v>
      </c>
      <c r="AF186">
        <f>IF(metadata!F186="",FALSE,TRUE)</f>
        <v>0</v>
      </c>
      <c r="AG186">
        <f>IF(metadata!G186="",FALSE,TRUE)</f>
        <v>0</v>
      </c>
      <c r="AH186">
        <f>IF(metadata!H186="",FALSE,TRUE)</f>
        <v>0</v>
      </c>
      <c r="AI186">
        <f>OR(AND(IF(metadata!I186="",FALSE,TRUE),OR(exact(metadata!I186,"missing: not collected"),exact(metadata!I186,"missing: not provided"),exact(metadata!I186,"missing: restricted access"))),AND(IF(metadata!I186="",FALSE,TRUE),OR(exact(metadata!I186,"air"),exact(metadata!I186,"built environment"),exact(metadata!I186,"host-associated"),exact(metadata!I186,"human-associated"),exact(metadata!I186,"human-skin"),exact(metadata!I186,"human-oral"),exact(metadata!I186,"human-gut"),exact(metadata!I186,"human-vaginal"),exact(metadata!I186,"microbial mat/biofilm"),exact(metadata!I186,"misc environment"),exact(metadata!I186,"plant-associated"),exact(metadata!I186,"sediment"),exact(metadata!I186,"soil"),exact(metadata!I186,"wastewater/sludge"),exact(metadata!I186,"water"))))</f>
        <v>0</v>
      </c>
      <c r="AJ186">
        <f>IF(metadata!J186="",FALSE,TRUE)</f>
        <v>0</v>
      </c>
      <c r="AK186">
        <f>OR(AND(IF(metadata!K186="",FALSE,TRUE),OR(exact(metadata!K186,"missing: not collected"),exact(metadata!K186,"missing: not provided"),exact(metadata!K186,"missing: restricted access"))),AND(IF(metadata!K186="",FALSE,ISNUMBER(VALUE(metadata!K186))),metadata!K186&gt;=-90.00,metadata!K186&lt;=90.00))</f>
        <v>0</v>
      </c>
      <c r="AL186">
        <f>OR(AND(IF(metadata!L186="",FALSE,TRUE),OR(exact(metadata!L186,"missing: not collected"),exact(metadata!L186,"missing: not provided"),exact(metadata!L186,"missing: restricted access"))),AND(IF(metadata!L186="",FALSE,ISNUMBER(VALUE(metadata!L186))),metadata!L186&gt;=-180.00,metadata!L186&lt;=180.00))</f>
        <v>0</v>
      </c>
      <c r="AM186">
        <f>IF(metadata!M186="",FALSE,TRUE)</f>
        <v>0</v>
      </c>
      <c r="AN186">
        <f>OR(AND(IF(metadata!N186="",FALSE,TRUE),OR(exact(metadata!N186,"missing: not collected"),exact(metadata!N186,"missing: not provided"),exact(metadata!N186,"missing: restricted access"))),AND(IF(metadata!N186="",FALSE,TRUE),OR(exact(metadata!N186,"TRUE"),exact(metadata!N186,"FALSE"))))</f>
        <v>0</v>
      </c>
      <c r="AO186">
        <f>IF(metadata!O186="",FALSE,TRUE)</f>
        <v>0</v>
      </c>
      <c r="AP186">
        <f>OR(AND(IF(metadata!P186="",FALSE,TRUE),OR(exact(metadata!P186,"missing: not collected"),exact(metadata!P186,"missing: not provided"))),AND(IF(metadata!P186="",FALSE,IF(ISERROR(INT(metadata!P186)),FALSE,INT(metadata!P186)=metadata!P186)),metadata!P186&gt;0))</f>
        <v>0</v>
      </c>
      <c r="AQ186">
        <f>IF(metadata!Q186="",FALSE,TRUE)</f>
        <v>0</v>
      </c>
    </row>
    <row r="187" spans="1:43">
      <c r="A187" s="5">
        <f>IF(B187=" "," ",HYPERLINK(CONCATENATE("#metadata!",ADDRESS(INDEX($W$2:$W$1001,MATCH(ROWS($U$2:U187),$U$2:$U$1001,0),0),1)),INDEX($Z$2:$Z$1001,MATCH(ROWS($U$2:U187),$U$2:$U$1001,0),0)))</f>
        <v>0</v>
      </c>
      <c r="B187" s="4">
        <f>IF(OR(INDEX($V$2:$V$1001,MATCH(ROWS($U$2:U187),$U$2:$U$1001,0),1)&gt;=100000,INDEX($AB$1005:$AQ$1005,1,MATCH(COLUMNS($AB$1006:AB1006),$AB$1006:$AQ$1006,0))&gt;=100000), " ",IF(INDEX($AB$2:$AQ$1001,MATCH(ROWS($U$2:U187),$U$2:$U$1001,0),MATCH(COLUMNS($AB$1006:AB1006),$AB$1006:$AQ$1006,0)), HYPERLINK("#",""), HYPERLINK(CONCATENATE("#metadata!", ADDRESS(INDEX($W$2:$W$1001,MATCH(ROWS($U$2:U187),$U$2:$U$1001,0),0), INDEX($AB$1004:$AQ$1004,1,MATCH(COLUMNS($AB$1006:AB1006),$AB$1006:$AQ$1006,0)))),"Fix")))</f>
        <v>0</v>
      </c>
      <c r="C187" s="4">
        <f>IF(OR(INDEX($V$2:$V$1001,MATCH(ROWS($U$2:U187),$U$2:$U$1001,0),1)&gt;=100000,INDEX($AB$1005:$AQ$1005,1,MATCH(COLUMNS($AB$1006:AC1006),$AB$1006:$AQ$1006,0))&gt;=100000), " ",IF(INDEX($AB$2:$AQ$1001,MATCH(ROWS($U$2:U187),$U$2:$U$1001,0),MATCH(COLUMNS($AB$1006:AC1006),$AB$1006:$AQ$1006,0)), HYPERLINK("#",""), HYPERLINK(CONCATENATE("#metadata!", ADDRESS(INDEX($W$2:$W$1001,MATCH(ROWS($U$2:U187),$U$2:$U$1001,0),0), INDEX($AB$1004:$AQ$1004,1,MATCH(COLUMNS($AB$1006:AC1006),$AB$1006:$AQ$1006,0)))),"Fix")))</f>
        <v>0</v>
      </c>
      <c r="D187" s="4">
        <f>IF(OR(INDEX($V$2:$V$1001,MATCH(ROWS($U$2:U187),$U$2:$U$1001,0),1)&gt;=100000,INDEX($AB$1005:$AQ$1005,1,MATCH(COLUMNS($AB$1006:AD1006),$AB$1006:$AQ$1006,0))&gt;=100000), " ",IF(INDEX($AB$2:$AQ$1001,MATCH(ROWS($U$2:U187),$U$2:$U$1001,0),MATCH(COLUMNS($AB$1006:AD1006),$AB$1006:$AQ$1006,0)), HYPERLINK("#",""), HYPERLINK(CONCATENATE("#metadata!", ADDRESS(INDEX($W$2:$W$1001,MATCH(ROWS($U$2:U187),$U$2:$U$1001,0),0), INDEX($AB$1004:$AQ$1004,1,MATCH(COLUMNS($AB$1006:AD1006),$AB$1006:$AQ$1006,0)))),"Fix")))</f>
        <v>0</v>
      </c>
      <c r="E187" s="4">
        <f>IF(OR(INDEX($V$2:$V$1001,MATCH(ROWS($U$2:U187),$U$2:$U$1001,0),1)&gt;=100000,INDEX($AB$1005:$AQ$1005,1,MATCH(COLUMNS($AB$1006:AE1006),$AB$1006:$AQ$1006,0))&gt;=100000), " ",IF(INDEX($AB$2:$AQ$1001,MATCH(ROWS($U$2:U187),$U$2:$U$1001,0),MATCH(COLUMNS($AB$1006:AE1006),$AB$1006:$AQ$1006,0)), HYPERLINK("#",""), HYPERLINK(CONCATENATE("#metadata!", ADDRESS(INDEX($W$2:$W$1001,MATCH(ROWS($U$2:U187),$U$2:$U$1001,0),0), INDEX($AB$1004:$AQ$1004,1,MATCH(COLUMNS($AB$1006:AE1006),$AB$1006:$AQ$1006,0)))),"Fix")))</f>
        <v>0</v>
      </c>
      <c r="F187" s="4">
        <f>IF(OR(INDEX($V$2:$V$1001,MATCH(ROWS($U$2:U187),$U$2:$U$1001,0),1)&gt;=100000,INDEX($AB$1005:$AQ$1005,1,MATCH(COLUMNS($AB$1006:AF1006),$AB$1006:$AQ$1006,0))&gt;=100000), " ",IF(INDEX($AB$2:$AQ$1001,MATCH(ROWS($U$2:U187),$U$2:$U$1001,0),MATCH(COLUMNS($AB$1006:AF1006),$AB$1006:$AQ$1006,0)), HYPERLINK("#",""), HYPERLINK(CONCATENATE("#metadata!", ADDRESS(INDEX($W$2:$W$1001,MATCH(ROWS($U$2:U187),$U$2:$U$1001,0),0), INDEX($AB$1004:$AQ$1004,1,MATCH(COLUMNS($AB$1006:AF1006),$AB$1006:$AQ$1006,0)))),"Fix")))</f>
        <v>0</v>
      </c>
      <c r="G187" s="4">
        <f>IF(OR(INDEX($V$2:$V$1001,MATCH(ROWS($U$2:U187),$U$2:$U$1001,0),1)&gt;=100000,INDEX($AB$1005:$AQ$1005,1,MATCH(COLUMNS($AB$1006:AG1006),$AB$1006:$AQ$1006,0))&gt;=100000), " ",IF(INDEX($AB$2:$AQ$1001,MATCH(ROWS($U$2:U187),$U$2:$U$1001,0),MATCH(COLUMNS($AB$1006:AG1006),$AB$1006:$AQ$1006,0)), HYPERLINK("#",""), HYPERLINK(CONCATENATE("#metadata!", ADDRESS(INDEX($W$2:$W$1001,MATCH(ROWS($U$2:U187),$U$2:$U$1001,0),0), INDEX($AB$1004:$AQ$1004,1,MATCH(COLUMNS($AB$1006:AG1006),$AB$1006:$AQ$1006,0)))),"Fix")))</f>
        <v>0</v>
      </c>
      <c r="H187" s="4">
        <f>IF(OR(INDEX($V$2:$V$1001,MATCH(ROWS($U$2:U187),$U$2:$U$1001,0),1)&gt;=100000,INDEX($AB$1005:$AQ$1005,1,MATCH(COLUMNS($AB$1006:AH1006),$AB$1006:$AQ$1006,0))&gt;=100000), " ",IF(INDEX($AB$2:$AQ$1001,MATCH(ROWS($U$2:U187),$U$2:$U$1001,0),MATCH(COLUMNS($AB$1006:AH1006),$AB$1006:$AQ$1006,0)), HYPERLINK("#",""), HYPERLINK(CONCATENATE("#metadata!", ADDRESS(INDEX($W$2:$W$1001,MATCH(ROWS($U$2:U187),$U$2:$U$1001,0),0), INDEX($AB$1004:$AQ$1004,1,MATCH(COLUMNS($AB$1006:AH1006),$AB$1006:$AQ$1006,0)))),"Fix")))</f>
        <v>0</v>
      </c>
      <c r="I187" s="4">
        <f>IF(OR(INDEX($V$2:$V$1001,MATCH(ROWS($U$2:U187),$U$2:$U$1001,0),1)&gt;=100000,INDEX($AB$1005:$AQ$1005,1,MATCH(COLUMNS($AB$1006:AI1006),$AB$1006:$AQ$1006,0))&gt;=100000), " ",IF(INDEX($AB$2:$AQ$1001,MATCH(ROWS($U$2:U187),$U$2:$U$1001,0),MATCH(COLUMNS($AB$1006:AI1006),$AB$1006:$AQ$1006,0)), HYPERLINK("#",""), HYPERLINK(CONCATENATE("#metadata!", ADDRESS(INDEX($W$2:$W$1001,MATCH(ROWS($U$2:U187),$U$2:$U$1001,0),0), INDEX($AB$1004:$AQ$1004,1,MATCH(COLUMNS($AB$1006:AI1006),$AB$1006:$AQ$1006,0)))),"Fix")))</f>
        <v>0</v>
      </c>
      <c r="J187" s="4">
        <f>IF(OR(INDEX($V$2:$V$1001,MATCH(ROWS($U$2:U187),$U$2:$U$1001,0),1)&gt;=100000,INDEX($AB$1005:$AQ$1005,1,MATCH(COLUMNS($AB$1006:AJ1006),$AB$1006:$AQ$1006,0))&gt;=100000), " ",IF(INDEX($AB$2:$AQ$1001,MATCH(ROWS($U$2:U187),$U$2:$U$1001,0),MATCH(COLUMNS($AB$1006:AJ1006),$AB$1006:$AQ$1006,0)), HYPERLINK("#",""), HYPERLINK(CONCATENATE("#metadata!", ADDRESS(INDEX($W$2:$W$1001,MATCH(ROWS($U$2:U187),$U$2:$U$1001,0),0), INDEX($AB$1004:$AQ$1004,1,MATCH(COLUMNS($AB$1006:AJ1006),$AB$1006:$AQ$1006,0)))),"Fix")))</f>
        <v>0</v>
      </c>
      <c r="K187" s="4">
        <f>IF(OR(INDEX($V$2:$V$1001,MATCH(ROWS($U$2:U187),$U$2:$U$1001,0),1)&gt;=100000,INDEX($AB$1005:$AQ$1005,1,MATCH(COLUMNS($AB$1006:AK1006),$AB$1006:$AQ$1006,0))&gt;=100000), " ",IF(INDEX($AB$2:$AQ$1001,MATCH(ROWS($U$2:U187),$U$2:$U$1001,0),MATCH(COLUMNS($AB$1006:AK1006),$AB$1006:$AQ$1006,0)), HYPERLINK("#",""), HYPERLINK(CONCATENATE("#metadata!", ADDRESS(INDEX($W$2:$W$1001,MATCH(ROWS($U$2:U187),$U$2:$U$1001,0),0), INDEX($AB$1004:$AQ$1004,1,MATCH(COLUMNS($AB$1006:AK1006),$AB$1006:$AQ$1006,0)))),"Fix")))</f>
        <v>0</v>
      </c>
      <c r="L187" s="4">
        <f>IF(OR(INDEX($V$2:$V$1001,MATCH(ROWS($U$2:U187),$U$2:$U$1001,0),1)&gt;=100000,INDEX($AB$1005:$AQ$1005,1,MATCH(COLUMNS($AB$1006:AL1006),$AB$1006:$AQ$1006,0))&gt;=100000), " ",IF(INDEX($AB$2:$AQ$1001,MATCH(ROWS($U$2:U187),$U$2:$U$1001,0),MATCH(COLUMNS($AB$1006:AL1006),$AB$1006:$AQ$1006,0)), HYPERLINK("#",""), HYPERLINK(CONCATENATE("#metadata!", ADDRESS(INDEX($W$2:$W$1001,MATCH(ROWS($U$2:U187),$U$2:$U$1001,0),0), INDEX($AB$1004:$AQ$1004,1,MATCH(COLUMNS($AB$1006:AL1006),$AB$1006:$AQ$1006,0)))),"Fix")))</f>
        <v>0</v>
      </c>
      <c r="M187" s="4">
        <f>IF(OR(INDEX($V$2:$V$1001,MATCH(ROWS($U$2:U187),$U$2:$U$1001,0),1)&gt;=100000,INDEX($AB$1005:$AQ$1005,1,MATCH(COLUMNS($AB$1006:AM1006),$AB$1006:$AQ$1006,0))&gt;=100000), " ",IF(INDEX($AB$2:$AQ$1001,MATCH(ROWS($U$2:U187),$U$2:$U$1001,0),MATCH(COLUMNS($AB$1006:AM1006),$AB$1006:$AQ$1006,0)), HYPERLINK("#",""), HYPERLINK(CONCATENATE("#metadata!", ADDRESS(INDEX($W$2:$W$1001,MATCH(ROWS($U$2:U187),$U$2:$U$1001,0),0), INDEX($AB$1004:$AQ$1004,1,MATCH(COLUMNS($AB$1006:AM1006),$AB$1006:$AQ$1006,0)))),"Fix")))</f>
        <v>0</v>
      </c>
      <c r="N187" s="4">
        <f>IF(OR(INDEX($V$2:$V$1001,MATCH(ROWS($U$2:U187),$U$2:$U$1001,0),1)&gt;=100000,INDEX($AB$1005:$AQ$1005,1,MATCH(COLUMNS($AB$1006:AN1006),$AB$1006:$AQ$1006,0))&gt;=100000), " ",IF(INDEX($AB$2:$AQ$1001,MATCH(ROWS($U$2:U187),$U$2:$U$1001,0),MATCH(COLUMNS($AB$1006:AN1006),$AB$1006:$AQ$1006,0)), HYPERLINK("#",""), HYPERLINK(CONCATENATE("#metadata!", ADDRESS(INDEX($W$2:$W$1001,MATCH(ROWS($U$2:U187),$U$2:$U$1001,0),0), INDEX($AB$1004:$AQ$1004,1,MATCH(COLUMNS($AB$1006:AN1006),$AB$1006:$AQ$1006,0)))),"Fix")))</f>
        <v>0</v>
      </c>
      <c r="O187" s="4">
        <f>IF(OR(INDEX($V$2:$V$1001,MATCH(ROWS($U$2:U187),$U$2:$U$1001,0),1)&gt;=100000,INDEX($AB$1005:$AQ$1005,1,MATCH(COLUMNS($AB$1006:AO1006),$AB$1006:$AQ$1006,0))&gt;=100000), " ",IF(INDEX($AB$2:$AQ$1001,MATCH(ROWS($U$2:U187),$U$2:$U$1001,0),MATCH(COLUMNS($AB$1006:AO1006),$AB$1006:$AQ$1006,0)), HYPERLINK("#",""), HYPERLINK(CONCATENATE("#metadata!", ADDRESS(INDEX($W$2:$W$1001,MATCH(ROWS($U$2:U187),$U$2:$U$1001,0),0), INDEX($AB$1004:$AQ$1004,1,MATCH(COLUMNS($AB$1006:AO1006),$AB$1006:$AQ$1006,0)))),"Fix")))</f>
        <v>0</v>
      </c>
      <c r="P187" s="4">
        <f>IF(OR(INDEX($V$2:$V$1001,MATCH(ROWS($U$2:U187),$U$2:$U$1001,0),1)&gt;=100000,INDEX($AB$1005:$AQ$1005,1,MATCH(COLUMNS($AB$1006:AP1006),$AB$1006:$AQ$1006,0))&gt;=100000), " ",IF(INDEX($AB$2:$AQ$1001,MATCH(ROWS($U$2:U187),$U$2:$U$1001,0),MATCH(COLUMNS($AB$1006:AP1006),$AB$1006:$AQ$1006,0)), HYPERLINK("#",""), HYPERLINK(CONCATENATE("#metadata!", ADDRESS(INDEX($W$2:$W$1001,MATCH(ROWS($U$2:U187),$U$2:$U$1001,0),0), INDEX($AB$1004:$AQ$1004,1,MATCH(COLUMNS($AB$1006:AP1006),$AB$1006:$AQ$1006,0)))),"Fix")))</f>
        <v>0</v>
      </c>
      <c r="Q187" s="4">
        <f>IF(OR(INDEX($V$2:$V$1001,MATCH(ROWS($U$2:U187),$U$2:$U$1001,0),1)&gt;=100000,INDEX($AB$1005:$AQ$1005,1,MATCH(COLUMNS($AB$1006:AQ1006),$AB$1006:$AQ$1006,0))&gt;=100000), " ",IF(INDEX($AB$2:$AQ$1001,MATCH(ROWS($U$2:U187),$U$2:$U$1001,0),MATCH(COLUMNS($AB$1006:AQ1006),$AB$1006:$AQ$1006,0)), HYPERLINK("#",""), HYPERLINK(CONCATENATE("#metadata!", ADDRESS(INDEX($W$2:$W$1001,MATCH(ROWS($U$2:U187),$U$2:$U$1001,0),0), INDEX($AB$1004:$AQ$1004,1,MATCH(COLUMNS($AB$1006:AQ1006),$AB$1006:$AQ$1006,0)))),"Fix")))</f>
        <v>0</v>
      </c>
      <c r="U187">
        <v>0</v>
      </c>
      <c r="V187">
        <v>0</v>
      </c>
      <c r="W187">
        <v>0</v>
      </c>
      <c r="X187">
        <f>IF(Y187,TRUE,AND(AB187:AQ187))</f>
        <v>0</v>
      </c>
      <c r="Y187">
        <f>COUNTBLANK(metadata!B187:Q187)=COLUMNS(metadata!B187:Q187)</f>
        <v>0</v>
      </c>
      <c r="Z187">
        <v>0</v>
      </c>
      <c r="AB187">
        <f>AND(IF(metadata!B187="",FALSE,TRUE),COUNTIF(metadata!B:B, metadata!B187) = 1,NOT(ISERROR(SUMPRODUCT(SEARCH(MID(metadata!B187,ROW(INDIRECT("1:"&amp;LEN(metadata!B187))), 1),"0123456789abcdefghijklmnopqrstuvwxyzABCDEFGHIJKLMNOPQRSTUVWXYZ.")))))</f>
        <v>0</v>
      </c>
      <c r="AC187">
        <f>OR(AND(IF(metadata!C187="",FALSE,TRUE),OR(exact(metadata!C187,"missing: not collected"),exact(metadata!C187,"missing: not provided"),exact(metadata!C187,"missing: restricted access"))),AND(IF(metadata!C187="",FALSE,TRUE),AND(AND(IFERROR(INT(LEFT(metadata!C187,4))&gt;1900,FALSE),IFERROR(INT(LEFT(metadata!C187,4))&lt;=YEAR(NOW()),FALSE)), OR(MID(metadata!C187,5,1)="", AND(AND(MID(metadata!C187,5,1)="-",IFERROR(INT(MID(metadata!C187,6,1))&gt;=0,FALSE),IFERROR(INT(MID(metadata!C187,6,1))&lt;=1,FALSE),NOT(MID(metadata!C187,7,1)=""),IFERROR(INT(MID(metadata!C187,6,2))&gt;=1,FALSE),IFERROR(INT(MID(metadata!C187,6,2))&lt;=12,FALSE)), OR(MID(metadata!C187,8,1)="", AND(AND(MID(metadata!C187,8,1)="-",IFERROR(INT(MID(metadata!C187,9,1))&gt;=0,FALSE),IFERROR(INT(MID(metadata!C187,9,1))&lt;=3,FALSE),NOT(MID(metadata!C187,10,1)=""),IFERROR(INT(MID(metadata!C187,9,2))&gt;=1,FALSE),IFERROR(INT(MID(metadata!C187,9,2))&lt;=31,FALSE)), OR(MID(metadata!C187,11,1)="", AND(AND(MID(metadata!C187,11,1)=" ",IFERROR(INT(MID(metadata!C187,12,1))&gt;=0,FALSE),IFERROR(INT(MID(metadata!C187,12,1))&lt;=2,FALSE),NOT(MID(metadata!C187,13,1)=""),IFERROR(INT(MID(metadata!C187,12,2))&gt;=0,FALSE),IFERROR(INT(MID(metadata!C187,12,2))&lt;=23,FALSE)), OR(MID(metadata!C187,14,1)="", AND(AND(MID(metadata!C187,14,1)=":",IFERROR(INT(MID(metadata!C187,15,1))&gt;=0,FALSE),IFERROR(INT(MID(metadata!C187,15,1))&lt;=5,FALSE),NOT(MID(metadata!C187,16,1)=""),IFERROR(INT(MID(metadata!C187,15,2))&gt;=0,FALSE),IFERROR(INT(MID(metadata!C187,15,2))&lt;=59,FALSE)), OR(MID(metadata!C187,17,1)="", AND(AND(MID(metadata!C187,17,1)=":",IFERROR(INT(MID(metadata!C187,18,1))&gt;=0,FALSE),IFERROR(INT(MID(metadata!C187,18,1))&lt;=5,FALSE),NOT(MID(metadata!C187,19,1)=""),IFERROR(INT(MID(metadata!C187,18,2))&gt;=0,FALSE),IFERROR(INT(MID(metadata!C187,18,2))&lt;=59,FALSE)), LEN(metadata!C187)&lt;=19)))))))))))))</f>
        <v>0</v>
      </c>
      <c r="AD187">
        <f>IF(metadata!D187="",FALSE,TRUE)</f>
        <v>0</v>
      </c>
      <c r="AE187">
        <f>OR(AND(IF(metadata!E187="",FALSE,TRUE),OR(exact(metadata!E187,"missing: not collected"),exact(metadata!E187,"missing: not provided"))),AND(IF(metadata!E187="",FALSE,TRUE),OR(exact(metadata!E187,"TRUE"),exact(metadata!E187,"FALSE"))))</f>
        <v>0</v>
      </c>
      <c r="AF187">
        <f>IF(metadata!F187="",FALSE,TRUE)</f>
        <v>0</v>
      </c>
      <c r="AG187">
        <f>IF(metadata!G187="",FALSE,TRUE)</f>
        <v>0</v>
      </c>
      <c r="AH187">
        <f>IF(metadata!H187="",FALSE,TRUE)</f>
        <v>0</v>
      </c>
      <c r="AI187">
        <f>OR(AND(IF(metadata!I187="",FALSE,TRUE),OR(exact(metadata!I187,"missing: not collected"),exact(metadata!I187,"missing: not provided"),exact(metadata!I187,"missing: restricted access"))),AND(IF(metadata!I187="",FALSE,TRUE),OR(exact(metadata!I187,"air"),exact(metadata!I187,"built environment"),exact(metadata!I187,"host-associated"),exact(metadata!I187,"human-associated"),exact(metadata!I187,"human-skin"),exact(metadata!I187,"human-oral"),exact(metadata!I187,"human-gut"),exact(metadata!I187,"human-vaginal"),exact(metadata!I187,"microbial mat/biofilm"),exact(metadata!I187,"misc environment"),exact(metadata!I187,"plant-associated"),exact(metadata!I187,"sediment"),exact(metadata!I187,"soil"),exact(metadata!I187,"wastewater/sludge"),exact(metadata!I187,"water"))))</f>
        <v>0</v>
      </c>
      <c r="AJ187">
        <f>IF(metadata!J187="",FALSE,TRUE)</f>
        <v>0</v>
      </c>
      <c r="AK187">
        <f>OR(AND(IF(metadata!K187="",FALSE,TRUE),OR(exact(metadata!K187,"missing: not collected"),exact(metadata!K187,"missing: not provided"),exact(metadata!K187,"missing: restricted access"))),AND(IF(metadata!K187="",FALSE,ISNUMBER(VALUE(metadata!K187))),metadata!K187&gt;=-90.00,metadata!K187&lt;=90.00))</f>
        <v>0</v>
      </c>
      <c r="AL187">
        <f>OR(AND(IF(metadata!L187="",FALSE,TRUE),OR(exact(metadata!L187,"missing: not collected"),exact(metadata!L187,"missing: not provided"),exact(metadata!L187,"missing: restricted access"))),AND(IF(metadata!L187="",FALSE,ISNUMBER(VALUE(metadata!L187))),metadata!L187&gt;=-180.00,metadata!L187&lt;=180.00))</f>
        <v>0</v>
      </c>
      <c r="AM187">
        <f>IF(metadata!M187="",FALSE,TRUE)</f>
        <v>0</v>
      </c>
      <c r="AN187">
        <f>OR(AND(IF(metadata!N187="",FALSE,TRUE),OR(exact(metadata!N187,"missing: not collected"),exact(metadata!N187,"missing: not provided"),exact(metadata!N187,"missing: restricted access"))),AND(IF(metadata!N187="",FALSE,TRUE),OR(exact(metadata!N187,"TRUE"),exact(metadata!N187,"FALSE"))))</f>
        <v>0</v>
      </c>
      <c r="AO187">
        <f>IF(metadata!O187="",FALSE,TRUE)</f>
        <v>0</v>
      </c>
      <c r="AP187">
        <f>OR(AND(IF(metadata!P187="",FALSE,TRUE),OR(exact(metadata!P187,"missing: not collected"),exact(metadata!P187,"missing: not provided"))),AND(IF(metadata!P187="",FALSE,IF(ISERROR(INT(metadata!P187)),FALSE,INT(metadata!P187)=metadata!P187)),metadata!P187&gt;0))</f>
        <v>0</v>
      </c>
      <c r="AQ187">
        <f>IF(metadata!Q187="",FALSE,TRUE)</f>
        <v>0</v>
      </c>
    </row>
    <row r="188" spans="1:43">
      <c r="A188" s="5">
        <f>IF(B188=" "," ",HYPERLINK(CONCATENATE("#metadata!",ADDRESS(INDEX($W$2:$W$1001,MATCH(ROWS($U$2:U188),$U$2:$U$1001,0),0),1)),INDEX($Z$2:$Z$1001,MATCH(ROWS($U$2:U188),$U$2:$U$1001,0),0)))</f>
        <v>0</v>
      </c>
      <c r="B188" s="4">
        <f>IF(OR(INDEX($V$2:$V$1001,MATCH(ROWS($U$2:U188),$U$2:$U$1001,0),1)&gt;=100000,INDEX($AB$1005:$AQ$1005,1,MATCH(COLUMNS($AB$1006:AB1006),$AB$1006:$AQ$1006,0))&gt;=100000), " ",IF(INDEX($AB$2:$AQ$1001,MATCH(ROWS($U$2:U188),$U$2:$U$1001,0),MATCH(COLUMNS($AB$1006:AB1006),$AB$1006:$AQ$1006,0)), HYPERLINK("#",""), HYPERLINK(CONCATENATE("#metadata!", ADDRESS(INDEX($W$2:$W$1001,MATCH(ROWS($U$2:U188),$U$2:$U$1001,0),0), INDEX($AB$1004:$AQ$1004,1,MATCH(COLUMNS($AB$1006:AB1006),$AB$1006:$AQ$1006,0)))),"Fix")))</f>
        <v>0</v>
      </c>
      <c r="C188" s="4">
        <f>IF(OR(INDEX($V$2:$V$1001,MATCH(ROWS($U$2:U188),$U$2:$U$1001,0),1)&gt;=100000,INDEX($AB$1005:$AQ$1005,1,MATCH(COLUMNS($AB$1006:AC1006),$AB$1006:$AQ$1006,0))&gt;=100000), " ",IF(INDEX($AB$2:$AQ$1001,MATCH(ROWS($U$2:U188),$U$2:$U$1001,0),MATCH(COLUMNS($AB$1006:AC1006),$AB$1006:$AQ$1006,0)), HYPERLINK("#",""), HYPERLINK(CONCATENATE("#metadata!", ADDRESS(INDEX($W$2:$W$1001,MATCH(ROWS($U$2:U188),$U$2:$U$1001,0),0), INDEX($AB$1004:$AQ$1004,1,MATCH(COLUMNS($AB$1006:AC1006),$AB$1006:$AQ$1006,0)))),"Fix")))</f>
        <v>0</v>
      </c>
      <c r="D188" s="4">
        <f>IF(OR(INDEX($V$2:$V$1001,MATCH(ROWS($U$2:U188),$U$2:$U$1001,0),1)&gt;=100000,INDEX($AB$1005:$AQ$1005,1,MATCH(COLUMNS($AB$1006:AD1006),$AB$1006:$AQ$1006,0))&gt;=100000), " ",IF(INDEX($AB$2:$AQ$1001,MATCH(ROWS($U$2:U188),$U$2:$U$1001,0),MATCH(COLUMNS($AB$1006:AD1006),$AB$1006:$AQ$1006,0)), HYPERLINK("#",""), HYPERLINK(CONCATENATE("#metadata!", ADDRESS(INDEX($W$2:$W$1001,MATCH(ROWS($U$2:U188),$U$2:$U$1001,0),0), INDEX($AB$1004:$AQ$1004,1,MATCH(COLUMNS($AB$1006:AD1006),$AB$1006:$AQ$1006,0)))),"Fix")))</f>
        <v>0</v>
      </c>
      <c r="E188" s="4">
        <f>IF(OR(INDEX($V$2:$V$1001,MATCH(ROWS($U$2:U188),$U$2:$U$1001,0),1)&gt;=100000,INDEX($AB$1005:$AQ$1005,1,MATCH(COLUMNS($AB$1006:AE1006),$AB$1006:$AQ$1006,0))&gt;=100000), " ",IF(INDEX($AB$2:$AQ$1001,MATCH(ROWS($U$2:U188),$U$2:$U$1001,0),MATCH(COLUMNS($AB$1006:AE1006),$AB$1006:$AQ$1006,0)), HYPERLINK("#",""), HYPERLINK(CONCATENATE("#metadata!", ADDRESS(INDEX($W$2:$W$1001,MATCH(ROWS($U$2:U188),$U$2:$U$1001,0),0), INDEX($AB$1004:$AQ$1004,1,MATCH(COLUMNS($AB$1006:AE1006),$AB$1006:$AQ$1006,0)))),"Fix")))</f>
        <v>0</v>
      </c>
      <c r="F188" s="4">
        <f>IF(OR(INDEX($V$2:$V$1001,MATCH(ROWS($U$2:U188),$U$2:$U$1001,0),1)&gt;=100000,INDEX($AB$1005:$AQ$1005,1,MATCH(COLUMNS($AB$1006:AF1006),$AB$1006:$AQ$1006,0))&gt;=100000), " ",IF(INDEX($AB$2:$AQ$1001,MATCH(ROWS($U$2:U188),$U$2:$U$1001,0),MATCH(COLUMNS($AB$1006:AF1006),$AB$1006:$AQ$1006,0)), HYPERLINK("#",""), HYPERLINK(CONCATENATE("#metadata!", ADDRESS(INDEX($W$2:$W$1001,MATCH(ROWS($U$2:U188),$U$2:$U$1001,0),0), INDEX($AB$1004:$AQ$1004,1,MATCH(COLUMNS($AB$1006:AF1006),$AB$1006:$AQ$1006,0)))),"Fix")))</f>
        <v>0</v>
      </c>
      <c r="G188" s="4">
        <f>IF(OR(INDEX($V$2:$V$1001,MATCH(ROWS($U$2:U188),$U$2:$U$1001,0),1)&gt;=100000,INDEX($AB$1005:$AQ$1005,1,MATCH(COLUMNS($AB$1006:AG1006),$AB$1006:$AQ$1006,0))&gt;=100000), " ",IF(INDEX($AB$2:$AQ$1001,MATCH(ROWS($U$2:U188),$U$2:$U$1001,0),MATCH(COLUMNS($AB$1006:AG1006),$AB$1006:$AQ$1006,0)), HYPERLINK("#",""), HYPERLINK(CONCATENATE("#metadata!", ADDRESS(INDEX($W$2:$W$1001,MATCH(ROWS($U$2:U188),$U$2:$U$1001,0),0), INDEX($AB$1004:$AQ$1004,1,MATCH(COLUMNS($AB$1006:AG1006),$AB$1006:$AQ$1006,0)))),"Fix")))</f>
        <v>0</v>
      </c>
      <c r="H188" s="4">
        <f>IF(OR(INDEX($V$2:$V$1001,MATCH(ROWS($U$2:U188),$U$2:$U$1001,0),1)&gt;=100000,INDEX($AB$1005:$AQ$1005,1,MATCH(COLUMNS($AB$1006:AH1006),$AB$1006:$AQ$1006,0))&gt;=100000), " ",IF(INDEX($AB$2:$AQ$1001,MATCH(ROWS($U$2:U188),$U$2:$U$1001,0),MATCH(COLUMNS($AB$1006:AH1006),$AB$1006:$AQ$1006,0)), HYPERLINK("#",""), HYPERLINK(CONCATENATE("#metadata!", ADDRESS(INDEX($W$2:$W$1001,MATCH(ROWS($U$2:U188),$U$2:$U$1001,0),0), INDEX($AB$1004:$AQ$1004,1,MATCH(COLUMNS($AB$1006:AH1006),$AB$1006:$AQ$1006,0)))),"Fix")))</f>
        <v>0</v>
      </c>
      <c r="I188" s="4">
        <f>IF(OR(INDEX($V$2:$V$1001,MATCH(ROWS($U$2:U188),$U$2:$U$1001,0),1)&gt;=100000,INDEX($AB$1005:$AQ$1005,1,MATCH(COLUMNS($AB$1006:AI1006),$AB$1006:$AQ$1006,0))&gt;=100000), " ",IF(INDEX($AB$2:$AQ$1001,MATCH(ROWS($U$2:U188),$U$2:$U$1001,0),MATCH(COLUMNS($AB$1006:AI1006),$AB$1006:$AQ$1006,0)), HYPERLINK("#",""), HYPERLINK(CONCATENATE("#metadata!", ADDRESS(INDEX($W$2:$W$1001,MATCH(ROWS($U$2:U188),$U$2:$U$1001,0),0), INDEX($AB$1004:$AQ$1004,1,MATCH(COLUMNS($AB$1006:AI1006),$AB$1006:$AQ$1006,0)))),"Fix")))</f>
        <v>0</v>
      </c>
      <c r="J188" s="4">
        <f>IF(OR(INDEX($V$2:$V$1001,MATCH(ROWS($U$2:U188),$U$2:$U$1001,0),1)&gt;=100000,INDEX($AB$1005:$AQ$1005,1,MATCH(COLUMNS($AB$1006:AJ1006),$AB$1006:$AQ$1006,0))&gt;=100000), " ",IF(INDEX($AB$2:$AQ$1001,MATCH(ROWS($U$2:U188),$U$2:$U$1001,0),MATCH(COLUMNS($AB$1006:AJ1006),$AB$1006:$AQ$1006,0)), HYPERLINK("#",""), HYPERLINK(CONCATENATE("#metadata!", ADDRESS(INDEX($W$2:$W$1001,MATCH(ROWS($U$2:U188),$U$2:$U$1001,0),0), INDEX($AB$1004:$AQ$1004,1,MATCH(COLUMNS($AB$1006:AJ1006),$AB$1006:$AQ$1006,0)))),"Fix")))</f>
        <v>0</v>
      </c>
      <c r="K188" s="4">
        <f>IF(OR(INDEX($V$2:$V$1001,MATCH(ROWS($U$2:U188),$U$2:$U$1001,0),1)&gt;=100000,INDEX($AB$1005:$AQ$1005,1,MATCH(COLUMNS($AB$1006:AK1006),$AB$1006:$AQ$1006,0))&gt;=100000), " ",IF(INDEX($AB$2:$AQ$1001,MATCH(ROWS($U$2:U188),$U$2:$U$1001,0),MATCH(COLUMNS($AB$1006:AK1006),$AB$1006:$AQ$1006,0)), HYPERLINK("#",""), HYPERLINK(CONCATENATE("#metadata!", ADDRESS(INDEX($W$2:$W$1001,MATCH(ROWS($U$2:U188),$U$2:$U$1001,0),0), INDEX($AB$1004:$AQ$1004,1,MATCH(COLUMNS($AB$1006:AK1006),$AB$1006:$AQ$1006,0)))),"Fix")))</f>
        <v>0</v>
      </c>
      <c r="L188" s="4">
        <f>IF(OR(INDEX($V$2:$V$1001,MATCH(ROWS($U$2:U188),$U$2:$U$1001,0),1)&gt;=100000,INDEX($AB$1005:$AQ$1005,1,MATCH(COLUMNS($AB$1006:AL1006),$AB$1006:$AQ$1006,0))&gt;=100000), " ",IF(INDEX($AB$2:$AQ$1001,MATCH(ROWS($U$2:U188),$U$2:$U$1001,0),MATCH(COLUMNS($AB$1006:AL1006),$AB$1006:$AQ$1006,0)), HYPERLINK("#",""), HYPERLINK(CONCATENATE("#metadata!", ADDRESS(INDEX($W$2:$W$1001,MATCH(ROWS($U$2:U188),$U$2:$U$1001,0),0), INDEX($AB$1004:$AQ$1004,1,MATCH(COLUMNS($AB$1006:AL1006),$AB$1006:$AQ$1006,0)))),"Fix")))</f>
        <v>0</v>
      </c>
      <c r="M188" s="4">
        <f>IF(OR(INDEX($V$2:$V$1001,MATCH(ROWS($U$2:U188),$U$2:$U$1001,0),1)&gt;=100000,INDEX($AB$1005:$AQ$1005,1,MATCH(COLUMNS($AB$1006:AM1006),$AB$1006:$AQ$1006,0))&gt;=100000), " ",IF(INDEX($AB$2:$AQ$1001,MATCH(ROWS($U$2:U188),$U$2:$U$1001,0),MATCH(COLUMNS($AB$1006:AM1006),$AB$1006:$AQ$1006,0)), HYPERLINK("#",""), HYPERLINK(CONCATENATE("#metadata!", ADDRESS(INDEX($W$2:$W$1001,MATCH(ROWS($U$2:U188),$U$2:$U$1001,0),0), INDEX($AB$1004:$AQ$1004,1,MATCH(COLUMNS($AB$1006:AM1006),$AB$1006:$AQ$1006,0)))),"Fix")))</f>
        <v>0</v>
      </c>
      <c r="N188" s="4">
        <f>IF(OR(INDEX($V$2:$V$1001,MATCH(ROWS($U$2:U188),$U$2:$U$1001,0),1)&gt;=100000,INDEX($AB$1005:$AQ$1005,1,MATCH(COLUMNS($AB$1006:AN1006),$AB$1006:$AQ$1006,0))&gt;=100000), " ",IF(INDEX($AB$2:$AQ$1001,MATCH(ROWS($U$2:U188),$U$2:$U$1001,0),MATCH(COLUMNS($AB$1006:AN1006),$AB$1006:$AQ$1006,0)), HYPERLINK("#",""), HYPERLINK(CONCATENATE("#metadata!", ADDRESS(INDEX($W$2:$W$1001,MATCH(ROWS($U$2:U188),$U$2:$U$1001,0),0), INDEX($AB$1004:$AQ$1004,1,MATCH(COLUMNS($AB$1006:AN1006),$AB$1006:$AQ$1006,0)))),"Fix")))</f>
        <v>0</v>
      </c>
      <c r="O188" s="4">
        <f>IF(OR(INDEX($V$2:$V$1001,MATCH(ROWS($U$2:U188),$U$2:$U$1001,0),1)&gt;=100000,INDEX($AB$1005:$AQ$1005,1,MATCH(COLUMNS($AB$1006:AO1006),$AB$1006:$AQ$1006,0))&gt;=100000), " ",IF(INDEX($AB$2:$AQ$1001,MATCH(ROWS($U$2:U188),$U$2:$U$1001,0),MATCH(COLUMNS($AB$1006:AO1006),$AB$1006:$AQ$1006,0)), HYPERLINK("#",""), HYPERLINK(CONCATENATE("#metadata!", ADDRESS(INDEX($W$2:$W$1001,MATCH(ROWS($U$2:U188),$U$2:$U$1001,0),0), INDEX($AB$1004:$AQ$1004,1,MATCH(COLUMNS($AB$1006:AO1006),$AB$1006:$AQ$1006,0)))),"Fix")))</f>
        <v>0</v>
      </c>
      <c r="P188" s="4">
        <f>IF(OR(INDEX($V$2:$V$1001,MATCH(ROWS($U$2:U188),$U$2:$U$1001,0),1)&gt;=100000,INDEX($AB$1005:$AQ$1005,1,MATCH(COLUMNS($AB$1006:AP1006),$AB$1006:$AQ$1006,0))&gt;=100000), " ",IF(INDEX($AB$2:$AQ$1001,MATCH(ROWS($U$2:U188),$U$2:$U$1001,0),MATCH(COLUMNS($AB$1006:AP1006),$AB$1006:$AQ$1006,0)), HYPERLINK("#",""), HYPERLINK(CONCATENATE("#metadata!", ADDRESS(INDEX($W$2:$W$1001,MATCH(ROWS($U$2:U188),$U$2:$U$1001,0),0), INDEX($AB$1004:$AQ$1004,1,MATCH(COLUMNS($AB$1006:AP1006),$AB$1006:$AQ$1006,0)))),"Fix")))</f>
        <v>0</v>
      </c>
      <c r="Q188" s="4">
        <f>IF(OR(INDEX($V$2:$V$1001,MATCH(ROWS($U$2:U188),$U$2:$U$1001,0),1)&gt;=100000,INDEX($AB$1005:$AQ$1005,1,MATCH(COLUMNS($AB$1006:AQ1006),$AB$1006:$AQ$1006,0))&gt;=100000), " ",IF(INDEX($AB$2:$AQ$1001,MATCH(ROWS($U$2:U188),$U$2:$U$1001,0),MATCH(COLUMNS($AB$1006:AQ1006),$AB$1006:$AQ$1006,0)), HYPERLINK("#",""), HYPERLINK(CONCATENATE("#metadata!", ADDRESS(INDEX($W$2:$W$1001,MATCH(ROWS($U$2:U188),$U$2:$U$1001,0),0), INDEX($AB$1004:$AQ$1004,1,MATCH(COLUMNS($AB$1006:AQ1006),$AB$1006:$AQ$1006,0)))),"Fix")))</f>
        <v>0</v>
      </c>
      <c r="U188">
        <v>0</v>
      </c>
      <c r="V188">
        <v>0</v>
      </c>
      <c r="W188">
        <v>0</v>
      </c>
      <c r="X188">
        <f>IF(Y188,TRUE,AND(AB188:AQ188))</f>
        <v>0</v>
      </c>
      <c r="Y188">
        <f>COUNTBLANK(metadata!B188:Q188)=COLUMNS(metadata!B188:Q188)</f>
        <v>0</v>
      </c>
      <c r="Z188">
        <v>0</v>
      </c>
      <c r="AB188">
        <f>AND(IF(metadata!B188="",FALSE,TRUE),COUNTIF(metadata!B:B, metadata!B188) = 1,NOT(ISERROR(SUMPRODUCT(SEARCH(MID(metadata!B188,ROW(INDIRECT("1:"&amp;LEN(metadata!B188))), 1),"0123456789abcdefghijklmnopqrstuvwxyzABCDEFGHIJKLMNOPQRSTUVWXYZ.")))))</f>
        <v>0</v>
      </c>
      <c r="AC188">
        <f>OR(AND(IF(metadata!C188="",FALSE,TRUE),OR(exact(metadata!C188,"missing: not collected"),exact(metadata!C188,"missing: not provided"),exact(metadata!C188,"missing: restricted access"))),AND(IF(metadata!C188="",FALSE,TRUE),AND(AND(IFERROR(INT(LEFT(metadata!C188,4))&gt;1900,FALSE),IFERROR(INT(LEFT(metadata!C188,4))&lt;=YEAR(NOW()),FALSE)), OR(MID(metadata!C188,5,1)="", AND(AND(MID(metadata!C188,5,1)="-",IFERROR(INT(MID(metadata!C188,6,1))&gt;=0,FALSE),IFERROR(INT(MID(metadata!C188,6,1))&lt;=1,FALSE),NOT(MID(metadata!C188,7,1)=""),IFERROR(INT(MID(metadata!C188,6,2))&gt;=1,FALSE),IFERROR(INT(MID(metadata!C188,6,2))&lt;=12,FALSE)), OR(MID(metadata!C188,8,1)="", AND(AND(MID(metadata!C188,8,1)="-",IFERROR(INT(MID(metadata!C188,9,1))&gt;=0,FALSE),IFERROR(INT(MID(metadata!C188,9,1))&lt;=3,FALSE),NOT(MID(metadata!C188,10,1)=""),IFERROR(INT(MID(metadata!C188,9,2))&gt;=1,FALSE),IFERROR(INT(MID(metadata!C188,9,2))&lt;=31,FALSE)), OR(MID(metadata!C188,11,1)="", AND(AND(MID(metadata!C188,11,1)=" ",IFERROR(INT(MID(metadata!C188,12,1))&gt;=0,FALSE),IFERROR(INT(MID(metadata!C188,12,1))&lt;=2,FALSE),NOT(MID(metadata!C188,13,1)=""),IFERROR(INT(MID(metadata!C188,12,2))&gt;=0,FALSE),IFERROR(INT(MID(metadata!C188,12,2))&lt;=23,FALSE)), OR(MID(metadata!C188,14,1)="", AND(AND(MID(metadata!C188,14,1)=":",IFERROR(INT(MID(metadata!C188,15,1))&gt;=0,FALSE),IFERROR(INT(MID(metadata!C188,15,1))&lt;=5,FALSE),NOT(MID(metadata!C188,16,1)=""),IFERROR(INT(MID(metadata!C188,15,2))&gt;=0,FALSE),IFERROR(INT(MID(metadata!C188,15,2))&lt;=59,FALSE)), OR(MID(metadata!C188,17,1)="", AND(AND(MID(metadata!C188,17,1)=":",IFERROR(INT(MID(metadata!C188,18,1))&gt;=0,FALSE),IFERROR(INT(MID(metadata!C188,18,1))&lt;=5,FALSE),NOT(MID(metadata!C188,19,1)=""),IFERROR(INT(MID(metadata!C188,18,2))&gt;=0,FALSE),IFERROR(INT(MID(metadata!C188,18,2))&lt;=59,FALSE)), LEN(metadata!C188)&lt;=19)))))))))))))</f>
        <v>0</v>
      </c>
      <c r="AD188">
        <f>IF(metadata!D188="",FALSE,TRUE)</f>
        <v>0</v>
      </c>
      <c r="AE188">
        <f>OR(AND(IF(metadata!E188="",FALSE,TRUE),OR(exact(metadata!E188,"missing: not collected"),exact(metadata!E188,"missing: not provided"))),AND(IF(metadata!E188="",FALSE,TRUE),OR(exact(metadata!E188,"TRUE"),exact(metadata!E188,"FALSE"))))</f>
        <v>0</v>
      </c>
      <c r="AF188">
        <f>IF(metadata!F188="",FALSE,TRUE)</f>
        <v>0</v>
      </c>
      <c r="AG188">
        <f>IF(metadata!G188="",FALSE,TRUE)</f>
        <v>0</v>
      </c>
      <c r="AH188">
        <f>IF(metadata!H188="",FALSE,TRUE)</f>
        <v>0</v>
      </c>
      <c r="AI188">
        <f>OR(AND(IF(metadata!I188="",FALSE,TRUE),OR(exact(metadata!I188,"missing: not collected"),exact(metadata!I188,"missing: not provided"),exact(metadata!I188,"missing: restricted access"))),AND(IF(metadata!I188="",FALSE,TRUE),OR(exact(metadata!I188,"air"),exact(metadata!I188,"built environment"),exact(metadata!I188,"host-associated"),exact(metadata!I188,"human-associated"),exact(metadata!I188,"human-skin"),exact(metadata!I188,"human-oral"),exact(metadata!I188,"human-gut"),exact(metadata!I188,"human-vaginal"),exact(metadata!I188,"microbial mat/biofilm"),exact(metadata!I188,"misc environment"),exact(metadata!I188,"plant-associated"),exact(metadata!I188,"sediment"),exact(metadata!I188,"soil"),exact(metadata!I188,"wastewater/sludge"),exact(metadata!I188,"water"))))</f>
        <v>0</v>
      </c>
      <c r="AJ188">
        <f>IF(metadata!J188="",FALSE,TRUE)</f>
        <v>0</v>
      </c>
      <c r="AK188">
        <f>OR(AND(IF(metadata!K188="",FALSE,TRUE),OR(exact(metadata!K188,"missing: not collected"),exact(metadata!K188,"missing: not provided"),exact(metadata!K188,"missing: restricted access"))),AND(IF(metadata!K188="",FALSE,ISNUMBER(VALUE(metadata!K188))),metadata!K188&gt;=-90.00,metadata!K188&lt;=90.00))</f>
        <v>0</v>
      </c>
      <c r="AL188">
        <f>OR(AND(IF(metadata!L188="",FALSE,TRUE),OR(exact(metadata!L188,"missing: not collected"),exact(metadata!L188,"missing: not provided"),exact(metadata!L188,"missing: restricted access"))),AND(IF(metadata!L188="",FALSE,ISNUMBER(VALUE(metadata!L188))),metadata!L188&gt;=-180.00,metadata!L188&lt;=180.00))</f>
        <v>0</v>
      </c>
      <c r="AM188">
        <f>IF(metadata!M188="",FALSE,TRUE)</f>
        <v>0</v>
      </c>
      <c r="AN188">
        <f>OR(AND(IF(metadata!N188="",FALSE,TRUE),OR(exact(metadata!N188,"missing: not collected"),exact(metadata!N188,"missing: not provided"),exact(metadata!N188,"missing: restricted access"))),AND(IF(metadata!N188="",FALSE,TRUE),OR(exact(metadata!N188,"TRUE"),exact(metadata!N188,"FALSE"))))</f>
        <v>0</v>
      </c>
      <c r="AO188">
        <f>IF(metadata!O188="",FALSE,TRUE)</f>
        <v>0</v>
      </c>
      <c r="AP188">
        <f>OR(AND(IF(metadata!P188="",FALSE,TRUE),OR(exact(metadata!P188,"missing: not collected"),exact(metadata!P188,"missing: not provided"))),AND(IF(metadata!P188="",FALSE,IF(ISERROR(INT(metadata!P188)),FALSE,INT(metadata!P188)=metadata!P188)),metadata!P188&gt;0))</f>
        <v>0</v>
      </c>
      <c r="AQ188">
        <f>IF(metadata!Q188="",FALSE,TRUE)</f>
        <v>0</v>
      </c>
    </row>
    <row r="189" spans="1:43">
      <c r="A189" s="5">
        <f>IF(B189=" "," ",HYPERLINK(CONCATENATE("#metadata!",ADDRESS(INDEX($W$2:$W$1001,MATCH(ROWS($U$2:U189),$U$2:$U$1001,0),0),1)),INDEX($Z$2:$Z$1001,MATCH(ROWS($U$2:U189),$U$2:$U$1001,0),0)))</f>
        <v>0</v>
      </c>
      <c r="B189" s="4">
        <f>IF(OR(INDEX($V$2:$V$1001,MATCH(ROWS($U$2:U189),$U$2:$U$1001,0),1)&gt;=100000,INDEX($AB$1005:$AQ$1005,1,MATCH(COLUMNS($AB$1006:AB1006),$AB$1006:$AQ$1006,0))&gt;=100000), " ",IF(INDEX($AB$2:$AQ$1001,MATCH(ROWS($U$2:U189),$U$2:$U$1001,0),MATCH(COLUMNS($AB$1006:AB1006),$AB$1006:$AQ$1006,0)), HYPERLINK("#",""), HYPERLINK(CONCATENATE("#metadata!", ADDRESS(INDEX($W$2:$W$1001,MATCH(ROWS($U$2:U189),$U$2:$U$1001,0),0), INDEX($AB$1004:$AQ$1004,1,MATCH(COLUMNS($AB$1006:AB1006),$AB$1006:$AQ$1006,0)))),"Fix")))</f>
        <v>0</v>
      </c>
      <c r="C189" s="4">
        <f>IF(OR(INDEX($V$2:$V$1001,MATCH(ROWS($U$2:U189),$U$2:$U$1001,0),1)&gt;=100000,INDEX($AB$1005:$AQ$1005,1,MATCH(COLUMNS($AB$1006:AC1006),$AB$1006:$AQ$1006,0))&gt;=100000), " ",IF(INDEX($AB$2:$AQ$1001,MATCH(ROWS($U$2:U189),$U$2:$U$1001,0),MATCH(COLUMNS($AB$1006:AC1006),$AB$1006:$AQ$1006,0)), HYPERLINK("#",""), HYPERLINK(CONCATENATE("#metadata!", ADDRESS(INDEX($W$2:$W$1001,MATCH(ROWS($U$2:U189),$U$2:$U$1001,0),0), INDEX($AB$1004:$AQ$1004,1,MATCH(COLUMNS($AB$1006:AC1006),$AB$1006:$AQ$1006,0)))),"Fix")))</f>
        <v>0</v>
      </c>
      <c r="D189" s="4">
        <f>IF(OR(INDEX($V$2:$V$1001,MATCH(ROWS($U$2:U189),$U$2:$U$1001,0),1)&gt;=100000,INDEX($AB$1005:$AQ$1005,1,MATCH(COLUMNS($AB$1006:AD1006),$AB$1006:$AQ$1006,0))&gt;=100000), " ",IF(INDEX($AB$2:$AQ$1001,MATCH(ROWS($U$2:U189),$U$2:$U$1001,0),MATCH(COLUMNS($AB$1006:AD1006),$AB$1006:$AQ$1006,0)), HYPERLINK("#",""), HYPERLINK(CONCATENATE("#metadata!", ADDRESS(INDEX($W$2:$W$1001,MATCH(ROWS($U$2:U189),$U$2:$U$1001,0),0), INDEX($AB$1004:$AQ$1004,1,MATCH(COLUMNS($AB$1006:AD1006),$AB$1006:$AQ$1006,0)))),"Fix")))</f>
        <v>0</v>
      </c>
      <c r="E189" s="4">
        <f>IF(OR(INDEX($V$2:$V$1001,MATCH(ROWS($U$2:U189),$U$2:$U$1001,0),1)&gt;=100000,INDEX($AB$1005:$AQ$1005,1,MATCH(COLUMNS($AB$1006:AE1006),$AB$1006:$AQ$1006,0))&gt;=100000), " ",IF(INDEX($AB$2:$AQ$1001,MATCH(ROWS($U$2:U189),$U$2:$U$1001,0),MATCH(COLUMNS($AB$1006:AE1006),$AB$1006:$AQ$1006,0)), HYPERLINK("#",""), HYPERLINK(CONCATENATE("#metadata!", ADDRESS(INDEX($W$2:$W$1001,MATCH(ROWS($U$2:U189),$U$2:$U$1001,0),0), INDEX($AB$1004:$AQ$1004,1,MATCH(COLUMNS($AB$1006:AE1006),$AB$1006:$AQ$1006,0)))),"Fix")))</f>
        <v>0</v>
      </c>
      <c r="F189" s="4">
        <f>IF(OR(INDEX($V$2:$V$1001,MATCH(ROWS($U$2:U189),$U$2:$U$1001,0),1)&gt;=100000,INDEX($AB$1005:$AQ$1005,1,MATCH(COLUMNS($AB$1006:AF1006),$AB$1006:$AQ$1006,0))&gt;=100000), " ",IF(INDEX($AB$2:$AQ$1001,MATCH(ROWS($U$2:U189),$U$2:$U$1001,0),MATCH(COLUMNS($AB$1006:AF1006),$AB$1006:$AQ$1006,0)), HYPERLINK("#",""), HYPERLINK(CONCATENATE("#metadata!", ADDRESS(INDEX($W$2:$W$1001,MATCH(ROWS($U$2:U189),$U$2:$U$1001,0),0), INDEX($AB$1004:$AQ$1004,1,MATCH(COLUMNS($AB$1006:AF1006),$AB$1006:$AQ$1006,0)))),"Fix")))</f>
        <v>0</v>
      </c>
      <c r="G189" s="4">
        <f>IF(OR(INDEX($V$2:$V$1001,MATCH(ROWS($U$2:U189),$U$2:$U$1001,0),1)&gt;=100000,INDEX($AB$1005:$AQ$1005,1,MATCH(COLUMNS($AB$1006:AG1006),$AB$1006:$AQ$1006,0))&gt;=100000), " ",IF(INDEX($AB$2:$AQ$1001,MATCH(ROWS($U$2:U189),$U$2:$U$1001,0),MATCH(COLUMNS($AB$1006:AG1006),$AB$1006:$AQ$1006,0)), HYPERLINK("#",""), HYPERLINK(CONCATENATE("#metadata!", ADDRESS(INDEX($W$2:$W$1001,MATCH(ROWS($U$2:U189),$U$2:$U$1001,0),0), INDEX($AB$1004:$AQ$1004,1,MATCH(COLUMNS($AB$1006:AG1006),$AB$1006:$AQ$1006,0)))),"Fix")))</f>
        <v>0</v>
      </c>
      <c r="H189" s="4">
        <f>IF(OR(INDEX($V$2:$V$1001,MATCH(ROWS($U$2:U189),$U$2:$U$1001,0),1)&gt;=100000,INDEX($AB$1005:$AQ$1005,1,MATCH(COLUMNS($AB$1006:AH1006),$AB$1006:$AQ$1006,0))&gt;=100000), " ",IF(INDEX($AB$2:$AQ$1001,MATCH(ROWS($U$2:U189),$U$2:$U$1001,0),MATCH(COLUMNS($AB$1006:AH1006),$AB$1006:$AQ$1006,0)), HYPERLINK("#",""), HYPERLINK(CONCATENATE("#metadata!", ADDRESS(INDEX($W$2:$W$1001,MATCH(ROWS($U$2:U189),$U$2:$U$1001,0),0), INDEX($AB$1004:$AQ$1004,1,MATCH(COLUMNS($AB$1006:AH1006),$AB$1006:$AQ$1006,0)))),"Fix")))</f>
        <v>0</v>
      </c>
      <c r="I189" s="4">
        <f>IF(OR(INDEX($V$2:$V$1001,MATCH(ROWS($U$2:U189),$U$2:$U$1001,0),1)&gt;=100000,INDEX($AB$1005:$AQ$1005,1,MATCH(COLUMNS($AB$1006:AI1006),$AB$1006:$AQ$1006,0))&gt;=100000), " ",IF(INDEX($AB$2:$AQ$1001,MATCH(ROWS($U$2:U189),$U$2:$U$1001,0),MATCH(COLUMNS($AB$1006:AI1006),$AB$1006:$AQ$1006,0)), HYPERLINK("#",""), HYPERLINK(CONCATENATE("#metadata!", ADDRESS(INDEX($W$2:$W$1001,MATCH(ROWS($U$2:U189),$U$2:$U$1001,0),0), INDEX($AB$1004:$AQ$1004,1,MATCH(COLUMNS($AB$1006:AI1006),$AB$1006:$AQ$1006,0)))),"Fix")))</f>
        <v>0</v>
      </c>
      <c r="J189" s="4">
        <f>IF(OR(INDEX($V$2:$V$1001,MATCH(ROWS($U$2:U189),$U$2:$U$1001,0),1)&gt;=100000,INDEX($AB$1005:$AQ$1005,1,MATCH(COLUMNS($AB$1006:AJ1006),$AB$1006:$AQ$1006,0))&gt;=100000), " ",IF(INDEX($AB$2:$AQ$1001,MATCH(ROWS($U$2:U189),$U$2:$U$1001,0),MATCH(COLUMNS($AB$1006:AJ1006),$AB$1006:$AQ$1006,0)), HYPERLINK("#",""), HYPERLINK(CONCATENATE("#metadata!", ADDRESS(INDEX($W$2:$W$1001,MATCH(ROWS($U$2:U189),$U$2:$U$1001,0),0), INDEX($AB$1004:$AQ$1004,1,MATCH(COLUMNS($AB$1006:AJ1006),$AB$1006:$AQ$1006,0)))),"Fix")))</f>
        <v>0</v>
      </c>
      <c r="K189" s="4">
        <f>IF(OR(INDEX($V$2:$V$1001,MATCH(ROWS($U$2:U189),$U$2:$U$1001,0),1)&gt;=100000,INDEX($AB$1005:$AQ$1005,1,MATCH(COLUMNS($AB$1006:AK1006),$AB$1006:$AQ$1006,0))&gt;=100000), " ",IF(INDEX($AB$2:$AQ$1001,MATCH(ROWS($U$2:U189),$U$2:$U$1001,0),MATCH(COLUMNS($AB$1006:AK1006),$AB$1006:$AQ$1006,0)), HYPERLINK("#",""), HYPERLINK(CONCATENATE("#metadata!", ADDRESS(INDEX($W$2:$W$1001,MATCH(ROWS($U$2:U189),$U$2:$U$1001,0),0), INDEX($AB$1004:$AQ$1004,1,MATCH(COLUMNS($AB$1006:AK1006),$AB$1006:$AQ$1006,0)))),"Fix")))</f>
        <v>0</v>
      </c>
      <c r="L189" s="4">
        <f>IF(OR(INDEX($V$2:$V$1001,MATCH(ROWS($U$2:U189),$U$2:$U$1001,0),1)&gt;=100000,INDEX($AB$1005:$AQ$1005,1,MATCH(COLUMNS($AB$1006:AL1006),$AB$1006:$AQ$1006,0))&gt;=100000), " ",IF(INDEX($AB$2:$AQ$1001,MATCH(ROWS($U$2:U189),$U$2:$U$1001,0),MATCH(COLUMNS($AB$1006:AL1006),$AB$1006:$AQ$1006,0)), HYPERLINK("#",""), HYPERLINK(CONCATENATE("#metadata!", ADDRESS(INDEX($W$2:$W$1001,MATCH(ROWS($U$2:U189),$U$2:$U$1001,0),0), INDEX($AB$1004:$AQ$1004,1,MATCH(COLUMNS($AB$1006:AL1006),$AB$1006:$AQ$1006,0)))),"Fix")))</f>
        <v>0</v>
      </c>
      <c r="M189" s="4">
        <f>IF(OR(INDEX($V$2:$V$1001,MATCH(ROWS($U$2:U189),$U$2:$U$1001,0),1)&gt;=100000,INDEX($AB$1005:$AQ$1005,1,MATCH(COLUMNS($AB$1006:AM1006),$AB$1006:$AQ$1006,0))&gt;=100000), " ",IF(INDEX($AB$2:$AQ$1001,MATCH(ROWS($U$2:U189),$U$2:$U$1001,0),MATCH(COLUMNS($AB$1006:AM1006),$AB$1006:$AQ$1006,0)), HYPERLINK("#",""), HYPERLINK(CONCATENATE("#metadata!", ADDRESS(INDEX($W$2:$W$1001,MATCH(ROWS($U$2:U189),$U$2:$U$1001,0),0), INDEX($AB$1004:$AQ$1004,1,MATCH(COLUMNS($AB$1006:AM1006),$AB$1006:$AQ$1006,0)))),"Fix")))</f>
        <v>0</v>
      </c>
      <c r="N189" s="4">
        <f>IF(OR(INDEX($V$2:$V$1001,MATCH(ROWS($U$2:U189),$U$2:$U$1001,0),1)&gt;=100000,INDEX($AB$1005:$AQ$1005,1,MATCH(COLUMNS($AB$1006:AN1006),$AB$1006:$AQ$1006,0))&gt;=100000), " ",IF(INDEX($AB$2:$AQ$1001,MATCH(ROWS($U$2:U189),$U$2:$U$1001,0),MATCH(COLUMNS($AB$1006:AN1006),$AB$1006:$AQ$1006,0)), HYPERLINK("#",""), HYPERLINK(CONCATENATE("#metadata!", ADDRESS(INDEX($W$2:$W$1001,MATCH(ROWS($U$2:U189),$U$2:$U$1001,0),0), INDEX($AB$1004:$AQ$1004,1,MATCH(COLUMNS($AB$1006:AN1006),$AB$1006:$AQ$1006,0)))),"Fix")))</f>
        <v>0</v>
      </c>
      <c r="O189" s="4">
        <f>IF(OR(INDEX($V$2:$V$1001,MATCH(ROWS($U$2:U189),$U$2:$U$1001,0),1)&gt;=100000,INDEX($AB$1005:$AQ$1005,1,MATCH(COLUMNS($AB$1006:AO1006),$AB$1006:$AQ$1006,0))&gt;=100000), " ",IF(INDEX($AB$2:$AQ$1001,MATCH(ROWS($U$2:U189),$U$2:$U$1001,0),MATCH(COLUMNS($AB$1006:AO1006),$AB$1006:$AQ$1006,0)), HYPERLINK("#",""), HYPERLINK(CONCATENATE("#metadata!", ADDRESS(INDEX($W$2:$W$1001,MATCH(ROWS($U$2:U189),$U$2:$U$1001,0),0), INDEX($AB$1004:$AQ$1004,1,MATCH(COLUMNS($AB$1006:AO1006),$AB$1006:$AQ$1006,0)))),"Fix")))</f>
        <v>0</v>
      </c>
      <c r="P189" s="4">
        <f>IF(OR(INDEX($V$2:$V$1001,MATCH(ROWS($U$2:U189),$U$2:$U$1001,0),1)&gt;=100000,INDEX($AB$1005:$AQ$1005,1,MATCH(COLUMNS($AB$1006:AP1006),$AB$1006:$AQ$1006,0))&gt;=100000), " ",IF(INDEX($AB$2:$AQ$1001,MATCH(ROWS($U$2:U189),$U$2:$U$1001,0),MATCH(COLUMNS($AB$1006:AP1006),$AB$1006:$AQ$1006,0)), HYPERLINK("#",""), HYPERLINK(CONCATENATE("#metadata!", ADDRESS(INDEX($W$2:$W$1001,MATCH(ROWS($U$2:U189),$U$2:$U$1001,0),0), INDEX($AB$1004:$AQ$1004,1,MATCH(COLUMNS($AB$1006:AP1006),$AB$1006:$AQ$1006,0)))),"Fix")))</f>
        <v>0</v>
      </c>
      <c r="Q189" s="4">
        <f>IF(OR(INDEX($V$2:$V$1001,MATCH(ROWS($U$2:U189),$U$2:$U$1001,0),1)&gt;=100000,INDEX($AB$1005:$AQ$1005,1,MATCH(COLUMNS($AB$1006:AQ1006),$AB$1006:$AQ$1006,0))&gt;=100000), " ",IF(INDEX($AB$2:$AQ$1001,MATCH(ROWS($U$2:U189),$U$2:$U$1001,0),MATCH(COLUMNS($AB$1006:AQ1006),$AB$1006:$AQ$1006,0)), HYPERLINK("#",""), HYPERLINK(CONCATENATE("#metadata!", ADDRESS(INDEX($W$2:$W$1001,MATCH(ROWS($U$2:U189),$U$2:$U$1001,0),0), INDEX($AB$1004:$AQ$1004,1,MATCH(COLUMNS($AB$1006:AQ1006),$AB$1006:$AQ$1006,0)))),"Fix")))</f>
        <v>0</v>
      </c>
      <c r="U189">
        <v>0</v>
      </c>
      <c r="V189">
        <v>0</v>
      </c>
      <c r="W189">
        <v>0</v>
      </c>
      <c r="X189">
        <f>IF(Y189,TRUE,AND(AB189:AQ189))</f>
        <v>0</v>
      </c>
      <c r="Y189">
        <f>COUNTBLANK(metadata!B189:Q189)=COLUMNS(metadata!B189:Q189)</f>
        <v>0</v>
      </c>
      <c r="Z189">
        <v>0</v>
      </c>
      <c r="AB189">
        <f>AND(IF(metadata!B189="",FALSE,TRUE),COUNTIF(metadata!B:B, metadata!B189) = 1,NOT(ISERROR(SUMPRODUCT(SEARCH(MID(metadata!B189,ROW(INDIRECT("1:"&amp;LEN(metadata!B189))), 1),"0123456789abcdefghijklmnopqrstuvwxyzABCDEFGHIJKLMNOPQRSTUVWXYZ.")))))</f>
        <v>0</v>
      </c>
      <c r="AC189">
        <f>OR(AND(IF(metadata!C189="",FALSE,TRUE),OR(exact(metadata!C189,"missing: not collected"),exact(metadata!C189,"missing: not provided"),exact(metadata!C189,"missing: restricted access"))),AND(IF(metadata!C189="",FALSE,TRUE),AND(AND(IFERROR(INT(LEFT(metadata!C189,4))&gt;1900,FALSE),IFERROR(INT(LEFT(metadata!C189,4))&lt;=YEAR(NOW()),FALSE)), OR(MID(metadata!C189,5,1)="", AND(AND(MID(metadata!C189,5,1)="-",IFERROR(INT(MID(metadata!C189,6,1))&gt;=0,FALSE),IFERROR(INT(MID(metadata!C189,6,1))&lt;=1,FALSE),NOT(MID(metadata!C189,7,1)=""),IFERROR(INT(MID(metadata!C189,6,2))&gt;=1,FALSE),IFERROR(INT(MID(metadata!C189,6,2))&lt;=12,FALSE)), OR(MID(metadata!C189,8,1)="", AND(AND(MID(metadata!C189,8,1)="-",IFERROR(INT(MID(metadata!C189,9,1))&gt;=0,FALSE),IFERROR(INT(MID(metadata!C189,9,1))&lt;=3,FALSE),NOT(MID(metadata!C189,10,1)=""),IFERROR(INT(MID(metadata!C189,9,2))&gt;=1,FALSE),IFERROR(INT(MID(metadata!C189,9,2))&lt;=31,FALSE)), OR(MID(metadata!C189,11,1)="", AND(AND(MID(metadata!C189,11,1)=" ",IFERROR(INT(MID(metadata!C189,12,1))&gt;=0,FALSE),IFERROR(INT(MID(metadata!C189,12,1))&lt;=2,FALSE),NOT(MID(metadata!C189,13,1)=""),IFERROR(INT(MID(metadata!C189,12,2))&gt;=0,FALSE),IFERROR(INT(MID(metadata!C189,12,2))&lt;=23,FALSE)), OR(MID(metadata!C189,14,1)="", AND(AND(MID(metadata!C189,14,1)=":",IFERROR(INT(MID(metadata!C189,15,1))&gt;=0,FALSE),IFERROR(INT(MID(metadata!C189,15,1))&lt;=5,FALSE),NOT(MID(metadata!C189,16,1)=""),IFERROR(INT(MID(metadata!C189,15,2))&gt;=0,FALSE),IFERROR(INT(MID(metadata!C189,15,2))&lt;=59,FALSE)), OR(MID(metadata!C189,17,1)="", AND(AND(MID(metadata!C189,17,1)=":",IFERROR(INT(MID(metadata!C189,18,1))&gt;=0,FALSE),IFERROR(INT(MID(metadata!C189,18,1))&lt;=5,FALSE),NOT(MID(metadata!C189,19,1)=""),IFERROR(INT(MID(metadata!C189,18,2))&gt;=0,FALSE),IFERROR(INT(MID(metadata!C189,18,2))&lt;=59,FALSE)), LEN(metadata!C189)&lt;=19)))))))))))))</f>
        <v>0</v>
      </c>
      <c r="AD189">
        <f>IF(metadata!D189="",FALSE,TRUE)</f>
        <v>0</v>
      </c>
      <c r="AE189">
        <f>OR(AND(IF(metadata!E189="",FALSE,TRUE),OR(exact(metadata!E189,"missing: not collected"),exact(metadata!E189,"missing: not provided"))),AND(IF(metadata!E189="",FALSE,TRUE),OR(exact(metadata!E189,"TRUE"),exact(metadata!E189,"FALSE"))))</f>
        <v>0</v>
      </c>
      <c r="AF189">
        <f>IF(metadata!F189="",FALSE,TRUE)</f>
        <v>0</v>
      </c>
      <c r="AG189">
        <f>IF(metadata!G189="",FALSE,TRUE)</f>
        <v>0</v>
      </c>
      <c r="AH189">
        <f>IF(metadata!H189="",FALSE,TRUE)</f>
        <v>0</v>
      </c>
      <c r="AI189">
        <f>OR(AND(IF(metadata!I189="",FALSE,TRUE),OR(exact(metadata!I189,"missing: not collected"),exact(metadata!I189,"missing: not provided"),exact(metadata!I189,"missing: restricted access"))),AND(IF(metadata!I189="",FALSE,TRUE),OR(exact(metadata!I189,"air"),exact(metadata!I189,"built environment"),exact(metadata!I189,"host-associated"),exact(metadata!I189,"human-associated"),exact(metadata!I189,"human-skin"),exact(metadata!I189,"human-oral"),exact(metadata!I189,"human-gut"),exact(metadata!I189,"human-vaginal"),exact(metadata!I189,"microbial mat/biofilm"),exact(metadata!I189,"misc environment"),exact(metadata!I189,"plant-associated"),exact(metadata!I189,"sediment"),exact(metadata!I189,"soil"),exact(metadata!I189,"wastewater/sludge"),exact(metadata!I189,"water"))))</f>
        <v>0</v>
      </c>
      <c r="AJ189">
        <f>IF(metadata!J189="",FALSE,TRUE)</f>
        <v>0</v>
      </c>
      <c r="AK189">
        <f>OR(AND(IF(metadata!K189="",FALSE,TRUE),OR(exact(metadata!K189,"missing: not collected"),exact(metadata!K189,"missing: not provided"),exact(metadata!K189,"missing: restricted access"))),AND(IF(metadata!K189="",FALSE,ISNUMBER(VALUE(metadata!K189))),metadata!K189&gt;=-90.00,metadata!K189&lt;=90.00))</f>
        <v>0</v>
      </c>
      <c r="AL189">
        <f>OR(AND(IF(metadata!L189="",FALSE,TRUE),OR(exact(metadata!L189,"missing: not collected"),exact(metadata!L189,"missing: not provided"),exact(metadata!L189,"missing: restricted access"))),AND(IF(metadata!L189="",FALSE,ISNUMBER(VALUE(metadata!L189))),metadata!L189&gt;=-180.00,metadata!L189&lt;=180.00))</f>
        <v>0</v>
      </c>
      <c r="AM189">
        <f>IF(metadata!M189="",FALSE,TRUE)</f>
        <v>0</v>
      </c>
      <c r="AN189">
        <f>OR(AND(IF(metadata!N189="",FALSE,TRUE),OR(exact(metadata!N189,"missing: not collected"),exact(metadata!N189,"missing: not provided"),exact(metadata!N189,"missing: restricted access"))),AND(IF(metadata!N189="",FALSE,TRUE),OR(exact(metadata!N189,"TRUE"),exact(metadata!N189,"FALSE"))))</f>
        <v>0</v>
      </c>
      <c r="AO189">
        <f>IF(metadata!O189="",FALSE,TRUE)</f>
        <v>0</v>
      </c>
      <c r="AP189">
        <f>OR(AND(IF(metadata!P189="",FALSE,TRUE),OR(exact(metadata!P189,"missing: not collected"),exact(metadata!P189,"missing: not provided"))),AND(IF(metadata!P189="",FALSE,IF(ISERROR(INT(metadata!P189)),FALSE,INT(metadata!P189)=metadata!P189)),metadata!P189&gt;0))</f>
        <v>0</v>
      </c>
      <c r="AQ189">
        <f>IF(metadata!Q189="",FALSE,TRUE)</f>
        <v>0</v>
      </c>
    </row>
    <row r="190" spans="1:43">
      <c r="A190" s="5">
        <f>IF(B190=" "," ",HYPERLINK(CONCATENATE("#metadata!",ADDRESS(INDEX($W$2:$W$1001,MATCH(ROWS($U$2:U190),$U$2:$U$1001,0),0),1)),INDEX($Z$2:$Z$1001,MATCH(ROWS($U$2:U190),$U$2:$U$1001,0),0)))</f>
        <v>0</v>
      </c>
      <c r="B190" s="4">
        <f>IF(OR(INDEX($V$2:$V$1001,MATCH(ROWS($U$2:U190),$U$2:$U$1001,0),1)&gt;=100000,INDEX($AB$1005:$AQ$1005,1,MATCH(COLUMNS($AB$1006:AB1006),$AB$1006:$AQ$1006,0))&gt;=100000), " ",IF(INDEX($AB$2:$AQ$1001,MATCH(ROWS($U$2:U190),$U$2:$U$1001,0),MATCH(COLUMNS($AB$1006:AB1006),$AB$1006:$AQ$1006,0)), HYPERLINK("#",""), HYPERLINK(CONCATENATE("#metadata!", ADDRESS(INDEX($W$2:$W$1001,MATCH(ROWS($U$2:U190),$U$2:$U$1001,0),0), INDEX($AB$1004:$AQ$1004,1,MATCH(COLUMNS($AB$1006:AB1006),$AB$1006:$AQ$1006,0)))),"Fix")))</f>
        <v>0</v>
      </c>
      <c r="C190" s="4">
        <f>IF(OR(INDEX($V$2:$V$1001,MATCH(ROWS($U$2:U190),$U$2:$U$1001,0),1)&gt;=100000,INDEX($AB$1005:$AQ$1005,1,MATCH(COLUMNS($AB$1006:AC1006),$AB$1006:$AQ$1006,0))&gt;=100000), " ",IF(INDEX($AB$2:$AQ$1001,MATCH(ROWS($U$2:U190),$U$2:$U$1001,0),MATCH(COLUMNS($AB$1006:AC1006),$AB$1006:$AQ$1006,0)), HYPERLINK("#",""), HYPERLINK(CONCATENATE("#metadata!", ADDRESS(INDEX($W$2:$W$1001,MATCH(ROWS($U$2:U190),$U$2:$U$1001,0),0), INDEX($AB$1004:$AQ$1004,1,MATCH(COLUMNS($AB$1006:AC1006),$AB$1006:$AQ$1006,0)))),"Fix")))</f>
        <v>0</v>
      </c>
      <c r="D190" s="4">
        <f>IF(OR(INDEX($V$2:$V$1001,MATCH(ROWS($U$2:U190),$U$2:$U$1001,0),1)&gt;=100000,INDEX($AB$1005:$AQ$1005,1,MATCH(COLUMNS($AB$1006:AD1006),$AB$1006:$AQ$1006,0))&gt;=100000), " ",IF(INDEX($AB$2:$AQ$1001,MATCH(ROWS($U$2:U190),$U$2:$U$1001,0),MATCH(COLUMNS($AB$1006:AD1006),$AB$1006:$AQ$1006,0)), HYPERLINK("#",""), HYPERLINK(CONCATENATE("#metadata!", ADDRESS(INDEX($W$2:$W$1001,MATCH(ROWS($U$2:U190),$U$2:$U$1001,0),0), INDEX($AB$1004:$AQ$1004,1,MATCH(COLUMNS($AB$1006:AD1006),$AB$1006:$AQ$1006,0)))),"Fix")))</f>
        <v>0</v>
      </c>
      <c r="E190" s="4">
        <f>IF(OR(INDEX($V$2:$V$1001,MATCH(ROWS($U$2:U190),$U$2:$U$1001,0),1)&gt;=100000,INDEX($AB$1005:$AQ$1005,1,MATCH(COLUMNS($AB$1006:AE1006),$AB$1006:$AQ$1006,0))&gt;=100000), " ",IF(INDEX($AB$2:$AQ$1001,MATCH(ROWS($U$2:U190),$U$2:$U$1001,0),MATCH(COLUMNS($AB$1006:AE1006),$AB$1006:$AQ$1006,0)), HYPERLINK("#",""), HYPERLINK(CONCATENATE("#metadata!", ADDRESS(INDEX($W$2:$W$1001,MATCH(ROWS($U$2:U190),$U$2:$U$1001,0),0), INDEX($AB$1004:$AQ$1004,1,MATCH(COLUMNS($AB$1006:AE1006),$AB$1006:$AQ$1006,0)))),"Fix")))</f>
        <v>0</v>
      </c>
      <c r="F190" s="4">
        <f>IF(OR(INDEX($V$2:$V$1001,MATCH(ROWS($U$2:U190),$U$2:$U$1001,0),1)&gt;=100000,INDEX($AB$1005:$AQ$1005,1,MATCH(COLUMNS($AB$1006:AF1006),$AB$1006:$AQ$1006,0))&gt;=100000), " ",IF(INDEX($AB$2:$AQ$1001,MATCH(ROWS($U$2:U190),$U$2:$U$1001,0),MATCH(COLUMNS($AB$1006:AF1006),$AB$1006:$AQ$1006,0)), HYPERLINK("#",""), HYPERLINK(CONCATENATE("#metadata!", ADDRESS(INDEX($W$2:$W$1001,MATCH(ROWS($U$2:U190),$U$2:$U$1001,0),0), INDEX($AB$1004:$AQ$1004,1,MATCH(COLUMNS($AB$1006:AF1006),$AB$1006:$AQ$1006,0)))),"Fix")))</f>
        <v>0</v>
      </c>
      <c r="G190" s="4">
        <f>IF(OR(INDEX($V$2:$V$1001,MATCH(ROWS($U$2:U190),$U$2:$U$1001,0),1)&gt;=100000,INDEX($AB$1005:$AQ$1005,1,MATCH(COLUMNS($AB$1006:AG1006),$AB$1006:$AQ$1006,0))&gt;=100000), " ",IF(INDEX($AB$2:$AQ$1001,MATCH(ROWS($U$2:U190),$U$2:$U$1001,0),MATCH(COLUMNS($AB$1006:AG1006),$AB$1006:$AQ$1006,0)), HYPERLINK("#",""), HYPERLINK(CONCATENATE("#metadata!", ADDRESS(INDEX($W$2:$W$1001,MATCH(ROWS($U$2:U190),$U$2:$U$1001,0),0), INDEX($AB$1004:$AQ$1004,1,MATCH(COLUMNS($AB$1006:AG1006),$AB$1006:$AQ$1006,0)))),"Fix")))</f>
        <v>0</v>
      </c>
      <c r="H190" s="4">
        <f>IF(OR(INDEX($V$2:$V$1001,MATCH(ROWS($U$2:U190),$U$2:$U$1001,0),1)&gt;=100000,INDEX($AB$1005:$AQ$1005,1,MATCH(COLUMNS($AB$1006:AH1006),$AB$1006:$AQ$1006,0))&gt;=100000), " ",IF(INDEX($AB$2:$AQ$1001,MATCH(ROWS($U$2:U190),$U$2:$U$1001,0),MATCH(COLUMNS($AB$1006:AH1006),$AB$1006:$AQ$1006,0)), HYPERLINK("#",""), HYPERLINK(CONCATENATE("#metadata!", ADDRESS(INDEX($W$2:$W$1001,MATCH(ROWS($U$2:U190),$U$2:$U$1001,0),0), INDEX($AB$1004:$AQ$1004,1,MATCH(COLUMNS($AB$1006:AH1006),$AB$1006:$AQ$1006,0)))),"Fix")))</f>
        <v>0</v>
      </c>
      <c r="I190" s="4">
        <f>IF(OR(INDEX($V$2:$V$1001,MATCH(ROWS($U$2:U190),$U$2:$U$1001,0),1)&gt;=100000,INDEX($AB$1005:$AQ$1005,1,MATCH(COLUMNS($AB$1006:AI1006),$AB$1006:$AQ$1006,0))&gt;=100000), " ",IF(INDEX($AB$2:$AQ$1001,MATCH(ROWS($U$2:U190),$U$2:$U$1001,0),MATCH(COLUMNS($AB$1006:AI1006),$AB$1006:$AQ$1006,0)), HYPERLINK("#",""), HYPERLINK(CONCATENATE("#metadata!", ADDRESS(INDEX($W$2:$W$1001,MATCH(ROWS($U$2:U190),$U$2:$U$1001,0),0), INDEX($AB$1004:$AQ$1004,1,MATCH(COLUMNS($AB$1006:AI1006),$AB$1006:$AQ$1006,0)))),"Fix")))</f>
        <v>0</v>
      </c>
      <c r="J190" s="4">
        <f>IF(OR(INDEX($V$2:$V$1001,MATCH(ROWS($U$2:U190),$U$2:$U$1001,0),1)&gt;=100000,INDEX($AB$1005:$AQ$1005,1,MATCH(COLUMNS($AB$1006:AJ1006),$AB$1006:$AQ$1006,0))&gt;=100000), " ",IF(INDEX($AB$2:$AQ$1001,MATCH(ROWS($U$2:U190),$U$2:$U$1001,0),MATCH(COLUMNS($AB$1006:AJ1006),$AB$1006:$AQ$1006,0)), HYPERLINK("#",""), HYPERLINK(CONCATENATE("#metadata!", ADDRESS(INDEX($W$2:$W$1001,MATCH(ROWS($U$2:U190),$U$2:$U$1001,0),0), INDEX($AB$1004:$AQ$1004,1,MATCH(COLUMNS($AB$1006:AJ1006),$AB$1006:$AQ$1006,0)))),"Fix")))</f>
        <v>0</v>
      </c>
      <c r="K190" s="4">
        <f>IF(OR(INDEX($V$2:$V$1001,MATCH(ROWS($U$2:U190),$U$2:$U$1001,0),1)&gt;=100000,INDEX($AB$1005:$AQ$1005,1,MATCH(COLUMNS($AB$1006:AK1006),$AB$1006:$AQ$1006,0))&gt;=100000), " ",IF(INDEX($AB$2:$AQ$1001,MATCH(ROWS($U$2:U190),$U$2:$U$1001,0),MATCH(COLUMNS($AB$1006:AK1006),$AB$1006:$AQ$1006,0)), HYPERLINK("#",""), HYPERLINK(CONCATENATE("#metadata!", ADDRESS(INDEX($W$2:$W$1001,MATCH(ROWS($U$2:U190),$U$2:$U$1001,0),0), INDEX($AB$1004:$AQ$1004,1,MATCH(COLUMNS($AB$1006:AK1006),$AB$1006:$AQ$1006,0)))),"Fix")))</f>
        <v>0</v>
      </c>
      <c r="L190" s="4">
        <f>IF(OR(INDEX($V$2:$V$1001,MATCH(ROWS($U$2:U190),$U$2:$U$1001,0),1)&gt;=100000,INDEX($AB$1005:$AQ$1005,1,MATCH(COLUMNS($AB$1006:AL1006),$AB$1006:$AQ$1006,0))&gt;=100000), " ",IF(INDEX($AB$2:$AQ$1001,MATCH(ROWS($U$2:U190),$U$2:$U$1001,0),MATCH(COLUMNS($AB$1006:AL1006),$AB$1006:$AQ$1006,0)), HYPERLINK("#",""), HYPERLINK(CONCATENATE("#metadata!", ADDRESS(INDEX($W$2:$W$1001,MATCH(ROWS($U$2:U190),$U$2:$U$1001,0),0), INDEX($AB$1004:$AQ$1004,1,MATCH(COLUMNS($AB$1006:AL1006),$AB$1006:$AQ$1006,0)))),"Fix")))</f>
        <v>0</v>
      </c>
      <c r="M190" s="4">
        <f>IF(OR(INDEX($V$2:$V$1001,MATCH(ROWS($U$2:U190),$U$2:$U$1001,0),1)&gt;=100000,INDEX($AB$1005:$AQ$1005,1,MATCH(COLUMNS($AB$1006:AM1006),$AB$1006:$AQ$1006,0))&gt;=100000), " ",IF(INDEX($AB$2:$AQ$1001,MATCH(ROWS($U$2:U190),$U$2:$U$1001,0),MATCH(COLUMNS($AB$1006:AM1006),$AB$1006:$AQ$1006,0)), HYPERLINK("#",""), HYPERLINK(CONCATENATE("#metadata!", ADDRESS(INDEX($W$2:$W$1001,MATCH(ROWS($U$2:U190),$U$2:$U$1001,0),0), INDEX($AB$1004:$AQ$1004,1,MATCH(COLUMNS($AB$1006:AM1006),$AB$1006:$AQ$1006,0)))),"Fix")))</f>
        <v>0</v>
      </c>
      <c r="N190" s="4">
        <f>IF(OR(INDEX($V$2:$V$1001,MATCH(ROWS($U$2:U190),$U$2:$U$1001,0),1)&gt;=100000,INDEX($AB$1005:$AQ$1005,1,MATCH(COLUMNS($AB$1006:AN1006),$AB$1006:$AQ$1006,0))&gt;=100000), " ",IF(INDEX($AB$2:$AQ$1001,MATCH(ROWS($U$2:U190),$U$2:$U$1001,0),MATCH(COLUMNS($AB$1006:AN1006),$AB$1006:$AQ$1006,0)), HYPERLINK("#",""), HYPERLINK(CONCATENATE("#metadata!", ADDRESS(INDEX($W$2:$W$1001,MATCH(ROWS($U$2:U190),$U$2:$U$1001,0),0), INDEX($AB$1004:$AQ$1004,1,MATCH(COLUMNS($AB$1006:AN1006),$AB$1006:$AQ$1006,0)))),"Fix")))</f>
        <v>0</v>
      </c>
      <c r="O190" s="4">
        <f>IF(OR(INDEX($V$2:$V$1001,MATCH(ROWS($U$2:U190),$U$2:$U$1001,0),1)&gt;=100000,INDEX($AB$1005:$AQ$1005,1,MATCH(COLUMNS($AB$1006:AO1006),$AB$1006:$AQ$1006,0))&gt;=100000), " ",IF(INDEX($AB$2:$AQ$1001,MATCH(ROWS($U$2:U190),$U$2:$U$1001,0),MATCH(COLUMNS($AB$1006:AO1006),$AB$1006:$AQ$1006,0)), HYPERLINK("#",""), HYPERLINK(CONCATENATE("#metadata!", ADDRESS(INDEX($W$2:$W$1001,MATCH(ROWS($U$2:U190),$U$2:$U$1001,0),0), INDEX($AB$1004:$AQ$1004,1,MATCH(COLUMNS($AB$1006:AO1006),$AB$1006:$AQ$1006,0)))),"Fix")))</f>
        <v>0</v>
      </c>
      <c r="P190" s="4">
        <f>IF(OR(INDEX($V$2:$V$1001,MATCH(ROWS($U$2:U190),$U$2:$U$1001,0),1)&gt;=100000,INDEX($AB$1005:$AQ$1005,1,MATCH(COLUMNS($AB$1006:AP1006),$AB$1006:$AQ$1006,0))&gt;=100000), " ",IF(INDEX($AB$2:$AQ$1001,MATCH(ROWS($U$2:U190),$U$2:$U$1001,0),MATCH(COLUMNS($AB$1006:AP1006),$AB$1006:$AQ$1006,0)), HYPERLINK("#",""), HYPERLINK(CONCATENATE("#metadata!", ADDRESS(INDEX($W$2:$W$1001,MATCH(ROWS($U$2:U190),$U$2:$U$1001,0),0), INDEX($AB$1004:$AQ$1004,1,MATCH(COLUMNS($AB$1006:AP1006),$AB$1006:$AQ$1006,0)))),"Fix")))</f>
        <v>0</v>
      </c>
      <c r="Q190" s="4">
        <f>IF(OR(INDEX($V$2:$V$1001,MATCH(ROWS($U$2:U190),$U$2:$U$1001,0),1)&gt;=100000,INDEX($AB$1005:$AQ$1005,1,MATCH(COLUMNS($AB$1006:AQ1006),$AB$1006:$AQ$1006,0))&gt;=100000), " ",IF(INDEX($AB$2:$AQ$1001,MATCH(ROWS($U$2:U190),$U$2:$U$1001,0),MATCH(COLUMNS($AB$1006:AQ1006),$AB$1006:$AQ$1006,0)), HYPERLINK("#",""), HYPERLINK(CONCATENATE("#metadata!", ADDRESS(INDEX($W$2:$W$1001,MATCH(ROWS($U$2:U190),$U$2:$U$1001,0),0), INDEX($AB$1004:$AQ$1004,1,MATCH(COLUMNS($AB$1006:AQ1006),$AB$1006:$AQ$1006,0)))),"Fix")))</f>
        <v>0</v>
      </c>
      <c r="U190">
        <v>0</v>
      </c>
      <c r="V190">
        <v>0</v>
      </c>
      <c r="W190">
        <v>0</v>
      </c>
      <c r="X190">
        <f>IF(Y190,TRUE,AND(AB190:AQ190))</f>
        <v>0</v>
      </c>
      <c r="Y190">
        <f>COUNTBLANK(metadata!B190:Q190)=COLUMNS(metadata!B190:Q190)</f>
        <v>0</v>
      </c>
      <c r="Z190">
        <v>0</v>
      </c>
      <c r="AB190">
        <f>AND(IF(metadata!B190="",FALSE,TRUE),COUNTIF(metadata!B:B, metadata!B190) = 1,NOT(ISERROR(SUMPRODUCT(SEARCH(MID(metadata!B190,ROW(INDIRECT("1:"&amp;LEN(metadata!B190))), 1),"0123456789abcdefghijklmnopqrstuvwxyzABCDEFGHIJKLMNOPQRSTUVWXYZ.")))))</f>
        <v>0</v>
      </c>
      <c r="AC190">
        <f>OR(AND(IF(metadata!C190="",FALSE,TRUE),OR(exact(metadata!C190,"missing: not collected"),exact(metadata!C190,"missing: not provided"),exact(metadata!C190,"missing: restricted access"))),AND(IF(metadata!C190="",FALSE,TRUE),AND(AND(IFERROR(INT(LEFT(metadata!C190,4))&gt;1900,FALSE),IFERROR(INT(LEFT(metadata!C190,4))&lt;=YEAR(NOW()),FALSE)), OR(MID(metadata!C190,5,1)="", AND(AND(MID(metadata!C190,5,1)="-",IFERROR(INT(MID(metadata!C190,6,1))&gt;=0,FALSE),IFERROR(INT(MID(metadata!C190,6,1))&lt;=1,FALSE),NOT(MID(metadata!C190,7,1)=""),IFERROR(INT(MID(metadata!C190,6,2))&gt;=1,FALSE),IFERROR(INT(MID(metadata!C190,6,2))&lt;=12,FALSE)), OR(MID(metadata!C190,8,1)="", AND(AND(MID(metadata!C190,8,1)="-",IFERROR(INT(MID(metadata!C190,9,1))&gt;=0,FALSE),IFERROR(INT(MID(metadata!C190,9,1))&lt;=3,FALSE),NOT(MID(metadata!C190,10,1)=""),IFERROR(INT(MID(metadata!C190,9,2))&gt;=1,FALSE),IFERROR(INT(MID(metadata!C190,9,2))&lt;=31,FALSE)), OR(MID(metadata!C190,11,1)="", AND(AND(MID(metadata!C190,11,1)=" ",IFERROR(INT(MID(metadata!C190,12,1))&gt;=0,FALSE),IFERROR(INT(MID(metadata!C190,12,1))&lt;=2,FALSE),NOT(MID(metadata!C190,13,1)=""),IFERROR(INT(MID(metadata!C190,12,2))&gt;=0,FALSE),IFERROR(INT(MID(metadata!C190,12,2))&lt;=23,FALSE)), OR(MID(metadata!C190,14,1)="", AND(AND(MID(metadata!C190,14,1)=":",IFERROR(INT(MID(metadata!C190,15,1))&gt;=0,FALSE),IFERROR(INT(MID(metadata!C190,15,1))&lt;=5,FALSE),NOT(MID(metadata!C190,16,1)=""),IFERROR(INT(MID(metadata!C190,15,2))&gt;=0,FALSE),IFERROR(INT(MID(metadata!C190,15,2))&lt;=59,FALSE)), OR(MID(metadata!C190,17,1)="", AND(AND(MID(metadata!C190,17,1)=":",IFERROR(INT(MID(metadata!C190,18,1))&gt;=0,FALSE),IFERROR(INT(MID(metadata!C190,18,1))&lt;=5,FALSE),NOT(MID(metadata!C190,19,1)=""),IFERROR(INT(MID(metadata!C190,18,2))&gt;=0,FALSE),IFERROR(INT(MID(metadata!C190,18,2))&lt;=59,FALSE)), LEN(metadata!C190)&lt;=19)))))))))))))</f>
        <v>0</v>
      </c>
      <c r="AD190">
        <f>IF(metadata!D190="",FALSE,TRUE)</f>
        <v>0</v>
      </c>
      <c r="AE190">
        <f>OR(AND(IF(metadata!E190="",FALSE,TRUE),OR(exact(metadata!E190,"missing: not collected"),exact(metadata!E190,"missing: not provided"))),AND(IF(metadata!E190="",FALSE,TRUE),OR(exact(metadata!E190,"TRUE"),exact(metadata!E190,"FALSE"))))</f>
        <v>0</v>
      </c>
      <c r="AF190">
        <f>IF(metadata!F190="",FALSE,TRUE)</f>
        <v>0</v>
      </c>
      <c r="AG190">
        <f>IF(metadata!G190="",FALSE,TRUE)</f>
        <v>0</v>
      </c>
      <c r="AH190">
        <f>IF(metadata!H190="",FALSE,TRUE)</f>
        <v>0</v>
      </c>
      <c r="AI190">
        <f>OR(AND(IF(metadata!I190="",FALSE,TRUE),OR(exact(metadata!I190,"missing: not collected"),exact(metadata!I190,"missing: not provided"),exact(metadata!I190,"missing: restricted access"))),AND(IF(metadata!I190="",FALSE,TRUE),OR(exact(metadata!I190,"air"),exact(metadata!I190,"built environment"),exact(metadata!I190,"host-associated"),exact(metadata!I190,"human-associated"),exact(metadata!I190,"human-skin"),exact(metadata!I190,"human-oral"),exact(metadata!I190,"human-gut"),exact(metadata!I190,"human-vaginal"),exact(metadata!I190,"microbial mat/biofilm"),exact(metadata!I190,"misc environment"),exact(metadata!I190,"plant-associated"),exact(metadata!I190,"sediment"),exact(metadata!I190,"soil"),exact(metadata!I190,"wastewater/sludge"),exact(metadata!I190,"water"))))</f>
        <v>0</v>
      </c>
      <c r="AJ190">
        <f>IF(metadata!J190="",FALSE,TRUE)</f>
        <v>0</v>
      </c>
      <c r="AK190">
        <f>OR(AND(IF(metadata!K190="",FALSE,TRUE),OR(exact(metadata!K190,"missing: not collected"),exact(metadata!K190,"missing: not provided"),exact(metadata!K190,"missing: restricted access"))),AND(IF(metadata!K190="",FALSE,ISNUMBER(VALUE(metadata!K190))),metadata!K190&gt;=-90.00,metadata!K190&lt;=90.00))</f>
        <v>0</v>
      </c>
      <c r="AL190">
        <f>OR(AND(IF(metadata!L190="",FALSE,TRUE),OR(exact(metadata!L190,"missing: not collected"),exact(metadata!L190,"missing: not provided"),exact(metadata!L190,"missing: restricted access"))),AND(IF(metadata!L190="",FALSE,ISNUMBER(VALUE(metadata!L190))),metadata!L190&gt;=-180.00,metadata!L190&lt;=180.00))</f>
        <v>0</v>
      </c>
      <c r="AM190">
        <f>IF(metadata!M190="",FALSE,TRUE)</f>
        <v>0</v>
      </c>
      <c r="AN190">
        <f>OR(AND(IF(metadata!N190="",FALSE,TRUE),OR(exact(metadata!N190,"missing: not collected"),exact(metadata!N190,"missing: not provided"),exact(metadata!N190,"missing: restricted access"))),AND(IF(metadata!N190="",FALSE,TRUE),OR(exact(metadata!N190,"TRUE"),exact(metadata!N190,"FALSE"))))</f>
        <v>0</v>
      </c>
      <c r="AO190">
        <f>IF(metadata!O190="",FALSE,TRUE)</f>
        <v>0</v>
      </c>
      <c r="AP190">
        <f>OR(AND(IF(metadata!P190="",FALSE,TRUE),OR(exact(metadata!P190,"missing: not collected"),exact(metadata!P190,"missing: not provided"))),AND(IF(metadata!P190="",FALSE,IF(ISERROR(INT(metadata!P190)),FALSE,INT(metadata!P190)=metadata!P190)),metadata!P190&gt;0))</f>
        <v>0</v>
      </c>
      <c r="AQ190">
        <f>IF(metadata!Q190="",FALSE,TRUE)</f>
        <v>0</v>
      </c>
    </row>
    <row r="191" spans="1:43">
      <c r="A191" s="5">
        <f>IF(B191=" "," ",HYPERLINK(CONCATENATE("#metadata!",ADDRESS(INDEX($W$2:$W$1001,MATCH(ROWS($U$2:U191),$U$2:$U$1001,0),0),1)),INDEX($Z$2:$Z$1001,MATCH(ROWS($U$2:U191),$U$2:$U$1001,0),0)))</f>
        <v>0</v>
      </c>
      <c r="B191" s="4">
        <f>IF(OR(INDEX($V$2:$V$1001,MATCH(ROWS($U$2:U191),$U$2:$U$1001,0),1)&gt;=100000,INDEX($AB$1005:$AQ$1005,1,MATCH(COLUMNS($AB$1006:AB1006),$AB$1006:$AQ$1006,0))&gt;=100000), " ",IF(INDEX($AB$2:$AQ$1001,MATCH(ROWS($U$2:U191),$U$2:$U$1001,0),MATCH(COLUMNS($AB$1006:AB1006),$AB$1006:$AQ$1006,0)), HYPERLINK("#",""), HYPERLINK(CONCATENATE("#metadata!", ADDRESS(INDEX($W$2:$W$1001,MATCH(ROWS($U$2:U191),$U$2:$U$1001,0),0), INDEX($AB$1004:$AQ$1004,1,MATCH(COLUMNS($AB$1006:AB1006),$AB$1006:$AQ$1006,0)))),"Fix")))</f>
        <v>0</v>
      </c>
      <c r="C191" s="4">
        <f>IF(OR(INDEX($V$2:$V$1001,MATCH(ROWS($U$2:U191),$U$2:$U$1001,0),1)&gt;=100000,INDEX($AB$1005:$AQ$1005,1,MATCH(COLUMNS($AB$1006:AC1006),$AB$1006:$AQ$1006,0))&gt;=100000), " ",IF(INDEX($AB$2:$AQ$1001,MATCH(ROWS($U$2:U191),$U$2:$U$1001,0),MATCH(COLUMNS($AB$1006:AC1006),$AB$1006:$AQ$1006,0)), HYPERLINK("#",""), HYPERLINK(CONCATENATE("#metadata!", ADDRESS(INDEX($W$2:$W$1001,MATCH(ROWS($U$2:U191),$U$2:$U$1001,0),0), INDEX($AB$1004:$AQ$1004,1,MATCH(COLUMNS($AB$1006:AC1006),$AB$1006:$AQ$1006,0)))),"Fix")))</f>
        <v>0</v>
      </c>
      <c r="D191" s="4">
        <f>IF(OR(INDEX($V$2:$V$1001,MATCH(ROWS($U$2:U191),$U$2:$U$1001,0),1)&gt;=100000,INDEX($AB$1005:$AQ$1005,1,MATCH(COLUMNS($AB$1006:AD1006),$AB$1006:$AQ$1006,0))&gt;=100000), " ",IF(INDEX($AB$2:$AQ$1001,MATCH(ROWS($U$2:U191),$U$2:$U$1001,0),MATCH(COLUMNS($AB$1006:AD1006),$AB$1006:$AQ$1006,0)), HYPERLINK("#",""), HYPERLINK(CONCATENATE("#metadata!", ADDRESS(INDEX($W$2:$W$1001,MATCH(ROWS($U$2:U191),$U$2:$U$1001,0),0), INDEX($AB$1004:$AQ$1004,1,MATCH(COLUMNS($AB$1006:AD1006),$AB$1006:$AQ$1006,0)))),"Fix")))</f>
        <v>0</v>
      </c>
      <c r="E191" s="4">
        <f>IF(OR(INDEX($V$2:$V$1001,MATCH(ROWS($U$2:U191),$U$2:$U$1001,0),1)&gt;=100000,INDEX($AB$1005:$AQ$1005,1,MATCH(COLUMNS($AB$1006:AE1006),$AB$1006:$AQ$1006,0))&gt;=100000), " ",IF(INDEX($AB$2:$AQ$1001,MATCH(ROWS($U$2:U191),$U$2:$U$1001,0),MATCH(COLUMNS($AB$1006:AE1006),$AB$1006:$AQ$1006,0)), HYPERLINK("#",""), HYPERLINK(CONCATENATE("#metadata!", ADDRESS(INDEX($W$2:$W$1001,MATCH(ROWS($U$2:U191),$U$2:$U$1001,0),0), INDEX($AB$1004:$AQ$1004,1,MATCH(COLUMNS($AB$1006:AE1006),$AB$1006:$AQ$1006,0)))),"Fix")))</f>
        <v>0</v>
      </c>
      <c r="F191" s="4">
        <f>IF(OR(INDEX($V$2:$V$1001,MATCH(ROWS($U$2:U191),$U$2:$U$1001,0),1)&gt;=100000,INDEX($AB$1005:$AQ$1005,1,MATCH(COLUMNS($AB$1006:AF1006),$AB$1006:$AQ$1006,0))&gt;=100000), " ",IF(INDEX($AB$2:$AQ$1001,MATCH(ROWS($U$2:U191),$U$2:$U$1001,0),MATCH(COLUMNS($AB$1006:AF1006),$AB$1006:$AQ$1006,0)), HYPERLINK("#",""), HYPERLINK(CONCATENATE("#metadata!", ADDRESS(INDEX($W$2:$W$1001,MATCH(ROWS($U$2:U191),$U$2:$U$1001,0),0), INDEX($AB$1004:$AQ$1004,1,MATCH(COLUMNS($AB$1006:AF1006),$AB$1006:$AQ$1006,0)))),"Fix")))</f>
        <v>0</v>
      </c>
      <c r="G191" s="4">
        <f>IF(OR(INDEX($V$2:$V$1001,MATCH(ROWS($U$2:U191),$U$2:$U$1001,0),1)&gt;=100000,INDEX($AB$1005:$AQ$1005,1,MATCH(COLUMNS($AB$1006:AG1006),$AB$1006:$AQ$1006,0))&gt;=100000), " ",IF(INDEX($AB$2:$AQ$1001,MATCH(ROWS($U$2:U191),$U$2:$U$1001,0),MATCH(COLUMNS($AB$1006:AG1006),$AB$1006:$AQ$1006,0)), HYPERLINK("#",""), HYPERLINK(CONCATENATE("#metadata!", ADDRESS(INDEX($W$2:$W$1001,MATCH(ROWS($U$2:U191),$U$2:$U$1001,0),0), INDEX($AB$1004:$AQ$1004,1,MATCH(COLUMNS($AB$1006:AG1006),$AB$1006:$AQ$1006,0)))),"Fix")))</f>
        <v>0</v>
      </c>
      <c r="H191" s="4">
        <f>IF(OR(INDEX($V$2:$V$1001,MATCH(ROWS($U$2:U191),$U$2:$U$1001,0),1)&gt;=100000,INDEX($AB$1005:$AQ$1005,1,MATCH(COLUMNS($AB$1006:AH1006),$AB$1006:$AQ$1006,0))&gt;=100000), " ",IF(INDEX($AB$2:$AQ$1001,MATCH(ROWS($U$2:U191),$U$2:$U$1001,0),MATCH(COLUMNS($AB$1006:AH1006),$AB$1006:$AQ$1006,0)), HYPERLINK("#",""), HYPERLINK(CONCATENATE("#metadata!", ADDRESS(INDEX($W$2:$W$1001,MATCH(ROWS($U$2:U191),$U$2:$U$1001,0),0), INDEX($AB$1004:$AQ$1004,1,MATCH(COLUMNS($AB$1006:AH1006),$AB$1006:$AQ$1006,0)))),"Fix")))</f>
        <v>0</v>
      </c>
      <c r="I191" s="4">
        <f>IF(OR(INDEX($V$2:$V$1001,MATCH(ROWS($U$2:U191),$U$2:$U$1001,0),1)&gt;=100000,INDEX($AB$1005:$AQ$1005,1,MATCH(COLUMNS($AB$1006:AI1006),$AB$1006:$AQ$1006,0))&gt;=100000), " ",IF(INDEX($AB$2:$AQ$1001,MATCH(ROWS($U$2:U191),$U$2:$U$1001,0),MATCH(COLUMNS($AB$1006:AI1006),$AB$1006:$AQ$1006,0)), HYPERLINK("#",""), HYPERLINK(CONCATENATE("#metadata!", ADDRESS(INDEX($W$2:$W$1001,MATCH(ROWS($U$2:U191),$U$2:$U$1001,0),0), INDEX($AB$1004:$AQ$1004,1,MATCH(COLUMNS($AB$1006:AI1006),$AB$1006:$AQ$1006,0)))),"Fix")))</f>
        <v>0</v>
      </c>
      <c r="J191" s="4">
        <f>IF(OR(INDEX($V$2:$V$1001,MATCH(ROWS($U$2:U191),$U$2:$U$1001,0),1)&gt;=100000,INDEX($AB$1005:$AQ$1005,1,MATCH(COLUMNS($AB$1006:AJ1006),$AB$1006:$AQ$1006,0))&gt;=100000), " ",IF(INDEX($AB$2:$AQ$1001,MATCH(ROWS($U$2:U191),$U$2:$U$1001,0),MATCH(COLUMNS($AB$1006:AJ1006),$AB$1006:$AQ$1006,0)), HYPERLINK("#",""), HYPERLINK(CONCATENATE("#metadata!", ADDRESS(INDEX($W$2:$W$1001,MATCH(ROWS($U$2:U191),$U$2:$U$1001,0),0), INDEX($AB$1004:$AQ$1004,1,MATCH(COLUMNS($AB$1006:AJ1006),$AB$1006:$AQ$1006,0)))),"Fix")))</f>
        <v>0</v>
      </c>
      <c r="K191" s="4">
        <f>IF(OR(INDEX($V$2:$V$1001,MATCH(ROWS($U$2:U191),$U$2:$U$1001,0),1)&gt;=100000,INDEX($AB$1005:$AQ$1005,1,MATCH(COLUMNS($AB$1006:AK1006),$AB$1006:$AQ$1006,0))&gt;=100000), " ",IF(INDEX($AB$2:$AQ$1001,MATCH(ROWS($U$2:U191),$U$2:$U$1001,0),MATCH(COLUMNS($AB$1006:AK1006),$AB$1006:$AQ$1006,0)), HYPERLINK("#",""), HYPERLINK(CONCATENATE("#metadata!", ADDRESS(INDEX($W$2:$W$1001,MATCH(ROWS($U$2:U191),$U$2:$U$1001,0),0), INDEX($AB$1004:$AQ$1004,1,MATCH(COLUMNS($AB$1006:AK1006),$AB$1006:$AQ$1006,0)))),"Fix")))</f>
        <v>0</v>
      </c>
      <c r="L191" s="4">
        <f>IF(OR(INDEX($V$2:$V$1001,MATCH(ROWS($U$2:U191),$U$2:$U$1001,0),1)&gt;=100000,INDEX($AB$1005:$AQ$1005,1,MATCH(COLUMNS($AB$1006:AL1006),$AB$1006:$AQ$1006,0))&gt;=100000), " ",IF(INDEX($AB$2:$AQ$1001,MATCH(ROWS($U$2:U191),$U$2:$U$1001,0),MATCH(COLUMNS($AB$1006:AL1006),$AB$1006:$AQ$1006,0)), HYPERLINK("#",""), HYPERLINK(CONCATENATE("#metadata!", ADDRESS(INDEX($W$2:$W$1001,MATCH(ROWS($U$2:U191),$U$2:$U$1001,0),0), INDEX($AB$1004:$AQ$1004,1,MATCH(COLUMNS($AB$1006:AL1006),$AB$1006:$AQ$1006,0)))),"Fix")))</f>
        <v>0</v>
      </c>
      <c r="M191" s="4">
        <f>IF(OR(INDEX($V$2:$V$1001,MATCH(ROWS($U$2:U191),$U$2:$U$1001,0),1)&gt;=100000,INDEX($AB$1005:$AQ$1005,1,MATCH(COLUMNS($AB$1006:AM1006),$AB$1006:$AQ$1006,0))&gt;=100000), " ",IF(INDEX($AB$2:$AQ$1001,MATCH(ROWS($U$2:U191),$U$2:$U$1001,0),MATCH(COLUMNS($AB$1006:AM1006),$AB$1006:$AQ$1006,0)), HYPERLINK("#",""), HYPERLINK(CONCATENATE("#metadata!", ADDRESS(INDEX($W$2:$W$1001,MATCH(ROWS($U$2:U191),$U$2:$U$1001,0),0), INDEX($AB$1004:$AQ$1004,1,MATCH(COLUMNS($AB$1006:AM1006),$AB$1006:$AQ$1006,0)))),"Fix")))</f>
        <v>0</v>
      </c>
      <c r="N191" s="4">
        <f>IF(OR(INDEX($V$2:$V$1001,MATCH(ROWS($U$2:U191),$U$2:$U$1001,0),1)&gt;=100000,INDEX($AB$1005:$AQ$1005,1,MATCH(COLUMNS($AB$1006:AN1006),$AB$1006:$AQ$1006,0))&gt;=100000), " ",IF(INDEX($AB$2:$AQ$1001,MATCH(ROWS($U$2:U191),$U$2:$U$1001,0),MATCH(COLUMNS($AB$1006:AN1006),$AB$1006:$AQ$1006,0)), HYPERLINK("#",""), HYPERLINK(CONCATENATE("#metadata!", ADDRESS(INDEX($W$2:$W$1001,MATCH(ROWS($U$2:U191),$U$2:$U$1001,0),0), INDEX($AB$1004:$AQ$1004,1,MATCH(COLUMNS($AB$1006:AN1006),$AB$1006:$AQ$1006,0)))),"Fix")))</f>
        <v>0</v>
      </c>
      <c r="O191" s="4">
        <f>IF(OR(INDEX($V$2:$V$1001,MATCH(ROWS($U$2:U191),$U$2:$U$1001,0),1)&gt;=100000,INDEX($AB$1005:$AQ$1005,1,MATCH(COLUMNS($AB$1006:AO1006),$AB$1006:$AQ$1006,0))&gt;=100000), " ",IF(INDEX($AB$2:$AQ$1001,MATCH(ROWS($U$2:U191),$U$2:$U$1001,0),MATCH(COLUMNS($AB$1006:AO1006),$AB$1006:$AQ$1006,0)), HYPERLINK("#",""), HYPERLINK(CONCATENATE("#metadata!", ADDRESS(INDEX($W$2:$W$1001,MATCH(ROWS($U$2:U191),$U$2:$U$1001,0),0), INDEX($AB$1004:$AQ$1004,1,MATCH(COLUMNS($AB$1006:AO1006),$AB$1006:$AQ$1006,0)))),"Fix")))</f>
        <v>0</v>
      </c>
      <c r="P191" s="4">
        <f>IF(OR(INDEX($V$2:$V$1001,MATCH(ROWS($U$2:U191),$U$2:$U$1001,0),1)&gt;=100000,INDEX($AB$1005:$AQ$1005,1,MATCH(COLUMNS($AB$1006:AP1006),$AB$1006:$AQ$1006,0))&gt;=100000), " ",IF(INDEX($AB$2:$AQ$1001,MATCH(ROWS($U$2:U191),$U$2:$U$1001,0),MATCH(COLUMNS($AB$1006:AP1006),$AB$1006:$AQ$1006,0)), HYPERLINK("#",""), HYPERLINK(CONCATENATE("#metadata!", ADDRESS(INDEX($W$2:$W$1001,MATCH(ROWS($U$2:U191),$U$2:$U$1001,0),0), INDEX($AB$1004:$AQ$1004,1,MATCH(COLUMNS($AB$1006:AP1006),$AB$1006:$AQ$1006,0)))),"Fix")))</f>
        <v>0</v>
      </c>
      <c r="Q191" s="4">
        <f>IF(OR(INDEX($V$2:$V$1001,MATCH(ROWS($U$2:U191),$U$2:$U$1001,0),1)&gt;=100000,INDEX($AB$1005:$AQ$1005,1,MATCH(COLUMNS($AB$1006:AQ1006),$AB$1006:$AQ$1006,0))&gt;=100000), " ",IF(INDEX($AB$2:$AQ$1001,MATCH(ROWS($U$2:U191),$U$2:$U$1001,0),MATCH(COLUMNS($AB$1006:AQ1006),$AB$1006:$AQ$1006,0)), HYPERLINK("#",""), HYPERLINK(CONCATENATE("#metadata!", ADDRESS(INDEX($W$2:$W$1001,MATCH(ROWS($U$2:U191),$U$2:$U$1001,0),0), INDEX($AB$1004:$AQ$1004,1,MATCH(COLUMNS($AB$1006:AQ1006),$AB$1006:$AQ$1006,0)))),"Fix")))</f>
        <v>0</v>
      </c>
      <c r="U191">
        <v>0</v>
      </c>
      <c r="V191">
        <v>0</v>
      </c>
      <c r="W191">
        <v>0</v>
      </c>
      <c r="X191">
        <f>IF(Y191,TRUE,AND(AB191:AQ191))</f>
        <v>0</v>
      </c>
      <c r="Y191">
        <f>COUNTBLANK(metadata!B191:Q191)=COLUMNS(metadata!B191:Q191)</f>
        <v>0</v>
      </c>
      <c r="Z191">
        <v>0</v>
      </c>
      <c r="AB191">
        <f>AND(IF(metadata!B191="",FALSE,TRUE),COUNTIF(metadata!B:B, metadata!B191) = 1,NOT(ISERROR(SUMPRODUCT(SEARCH(MID(metadata!B191,ROW(INDIRECT("1:"&amp;LEN(metadata!B191))), 1),"0123456789abcdefghijklmnopqrstuvwxyzABCDEFGHIJKLMNOPQRSTUVWXYZ.")))))</f>
        <v>0</v>
      </c>
      <c r="AC191">
        <f>OR(AND(IF(metadata!C191="",FALSE,TRUE),OR(exact(metadata!C191,"missing: not collected"),exact(metadata!C191,"missing: not provided"),exact(metadata!C191,"missing: restricted access"))),AND(IF(metadata!C191="",FALSE,TRUE),AND(AND(IFERROR(INT(LEFT(metadata!C191,4))&gt;1900,FALSE),IFERROR(INT(LEFT(metadata!C191,4))&lt;=YEAR(NOW()),FALSE)), OR(MID(metadata!C191,5,1)="", AND(AND(MID(metadata!C191,5,1)="-",IFERROR(INT(MID(metadata!C191,6,1))&gt;=0,FALSE),IFERROR(INT(MID(metadata!C191,6,1))&lt;=1,FALSE),NOT(MID(metadata!C191,7,1)=""),IFERROR(INT(MID(metadata!C191,6,2))&gt;=1,FALSE),IFERROR(INT(MID(metadata!C191,6,2))&lt;=12,FALSE)), OR(MID(metadata!C191,8,1)="", AND(AND(MID(metadata!C191,8,1)="-",IFERROR(INT(MID(metadata!C191,9,1))&gt;=0,FALSE),IFERROR(INT(MID(metadata!C191,9,1))&lt;=3,FALSE),NOT(MID(metadata!C191,10,1)=""),IFERROR(INT(MID(metadata!C191,9,2))&gt;=1,FALSE),IFERROR(INT(MID(metadata!C191,9,2))&lt;=31,FALSE)), OR(MID(metadata!C191,11,1)="", AND(AND(MID(metadata!C191,11,1)=" ",IFERROR(INT(MID(metadata!C191,12,1))&gt;=0,FALSE),IFERROR(INT(MID(metadata!C191,12,1))&lt;=2,FALSE),NOT(MID(metadata!C191,13,1)=""),IFERROR(INT(MID(metadata!C191,12,2))&gt;=0,FALSE),IFERROR(INT(MID(metadata!C191,12,2))&lt;=23,FALSE)), OR(MID(metadata!C191,14,1)="", AND(AND(MID(metadata!C191,14,1)=":",IFERROR(INT(MID(metadata!C191,15,1))&gt;=0,FALSE),IFERROR(INT(MID(metadata!C191,15,1))&lt;=5,FALSE),NOT(MID(metadata!C191,16,1)=""),IFERROR(INT(MID(metadata!C191,15,2))&gt;=0,FALSE),IFERROR(INT(MID(metadata!C191,15,2))&lt;=59,FALSE)), OR(MID(metadata!C191,17,1)="", AND(AND(MID(metadata!C191,17,1)=":",IFERROR(INT(MID(metadata!C191,18,1))&gt;=0,FALSE),IFERROR(INT(MID(metadata!C191,18,1))&lt;=5,FALSE),NOT(MID(metadata!C191,19,1)=""),IFERROR(INT(MID(metadata!C191,18,2))&gt;=0,FALSE),IFERROR(INT(MID(metadata!C191,18,2))&lt;=59,FALSE)), LEN(metadata!C191)&lt;=19)))))))))))))</f>
        <v>0</v>
      </c>
      <c r="AD191">
        <f>IF(metadata!D191="",FALSE,TRUE)</f>
        <v>0</v>
      </c>
      <c r="AE191">
        <f>OR(AND(IF(metadata!E191="",FALSE,TRUE),OR(exact(metadata!E191,"missing: not collected"),exact(metadata!E191,"missing: not provided"))),AND(IF(metadata!E191="",FALSE,TRUE),OR(exact(metadata!E191,"TRUE"),exact(metadata!E191,"FALSE"))))</f>
        <v>0</v>
      </c>
      <c r="AF191">
        <f>IF(metadata!F191="",FALSE,TRUE)</f>
        <v>0</v>
      </c>
      <c r="AG191">
        <f>IF(metadata!G191="",FALSE,TRUE)</f>
        <v>0</v>
      </c>
      <c r="AH191">
        <f>IF(metadata!H191="",FALSE,TRUE)</f>
        <v>0</v>
      </c>
      <c r="AI191">
        <f>OR(AND(IF(metadata!I191="",FALSE,TRUE),OR(exact(metadata!I191,"missing: not collected"),exact(metadata!I191,"missing: not provided"),exact(metadata!I191,"missing: restricted access"))),AND(IF(metadata!I191="",FALSE,TRUE),OR(exact(metadata!I191,"air"),exact(metadata!I191,"built environment"),exact(metadata!I191,"host-associated"),exact(metadata!I191,"human-associated"),exact(metadata!I191,"human-skin"),exact(metadata!I191,"human-oral"),exact(metadata!I191,"human-gut"),exact(metadata!I191,"human-vaginal"),exact(metadata!I191,"microbial mat/biofilm"),exact(metadata!I191,"misc environment"),exact(metadata!I191,"plant-associated"),exact(metadata!I191,"sediment"),exact(metadata!I191,"soil"),exact(metadata!I191,"wastewater/sludge"),exact(metadata!I191,"water"))))</f>
        <v>0</v>
      </c>
      <c r="AJ191">
        <f>IF(metadata!J191="",FALSE,TRUE)</f>
        <v>0</v>
      </c>
      <c r="AK191">
        <f>OR(AND(IF(metadata!K191="",FALSE,TRUE),OR(exact(metadata!K191,"missing: not collected"),exact(metadata!K191,"missing: not provided"),exact(metadata!K191,"missing: restricted access"))),AND(IF(metadata!K191="",FALSE,ISNUMBER(VALUE(metadata!K191))),metadata!K191&gt;=-90.00,metadata!K191&lt;=90.00))</f>
        <v>0</v>
      </c>
      <c r="AL191">
        <f>OR(AND(IF(metadata!L191="",FALSE,TRUE),OR(exact(metadata!L191,"missing: not collected"),exact(metadata!L191,"missing: not provided"),exact(metadata!L191,"missing: restricted access"))),AND(IF(metadata!L191="",FALSE,ISNUMBER(VALUE(metadata!L191))),metadata!L191&gt;=-180.00,metadata!L191&lt;=180.00))</f>
        <v>0</v>
      </c>
      <c r="AM191">
        <f>IF(metadata!M191="",FALSE,TRUE)</f>
        <v>0</v>
      </c>
      <c r="AN191">
        <f>OR(AND(IF(metadata!N191="",FALSE,TRUE),OR(exact(metadata!N191,"missing: not collected"),exact(metadata!N191,"missing: not provided"),exact(metadata!N191,"missing: restricted access"))),AND(IF(metadata!N191="",FALSE,TRUE),OR(exact(metadata!N191,"TRUE"),exact(metadata!N191,"FALSE"))))</f>
        <v>0</v>
      </c>
      <c r="AO191">
        <f>IF(metadata!O191="",FALSE,TRUE)</f>
        <v>0</v>
      </c>
      <c r="AP191">
        <f>OR(AND(IF(metadata!P191="",FALSE,TRUE),OR(exact(metadata!P191,"missing: not collected"),exact(metadata!P191,"missing: not provided"))),AND(IF(metadata!P191="",FALSE,IF(ISERROR(INT(metadata!P191)),FALSE,INT(metadata!P191)=metadata!P191)),metadata!P191&gt;0))</f>
        <v>0</v>
      </c>
      <c r="AQ191">
        <f>IF(metadata!Q191="",FALSE,TRUE)</f>
        <v>0</v>
      </c>
    </row>
    <row r="192" spans="1:43">
      <c r="A192" s="5">
        <f>IF(B192=" "," ",HYPERLINK(CONCATENATE("#metadata!",ADDRESS(INDEX($W$2:$W$1001,MATCH(ROWS($U$2:U192),$U$2:$U$1001,0),0),1)),INDEX($Z$2:$Z$1001,MATCH(ROWS($U$2:U192),$U$2:$U$1001,0),0)))</f>
        <v>0</v>
      </c>
      <c r="B192" s="4">
        <f>IF(OR(INDEX($V$2:$V$1001,MATCH(ROWS($U$2:U192),$U$2:$U$1001,0),1)&gt;=100000,INDEX($AB$1005:$AQ$1005,1,MATCH(COLUMNS($AB$1006:AB1006),$AB$1006:$AQ$1006,0))&gt;=100000), " ",IF(INDEX($AB$2:$AQ$1001,MATCH(ROWS($U$2:U192),$U$2:$U$1001,0),MATCH(COLUMNS($AB$1006:AB1006),$AB$1006:$AQ$1006,0)), HYPERLINK("#",""), HYPERLINK(CONCATENATE("#metadata!", ADDRESS(INDEX($W$2:$W$1001,MATCH(ROWS($U$2:U192),$U$2:$U$1001,0),0), INDEX($AB$1004:$AQ$1004,1,MATCH(COLUMNS($AB$1006:AB1006),$AB$1006:$AQ$1006,0)))),"Fix")))</f>
        <v>0</v>
      </c>
      <c r="C192" s="4">
        <f>IF(OR(INDEX($V$2:$V$1001,MATCH(ROWS($U$2:U192),$U$2:$U$1001,0),1)&gt;=100000,INDEX($AB$1005:$AQ$1005,1,MATCH(COLUMNS($AB$1006:AC1006),$AB$1006:$AQ$1006,0))&gt;=100000), " ",IF(INDEX($AB$2:$AQ$1001,MATCH(ROWS($U$2:U192),$U$2:$U$1001,0),MATCH(COLUMNS($AB$1006:AC1006),$AB$1006:$AQ$1006,0)), HYPERLINK("#",""), HYPERLINK(CONCATENATE("#metadata!", ADDRESS(INDEX($W$2:$W$1001,MATCH(ROWS($U$2:U192),$U$2:$U$1001,0),0), INDEX($AB$1004:$AQ$1004,1,MATCH(COLUMNS($AB$1006:AC1006),$AB$1006:$AQ$1006,0)))),"Fix")))</f>
        <v>0</v>
      </c>
      <c r="D192" s="4">
        <f>IF(OR(INDEX($V$2:$V$1001,MATCH(ROWS($U$2:U192),$U$2:$U$1001,0),1)&gt;=100000,INDEX($AB$1005:$AQ$1005,1,MATCH(COLUMNS($AB$1006:AD1006),$AB$1006:$AQ$1006,0))&gt;=100000), " ",IF(INDEX($AB$2:$AQ$1001,MATCH(ROWS($U$2:U192),$U$2:$U$1001,0),MATCH(COLUMNS($AB$1006:AD1006),$AB$1006:$AQ$1006,0)), HYPERLINK("#",""), HYPERLINK(CONCATENATE("#metadata!", ADDRESS(INDEX($W$2:$W$1001,MATCH(ROWS($U$2:U192),$U$2:$U$1001,0),0), INDEX($AB$1004:$AQ$1004,1,MATCH(COLUMNS($AB$1006:AD1006),$AB$1006:$AQ$1006,0)))),"Fix")))</f>
        <v>0</v>
      </c>
      <c r="E192" s="4">
        <f>IF(OR(INDEX($V$2:$V$1001,MATCH(ROWS($U$2:U192),$U$2:$U$1001,0),1)&gt;=100000,INDEX($AB$1005:$AQ$1005,1,MATCH(COLUMNS($AB$1006:AE1006),$AB$1006:$AQ$1006,0))&gt;=100000), " ",IF(INDEX($AB$2:$AQ$1001,MATCH(ROWS($U$2:U192),$U$2:$U$1001,0),MATCH(COLUMNS($AB$1006:AE1006),$AB$1006:$AQ$1006,0)), HYPERLINK("#",""), HYPERLINK(CONCATENATE("#metadata!", ADDRESS(INDEX($W$2:$W$1001,MATCH(ROWS($U$2:U192),$U$2:$U$1001,0),0), INDEX($AB$1004:$AQ$1004,1,MATCH(COLUMNS($AB$1006:AE1006),$AB$1006:$AQ$1006,0)))),"Fix")))</f>
        <v>0</v>
      </c>
      <c r="F192" s="4">
        <f>IF(OR(INDEX($V$2:$V$1001,MATCH(ROWS($U$2:U192),$U$2:$U$1001,0),1)&gt;=100000,INDEX($AB$1005:$AQ$1005,1,MATCH(COLUMNS($AB$1006:AF1006),$AB$1006:$AQ$1006,0))&gt;=100000), " ",IF(INDEX($AB$2:$AQ$1001,MATCH(ROWS($U$2:U192),$U$2:$U$1001,0),MATCH(COLUMNS($AB$1006:AF1006),$AB$1006:$AQ$1006,0)), HYPERLINK("#",""), HYPERLINK(CONCATENATE("#metadata!", ADDRESS(INDEX($W$2:$W$1001,MATCH(ROWS($U$2:U192),$U$2:$U$1001,0),0), INDEX($AB$1004:$AQ$1004,1,MATCH(COLUMNS($AB$1006:AF1006),$AB$1006:$AQ$1006,0)))),"Fix")))</f>
        <v>0</v>
      </c>
      <c r="G192" s="4">
        <f>IF(OR(INDEX($V$2:$V$1001,MATCH(ROWS($U$2:U192),$U$2:$U$1001,0),1)&gt;=100000,INDEX($AB$1005:$AQ$1005,1,MATCH(COLUMNS($AB$1006:AG1006),$AB$1006:$AQ$1006,0))&gt;=100000), " ",IF(INDEX($AB$2:$AQ$1001,MATCH(ROWS($U$2:U192),$U$2:$U$1001,0),MATCH(COLUMNS($AB$1006:AG1006),$AB$1006:$AQ$1006,0)), HYPERLINK("#",""), HYPERLINK(CONCATENATE("#metadata!", ADDRESS(INDEX($W$2:$W$1001,MATCH(ROWS($U$2:U192),$U$2:$U$1001,0),0), INDEX($AB$1004:$AQ$1004,1,MATCH(COLUMNS($AB$1006:AG1006),$AB$1006:$AQ$1006,0)))),"Fix")))</f>
        <v>0</v>
      </c>
      <c r="H192" s="4">
        <f>IF(OR(INDEX($V$2:$V$1001,MATCH(ROWS($U$2:U192),$U$2:$U$1001,0),1)&gt;=100000,INDEX($AB$1005:$AQ$1005,1,MATCH(COLUMNS($AB$1006:AH1006),$AB$1006:$AQ$1006,0))&gt;=100000), " ",IF(INDEX($AB$2:$AQ$1001,MATCH(ROWS($U$2:U192),$U$2:$U$1001,0),MATCH(COLUMNS($AB$1006:AH1006),$AB$1006:$AQ$1006,0)), HYPERLINK("#",""), HYPERLINK(CONCATENATE("#metadata!", ADDRESS(INDEX($W$2:$W$1001,MATCH(ROWS($U$2:U192),$U$2:$U$1001,0),0), INDEX($AB$1004:$AQ$1004,1,MATCH(COLUMNS($AB$1006:AH1006),$AB$1006:$AQ$1006,0)))),"Fix")))</f>
        <v>0</v>
      </c>
      <c r="I192" s="4">
        <f>IF(OR(INDEX($V$2:$V$1001,MATCH(ROWS($U$2:U192),$U$2:$U$1001,0),1)&gt;=100000,INDEX($AB$1005:$AQ$1005,1,MATCH(COLUMNS($AB$1006:AI1006),$AB$1006:$AQ$1006,0))&gt;=100000), " ",IF(INDEX($AB$2:$AQ$1001,MATCH(ROWS($U$2:U192),$U$2:$U$1001,0),MATCH(COLUMNS($AB$1006:AI1006),$AB$1006:$AQ$1006,0)), HYPERLINK("#",""), HYPERLINK(CONCATENATE("#metadata!", ADDRESS(INDEX($W$2:$W$1001,MATCH(ROWS($U$2:U192),$U$2:$U$1001,0),0), INDEX($AB$1004:$AQ$1004,1,MATCH(COLUMNS($AB$1006:AI1006),$AB$1006:$AQ$1006,0)))),"Fix")))</f>
        <v>0</v>
      </c>
      <c r="J192" s="4">
        <f>IF(OR(INDEX($V$2:$V$1001,MATCH(ROWS($U$2:U192),$U$2:$U$1001,0),1)&gt;=100000,INDEX($AB$1005:$AQ$1005,1,MATCH(COLUMNS($AB$1006:AJ1006),$AB$1006:$AQ$1006,0))&gt;=100000), " ",IF(INDEX($AB$2:$AQ$1001,MATCH(ROWS($U$2:U192),$U$2:$U$1001,0),MATCH(COLUMNS($AB$1006:AJ1006),$AB$1006:$AQ$1006,0)), HYPERLINK("#",""), HYPERLINK(CONCATENATE("#metadata!", ADDRESS(INDEX($W$2:$W$1001,MATCH(ROWS($U$2:U192),$U$2:$U$1001,0),0), INDEX($AB$1004:$AQ$1004,1,MATCH(COLUMNS($AB$1006:AJ1006),$AB$1006:$AQ$1006,0)))),"Fix")))</f>
        <v>0</v>
      </c>
      <c r="K192" s="4">
        <f>IF(OR(INDEX($V$2:$V$1001,MATCH(ROWS($U$2:U192),$U$2:$U$1001,0),1)&gt;=100000,INDEX($AB$1005:$AQ$1005,1,MATCH(COLUMNS($AB$1006:AK1006),$AB$1006:$AQ$1006,0))&gt;=100000), " ",IF(INDEX($AB$2:$AQ$1001,MATCH(ROWS($U$2:U192),$U$2:$U$1001,0),MATCH(COLUMNS($AB$1006:AK1006),$AB$1006:$AQ$1006,0)), HYPERLINK("#",""), HYPERLINK(CONCATENATE("#metadata!", ADDRESS(INDEX($W$2:$W$1001,MATCH(ROWS($U$2:U192),$U$2:$U$1001,0),0), INDEX($AB$1004:$AQ$1004,1,MATCH(COLUMNS($AB$1006:AK1006),$AB$1006:$AQ$1006,0)))),"Fix")))</f>
        <v>0</v>
      </c>
      <c r="L192" s="4">
        <f>IF(OR(INDEX($V$2:$V$1001,MATCH(ROWS($U$2:U192),$U$2:$U$1001,0),1)&gt;=100000,INDEX($AB$1005:$AQ$1005,1,MATCH(COLUMNS($AB$1006:AL1006),$AB$1006:$AQ$1006,0))&gt;=100000), " ",IF(INDEX($AB$2:$AQ$1001,MATCH(ROWS($U$2:U192),$U$2:$U$1001,0),MATCH(COLUMNS($AB$1006:AL1006),$AB$1006:$AQ$1006,0)), HYPERLINK("#",""), HYPERLINK(CONCATENATE("#metadata!", ADDRESS(INDEX($W$2:$W$1001,MATCH(ROWS($U$2:U192),$U$2:$U$1001,0),0), INDEX($AB$1004:$AQ$1004,1,MATCH(COLUMNS($AB$1006:AL1006),$AB$1006:$AQ$1006,0)))),"Fix")))</f>
        <v>0</v>
      </c>
      <c r="M192" s="4">
        <f>IF(OR(INDEX($V$2:$V$1001,MATCH(ROWS($U$2:U192),$U$2:$U$1001,0),1)&gt;=100000,INDEX($AB$1005:$AQ$1005,1,MATCH(COLUMNS($AB$1006:AM1006),$AB$1006:$AQ$1006,0))&gt;=100000), " ",IF(INDEX($AB$2:$AQ$1001,MATCH(ROWS($U$2:U192),$U$2:$U$1001,0),MATCH(COLUMNS($AB$1006:AM1006),$AB$1006:$AQ$1006,0)), HYPERLINK("#",""), HYPERLINK(CONCATENATE("#metadata!", ADDRESS(INDEX($W$2:$W$1001,MATCH(ROWS($U$2:U192),$U$2:$U$1001,0),0), INDEX($AB$1004:$AQ$1004,1,MATCH(COLUMNS($AB$1006:AM1006),$AB$1006:$AQ$1006,0)))),"Fix")))</f>
        <v>0</v>
      </c>
      <c r="N192" s="4">
        <f>IF(OR(INDEX($V$2:$V$1001,MATCH(ROWS($U$2:U192),$U$2:$U$1001,0),1)&gt;=100000,INDEX($AB$1005:$AQ$1005,1,MATCH(COLUMNS($AB$1006:AN1006),$AB$1006:$AQ$1006,0))&gt;=100000), " ",IF(INDEX($AB$2:$AQ$1001,MATCH(ROWS($U$2:U192),$U$2:$U$1001,0),MATCH(COLUMNS($AB$1006:AN1006),$AB$1006:$AQ$1006,0)), HYPERLINK("#",""), HYPERLINK(CONCATENATE("#metadata!", ADDRESS(INDEX($W$2:$W$1001,MATCH(ROWS($U$2:U192),$U$2:$U$1001,0),0), INDEX($AB$1004:$AQ$1004,1,MATCH(COLUMNS($AB$1006:AN1006),$AB$1006:$AQ$1006,0)))),"Fix")))</f>
        <v>0</v>
      </c>
      <c r="O192" s="4">
        <f>IF(OR(INDEX($V$2:$V$1001,MATCH(ROWS($U$2:U192),$U$2:$U$1001,0),1)&gt;=100000,INDEX($AB$1005:$AQ$1005,1,MATCH(COLUMNS($AB$1006:AO1006),$AB$1006:$AQ$1006,0))&gt;=100000), " ",IF(INDEX($AB$2:$AQ$1001,MATCH(ROWS($U$2:U192),$U$2:$U$1001,0),MATCH(COLUMNS($AB$1006:AO1006),$AB$1006:$AQ$1006,0)), HYPERLINK("#",""), HYPERLINK(CONCATENATE("#metadata!", ADDRESS(INDEX($W$2:$W$1001,MATCH(ROWS($U$2:U192),$U$2:$U$1001,0),0), INDEX($AB$1004:$AQ$1004,1,MATCH(COLUMNS($AB$1006:AO1006),$AB$1006:$AQ$1006,0)))),"Fix")))</f>
        <v>0</v>
      </c>
      <c r="P192" s="4">
        <f>IF(OR(INDEX($V$2:$V$1001,MATCH(ROWS($U$2:U192),$U$2:$U$1001,0),1)&gt;=100000,INDEX($AB$1005:$AQ$1005,1,MATCH(COLUMNS($AB$1006:AP1006),$AB$1006:$AQ$1006,0))&gt;=100000), " ",IF(INDEX($AB$2:$AQ$1001,MATCH(ROWS($U$2:U192),$U$2:$U$1001,0),MATCH(COLUMNS($AB$1006:AP1006),$AB$1006:$AQ$1006,0)), HYPERLINK("#",""), HYPERLINK(CONCATENATE("#metadata!", ADDRESS(INDEX($W$2:$W$1001,MATCH(ROWS($U$2:U192),$U$2:$U$1001,0),0), INDEX($AB$1004:$AQ$1004,1,MATCH(COLUMNS($AB$1006:AP1006),$AB$1006:$AQ$1006,0)))),"Fix")))</f>
        <v>0</v>
      </c>
      <c r="Q192" s="4">
        <f>IF(OR(INDEX($V$2:$V$1001,MATCH(ROWS($U$2:U192),$U$2:$U$1001,0),1)&gt;=100000,INDEX($AB$1005:$AQ$1005,1,MATCH(COLUMNS($AB$1006:AQ1006),$AB$1006:$AQ$1006,0))&gt;=100000), " ",IF(INDEX($AB$2:$AQ$1001,MATCH(ROWS($U$2:U192),$U$2:$U$1001,0),MATCH(COLUMNS($AB$1006:AQ1006),$AB$1006:$AQ$1006,0)), HYPERLINK("#",""), HYPERLINK(CONCATENATE("#metadata!", ADDRESS(INDEX($W$2:$W$1001,MATCH(ROWS($U$2:U192),$U$2:$U$1001,0),0), INDEX($AB$1004:$AQ$1004,1,MATCH(COLUMNS($AB$1006:AQ1006),$AB$1006:$AQ$1006,0)))),"Fix")))</f>
        <v>0</v>
      </c>
      <c r="U192">
        <v>0</v>
      </c>
      <c r="V192">
        <v>0</v>
      </c>
      <c r="W192">
        <v>0</v>
      </c>
      <c r="X192">
        <f>IF(Y192,TRUE,AND(AB192:AQ192))</f>
        <v>0</v>
      </c>
      <c r="Y192">
        <f>COUNTBLANK(metadata!B192:Q192)=COLUMNS(metadata!B192:Q192)</f>
        <v>0</v>
      </c>
      <c r="Z192">
        <v>0</v>
      </c>
      <c r="AB192">
        <f>AND(IF(metadata!B192="",FALSE,TRUE),COUNTIF(metadata!B:B, metadata!B192) = 1,NOT(ISERROR(SUMPRODUCT(SEARCH(MID(metadata!B192,ROW(INDIRECT("1:"&amp;LEN(metadata!B192))), 1),"0123456789abcdefghijklmnopqrstuvwxyzABCDEFGHIJKLMNOPQRSTUVWXYZ.")))))</f>
        <v>0</v>
      </c>
      <c r="AC192">
        <f>OR(AND(IF(metadata!C192="",FALSE,TRUE),OR(exact(metadata!C192,"missing: not collected"),exact(metadata!C192,"missing: not provided"),exact(metadata!C192,"missing: restricted access"))),AND(IF(metadata!C192="",FALSE,TRUE),AND(AND(IFERROR(INT(LEFT(metadata!C192,4))&gt;1900,FALSE),IFERROR(INT(LEFT(metadata!C192,4))&lt;=YEAR(NOW()),FALSE)), OR(MID(metadata!C192,5,1)="", AND(AND(MID(metadata!C192,5,1)="-",IFERROR(INT(MID(metadata!C192,6,1))&gt;=0,FALSE),IFERROR(INT(MID(metadata!C192,6,1))&lt;=1,FALSE),NOT(MID(metadata!C192,7,1)=""),IFERROR(INT(MID(metadata!C192,6,2))&gt;=1,FALSE),IFERROR(INT(MID(metadata!C192,6,2))&lt;=12,FALSE)), OR(MID(metadata!C192,8,1)="", AND(AND(MID(metadata!C192,8,1)="-",IFERROR(INT(MID(metadata!C192,9,1))&gt;=0,FALSE),IFERROR(INT(MID(metadata!C192,9,1))&lt;=3,FALSE),NOT(MID(metadata!C192,10,1)=""),IFERROR(INT(MID(metadata!C192,9,2))&gt;=1,FALSE),IFERROR(INT(MID(metadata!C192,9,2))&lt;=31,FALSE)), OR(MID(metadata!C192,11,1)="", AND(AND(MID(metadata!C192,11,1)=" ",IFERROR(INT(MID(metadata!C192,12,1))&gt;=0,FALSE),IFERROR(INT(MID(metadata!C192,12,1))&lt;=2,FALSE),NOT(MID(metadata!C192,13,1)=""),IFERROR(INT(MID(metadata!C192,12,2))&gt;=0,FALSE),IFERROR(INT(MID(metadata!C192,12,2))&lt;=23,FALSE)), OR(MID(metadata!C192,14,1)="", AND(AND(MID(metadata!C192,14,1)=":",IFERROR(INT(MID(metadata!C192,15,1))&gt;=0,FALSE),IFERROR(INT(MID(metadata!C192,15,1))&lt;=5,FALSE),NOT(MID(metadata!C192,16,1)=""),IFERROR(INT(MID(metadata!C192,15,2))&gt;=0,FALSE),IFERROR(INT(MID(metadata!C192,15,2))&lt;=59,FALSE)), OR(MID(metadata!C192,17,1)="", AND(AND(MID(metadata!C192,17,1)=":",IFERROR(INT(MID(metadata!C192,18,1))&gt;=0,FALSE),IFERROR(INT(MID(metadata!C192,18,1))&lt;=5,FALSE),NOT(MID(metadata!C192,19,1)=""),IFERROR(INT(MID(metadata!C192,18,2))&gt;=0,FALSE),IFERROR(INT(MID(metadata!C192,18,2))&lt;=59,FALSE)), LEN(metadata!C192)&lt;=19)))))))))))))</f>
        <v>0</v>
      </c>
      <c r="AD192">
        <f>IF(metadata!D192="",FALSE,TRUE)</f>
        <v>0</v>
      </c>
      <c r="AE192">
        <f>OR(AND(IF(metadata!E192="",FALSE,TRUE),OR(exact(metadata!E192,"missing: not collected"),exact(metadata!E192,"missing: not provided"))),AND(IF(metadata!E192="",FALSE,TRUE),OR(exact(metadata!E192,"TRUE"),exact(metadata!E192,"FALSE"))))</f>
        <v>0</v>
      </c>
      <c r="AF192">
        <f>IF(metadata!F192="",FALSE,TRUE)</f>
        <v>0</v>
      </c>
      <c r="AG192">
        <f>IF(metadata!G192="",FALSE,TRUE)</f>
        <v>0</v>
      </c>
      <c r="AH192">
        <f>IF(metadata!H192="",FALSE,TRUE)</f>
        <v>0</v>
      </c>
      <c r="AI192">
        <f>OR(AND(IF(metadata!I192="",FALSE,TRUE),OR(exact(metadata!I192,"missing: not collected"),exact(metadata!I192,"missing: not provided"),exact(metadata!I192,"missing: restricted access"))),AND(IF(metadata!I192="",FALSE,TRUE),OR(exact(metadata!I192,"air"),exact(metadata!I192,"built environment"),exact(metadata!I192,"host-associated"),exact(metadata!I192,"human-associated"),exact(metadata!I192,"human-skin"),exact(metadata!I192,"human-oral"),exact(metadata!I192,"human-gut"),exact(metadata!I192,"human-vaginal"),exact(metadata!I192,"microbial mat/biofilm"),exact(metadata!I192,"misc environment"),exact(metadata!I192,"plant-associated"),exact(metadata!I192,"sediment"),exact(metadata!I192,"soil"),exact(metadata!I192,"wastewater/sludge"),exact(metadata!I192,"water"))))</f>
        <v>0</v>
      </c>
      <c r="AJ192">
        <f>IF(metadata!J192="",FALSE,TRUE)</f>
        <v>0</v>
      </c>
      <c r="AK192">
        <f>OR(AND(IF(metadata!K192="",FALSE,TRUE),OR(exact(metadata!K192,"missing: not collected"),exact(metadata!K192,"missing: not provided"),exact(metadata!K192,"missing: restricted access"))),AND(IF(metadata!K192="",FALSE,ISNUMBER(VALUE(metadata!K192))),metadata!K192&gt;=-90.00,metadata!K192&lt;=90.00))</f>
        <v>0</v>
      </c>
      <c r="AL192">
        <f>OR(AND(IF(metadata!L192="",FALSE,TRUE),OR(exact(metadata!L192,"missing: not collected"),exact(metadata!L192,"missing: not provided"),exact(metadata!L192,"missing: restricted access"))),AND(IF(metadata!L192="",FALSE,ISNUMBER(VALUE(metadata!L192))),metadata!L192&gt;=-180.00,metadata!L192&lt;=180.00))</f>
        <v>0</v>
      </c>
      <c r="AM192">
        <f>IF(metadata!M192="",FALSE,TRUE)</f>
        <v>0</v>
      </c>
      <c r="AN192">
        <f>OR(AND(IF(metadata!N192="",FALSE,TRUE),OR(exact(metadata!N192,"missing: not collected"),exact(metadata!N192,"missing: not provided"),exact(metadata!N192,"missing: restricted access"))),AND(IF(metadata!N192="",FALSE,TRUE),OR(exact(metadata!N192,"TRUE"),exact(metadata!N192,"FALSE"))))</f>
        <v>0</v>
      </c>
      <c r="AO192">
        <f>IF(metadata!O192="",FALSE,TRUE)</f>
        <v>0</v>
      </c>
      <c r="AP192">
        <f>OR(AND(IF(metadata!P192="",FALSE,TRUE),OR(exact(metadata!P192,"missing: not collected"),exact(metadata!P192,"missing: not provided"))),AND(IF(metadata!P192="",FALSE,IF(ISERROR(INT(metadata!P192)),FALSE,INT(metadata!P192)=metadata!P192)),metadata!P192&gt;0))</f>
        <v>0</v>
      </c>
      <c r="AQ192">
        <f>IF(metadata!Q192="",FALSE,TRUE)</f>
        <v>0</v>
      </c>
    </row>
    <row r="193" spans="1:43">
      <c r="A193" s="5">
        <f>IF(B193=" "," ",HYPERLINK(CONCATENATE("#metadata!",ADDRESS(INDEX($W$2:$W$1001,MATCH(ROWS($U$2:U193),$U$2:$U$1001,0),0),1)),INDEX($Z$2:$Z$1001,MATCH(ROWS($U$2:U193),$U$2:$U$1001,0),0)))</f>
        <v>0</v>
      </c>
      <c r="B193" s="4">
        <f>IF(OR(INDEX($V$2:$V$1001,MATCH(ROWS($U$2:U193),$U$2:$U$1001,0),1)&gt;=100000,INDEX($AB$1005:$AQ$1005,1,MATCH(COLUMNS($AB$1006:AB1006),$AB$1006:$AQ$1006,0))&gt;=100000), " ",IF(INDEX($AB$2:$AQ$1001,MATCH(ROWS($U$2:U193),$U$2:$U$1001,0),MATCH(COLUMNS($AB$1006:AB1006),$AB$1006:$AQ$1006,0)), HYPERLINK("#",""), HYPERLINK(CONCATENATE("#metadata!", ADDRESS(INDEX($W$2:$W$1001,MATCH(ROWS($U$2:U193),$U$2:$U$1001,0),0), INDEX($AB$1004:$AQ$1004,1,MATCH(COLUMNS($AB$1006:AB1006),$AB$1006:$AQ$1006,0)))),"Fix")))</f>
        <v>0</v>
      </c>
      <c r="C193" s="4">
        <f>IF(OR(INDEX($V$2:$V$1001,MATCH(ROWS($U$2:U193),$U$2:$U$1001,0),1)&gt;=100000,INDEX($AB$1005:$AQ$1005,1,MATCH(COLUMNS($AB$1006:AC1006),$AB$1006:$AQ$1006,0))&gt;=100000), " ",IF(INDEX($AB$2:$AQ$1001,MATCH(ROWS($U$2:U193),$U$2:$U$1001,0),MATCH(COLUMNS($AB$1006:AC1006),$AB$1006:$AQ$1006,0)), HYPERLINK("#",""), HYPERLINK(CONCATENATE("#metadata!", ADDRESS(INDEX($W$2:$W$1001,MATCH(ROWS($U$2:U193),$U$2:$U$1001,0),0), INDEX($AB$1004:$AQ$1004,1,MATCH(COLUMNS($AB$1006:AC1006),$AB$1006:$AQ$1006,0)))),"Fix")))</f>
        <v>0</v>
      </c>
      <c r="D193" s="4">
        <f>IF(OR(INDEX($V$2:$V$1001,MATCH(ROWS($U$2:U193),$U$2:$U$1001,0),1)&gt;=100000,INDEX($AB$1005:$AQ$1005,1,MATCH(COLUMNS($AB$1006:AD1006),$AB$1006:$AQ$1006,0))&gt;=100000), " ",IF(INDEX($AB$2:$AQ$1001,MATCH(ROWS($U$2:U193),$U$2:$U$1001,0),MATCH(COLUMNS($AB$1006:AD1006),$AB$1006:$AQ$1006,0)), HYPERLINK("#",""), HYPERLINK(CONCATENATE("#metadata!", ADDRESS(INDEX($W$2:$W$1001,MATCH(ROWS($U$2:U193),$U$2:$U$1001,0),0), INDEX($AB$1004:$AQ$1004,1,MATCH(COLUMNS($AB$1006:AD1006),$AB$1006:$AQ$1006,0)))),"Fix")))</f>
        <v>0</v>
      </c>
      <c r="E193" s="4">
        <f>IF(OR(INDEX($V$2:$V$1001,MATCH(ROWS($U$2:U193),$U$2:$U$1001,0),1)&gt;=100000,INDEX($AB$1005:$AQ$1005,1,MATCH(COLUMNS($AB$1006:AE1006),$AB$1006:$AQ$1006,0))&gt;=100000), " ",IF(INDEX($AB$2:$AQ$1001,MATCH(ROWS($U$2:U193),$U$2:$U$1001,0),MATCH(COLUMNS($AB$1006:AE1006),$AB$1006:$AQ$1006,0)), HYPERLINK("#",""), HYPERLINK(CONCATENATE("#metadata!", ADDRESS(INDEX($W$2:$W$1001,MATCH(ROWS($U$2:U193),$U$2:$U$1001,0),0), INDEX($AB$1004:$AQ$1004,1,MATCH(COLUMNS($AB$1006:AE1006),$AB$1006:$AQ$1006,0)))),"Fix")))</f>
        <v>0</v>
      </c>
      <c r="F193" s="4">
        <f>IF(OR(INDEX($V$2:$V$1001,MATCH(ROWS($U$2:U193),$U$2:$U$1001,0),1)&gt;=100000,INDEX($AB$1005:$AQ$1005,1,MATCH(COLUMNS($AB$1006:AF1006),$AB$1006:$AQ$1006,0))&gt;=100000), " ",IF(INDEX($AB$2:$AQ$1001,MATCH(ROWS($U$2:U193),$U$2:$U$1001,0),MATCH(COLUMNS($AB$1006:AF1006),$AB$1006:$AQ$1006,0)), HYPERLINK("#",""), HYPERLINK(CONCATENATE("#metadata!", ADDRESS(INDEX($W$2:$W$1001,MATCH(ROWS($U$2:U193),$U$2:$U$1001,0),0), INDEX($AB$1004:$AQ$1004,1,MATCH(COLUMNS($AB$1006:AF1006),$AB$1006:$AQ$1006,0)))),"Fix")))</f>
        <v>0</v>
      </c>
      <c r="G193" s="4">
        <f>IF(OR(INDEX($V$2:$V$1001,MATCH(ROWS($U$2:U193),$U$2:$U$1001,0),1)&gt;=100000,INDEX($AB$1005:$AQ$1005,1,MATCH(COLUMNS($AB$1006:AG1006),$AB$1006:$AQ$1006,0))&gt;=100000), " ",IF(INDEX($AB$2:$AQ$1001,MATCH(ROWS($U$2:U193),$U$2:$U$1001,0),MATCH(COLUMNS($AB$1006:AG1006),$AB$1006:$AQ$1006,0)), HYPERLINK("#",""), HYPERLINK(CONCATENATE("#metadata!", ADDRESS(INDEX($W$2:$W$1001,MATCH(ROWS($U$2:U193),$U$2:$U$1001,0),0), INDEX($AB$1004:$AQ$1004,1,MATCH(COLUMNS($AB$1006:AG1006),$AB$1006:$AQ$1006,0)))),"Fix")))</f>
        <v>0</v>
      </c>
      <c r="H193" s="4">
        <f>IF(OR(INDEX($V$2:$V$1001,MATCH(ROWS($U$2:U193),$U$2:$U$1001,0),1)&gt;=100000,INDEX($AB$1005:$AQ$1005,1,MATCH(COLUMNS($AB$1006:AH1006),$AB$1006:$AQ$1006,0))&gt;=100000), " ",IF(INDEX($AB$2:$AQ$1001,MATCH(ROWS($U$2:U193),$U$2:$U$1001,0),MATCH(COLUMNS($AB$1006:AH1006),$AB$1006:$AQ$1006,0)), HYPERLINK("#",""), HYPERLINK(CONCATENATE("#metadata!", ADDRESS(INDEX($W$2:$W$1001,MATCH(ROWS($U$2:U193),$U$2:$U$1001,0),0), INDEX($AB$1004:$AQ$1004,1,MATCH(COLUMNS($AB$1006:AH1006),$AB$1006:$AQ$1006,0)))),"Fix")))</f>
        <v>0</v>
      </c>
      <c r="I193" s="4">
        <f>IF(OR(INDEX($V$2:$V$1001,MATCH(ROWS($U$2:U193),$U$2:$U$1001,0),1)&gt;=100000,INDEX($AB$1005:$AQ$1005,1,MATCH(COLUMNS($AB$1006:AI1006),$AB$1006:$AQ$1006,0))&gt;=100000), " ",IF(INDEX($AB$2:$AQ$1001,MATCH(ROWS($U$2:U193),$U$2:$U$1001,0),MATCH(COLUMNS($AB$1006:AI1006),$AB$1006:$AQ$1006,0)), HYPERLINK("#",""), HYPERLINK(CONCATENATE("#metadata!", ADDRESS(INDEX($W$2:$W$1001,MATCH(ROWS($U$2:U193),$U$2:$U$1001,0),0), INDEX($AB$1004:$AQ$1004,1,MATCH(COLUMNS($AB$1006:AI1006),$AB$1006:$AQ$1006,0)))),"Fix")))</f>
        <v>0</v>
      </c>
      <c r="J193" s="4">
        <f>IF(OR(INDEX($V$2:$V$1001,MATCH(ROWS($U$2:U193),$U$2:$U$1001,0),1)&gt;=100000,INDEX($AB$1005:$AQ$1005,1,MATCH(COLUMNS($AB$1006:AJ1006),$AB$1006:$AQ$1006,0))&gt;=100000), " ",IF(INDEX($AB$2:$AQ$1001,MATCH(ROWS($U$2:U193),$U$2:$U$1001,0),MATCH(COLUMNS($AB$1006:AJ1006),$AB$1006:$AQ$1006,0)), HYPERLINK("#",""), HYPERLINK(CONCATENATE("#metadata!", ADDRESS(INDEX($W$2:$W$1001,MATCH(ROWS($U$2:U193),$U$2:$U$1001,0),0), INDEX($AB$1004:$AQ$1004,1,MATCH(COLUMNS($AB$1006:AJ1006),$AB$1006:$AQ$1006,0)))),"Fix")))</f>
        <v>0</v>
      </c>
      <c r="K193" s="4">
        <f>IF(OR(INDEX($V$2:$V$1001,MATCH(ROWS($U$2:U193),$U$2:$U$1001,0),1)&gt;=100000,INDEX($AB$1005:$AQ$1005,1,MATCH(COLUMNS($AB$1006:AK1006),$AB$1006:$AQ$1006,0))&gt;=100000), " ",IF(INDEX($AB$2:$AQ$1001,MATCH(ROWS($U$2:U193),$U$2:$U$1001,0),MATCH(COLUMNS($AB$1006:AK1006),$AB$1006:$AQ$1006,0)), HYPERLINK("#",""), HYPERLINK(CONCATENATE("#metadata!", ADDRESS(INDEX($W$2:$W$1001,MATCH(ROWS($U$2:U193),$U$2:$U$1001,0),0), INDEX($AB$1004:$AQ$1004,1,MATCH(COLUMNS($AB$1006:AK1006),$AB$1006:$AQ$1006,0)))),"Fix")))</f>
        <v>0</v>
      </c>
      <c r="L193" s="4">
        <f>IF(OR(INDEX($V$2:$V$1001,MATCH(ROWS($U$2:U193),$U$2:$U$1001,0),1)&gt;=100000,INDEX($AB$1005:$AQ$1005,1,MATCH(COLUMNS($AB$1006:AL1006),$AB$1006:$AQ$1006,0))&gt;=100000), " ",IF(INDEX($AB$2:$AQ$1001,MATCH(ROWS($U$2:U193),$U$2:$U$1001,0),MATCH(COLUMNS($AB$1006:AL1006),$AB$1006:$AQ$1006,0)), HYPERLINK("#",""), HYPERLINK(CONCATENATE("#metadata!", ADDRESS(INDEX($W$2:$W$1001,MATCH(ROWS($U$2:U193),$U$2:$U$1001,0),0), INDEX($AB$1004:$AQ$1004,1,MATCH(COLUMNS($AB$1006:AL1006),$AB$1006:$AQ$1006,0)))),"Fix")))</f>
        <v>0</v>
      </c>
      <c r="M193" s="4">
        <f>IF(OR(INDEX($V$2:$V$1001,MATCH(ROWS($U$2:U193),$U$2:$U$1001,0),1)&gt;=100000,INDEX($AB$1005:$AQ$1005,1,MATCH(COLUMNS($AB$1006:AM1006),$AB$1006:$AQ$1006,0))&gt;=100000), " ",IF(INDEX($AB$2:$AQ$1001,MATCH(ROWS($U$2:U193),$U$2:$U$1001,0),MATCH(COLUMNS($AB$1006:AM1006),$AB$1006:$AQ$1006,0)), HYPERLINK("#",""), HYPERLINK(CONCATENATE("#metadata!", ADDRESS(INDEX($W$2:$W$1001,MATCH(ROWS($U$2:U193),$U$2:$U$1001,0),0), INDEX($AB$1004:$AQ$1004,1,MATCH(COLUMNS($AB$1006:AM1006),$AB$1006:$AQ$1006,0)))),"Fix")))</f>
        <v>0</v>
      </c>
      <c r="N193" s="4">
        <f>IF(OR(INDEX($V$2:$V$1001,MATCH(ROWS($U$2:U193),$U$2:$U$1001,0),1)&gt;=100000,INDEX($AB$1005:$AQ$1005,1,MATCH(COLUMNS($AB$1006:AN1006),$AB$1006:$AQ$1006,0))&gt;=100000), " ",IF(INDEX($AB$2:$AQ$1001,MATCH(ROWS($U$2:U193),$U$2:$U$1001,0),MATCH(COLUMNS($AB$1006:AN1006),$AB$1006:$AQ$1006,0)), HYPERLINK("#",""), HYPERLINK(CONCATENATE("#metadata!", ADDRESS(INDEX($W$2:$W$1001,MATCH(ROWS($U$2:U193),$U$2:$U$1001,0),0), INDEX($AB$1004:$AQ$1004,1,MATCH(COLUMNS($AB$1006:AN1006),$AB$1006:$AQ$1006,0)))),"Fix")))</f>
        <v>0</v>
      </c>
      <c r="O193" s="4">
        <f>IF(OR(INDEX($V$2:$V$1001,MATCH(ROWS($U$2:U193),$U$2:$U$1001,0),1)&gt;=100000,INDEX($AB$1005:$AQ$1005,1,MATCH(COLUMNS($AB$1006:AO1006),$AB$1006:$AQ$1006,0))&gt;=100000), " ",IF(INDEX($AB$2:$AQ$1001,MATCH(ROWS($U$2:U193),$U$2:$U$1001,0),MATCH(COLUMNS($AB$1006:AO1006),$AB$1006:$AQ$1006,0)), HYPERLINK("#",""), HYPERLINK(CONCATENATE("#metadata!", ADDRESS(INDEX($W$2:$W$1001,MATCH(ROWS($U$2:U193),$U$2:$U$1001,0),0), INDEX($AB$1004:$AQ$1004,1,MATCH(COLUMNS($AB$1006:AO1006),$AB$1006:$AQ$1006,0)))),"Fix")))</f>
        <v>0</v>
      </c>
      <c r="P193" s="4">
        <f>IF(OR(INDEX($V$2:$V$1001,MATCH(ROWS($U$2:U193),$U$2:$U$1001,0),1)&gt;=100000,INDEX($AB$1005:$AQ$1005,1,MATCH(COLUMNS($AB$1006:AP1006),$AB$1006:$AQ$1006,0))&gt;=100000), " ",IF(INDEX($AB$2:$AQ$1001,MATCH(ROWS($U$2:U193),$U$2:$U$1001,0),MATCH(COLUMNS($AB$1006:AP1006),$AB$1006:$AQ$1006,0)), HYPERLINK("#",""), HYPERLINK(CONCATENATE("#metadata!", ADDRESS(INDEX($W$2:$W$1001,MATCH(ROWS($U$2:U193),$U$2:$U$1001,0),0), INDEX($AB$1004:$AQ$1004,1,MATCH(COLUMNS($AB$1006:AP1006),$AB$1006:$AQ$1006,0)))),"Fix")))</f>
        <v>0</v>
      </c>
      <c r="Q193" s="4">
        <f>IF(OR(INDEX($V$2:$V$1001,MATCH(ROWS($U$2:U193),$U$2:$U$1001,0),1)&gt;=100000,INDEX($AB$1005:$AQ$1005,1,MATCH(COLUMNS($AB$1006:AQ1006),$AB$1006:$AQ$1006,0))&gt;=100000), " ",IF(INDEX($AB$2:$AQ$1001,MATCH(ROWS($U$2:U193),$U$2:$U$1001,0),MATCH(COLUMNS($AB$1006:AQ1006),$AB$1006:$AQ$1006,0)), HYPERLINK("#",""), HYPERLINK(CONCATENATE("#metadata!", ADDRESS(INDEX($W$2:$W$1001,MATCH(ROWS($U$2:U193),$U$2:$U$1001,0),0), INDEX($AB$1004:$AQ$1004,1,MATCH(COLUMNS($AB$1006:AQ1006),$AB$1006:$AQ$1006,0)))),"Fix")))</f>
        <v>0</v>
      </c>
      <c r="U193">
        <v>0</v>
      </c>
      <c r="V193">
        <v>0</v>
      </c>
      <c r="W193">
        <v>0</v>
      </c>
      <c r="X193">
        <f>IF(Y193,TRUE,AND(AB193:AQ193))</f>
        <v>0</v>
      </c>
      <c r="Y193">
        <f>COUNTBLANK(metadata!B193:Q193)=COLUMNS(metadata!B193:Q193)</f>
        <v>0</v>
      </c>
      <c r="Z193">
        <v>0</v>
      </c>
      <c r="AB193">
        <f>AND(IF(metadata!B193="",FALSE,TRUE),COUNTIF(metadata!B:B, metadata!B193) = 1,NOT(ISERROR(SUMPRODUCT(SEARCH(MID(metadata!B193,ROW(INDIRECT("1:"&amp;LEN(metadata!B193))), 1),"0123456789abcdefghijklmnopqrstuvwxyzABCDEFGHIJKLMNOPQRSTUVWXYZ.")))))</f>
        <v>0</v>
      </c>
      <c r="AC193">
        <f>OR(AND(IF(metadata!C193="",FALSE,TRUE),OR(exact(metadata!C193,"missing: not collected"),exact(metadata!C193,"missing: not provided"),exact(metadata!C193,"missing: restricted access"))),AND(IF(metadata!C193="",FALSE,TRUE),AND(AND(IFERROR(INT(LEFT(metadata!C193,4))&gt;1900,FALSE),IFERROR(INT(LEFT(metadata!C193,4))&lt;=YEAR(NOW()),FALSE)), OR(MID(metadata!C193,5,1)="", AND(AND(MID(metadata!C193,5,1)="-",IFERROR(INT(MID(metadata!C193,6,1))&gt;=0,FALSE),IFERROR(INT(MID(metadata!C193,6,1))&lt;=1,FALSE),NOT(MID(metadata!C193,7,1)=""),IFERROR(INT(MID(metadata!C193,6,2))&gt;=1,FALSE),IFERROR(INT(MID(metadata!C193,6,2))&lt;=12,FALSE)), OR(MID(metadata!C193,8,1)="", AND(AND(MID(metadata!C193,8,1)="-",IFERROR(INT(MID(metadata!C193,9,1))&gt;=0,FALSE),IFERROR(INT(MID(metadata!C193,9,1))&lt;=3,FALSE),NOT(MID(metadata!C193,10,1)=""),IFERROR(INT(MID(metadata!C193,9,2))&gt;=1,FALSE),IFERROR(INT(MID(metadata!C193,9,2))&lt;=31,FALSE)), OR(MID(metadata!C193,11,1)="", AND(AND(MID(metadata!C193,11,1)=" ",IFERROR(INT(MID(metadata!C193,12,1))&gt;=0,FALSE),IFERROR(INT(MID(metadata!C193,12,1))&lt;=2,FALSE),NOT(MID(metadata!C193,13,1)=""),IFERROR(INT(MID(metadata!C193,12,2))&gt;=0,FALSE),IFERROR(INT(MID(metadata!C193,12,2))&lt;=23,FALSE)), OR(MID(metadata!C193,14,1)="", AND(AND(MID(metadata!C193,14,1)=":",IFERROR(INT(MID(metadata!C193,15,1))&gt;=0,FALSE),IFERROR(INT(MID(metadata!C193,15,1))&lt;=5,FALSE),NOT(MID(metadata!C193,16,1)=""),IFERROR(INT(MID(metadata!C193,15,2))&gt;=0,FALSE),IFERROR(INT(MID(metadata!C193,15,2))&lt;=59,FALSE)), OR(MID(metadata!C193,17,1)="", AND(AND(MID(metadata!C193,17,1)=":",IFERROR(INT(MID(metadata!C193,18,1))&gt;=0,FALSE),IFERROR(INT(MID(metadata!C193,18,1))&lt;=5,FALSE),NOT(MID(metadata!C193,19,1)=""),IFERROR(INT(MID(metadata!C193,18,2))&gt;=0,FALSE),IFERROR(INT(MID(metadata!C193,18,2))&lt;=59,FALSE)), LEN(metadata!C193)&lt;=19)))))))))))))</f>
        <v>0</v>
      </c>
      <c r="AD193">
        <f>IF(metadata!D193="",FALSE,TRUE)</f>
        <v>0</v>
      </c>
      <c r="AE193">
        <f>OR(AND(IF(metadata!E193="",FALSE,TRUE),OR(exact(metadata!E193,"missing: not collected"),exact(metadata!E193,"missing: not provided"))),AND(IF(metadata!E193="",FALSE,TRUE),OR(exact(metadata!E193,"TRUE"),exact(metadata!E193,"FALSE"))))</f>
        <v>0</v>
      </c>
      <c r="AF193">
        <f>IF(metadata!F193="",FALSE,TRUE)</f>
        <v>0</v>
      </c>
      <c r="AG193">
        <f>IF(metadata!G193="",FALSE,TRUE)</f>
        <v>0</v>
      </c>
      <c r="AH193">
        <f>IF(metadata!H193="",FALSE,TRUE)</f>
        <v>0</v>
      </c>
      <c r="AI193">
        <f>OR(AND(IF(metadata!I193="",FALSE,TRUE),OR(exact(metadata!I193,"missing: not collected"),exact(metadata!I193,"missing: not provided"),exact(metadata!I193,"missing: restricted access"))),AND(IF(metadata!I193="",FALSE,TRUE),OR(exact(metadata!I193,"air"),exact(metadata!I193,"built environment"),exact(metadata!I193,"host-associated"),exact(metadata!I193,"human-associated"),exact(metadata!I193,"human-skin"),exact(metadata!I193,"human-oral"),exact(metadata!I193,"human-gut"),exact(metadata!I193,"human-vaginal"),exact(metadata!I193,"microbial mat/biofilm"),exact(metadata!I193,"misc environment"),exact(metadata!I193,"plant-associated"),exact(metadata!I193,"sediment"),exact(metadata!I193,"soil"),exact(metadata!I193,"wastewater/sludge"),exact(metadata!I193,"water"))))</f>
        <v>0</v>
      </c>
      <c r="AJ193">
        <f>IF(metadata!J193="",FALSE,TRUE)</f>
        <v>0</v>
      </c>
      <c r="AK193">
        <f>OR(AND(IF(metadata!K193="",FALSE,TRUE),OR(exact(metadata!K193,"missing: not collected"),exact(metadata!K193,"missing: not provided"),exact(metadata!K193,"missing: restricted access"))),AND(IF(metadata!K193="",FALSE,ISNUMBER(VALUE(metadata!K193))),metadata!K193&gt;=-90.00,metadata!K193&lt;=90.00))</f>
        <v>0</v>
      </c>
      <c r="AL193">
        <f>OR(AND(IF(metadata!L193="",FALSE,TRUE),OR(exact(metadata!L193,"missing: not collected"),exact(metadata!L193,"missing: not provided"),exact(metadata!L193,"missing: restricted access"))),AND(IF(metadata!L193="",FALSE,ISNUMBER(VALUE(metadata!L193))),metadata!L193&gt;=-180.00,metadata!L193&lt;=180.00))</f>
        <v>0</v>
      </c>
      <c r="AM193">
        <f>IF(metadata!M193="",FALSE,TRUE)</f>
        <v>0</v>
      </c>
      <c r="AN193">
        <f>OR(AND(IF(metadata!N193="",FALSE,TRUE),OR(exact(metadata!N193,"missing: not collected"),exact(metadata!N193,"missing: not provided"),exact(metadata!N193,"missing: restricted access"))),AND(IF(metadata!N193="",FALSE,TRUE),OR(exact(metadata!N193,"TRUE"),exact(metadata!N193,"FALSE"))))</f>
        <v>0</v>
      </c>
      <c r="AO193">
        <f>IF(metadata!O193="",FALSE,TRUE)</f>
        <v>0</v>
      </c>
      <c r="AP193">
        <f>OR(AND(IF(metadata!P193="",FALSE,TRUE),OR(exact(metadata!P193,"missing: not collected"),exact(metadata!P193,"missing: not provided"))),AND(IF(metadata!P193="",FALSE,IF(ISERROR(INT(metadata!P193)),FALSE,INT(metadata!P193)=metadata!P193)),metadata!P193&gt;0))</f>
        <v>0</v>
      </c>
      <c r="AQ193">
        <f>IF(metadata!Q193="",FALSE,TRUE)</f>
        <v>0</v>
      </c>
    </row>
    <row r="194" spans="1:43">
      <c r="A194" s="5">
        <f>IF(B194=" "," ",HYPERLINK(CONCATENATE("#metadata!",ADDRESS(INDEX($W$2:$W$1001,MATCH(ROWS($U$2:U194),$U$2:$U$1001,0),0),1)),INDEX($Z$2:$Z$1001,MATCH(ROWS($U$2:U194),$U$2:$U$1001,0),0)))</f>
        <v>0</v>
      </c>
      <c r="B194" s="4">
        <f>IF(OR(INDEX($V$2:$V$1001,MATCH(ROWS($U$2:U194),$U$2:$U$1001,0),1)&gt;=100000,INDEX($AB$1005:$AQ$1005,1,MATCH(COLUMNS($AB$1006:AB1006),$AB$1006:$AQ$1006,0))&gt;=100000), " ",IF(INDEX($AB$2:$AQ$1001,MATCH(ROWS($U$2:U194),$U$2:$U$1001,0),MATCH(COLUMNS($AB$1006:AB1006),$AB$1006:$AQ$1006,0)), HYPERLINK("#",""), HYPERLINK(CONCATENATE("#metadata!", ADDRESS(INDEX($W$2:$W$1001,MATCH(ROWS($U$2:U194),$U$2:$U$1001,0),0), INDEX($AB$1004:$AQ$1004,1,MATCH(COLUMNS($AB$1006:AB1006),$AB$1006:$AQ$1006,0)))),"Fix")))</f>
        <v>0</v>
      </c>
      <c r="C194" s="4">
        <f>IF(OR(INDEX($V$2:$V$1001,MATCH(ROWS($U$2:U194),$U$2:$U$1001,0),1)&gt;=100000,INDEX($AB$1005:$AQ$1005,1,MATCH(COLUMNS($AB$1006:AC1006),$AB$1006:$AQ$1006,0))&gt;=100000), " ",IF(INDEX($AB$2:$AQ$1001,MATCH(ROWS($U$2:U194),$U$2:$U$1001,0),MATCH(COLUMNS($AB$1006:AC1006),$AB$1006:$AQ$1006,0)), HYPERLINK("#",""), HYPERLINK(CONCATENATE("#metadata!", ADDRESS(INDEX($W$2:$W$1001,MATCH(ROWS($U$2:U194),$U$2:$U$1001,0),0), INDEX($AB$1004:$AQ$1004,1,MATCH(COLUMNS($AB$1006:AC1006),$AB$1006:$AQ$1006,0)))),"Fix")))</f>
        <v>0</v>
      </c>
      <c r="D194" s="4">
        <f>IF(OR(INDEX($V$2:$V$1001,MATCH(ROWS($U$2:U194),$U$2:$U$1001,0),1)&gt;=100000,INDEX($AB$1005:$AQ$1005,1,MATCH(COLUMNS($AB$1006:AD1006),$AB$1006:$AQ$1006,0))&gt;=100000), " ",IF(INDEX($AB$2:$AQ$1001,MATCH(ROWS($U$2:U194),$U$2:$U$1001,0),MATCH(COLUMNS($AB$1006:AD1006),$AB$1006:$AQ$1006,0)), HYPERLINK("#",""), HYPERLINK(CONCATENATE("#metadata!", ADDRESS(INDEX($W$2:$W$1001,MATCH(ROWS($U$2:U194),$U$2:$U$1001,0),0), INDEX($AB$1004:$AQ$1004,1,MATCH(COLUMNS($AB$1006:AD1006),$AB$1006:$AQ$1006,0)))),"Fix")))</f>
        <v>0</v>
      </c>
      <c r="E194" s="4">
        <f>IF(OR(INDEX($V$2:$V$1001,MATCH(ROWS($U$2:U194),$U$2:$U$1001,0),1)&gt;=100000,INDEX($AB$1005:$AQ$1005,1,MATCH(COLUMNS($AB$1006:AE1006),$AB$1006:$AQ$1006,0))&gt;=100000), " ",IF(INDEX($AB$2:$AQ$1001,MATCH(ROWS($U$2:U194),$U$2:$U$1001,0),MATCH(COLUMNS($AB$1006:AE1006),$AB$1006:$AQ$1006,0)), HYPERLINK("#",""), HYPERLINK(CONCATENATE("#metadata!", ADDRESS(INDEX($W$2:$W$1001,MATCH(ROWS($U$2:U194),$U$2:$U$1001,0),0), INDEX($AB$1004:$AQ$1004,1,MATCH(COLUMNS($AB$1006:AE1006),$AB$1006:$AQ$1006,0)))),"Fix")))</f>
        <v>0</v>
      </c>
      <c r="F194" s="4">
        <f>IF(OR(INDEX($V$2:$V$1001,MATCH(ROWS($U$2:U194),$U$2:$U$1001,0),1)&gt;=100000,INDEX($AB$1005:$AQ$1005,1,MATCH(COLUMNS($AB$1006:AF1006),$AB$1006:$AQ$1006,0))&gt;=100000), " ",IF(INDEX($AB$2:$AQ$1001,MATCH(ROWS($U$2:U194),$U$2:$U$1001,0),MATCH(COLUMNS($AB$1006:AF1006),$AB$1006:$AQ$1006,0)), HYPERLINK("#",""), HYPERLINK(CONCATENATE("#metadata!", ADDRESS(INDEX($W$2:$W$1001,MATCH(ROWS($U$2:U194),$U$2:$U$1001,0),0), INDEX($AB$1004:$AQ$1004,1,MATCH(COLUMNS($AB$1006:AF1006),$AB$1006:$AQ$1006,0)))),"Fix")))</f>
        <v>0</v>
      </c>
      <c r="G194" s="4">
        <f>IF(OR(INDEX($V$2:$V$1001,MATCH(ROWS($U$2:U194),$U$2:$U$1001,0),1)&gt;=100000,INDEX($AB$1005:$AQ$1005,1,MATCH(COLUMNS($AB$1006:AG1006),$AB$1006:$AQ$1006,0))&gt;=100000), " ",IF(INDEX($AB$2:$AQ$1001,MATCH(ROWS($U$2:U194),$U$2:$U$1001,0),MATCH(COLUMNS($AB$1006:AG1006),$AB$1006:$AQ$1006,0)), HYPERLINK("#",""), HYPERLINK(CONCATENATE("#metadata!", ADDRESS(INDEX($W$2:$W$1001,MATCH(ROWS($U$2:U194),$U$2:$U$1001,0),0), INDEX($AB$1004:$AQ$1004,1,MATCH(COLUMNS($AB$1006:AG1006),$AB$1006:$AQ$1006,0)))),"Fix")))</f>
        <v>0</v>
      </c>
      <c r="H194" s="4">
        <f>IF(OR(INDEX($V$2:$V$1001,MATCH(ROWS($U$2:U194),$U$2:$U$1001,0),1)&gt;=100000,INDEX($AB$1005:$AQ$1005,1,MATCH(COLUMNS($AB$1006:AH1006),$AB$1006:$AQ$1006,0))&gt;=100000), " ",IF(INDEX($AB$2:$AQ$1001,MATCH(ROWS($U$2:U194),$U$2:$U$1001,0),MATCH(COLUMNS($AB$1006:AH1006),$AB$1006:$AQ$1006,0)), HYPERLINK("#",""), HYPERLINK(CONCATENATE("#metadata!", ADDRESS(INDEX($W$2:$W$1001,MATCH(ROWS($U$2:U194),$U$2:$U$1001,0),0), INDEX($AB$1004:$AQ$1004,1,MATCH(COLUMNS($AB$1006:AH1006),$AB$1006:$AQ$1006,0)))),"Fix")))</f>
        <v>0</v>
      </c>
      <c r="I194" s="4">
        <f>IF(OR(INDEX($V$2:$V$1001,MATCH(ROWS($U$2:U194),$U$2:$U$1001,0),1)&gt;=100000,INDEX($AB$1005:$AQ$1005,1,MATCH(COLUMNS($AB$1006:AI1006),$AB$1006:$AQ$1006,0))&gt;=100000), " ",IF(INDEX($AB$2:$AQ$1001,MATCH(ROWS($U$2:U194),$U$2:$U$1001,0),MATCH(COLUMNS($AB$1006:AI1006),$AB$1006:$AQ$1006,0)), HYPERLINK("#",""), HYPERLINK(CONCATENATE("#metadata!", ADDRESS(INDEX($W$2:$W$1001,MATCH(ROWS($U$2:U194),$U$2:$U$1001,0),0), INDEX($AB$1004:$AQ$1004,1,MATCH(COLUMNS($AB$1006:AI1006),$AB$1006:$AQ$1006,0)))),"Fix")))</f>
        <v>0</v>
      </c>
      <c r="J194" s="4">
        <f>IF(OR(INDEX($V$2:$V$1001,MATCH(ROWS($U$2:U194),$U$2:$U$1001,0),1)&gt;=100000,INDEX($AB$1005:$AQ$1005,1,MATCH(COLUMNS($AB$1006:AJ1006),$AB$1006:$AQ$1006,0))&gt;=100000), " ",IF(INDEX($AB$2:$AQ$1001,MATCH(ROWS($U$2:U194),$U$2:$U$1001,0),MATCH(COLUMNS($AB$1006:AJ1006),$AB$1006:$AQ$1006,0)), HYPERLINK("#",""), HYPERLINK(CONCATENATE("#metadata!", ADDRESS(INDEX($W$2:$W$1001,MATCH(ROWS($U$2:U194),$U$2:$U$1001,0),0), INDEX($AB$1004:$AQ$1004,1,MATCH(COLUMNS($AB$1006:AJ1006),$AB$1006:$AQ$1006,0)))),"Fix")))</f>
        <v>0</v>
      </c>
      <c r="K194" s="4">
        <f>IF(OR(INDEX($V$2:$V$1001,MATCH(ROWS($U$2:U194),$U$2:$U$1001,0),1)&gt;=100000,INDEX($AB$1005:$AQ$1005,1,MATCH(COLUMNS($AB$1006:AK1006),$AB$1006:$AQ$1006,0))&gt;=100000), " ",IF(INDEX($AB$2:$AQ$1001,MATCH(ROWS($U$2:U194),$U$2:$U$1001,0),MATCH(COLUMNS($AB$1006:AK1006),$AB$1006:$AQ$1006,0)), HYPERLINK("#",""), HYPERLINK(CONCATENATE("#metadata!", ADDRESS(INDEX($W$2:$W$1001,MATCH(ROWS($U$2:U194),$U$2:$U$1001,0),0), INDEX($AB$1004:$AQ$1004,1,MATCH(COLUMNS($AB$1006:AK1006),$AB$1006:$AQ$1006,0)))),"Fix")))</f>
        <v>0</v>
      </c>
      <c r="L194" s="4">
        <f>IF(OR(INDEX($V$2:$V$1001,MATCH(ROWS($U$2:U194),$U$2:$U$1001,0),1)&gt;=100000,INDEX($AB$1005:$AQ$1005,1,MATCH(COLUMNS($AB$1006:AL1006),$AB$1006:$AQ$1006,0))&gt;=100000), " ",IF(INDEX($AB$2:$AQ$1001,MATCH(ROWS($U$2:U194),$U$2:$U$1001,0),MATCH(COLUMNS($AB$1006:AL1006),$AB$1006:$AQ$1006,0)), HYPERLINK("#",""), HYPERLINK(CONCATENATE("#metadata!", ADDRESS(INDEX($W$2:$W$1001,MATCH(ROWS($U$2:U194),$U$2:$U$1001,0),0), INDEX($AB$1004:$AQ$1004,1,MATCH(COLUMNS($AB$1006:AL1006),$AB$1006:$AQ$1006,0)))),"Fix")))</f>
        <v>0</v>
      </c>
      <c r="M194" s="4">
        <f>IF(OR(INDEX($V$2:$V$1001,MATCH(ROWS($U$2:U194),$U$2:$U$1001,0),1)&gt;=100000,INDEX($AB$1005:$AQ$1005,1,MATCH(COLUMNS($AB$1006:AM1006),$AB$1006:$AQ$1006,0))&gt;=100000), " ",IF(INDEX($AB$2:$AQ$1001,MATCH(ROWS($U$2:U194),$U$2:$U$1001,0),MATCH(COLUMNS($AB$1006:AM1006),$AB$1006:$AQ$1006,0)), HYPERLINK("#",""), HYPERLINK(CONCATENATE("#metadata!", ADDRESS(INDEX($W$2:$W$1001,MATCH(ROWS($U$2:U194),$U$2:$U$1001,0),0), INDEX($AB$1004:$AQ$1004,1,MATCH(COLUMNS($AB$1006:AM1006),$AB$1006:$AQ$1006,0)))),"Fix")))</f>
        <v>0</v>
      </c>
      <c r="N194" s="4">
        <f>IF(OR(INDEX($V$2:$V$1001,MATCH(ROWS($U$2:U194),$U$2:$U$1001,0),1)&gt;=100000,INDEX($AB$1005:$AQ$1005,1,MATCH(COLUMNS($AB$1006:AN1006),$AB$1006:$AQ$1006,0))&gt;=100000), " ",IF(INDEX($AB$2:$AQ$1001,MATCH(ROWS($U$2:U194),$U$2:$U$1001,0),MATCH(COLUMNS($AB$1006:AN1006),$AB$1006:$AQ$1006,0)), HYPERLINK("#",""), HYPERLINK(CONCATENATE("#metadata!", ADDRESS(INDEX($W$2:$W$1001,MATCH(ROWS($U$2:U194),$U$2:$U$1001,0),0), INDEX($AB$1004:$AQ$1004,1,MATCH(COLUMNS($AB$1006:AN1006),$AB$1006:$AQ$1006,0)))),"Fix")))</f>
        <v>0</v>
      </c>
      <c r="O194" s="4">
        <f>IF(OR(INDEX($V$2:$V$1001,MATCH(ROWS($U$2:U194),$U$2:$U$1001,0),1)&gt;=100000,INDEX($AB$1005:$AQ$1005,1,MATCH(COLUMNS($AB$1006:AO1006),$AB$1006:$AQ$1006,0))&gt;=100000), " ",IF(INDEX($AB$2:$AQ$1001,MATCH(ROWS($U$2:U194),$U$2:$U$1001,0),MATCH(COLUMNS($AB$1006:AO1006),$AB$1006:$AQ$1006,0)), HYPERLINK("#",""), HYPERLINK(CONCATENATE("#metadata!", ADDRESS(INDEX($W$2:$W$1001,MATCH(ROWS($U$2:U194),$U$2:$U$1001,0),0), INDEX($AB$1004:$AQ$1004,1,MATCH(COLUMNS($AB$1006:AO1006),$AB$1006:$AQ$1006,0)))),"Fix")))</f>
        <v>0</v>
      </c>
      <c r="P194" s="4">
        <f>IF(OR(INDEX($V$2:$V$1001,MATCH(ROWS($U$2:U194),$U$2:$U$1001,0),1)&gt;=100000,INDEX($AB$1005:$AQ$1005,1,MATCH(COLUMNS($AB$1006:AP1006),$AB$1006:$AQ$1006,0))&gt;=100000), " ",IF(INDEX($AB$2:$AQ$1001,MATCH(ROWS($U$2:U194),$U$2:$U$1001,0),MATCH(COLUMNS($AB$1006:AP1006),$AB$1006:$AQ$1006,0)), HYPERLINK("#",""), HYPERLINK(CONCATENATE("#metadata!", ADDRESS(INDEX($W$2:$W$1001,MATCH(ROWS($U$2:U194),$U$2:$U$1001,0),0), INDEX($AB$1004:$AQ$1004,1,MATCH(COLUMNS($AB$1006:AP1006),$AB$1006:$AQ$1006,0)))),"Fix")))</f>
        <v>0</v>
      </c>
      <c r="Q194" s="4">
        <f>IF(OR(INDEX($V$2:$V$1001,MATCH(ROWS($U$2:U194),$U$2:$U$1001,0),1)&gt;=100000,INDEX($AB$1005:$AQ$1005,1,MATCH(COLUMNS($AB$1006:AQ1006),$AB$1006:$AQ$1006,0))&gt;=100000), " ",IF(INDEX($AB$2:$AQ$1001,MATCH(ROWS($U$2:U194),$U$2:$U$1001,0),MATCH(COLUMNS($AB$1006:AQ1006),$AB$1006:$AQ$1006,0)), HYPERLINK("#",""), HYPERLINK(CONCATENATE("#metadata!", ADDRESS(INDEX($W$2:$W$1001,MATCH(ROWS($U$2:U194),$U$2:$U$1001,0),0), INDEX($AB$1004:$AQ$1004,1,MATCH(COLUMNS($AB$1006:AQ1006),$AB$1006:$AQ$1006,0)))),"Fix")))</f>
        <v>0</v>
      </c>
      <c r="U194">
        <v>0</v>
      </c>
      <c r="V194">
        <v>0</v>
      </c>
      <c r="W194">
        <v>0</v>
      </c>
      <c r="X194">
        <f>IF(Y194,TRUE,AND(AB194:AQ194))</f>
        <v>0</v>
      </c>
      <c r="Y194">
        <f>COUNTBLANK(metadata!B194:Q194)=COLUMNS(metadata!B194:Q194)</f>
        <v>0</v>
      </c>
      <c r="Z194">
        <v>0</v>
      </c>
      <c r="AB194">
        <f>AND(IF(metadata!B194="",FALSE,TRUE),COUNTIF(metadata!B:B, metadata!B194) = 1,NOT(ISERROR(SUMPRODUCT(SEARCH(MID(metadata!B194,ROW(INDIRECT("1:"&amp;LEN(metadata!B194))), 1),"0123456789abcdefghijklmnopqrstuvwxyzABCDEFGHIJKLMNOPQRSTUVWXYZ.")))))</f>
        <v>0</v>
      </c>
      <c r="AC194">
        <f>OR(AND(IF(metadata!C194="",FALSE,TRUE),OR(exact(metadata!C194,"missing: not collected"),exact(metadata!C194,"missing: not provided"),exact(metadata!C194,"missing: restricted access"))),AND(IF(metadata!C194="",FALSE,TRUE),AND(AND(IFERROR(INT(LEFT(metadata!C194,4))&gt;1900,FALSE),IFERROR(INT(LEFT(metadata!C194,4))&lt;=YEAR(NOW()),FALSE)), OR(MID(metadata!C194,5,1)="", AND(AND(MID(metadata!C194,5,1)="-",IFERROR(INT(MID(metadata!C194,6,1))&gt;=0,FALSE),IFERROR(INT(MID(metadata!C194,6,1))&lt;=1,FALSE),NOT(MID(metadata!C194,7,1)=""),IFERROR(INT(MID(metadata!C194,6,2))&gt;=1,FALSE),IFERROR(INT(MID(metadata!C194,6,2))&lt;=12,FALSE)), OR(MID(metadata!C194,8,1)="", AND(AND(MID(metadata!C194,8,1)="-",IFERROR(INT(MID(metadata!C194,9,1))&gt;=0,FALSE),IFERROR(INT(MID(metadata!C194,9,1))&lt;=3,FALSE),NOT(MID(metadata!C194,10,1)=""),IFERROR(INT(MID(metadata!C194,9,2))&gt;=1,FALSE),IFERROR(INT(MID(metadata!C194,9,2))&lt;=31,FALSE)), OR(MID(metadata!C194,11,1)="", AND(AND(MID(metadata!C194,11,1)=" ",IFERROR(INT(MID(metadata!C194,12,1))&gt;=0,FALSE),IFERROR(INT(MID(metadata!C194,12,1))&lt;=2,FALSE),NOT(MID(metadata!C194,13,1)=""),IFERROR(INT(MID(metadata!C194,12,2))&gt;=0,FALSE),IFERROR(INT(MID(metadata!C194,12,2))&lt;=23,FALSE)), OR(MID(metadata!C194,14,1)="", AND(AND(MID(metadata!C194,14,1)=":",IFERROR(INT(MID(metadata!C194,15,1))&gt;=0,FALSE),IFERROR(INT(MID(metadata!C194,15,1))&lt;=5,FALSE),NOT(MID(metadata!C194,16,1)=""),IFERROR(INT(MID(metadata!C194,15,2))&gt;=0,FALSE),IFERROR(INT(MID(metadata!C194,15,2))&lt;=59,FALSE)), OR(MID(metadata!C194,17,1)="", AND(AND(MID(metadata!C194,17,1)=":",IFERROR(INT(MID(metadata!C194,18,1))&gt;=0,FALSE),IFERROR(INT(MID(metadata!C194,18,1))&lt;=5,FALSE),NOT(MID(metadata!C194,19,1)=""),IFERROR(INT(MID(metadata!C194,18,2))&gt;=0,FALSE),IFERROR(INT(MID(metadata!C194,18,2))&lt;=59,FALSE)), LEN(metadata!C194)&lt;=19)))))))))))))</f>
        <v>0</v>
      </c>
      <c r="AD194">
        <f>IF(metadata!D194="",FALSE,TRUE)</f>
        <v>0</v>
      </c>
      <c r="AE194">
        <f>OR(AND(IF(metadata!E194="",FALSE,TRUE),OR(exact(metadata!E194,"missing: not collected"),exact(metadata!E194,"missing: not provided"))),AND(IF(metadata!E194="",FALSE,TRUE),OR(exact(metadata!E194,"TRUE"),exact(metadata!E194,"FALSE"))))</f>
        <v>0</v>
      </c>
      <c r="AF194">
        <f>IF(metadata!F194="",FALSE,TRUE)</f>
        <v>0</v>
      </c>
      <c r="AG194">
        <f>IF(metadata!G194="",FALSE,TRUE)</f>
        <v>0</v>
      </c>
      <c r="AH194">
        <f>IF(metadata!H194="",FALSE,TRUE)</f>
        <v>0</v>
      </c>
      <c r="AI194">
        <f>OR(AND(IF(metadata!I194="",FALSE,TRUE),OR(exact(metadata!I194,"missing: not collected"),exact(metadata!I194,"missing: not provided"),exact(metadata!I194,"missing: restricted access"))),AND(IF(metadata!I194="",FALSE,TRUE),OR(exact(metadata!I194,"air"),exact(metadata!I194,"built environment"),exact(metadata!I194,"host-associated"),exact(metadata!I194,"human-associated"),exact(metadata!I194,"human-skin"),exact(metadata!I194,"human-oral"),exact(metadata!I194,"human-gut"),exact(metadata!I194,"human-vaginal"),exact(metadata!I194,"microbial mat/biofilm"),exact(metadata!I194,"misc environment"),exact(metadata!I194,"plant-associated"),exact(metadata!I194,"sediment"),exact(metadata!I194,"soil"),exact(metadata!I194,"wastewater/sludge"),exact(metadata!I194,"water"))))</f>
        <v>0</v>
      </c>
      <c r="AJ194">
        <f>IF(metadata!J194="",FALSE,TRUE)</f>
        <v>0</v>
      </c>
      <c r="AK194">
        <f>OR(AND(IF(metadata!K194="",FALSE,TRUE),OR(exact(metadata!K194,"missing: not collected"),exact(metadata!K194,"missing: not provided"),exact(metadata!K194,"missing: restricted access"))),AND(IF(metadata!K194="",FALSE,ISNUMBER(VALUE(metadata!K194))),metadata!K194&gt;=-90.00,metadata!K194&lt;=90.00))</f>
        <v>0</v>
      </c>
      <c r="AL194">
        <f>OR(AND(IF(metadata!L194="",FALSE,TRUE),OR(exact(metadata!L194,"missing: not collected"),exact(metadata!L194,"missing: not provided"),exact(metadata!L194,"missing: restricted access"))),AND(IF(metadata!L194="",FALSE,ISNUMBER(VALUE(metadata!L194))),metadata!L194&gt;=-180.00,metadata!L194&lt;=180.00))</f>
        <v>0</v>
      </c>
      <c r="AM194">
        <f>IF(metadata!M194="",FALSE,TRUE)</f>
        <v>0</v>
      </c>
      <c r="AN194">
        <f>OR(AND(IF(metadata!N194="",FALSE,TRUE),OR(exact(metadata!N194,"missing: not collected"),exact(metadata!N194,"missing: not provided"),exact(metadata!N194,"missing: restricted access"))),AND(IF(metadata!N194="",FALSE,TRUE),OR(exact(metadata!N194,"TRUE"),exact(metadata!N194,"FALSE"))))</f>
        <v>0</v>
      </c>
      <c r="AO194">
        <f>IF(metadata!O194="",FALSE,TRUE)</f>
        <v>0</v>
      </c>
      <c r="AP194">
        <f>OR(AND(IF(metadata!P194="",FALSE,TRUE),OR(exact(metadata!P194,"missing: not collected"),exact(metadata!P194,"missing: not provided"))),AND(IF(metadata!P194="",FALSE,IF(ISERROR(INT(metadata!P194)),FALSE,INT(metadata!P194)=metadata!P194)),metadata!P194&gt;0))</f>
        <v>0</v>
      </c>
      <c r="AQ194">
        <f>IF(metadata!Q194="",FALSE,TRUE)</f>
        <v>0</v>
      </c>
    </row>
    <row r="195" spans="1:43">
      <c r="A195" s="5">
        <f>IF(B195=" "," ",HYPERLINK(CONCATENATE("#metadata!",ADDRESS(INDEX($W$2:$W$1001,MATCH(ROWS($U$2:U195),$U$2:$U$1001,0),0),1)),INDEX($Z$2:$Z$1001,MATCH(ROWS($U$2:U195),$U$2:$U$1001,0),0)))</f>
        <v>0</v>
      </c>
      <c r="B195" s="4">
        <f>IF(OR(INDEX($V$2:$V$1001,MATCH(ROWS($U$2:U195),$U$2:$U$1001,0),1)&gt;=100000,INDEX($AB$1005:$AQ$1005,1,MATCH(COLUMNS($AB$1006:AB1006),$AB$1006:$AQ$1006,0))&gt;=100000), " ",IF(INDEX($AB$2:$AQ$1001,MATCH(ROWS($U$2:U195),$U$2:$U$1001,0),MATCH(COLUMNS($AB$1006:AB1006),$AB$1006:$AQ$1006,0)), HYPERLINK("#",""), HYPERLINK(CONCATENATE("#metadata!", ADDRESS(INDEX($W$2:$W$1001,MATCH(ROWS($U$2:U195),$U$2:$U$1001,0),0), INDEX($AB$1004:$AQ$1004,1,MATCH(COLUMNS($AB$1006:AB1006),$AB$1006:$AQ$1006,0)))),"Fix")))</f>
        <v>0</v>
      </c>
      <c r="C195" s="4">
        <f>IF(OR(INDEX($V$2:$V$1001,MATCH(ROWS($U$2:U195),$U$2:$U$1001,0),1)&gt;=100000,INDEX($AB$1005:$AQ$1005,1,MATCH(COLUMNS($AB$1006:AC1006),$AB$1006:$AQ$1006,0))&gt;=100000), " ",IF(INDEX($AB$2:$AQ$1001,MATCH(ROWS($U$2:U195),$U$2:$U$1001,0),MATCH(COLUMNS($AB$1006:AC1006),$AB$1006:$AQ$1006,0)), HYPERLINK("#",""), HYPERLINK(CONCATENATE("#metadata!", ADDRESS(INDEX($W$2:$W$1001,MATCH(ROWS($U$2:U195),$U$2:$U$1001,0),0), INDEX($AB$1004:$AQ$1004,1,MATCH(COLUMNS($AB$1006:AC1006),$AB$1006:$AQ$1006,0)))),"Fix")))</f>
        <v>0</v>
      </c>
      <c r="D195" s="4">
        <f>IF(OR(INDEX($V$2:$V$1001,MATCH(ROWS($U$2:U195),$U$2:$U$1001,0),1)&gt;=100000,INDEX($AB$1005:$AQ$1005,1,MATCH(COLUMNS($AB$1006:AD1006),$AB$1006:$AQ$1006,0))&gt;=100000), " ",IF(INDEX($AB$2:$AQ$1001,MATCH(ROWS($U$2:U195),$U$2:$U$1001,0),MATCH(COLUMNS($AB$1006:AD1006),$AB$1006:$AQ$1006,0)), HYPERLINK("#",""), HYPERLINK(CONCATENATE("#metadata!", ADDRESS(INDEX($W$2:$W$1001,MATCH(ROWS($U$2:U195),$U$2:$U$1001,0),0), INDEX($AB$1004:$AQ$1004,1,MATCH(COLUMNS($AB$1006:AD1006),$AB$1006:$AQ$1006,0)))),"Fix")))</f>
        <v>0</v>
      </c>
      <c r="E195" s="4">
        <f>IF(OR(INDEX($V$2:$V$1001,MATCH(ROWS($U$2:U195),$U$2:$U$1001,0),1)&gt;=100000,INDEX($AB$1005:$AQ$1005,1,MATCH(COLUMNS($AB$1006:AE1006),$AB$1006:$AQ$1006,0))&gt;=100000), " ",IF(INDEX($AB$2:$AQ$1001,MATCH(ROWS($U$2:U195),$U$2:$U$1001,0),MATCH(COLUMNS($AB$1006:AE1006),$AB$1006:$AQ$1006,0)), HYPERLINK("#",""), HYPERLINK(CONCATENATE("#metadata!", ADDRESS(INDEX($W$2:$W$1001,MATCH(ROWS($U$2:U195),$U$2:$U$1001,0),0), INDEX($AB$1004:$AQ$1004,1,MATCH(COLUMNS($AB$1006:AE1006),$AB$1006:$AQ$1006,0)))),"Fix")))</f>
        <v>0</v>
      </c>
      <c r="F195" s="4">
        <f>IF(OR(INDEX($V$2:$V$1001,MATCH(ROWS($U$2:U195),$U$2:$U$1001,0),1)&gt;=100000,INDEX($AB$1005:$AQ$1005,1,MATCH(COLUMNS($AB$1006:AF1006),$AB$1006:$AQ$1006,0))&gt;=100000), " ",IF(INDEX($AB$2:$AQ$1001,MATCH(ROWS($U$2:U195),$U$2:$U$1001,0),MATCH(COLUMNS($AB$1006:AF1006),$AB$1006:$AQ$1006,0)), HYPERLINK("#",""), HYPERLINK(CONCATENATE("#metadata!", ADDRESS(INDEX($W$2:$W$1001,MATCH(ROWS($U$2:U195),$U$2:$U$1001,0),0), INDEX($AB$1004:$AQ$1004,1,MATCH(COLUMNS($AB$1006:AF1006),$AB$1006:$AQ$1006,0)))),"Fix")))</f>
        <v>0</v>
      </c>
      <c r="G195" s="4">
        <f>IF(OR(INDEX($V$2:$V$1001,MATCH(ROWS($U$2:U195),$U$2:$U$1001,0),1)&gt;=100000,INDEX($AB$1005:$AQ$1005,1,MATCH(COLUMNS($AB$1006:AG1006),$AB$1006:$AQ$1006,0))&gt;=100000), " ",IF(INDEX($AB$2:$AQ$1001,MATCH(ROWS($U$2:U195),$U$2:$U$1001,0),MATCH(COLUMNS($AB$1006:AG1006),$AB$1006:$AQ$1006,0)), HYPERLINK("#",""), HYPERLINK(CONCATENATE("#metadata!", ADDRESS(INDEX($W$2:$W$1001,MATCH(ROWS($U$2:U195),$U$2:$U$1001,0),0), INDEX($AB$1004:$AQ$1004,1,MATCH(COLUMNS($AB$1006:AG1006),$AB$1006:$AQ$1006,0)))),"Fix")))</f>
        <v>0</v>
      </c>
      <c r="H195" s="4">
        <f>IF(OR(INDEX($V$2:$V$1001,MATCH(ROWS($U$2:U195),$U$2:$U$1001,0),1)&gt;=100000,INDEX($AB$1005:$AQ$1005,1,MATCH(COLUMNS($AB$1006:AH1006),$AB$1006:$AQ$1006,0))&gt;=100000), " ",IF(INDEX($AB$2:$AQ$1001,MATCH(ROWS($U$2:U195),$U$2:$U$1001,0),MATCH(COLUMNS($AB$1006:AH1006),$AB$1006:$AQ$1006,0)), HYPERLINK("#",""), HYPERLINK(CONCATENATE("#metadata!", ADDRESS(INDEX($W$2:$W$1001,MATCH(ROWS($U$2:U195),$U$2:$U$1001,0),0), INDEX($AB$1004:$AQ$1004,1,MATCH(COLUMNS($AB$1006:AH1006),$AB$1006:$AQ$1006,0)))),"Fix")))</f>
        <v>0</v>
      </c>
      <c r="I195" s="4">
        <f>IF(OR(INDEX($V$2:$V$1001,MATCH(ROWS($U$2:U195),$U$2:$U$1001,0),1)&gt;=100000,INDEX($AB$1005:$AQ$1005,1,MATCH(COLUMNS($AB$1006:AI1006),$AB$1006:$AQ$1006,0))&gt;=100000), " ",IF(INDEX($AB$2:$AQ$1001,MATCH(ROWS($U$2:U195),$U$2:$U$1001,0),MATCH(COLUMNS($AB$1006:AI1006),$AB$1006:$AQ$1006,0)), HYPERLINK("#",""), HYPERLINK(CONCATENATE("#metadata!", ADDRESS(INDEX($W$2:$W$1001,MATCH(ROWS($U$2:U195),$U$2:$U$1001,0),0), INDEX($AB$1004:$AQ$1004,1,MATCH(COLUMNS($AB$1006:AI1006),$AB$1006:$AQ$1006,0)))),"Fix")))</f>
        <v>0</v>
      </c>
      <c r="J195" s="4">
        <f>IF(OR(INDEX($V$2:$V$1001,MATCH(ROWS($U$2:U195),$U$2:$U$1001,0),1)&gt;=100000,INDEX($AB$1005:$AQ$1005,1,MATCH(COLUMNS($AB$1006:AJ1006),$AB$1006:$AQ$1006,0))&gt;=100000), " ",IF(INDEX($AB$2:$AQ$1001,MATCH(ROWS($U$2:U195),$U$2:$U$1001,0),MATCH(COLUMNS($AB$1006:AJ1006),$AB$1006:$AQ$1006,0)), HYPERLINK("#",""), HYPERLINK(CONCATENATE("#metadata!", ADDRESS(INDEX($W$2:$W$1001,MATCH(ROWS($U$2:U195),$U$2:$U$1001,0),0), INDEX($AB$1004:$AQ$1004,1,MATCH(COLUMNS($AB$1006:AJ1006),$AB$1006:$AQ$1006,0)))),"Fix")))</f>
        <v>0</v>
      </c>
      <c r="K195" s="4">
        <f>IF(OR(INDEX($V$2:$V$1001,MATCH(ROWS($U$2:U195),$U$2:$U$1001,0),1)&gt;=100000,INDEX($AB$1005:$AQ$1005,1,MATCH(COLUMNS($AB$1006:AK1006),$AB$1006:$AQ$1006,0))&gt;=100000), " ",IF(INDEX($AB$2:$AQ$1001,MATCH(ROWS($U$2:U195),$U$2:$U$1001,0),MATCH(COLUMNS($AB$1006:AK1006),$AB$1006:$AQ$1006,0)), HYPERLINK("#",""), HYPERLINK(CONCATENATE("#metadata!", ADDRESS(INDEX($W$2:$W$1001,MATCH(ROWS($U$2:U195),$U$2:$U$1001,0),0), INDEX($AB$1004:$AQ$1004,1,MATCH(COLUMNS($AB$1006:AK1006),$AB$1006:$AQ$1006,0)))),"Fix")))</f>
        <v>0</v>
      </c>
      <c r="L195" s="4">
        <f>IF(OR(INDEX($V$2:$V$1001,MATCH(ROWS($U$2:U195),$U$2:$U$1001,0),1)&gt;=100000,INDEX($AB$1005:$AQ$1005,1,MATCH(COLUMNS($AB$1006:AL1006),$AB$1006:$AQ$1006,0))&gt;=100000), " ",IF(INDEX($AB$2:$AQ$1001,MATCH(ROWS($U$2:U195),$U$2:$U$1001,0),MATCH(COLUMNS($AB$1006:AL1006),$AB$1006:$AQ$1006,0)), HYPERLINK("#",""), HYPERLINK(CONCATENATE("#metadata!", ADDRESS(INDEX($W$2:$W$1001,MATCH(ROWS($U$2:U195),$U$2:$U$1001,0),0), INDEX($AB$1004:$AQ$1004,1,MATCH(COLUMNS($AB$1006:AL1006),$AB$1006:$AQ$1006,0)))),"Fix")))</f>
        <v>0</v>
      </c>
      <c r="M195" s="4">
        <f>IF(OR(INDEX($V$2:$V$1001,MATCH(ROWS($U$2:U195),$U$2:$U$1001,0),1)&gt;=100000,INDEX($AB$1005:$AQ$1005,1,MATCH(COLUMNS($AB$1006:AM1006),$AB$1006:$AQ$1006,0))&gt;=100000), " ",IF(INDEX($AB$2:$AQ$1001,MATCH(ROWS($U$2:U195),$U$2:$U$1001,0),MATCH(COLUMNS($AB$1006:AM1006),$AB$1006:$AQ$1006,0)), HYPERLINK("#",""), HYPERLINK(CONCATENATE("#metadata!", ADDRESS(INDEX($W$2:$W$1001,MATCH(ROWS($U$2:U195),$U$2:$U$1001,0),0), INDEX($AB$1004:$AQ$1004,1,MATCH(COLUMNS($AB$1006:AM1006),$AB$1006:$AQ$1006,0)))),"Fix")))</f>
        <v>0</v>
      </c>
      <c r="N195" s="4">
        <f>IF(OR(INDEX($V$2:$V$1001,MATCH(ROWS($U$2:U195),$U$2:$U$1001,0),1)&gt;=100000,INDEX($AB$1005:$AQ$1005,1,MATCH(COLUMNS($AB$1006:AN1006),$AB$1006:$AQ$1006,0))&gt;=100000), " ",IF(INDEX($AB$2:$AQ$1001,MATCH(ROWS($U$2:U195),$U$2:$U$1001,0),MATCH(COLUMNS($AB$1006:AN1006),$AB$1006:$AQ$1006,0)), HYPERLINK("#",""), HYPERLINK(CONCATENATE("#metadata!", ADDRESS(INDEX($W$2:$W$1001,MATCH(ROWS($U$2:U195),$U$2:$U$1001,0),0), INDEX($AB$1004:$AQ$1004,1,MATCH(COLUMNS($AB$1006:AN1006),$AB$1006:$AQ$1006,0)))),"Fix")))</f>
        <v>0</v>
      </c>
      <c r="O195" s="4">
        <f>IF(OR(INDEX($V$2:$V$1001,MATCH(ROWS($U$2:U195),$U$2:$U$1001,0),1)&gt;=100000,INDEX($AB$1005:$AQ$1005,1,MATCH(COLUMNS($AB$1006:AO1006),$AB$1006:$AQ$1006,0))&gt;=100000), " ",IF(INDEX($AB$2:$AQ$1001,MATCH(ROWS($U$2:U195),$U$2:$U$1001,0),MATCH(COLUMNS($AB$1006:AO1006),$AB$1006:$AQ$1006,0)), HYPERLINK("#",""), HYPERLINK(CONCATENATE("#metadata!", ADDRESS(INDEX($W$2:$W$1001,MATCH(ROWS($U$2:U195),$U$2:$U$1001,0),0), INDEX($AB$1004:$AQ$1004,1,MATCH(COLUMNS($AB$1006:AO1006),$AB$1006:$AQ$1006,0)))),"Fix")))</f>
        <v>0</v>
      </c>
      <c r="P195" s="4">
        <f>IF(OR(INDEX($V$2:$V$1001,MATCH(ROWS($U$2:U195),$U$2:$U$1001,0),1)&gt;=100000,INDEX($AB$1005:$AQ$1005,1,MATCH(COLUMNS($AB$1006:AP1006),$AB$1006:$AQ$1006,0))&gt;=100000), " ",IF(INDEX($AB$2:$AQ$1001,MATCH(ROWS($U$2:U195),$U$2:$U$1001,0),MATCH(COLUMNS($AB$1006:AP1006),$AB$1006:$AQ$1006,0)), HYPERLINK("#",""), HYPERLINK(CONCATENATE("#metadata!", ADDRESS(INDEX($W$2:$W$1001,MATCH(ROWS($U$2:U195),$U$2:$U$1001,0),0), INDEX($AB$1004:$AQ$1004,1,MATCH(COLUMNS($AB$1006:AP1006),$AB$1006:$AQ$1006,0)))),"Fix")))</f>
        <v>0</v>
      </c>
      <c r="Q195" s="4">
        <f>IF(OR(INDEX($V$2:$V$1001,MATCH(ROWS($U$2:U195),$U$2:$U$1001,0),1)&gt;=100000,INDEX($AB$1005:$AQ$1005,1,MATCH(COLUMNS($AB$1006:AQ1006),$AB$1006:$AQ$1006,0))&gt;=100000), " ",IF(INDEX($AB$2:$AQ$1001,MATCH(ROWS($U$2:U195),$U$2:$U$1001,0),MATCH(COLUMNS($AB$1006:AQ1006),$AB$1006:$AQ$1006,0)), HYPERLINK("#",""), HYPERLINK(CONCATENATE("#metadata!", ADDRESS(INDEX($W$2:$W$1001,MATCH(ROWS($U$2:U195),$U$2:$U$1001,0),0), INDEX($AB$1004:$AQ$1004,1,MATCH(COLUMNS($AB$1006:AQ1006),$AB$1006:$AQ$1006,0)))),"Fix")))</f>
        <v>0</v>
      </c>
      <c r="U195">
        <v>0</v>
      </c>
      <c r="V195">
        <v>0</v>
      </c>
      <c r="W195">
        <v>0</v>
      </c>
      <c r="X195">
        <f>IF(Y195,TRUE,AND(AB195:AQ195))</f>
        <v>0</v>
      </c>
      <c r="Y195">
        <f>COUNTBLANK(metadata!B195:Q195)=COLUMNS(metadata!B195:Q195)</f>
        <v>0</v>
      </c>
      <c r="Z195">
        <v>0</v>
      </c>
      <c r="AB195">
        <f>AND(IF(metadata!B195="",FALSE,TRUE),COUNTIF(metadata!B:B, metadata!B195) = 1,NOT(ISERROR(SUMPRODUCT(SEARCH(MID(metadata!B195,ROW(INDIRECT("1:"&amp;LEN(metadata!B195))), 1),"0123456789abcdefghijklmnopqrstuvwxyzABCDEFGHIJKLMNOPQRSTUVWXYZ.")))))</f>
        <v>0</v>
      </c>
      <c r="AC195">
        <f>OR(AND(IF(metadata!C195="",FALSE,TRUE),OR(exact(metadata!C195,"missing: not collected"),exact(metadata!C195,"missing: not provided"),exact(metadata!C195,"missing: restricted access"))),AND(IF(metadata!C195="",FALSE,TRUE),AND(AND(IFERROR(INT(LEFT(metadata!C195,4))&gt;1900,FALSE),IFERROR(INT(LEFT(metadata!C195,4))&lt;=YEAR(NOW()),FALSE)), OR(MID(metadata!C195,5,1)="", AND(AND(MID(metadata!C195,5,1)="-",IFERROR(INT(MID(metadata!C195,6,1))&gt;=0,FALSE),IFERROR(INT(MID(metadata!C195,6,1))&lt;=1,FALSE),NOT(MID(metadata!C195,7,1)=""),IFERROR(INT(MID(metadata!C195,6,2))&gt;=1,FALSE),IFERROR(INT(MID(metadata!C195,6,2))&lt;=12,FALSE)), OR(MID(metadata!C195,8,1)="", AND(AND(MID(metadata!C195,8,1)="-",IFERROR(INT(MID(metadata!C195,9,1))&gt;=0,FALSE),IFERROR(INT(MID(metadata!C195,9,1))&lt;=3,FALSE),NOT(MID(metadata!C195,10,1)=""),IFERROR(INT(MID(metadata!C195,9,2))&gt;=1,FALSE),IFERROR(INT(MID(metadata!C195,9,2))&lt;=31,FALSE)), OR(MID(metadata!C195,11,1)="", AND(AND(MID(metadata!C195,11,1)=" ",IFERROR(INT(MID(metadata!C195,12,1))&gt;=0,FALSE),IFERROR(INT(MID(metadata!C195,12,1))&lt;=2,FALSE),NOT(MID(metadata!C195,13,1)=""),IFERROR(INT(MID(metadata!C195,12,2))&gt;=0,FALSE),IFERROR(INT(MID(metadata!C195,12,2))&lt;=23,FALSE)), OR(MID(metadata!C195,14,1)="", AND(AND(MID(metadata!C195,14,1)=":",IFERROR(INT(MID(metadata!C195,15,1))&gt;=0,FALSE),IFERROR(INT(MID(metadata!C195,15,1))&lt;=5,FALSE),NOT(MID(metadata!C195,16,1)=""),IFERROR(INT(MID(metadata!C195,15,2))&gt;=0,FALSE),IFERROR(INT(MID(metadata!C195,15,2))&lt;=59,FALSE)), OR(MID(metadata!C195,17,1)="", AND(AND(MID(metadata!C195,17,1)=":",IFERROR(INT(MID(metadata!C195,18,1))&gt;=0,FALSE),IFERROR(INT(MID(metadata!C195,18,1))&lt;=5,FALSE),NOT(MID(metadata!C195,19,1)=""),IFERROR(INT(MID(metadata!C195,18,2))&gt;=0,FALSE),IFERROR(INT(MID(metadata!C195,18,2))&lt;=59,FALSE)), LEN(metadata!C195)&lt;=19)))))))))))))</f>
        <v>0</v>
      </c>
      <c r="AD195">
        <f>IF(metadata!D195="",FALSE,TRUE)</f>
        <v>0</v>
      </c>
      <c r="AE195">
        <f>OR(AND(IF(metadata!E195="",FALSE,TRUE),OR(exact(metadata!E195,"missing: not collected"),exact(metadata!E195,"missing: not provided"))),AND(IF(metadata!E195="",FALSE,TRUE),OR(exact(metadata!E195,"TRUE"),exact(metadata!E195,"FALSE"))))</f>
        <v>0</v>
      </c>
      <c r="AF195">
        <f>IF(metadata!F195="",FALSE,TRUE)</f>
        <v>0</v>
      </c>
      <c r="AG195">
        <f>IF(metadata!G195="",FALSE,TRUE)</f>
        <v>0</v>
      </c>
      <c r="AH195">
        <f>IF(metadata!H195="",FALSE,TRUE)</f>
        <v>0</v>
      </c>
      <c r="AI195">
        <f>OR(AND(IF(metadata!I195="",FALSE,TRUE),OR(exact(metadata!I195,"missing: not collected"),exact(metadata!I195,"missing: not provided"),exact(metadata!I195,"missing: restricted access"))),AND(IF(metadata!I195="",FALSE,TRUE),OR(exact(metadata!I195,"air"),exact(metadata!I195,"built environment"),exact(metadata!I195,"host-associated"),exact(metadata!I195,"human-associated"),exact(metadata!I195,"human-skin"),exact(metadata!I195,"human-oral"),exact(metadata!I195,"human-gut"),exact(metadata!I195,"human-vaginal"),exact(metadata!I195,"microbial mat/biofilm"),exact(metadata!I195,"misc environment"),exact(metadata!I195,"plant-associated"),exact(metadata!I195,"sediment"),exact(metadata!I195,"soil"),exact(metadata!I195,"wastewater/sludge"),exact(metadata!I195,"water"))))</f>
        <v>0</v>
      </c>
      <c r="AJ195">
        <f>IF(metadata!J195="",FALSE,TRUE)</f>
        <v>0</v>
      </c>
      <c r="AK195">
        <f>OR(AND(IF(metadata!K195="",FALSE,TRUE),OR(exact(metadata!K195,"missing: not collected"),exact(metadata!K195,"missing: not provided"),exact(metadata!K195,"missing: restricted access"))),AND(IF(metadata!K195="",FALSE,ISNUMBER(VALUE(metadata!K195))),metadata!K195&gt;=-90.00,metadata!K195&lt;=90.00))</f>
        <v>0</v>
      </c>
      <c r="AL195">
        <f>OR(AND(IF(metadata!L195="",FALSE,TRUE),OR(exact(metadata!L195,"missing: not collected"),exact(metadata!L195,"missing: not provided"),exact(metadata!L195,"missing: restricted access"))),AND(IF(metadata!L195="",FALSE,ISNUMBER(VALUE(metadata!L195))),metadata!L195&gt;=-180.00,metadata!L195&lt;=180.00))</f>
        <v>0</v>
      </c>
      <c r="AM195">
        <f>IF(metadata!M195="",FALSE,TRUE)</f>
        <v>0</v>
      </c>
      <c r="AN195">
        <f>OR(AND(IF(metadata!N195="",FALSE,TRUE),OR(exact(metadata!N195,"missing: not collected"),exact(metadata!N195,"missing: not provided"),exact(metadata!N195,"missing: restricted access"))),AND(IF(metadata!N195="",FALSE,TRUE),OR(exact(metadata!N195,"TRUE"),exact(metadata!N195,"FALSE"))))</f>
        <v>0</v>
      </c>
      <c r="AO195">
        <f>IF(metadata!O195="",FALSE,TRUE)</f>
        <v>0</v>
      </c>
      <c r="AP195">
        <f>OR(AND(IF(metadata!P195="",FALSE,TRUE),OR(exact(metadata!P195,"missing: not collected"),exact(metadata!P195,"missing: not provided"))),AND(IF(metadata!P195="",FALSE,IF(ISERROR(INT(metadata!P195)),FALSE,INT(metadata!P195)=metadata!P195)),metadata!P195&gt;0))</f>
        <v>0</v>
      </c>
      <c r="AQ195">
        <f>IF(metadata!Q195="",FALSE,TRUE)</f>
        <v>0</v>
      </c>
    </row>
    <row r="196" spans="1:43">
      <c r="A196" s="5">
        <f>IF(B196=" "," ",HYPERLINK(CONCATENATE("#metadata!",ADDRESS(INDEX($W$2:$W$1001,MATCH(ROWS($U$2:U196),$U$2:$U$1001,0),0),1)),INDEX($Z$2:$Z$1001,MATCH(ROWS($U$2:U196),$U$2:$U$1001,0),0)))</f>
        <v>0</v>
      </c>
      <c r="B196" s="4">
        <f>IF(OR(INDEX($V$2:$V$1001,MATCH(ROWS($U$2:U196),$U$2:$U$1001,0),1)&gt;=100000,INDEX($AB$1005:$AQ$1005,1,MATCH(COLUMNS($AB$1006:AB1006),$AB$1006:$AQ$1006,0))&gt;=100000), " ",IF(INDEX($AB$2:$AQ$1001,MATCH(ROWS($U$2:U196),$U$2:$U$1001,0),MATCH(COLUMNS($AB$1006:AB1006),$AB$1006:$AQ$1006,0)), HYPERLINK("#",""), HYPERLINK(CONCATENATE("#metadata!", ADDRESS(INDEX($W$2:$W$1001,MATCH(ROWS($U$2:U196),$U$2:$U$1001,0),0), INDEX($AB$1004:$AQ$1004,1,MATCH(COLUMNS($AB$1006:AB1006),$AB$1006:$AQ$1006,0)))),"Fix")))</f>
        <v>0</v>
      </c>
      <c r="C196" s="4">
        <f>IF(OR(INDEX($V$2:$V$1001,MATCH(ROWS($U$2:U196),$U$2:$U$1001,0),1)&gt;=100000,INDEX($AB$1005:$AQ$1005,1,MATCH(COLUMNS($AB$1006:AC1006),$AB$1006:$AQ$1006,0))&gt;=100000), " ",IF(INDEX($AB$2:$AQ$1001,MATCH(ROWS($U$2:U196),$U$2:$U$1001,0),MATCH(COLUMNS($AB$1006:AC1006),$AB$1006:$AQ$1006,0)), HYPERLINK("#",""), HYPERLINK(CONCATENATE("#metadata!", ADDRESS(INDEX($W$2:$W$1001,MATCH(ROWS($U$2:U196),$U$2:$U$1001,0),0), INDEX($AB$1004:$AQ$1004,1,MATCH(COLUMNS($AB$1006:AC1006),$AB$1006:$AQ$1006,0)))),"Fix")))</f>
        <v>0</v>
      </c>
      <c r="D196" s="4">
        <f>IF(OR(INDEX($V$2:$V$1001,MATCH(ROWS($U$2:U196),$U$2:$U$1001,0),1)&gt;=100000,INDEX($AB$1005:$AQ$1005,1,MATCH(COLUMNS($AB$1006:AD1006),$AB$1006:$AQ$1006,0))&gt;=100000), " ",IF(INDEX($AB$2:$AQ$1001,MATCH(ROWS($U$2:U196),$U$2:$U$1001,0),MATCH(COLUMNS($AB$1006:AD1006),$AB$1006:$AQ$1006,0)), HYPERLINK("#",""), HYPERLINK(CONCATENATE("#metadata!", ADDRESS(INDEX($W$2:$W$1001,MATCH(ROWS($U$2:U196),$U$2:$U$1001,0),0), INDEX($AB$1004:$AQ$1004,1,MATCH(COLUMNS($AB$1006:AD1006),$AB$1006:$AQ$1006,0)))),"Fix")))</f>
        <v>0</v>
      </c>
      <c r="E196" s="4">
        <f>IF(OR(INDEX($V$2:$V$1001,MATCH(ROWS($U$2:U196),$U$2:$U$1001,0),1)&gt;=100000,INDEX($AB$1005:$AQ$1005,1,MATCH(COLUMNS($AB$1006:AE1006),$AB$1006:$AQ$1006,0))&gt;=100000), " ",IF(INDEX($AB$2:$AQ$1001,MATCH(ROWS($U$2:U196),$U$2:$U$1001,0),MATCH(COLUMNS($AB$1006:AE1006),$AB$1006:$AQ$1006,0)), HYPERLINK("#",""), HYPERLINK(CONCATENATE("#metadata!", ADDRESS(INDEX($W$2:$W$1001,MATCH(ROWS($U$2:U196),$U$2:$U$1001,0),0), INDEX($AB$1004:$AQ$1004,1,MATCH(COLUMNS($AB$1006:AE1006),$AB$1006:$AQ$1006,0)))),"Fix")))</f>
        <v>0</v>
      </c>
      <c r="F196" s="4">
        <f>IF(OR(INDEX($V$2:$V$1001,MATCH(ROWS($U$2:U196),$U$2:$U$1001,0),1)&gt;=100000,INDEX($AB$1005:$AQ$1005,1,MATCH(COLUMNS($AB$1006:AF1006),$AB$1006:$AQ$1006,0))&gt;=100000), " ",IF(INDEX($AB$2:$AQ$1001,MATCH(ROWS($U$2:U196),$U$2:$U$1001,0),MATCH(COLUMNS($AB$1006:AF1006),$AB$1006:$AQ$1006,0)), HYPERLINK("#",""), HYPERLINK(CONCATENATE("#metadata!", ADDRESS(INDEX($W$2:$W$1001,MATCH(ROWS($U$2:U196),$U$2:$U$1001,0),0), INDEX($AB$1004:$AQ$1004,1,MATCH(COLUMNS($AB$1006:AF1006),$AB$1006:$AQ$1006,0)))),"Fix")))</f>
        <v>0</v>
      </c>
      <c r="G196" s="4">
        <f>IF(OR(INDEX($V$2:$V$1001,MATCH(ROWS($U$2:U196),$U$2:$U$1001,0),1)&gt;=100000,INDEX($AB$1005:$AQ$1005,1,MATCH(COLUMNS($AB$1006:AG1006),$AB$1006:$AQ$1006,0))&gt;=100000), " ",IF(INDEX($AB$2:$AQ$1001,MATCH(ROWS($U$2:U196),$U$2:$U$1001,0),MATCH(COLUMNS($AB$1006:AG1006),$AB$1006:$AQ$1006,0)), HYPERLINK("#",""), HYPERLINK(CONCATENATE("#metadata!", ADDRESS(INDEX($W$2:$W$1001,MATCH(ROWS($U$2:U196),$U$2:$U$1001,0),0), INDEX($AB$1004:$AQ$1004,1,MATCH(COLUMNS($AB$1006:AG1006),$AB$1006:$AQ$1006,0)))),"Fix")))</f>
        <v>0</v>
      </c>
      <c r="H196" s="4">
        <f>IF(OR(INDEX($V$2:$V$1001,MATCH(ROWS($U$2:U196),$U$2:$U$1001,0),1)&gt;=100000,INDEX($AB$1005:$AQ$1005,1,MATCH(COLUMNS($AB$1006:AH1006),$AB$1006:$AQ$1006,0))&gt;=100000), " ",IF(INDEX($AB$2:$AQ$1001,MATCH(ROWS($U$2:U196),$U$2:$U$1001,0),MATCH(COLUMNS($AB$1006:AH1006),$AB$1006:$AQ$1006,0)), HYPERLINK("#",""), HYPERLINK(CONCATENATE("#metadata!", ADDRESS(INDEX($W$2:$W$1001,MATCH(ROWS($U$2:U196),$U$2:$U$1001,0),0), INDEX($AB$1004:$AQ$1004,1,MATCH(COLUMNS($AB$1006:AH1006),$AB$1006:$AQ$1006,0)))),"Fix")))</f>
        <v>0</v>
      </c>
      <c r="I196" s="4">
        <f>IF(OR(INDEX($V$2:$V$1001,MATCH(ROWS($U$2:U196),$U$2:$U$1001,0),1)&gt;=100000,INDEX($AB$1005:$AQ$1005,1,MATCH(COLUMNS($AB$1006:AI1006),$AB$1006:$AQ$1006,0))&gt;=100000), " ",IF(INDEX($AB$2:$AQ$1001,MATCH(ROWS($U$2:U196),$U$2:$U$1001,0),MATCH(COLUMNS($AB$1006:AI1006),$AB$1006:$AQ$1006,0)), HYPERLINK("#",""), HYPERLINK(CONCATENATE("#metadata!", ADDRESS(INDEX($W$2:$W$1001,MATCH(ROWS($U$2:U196),$U$2:$U$1001,0),0), INDEX($AB$1004:$AQ$1004,1,MATCH(COLUMNS($AB$1006:AI1006),$AB$1006:$AQ$1006,0)))),"Fix")))</f>
        <v>0</v>
      </c>
      <c r="J196" s="4">
        <f>IF(OR(INDEX($V$2:$V$1001,MATCH(ROWS($U$2:U196),$U$2:$U$1001,0),1)&gt;=100000,INDEX($AB$1005:$AQ$1005,1,MATCH(COLUMNS($AB$1006:AJ1006),$AB$1006:$AQ$1006,0))&gt;=100000), " ",IF(INDEX($AB$2:$AQ$1001,MATCH(ROWS($U$2:U196),$U$2:$U$1001,0),MATCH(COLUMNS($AB$1006:AJ1006),$AB$1006:$AQ$1006,0)), HYPERLINK("#",""), HYPERLINK(CONCATENATE("#metadata!", ADDRESS(INDEX($W$2:$W$1001,MATCH(ROWS($U$2:U196),$U$2:$U$1001,0),0), INDEX($AB$1004:$AQ$1004,1,MATCH(COLUMNS($AB$1006:AJ1006),$AB$1006:$AQ$1006,0)))),"Fix")))</f>
        <v>0</v>
      </c>
      <c r="K196" s="4">
        <f>IF(OR(INDEX($V$2:$V$1001,MATCH(ROWS($U$2:U196),$U$2:$U$1001,0),1)&gt;=100000,INDEX($AB$1005:$AQ$1005,1,MATCH(COLUMNS($AB$1006:AK1006),$AB$1006:$AQ$1006,0))&gt;=100000), " ",IF(INDEX($AB$2:$AQ$1001,MATCH(ROWS($U$2:U196),$U$2:$U$1001,0),MATCH(COLUMNS($AB$1006:AK1006),$AB$1006:$AQ$1006,0)), HYPERLINK("#",""), HYPERLINK(CONCATENATE("#metadata!", ADDRESS(INDEX($W$2:$W$1001,MATCH(ROWS($U$2:U196),$U$2:$U$1001,0),0), INDEX($AB$1004:$AQ$1004,1,MATCH(COLUMNS($AB$1006:AK1006),$AB$1006:$AQ$1006,0)))),"Fix")))</f>
        <v>0</v>
      </c>
      <c r="L196" s="4">
        <f>IF(OR(INDEX($V$2:$V$1001,MATCH(ROWS($U$2:U196),$U$2:$U$1001,0),1)&gt;=100000,INDEX($AB$1005:$AQ$1005,1,MATCH(COLUMNS($AB$1006:AL1006),$AB$1006:$AQ$1006,0))&gt;=100000), " ",IF(INDEX($AB$2:$AQ$1001,MATCH(ROWS($U$2:U196),$U$2:$U$1001,0),MATCH(COLUMNS($AB$1006:AL1006),$AB$1006:$AQ$1006,0)), HYPERLINK("#",""), HYPERLINK(CONCATENATE("#metadata!", ADDRESS(INDEX($W$2:$W$1001,MATCH(ROWS($U$2:U196),$U$2:$U$1001,0),0), INDEX($AB$1004:$AQ$1004,1,MATCH(COLUMNS($AB$1006:AL1006),$AB$1006:$AQ$1006,0)))),"Fix")))</f>
        <v>0</v>
      </c>
      <c r="M196" s="4">
        <f>IF(OR(INDEX($V$2:$V$1001,MATCH(ROWS($U$2:U196),$U$2:$U$1001,0),1)&gt;=100000,INDEX($AB$1005:$AQ$1005,1,MATCH(COLUMNS($AB$1006:AM1006),$AB$1006:$AQ$1006,0))&gt;=100000), " ",IF(INDEX($AB$2:$AQ$1001,MATCH(ROWS($U$2:U196),$U$2:$U$1001,0),MATCH(COLUMNS($AB$1006:AM1006),$AB$1006:$AQ$1006,0)), HYPERLINK("#",""), HYPERLINK(CONCATENATE("#metadata!", ADDRESS(INDEX($W$2:$W$1001,MATCH(ROWS($U$2:U196),$U$2:$U$1001,0),0), INDEX($AB$1004:$AQ$1004,1,MATCH(COLUMNS($AB$1006:AM1006),$AB$1006:$AQ$1006,0)))),"Fix")))</f>
        <v>0</v>
      </c>
      <c r="N196" s="4">
        <f>IF(OR(INDEX($V$2:$V$1001,MATCH(ROWS($U$2:U196),$U$2:$U$1001,0),1)&gt;=100000,INDEX($AB$1005:$AQ$1005,1,MATCH(COLUMNS($AB$1006:AN1006),$AB$1006:$AQ$1006,0))&gt;=100000), " ",IF(INDEX($AB$2:$AQ$1001,MATCH(ROWS($U$2:U196),$U$2:$U$1001,0),MATCH(COLUMNS($AB$1006:AN1006),$AB$1006:$AQ$1006,0)), HYPERLINK("#",""), HYPERLINK(CONCATENATE("#metadata!", ADDRESS(INDEX($W$2:$W$1001,MATCH(ROWS($U$2:U196),$U$2:$U$1001,0),0), INDEX($AB$1004:$AQ$1004,1,MATCH(COLUMNS($AB$1006:AN1006),$AB$1006:$AQ$1006,0)))),"Fix")))</f>
        <v>0</v>
      </c>
      <c r="O196" s="4">
        <f>IF(OR(INDEX($V$2:$V$1001,MATCH(ROWS($U$2:U196),$U$2:$U$1001,0),1)&gt;=100000,INDEX($AB$1005:$AQ$1005,1,MATCH(COLUMNS($AB$1006:AO1006),$AB$1006:$AQ$1006,0))&gt;=100000), " ",IF(INDEX($AB$2:$AQ$1001,MATCH(ROWS($U$2:U196),$U$2:$U$1001,0),MATCH(COLUMNS($AB$1006:AO1006),$AB$1006:$AQ$1006,0)), HYPERLINK("#",""), HYPERLINK(CONCATENATE("#metadata!", ADDRESS(INDEX($W$2:$W$1001,MATCH(ROWS($U$2:U196),$U$2:$U$1001,0),0), INDEX($AB$1004:$AQ$1004,1,MATCH(COLUMNS($AB$1006:AO1006),$AB$1006:$AQ$1006,0)))),"Fix")))</f>
        <v>0</v>
      </c>
      <c r="P196" s="4">
        <f>IF(OR(INDEX($V$2:$V$1001,MATCH(ROWS($U$2:U196),$U$2:$U$1001,0),1)&gt;=100000,INDEX($AB$1005:$AQ$1005,1,MATCH(COLUMNS($AB$1006:AP1006),$AB$1006:$AQ$1006,0))&gt;=100000), " ",IF(INDEX($AB$2:$AQ$1001,MATCH(ROWS($U$2:U196),$U$2:$U$1001,0),MATCH(COLUMNS($AB$1006:AP1006),$AB$1006:$AQ$1006,0)), HYPERLINK("#",""), HYPERLINK(CONCATENATE("#metadata!", ADDRESS(INDEX($W$2:$W$1001,MATCH(ROWS($U$2:U196),$U$2:$U$1001,0),0), INDEX($AB$1004:$AQ$1004,1,MATCH(COLUMNS($AB$1006:AP1006),$AB$1006:$AQ$1006,0)))),"Fix")))</f>
        <v>0</v>
      </c>
      <c r="Q196" s="4">
        <f>IF(OR(INDEX($V$2:$V$1001,MATCH(ROWS($U$2:U196),$U$2:$U$1001,0),1)&gt;=100000,INDEX($AB$1005:$AQ$1005,1,MATCH(COLUMNS($AB$1006:AQ1006),$AB$1006:$AQ$1006,0))&gt;=100000), " ",IF(INDEX($AB$2:$AQ$1001,MATCH(ROWS($U$2:U196),$U$2:$U$1001,0),MATCH(COLUMNS($AB$1006:AQ1006),$AB$1006:$AQ$1006,0)), HYPERLINK("#",""), HYPERLINK(CONCATENATE("#metadata!", ADDRESS(INDEX($W$2:$W$1001,MATCH(ROWS($U$2:U196),$U$2:$U$1001,0),0), INDEX($AB$1004:$AQ$1004,1,MATCH(COLUMNS($AB$1006:AQ1006),$AB$1006:$AQ$1006,0)))),"Fix")))</f>
        <v>0</v>
      </c>
      <c r="U196">
        <v>0</v>
      </c>
      <c r="V196">
        <v>0</v>
      </c>
      <c r="W196">
        <v>0</v>
      </c>
      <c r="X196">
        <f>IF(Y196,TRUE,AND(AB196:AQ196))</f>
        <v>0</v>
      </c>
      <c r="Y196">
        <f>COUNTBLANK(metadata!B196:Q196)=COLUMNS(metadata!B196:Q196)</f>
        <v>0</v>
      </c>
      <c r="Z196">
        <v>0</v>
      </c>
      <c r="AB196">
        <f>AND(IF(metadata!B196="",FALSE,TRUE),COUNTIF(metadata!B:B, metadata!B196) = 1,NOT(ISERROR(SUMPRODUCT(SEARCH(MID(metadata!B196,ROW(INDIRECT("1:"&amp;LEN(metadata!B196))), 1),"0123456789abcdefghijklmnopqrstuvwxyzABCDEFGHIJKLMNOPQRSTUVWXYZ.")))))</f>
        <v>0</v>
      </c>
      <c r="AC196">
        <f>OR(AND(IF(metadata!C196="",FALSE,TRUE),OR(exact(metadata!C196,"missing: not collected"),exact(metadata!C196,"missing: not provided"),exact(metadata!C196,"missing: restricted access"))),AND(IF(metadata!C196="",FALSE,TRUE),AND(AND(IFERROR(INT(LEFT(metadata!C196,4))&gt;1900,FALSE),IFERROR(INT(LEFT(metadata!C196,4))&lt;=YEAR(NOW()),FALSE)), OR(MID(metadata!C196,5,1)="", AND(AND(MID(metadata!C196,5,1)="-",IFERROR(INT(MID(metadata!C196,6,1))&gt;=0,FALSE),IFERROR(INT(MID(metadata!C196,6,1))&lt;=1,FALSE),NOT(MID(metadata!C196,7,1)=""),IFERROR(INT(MID(metadata!C196,6,2))&gt;=1,FALSE),IFERROR(INT(MID(metadata!C196,6,2))&lt;=12,FALSE)), OR(MID(metadata!C196,8,1)="", AND(AND(MID(metadata!C196,8,1)="-",IFERROR(INT(MID(metadata!C196,9,1))&gt;=0,FALSE),IFERROR(INT(MID(metadata!C196,9,1))&lt;=3,FALSE),NOT(MID(metadata!C196,10,1)=""),IFERROR(INT(MID(metadata!C196,9,2))&gt;=1,FALSE),IFERROR(INT(MID(metadata!C196,9,2))&lt;=31,FALSE)), OR(MID(metadata!C196,11,1)="", AND(AND(MID(metadata!C196,11,1)=" ",IFERROR(INT(MID(metadata!C196,12,1))&gt;=0,FALSE),IFERROR(INT(MID(metadata!C196,12,1))&lt;=2,FALSE),NOT(MID(metadata!C196,13,1)=""),IFERROR(INT(MID(metadata!C196,12,2))&gt;=0,FALSE),IFERROR(INT(MID(metadata!C196,12,2))&lt;=23,FALSE)), OR(MID(metadata!C196,14,1)="", AND(AND(MID(metadata!C196,14,1)=":",IFERROR(INT(MID(metadata!C196,15,1))&gt;=0,FALSE),IFERROR(INT(MID(metadata!C196,15,1))&lt;=5,FALSE),NOT(MID(metadata!C196,16,1)=""),IFERROR(INT(MID(metadata!C196,15,2))&gt;=0,FALSE),IFERROR(INT(MID(metadata!C196,15,2))&lt;=59,FALSE)), OR(MID(metadata!C196,17,1)="", AND(AND(MID(metadata!C196,17,1)=":",IFERROR(INT(MID(metadata!C196,18,1))&gt;=0,FALSE),IFERROR(INT(MID(metadata!C196,18,1))&lt;=5,FALSE),NOT(MID(metadata!C196,19,1)=""),IFERROR(INT(MID(metadata!C196,18,2))&gt;=0,FALSE),IFERROR(INT(MID(metadata!C196,18,2))&lt;=59,FALSE)), LEN(metadata!C196)&lt;=19)))))))))))))</f>
        <v>0</v>
      </c>
      <c r="AD196">
        <f>IF(metadata!D196="",FALSE,TRUE)</f>
        <v>0</v>
      </c>
      <c r="AE196">
        <f>OR(AND(IF(metadata!E196="",FALSE,TRUE),OR(exact(metadata!E196,"missing: not collected"),exact(metadata!E196,"missing: not provided"))),AND(IF(metadata!E196="",FALSE,TRUE),OR(exact(metadata!E196,"TRUE"),exact(metadata!E196,"FALSE"))))</f>
        <v>0</v>
      </c>
      <c r="AF196">
        <f>IF(metadata!F196="",FALSE,TRUE)</f>
        <v>0</v>
      </c>
      <c r="AG196">
        <f>IF(metadata!G196="",FALSE,TRUE)</f>
        <v>0</v>
      </c>
      <c r="AH196">
        <f>IF(metadata!H196="",FALSE,TRUE)</f>
        <v>0</v>
      </c>
      <c r="AI196">
        <f>OR(AND(IF(metadata!I196="",FALSE,TRUE),OR(exact(metadata!I196,"missing: not collected"),exact(metadata!I196,"missing: not provided"),exact(metadata!I196,"missing: restricted access"))),AND(IF(metadata!I196="",FALSE,TRUE),OR(exact(metadata!I196,"air"),exact(metadata!I196,"built environment"),exact(metadata!I196,"host-associated"),exact(metadata!I196,"human-associated"),exact(metadata!I196,"human-skin"),exact(metadata!I196,"human-oral"),exact(metadata!I196,"human-gut"),exact(metadata!I196,"human-vaginal"),exact(metadata!I196,"microbial mat/biofilm"),exact(metadata!I196,"misc environment"),exact(metadata!I196,"plant-associated"),exact(metadata!I196,"sediment"),exact(metadata!I196,"soil"),exact(metadata!I196,"wastewater/sludge"),exact(metadata!I196,"water"))))</f>
        <v>0</v>
      </c>
      <c r="AJ196">
        <f>IF(metadata!J196="",FALSE,TRUE)</f>
        <v>0</v>
      </c>
      <c r="AK196">
        <f>OR(AND(IF(metadata!K196="",FALSE,TRUE),OR(exact(metadata!K196,"missing: not collected"),exact(metadata!K196,"missing: not provided"),exact(metadata!K196,"missing: restricted access"))),AND(IF(metadata!K196="",FALSE,ISNUMBER(VALUE(metadata!K196))),metadata!K196&gt;=-90.00,metadata!K196&lt;=90.00))</f>
        <v>0</v>
      </c>
      <c r="AL196">
        <f>OR(AND(IF(metadata!L196="",FALSE,TRUE),OR(exact(metadata!L196,"missing: not collected"),exact(metadata!L196,"missing: not provided"),exact(metadata!L196,"missing: restricted access"))),AND(IF(metadata!L196="",FALSE,ISNUMBER(VALUE(metadata!L196))),metadata!L196&gt;=-180.00,metadata!L196&lt;=180.00))</f>
        <v>0</v>
      </c>
      <c r="AM196">
        <f>IF(metadata!M196="",FALSE,TRUE)</f>
        <v>0</v>
      </c>
      <c r="AN196">
        <f>OR(AND(IF(metadata!N196="",FALSE,TRUE),OR(exact(metadata!N196,"missing: not collected"),exact(metadata!N196,"missing: not provided"),exact(metadata!N196,"missing: restricted access"))),AND(IF(metadata!N196="",FALSE,TRUE),OR(exact(metadata!N196,"TRUE"),exact(metadata!N196,"FALSE"))))</f>
        <v>0</v>
      </c>
      <c r="AO196">
        <f>IF(metadata!O196="",FALSE,TRUE)</f>
        <v>0</v>
      </c>
      <c r="AP196">
        <f>OR(AND(IF(metadata!P196="",FALSE,TRUE),OR(exact(metadata!P196,"missing: not collected"),exact(metadata!P196,"missing: not provided"))),AND(IF(metadata!P196="",FALSE,IF(ISERROR(INT(metadata!P196)),FALSE,INT(metadata!P196)=metadata!P196)),metadata!P196&gt;0))</f>
        <v>0</v>
      </c>
      <c r="AQ196">
        <f>IF(metadata!Q196="",FALSE,TRUE)</f>
        <v>0</v>
      </c>
    </row>
    <row r="197" spans="1:43">
      <c r="A197" s="5">
        <f>IF(B197=" "," ",HYPERLINK(CONCATENATE("#metadata!",ADDRESS(INDEX($W$2:$W$1001,MATCH(ROWS($U$2:U197),$U$2:$U$1001,0),0),1)),INDEX($Z$2:$Z$1001,MATCH(ROWS($U$2:U197),$U$2:$U$1001,0),0)))</f>
        <v>0</v>
      </c>
      <c r="B197" s="4">
        <f>IF(OR(INDEX($V$2:$V$1001,MATCH(ROWS($U$2:U197),$U$2:$U$1001,0),1)&gt;=100000,INDEX($AB$1005:$AQ$1005,1,MATCH(COLUMNS($AB$1006:AB1006),$AB$1006:$AQ$1006,0))&gt;=100000), " ",IF(INDEX($AB$2:$AQ$1001,MATCH(ROWS($U$2:U197),$U$2:$U$1001,0),MATCH(COLUMNS($AB$1006:AB1006),$AB$1006:$AQ$1006,0)), HYPERLINK("#",""), HYPERLINK(CONCATENATE("#metadata!", ADDRESS(INDEX($W$2:$W$1001,MATCH(ROWS($U$2:U197),$U$2:$U$1001,0),0), INDEX($AB$1004:$AQ$1004,1,MATCH(COLUMNS($AB$1006:AB1006),$AB$1006:$AQ$1006,0)))),"Fix")))</f>
        <v>0</v>
      </c>
      <c r="C197" s="4">
        <f>IF(OR(INDEX($V$2:$V$1001,MATCH(ROWS($U$2:U197),$U$2:$U$1001,0),1)&gt;=100000,INDEX($AB$1005:$AQ$1005,1,MATCH(COLUMNS($AB$1006:AC1006),$AB$1006:$AQ$1006,0))&gt;=100000), " ",IF(INDEX($AB$2:$AQ$1001,MATCH(ROWS($U$2:U197),$U$2:$U$1001,0),MATCH(COLUMNS($AB$1006:AC1006),$AB$1006:$AQ$1006,0)), HYPERLINK("#",""), HYPERLINK(CONCATENATE("#metadata!", ADDRESS(INDEX($W$2:$W$1001,MATCH(ROWS($U$2:U197),$U$2:$U$1001,0),0), INDEX($AB$1004:$AQ$1004,1,MATCH(COLUMNS($AB$1006:AC1006),$AB$1006:$AQ$1006,0)))),"Fix")))</f>
        <v>0</v>
      </c>
      <c r="D197" s="4">
        <f>IF(OR(INDEX($V$2:$V$1001,MATCH(ROWS($U$2:U197),$U$2:$U$1001,0),1)&gt;=100000,INDEX($AB$1005:$AQ$1005,1,MATCH(COLUMNS($AB$1006:AD1006),$AB$1006:$AQ$1006,0))&gt;=100000), " ",IF(INDEX($AB$2:$AQ$1001,MATCH(ROWS($U$2:U197),$U$2:$U$1001,0),MATCH(COLUMNS($AB$1006:AD1006),$AB$1006:$AQ$1006,0)), HYPERLINK("#",""), HYPERLINK(CONCATENATE("#metadata!", ADDRESS(INDEX($W$2:$W$1001,MATCH(ROWS($U$2:U197),$U$2:$U$1001,0),0), INDEX($AB$1004:$AQ$1004,1,MATCH(COLUMNS($AB$1006:AD1006),$AB$1006:$AQ$1006,0)))),"Fix")))</f>
        <v>0</v>
      </c>
      <c r="E197" s="4">
        <f>IF(OR(INDEX($V$2:$V$1001,MATCH(ROWS($U$2:U197),$U$2:$U$1001,0),1)&gt;=100000,INDEX($AB$1005:$AQ$1005,1,MATCH(COLUMNS($AB$1006:AE1006),$AB$1006:$AQ$1006,0))&gt;=100000), " ",IF(INDEX($AB$2:$AQ$1001,MATCH(ROWS($U$2:U197),$U$2:$U$1001,0),MATCH(COLUMNS($AB$1006:AE1006),$AB$1006:$AQ$1006,0)), HYPERLINK("#",""), HYPERLINK(CONCATENATE("#metadata!", ADDRESS(INDEX($W$2:$W$1001,MATCH(ROWS($U$2:U197),$U$2:$U$1001,0),0), INDEX($AB$1004:$AQ$1004,1,MATCH(COLUMNS($AB$1006:AE1006),$AB$1006:$AQ$1006,0)))),"Fix")))</f>
        <v>0</v>
      </c>
      <c r="F197" s="4">
        <f>IF(OR(INDEX($V$2:$V$1001,MATCH(ROWS($U$2:U197),$U$2:$U$1001,0),1)&gt;=100000,INDEX($AB$1005:$AQ$1005,1,MATCH(COLUMNS($AB$1006:AF1006),$AB$1006:$AQ$1006,0))&gt;=100000), " ",IF(INDEX($AB$2:$AQ$1001,MATCH(ROWS($U$2:U197),$U$2:$U$1001,0),MATCH(COLUMNS($AB$1006:AF1006),$AB$1006:$AQ$1006,0)), HYPERLINK("#",""), HYPERLINK(CONCATENATE("#metadata!", ADDRESS(INDEX($W$2:$W$1001,MATCH(ROWS($U$2:U197),$U$2:$U$1001,0),0), INDEX($AB$1004:$AQ$1004,1,MATCH(COLUMNS($AB$1006:AF1006),$AB$1006:$AQ$1006,0)))),"Fix")))</f>
        <v>0</v>
      </c>
      <c r="G197" s="4">
        <f>IF(OR(INDEX($V$2:$V$1001,MATCH(ROWS($U$2:U197),$U$2:$U$1001,0),1)&gt;=100000,INDEX($AB$1005:$AQ$1005,1,MATCH(COLUMNS($AB$1006:AG1006),$AB$1006:$AQ$1006,0))&gt;=100000), " ",IF(INDEX($AB$2:$AQ$1001,MATCH(ROWS($U$2:U197),$U$2:$U$1001,0),MATCH(COLUMNS($AB$1006:AG1006),$AB$1006:$AQ$1006,0)), HYPERLINK("#",""), HYPERLINK(CONCATENATE("#metadata!", ADDRESS(INDEX($W$2:$W$1001,MATCH(ROWS($U$2:U197),$U$2:$U$1001,0),0), INDEX($AB$1004:$AQ$1004,1,MATCH(COLUMNS($AB$1006:AG1006),$AB$1006:$AQ$1006,0)))),"Fix")))</f>
        <v>0</v>
      </c>
      <c r="H197" s="4">
        <f>IF(OR(INDEX($V$2:$V$1001,MATCH(ROWS($U$2:U197),$U$2:$U$1001,0),1)&gt;=100000,INDEX($AB$1005:$AQ$1005,1,MATCH(COLUMNS($AB$1006:AH1006),$AB$1006:$AQ$1006,0))&gt;=100000), " ",IF(INDEX($AB$2:$AQ$1001,MATCH(ROWS($U$2:U197),$U$2:$U$1001,0),MATCH(COLUMNS($AB$1006:AH1006),$AB$1006:$AQ$1006,0)), HYPERLINK("#",""), HYPERLINK(CONCATENATE("#metadata!", ADDRESS(INDEX($W$2:$W$1001,MATCH(ROWS($U$2:U197),$U$2:$U$1001,0),0), INDEX($AB$1004:$AQ$1004,1,MATCH(COLUMNS($AB$1006:AH1006),$AB$1006:$AQ$1006,0)))),"Fix")))</f>
        <v>0</v>
      </c>
      <c r="I197" s="4">
        <f>IF(OR(INDEX($V$2:$V$1001,MATCH(ROWS($U$2:U197),$U$2:$U$1001,0),1)&gt;=100000,INDEX($AB$1005:$AQ$1005,1,MATCH(COLUMNS($AB$1006:AI1006),$AB$1006:$AQ$1006,0))&gt;=100000), " ",IF(INDEX($AB$2:$AQ$1001,MATCH(ROWS($U$2:U197),$U$2:$U$1001,0),MATCH(COLUMNS($AB$1006:AI1006),$AB$1006:$AQ$1006,0)), HYPERLINK("#",""), HYPERLINK(CONCATENATE("#metadata!", ADDRESS(INDEX($W$2:$W$1001,MATCH(ROWS($U$2:U197),$U$2:$U$1001,0),0), INDEX($AB$1004:$AQ$1004,1,MATCH(COLUMNS($AB$1006:AI1006),$AB$1006:$AQ$1006,0)))),"Fix")))</f>
        <v>0</v>
      </c>
      <c r="J197" s="4">
        <f>IF(OR(INDEX($V$2:$V$1001,MATCH(ROWS($U$2:U197),$U$2:$U$1001,0),1)&gt;=100000,INDEX($AB$1005:$AQ$1005,1,MATCH(COLUMNS($AB$1006:AJ1006),$AB$1006:$AQ$1006,0))&gt;=100000), " ",IF(INDEX($AB$2:$AQ$1001,MATCH(ROWS($U$2:U197),$U$2:$U$1001,0),MATCH(COLUMNS($AB$1006:AJ1006),$AB$1006:$AQ$1006,0)), HYPERLINK("#",""), HYPERLINK(CONCATENATE("#metadata!", ADDRESS(INDEX($W$2:$W$1001,MATCH(ROWS($U$2:U197),$U$2:$U$1001,0),0), INDEX($AB$1004:$AQ$1004,1,MATCH(COLUMNS($AB$1006:AJ1006),$AB$1006:$AQ$1006,0)))),"Fix")))</f>
        <v>0</v>
      </c>
      <c r="K197" s="4">
        <f>IF(OR(INDEX($V$2:$V$1001,MATCH(ROWS($U$2:U197),$U$2:$U$1001,0),1)&gt;=100000,INDEX($AB$1005:$AQ$1005,1,MATCH(COLUMNS($AB$1006:AK1006),$AB$1006:$AQ$1006,0))&gt;=100000), " ",IF(INDEX($AB$2:$AQ$1001,MATCH(ROWS($U$2:U197),$U$2:$U$1001,0),MATCH(COLUMNS($AB$1006:AK1006),$AB$1006:$AQ$1006,0)), HYPERLINK("#",""), HYPERLINK(CONCATENATE("#metadata!", ADDRESS(INDEX($W$2:$W$1001,MATCH(ROWS($U$2:U197),$U$2:$U$1001,0),0), INDEX($AB$1004:$AQ$1004,1,MATCH(COLUMNS($AB$1006:AK1006),$AB$1006:$AQ$1006,0)))),"Fix")))</f>
        <v>0</v>
      </c>
      <c r="L197" s="4">
        <f>IF(OR(INDEX($V$2:$V$1001,MATCH(ROWS($U$2:U197),$U$2:$U$1001,0),1)&gt;=100000,INDEX($AB$1005:$AQ$1005,1,MATCH(COLUMNS($AB$1006:AL1006),$AB$1006:$AQ$1006,0))&gt;=100000), " ",IF(INDEX($AB$2:$AQ$1001,MATCH(ROWS($U$2:U197),$U$2:$U$1001,0),MATCH(COLUMNS($AB$1006:AL1006),$AB$1006:$AQ$1006,0)), HYPERLINK("#",""), HYPERLINK(CONCATENATE("#metadata!", ADDRESS(INDEX($W$2:$W$1001,MATCH(ROWS($U$2:U197),$U$2:$U$1001,0),0), INDEX($AB$1004:$AQ$1004,1,MATCH(COLUMNS($AB$1006:AL1006),$AB$1006:$AQ$1006,0)))),"Fix")))</f>
        <v>0</v>
      </c>
      <c r="M197" s="4">
        <f>IF(OR(INDEX($V$2:$V$1001,MATCH(ROWS($U$2:U197),$U$2:$U$1001,0),1)&gt;=100000,INDEX($AB$1005:$AQ$1005,1,MATCH(COLUMNS($AB$1006:AM1006),$AB$1006:$AQ$1006,0))&gt;=100000), " ",IF(INDEX($AB$2:$AQ$1001,MATCH(ROWS($U$2:U197),$U$2:$U$1001,0),MATCH(COLUMNS($AB$1006:AM1006),$AB$1006:$AQ$1006,0)), HYPERLINK("#",""), HYPERLINK(CONCATENATE("#metadata!", ADDRESS(INDEX($W$2:$W$1001,MATCH(ROWS($U$2:U197),$U$2:$U$1001,0),0), INDEX($AB$1004:$AQ$1004,1,MATCH(COLUMNS($AB$1006:AM1006),$AB$1006:$AQ$1006,0)))),"Fix")))</f>
        <v>0</v>
      </c>
      <c r="N197" s="4">
        <f>IF(OR(INDEX($V$2:$V$1001,MATCH(ROWS($U$2:U197),$U$2:$U$1001,0),1)&gt;=100000,INDEX($AB$1005:$AQ$1005,1,MATCH(COLUMNS($AB$1006:AN1006),$AB$1006:$AQ$1006,0))&gt;=100000), " ",IF(INDEX($AB$2:$AQ$1001,MATCH(ROWS($U$2:U197),$U$2:$U$1001,0),MATCH(COLUMNS($AB$1006:AN1006),$AB$1006:$AQ$1006,0)), HYPERLINK("#",""), HYPERLINK(CONCATENATE("#metadata!", ADDRESS(INDEX($W$2:$W$1001,MATCH(ROWS($U$2:U197),$U$2:$U$1001,0),0), INDEX($AB$1004:$AQ$1004,1,MATCH(COLUMNS($AB$1006:AN1006),$AB$1006:$AQ$1006,0)))),"Fix")))</f>
        <v>0</v>
      </c>
      <c r="O197" s="4">
        <f>IF(OR(INDEX($V$2:$V$1001,MATCH(ROWS($U$2:U197),$U$2:$U$1001,0),1)&gt;=100000,INDEX($AB$1005:$AQ$1005,1,MATCH(COLUMNS($AB$1006:AO1006),$AB$1006:$AQ$1006,0))&gt;=100000), " ",IF(INDEX($AB$2:$AQ$1001,MATCH(ROWS($U$2:U197),$U$2:$U$1001,0),MATCH(COLUMNS($AB$1006:AO1006),$AB$1006:$AQ$1006,0)), HYPERLINK("#",""), HYPERLINK(CONCATENATE("#metadata!", ADDRESS(INDEX($W$2:$W$1001,MATCH(ROWS($U$2:U197),$U$2:$U$1001,0),0), INDEX($AB$1004:$AQ$1004,1,MATCH(COLUMNS($AB$1006:AO1006),$AB$1006:$AQ$1006,0)))),"Fix")))</f>
        <v>0</v>
      </c>
      <c r="P197" s="4">
        <f>IF(OR(INDEX($V$2:$V$1001,MATCH(ROWS($U$2:U197),$U$2:$U$1001,0),1)&gt;=100000,INDEX($AB$1005:$AQ$1005,1,MATCH(COLUMNS($AB$1006:AP1006),$AB$1006:$AQ$1006,0))&gt;=100000), " ",IF(INDEX($AB$2:$AQ$1001,MATCH(ROWS($U$2:U197),$U$2:$U$1001,0),MATCH(COLUMNS($AB$1006:AP1006),$AB$1006:$AQ$1006,0)), HYPERLINK("#",""), HYPERLINK(CONCATENATE("#metadata!", ADDRESS(INDEX($W$2:$W$1001,MATCH(ROWS($U$2:U197),$U$2:$U$1001,0),0), INDEX($AB$1004:$AQ$1004,1,MATCH(COLUMNS($AB$1006:AP1006),$AB$1006:$AQ$1006,0)))),"Fix")))</f>
        <v>0</v>
      </c>
      <c r="Q197" s="4">
        <f>IF(OR(INDEX($V$2:$V$1001,MATCH(ROWS($U$2:U197),$U$2:$U$1001,0),1)&gt;=100000,INDEX($AB$1005:$AQ$1005,1,MATCH(COLUMNS($AB$1006:AQ1006),$AB$1006:$AQ$1006,0))&gt;=100000), " ",IF(INDEX($AB$2:$AQ$1001,MATCH(ROWS($U$2:U197),$U$2:$U$1001,0),MATCH(COLUMNS($AB$1006:AQ1006),$AB$1006:$AQ$1006,0)), HYPERLINK("#",""), HYPERLINK(CONCATENATE("#metadata!", ADDRESS(INDEX($W$2:$W$1001,MATCH(ROWS($U$2:U197),$U$2:$U$1001,0),0), INDEX($AB$1004:$AQ$1004,1,MATCH(COLUMNS($AB$1006:AQ1006),$AB$1006:$AQ$1006,0)))),"Fix")))</f>
        <v>0</v>
      </c>
      <c r="U197">
        <v>0</v>
      </c>
      <c r="V197">
        <v>0</v>
      </c>
      <c r="W197">
        <v>0</v>
      </c>
      <c r="X197">
        <f>IF(Y197,TRUE,AND(AB197:AQ197))</f>
        <v>0</v>
      </c>
      <c r="Y197">
        <f>COUNTBLANK(metadata!B197:Q197)=COLUMNS(metadata!B197:Q197)</f>
        <v>0</v>
      </c>
      <c r="Z197">
        <v>0</v>
      </c>
      <c r="AB197">
        <f>AND(IF(metadata!B197="",FALSE,TRUE),COUNTIF(metadata!B:B, metadata!B197) = 1,NOT(ISERROR(SUMPRODUCT(SEARCH(MID(metadata!B197,ROW(INDIRECT("1:"&amp;LEN(metadata!B197))), 1),"0123456789abcdefghijklmnopqrstuvwxyzABCDEFGHIJKLMNOPQRSTUVWXYZ.")))))</f>
        <v>0</v>
      </c>
      <c r="AC197">
        <f>OR(AND(IF(metadata!C197="",FALSE,TRUE),OR(exact(metadata!C197,"missing: not collected"),exact(metadata!C197,"missing: not provided"),exact(metadata!C197,"missing: restricted access"))),AND(IF(metadata!C197="",FALSE,TRUE),AND(AND(IFERROR(INT(LEFT(metadata!C197,4))&gt;1900,FALSE),IFERROR(INT(LEFT(metadata!C197,4))&lt;=YEAR(NOW()),FALSE)), OR(MID(metadata!C197,5,1)="", AND(AND(MID(metadata!C197,5,1)="-",IFERROR(INT(MID(metadata!C197,6,1))&gt;=0,FALSE),IFERROR(INT(MID(metadata!C197,6,1))&lt;=1,FALSE),NOT(MID(metadata!C197,7,1)=""),IFERROR(INT(MID(metadata!C197,6,2))&gt;=1,FALSE),IFERROR(INT(MID(metadata!C197,6,2))&lt;=12,FALSE)), OR(MID(metadata!C197,8,1)="", AND(AND(MID(metadata!C197,8,1)="-",IFERROR(INT(MID(metadata!C197,9,1))&gt;=0,FALSE),IFERROR(INT(MID(metadata!C197,9,1))&lt;=3,FALSE),NOT(MID(metadata!C197,10,1)=""),IFERROR(INT(MID(metadata!C197,9,2))&gt;=1,FALSE),IFERROR(INT(MID(metadata!C197,9,2))&lt;=31,FALSE)), OR(MID(metadata!C197,11,1)="", AND(AND(MID(metadata!C197,11,1)=" ",IFERROR(INT(MID(metadata!C197,12,1))&gt;=0,FALSE),IFERROR(INT(MID(metadata!C197,12,1))&lt;=2,FALSE),NOT(MID(metadata!C197,13,1)=""),IFERROR(INT(MID(metadata!C197,12,2))&gt;=0,FALSE),IFERROR(INT(MID(metadata!C197,12,2))&lt;=23,FALSE)), OR(MID(metadata!C197,14,1)="", AND(AND(MID(metadata!C197,14,1)=":",IFERROR(INT(MID(metadata!C197,15,1))&gt;=0,FALSE),IFERROR(INT(MID(metadata!C197,15,1))&lt;=5,FALSE),NOT(MID(metadata!C197,16,1)=""),IFERROR(INT(MID(metadata!C197,15,2))&gt;=0,FALSE),IFERROR(INT(MID(metadata!C197,15,2))&lt;=59,FALSE)), OR(MID(metadata!C197,17,1)="", AND(AND(MID(metadata!C197,17,1)=":",IFERROR(INT(MID(metadata!C197,18,1))&gt;=0,FALSE),IFERROR(INT(MID(metadata!C197,18,1))&lt;=5,FALSE),NOT(MID(metadata!C197,19,1)=""),IFERROR(INT(MID(metadata!C197,18,2))&gt;=0,FALSE),IFERROR(INT(MID(metadata!C197,18,2))&lt;=59,FALSE)), LEN(metadata!C197)&lt;=19)))))))))))))</f>
        <v>0</v>
      </c>
      <c r="AD197">
        <f>IF(metadata!D197="",FALSE,TRUE)</f>
        <v>0</v>
      </c>
      <c r="AE197">
        <f>OR(AND(IF(metadata!E197="",FALSE,TRUE),OR(exact(metadata!E197,"missing: not collected"),exact(metadata!E197,"missing: not provided"))),AND(IF(metadata!E197="",FALSE,TRUE),OR(exact(metadata!E197,"TRUE"),exact(metadata!E197,"FALSE"))))</f>
        <v>0</v>
      </c>
      <c r="AF197">
        <f>IF(metadata!F197="",FALSE,TRUE)</f>
        <v>0</v>
      </c>
      <c r="AG197">
        <f>IF(metadata!G197="",FALSE,TRUE)</f>
        <v>0</v>
      </c>
      <c r="AH197">
        <f>IF(metadata!H197="",FALSE,TRUE)</f>
        <v>0</v>
      </c>
      <c r="AI197">
        <f>OR(AND(IF(metadata!I197="",FALSE,TRUE),OR(exact(metadata!I197,"missing: not collected"),exact(metadata!I197,"missing: not provided"),exact(metadata!I197,"missing: restricted access"))),AND(IF(metadata!I197="",FALSE,TRUE),OR(exact(metadata!I197,"air"),exact(metadata!I197,"built environment"),exact(metadata!I197,"host-associated"),exact(metadata!I197,"human-associated"),exact(metadata!I197,"human-skin"),exact(metadata!I197,"human-oral"),exact(metadata!I197,"human-gut"),exact(metadata!I197,"human-vaginal"),exact(metadata!I197,"microbial mat/biofilm"),exact(metadata!I197,"misc environment"),exact(metadata!I197,"plant-associated"),exact(metadata!I197,"sediment"),exact(metadata!I197,"soil"),exact(metadata!I197,"wastewater/sludge"),exact(metadata!I197,"water"))))</f>
        <v>0</v>
      </c>
      <c r="AJ197">
        <f>IF(metadata!J197="",FALSE,TRUE)</f>
        <v>0</v>
      </c>
      <c r="AK197">
        <f>OR(AND(IF(metadata!K197="",FALSE,TRUE),OR(exact(metadata!K197,"missing: not collected"),exact(metadata!K197,"missing: not provided"),exact(metadata!K197,"missing: restricted access"))),AND(IF(metadata!K197="",FALSE,ISNUMBER(VALUE(metadata!K197))),metadata!K197&gt;=-90.00,metadata!K197&lt;=90.00))</f>
        <v>0</v>
      </c>
      <c r="AL197">
        <f>OR(AND(IF(metadata!L197="",FALSE,TRUE),OR(exact(metadata!L197,"missing: not collected"),exact(metadata!L197,"missing: not provided"),exact(metadata!L197,"missing: restricted access"))),AND(IF(metadata!L197="",FALSE,ISNUMBER(VALUE(metadata!L197))),metadata!L197&gt;=-180.00,metadata!L197&lt;=180.00))</f>
        <v>0</v>
      </c>
      <c r="AM197">
        <f>IF(metadata!M197="",FALSE,TRUE)</f>
        <v>0</v>
      </c>
      <c r="AN197">
        <f>OR(AND(IF(metadata!N197="",FALSE,TRUE),OR(exact(metadata!N197,"missing: not collected"),exact(metadata!N197,"missing: not provided"),exact(metadata!N197,"missing: restricted access"))),AND(IF(metadata!N197="",FALSE,TRUE),OR(exact(metadata!N197,"TRUE"),exact(metadata!N197,"FALSE"))))</f>
        <v>0</v>
      </c>
      <c r="AO197">
        <f>IF(metadata!O197="",FALSE,TRUE)</f>
        <v>0</v>
      </c>
      <c r="AP197">
        <f>OR(AND(IF(metadata!P197="",FALSE,TRUE),OR(exact(metadata!P197,"missing: not collected"),exact(metadata!P197,"missing: not provided"))),AND(IF(metadata!P197="",FALSE,IF(ISERROR(INT(metadata!P197)),FALSE,INT(metadata!P197)=metadata!P197)),metadata!P197&gt;0))</f>
        <v>0</v>
      </c>
      <c r="AQ197">
        <f>IF(metadata!Q197="",FALSE,TRUE)</f>
        <v>0</v>
      </c>
    </row>
    <row r="198" spans="1:43">
      <c r="A198" s="5">
        <f>IF(B198=" "," ",HYPERLINK(CONCATENATE("#metadata!",ADDRESS(INDEX($W$2:$W$1001,MATCH(ROWS($U$2:U198),$U$2:$U$1001,0),0),1)),INDEX($Z$2:$Z$1001,MATCH(ROWS($U$2:U198),$U$2:$U$1001,0),0)))</f>
        <v>0</v>
      </c>
      <c r="B198" s="4">
        <f>IF(OR(INDEX($V$2:$V$1001,MATCH(ROWS($U$2:U198),$U$2:$U$1001,0),1)&gt;=100000,INDEX($AB$1005:$AQ$1005,1,MATCH(COLUMNS($AB$1006:AB1006),$AB$1006:$AQ$1006,0))&gt;=100000), " ",IF(INDEX($AB$2:$AQ$1001,MATCH(ROWS($U$2:U198),$U$2:$U$1001,0),MATCH(COLUMNS($AB$1006:AB1006),$AB$1006:$AQ$1006,0)), HYPERLINK("#",""), HYPERLINK(CONCATENATE("#metadata!", ADDRESS(INDEX($W$2:$W$1001,MATCH(ROWS($U$2:U198),$U$2:$U$1001,0),0), INDEX($AB$1004:$AQ$1004,1,MATCH(COLUMNS($AB$1006:AB1006),$AB$1006:$AQ$1006,0)))),"Fix")))</f>
        <v>0</v>
      </c>
      <c r="C198" s="4">
        <f>IF(OR(INDEX($V$2:$V$1001,MATCH(ROWS($U$2:U198),$U$2:$U$1001,0),1)&gt;=100000,INDEX($AB$1005:$AQ$1005,1,MATCH(COLUMNS($AB$1006:AC1006),$AB$1006:$AQ$1006,0))&gt;=100000), " ",IF(INDEX($AB$2:$AQ$1001,MATCH(ROWS($U$2:U198),$U$2:$U$1001,0),MATCH(COLUMNS($AB$1006:AC1006),$AB$1006:$AQ$1006,0)), HYPERLINK("#",""), HYPERLINK(CONCATENATE("#metadata!", ADDRESS(INDEX($W$2:$W$1001,MATCH(ROWS($U$2:U198),$U$2:$U$1001,0),0), INDEX($AB$1004:$AQ$1004,1,MATCH(COLUMNS($AB$1006:AC1006),$AB$1006:$AQ$1006,0)))),"Fix")))</f>
        <v>0</v>
      </c>
      <c r="D198" s="4">
        <f>IF(OR(INDEX($V$2:$V$1001,MATCH(ROWS($U$2:U198),$U$2:$U$1001,0),1)&gt;=100000,INDEX($AB$1005:$AQ$1005,1,MATCH(COLUMNS($AB$1006:AD1006),$AB$1006:$AQ$1006,0))&gt;=100000), " ",IF(INDEX($AB$2:$AQ$1001,MATCH(ROWS($U$2:U198),$U$2:$U$1001,0),MATCH(COLUMNS($AB$1006:AD1006),$AB$1006:$AQ$1006,0)), HYPERLINK("#",""), HYPERLINK(CONCATENATE("#metadata!", ADDRESS(INDEX($W$2:$W$1001,MATCH(ROWS($U$2:U198),$U$2:$U$1001,0),0), INDEX($AB$1004:$AQ$1004,1,MATCH(COLUMNS($AB$1006:AD1006),$AB$1006:$AQ$1006,0)))),"Fix")))</f>
        <v>0</v>
      </c>
      <c r="E198" s="4">
        <f>IF(OR(INDEX($V$2:$V$1001,MATCH(ROWS($U$2:U198),$U$2:$U$1001,0),1)&gt;=100000,INDEX($AB$1005:$AQ$1005,1,MATCH(COLUMNS($AB$1006:AE1006),$AB$1006:$AQ$1006,0))&gt;=100000), " ",IF(INDEX($AB$2:$AQ$1001,MATCH(ROWS($U$2:U198),$U$2:$U$1001,0),MATCH(COLUMNS($AB$1006:AE1006),$AB$1006:$AQ$1006,0)), HYPERLINK("#",""), HYPERLINK(CONCATENATE("#metadata!", ADDRESS(INDEX($W$2:$W$1001,MATCH(ROWS($U$2:U198),$U$2:$U$1001,0),0), INDEX($AB$1004:$AQ$1004,1,MATCH(COLUMNS($AB$1006:AE1006),$AB$1006:$AQ$1006,0)))),"Fix")))</f>
        <v>0</v>
      </c>
      <c r="F198" s="4">
        <f>IF(OR(INDEX($V$2:$V$1001,MATCH(ROWS($U$2:U198),$U$2:$U$1001,0),1)&gt;=100000,INDEX($AB$1005:$AQ$1005,1,MATCH(COLUMNS($AB$1006:AF1006),$AB$1006:$AQ$1006,0))&gt;=100000), " ",IF(INDEX($AB$2:$AQ$1001,MATCH(ROWS($U$2:U198),$U$2:$U$1001,0),MATCH(COLUMNS($AB$1006:AF1006),$AB$1006:$AQ$1006,0)), HYPERLINK("#",""), HYPERLINK(CONCATENATE("#metadata!", ADDRESS(INDEX($W$2:$W$1001,MATCH(ROWS($U$2:U198),$U$2:$U$1001,0),0), INDEX($AB$1004:$AQ$1004,1,MATCH(COLUMNS($AB$1006:AF1006),$AB$1006:$AQ$1006,0)))),"Fix")))</f>
        <v>0</v>
      </c>
      <c r="G198" s="4">
        <f>IF(OR(INDEX($V$2:$V$1001,MATCH(ROWS($U$2:U198),$U$2:$U$1001,0),1)&gt;=100000,INDEX($AB$1005:$AQ$1005,1,MATCH(COLUMNS($AB$1006:AG1006),$AB$1006:$AQ$1006,0))&gt;=100000), " ",IF(INDEX($AB$2:$AQ$1001,MATCH(ROWS($U$2:U198),$U$2:$U$1001,0),MATCH(COLUMNS($AB$1006:AG1006),$AB$1006:$AQ$1006,0)), HYPERLINK("#",""), HYPERLINK(CONCATENATE("#metadata!", ADDRESS(INDEX($W$2:$W$1001,MATCH(ROWS($U$2:U198),$U$2:$U$1001,0),0), INDEX($AB$1004:$AQ$1004,1,MATCH(COLUMNS($AB$1006:AG1006),$AB$1006:$AQ$1006,0)))),"Fix")))</f>
        <v>0</v>
      </c>
      <c r="H198" s="4">
        <f>IF(OR(INDEX($V$2:$V$1001,MATCH(ROWS($U$2:U198),$U$2:$U$1001,0),1)&gt;=100000,INDEX($AB$1005:$AQ$1005,1,MATCH(COLUMNS($AB$1006:AH1006),$AB$1006:$AQ$1006,0))&gt;=100000), " ",IF(INDEX($AB$2:$AQ$1001,MATCH(ROWS($U$2:U198),$U$2:$U$1001,0),MATCH(COLUMNS($AB$1006:AH1006),$AB$1006:$AQ$1006,0)), HYPERLINK("#",""), HYPERLINK(CONCATENATE("#metadata!", ADDRESS(INDEX($W$2:$W$1001,MATCH(ROWS($U$2:U198),$U$2:$U$1001,0),0), INDEX($AB$1004:$AQ$1004,1,MATCH(COLUMNS($AB$1006:AH1006),$AB$1006:$AQ$1006,0)))),"Fix")))</f>
        <v>0</v>
      </c>
      <c r="I198" s="4">
        <f>IF(OR(INDEX($V$2:$V$1001,MATCH(ROWS($U$2:U198),$U$2:$U$1001,0),1)&gt;=100000,INDEX($AB$1005:$AQ$1005,1,MATCH(COLUMNS($AB$1006:AI1006),$AB$1006:$AQ$1006,0))&gt;=100000), " ",IF(INDEX($AB$2:$AQ$1001,MATCH(ROWS($U$2:U198),$U$2:$U$1001,0),MATCH(COLUMNS($AB$1006:AI1006),$AB$1006:$AQ$1006,0)), HYPERLINK("#",""), HYPERLINK(CONCATENATE("#metadata!", ADDRESS(INDEX($W$2:$W$1001,MATCH(ROWS($U$2:U198),$U$2:$U$1001,0),0), INDEX($AB$1004:$AQ$1004,1,MATCH(COLUMNS($AB$1006:AI1006),$AB$1006:$AQ$1006,0)))),"Fix")))</f>
        <v>0</v>
      </c>
      <c r="J198" s="4">
        <f>IF(OR(INDEX($V$2:$V$1001,MATCH(ROWS($U$2:U198),$U$2:$U$1001,0),1)&gt;=100000,INDEX($AB$1005:$AQ$1005,1,MATCH(COLUMNS($AB$1006:AJ1006),$AB$1006:$AQ$1006,0))&gt;=100000), " ",IF(INDEX($AB$2:$AQ$1001,MATCH(ROWS($U$2:U198),$U$2:$U$1001,0),MATCH(COLUMNS($AB$1006:AJ1006),$AB$1006:$AQ$1006,0)), HYPERLINK("#",""), HYPERLINK(CONCATENATE("#metadata!", ADDRESS(INDEX($W$2:$W$1001,MATCH(ROWS($U$2:U198),$U$2:$U$1001,0),0), INDEX($AB$1004:$AQ$1004,1,MATCH(COLUMNS($AB$1006:AJ1006),$AB$1006:$AQ$1006,0)))),"Fix")))</f>
        <v>0</v>
      </c>
      <c r="K198" s="4">
        <f>IF(OR(INDEX($V$2:$V$1001,MATCH(ROWS($U$2:U198),$U$2:$U$1001,0),1)&gt;=100000,INDEX($AB$1005:$AQ$1005,1,MATCH(COLUMNS($AB$1006:AK1006),$AB$1006:$AQ$1006,0))&gt;=100000), " ",IF(INDEX($AB$2:$AQ$1001,MATCH(ROWS($U$2:U198),$U$2:$U$1001,0),MATCH(COLUMNS($AB$1006:AK1006),$AB$1006:$AQ$1006,0)), HYPERLINK("#",""), HYPERLINK(CONCATENATE("#metadata!", ADDRESS(INDEX($W$2:$W$1001,MATCH(ROWS($U$2:U198),$U$2:$U$1001,0),0), INDEX($AB$1004:$AQ$1004,1,MATCH(COLUMNS($AB$1006:AK1006),$AB$1006:$AQ$1006,0)))),"Fix")))</f>
        <v>0</v>
      </c>
      <c r="L198" s="4">
        <f>IF(OR(INDEX($V$2:$V$1001,MATCH(ROWS($U$2:U198),$U$2:$U$1001,0),1)&gt;=100000,INDEX($AB$1005:$AQ$1005,1,MATCH(COLUMNS($AB$1006:AL1006),$AB$1006:$AQ$1006,0))&gt;=100000), " ",IF(INDEX($AB$2:$AQ$1001,MATCH(ROWS($U$2:U198),$U$2:$U$1001,0),MATCH(COLUMNS($AB$1006:AL1006),$AB$1006:$AQ$1006,0)), HYPERLINK("#",""), HYPERLINK(CONCATENATE("#metadata!", ADDRESS(INDEX($W$2:$W$1001,MATCH(ROWS($U$2:U198),$U$2:$U$1001,0),0), INDEX($AB$1004:$AQ$1004,1,MATCH(COLUMNS($AB$1006:AL1006),$AB$1006:$AQ$1006,0)))),"Fix")))</f>
        <v>0</v>
      </c>
      <c r="M198" s="4">
        <f>IF(OR(INDEX($V$2:$V$1001,MATCH(ROWS($U$2:U198),$U$2:$U$1001,0),1)&gt;=100000,INDEX($AB$1005:$AQ$1005,1,MATCH(COLUMNS($AB$1006:AM1006),$AB$1006:$AQ$1006,0))&gt;=100000), " ",IF(INDEX($AB$2:$AQ$1001,MATCH(ROWS($U$2:U198),$U$2:$U$1001,0),MATCH(COLUMNS($AB$1006:AM1006),$AB$1006:$AQ$1006,0)), HYPERLINK("#",""), HYPERLINK(CONCATENATE("#metadata!", ADDRESS(INDEX($W$2:$W$1001,MATCH(ROWS($U$2:U198),$U$2:$U$1001,0),0), INDEX($AB$1004:$AQ$1004,1,MATCH(COLUMNS($AB$1006:AM1006),$AB$1006:$AQ$1006,0)))),"Fix")))</f>
        <v>0</v>
      </c>
      <c r="N198" s="4">
        <f>IF(OR(INDEX($V$2:$V$1001,MATCH(ROWS($U$2:U198),$U$2:$U$1001,0),1)&gt;=100000,INDEX($AB$1005:$AQ$1005,1,MATCH(COLUMNS($AB$1006:AN1006),$AB$1006:$AQ$1006,0))&gt;=100000), " ",IF(INDEX($AB$2:$AQ$1001,MATCH(ROWS($U$2:U198),$U$2:$U$1001,0),MATCH(COLUMNS($AB$1006:AN1006),$AB$1006:$AQ$1006,0)), HYPERLINK("#",""), HYPERLINK(CONCATENATE("#metadata!", ADDRESS(INDEX($W$2:$W$1001,MATCH(ROWS($U$2:U198),$U$2:$U$1001,0),0), INDEX($AB$1004:$AQ$1004,1,MATCH(COLUMNS($AB$1006:AN1006),$AB$1006:$AQ$1006,0)))),"Fix")))</f>
        <v>0</v>
      </c>
      <c r="O198" s="4">
        <f>IF(OR(INDEX($V$2:$V$1001,MATCH(ROWS($U$2:U198),$U$2:$U$1001,0),1)&gt;=100000,INDEX($AB$1005:$AQ$1005,1,MATCH(COLUMNS($AB$1006:AO1006),$AB$1006:$AQ$1006,0))&gt;=100000), " ",IF(INDEX($AB$2:$AQ$1001,MATCH(ROWS($U$2:U198),$U$2:$U$1001,0),MATCH(COLUMNS($AB$1006:AO1006),$AB$1006:$AQ$1006,0)), HYPERLINK("#",""), HYPERLINK(CONCATENATE("#metadata!", ADDRESS(INDEX($W$2:$W$1001,MATCH(ROWS($U$2:U198),$U$2:$U$1001,0),0), INDEX($AB$1004:$AQ$1004,1,MATCH(COLUMNS($AB$1006:AO1006),$AB$1006:$AQ$1006,0)))),"Fix")))</f>
        <v>0</v>
      </c>
      <c r="P198" s="4">
        <f>IF(OR(INDEX($V$2:$V$1001,MATCH(ROWS($U$2:U198),$U$2:$U$1001,0),1)&gt;=100000,INDEX($AB$1005:$AQ$1005,1,MATCH(COLUMNS($AB$1006:AP1006),$AB$1006:$AQ$1006,0))&gt;=100000), " ",IF(INDEX($AB$2:$AQ$1001,MATCH(ROWS($U$2:U198),$U$2:$U$1001,0),MATCH(COLUMNS($AB$1006:AP1006),$AB$1006:$AQ$1006,0)), HYPERLINK("#",""), HYPERLINK(CONCATENATE("#metadata!", ADDRESS(INDEX($W$2:$W$1001,MATCH(ROWS($U$2:U198),$U$2:$U$1001,0),0), INDEX($AB$1004:$AQ$1004,1,MATCH(COLUMNS($AB$1006:AP1006),$AB$1006:$AQ$1006,0)))),"Fix")))</f>
        <v>0</v>
      </c>
      <c r="Q198" s="4">
        <f>IF(OR(INDEX($V$2:$V$1001,MATCH(ROWS($U$2:U198),$U$2:$U$1001,0),1)&gt;=100000,INDEX($AB$1005:$AQ$1005,1,MATCH(COLUMNS($AB$1006:AQ1006),$AB$1006:$AQ$1006,0))&gt;=100000), " ",IF(INDEX($AB$2:$AQ$1001,MATCH(ROWS($U$2:U198),$U$2:$U$1001,0),MATCH(COLUMNS($AB$1006:AQ1006),$AB$1006:$AQ$1006,0)), HYPERLINK("#",""), HYPERLINK(CONCATENATE("#metadata!", ADDRESS(INDEX($W$2:$W$1001,MATCH(ROWS($U$2:U198),$U$2:$U$1001,0),0), INDEX($AB$1004:$AQ$1004,1,MATCH(COLUMNS($AB$1006:AQ1006),$AB$1006:$AQ$1006,0)))),"Fix")))</f>
        <v>0</v>
      </c>
      <c r="U198">
        <v>0</v>
      </c>
      <c r="V198">
        <v>0</v>
      </c>
      <c r="W198">
        <v>0</v>
      </c>
      <c r="X198">
        <f>IF(Y198,TRUE,AND(AB198:AQ198))</f>
        <v>0</v>
      </c>
      <c r="Y198">
        <f>COUNTBLANK(metadata!B198:Q198)=COLUMNS(metadata!B198:Q198)</f>
        <v>0</v>
      </c>
      <c r="Z198">
        <v>0</v>
      </c>
      <c r="AB198">
        <f>AND(IF(metadata!B198="",FALSE,TRUE),COUNTIF(metadata!B:B, metadata!B198) = 1,NOT(ISERROR(SUMPRODUCT(SEARCH(MID(metadata!B198,ROW(INDIRECT("1:"&amp;LEN(metadata!B198))), 1),"0123456789abcdefghijklmnopqrstuvwxyzABCDEFGHIJKLMNOPQRSTUVWXYZ.")))))</f>
        <v>0</v>
      </c>
      <c r="AC198">
        <f>OR(AND(IF(metadata!C198="",FALSE,TRUE),OR(exact(metadata!C198,"missing: not collected"),exact(metadata!C198,"missing: not provided"),exact(metadata!C198,"missing: restricted access"))),AND(IF(metadata!C198="",FALSE,TRUE),AND(AND(IFERROR(INT(LEFT(metadata!C198,4))&gt;1900,FALSE),IFERROR(INT(LEFT(metadata!C198,4))&lt;=YEAR(NOW()),FALSE)), OR(MID(metadata!C198,5,1)="", AND(AND(MID(metadata!C198,5,1)="-",IFERROR(INT(MID(metadata!C198,6,1))&gt;=0,FALSE),IFERROR(INT(MID(metadata!C198,6,1))&lt;=1,FALSE),NOT(MID(metadata!C198,7,1)=""),IFERROR(INT(MID(metadata!C198,6,2))&gt;=1,FALSE),IFERROR(INT(MID(metadata!C198,6,2))&lt;=12,FALSE)), OR(MID(metadata!C198,8,1)="", AND(AND(MID(metadata!C198,8,1)="-",IFERROR(INT(MID(metadata!C198,9,1))&gt;=0,FALSE),IFERROR(INT(MID(metadata!C198,9,1))&lt;=3,FALSE),NOT(MID(metadata!C198,10,1)=""),IFERROR(INT(MID(metadata!C198,9,2))&gt;=1,FALSE),IFERROR(INT(MID(metadata!C198,9,2))&lt;=31,FALSE)), OR(MID(metadata!C198,11,1)="", AND(AND(MID(metadata!C198,11,1)=" ",IFERROR(INT(MID(metadata!C198,12,1))&gt;=0,FALSE),IFERROR(INT(MID(metadata!C198,12,1))&lt;=2,FALSE),NOT(MID(metadata!C198,13,1)=""),IFERROR(INT(MID(metadata!C198,12,2))&gt;=0,FALSE),IFERROR(INT(MID(metadata!C198,12,2))&lt;=23,FALSE)), OR(MID(metadata!C198,14,1)="", AND(AND(MID(metadata!C198,14,1)=":",IFERROR(INT(MID(metadata!C198,15,1))&gt;=0,FALSE),IFERROR(INT(MID(metadata!C198,15,1))&lt;=5,FALSE),NOT(MID(metadata!C198,16,1)=""),IFERROR(INT(MID(metadata!C198,15,2))&gt;=0,FALSE),IFERROR(INT(MID(metadata!C198,15,2))&lt;=59,FALSE)), OR(MID(metadata!C198,17,1)="", AND(AND(MID(metadata!C198,17,1)=":",IFERROR(INT(MID(metadata!C198,18,1))&gt;=0,FALSE),IFERROR(INT(MID(metadata!C198,18,1))&lt;=5,FALSE),NOT(MID(metadata!C198,19,1)=""),IFERROR(INT(MID(metadata!C198,18,2))&gt;=0,FALSE),IFERROR(INT(MID(metadata!C198,18,2))&lt;=59,FALSE)), LEN(metadata!C198)&lt;=19)))))))))))))</f>
        <v>0</v>
      </c>
      <c r="AD198">
        <f>IF(metadata!D198="",FALSE,TRUE)</f>
        <v>0</v>
      </c>
      <c r="AE198">
        <f>OR(AND(IF(metadata!E198="",FALSE,TRUE),OR(exact(metadata!E198,"missing: not collected"),exact(metadata!E198,"missing: not provided"))),AND(IF(metadata!E198="",FALSE,TRUE),OR(exact(metadata!E198,"TRUE"),exact(metadata!E198,"FALSE"))))</f>
        <v>0</v>
      </c>
      <c r="AF198">
        <f>IF(metadata!F198="",FALSE,TRUE)</f>
        <v>0</v>
      </c>
      <c r="AG198">
        <f>IF(metadata!G198="",FALSE,TRUE)</f>
        <v>0</v>
      </c>
      <c r="AH198">
        <f>IF(metadata!H198="",FALSE,TRUE)</f>
        <v>0</v>
      </c>
      <c r="AI198">
        <f>OR(AND(IF(metadata!I198="",FALSE,TRUE),OR(exact(metadata!I198,"missing: not collected"),exact(metadata!I198,"missing: not provided"),exact(metadata!I198,"missing: restricted access"))),AND(IF(metadata!I198="",FALSE,TRUE),OR(exact(metadata!I198,"air"),exact(metadata!I198,"built environment"),exact(metadata!I198,"host-associated"),exact(metadata!I198,"human-associated"),exact(metadata!I198,"human-skin"),exact(metadata!I198,"human-oral"),exact(metadata!I198,"human-gut"),exact(metadata!I198,"human-vaginal"),exact(metadata!I198,"microbial mat/biofilm"),exact(metadata!I198,"misc environment"),exact(metadata!I198,"plant-associated"),exact(metadata!I198,"sediment"),exact(metadata!I198,"soil"),exact(metadata!I198,"wastewater/sludge"),exact(metadata!I198,"water"))))</f>
        <v>0</v>
      </c>
      <c r="AJ198">
        <f>IF(metadata!J198="",FALSE,TRUE)</f>
        <v>0</v>
      </c>
      <c r="AK198">
        <f>OR(AND(IF(metadata!K198="",FALSE,TRUE),OR(exact(metadata!K198,"missing: not collected"),exact(metadata!K198,"missing: not provided"),exact(metadata!K198,"missing: restricted access"))),AND(IF(metadata!K198="",FALSE,ISNUMBER(VALUE(metadata!K198))),metadata!K198&gt;=-90.00,metadata!K198&lt;=90.00))</f>
        <v>0</v>
      </c>
      <c r="AL198">
        <f>OR(AND(IF(metadata!L198="",FALSE,TRUE),OR(exact(metadata!L198,"missing: not collected"),exact(metadata!L198,"missing: not provided"),exact(metadata!L198,"missing: restricted access"))),AND(IF(metadata!L198="",FALSE,ISNUMBER(VALUE(metadata!L198))),metadata!L198&gt;=-180.00,metadata!L198&lt;=180.00))</f>
        <v>0</v>
      </c>
      <c r="AM198">
        <f>IF(metadata!M198="",FALSE,TRUE)</f>
        <v>0</v>
      </c>
      <c r="AN198">
        <f>OR(AND(IF(metadata!N198="",FALSE,TRUE),OR(exact(metadata!N198,"missing: not collected"),exact(metadata!N198,"missing: not provided"),exact(metadata!N198,"missing: restricted access"))),AND(IF(metadata!N198="",FALSE,TRUE),OR(exact(metadata!N198,"TRUE"),exact(metadata!N198,"FALSE"))))</f>
        <v>0</v>
      </c>
      <c r="AO198">
        <f>IF(metadata!O198="",FALSE,TRUE)</f>
        <v>0</v>
      </c>
      <c r="AP198">
        <f>OR(AND(IF(metadata!P198="",FALSE,TRUE),OR(exact(metadata!P198,"missing: not collected"),exact(metadata!P198,"missing: not provided"))),AND(IF(metadata!P198="",FALSE,IF(ISERROR(INT(metadata!P198)),FALSE,INT(metadata!P198)=metadata!P198)),metadata!P198&gt;0))</f>
        <v>0</v>
      </c>
      <c r="AQ198">
        <f>IF(metadata!Q198="",FALSE,TRUE)</f>
        <v>0</v>
      </c>
    </row>
    <row r="199" spans="1:43">
      <c r="A199" s="5">
        <f>IF(B199=" "," ",HYPERLINK(CONCATENATE("#metadata!",ADDRESS(INDEX($W$2:$W$1001,MATCH(ROWS($U$2:U199),$U$2:$U$1001,0),0),1)),INDEX($Z$2:$Z$1001,MATCH(ROWS($U$2:U199),$U$2:$U$1001,0),0)))</f>
        <v>0</v>
      </c>
      <c r="B199" s="4">
        <f>IF(OR(INDEX($V$2:$V$1001,MATCH(ROWS($U$2:U199),$U$2:$U$1001,0),1)&gt;=100000,INDEX($AB$1005:$AQ$1005,1,MATCH(COLUMNS($AB$1006:AB1006),$AB$1006:$AQ$1006,0))&gt;=100000), " ",IF(INDEX($AB$2:$AQ$1001,MATCH(ROWS($U$2:U199),$U$2:$U$1001,0),MATCH(COLUMNS($AB$1006:AB1006),$AB$1006:$AQ$1006,0)), HYPERLINK("#",""), HYPERLINK(CONCATENATE("#metadata!", ADDRESS(INDEX($W$2:$W$1001,MATCH(ROWS($U$2:U199),$U$2:$U$1001,0),0), INDEX($AB$1004:$AQ$1004,1,MATCH(COLUMNS($AB$1006:AB1006),$AB$1006:$AQ$1006,0)))),"Fix")))</f>
        <v>0</v>
      </c>
      <c r="C199" s="4">
        <f>IF(OR(INDEX($V$2:$V$1001,MATCH(ROWS($U$2:U199),$U$2:$U$1001,0),1)&gt;=100000,INDEX($AB$1005:$AQ$1005,1,MATCH(COLUMNS($AB$1006:AC1006),$AB$1006:$AQ$1006,0))&gt;=100000), " ",IF(INDEX($AB$2:$AQ$1001,MATCH(ROWS($U$2:U199),$U$2:$U$1001,0),MATCH(COLUMNS($AB$1006:AC1006),$AB$1006:$AQ$1006,0)), HYPERLINK("#",""), HYPERLINK(CONCATENATE("#metadata!", ADDRESS(INDEX($W$2:$W$1001,MATCH(ROWS($U$2:U199),$U$2:$U$1001,0),0), INDEX($AB$1004:$AQ$1004,1,MATCH(COLUMNS($AB$1006:AC1006),$AB$1006:$AQ$1006,0)))),"Fix")))</f>
        <v>0</v>
      </c>
      <c r="D199" s="4">
        <f>IF(OR(INDEX($V$2:$V$1001,MATCH(ROWS($U$2:U199),$U$2:$U$1001,0),1)&gt;=100000,INDEX($AB$1005:$AQ$1005,1,MATCH(COLUMNS($AB$1006:AD1006),$AB$1006:$AQ$1006,0))&gt;=100000), " ",IF(INDEX($AB$2:$AQ$1001,MATCH(ROWS($U$2:U199),$U$2:$U$1001,0),MATCH(COLUMNS($AB$1006:AD1006),$AB$1006:$AQ$1006,0)), HYPERLINK("#",""), HYPERLINK(CONCATENATE("#metadata!", ADDRESS(INDEX($W$2:$W$1001,MATCH(ROWS($U$2:U199),$U$2:$U$1001,0),0), INDEX($AB$1004:$AQ$1004,1,MATCH(COLUMNS($AB$1006:AD1006),$AB$1006:$AQ$1006,0)))),"Fix")))</f>
        <v>0</v>
      </c>
      <c r="E199" s="4">
        <f>IF(OR(INDEX($V$2:$V$1001,MATCH(ROWS($U$2:U199),$U$2:$U$1001,0),1)&gt;=100000,INDEX($AB$1005:$AQ$1005,1,MATCH(COLUMNS($AB$1006:AE1006),$AB$1006:$AQ$1006,0))&gt;=100000), " ",IF(INDEX($AB$2:$AQ$1001,MATCH(ROWS($U$2:U199),$U$2:$U$1001,0),MATCH(COLUMNS($AB$1006:AE1006),$AB$1006:$AQ$1006,0)), HYPERLINK("#",""), HYPERLINK(CONCATENATE("#metadata!", ADDRESS(INDEX($W$2:$W$1001,MATCH(ROWS($U$2:U199),$U$2:$U$1001,0),0), INDEX($AB$1004:$AQ$1004,1,MATCH(COLUMNS($AB$1006:AE1006),$AB$1006:$AQ$1006,0)))),"Fix")))</f>
        <v>0</v>
      </c>
      <c r="F199" s="4">
        <f>IF(OR(INDEX($V$2:$V$1001,MATCH(ROWS($U$2:U199),$U$2:$U$1001,0),1)&gt;=100000,INDEX($AB$1005:$AQ$1005,1,MATCH(COLUMNS($AB$1006:AF1006),$AB$1006:$AQ$1006,0))&gt;=100000), " ",IF(INDEX($AB$2:$AQ$1001,MATCH(ROWS($U$2:U199),$U$2:$U$1001,0),MATCH(COLUMNS($AB$1006:AF1006),$AB$1006:$AQ$1006,0)), HYPERLINK("#",""), HYPERLINK(CONCATENATE("#metadata!", ADDRESS(INDEX($W$2:$W$1001,MATCH(ROWS($U$2:U199),$U$2:$U$1001,0),0), INDEX($AB$1004:$AQ$1004,1,MATCH(COLUMNS($AB$1006:AF1006),$AB$1006:$AQ$1006,0)))),"Fix")))</f>
        <v>0</v>
      </c>
      <c r="G199" s="4">
        <f>IF(OR(INDEX($V$2:$V$1001,MATCH(ROWS($U$2:U199),$U$2:$U$1001,0),1)&gt;=100000,INDEX($AB$1005:$AQ$1005,1,MATCH(COLUMNS($AB$1006:AG1006),$AB$1006:$AQ$1006,0))&gt;=100000), " ",IF(INDEX($AB$2:$AQ$1001,MATCH(ROWS($U$2:U199),$U$2:$U$1001,0),MATCH(COLUMNS($AB$1006:AG1006),$AB$1006:$AQ$1006,0)), HYPERLINK("#",""), HYPERLINK(CONCATENATE("#metadata!", ADDRESS(INDEX($W$2:$W$1001,MATCH(ROWS($U$2:U199),$U$2:$U$1001,0),0), INDEX($AB$1004:$AQ$1004,1,MATCH(COLUMNS($AB$1006:AG1006),$AB$1006:$AQ$1006,0)))),"Fix")))</f>
        <v>0</v>
      </c>
      <c r="H199" s="4">
        <f>IF(OR(INDEX($V$2:$V$1001,MATCH(ROWS($U$2:U199),$U$2:$U$1001,0),1)&gt;=100000,INDEX($AB$1005:$AQ$1005,1,MATCH(COLUMNS($AB$1006:AH1006),$AB$1006:$AQ$1006,0))&gt;=100000), " ",IF(INDEX($AB$2:$AQ$1001,MATCH(ROWS($U$2:U199),$U$2:$U$1001,0),MATCH(COLUMNS($AB$1006:AH1006),$AB$1006:$AQ$1006,0)), HYPERLINK("#",""), HYPERLINK(CONCATENATE("#metadata!", ADDRESS(INDEX($W$2:$W$1001,MATCH(ROWS($U$2:U199),$U$2:$U$1001,0),0), INDEX($AB$1004:$AQ$1004,1,MATCH(COLUMNS($AB$1006:AH1006),$AB$1006:$AQ$1006,0)))),"Fix")))</f>
        <v>0</v>
      </c>
      <c r="I199" s="4">
        <f>IF(OR(INDEX($V$2:$V$1001,MATCH(ROWS($U$2:U199),$U$2:$U$1001,0),1)&gt;=100000,INDEX($AB$1005:$AQ$1005,1,MATCH(COLUMNS($AB$1006:AI1006),$AB$1006:$AQ$1006,0))&gt;=100000), " ",IF(INDEX($AB$2:$AQ$1001,MATCH(ROWS($U$2:U199),$U$2:$U$1001,0),MATCH(COLUMNS($AB$1006:AI1006),$AB$1006:$AQ$1006,0)), HYPERLINK("#",""), HYPERLINK(CONCATENATE("#metadata!", ADDRESS(INDEX($W$2:$W$1001,MATCH(ROWS($U$2:U199),$U$2:$U$1001,0),0), INDEX($AB$1004:$AQ$1004,1,MATCH(COLUMNS($AB$1006:AI1006),$AB$1006:$AQ$1006,0)))),"Fix")))</f>
        <v>0</v>
      </c>
      <c r="J199" s="4">
        <f>IF(OR(INDEX($V$2:$V$1001,MATCH(ROWS($U$2:U199),$U$2:$U$1001,0),1)&gt;=100000,INDEX($AB$1005:$AQ$1005,1,MATCH(COLUMNS($AB$1006:AJ1006),$AB$1006:$AQ$1006,0))&gt;=100000), " ",IF(INDEX($AB$2:$AQ$1001,MATCH(ROWS($U$2:U199),$U$2:$U$1001,0),MATCH(COLUMNS($AB$1006:AJ1006),$AB$1006:$AQ$1006,0)), HYPERLINK("#",""), HYPERLINK(CONCATENATE("#metadata!", ADDRESS(INDEX($W$2:$W$1001,MATCH(ROWS($U$2:U199),$U$2:$U$1001,0),0), INDEX($AB$1004:$AQ$1004,1,MATCH(COLUMNS($AB$1006:AJ1006),$AB$1006:$AQ$1006,0)))),"Fix")))</f>
        <v>0</v>
      </c>
      <c r="K199" s="4">
        <f>IF(OR(INDEX($V$2:$V$1001,MATCH(ROWS($U$2:U199),$U$2:$U$1001,0),1)&gt;=100000,INDEX($AB$1005:$AQ$1005,1,MATCH(COLUMNS($AB$1006:AK1006),$AB$1006:$AQ$1006,0))&gt;=100000), " ",IF(INDEX($AB$2:$AQ$1001,MATCH(ROWS($U$2:U199),$U$2:$U$1001,0),MATCH(COLUMNS($AB$1006:AK1006),$AB$1006:$AQ$1006,0)), HYPERLINK("#",""), HYPERLINK(CONCATENATE("#metadata!", ADDRESS(INDEX($W$2:$W$1001,MATCH(ROWS($U$2:U199),$U$2:$U$1001,0),0), INDEX($AB$1004:$AQ$1004,1,MATCH(COLUMNS($AB$1006:AK1006),$AB$1006:$AQ$1006,0)))),"Fix")))</f>
        <v>0</v>
      </c>
      <c r="L199" s="4">
        <f>IF(OR(INDEX($V$2:$V$1001,MATCH(ROWS($U$2:U199),$U$2:$U$1001,0),1)&gt;=100000,INDEX($AB$1005:$AQ$1005,1,MATCH(COLUMNS($AB$1006:AL1006),$AB$1006:$AQ$1006,0))&gt;=100000), " ",IF(INDEX($AB$2:$AQ$1001,MATCH(ROWS($U$2:U199),$U$2:$U$1001,0),MATCH(COLUMNS($AB$1006:AL1006),$AB$1006:$AQ$1006,0)), HYPERLINK("#",""), HYPERLINK(CONCATENATE("#metadata!", ADDRESS(INDEX($W$2:$W$1001,MATCH(ROWS($U$2:U199),$U$2:$U$1001,0),0), INDEX($AB$1004:$AQ$1004,1,MATCH(COLUMNS($AB$1006:AL1006),$AB$1006:$AQ$1006,0)))),"Fix")))</f>
        <v>0</v>
      </c>
      <c r="M199" s="4">
        <f>IF(OR(INDEX($V$2:$V$1001,MATCH(ROWS($U$2:U199),$U$2:$U$1001,0),1)&gt;=100000,INDEX($AB$1005:$AQ$1005,1,MATCH(COLUMNS($AB$1006:AM1006),$AB$1006:$AQ$1006,0))&gt;=100000), " ",IF(INDEX($AB$2:$AQ$1001,MATCH(ROWS($U$2:U199),$U$2:$U$1001,0),MATCH(COLUMNS($AB$1006:AM1006),$AB$1006:$AQ$1006,0)), HYPERLINK("#",""), HYPERLINK(CONCATENATE("#metadata!", ADDRESS(INDEX($W$2:$W$1001,MATCH(ROWS($U$2:U199),$U$2:$U$1001,0),0), INDEX($AB$1004:$AQ$1004,1,MATCH(COLUMNS($AB$1006:AM1006),$AB$1006:$AQ$1006,0)))),"Fix")))</f>
        <v>0</v>
      </c>
      <c r="N199" s="4">
        <f>IF(OR(INDEX($V$2:$V$1001,MATCH(ROWS($U$2:U199),$U$2:$U$1001,0),1)&gt;=100000,INDEX($AB$1005:$AQ$1005,1,MATCH(COLUMNS($AB$1006:AN1006),$AB$1006:$AQ$1006,0))&gt;=100000), " ",IF(INDEX($AB$2:$AQ$1001,MATCH(ROWS($U$2:U199),$U$2:$U$1001,0),MATCH(COLUMNS($AB$1006:AN1006),$AB$1006:$AQ$1006,0)), HYPERLINK("#",""), HYPERLINK(CONCATENATE("#metadata!", ADDRESS(INDEX($W$2:$W$1001,MATCH(ROWS($U$2:U199),$U$2:$U$1001,0),0), INDEX($AB$1004:$AQ$1004,1,MATCH(COLUMNS($AB$1006:AN1006),$AB$1006:$AQ$1006,0)))),"Fix")))</f>
        <v>0</v>
      </c>
      <c r="O199" s="4">
        <f>IF(OR(INDEX($V$2:$V$1001,MATCH(ROWS($U$2:U199),$U$2:$U$1001,0),1)&gt;=100000,INDEX($AB$1005:$AQ$1005,1,MATCH(COLUMNS($AB$1006:AO1006),$AB$1006:$AQ$1006,0))&gt;=100000), " ",IF(INDEX($AB$2:$AQ$1001,MATCH(ROWS($U$2:U199),$U$2:$U$1001,0),MATCH(COLUMNS($AB$1006:AO1006),$AB$1006:$AQ$1006,0)), HYPERLINK("#",""), HYPERLINK(CONCATENATE("#metadata!", ADDRESS(INDEX($W$2:$W$1001,MATCH(ROWS($U$2:U199),$U$2:$U$1001,0),0), INDEX($AB$1004:$AQ$1004,1,MATCH(COLUMNS($AB$1006:AO1006),$AB$1006:$AQ$1006,0)))),"Fix")))</f>
        <v>0</v>
      </c>
      <c r="P199" s="4">
        <f>IF(OR(INDEX($V$2:$V$1001,MATCH(ROWS($U$2:U199),$U$2:$U$1001,0),1)&gt;=100000,INDEX($AB$1005:$AQ$1005,1,MATCH(COLUMNS($AB$1006:AP1006),$AB$1006:$AQ$1006,0))&gt;=100000), " ",IF(INDEX($AB$2:$AQ$1001,MATCH(ROWS($U$2:U199),$U$2:$U$1001,0),MATCH(COLUMNS($AB$1006:AP1006),$AB$1006:$AQ$1006,0)), HYPERLINK("#",""), HYPERLINK(CONCATENATE("#metadata!", ADDRESS(INDEX($W$2:$W$1001,MATCH(ROWS($U$2:U199),$U$2:$U$1001,0),0), INDEX($AB$1004:$AQ$1004,1,MATCH(COLUMNS($AB$1006:AP1006),$AB$1006:$AQ$1006,0)))),"Fix")))</f>
        <v>0</v>
      </c>
      <c r="Q199" s="4">
        <f>IF(OR(INDEX($V$2:$V$1001,MATCH(ROWS($U$2:U199),$U$2:$U$1001,0),1)&gt;=100000,INDEX($AB$1005:$AQ$1005,1,MATCH(COLUMNS($AB$1006:AQ1006),$AB$1006:$AQ$1006,0))&gt;=100000), " ",IF(INDEX($AB$2:$AQ$1001,MATCH(ROWS($U$2:U199),$U$2:$U$1001,0),MATCH(COLUMNS($AB$1006:AQ1006),$AB$1006:$AQ$1006,0)), HYPERLINK("#",""), HYPERLINK(CONCATENATE("#metadata!", ADDRESS(INDEX($W$2:$W$1001,MATCH(ROWS($U$2:U199),$U$2:$U$1001,0),0), INDEX($AB$1004:$AQ$1004,1,MATCH(COLUMNS($AB$1006:AQ1006),$AB$1006:$AQ$1006,0)))),"Fix")))</f>
        <v>0</v>
      </c>
      <c r="U199">
        <v>0</v>
      </c>
      <c r="V199">
        <v>0</v>
      </c>
      <c r="W199">
        <v>0</v>
      </c>
      <c r="X199">
        <f>IF(Y199,TRUE,AND(AB199:AQ199))</f>
        <v>0</v>
      </c>
      <c r="Y199">
        <f>COUNTBLANK(metadata!B199:Q199)=COLUMNS(metadata!B199:Q199)</f>
        <v>0</v>
      </c>
      <c r="Z199">
        <v>0</v>
      </c>
      <c r="AB199">
        <f>AND(IF(metadata!B199="",FALSE,TRUE),COUNTIF(metadata!B:B, metadata!B199) = 1,NOT(ISERROR(SUMPRODUCT(SEARCH(MID(metadata!B199,ROW(INDIRECT("1:"&amp;LEN(metadata!B199))), 1),"0123456789abcdefghijklmnopqrstuvwxyzABCDEFGHIJKLMNOPQRSTUVWXYZ.")))))</f>
        <v>0</v>
      </c>
      <c r="AC199">
        <f>OR(AND(IF(metadata!C199="",FALSE,TRUE),OR(exact(metadata!C199,"missing: not collected"),exact(metadata!C199,"missing: not provided"),exact(metadata!C199,"missing: restricted access"))),AND(IF(metadata!C199="",FALSE,TRUE),AND(AND(IFERROR(INT(LEFT(metadata!C199,4))&gt;1900,FALSE),IFERROR(INT(LEFT(metadata!C199,4))&lt;=YEAR(NOW()),FALSE)), OR(MID(metadata!C199,5,1)="", AND(AND(MID(metadata!C199,5,1)="-",IFERROR(INT(MID(metadata!C199,6,1))&gt;=0,FALSE),IFERROR(INT(MID(metadata!C199,6,1))&lt;=1,FALSE),NOT(MID(metadata!C199,7,1)=""),IFERROR(INT(MID(metadata!C199,6,2))&gt;=1,FALSE),IFERROR(INT(MID(metadata!C199,6,2))&lt;=12,FALSE)), OR(MID(metadata!C199,8,1)="", AND(AND(MID(metadata!C199,8,1)="-",IFERROR(INT(MID(metadata!C199,9,1))&gt;=0,FALSE),IFERROR(INT(MID(metadata!C199,9,1))&lt;=3,FALSE),NOT(MID(metadata!C199,10,1)=""),IFERROR(INT(MID(metadata!C199,9,2))&gt;=1,FALSE),IFERROR(INT(MID(metadata!C199,9,2))&lt;=31,FALSE)), OR(MID(metadata!C199,11,1)="", AND(AND(MID(metadata!C199,11,1)=" ",IFERROR(INT(MID(metadata!C199,12,1))&gt;=0,FALSE),IFERROR(INT(MID(metadata!C199,12,1))&lt;=2,FALSE),NOT(MID(metadata!C199,13,1)=""),IFERROR(INT(MID(metadata!C199,12,2))&gt;=0,FALSE),IFERROR(INT(MID(metadata!C199,12,2))&lt;=23,FALSE)), OR(MID(metadata!C199,14,1)="", AND(AND(MID(metadata!C199,14,1)=":",IFERROR(INT(MID(metadata!C199,15,1))&gt;=0,FALSE),IFERROR(INT(MID(metadata!C199,15,1))&lt;=5,FALSE),NOT(MID(metadata!C199,16,1)=""),IFERROR(INT(MID(metadata!C199,15,2))&gt;=0,FALSE),IFERROR(INT(MID(metadata!C199,15,2))&lt;=59,FALSE)), OR(MID(metadata!C199,17,1)="", AND(AND(MID(metadata!C199,17,1)=":",IFERROR(INT(MID(metadata!C199,18,1))&gt;=0,FALSE),IFERROR(INT(MID(metadata!C199,18,1))&lt;=5,FALSE),NOT(MID(metadata!C199,19,1)=""),IFERROR(INT(MID(metadata!C199,18,2))&gt;=0,FALSE),IFERROR(INT(MID(metadata!C199,18,2))&lt;=59,FALSE)), LEN(metadata!C199)&lt;=19)))))))))))))</f>
        <v>0</v>
      </c>
      <c r="AD199">
        <f>IF(metadata!D199="",FALSE,TRUE)</f>
        <v>0</v>
      </c>
      <c r="AE199">
        <f>OR(AND(IF(metadata!E199="",FALSE,TRUE),OR(exact(metadata!E199,"missing: not collected"),exact(metadata!E199,"missing: not provided"))),AND(IF(metadata!E199="",FALSE,TRUE),OR(exact(metadata!E199,"TRUE"),exact(metadata!E199,"FALSE"))))</f>
        <v>0</v>
      </c>
      <c r="AF199">
        <f>IF(metadata!F199="",FALSE,TRUE)</f>
        <v>0</v>
      </c>
      <c r="AG199">
        <f>IF(metadata!G199="",FALSE,TRUE)</f>
        <v>0</v>
      </c>
      <c r="AH199">
        <f>IF(metadata!H199="",FALSE,TRUE)</f>
        <v>0</v>
      </c>
      <c r="AI199">
        <f>OR(AND(IF(metadata!I199="",FALSE,TRUE),OR(exact(metadata!I199,"missing: not collected"),exact(metadata!I199,"missing: not provided"),exact(metadata!I199,"missing: restricted access"))),AND(IF(metadata!I199="",FALSE,TRUE),OR(exact(metadata!I199,"air"),exact(metadata!I199,"built environment"),exact(metadata!I199,"host-associated"),exact(metadata!I199,"human-associated"),exact(metadata!I199,"human-skin"),exact(metadata!I199,"human-oral"),exact(metadata!I199,"human-gut"),exact(metadata!I199,"human-vaginal"),exact(metadata!I199,"microbial mat/biofilm"),exact(metadata!I199,"misc environment"),exact(metadata!I199,"plant-associated"),exact(metadata!I199,"sediment"),exact(metadata!I199,"soil"),exact(metadata!I199,"wastewater/sludge"),exact(metadata!I199,"water"))))</f>
        <v>0</v>
      </c>
      <c r="AJ199">
        <f>IF(metadata!J199="",FALSE,TRUE)</f>
        <v>0</v>
      </c>
      <c r="AK199">
        <f>OR(AND(IF(metadata!K199="",FALSE,TRUE),OR(exact(metadata!K199,"missing: not collected"),exact(metadata!K199,"missing: not provided"),exact(metadata!K199,"missing: restricted access"))),AND(IF(metadata!K199="",FALSE,ISNUMBER(VALUE(metadata!K199))),metadata!K199&gt;=-90.00,metadata!K199&lt;=90.00))</f>
        <v>0</v>
      </c>
      <c r="AL199">
        <f>OR(AND(IF(metadata!L199="",FALSE,TRUE),OR(exact(metadata!L199,"missing: not collected"),exact(metadata!L199,"missing: not provided"),exact(metadata!L199,"missing: restricted access"))),AND(IF(metadata!L199="",FALSE,ISNUMBER(VALUE(metadata!L199))),metadata!L199&gt;=-180.00,metadata!L199&lt;=180.00))</f>
        <v>0</v>
      </c>
      <c r="AM199">
        <f>IF(metadata!M199="",FALSE,TRUE)</f>
        <v>0</v>
      </c>
      <c r="AN199">
        <f>OR(AND(IF(metadata!N199="",FALSE,TRUE),OR(exact(metadata!N199,"missing: not collected"),exact(metadata!N199,"missing: not provided"),exact(metadata!N199,"missing: restricted access"))),AND(IF(metadata!N199="",FALSE,TRUE),OR(exact(metadata!N199,"TRUE"),exact(metadata!N199,"FALSE"))))</f>
        <v>0</v>
      </c>
      <c r="AO199">
        <f>IF(metadata!O199="",FALSE,TRUE)</f>
        <v>0</v>
      </c>
      <c r="AP199">
        <f>OR(AND(IF(metadata!P199="",FALSE,TRUE),OR(exact(metadata!P199,"missing: not collected"),exact(metadata!P199,"missing: not provided"))),AND(IF(metadata!P199="",FALSE,IF(ISERROR(INT(metadata!P199)),FALSE,INT(metadata!P199)=metadata!P199)),metadata!P199&gt;0))</f>
        <v>0</v>
      </c>
      <c r="AQ199">
        <f>IF(metadata!Q199="",FALSE,TRUE)</f>
        <v>0</v>
      </c>
    </row>
    <row r="200" spans="1:43">
      <c r="A200" s="5">
        <f>IF(B200=" "," ",HYPERLINK(CONCATENATE("#metadata!",ADDRESS(INDEX($W$2:$W$1001,MATCH(ROWS($U$2:U200),$U$2:$U$1001,0),0),1)),INDEX($Z$2:$Z$1001,MATCH(ROWS($U$2:U200),$U$2:$U$1001,0),0)))</f>
        <v>0</v>
      </c>
      <c r="B200" s="4">
        <f>IF(OR(INDEX($V$2:$V$1001,MATCH(ROWS($U$2:U200),$U$2:$U$1001,0),1)&gt;=100000,INDEX($AB$1005:$AQ$1005,1,MATCH(COLUMNS($AB$1006:AB1006),$AB$1006:$AQ$1006,0))&gt;=100000), " ",IF(INDEX($AB$2:$AQ$1001,MATCH(ROWS($U$2:U200),$U$2:$U$1001,0),MATCH(COLUMNS($AB$1006:AB1006),$AB$1006:$AQ$1006,0)), HYPERLINK("#",""), HYPERLINK(CONCATENATE("#metadata!", ADDRESS(INDEX($W$2:$W$1001,MATCH(ROWS($U$2:U200),$U$2:$U$1001,0),0), INDEX($AB$1004:$AQ$1004,1,MATCH(COLUMNS($AB$1006:AB1006),$AB$1006:$AQ$1006,0)))),"Fix")))</f>
        <v>0</v>
      </c>
      <c r="C200" s="4">
        <f>IF(OR(INDEX($V$2:$V$1001,MATCH(ROWS($U$2:U200),$U$2:$U$1001,0),1)&gt;=100000,INDEX($AB$1005:$AQ$1005,1,MATCH(COLUMNS($AB$1006:AC1006),$AB$1006:$AQ$1006,0))&gt;=100000), " ",IF(INDEX($AB$2:$AQ$1001,MATCH(ROWS($U$2:U200),$U$2:$U$1001,0),MATCH(COLUMNS($AB$1006:AC1006),$AB$1006:$AQ$1006,0)), HYPERLINK("#",""), HYPERLINK(CONCATENATE("#metadata!", ADDRESS(INDEX($W$2:$W$1001,MATCH(ROWS($U$2:U200),$U$2:$U$1001,0),0), INDEX($AB$1004:$AQ$1004,1,MATCH(COLUMNS($AB$1006:AC1006),$AB$1006:$AQ$1006,0)))),"Fix")))</f>
        <v>0</v>
      </c>
      <c r="D200" s="4">
        <f>IF(OR(INDEX($V$2:$V$1001,MATCH(ROWS($U$2:U200),$U$2:$U$1001,0),1)&gt;=100000,INDEX($AB$1005:$AQ$1005,1,MATCH(COLUMNS($AB$1006:AD1006),$AB$1006:$AQ$1006,0))&gt;=100000), " ",IF(INDEX($AB$2:$AQ$1001,MATCH(ROWS($U$2:U200),$U$2:$U$1001,0),MATCH(COLUMNS($AB$1006:AD1006),$AB$1006:$AQ$1006,0)), HYPERLINK("#",""), HYPERLINK(CONCATENATE("#metadata!", ADDRESS(INDEX($W$2:$W$1001,MATCH(ROWS($U$2:U200),$U$2:$U$1001,0),0), INDEX($AB$1004:$AQ$1004,1,MATCH(COLUMNS($AB$1006:AD1006),$AB$1006:$AQ$1006,0)))),"Fix")))</f>
        <v>0</v>
      </c>
      <c r="E200" s="4">
        <f>IF(OR(INDEX($V$2:$V$1001,MATCH(ROWS($U$2:U200),$U$2:$U$1001,0),1)&gt;=100000,INDEX($AB$1005:$AQ$1005,1,MATCH(COLUMNS($AB$1006:AE1006),$AB$1006:$AQ$1006,0))&gt;=100000), " ",IF(INDEX($AB$2:$AQ$1001,MATCH(ROWS($U$2:U200),$U$2:$U$1001,0),MATCH(COLUMNS($AB$1006:AE1006),$AB$1006:$AQ$1006,0)), HYPERLINK("#",""), HYPERLINK(CONCATENATE("#metadata!", ADDRESS(INDEX($W$2:$W$1001,MATCH(ROWS($U$2:U200),$U$2:$U$1001,0),0), INDEX($AB$1004:$AQ$1004,1,MATCH(COLUMNS($AB$1006:AE1006),$AB$1006:$AQ$1006,0)))),"Fix")))</f>
        <v>0</v>
      </c>
      <c r="F200" s="4">
        <f>IF(OR(INDEX($V$2:$V$1001,MATCH(ROWS($U$2:U200),$U$2:$U$1001,0),1)&gt;=100000,INDEX($AB$1005:$AQ$1005,1,MATCH(COLUMNS($AB$1006:AF1006),$AB$1006:$AQ$1006,0))&gt;=100000), " ",IF(INDEX($AB$2:$AQ$1001,MATCH(ROWS($U$2:U200),$U$2:$U$1001,0),MATCH(COLUMNS($AB$1006:AF1006),$AB$1006:$AQ$1006,0)), HYPERLINK("#",""), HYPERLINK(CONCATENATE("#metadata!", ADDRESS(INDEX($W$2:$W$1001,MATCH(ROWS($U$2:U200),$U$2:$U$1001,0),0), INDEX($AB$1004:$AQ$1004,1,MATCH(COLUMNS($AB$1006:AF1006),$AB$1006:$AQ$1006,0)))),"Fix")))</f>
        <v>0</v>
      </c>
      <c r="G200" s="4">
        <f>IF(OR(INDEX($V$2:$V$1001,MATCH(ROWS($U$2:U200),$U$2:$U$1001,0),1)&gt;=100000,INDEX($AB$1005:$AQ$1005,1,MATCH(COLUMNS($AB$1006:AG1006),$AB$1006:$AQ$1006,0))&gt;=100000), " ",IF(INDEX($AB$2:$AQ$1001,MATCH(ROWS($U$2:U200),$U$2:$U$1001,0),MATCH(COLUMNS($AB$1006:AG1006),$AB$1006:$AQ$1006,0)), HYPERLINK("#",""), HYPERLINK(CONCATENATE("#metadata!", ADDRESS(INDEX($W$2:$W$1001,MATCH(ROWS($U$2:U200),$U$2:$U$1001,0),0), INDEX($AB$1004:$AQ$1004,1,MATCH(COLUMNS($AB$1006:AG1006),$AB$1006:$AQ$1006,0)))),"Fix")))</f>
        <v>0</v>
      </c>
      <c r="H200" s="4">
        <f>IF(OR(INDEX($V$2:$V$1001,MATCH(ROWS($U$2:U200),$U$2:$U$1001,0),1)&gt;=100000,INDEX($AB$1005:$AQ$1005,1,MATCH(COLUMNS($AB$1006:AH1006),$AB$1006:$AQ$1006,0))&gt;=100000), " ",IF(INDEX($AB$2:$AQ$1001,MATCH(ROWS($U$2:U200),$U$2:$U$1001,0),MATCH(COLUMNS($AB$1006:AH1006),$AB$1006:$AQ$1006,0)), HYPERLINK("#",""), HYPERLINK(CONCATENATE("#metadata!", ADDRESS(INDEX($W$2:$W$1001,MATCH(ROWS($U$2:U200),$U$2:$U$1001,0),0), INDEX($AB$1004:$AQ$1004,1,MATCH(COLUMNS($AB$1006:AH1006),$AB$1006:$AQ$1006,0)))),"Fix")))</f>
        <v>0</v>
      </c>
      <c r="I200" s="4">
        <f>IF(OR(INDEX($V$2:$V$1001,MATCH(ROWS($U$2:U200),$U$2:$U$1001,0),1)&gt;=100000,INDEX($AB$1005:$AQ$1005,1,MATCH(COLUMNS($AB$1006:AI1006),$AB$1006:$AQ$1006,0))&gt;=100000), " ",IF(INDEX($AB$2:$AQ$1001,MATCH(ROWS($U$2:U200),$U$2:$U$1001,0),MATCH(COLUMNS($AB$1006:AI1006),$AB$1006:$AQ$1006,0)), HYPERLINK("#",""), HYPERLINK(CONCATENATE("#metadata!", ADDRESS(INDEX($W$2:$W$1001,MATCH(ROWS($U$2:U200),$U$2:$U$1001,0),0), INDEX($AB$1004:$AQ$1004,1,MATCH(COLUMNS($AB$1006:AI1006),$AB$1006:$AQ$1006,0)))),"Fix")))</f>
        <v>0</v>
      </c>
      <c r="J200" s="4">
        <f>IF(OR(INDEX($V$2:$V$1001,MATCH(ROWS($U$2:U200),$U$2:$U$1001,0),1)&gt;=100000,INDEX($AB$1005:$AQ$1005,1,MATCH(COLUMNS($AB$1006:AJ1006),$AB$1006:$AQ$1006,0))&gt;=100000), " ",IF(INDEX($AB$2:$AQ$1001,MATCH(ROWS($U$2:U200),$U$2:$U$1001,0),MATCH(COLUMNS($AB$1006:AJ1006),$AB$1006:$AQ$1006,0)), HYPERLINK("#",""), HYPERLINK(CONCATENATE("#metadata!", ADDRESS(INDEX($W$2:$W$1001,MATCH(ROWS($U$2:U200),$U$2:$U$1001,0),0), INDEX($AB$1004:$AQ$1004,1,MATCH(COLUMNS($AB$1006:AJ1006),$AB$1006:$AQ$1006,0)))),"Fix")))</f>
        <v>0</v>
      </c>
      <c r="K200" s="4">
        <f>IF(OR(INDEX($V$2:$V$1001,MATCH(ROWS($U$2:U200),$U$2:$U$1001,0),1)&gt;=100000,INDEX($AB$1005:$AQ$1005,1,MATCH(COLUMNS($AB$1006:AK1006),$AB$1006:$AQ$1006,0))&gt;=100000), " ",IF(INDEX($AB$2:$AQ$1001,MATCH(ROWS($U$2:U200),$U$2:$U$1001,0),MATCH(COLUMNS($AB$1006:AK1006),$AB$1006:$AQ$1006,0)), HYPERLINK("#",""), HYPERLINK(CONCATENATE("#metadata!", ADDRESS(INDEX($W$2:$W$1001,MATCH(ROWS($U$2:U200),$U$2:$U$1001,0),0), INDEX($AB$1004:$AQ$1004,1,MATCH(COLUMNS($AB$1006:AK1006),$AB$1006:$AQ$1006,0)))),"Fix")))</f>
        <v>0</v>
      </c>
      <c r="L200" s="4">
        <f>IF(OR(INDEX($V$2:$V$1001,MATCH(ROWS($U$2:U200),$U$2:$U$1001,0),1)&gt;=100000,INDEX($AB$1005:$AQ$1005,1,MATCH(COLUMNS($AB$1006:AL1006),$AB$1006:$AQ$1006,0))&gt;=100000), " ",IF(INDEX($AB$2:$AQ$1001,MATCH(ROWS($U$2:U200),$U$2:$U$1001,0),MATCH(COLUMNS($AB$1006:AL1006),$AB$1006:$AQ$1006,0)), HYPERLINK("#",""), HYPERLINK(CONCATENATE("#metadata!", ADDRESS(INDEX($W$2:$W$1001,MATCH(ROWS($U$2:U200),$U$2:$U$1001,0),0), INDEX($AB$1004:$AQ$1004,1,MATCH(COLUMNS($AB$1006:AL1006),$AB$1006:$AQ$1006,0)))),"Fix")))</f>
        <v>0</v>
      </c>
      <c r="M200" s="4">
        <f>IF(OR(INDEX($V$2:$V$1001,MATCH(ROWS($U$2:U200),$U$2:$U$1001,0),1)&gt;=100000,INDEX($AB$1005:$AQ$1005,1,MATCH(COLUMNS($AB$1006:AM1006),$AB$1006:$AQ$1006,0))&gt;=100000), " ",IF(INDEX($AB$2:$AQ$1001,MATCH(ROWS($U$2:U200),$U$2:$U$1001,0),MATCH(COLUMNS($AB$1006:AM1006),$AB$1006:$AQ$1006,0)), HYPERLINK("#",""), HYPERLINK(CONCATENATE("#metadata!", ADDRESS(INDEX($W$2:$W$1001,MATCH(ROWS($U$2:U200),$U$2:$U$1001,0),0), INDEX($AB$1004:$AQ$1004,1,MATCH(COLUMNS($AB$1006:AM1006),$AB$1006:$AQ$1006,0)))),"Fix")))</f>
        <v>0</v>
      </c>
      <c r="N200" s="4">
        <f>IF(OR(INDEX($V$2:$V$1001,MATCH(ROWS($U$2:U200),$U$2:$U$1001,0),1)&gt;=100000,INDEX($AB$1005:$AQ$1005,1,MATCH(COLUMNS($AB$1006:AN1006),$AB$1006:$AQ$1006,0))&gt;=100000), " ",IF(INDEX($AB$2:$AQ$1001,MATCH(ROWS($U$2:U200),$U$2:$U$1001,0),MATCH(COLUMNS($AB$1006:AN1006),$AB$1006:$AQ$1006,0)), HYPERLINK("#",""), HYPERLINK(CONCATENATE("#metadata!", ADDRESS(INDEX($W$2:$W$1001,MATCH(ROWS($U$2:U200),$U$2:$U$1001,0),0), INDEX($AB$1004:$AQ$1004,1,MATCH(COLUMNS($AB$1006:AN1006),$AB$1006:$AQ$1006,0)))),"Fix")))</f>
        <v>0</v>
      </c>
      <c r="O200" s="4">
        <f>IF(OR(INDEX($V$2:$V$1001,MATCH(ROWS($U$2:U200),$U$2:$U$1001,0),1)&gt;=100000,INDEX($AB$1005:$AQ$1005,1,MATCH(COLUMNS($AB$1006:AO1006),$AB$1006:$AQ$1006,0))&gt;=100000), " ",IF(INDEX($AB$2:$AQ$1001,MATCH(ROWS($U$2:U200),$U$2:$U$1001,0),MATCH(COLUMNS($AB$1006:AO1006),$AB$1006:$AQ$1006,0)), HYPERLINK("#",""), HYPERLINK(CONCATENATE("#metadata!", ADDRESS(INDEX($W$2:$W$1001,MATCH(ROWS($U$2:U200),$U$2:$U$1001,0),0), INDEX($AB$1004:$AQ$1004,1,MATCH(COLUMNS($AB$1006:AO1006),$AB$1006:$AQ$1006,0)))),"Fix")))</f>
        <v>0</v>
      </c>
      <c r="P200" s="4">
        <f>IF(OR(INDEX($V$2:$V$1001,MATCH(ROWS($U$2:U200),$U$2:$U$1001,0),1)&gt;=100000,INDEX($AB$1005:$AQ$1005,1,MATCH(COLUMNS($AB$1006:AP1006),$AB$1006:$AQ$1006,0))&gt;=100000), " ",IF(INDEX($AB$2:$AQ$1001,MATCH(ROWS($U$2:U200),$U$2:$U$1001,0),MATCH(COLUMNS($AB$1006:AP1006),$AB$1006:$AQ$1006,0)), HYPERLINK("#",""), HYPERLINK(CONCATENATE("#metadata!", ADDRESS(INDEX($W$2:$W$1001,MATCH(ROWS($U$2:U200),$U$2:$U$1001,0),0), INDEX($AB$1004:$AQ$1004,1,MATCH(COLUMNS($AB$1006:AP1006),$AB$1006:$AQ$1006,0)))),"Fix")))</f>
        <v>0</v>
      </c>
      <c r="Q200" s="4">
        <f>IF(OR(INDEX($V$2:$V$1001,MATCH(ROWS($U$2:U200),$U$2:$U$1001,0),1)&gt;=100000,INDEX($AB$1005:$AQ$1005,1,MATCH(COLUMNS($AB$1006:AQ1006),$AB$1006:$AQ$1006,0))&gt;=100000), " ",IF(INDEX($AB$2:$AQ$1001,MATCH(ROWS($U$2:U200),$U$2:$U$1001,0),MATCH(COLUMNS($AB$1006:AQ1006),$AB$1006:$AQ$1006,0)), HYPERLINK("#",""), HYPERLINK(CONCATENATE("#metadata!", ADDRESS(INDEX($W$2:$W$1001,MATCH(ROWS($U$2:U200),$U$2:$U$1001,0),0), INDEX($AB$1004:$AQ$1004,1,MATCH(COLUMNS($AB$1006:AQ1006),$AB$1006:$AQ$1006,0)))),"Fix")))</f>
        <v>0</v>
      </c>
      <c r="U200">
        <v>0</v>
      </c>
      <c r="V200">
        <v>0</v>
      </c>
      <c r="W200">
        <v>0</v>
      </c>
      <c r="X200">
        <f>IF(Y200,TRUE,AND(AB200:AQ200))</f>
        <v>0</v>
      </c>
      <c r="Y200">
        <f>COUNTBLANK(metadata!B200:Q200)=COLUMNS(metadata!B200:Q200)</f>
        <v>0</v>
      </c>
      <c r="Z200">
        <v>0</v>
      </c>
      <c r="AB200">
        <f>AND(IF(metadata!B200="",FALSE,TRUE),COUNTIF(metadata!B:B, metadata!B200) = 1,NOT(ISERROR(SUMPRODUCT(SEARCH(MID(metadata!B200,ROW(INDIRECT("1:"&amp;LEN(metadata!B200))), 1),"0123456789abcdefghijklmnopqrstuvwxyzABCDEFGHIJKLMNOPQRSTUVWXYZ.")))))</f>
        <v>0</v>
      </c>
      <c r="AC200">
        <f>OR(AND(IF(metadata!C200="",FALSE,TRUE),OR(exact(metadata!C200,"missing: not collected"),exact(metadata!C200,"missing: not provided"),exact(metadata!C200,"missing: restricted access"))),AND(IF(metadata!C200="",FALSE,TRUE),AND(AND(IFERROR(INT(LEFT(metadata!C200,4))&gt;1900,FALSE),IFERROR(INT(LEFT(metadata!C200,4))&lt;=YEAR(NOW()),FALSE)), OR(MID(metadata!C200,5,1)="", AND(AND(MID(metadata!C200,5,1)="-",IFERROR(INT(MID(metadata!C200,6,1))&gt;=0,FALSE),IFERROR(INT(MID(metadata!C200,6,1))&lt;=1,FALSE),NOT(MID(metadata!C200,7,1)=""),IFERROR(INT(MID(metadata!C200,6,2))&gt;=1,FALSE),IFERROR(INT(MID(metadata!C200,6,2))&lt;=12,FALSE)), OR(MID(metadata!C200,8,1)="", AND(AND(MID(metadata!C200,8,1)="-",IFERROR(INT(MID(metadata!C200,9,1))&gt;=0,FALSE),IFERROR(INT(MID(metadata!C200,9,1))&lt;=3,FALSE),NOT(MID(metadata!C200,10,1)=""),IFERROR(INT(MID(metadata!C200,9,2))&gt;=1,FALSE),IFERROR(INT(MID(metadata!C200,9,2))&lt;=31,FALSE)), OR(MID(metadata!C200,11,1)="", AND(AND(MID(metadata!C200,11,1)=" ",IFERROR(INT(MID(metadata!C200,12,1))&gt;=0,FALSE),IFERROR(INT(MID(metadata!C200,12,1))&lt;=2,FALSE),NOT(MID(metadata!C200,13,1)=""),IFERROR(INT(MID(metadata!C200,12,2))&gt;=0,FALSE),IFERROR(INT(MID(metadata!C200,12,2))&lt;=23,FALSE)), OR(MID(metadata!C200,14,1)="", AND(AND(MID(metadata!C200,14,1)=":",IFERROR(INT(MID(metadata!C200,15,1))&gt;=0,FALSE),IFERROR(INT(MID(metadata!C200,15,1))&lt;=5,FALSE),NOT(MID(metadata!C200,16,1)=""),IFERROR(INT(MID(metadata!C200,15,2))&gt;=0,FALSE),IFERROR(INT(MID(metadata!C200,15,2))&lt;=59,FALSE)), OR(MID(metadata!C200,17,1)="", AND(AND(MID(metadata!C200,17,1)=":",IFERROR(INT(MID(metadata!C200,18,1))&gt;=0,FALSE),IFERROR(INT(MID(metadata!C200,18,1))&lt;=5,FALSE),NOT(MID(metadata!C200,19,1)=""),IFERROR(INT(MID(metadata!C200,18,2))&gt;=0,FALSE),IFERROR(INT(MID(metadata!C200,18,2))&lt;=59,FALSE)), LEN(metadata!C200)&lt;=19)))))))))))))</f>
        <v>0</v>
      </c>
      <c r="AD200">
        <f>IF(metadata!D200="",FALSE,TRUE)</f>
        <v>0</v>
      </c>
      <c r="AE200">
        <f>OR(AND(IF(metadata!E200="",FALSE,TRUE),OR(exact(metadata!E200,"missing: not collected"),exact(metadata!E200,"missing: not provided"))),AND(IF(metadata!E200="",FALSE,TRUE),OR(exact(metadata!E200,"TRUE"),exact(metadata!E200,"FALSE"))))</f>
        <v>0</v>
      </c>
      <c r="AF200">
        <f>IF(metadata!F200="",FALSE,TRUE)</f>
        <v>0</v>
      </c>
      <c r="AG200">
        <f>IF(metadata!G200="",FALSE,TRUE)</f>
        <v>0</v>
      </c>
      <c r="AH200">
        <f>IF(metadata!H200="",FALSE,TRUE)</f>
        <v>0</v>
      </c>
      <c r="AI200">
        <f>OR(AND(IF(metadata!I200="",FALSE,TRUE),OR(exact(metadata!I200,"missing: not collected"),exact(metadata!I200,"missing: not provided"),exact(metadata!I200,"missing: restricted access"))),AND(IF(metadata!I200="",FALSE,TRUE),OR(exact(metadata!I200,"air"),exact(metadata!I200,"built environment"),exact(metadata!I200,"host-associated"),exact(metadata!I200,"human-associated"),exact(metadata!I200,"human-skin"),exact(metadata!I200,"human-oral"),exact(metadata!I200,"human-gut"),exact(metadata!I200,"human-vaginal"),exact(metadata!I200,"microbial mat/biofilm"),exact(metadata!I200,"misc environment"),exact(metadata!I200,"plant-associated"),exact(metadata!I200,"sediment"),exact(metadata!I200,"soil"),exact(metadata!I200,"wastewater/sludge"),exact(metadata!I200,"water"))))</f>
        <v>0</v>
      </c>
      <c r="AJ200">
        <f>IF(metadata!J200="",FALSE,TRUE)</f>
        <v>0</v>
      </c>
      <c r="AK200">
        <f>OR(AND(IF(metadata!K200="",FALSE,TRUE),OR(exact(metadata!K200,"missing: not collected"),exact(metadata!K200,"missing: not provided"),exact(metadata!K200,"missing: restricted access"))),AND(IF(metadata!K200="",FALSE,ISNUMBER(VALUE(metadata!K200))),metadata!K200&gt;=-90.00,metadata!K200&lt;=90.00))</f>
        <v>0</v>
      </c>
      <c r="AL200">
        <f>OR(AND(IF(metadata!L200="",FALSE,TRUE),OR(exact(metadata!L200,"missing: not collected"),exact(metadata!L200,"missing: not provided"),exact(metadata!L200,"missing: restricted access"))),AND(IF(metadata!L200="",FALSE,ISNUMBER(VALUE(metadata!L200))),metadata!L200&gt;=-180.00,metadata!L200&lt;=180.00))</f>
        <v>0</v>
      </c>
      <c r="AM200">
        <f>IF(metadata!M200="",FALSE,TRUE)</f>
        <v>0</v>
      </c>
      <c r="AN200">
        <f>OR(AND(IF(metadata!N200="",FALSE,TRUE),OR(exact(metadata!N200,"missing: not collected"),exact(metadata!N200,"missing: not provided"),exact(metadata!N200,"missing: restricted access"))),AND(IF(metadata!N200="",FALSE,TRUE),OR(exact(metadata!N200,"TRUE"),exact(metadata!N200,"FALSE"))))</f>
        <v>0</v>
      </c>
      <c r="AO200">
        <f>IF(metadata!O200="",FALSE,TRUE)</f>
        <v>0</v>
      </c>
      <c r="AP200">
        <f>OR(AND(IF(metadata!P200="",FALSE,TRUE),OR(exact(metadata!P200,"missing: not collected"),exact(metadata!P200,"missing: not provided"))),AND(IF(metadata!P200="",FALSE,IF(ISERROR(INT(metadata!P200)),FALSE,INT(metadata!P200)=metadata!P200)),metadata!P200&gt;0))</f>
        <v>0</v>
      </c>
      <c r="AQ200">
        <f>IF(metadata!Q200="",FALSE,TRUE)</f>
        <v>0</v>
      </c>
    </row>
    <row r="201" spans="1:43">
      <c r="A201" s="5">
        <f>IF(B201=" "," ",HYPERLINK(CONCATENATE("#metadata!",ADDRESS(INDEX($W$2:$W$1001,MATCH(ROWS($U$2:U201),$U$2:$U$1001,0),0),1)),INDEX($Z$2:$Z$1001,MATCH(ROWS($U$2:U201),$U$2:$U$1001,0),0)))</f>
        <v>0</v>
      </c>
      <c r="B201" s="4">
        <f>IF(OR(INDEX($V$2:$V$1001,MATCH(ROWS($U$2:U201),$U$2:$U$1001,0),1)&gt;=100000,INDEX($AB$1005:$AQ$1005,1,MATCH(COLUMNS($AB$1006:AB1006),$AB$1006:$AQ$1006,0))&gt;=100000), " ",IF(INDEX($AB$2:$AQ$1001,MATCH(ROWS($U$2:U201),$U$2:$U$1001,0),MATCH(COLUMNS($AB$1006:AB1006),$AB$1006:$AQ$1006,0)), HYPERLINK("#",""), HYPERLINK(CONCATENATE("#metadata!", ADDRESS(INDEX($W$2:$W$1001,MATCH(ROWS($U$2:U201),$U$2:$U$1001,0),0), INDEX($AB$1004:$AQ$1004,1,MATCH(COLUMNS($AB$1006:AB1006),$AB$1006:$AQ$1006,0)))),"Fix")))</f>
        <v>0</v>
      </c>
      <c r="C201" s="4">
        <f>IF(OR(INDEX($V$2:$V$1001,MATCH(ROWS($U$2:U201),$U$2:$U$1001,0),1)&gt;=100000,INDEX($AB$1005:$AQ$1005,1,MATCH(COLUMNS($AB$1006:AC1006),$AB$1006:$AQ$1006,0))&gt;=100000), " ",IF(INDEX($AB$2:$AQ$1001,MATCH(ROWS($U$2:U201),$U$2:$U$1001,0),MATCH(COLUMNS($AB$1006:AC1006),$AB$1006:$AQ$1006,0)), HYPERLINK("#",""), HYPERLINK(CONCATENATE("#metadata!", ADDRESS(INDEX($W$2:$W$1001,MATCH(ROWS($U$2:U201),$U$2:$U$1001,0),0), INDEX($AB$1004:$AQ$1004,1,MATCH(COLUMNS($AB$1006:AC1006),$AB$1006:$AQ$1006,0)))),"Fix")))</f>
        <v>0</v>
      </c>
      <c r="D201" s="4">
        <f>IF(OR(INDEX($V$2:$V$1001,MATCH(ROWS($U$2:U201),$U$2:$U$1001,0),1)&gt;=100000,INDEX($AB$1005:$AQ$1005,1,MATCH(COLUMNS($AB$1006:AD1006),$AB$1006:$AQ$1006,0))&gt;=100000), " ",IF(INDEX($AB$2:$AQ$1001,MATCH(ROWS($U$2:U201),$U$2:$U$1001,0),MATCH(COLUMNS($AB$1006:AD1006),$AB$1006:$AQ$1006,0)), HYPERLINK("#",""), HYPERLINK(CONCATENATE("#metadata!", ADDRESS(INDEX($W$2:$W$1001,MATCH(ROWS($U$2:U201),$U$2:$U$1001,0),0), INDEX($AB$1004:$AQ$1004,1,MATCH(COLUMNS($AB$1006:AD1006),$AB$1006:$AQ$1006,0)))),"Fix")))</f>
        <v>0</v>
      </c>
      <c r="E201" s="4">
        <f>IF(OR(INDEX($V$2:$V$1001,MATCH(ROWS($U$2:U201),$U$2:$U$1001,0),1)&gt;=100000,INDEX($AB$1005:$AQ$1005,1,MATCH(COLUMNS($AB$1006:AE1006),$AB$1006:$AQ$1006,0))&gt;=100000), " ",IF(INDEX($AB$2:$AQ$1001,MATCH(ROWS($U$2:U201),$U$2:$U$1001,0),MATCH(COLUMNS($AB$1006:AE1006),$AB$1006:$AQ$1006,0)), HYPERLINK("#",""), HYPERLINK(CONCATENATE("#metadata!", ADDRESS(INDEX($W$2:$W$1001,MATCH(ROWS($U$2:U201),$U$2:$U$1001,0),0), INDEX($AB$1004:$AQ$1004,1,MATCH(COLUMNS($AB$1006:AE1006),$AB$1006:$AQ$1006,0)))),"Fix")))</f>
        <v>0</v>
      </c>
      <c r="F201" s="4">
        <f>IF(OR(INDEX($V$2:$V$1001,MATCH(ROWS($U$2:U201),$U$2:$U$1001,0),1)&gt;=100000,INDEX($AB$1005:$AQ$1005,1,MATCH(COLUMNS($AB$1006:AF1006),$AB$1006:$AQ$1006,0))&gt;=100000), " ",IF(INDEX($AB$2:$AQ$1001,MATCH(ROWS($U$2:U201),$U$2:$U$1001,0),MATCH(COLUMNS($AB$1006:AF1006),$AB$1006:$AQ$1006,0)), HYPERLINK("#",""), HYPERLINK(CONCATENATE("#metadata!", ADDRESS(INDEX($W$2:$W$1001,MATCH(ROWS($U$2:U201),$U$2:$U$1001,0),0), INDEX($AB$1004:$AQ$1004,1,MATCH(COLUMNS($AB$1006:AF1006),$AB$1006:$AQ$1006,0)))),"Fix")))</f>
        <v>0</v>
      </c>
      <c r="G201" s="4">
        <f>IF(OR(INDEX($V$2:$V$1001,MATCH(ROWS($U$2:U201),$U$2:$U$1001,0),1)&gt;=100000,INDEX($AB$1005:$AQ$1005,1,MATCH(COLUMNS($AB$1006:AG1006),$AB$1006:$AQ$1006,0))&gt;=100000), " ",IF(INDEX($AB$2:$AQ$1001,MATCH(ROWS($U$2:U201),$U$2:$U$1001,0),MATCH(COLUMNS($AB$1006:AG1006),$AB$1006:$AQ$1006,0)), HYPERLINK("#",""), HYPERLINK(CONCATENATE("#metadata!", ADDRESS(INDEX($W$2:$W$1001,MATCH(ROWS($U$2:U201),$U$2:$U$1001,0),0), INDEX($AB$1004:$AQ$1004,1,MATCH(COLUMNS($AB$1006:AG1006),$AB$1006:$AQ$1006,0)))),"Fix")))</f>
        <v>0</v>
      </c>
      <c r="H201" s="4">
        <f>IF(OR(INDEX($V$2:$V$1001,MATCH(ROWS($U$2:U201),$U$2:$U$1001,0),1)&gt;=100000,INDEX($AB$1005:$AQ$1005,1,MATCH(COLUMNS($AB$1006:AH1006),$AB$1006:$AQ$1006,0))&gt;=100000), " ",IF(INDEX($AB$2:$AQ$1001,MATCH(ROWS($U$2:U201),$U$2:$U$1001,0),MATCH(COLUMNS($AB$1006:AH1006),$AB$1006:$AQ$1006,0)), HYPERLINK("#",""), HYPERLINK(CONCATENATE("#metadata!", ADDRESS(INDEX($W$2:$W$1001,MATCH(ROWS($U$2:U201),$U$2:$U$1001,0),0), INDEX($AB$1004:$AQ$1004,1,MATCH(COLUMNS($AB$1006:AH1006),$AB$1006:$AQ$1006,0)))),"Fix")))</f>
        <v>0</v>
      </c>
      <c r="I201" s="4">
        <f>IF(OR(INDEX($V$2:$V$1001,MATCH(ROWS($U$2:U201),$U$2:$U$1001,0),1)&gt;=100000,INDEX($AB$1005:$AQ$1005,1,MATCH(COLUMNS($AB$1006:AI1006),$AB$1006:$AQ$1006,0))&gt;=100000), " ",IF(INDEX($AB$2:$AQ$1001,MATCH(ROWS($U$2:U201),$U$2:$U$1001,0),MATCH(COLUMNS($AB$1006:AI1006),$AB$1006:$AQ$1006,0)), HYPERLINK("#",""), HYPERLINK(CONCATENATE("#metadata!", ADDRESS(INDEX($W$2:$W$1001,MATCH(ROWS($U$2:U201),$U$2:$U$1001,0),0), INDEX($AB$1004:$AQ$1004,1,MATCH(COLUMNS($AB$1006:AI1006),$AB$1006:$AQ$1006,0)))),"Fix")))</f>
        <v>0</v>
      </c>
      <c r="J201" s="4">
        <f>IF(OR(INDEX($V$2:$V$1001,MATCH(ROWS($U$2:U201),$U$2:$U$1001,0),1)&gt;=100000,INDEX($AB$1005:$AQ$1005,1,MATCH(COLUMNS($AB$1006:AJ1006),$AB$1006:$AQ$1006,0))&gt;=100000), " ",IF(INDEX($AB$2:$AQ$1001,MATCH(ROWS($U$2:U201),$U$2:$U$1001,0),MATCH(COLUMNS($AB$1006:AJ1006),$AB$1006:$AQ$1006,0)), HYPERLINK("#",""), HYPERLINK(CONCATENATE("#metadata!", ADDRESS(INDEX($W$2:$W$1001,MATCH(ROWS($U$2:U201),$U$2:$U$1001,0),0), INDEX($AB$1004:$AQ$1004,1,MATCH(COLUMNS($AB$1006:AJ1006),$AB$1006:$AQ$1006,0)))),"Fix")))</f>
        <v>0</v>
      </c>
      <c r="K201" s="4">
        <f>IF(OR(INDEX($V$2:$V$1001,MATCH(ROWS($U$2:U201),$U$2:$U$1001,0),1)&gt;=100000,INDEX($AB$1005:$AQ$1005,1,MATCH(COLUMNS($AB$1006:AK1006),$AB$1006:$AQ$1006,0))&gt;=100000), " ",IF(INDEX($AB$2:$AQ$1001,MATCH(ROWS($U$2:U201),$U$2:$U$1001,0),MATCH(COLUMNS($AB$1006:AK1006),$AB$1006:$AQ$1006,0)), HYPERLINK("#",""), HYPERLINK(CONCATENATE("#metadata!", ADDRESS(INDEX($W$2:$W$1001,MATCH(ROWS($U$2:U201),$U$2:$U$1001,0),0), INDEX($AB$1004:$AQ$1004,1,MATCH(COLUMNS($AB$1006:AK1006),$AB$1006:$AQ$1006,0)))),"Fix")))</f>
        <v>0</v>
      </c>
      <c r="L201" s="4">
        <f>IF(OR(INDEX($V$2:$V$1001,MATCH(ROWS($U$2:U201),$U$2:$U$1001,0),1)&gt;=100000,INDEX($AB$1005:$AQ$1005,1,MATCH(COLUMNS($AB$1006:AL1006),$AB$1006:$AQ$1006,0))&gt;=100000), " ",IF(INDEX($AB$2:$AQ$1001,MATCH(ROWS($U$2:U201),$U$2:$U$1001,0),MATCH(COLUMNS($AB$1006:AL1006),$AB$1006:$AQ$1006,0)), HYPERLINK("#",""), HYPERLINK(CONCATENATE("#metadata!", ADDRESS(INDEX($W$2:$W$1001,MATCH(ROWS($U$2:U201),$U$2:$U$1001,0),0), INDEX($AB$1004:$AQ$1004,1,MATCH(COLUMNS($AB$1006:AL1006),$AB$1006:$AQ$1006,0)))),"Fix")))</f>
        <v>0</v>
      </c>
      <c r="M201" s="4">
        <f>IF(OR(INDEX($V$2:$V$1001,MATCH(ROWS($U$2:U201),$U$2:$U$1001,0),1)&gt;=100000,INDEX($AB$1005:$AQ$1005,1,MATCH(COLUMNS($AB$1006:AM1006),$AB$1006:$AQ$1006,0))&gt;=100000), " ",IF(INDEX($AB$2:$AQ$1001,MATCH(ROWS($U$2:U201),$U$2:$U$1001,0),MATCH(COLUMNS($AB$1006:AM1006),$AB$1006:$AQ$1006,0)), HYPERLINK("#",""), HYPERLINK(CONCATENATE("#metadata!", ADDRESS(INDEX($W$2:$W$1001,MATCH(ROWS($U$2:U201),$U$2:$U$1001,0),0), INDEX($AB$1004:$AQ$1004,1,MATCH(COLUMNS($AB$1006:AM1006),$AB$1006:$AQ$1006,0)))),"Fix")))</f>
        <v>0</v>
      </c>
      <c r="N201" s="4">
        <f>IF(OR(INDEX($V$2:$V$1001,MATCH(ROWS($U$2:U201),$U$2:$U$1001,0),1)&gt;=100000,INDEX($AB$1005:$AQ$1005,1,MATCH(COLUMNS($AB$1006:AN1006),$AB$1006:$AQ$1006,0))&gt;=100000), " ",IF(INDEX($AB$2:$AQ$1001,MATCH(ROWS($U$2:U201),$U$2:$U$1001,0),MATCH(COLUMNS($AB$1006:AN1006),$AB$1006:$AQ$1006,0)), HYPERLINK("#",""), HYPERLINK(CONCATENATE("#metadata!", ADDRESS(INDEX($W$2:$W$1001,MATCH(ROWS($U$2:U201),$U$2:$U$1001,0),0), INDEX($AB$1004:$AQ$1004,1,MATCH(COLUMNS($AB$1006:AN1006),$AB$1006:$AQ$1006,0)))),"Fix")))</f>
        <v>0</v>
      </c>
      <c r="O201" s="4">
        <f>IF(OR(INDEX($V$2:$V$1001,MATCH(ROWS($U$2:U201),$U$2:$U$1001,0),1)&gt;=100000,INDEX($AB$1005:$AQ$1005,1,MATCH(COLUMNS($AB$1006:AO1006),$AB$1006:$AQ$1006,0))&gt;=100000), " ",IF(INDEX($AB$2:$AQ$1001,MATCH(ROWS($U$2:U201),$U$2:$U$1001,0),MATCH(COLUMNS($AB$1006:AO1006),$AB$1006:$AQ$1006,0)), HYPERLINK("#",""), HYPERLINK(CONCATENATE("#metadata!", ADDRESS(INDEX($W$2:$W$1001,MATCH(ROWS($U$2:U201),$U$2:$U$1001,0),0), INDEX($AB$1004:$AQ$1004,1,MATCH(COLUMNS($AB$1006:AO1006),$AB$1006:$AQ$1006,0)))),"Fix")))</f>
        <v>0</v>
      </c>
      <c r="P201" s="4">
        <f>IF(OR(INDEX($V$2:$V$1001,MATCH(ROWS($U$2:U201),$U$2:$U$1001,0),1)&gt;=100000,INDEX($AB$1005:$AQ$1005,1,MATCH(COLUMNS($AB$1006:AP1006),$AB$1006:$AQ$1006,0))&gt;=100000), " ",IF(INDEX($AB$2:$AQ$1001,MATCH(ROWS($U$2:U201),$U$2:$U$1001,0),MATCH(COLUMNS($AB$1006:AP1006),$AB$1006:$AQ$1006,0)), HYPERLINK("#",""), HYPERLINK(CONCATENATE("#metadata!", ADDRESS(INDEX($W$2:$W$1001,MATCH(ROWS($U$2:U201),$U$2:$U$1001,0),0), INDEX($AB$1004:$AQ$1004,1,MATCH(COLUMNS($AB$1006:AP1006),$AB$1006:$AQ$1006,0)))),"Fix")))</f>
        <v>0</v>
      </c>
      <c r="Q201" s="4">
        <f>IF(OR(INDEX($V$2:$V$1001,MATCH(ROWS($U$2:U201),$U$2:$U$1001,0),1)&gt;=100000,INDEX($AB$1005:$AQ$1005,1,MATCH(COLUMNS($AB$1006:AQ1006),$AB$1006:$AQ$1006,0))&gt;=100000), " ",IF(INDEX($AB$2:$AQ$1001,MATCH(ROWS($U$2:U201),$U$2:$U$1001,0),MATCH(COLUMNS($AB$1006:AQ1006),$AB$1006:$AQ$1006,0)), HYPERLINK("#",""), HYPERLINK(CONCATENATE("#metadata!", ADDRESS(INDEX($W$2:$W$1001,MATCH(ROWS($U$2:U201),$U$2:$U$1001,0),0), INDEX($AB$1004:$AQ$1004,1,MATCH(COLUMNS($AB$1006:AQ1006),$AB$1006:$AQ$1006,0)))),"Fix")))</f>
        <v>0</v>
      </c>
      <c r="U201">
        <v>0</v>
      </c>
      <c r="V201">
        <v>0</v>
      </c>
      <c r="W201">
        <v>0</v>
      </c>
      <c r="X201">
        <f>IF(Y201,TRUE,AND(AB201:AQ201))</f>
        <v>0</v>
      </c>
      <c r="Y201">
        <f>COUNTBLANK(metadata!B201:Q201)=COLUMNS(metadata!B201:Q201)</f>
        <v>0</v>
      </c>
      <c r="Z201">
        <v>0</v>
      </c>
      <c r="AB201">
        <f>AND(IF(metadata!B201="",FALSE,TRUE),COUNTIF(metadata!B:B, metadata!B201) = 1,NOT(ISERROR(SUMPRODUCT(SEARCH(MID(metadata!B201,ROW(INDIRECT("1:"&amp;LEN(metadata!B201))), 1),"0123456789abcdefghijklmnopqrstuvwxyzABCDEFGHIJKLMNOPQRSTUVWXYZ.")))))</f>
        <v>0</v>
      </c>
      <c r="AC201">
        <f>OR(AND(IF(metadata!C201="",FALSE,TRUE),OR(exact(metadata!C201,"missing: not collected"),exact(metadata!C201,"missing: not provided"),exact(metadata!C201,"missing: restricted access"))),AND(IF(metadata!C201="",FALSE,TRUE),AND(AND(IFERROR(INT(LEFT(metadata!C201,4))&gt;1900,FALSE),IFERROR(INT(LEFT(metadata!C201,4))&lt;=YEAR(NOW()),FALSE)), OR(MID(metadata!C201,5,1)="", AND(AND(MID(metadata!C201,5,1)="-",IFERROR(INT(MID(metadata!C201,6,1))&gt;=0,FALSE),IFERROR(INT(MID(metadata!C201,6,1))&lt;=1,FALSE),NOT(MID(metadata!C201,7,1)=""),IFERROR(INT(MID(metadata!C201,6,2))&gt;=1,FALSE),IFERROR(INT(MID(metadata!C201,6,2))&lt;=12,FALSE)), OR(MID(metadata!C201,8,1)="", AND(AND(MID(metadata!C201,8,1)="-",IFERROR(INT(MID(metadata!C201,9,1))&gt;=0,FALSE),IFERROR(INT(MID(metadata!C201,9,1))&lt;=3,FALSE),NOT(MID(metadata!C201,10,1)=""),IFERROR(INT(MID(metadata!C201,9,2))&gt;=1,FALSE),IFERROR(INT(MID(metadata!C201,9,2))&lt;=31,FALSE)), OR(MID(metadata!C201,11,1)="", AND(AND(MID(metadata!C201,11,1)=" ",IFERROR(INT(MID(metadata!C201,12,1))&gt;=0,FALSE),IFERROR(INT(MID(metadata!C201,12,1))&lt;=2,FALSE),NOT(MID(metadata!C201,13,1)=""),IFERROR(INT(MID(metadata!C201,12,2))&gt;=0,FALSE),IFERROR(INT(MID(metadata!C201,12,2))&lt;=23,FALSE)), OR(MID(metadata!C201,14,1)="", AND(AND(MID(metadata!C201,14,1)=":",IFERROR(INT(MID(metadata!C201,15,1))&gt;=0,FALSE),IFERROR(INT(MID(metadata!C201,15,1))&lt;=5,FALSE),NOT(MID(metadata!C201,16,1)=""),IFERROR(INT(MID(metadata!C201,15,2))&gt;=0,FALSE),IFERROR(INT(MID(metadata!C201,15,2))&lt;=59,FALSE)), OR(MID(metadata!C201,17,1)="", AND(AND(MID(metadata!C201,17,1)=":",IFERROR(INT(MID(metadata!C201,18,1))&gt;=0,FALSE),IFERROR(INT(MID(metadata!C201,18,1))&lt;=5,FALSE),NOT(MID(metadata!C201,19,1)=""),IFERROR(INT(MID(metadata!C201,18,2))&gt;=0,FALSE),IFERROR(INT(MID(metadata!C201,18,2))&lt;=59,FALSE)), LEN(metadata!C201)&lt;=19)))))))))))))</f>
        <v>0</v>
      </c>
      <c r="AD201">
        <f>IF(metadata!D201="",FALSE,TRUE)</f>
        <v>0</v>
      </c>
      <c r="AE201">
        <f>OR(AND(IF(metadata!E201="",FALSE,TRUE),OR(exact(metadata!E201,"missing: not collected"),exact(metadata!E201,"missing: not provided"))),AND(IF(metadata!E201="",FALSE,TRUE),OR(exact(metadata!E201,"TRUE"),exact(metadata!E201,"FALSE"))))</f>
        <v>0</v>
      </c>
      <c r="AF201">
        <f>IF(metadata!F201="",FALSE,TRUE)</f>
        <v>0</v>
      </c>
      <c r="AG201">
        <f>IF(metadata!G201="",FALSE,TRUE)</f>
        <v>0</v>
      </c>
      <c r="AH201">
        <f>IF(metadata!H201="",FALSE,TRUE)</f>
        <v>0</v>
      </c>
      <c r="AI201">
        <f>OR(AND(IF(metadata!I201="",FALSE,TRUE),OR(exact(metadata!I201,"missing: not collected"),exact(metadata!I201,"missing: not provided"),exact(metadata!I201,"missing: restricted access"))),AND(IF(metadata!I201="",FALSE,TRUE),OR(exact(metadata!I201,"air"),exact(metadata!I201,"built environment"),exact(metadata!I201,"host-associated"),exact(metadata!I201,"human-associated"),exact(metadata!I201,"human-skin"),exact(metadata!I201,"human-oral"),exact(metadata!I201,"human-gut"),exact(metadata!I201,"human-vaginal"),exact(metadata!I201,"microbial mat/biofilm"),exact(metadata!I201,"misc environment"),exact(metadata!I201,"plant-associated"),exact(metadata!I201,"sediment"),exact(metadata!I201,"soil"),exact(metadata!I201,"wastewater/sludge"),exact(metadata!I201,"water"))))</f>
        <v>0</v>
      </c>
      <c r="AJ201">
        <f>IF(metadata!J201="",FALSE,TRUE)</f>
        <v>0</v>
      </c>
      <c r="AK201">
        <f>OR(AND(IF(metadata!K201="",FALSE,TRUE),OR(exact(metadata!K201,"missing: not collected"),exact(metadata!K201,"missing: not provided"),exact(metadata!K201,"missing: restricted access"))),AND(IF(metadata!K201="",FALSE,ISNUMBER(VALUE(metadata!K201))),metadata!K201&gt;=-90.00,metadata!K201&lt;=90.00))</f>
        <v>0</v>
      </c>
      <c r="AL201">
        <f>OR(AND(IF(metadata!L201="",FALSE,TRUE),OR(exact(metadata!L201,"missing: not collected"),exact(metadata!L201,"missing: not provided"),exact(metadata!L201,"missing: restricted access"))),AND(IF(metadata!L201="",FALSE,ISNUMBER(VALUE(metadata!L201))),metadata!L201&gt;=-180.00,metadata!L201&lt;=180.00))</f>
        <v>0</v>
      </c>
      <c r="AM201">
        <f>IF(metadata!M201="",FALSE,TRUE)</f>
        <v>0</v>
      </c>
      <c r="AN201">
        <f>OR(AND(IF(metadata!N201="",FALSE,TRUE),OR(exact(metadata!N201,"missing: not collected"),exact(metadata!N201,"missing: not provided"),exact(metadata!N201,"missing: restricted access"))),AND(IF(metadata!N201="",FALSE,TRUE),OR(exact(metadata!N201,"TRUE"),exact(metadata!N201,"FALSE"))))</f>
        <v>0</v>
      </c>
      <c r="AO201">
        <f>IF(metadata!O201="",FALSE,TRUE)</f>
        <v>0</v>
      </c>
      <c r="AP201">
        <f>OR(AND(IF(metadata!P201="",FALSE,TRUE),OR(exact(metadata!P201,"missing: not collected"),exact(metadata!P201,"missing: not provided"))),AND(IF(metadata!P201="",FALSE,IF(ISERROR(INT(metadata!P201)),FALSE,INT(metadata!P201)=metadata!P201)),metadata!P201&gt;0))</f>
        <v>0</v>
      </c>
      <c r="AQ201">
        <f>IF(metadata!Q201="",FALSE,TRUE)</f>
        <v>0</v>
      </c>
    </row>
    <row r="202" spans="1:43">
      <c r="A202" s="5">
        <f>IF(B202=" "," ",HYPERLINK(CONCATENATE("#metadata!",ADDRESS(INDEX($W$2:$W$1001,MATCH(ROWS($U$2:U202),$U$2:$U$1001,0),0),1)),INDEX($Z$2:$Z$1001,MATCH(ROWS($U$2:U202),$U$2:$U$1001,0),0)))</f>
        <v>0</v>
      </c>
      <c r="B202" s="4">
        <f>IF(OR(INDEX($V$2:$V$1001,MATCH(ROWS($U$2:U202),$U$2:$U$1001,0),1)&gt;=100000,INDEX($AB$1005:$AQ$1005,1,MATCH(COLUMNS($AB$1006:AB1006),$AB$1006:$AQ$1006,0))&gt;=100000), " ",IF(INDEX($AB$2:$AQ$1001,MATCH(ROWS($U$2:U202),$U$2:$U$1001,0),MATCH(COLUMNS($AB$1006:AB1006),$AB$1006:$AQ$1006,0)), HYPERLINK("#",""), HYPERLINK(CONCATENATE("#metadata!", ADDRESS(INDEX($W$2:$W$1001,MATCH(ROWS($U$2:U202),$U$2:$U$1001,0),0), INDEX($AB$1004:$AQ$1004,1,MATCH(COLUMNS($AB$1006:AB1006),$AB$1006:$AQ$1006,0)))),"Fix")))</f>
        <v>0</v>
      </c>
      <c r="C202" s="4">
        <f>IF(OR(INDEX($V$2:$V$1001,MATCH(ROWS($U$2:U202),$U$2:$U$1001,0),1)&gt;=100000,INDEX($AB$1005:$AQ$1005,1,MATCH(COLUMNS($AB$1006:AC1006),$AB$1006:$AQ$1006,0))&gt;=100000), " ",IF(INDEX($AB$2:$AQ$1001,MATCH(ROWS($U$2:U202),$U$2:$U$1001,0),MATCH(COLUMNS($AB$1006:AC1006),$AB$1006:$AQ$1006,0)), HYPERLINK("#",""), HYPERLINK(CONCATENATE("#metadata!", ADDRESS(INDEX($W$2:$W$1001,MATCH(ROWS($U$2:U202),$U$2:$U$1001,0),0), INDEX($AB$1004:$AQ$1004,1,MATCH(COLUMNS($AB$1006:AC1006),$AB$1006:$AQ$1006,0)))),"Fix")))</f>
        <v>0</v>
      </c>
      <c r="D202" s="4">
        <f>IF(OR(INDEX($V$2:$V$1001,MATCH(ROWS($U$2:U202),$U$2:$U$1001,0),1)&gt;=100000,INDEX($AB$1005:$AQ$1005,1,MATCH(COLUMNS($AB$1006:AD1006),$AB$1006:$AQ$1006,0))&gt;=100000), " ",IF(INDEX($AB$2:$AQ$1001,MATCH(ROWS($U$2:U202),$U$2:$U$1001,0),MATCH(COLUMNS($AB$1006:AD1006),$AB$1006:$AQ$1006,0)), HYPERLINK("#",""), HYPERLINK(CONCATENATE("#metadata!", ADDRESS(INDEX($W$2:$W$1001,MATCH(ROWS($U$2:U202),$U$2:$U$1001,0),0), INDEX($AB$1004:$AQ$1004,1,MATCH(COLUMNS($AB$1006:AD1006),$AB$1006:$AQ$1006,0)))),"Fix")))</f>
        <v>0</v>
      </c>
      <c r="E202" s="4">
        <f>IF(OR(INDEX($V$2:$V$1001,MATCH(ROWS($U$2:U202),$U$2:$U$1001,0),1)&gt;=100000,INDEX($AB$1005:$AQ$1005,1,MATCH(COLUMNS($AB$1006:AE1006),$AB$1006:$AQ$1006,0))&gt;=100000), " ",IF(INDEX($AB$2:$AQ$1001,MATCH(ROWS($U$2:U202),$U$2:$U$1001,0),MATCH(COLUMNS($AB$1006:AE1006),$AB$1006:$AQ$1006,0)), HYPERLINK("#",""), HYPERLINK(CONCATENATE("#metadata!", ADDRESS(INDEX($W$2:$W$1001,MATCH(ROWS($U$2:U202),$U$2:$U$1001,0),0), INDEX($AB$1004:$AQ$1004,1,MATCH(COLUMNS($AB$1006:AE1006),$AB$1006:$AQ$1006,0)))),"Fix")))</f>
        <v>0</v>
      </c>
      <c r="F202" s="4">
        <f>IF(OR(INDEX($V$2:$V$1001,MATCH(ROWS($U$2:U202),$U$2:$U$1001,0),1)&gt;=100000,INDEX($AB$1005:$AQ$1005,1,MATCH(COLUMNS($AB$1006:AF1006),$AB$1006:$AQ$1006,0))&gt;=100000), " ",IF(INDEX($AB$2:$AQ$1001,MATCH(ROWS($U$2:U202),$U$2:$U$1001,0),MATCH(COLUMNS($AB$1006:AF1006),$AB$1006:$AQ$1006,0)), HYPERLINK("#",""), HYPERLINK(CONCATENATE("#metadata!", ADDRESS(INDEX($W$2:$W$1001,MATCH(ROWS($U$2:U202),$U$2:$U$1001,0),0), INDEX($AB$1004:$AQ$1004,1,MATCH(COLUMNS($AB$1006:AF1006),$AB$1006:$AQ$1006,0)))),"Fix")))</f>
        <v>0</v>
      </c>
      <c r="G202" s="4">
        <f>IF(OR(INDEX($V$2:$V$1001,MATCH(ROWS($U$2:U202),$U$2:$U$1001,0),1)&gt;=100000,INDEX($AB$1005:$AQ$1005,1,MATCH(COLUMNS($AB$1006:AG1006),$AB$1006:$AQ$1006,0))&gt;=100000), " ",IF(INDEX($AB$2:$AQ$1001,MATCH(ROWS($U$2:U202),$U$2:$U$1001,0),MATCH(COLUMNS($AB$1006:AG1006),$AB$1006:$AQ$1006,0)), HYPERLINK("#",""), HYPERLINK(CONCATENATE("#metadata!", ADDRESS(INDEX($W$2:$W$1001,MATCH(ROWS($U$2:U202),$U$2:$U$1001,0),0), INDEX($AB$1004:$AQ$1004,1,MATCH(COLUMNS($AB$1006:AG1006),$AB$1006:$AQ$1006,0)))),"Fix")))</f>
        <v>0</v>
      </c>
      <c r="H202" s="4">
        <f>IF(OR(INDEX($V$2:$V$1001,MATCH(ROWS($U$2:U202),$U$2:$U$1001,0),1)&gt;=100000,INDEX($AB$1005:$AQ$1005,1,MATCH(COLUMNS($AB$1006:AH1006),$AB$1006:$AQ$1006,0))&gt;=100000), " ",IF(INDEX($AB$2:$AQ$1001,MATCH(ROWS($U$2:U202),$U$2:$U$1001,0),MATCH(COLUMNS($AB$1006:AH1006),$AB$1006:$AQ$1006,0)), HYPERLINK("#",""), HYPERLINK(CONCATENATE("#metadata!", ADDRESS(INDEX($W$2:$W$1001,MATCH(ROWS($U$2:U202),$U$2:$U$1001,0),0), INDEX($AB$1004:$AQ$1004,1,MATCH(COLUMNS($AB$1006:AH1006),$AB$1006:$AQ$1006,0)))),"Fix")))</f>
        <v>0</v>
      </c>
      <c r="I202" s="4">
        <f>IF(OR(INDEX($V$2:$V$1001,MATCH(ROWS($U$2:U202),$U$2:$U$1001,0),1)&gt;=100000,INDEX($AB$1005:$AQ$1005,1,MATCH(COLUMNS($AB$1006:AI1006),$AB$1006:$AQ$1006,0))&gt;=100000), " ",IF(INDEX($AB$2:$AQ$1001,MATCH(ROWS($U$2:U202),$U$2:$U$1001,0),MATCH(COLUMNS($AB$1006:AI1006),$AB$1006:$AQ$1006,0)), HYPERLINK("#",""), HYPERLINK(CONCATENATE("#metadata!", ADDRESS(INDEX($W$2:$W$1001,MATCH(ROWS($U$2:U202),$U$2:$U$1001,0),0), INDEX($AB$1004:$AQ$1004,1,MATCH(COLUMNS($AB$1006:AI1006),$AB$1006:$AQ$1006,0)))),"Fix")))</f>
        <v>0</v>
      </c>
      <c r="J202" s="4">
        <f>IF(OR(INDEX($V$2:$V$1001,MATCH(ROWS($U$2:U202),$U$2:$U$1001,0),1)&gt;=100000,INDEX($AB$1005:$AQ$1005,1,MATCH(COLUMNS($AB$1006:AJ1006),$AB$1006:$AQ$1006,0))&gt;=100000), " ",IF(INDEX($AB$2:$AQ$1001,MATCH(ROWS($U$2:U202),$U$2:$U$1001,0),MATCH(COLUMNS($AB$1006:AJ1006),$AB$1006:$AQ$1006,0)), HYPERLINK("#",""), HYPERLINK(CONCATENATE("#metadata!", ADDRESS(INDEX($W$2:$W$1001,MATCH(ROWS($U$2:U202),$U$2:$U$1001,0),0), INDEX($AB$1004:$AQ$1004,1,MATCH(COLUMNS($AB$1006:AJ1006),$AB$1006:$AQ$1006,0)))),"Fix")))</f>
        <v>0</v>
      </c>
      <c r="K202" s="4">
        <f>IF(OR(INDEX($V$2:$V$1001,MATCH(ROWS($U$2:U202),$U$2:$U$1001,0),1)&gt;=100000,INDEX($AB$1005:$AQ$1005,1,MATCH(COLUMNS($AB$1006:AK1006),$AB$1006:$AQ$1006,0))&gt;=100000), " ",IF(INDEX($AB$2:$AQ$1001,MATCH(ROWS($U$2:U202),$U$2:$U$1001,0),MATCH(COLUMNS($AB$1006:AK1006),$AB$1006:$AQ$1006,0)), HYPERLINK("#",""), HYPERLINK(CONCATENATE("#metadata!", ADDRESS(INDEX($W$2:$W$1001,MATCH(ROWS($U$2:U202),$U$2:$U$1001,0),0), INDEX($AB$1004:$AQ$1004,1,MATCH(COLUMNS($AB$1006:AK1006),$AB$1006:$AQ$1006,0)))),"Fix")))</f>
        <v>0</v>
      </c>
      <c r="L202" s="4">
        <f>IF(OR(INDEX($V$2:$V$1001,MATCH(ROWS($U$2:U202),$U$2:$U$1001,0),1)&gt;=100000,INDEX($AB$1005:$AQ$1005,1,MATCH(COLUMNS($AB$1006:AL1006),$AB$1006:$AQ$1006,0))&gt;=100000), " ",IF(INDEX($AB$2:$AQ$1001,MATCH(ROWS($U$2:U202),$U$2:$U$1001,0),MATCH(COLUMNS($AB$1006:AL1006),$AB$1006:$AQ$1006,0)), HYPERLINK("#",""), HYPERLINK(CONCATENATE("#metadata!", ADDRESS(INDEX($W$2:$W$1001,MATCH(ROWS($U$2:U202),$U$2:$U$1001,0),0), INDEX($AB$1004:$AQ$1004,1,MATCH(COLUMNS($AB$1006:AL1006),$AB$1006:$AQ$1006,0)))),"Fix")))</f>
        <v>0</v>
      </c>
      <c r="M202" s="4">
        <f>IF(OR(INDEX($V$2:$V$1001,MATCH(ROWS($U$2:U202),$U$2:$U$1001,0),1)&gt;=100000,INDEX($AB$1005:$AQ$1005,1,MATCH(COLUMNS($AB$1006:AM1006),$AB$1006:$AQ$1006,0))&gt;=100000), " ",IF(INDEX($AB$2:$AQ$1001,MATCH(ROWS($U$2:U202),$U$2:$U$1001,0),MATCH(COLUMNS($AB$1006:AM1006),$AB$1006:$AQ$1006,0)), HYPERLINK("#",""), HYPERLINK(CONCATENATE("#metadata!", ADDRESS(INDEX($W$2:$W$1001,MATCH(ROWS($U$2:U202),$U$2:$U$1001,0),0), INDEX($AB$1004:$AQ$1004,1,MATCH(COLUMNS($AB$1006:AM1006),$AB$1006:$AQ$1006,0)))),"Fix")))</f>
        <v>0</v>
      </c>
      <c r="N202" s="4">
        <f>IF(OR(INDEX($V$2:$V$1001,MATCH(ROWS($U$2:U202),$U$2:$U$1001,0),1)&gt;=100000,INDEX($AB$1005:$AQ$1005,1,MATCH(COLUMNS($AB$1006:AN1006),$AB$1006:$AQ$1006,0))&gt;=100000), " ",IF(INDEX($AB$2:$AQ$1001,MATCH(ROWS($U$2:U202),$U$2:$U$1001,0),MATCH(COLUMNS($AB$1006:AN1006),$AB$1006:$AQ$1006,0)), HYPERLINK("#",""), HYPERLINK(CONCATENATE("#metadata!", ADDRESS(INDEX($W$2:$W$1001,MATCH(ROWS($U$2:U202),$U$2:$U$1001,0),0), INDEX($AB$1004:$AQ$1004,1,MATCH(COLUMNS($AB$1006:AN1006),$AB$1006:$AQ$1006,0)))),"Fix")))</f>
        <v>0</v>
      </c>
      <c r="O202" s="4">
        <f>IF(OR(INDEX($V$2:$V$1001,MATCH(ROWS($U$2:U202),$U$2:$U$1001,0),1)&gt;=100000,INDEX($AB$1005:$AQ$1005,1,MATCH(COLUMNS($AB$1006:AO1006),$AB$1006:$AQ$1006,0))&gt;=100000), " ",IF(INDEX($AB$2:$AQ$1001,MATCH(ROWS($U$2:U202),$U$2:$U$1001,0),MATCH(COLUMNS($AB$1006:AO1006),$AB$1006:$AQ$1006,0)), HYPERLINK("#",""), HYPERLINK(CONCATENATE("#metadata!", ADDRESS(INDEX($W$2:$W$1001,MATCH(ROWS($U$2:U202),$U$2:$U$1001,0),0), INDEX($AB$1004:$AQ$1004,1,MATCH(COLUMNS($AB$1006:AO1006),$AB$1006:$AQ$1006,0)))),"Fix")))</f>
        <v>0</v>
      </c>
      <c r="P202" s="4">
        <f>IF(OR(INDEX($V$2:$V$1001,MATCH(ROWS($U$2:U202),$U$2:$U$1001,0),1)&gt;=100000,INDEX($AB$1005:$AQ$1005,1,MATCH(COLUMNS($AB$1006:AP1006),$AB$1006:$AQ$1006,0))&gt;=100000), " ",IF(INDEX($AB$2:$AQ$1001,MATCH(ROWS($U$2:U202),$U$2:$U$1001,0),MATCH(COLUMNS($AB$1006:AP1006),$AB$1006:$AQ$1006,0)), HYPERLINK("#",""), HYPERLINK(CONCATENATE("#metadata!", ADDRESS(INDEX($W$2:$W$1001,MATCH(ROWS($U$2:U202),$U$2:$U$1001,0),0), INDEX($AB$1004:$AQ$1004,1,MATCH(COLUMNS($AB$1006:AP1006),$AB$1006:$AQ$1006,0)))),"Fix")))</f>
        <v>0</v>
      </c>
      <c r="Q202" s="4">
        <f>IF(OR(INDEX($V$2:$V$1001,MATCH(ROWS($U$2:U202),$U$2:$U$1001,0),1)&gt;=100000,INDEX($AB$1005:$AQ$1005,1,MATCH(COLUMNS($AB$1006:AQ1006),$AB$1006:$AQ$1006,0))&gt;=100000), " ",IF(INDEX($AB$2:$AQ$1001,MATCH(ROWS($U$2:U202),$U$2:$U$1001,0),MATCH(COLUMNS($AB$1006:AQ1006),$AB$1006:$AQ$1006,0)), HYPERLINK("#",""), HYPERLINK(CONCATENATE("#metadata!", ADDRESS(INDEX($W$2:$W$1001,MATCH(ROWS($U$2:U202),$U$2:$U$1001,0),0), INDEX($AB$1004:$AQ$1004,1,MATCH(COLUMNS($AB$1006:AQ1006),$AB$1006:$AQ$1006,0)))),"Fix")))</f>
        <v>0</v>
      </c>
      <c r="U202">
        <v>0</v>
      </c>
      <c r="V202">
        <v>0</v>
      </c>
      <c r="W202">
        <v>0</v>
      </c>
      <c r="X202">
        <f>IF(Y202,TRUE,AND(AB202:AQ202))</f>
        <v>0</v>
      </c>
      <c r="Y202">
        <f>COUNTBLANK(metadata!B202:Q202)=COLUMNS(metadata!B202:Q202)</f>
        <v>0</v>
      </c>
      <c r="Z202">
        <v>0</v>
      </c>
      <c r="AB202">
        <f>AND(IF(metadata!B202="",FALSE,TRUE),COUNTIF(metadata!B:B, metadata!B202) = 1,NOT(ISERROR(SUMPRODUCT(SEARCH(MID(metadata!B202,ROW(INDIRECT("1:"&amp;LEN(metadata!B202))), 1),"0123456789abcdefghijklmnopqrstuvwxyzABCDEFGHIJKLMNOPQRSTUVWXYZ.")))))</f>
        <v>0</v>
      </c>
      <c r="AC202">
        <f>OR(AND(IF(metadata!C202="",FALSE,TRUE),OR(exact(metadata!C202,"missing: not collected"),exact(metadata!C202,"missing: not provided"),exact(metadata!C202,"missing: restricted access"))),AND(IF(metadata!C202="",FALSE,TRUE),AND(AND(IFERROR(INT(LEFT(metadata!C202,4))&gt;1900,FALSE),IFERROR(INT(LEFT(metadata!C202,4))&lt;=YEAR(NOW()),FALSE)), OR(MID(metadata!C202,5,1)="", AND(AND(MID(metadata!C202,5,1)="-",IFERROR(INT(MID(metadata!C202,6,1))&gt;=0,FALSE),IFERROR(INT(MID(metadata!C202,6,1))&lt;=1,FALSE),NOT(MID(metadata!C202,7,1)=""),IFERROR(INT(MID(metadata!C202,6,2))&gt;=1,FALSE),IFERROR(INT(MID(metadata!C202,6,2))&lt;=12,FALSE)), OR(MID(metadata!C202,8,1)="", AND(AND(MID(metadata!C202,8,1)="-",IFERROR(INT(MID(metadata!C202,9,1))&gt;=0,FALSE),IFERROR(INT(MID(metadata!C202,9,1))&lt;=3,FALSE),NOT(MID(metadata!C202,10,1)=""),IFERROR(INT(MID(metadata!C202,9,2))&gt;=1,FALSE),IFERROR(INT(MID(metadata!C202,9,2))&lt;=31,FALSE)), OR(MID(metadata!C202,11,1)="", AND(AND(MID(metadata!C202,11,1)=" ",IFERROR(INT(MID(metadata!C202,12,1))&gt;=0,FALSE),IFERROR(INT(MID(metadata!C202,12,1))&lt;=2,FALSE),NOT(MID(metadata!C202,13,1)=""),IFERROR(INT(MID(metadata!C202,12,2))&gt;=0,FALSE),IFERROR(INT(MID(metadata!C202,12,2))&lt;=23,FALSE)), OR(MID(metadata!C202,14,1)="", AND(AND(MID(metadata!C202,14,1)=":",IFERROR(INT(MID(metadata!C202,15,1))&gt;=0,FALSE),IFERROR(INT(MID(metadata!C202,15,1))&lt;=5,FALSE),NOT(MID(metadata!C202,16,1)=""),IFERROR(INT(MID(metadata!C202,15,2))&gt;=0,FALSE),IFERROR(INT(MID(metadata!C202,15,2))&lt;=59,FALSE)), OR(MID(metadata!C202,17,1)="", AND(AND(MID(metadata!C202,17,1)=":",IFERROR(INT(MID(metadata!C202,18,1))&gt;=0,FALSE),IFERROR(INT(MID(metadata!C202,18,1))&lt;=5,FALSE),NOT(MID(metadata!C202,19,1)=""),IFERROR(INT(MID(metadata!C202,18,2))&gt;=0,FALSE),IFERROR(INT(MID(metadata!C202,18,2))&lt;=59,FALSE)), LEN(metadata!C202)&lt;=19)))))))))))))</f>
        <v>0</v>
      </c>
      <c r="AD202">
        <f>IF(metadata!D202="",FALSE,TRUE)</f>
        <v>0</v>
      </c>
      <c r="AE202">
        <f>OR(AND(IF(metadata!E202="",FALSE,TRUE),OR(exact(metadata!E202,"missing: not collected"),exact(metadata!E202,"missing: not provided"))),AND(IF(metadata!E202="",FALSE,TRUE),OR(exact(metadata!E202,"TRUE"),exact(metadata!E202,"FALSE"))))</f>
        <v>0</v>
      </c>
      <c r="AF202">
        <f>IF(metadata!F202="",FALSE,TRUE)</f>
        <v>0</v>
      </c>
      <c r="AG202">
        <f>IF(metadata!G202="",FALSE,TRUE)</f>
        <v>0</v>
      </c>
      <c r="AH202">
        <f>IF(metadata!H202="",FALSE,TRUE)</f>
        <v>0</v>
      </c>
      <c r="AI202">
        <f>OR(AND(IF(metadata!I202="",FALSE,TRUE),OR(exact(metadata!I202,"missing: not collected"),exact(metadata!I202,"missing: not provided"),exact(metadata!I202,"missing: restricted access"))),AND(IF(metadata!I202="",FALSE,TRUE),OR(exact(metadata!I202,"air"),exact(metadata!I202,"built environment"),exact(metadata!I202,"host-associated"),exact(metadata!I202,"human-associated"),exact(metadata!I202,"human-skin"),exact(metadata!I202,"human-oral"),exact(metadata!I202,"human-gut"),exact(metadata!I202,"human-vaginal"),exact(metadata!I202,"microbial mat/biofilm"),exact(metadata!I202,"misc environment"),exact(metadata!I202,"plant-associated"),exact(metadata!I202,"sediment"),exact(metadata!I202,"soil"),exact(metadata!I202,"wastewater/sludge"),exact(metadata!I202,"water"))))</f>
        <v>0</v>
      </c>
      <c r="AJ202">
        <f>IF(metadata!J202="",FALSE,TRUE)</f>
        <v>0</v>
      </c>
      <c r="AK202">
        <f>OR(AND(IF(metadata!K202="",FALSE,TRUE),OR(exact(metadata!K202,"missing: not collected"),exact(metadata!K202,"missing: not provided"),exact(metadata!K202,"missing: restricted access"))),AND(IF(metadata!K202="",FALSE,ISNUMBER(VALUE(metadata!K202))),metadata!K202&gt;=-90.00,metadata!K202&lt;=90.00))</f>
        <v>0</v>
      </c>
      <c r="AL202">
        <f>OR(AND(IF(metadata!L202="",FALSE,TRUE),OR(exact(metadata!L202,"missing: not collected"),exact(metadata!L202,"missing: not provided"),exact(metadata!L202,"missing: restricted access"))),AND(IF(metadata!L202="",FALSE,ISNUMBER(VALUE(metadata!L202))),metadata!L202&gt;=-180.00,metadata!L202&lt;=180.00))</f>
        <v>0</v>
      </c>
      <c r="AM202">
        <f>IF(metadata!M202="",FALSE,TRUE)</f>
        <v>0</v>
      </c>
      <c r="AN202">
        <f>OR(AND(IF(metadata!N202="",FALSE,TRUE),OR(exact(metadata!N202,"missing: not collected"),exact(metadata!N202,"missing: not provided"),exact(metadata!N202,"missing: restricted access"))),AND(IF(metadata!N202="",FALSE,TRUE),OR(exact(metadata!N202,"TRUE"),exact(metadata!N202,"FALSE"))))</f>
        <v>0</v>
      </c>
      <c r="AO202">
        <f>IF(metadata!O202="",FALSE,TRUE)</f>
        <v>0</v>
      </c>
      <c r="AP202">
        <f>OR(AND(IF(metadata!P202="",FALSE,TRUE),OR(exact(metadata!P202,"missing: not collected"),exact(metadata!P202,"missing: not provided"))),AND(IF(metadata!P202="",FALSE,IF(ISERROR(INT(metadata!P202)),FALSE,INT(metadata!P202)=metadata!P202)),metadata!P202&gt;0))</f>
        <v>0</v>
      </c>
      <c r="AQ202">
        <f>IF(metadata!Q202="",FALSE,TRUE)</f>
        <v>0</v>
      </c>
    </row>
    <row r="203" spans="1:43">
      <c r="A203" s="5">
        <f>IF(B203=" "," ",HYPERLINK(CONCATENATE("#metadata!",ADDRESS(INDEX($W$2:$W$1001,MATCH(ROWS($U$2:U203),$U$2:$U$1001,0),0),1)),INDEX($Z$2:$Z$1001,MATCH(ROWS($U$2:U203),$U$2:$U$1001,0),0)))</f>
        <v>0</v>
      </c>
      <c r="B203" s="4">
        <f>IF(OR(INDEX($V$2:$V$1001,MATCH(ROWS($U$2:U203),$U$2:$U$1001,0),1)&gt;=100000,INDEX($AB$1005:$AQ$1005,1,MATCH(COLUMNS($AB$1006:AB1006),$AB$1006:$AQ$1006,0))&gt;=100000), " ",IF(INDEX($AB$2:$AQ$1001,MATCH(ROWS($U$2:U203),$U$2:$U$1001,0),MATCH(COLUMNS($AB$1006:AB1006),$AB$1006:$AQ$1006,0)), HYPERLINK("#",""), HYPERLINK(CONCATENATE("#metadata!", ADDRESS(INDEX($W$2:$W$1001,MATCH(ROWS($U$2:U203),$U$2:$U$1001,0),0), INDEX($AB$1004:$AQ$1004,1,MATCH(COLUMNS($AB$1006:AB1006),$AB$1006:$AQ$1006,0)))),"Fix")))</f>
        <v>0</v>
      </c>
      <c r="C203" s="4">
        <f>IF(OR(INDEX($V$2:$V$1001,MATCH(ROWS($U$2:U203),$U$2:$U$1001,0),1)&gt;=100000,INDEX($AB$1005:$AQ$1005,1,MATCH(COLUMNS($AB$1006:AC1006),$AB$1006:$AQ$1006,0))&gt;=100000), " ",IF(INDEX($AB$2:$AQ$1001,MATCH(ROWS($U$2:U203),$U$2:$U$1001,0),MATCH(COLUMNS($AB$1006:AC1006),$AB$1006:$AQ$1006,0)), HYPERLINK("#",""), HYPERLINK(CONCATENATE("#metadata!", ADDRESS(INDEX($W$2:$W$1001,MATCH(ROWS($U$2:U203),$U$2:$U$1001,0),0), INDEX($AB$1004:$AQ$1004,1,MATCH(COLUMNS($AB$1006:AC1006),$AB$1006:$AQ$1006,0)))),"Fix")))</f>
        <v>0</v>
      </c>
      <c r="D203" s="4">
        <f>IF(OR(INDEX($V$2:$V$1001,MATCH(ROWS($U$2:U203),$U$2:$U$1001,0),1)&gt;=100000,INDEX($AB$1005:$AQ$1005,1,MATCH(COLUMNS($AB$1006:AD1006),$AB$1006:$AQ$1006,0))&gt;=100000), " ",IF(INDEX($AB$2:$AQ$1001,MATCH(ROWS($U$2:U203),$U$2:$U$1001,0),MATCH(COLUMNS($AB$1006:AD1006),$AB$1006:$AQ$1006,0)), HYPERLINK("#",""), HYPERLINK(CONCATENATE("#metadata!", ADDRESS(INDEX($W$2:$W$1001,MATCH(ROWS($U$2:U203),$U$2:$U$1001,0),0), INDEX($AB$1004:$AQ$1004,1,MATCH(COLUMNS($AB$1006:AD1006),$AB$1006:$AQ$1006,0)))),"Fix")))</f>
        <v>0</v>
      </c>
      <c r="E203" s="4">
        <f>IF(OR(INDEX($V$2:$V$1001,MATCH(ROWS($U$2:U203),$U$2:$U$1001,0),1)&gt;=100000,INDEX($AB$1005:$AQ$1005,1,MATCH(COLUMNS($AB$1006:AE1006),$AB$1006:$AQ$1006,0))&gt;=100000), " ",IF(INDEX($AB$2:$AQ$1001,MATCH(ROWS($U$2:U203),$U$2:$U$1001,0),MATCH(COLUMNS($AB$1006:AE1006),$AB$1006:$AQ$1006,0)), HYPERLINK("#",""), HYPERLINK(CONCATENATE("#metadata!", ADDRESS(INDEX($W$2:$W$1001,MATCH(ROWS($U$2:U203),$U$2:$U$1001,0),0), INDEX($AB$1004:$AQ$1004,1,MATCH(COLUMNS($AB$1006:AE1006),$AB$1006:$AQ$1006,0)))),"Fix")))</f>
        <v>0</v>
      </c>
      <c r="F203" s="4">
        <f>IF(OR(INDEX($V$2:$V$1001,MATCH(ROWS($U$2:U203),$U$2:$U$1001,0),1)&gt;=100000,INDEX($AB$1005:$AQ$1005,1,MATCH(COLUMNS($AB$1006:AF1006),$AB$1006:$AQ$1006,0))&gt;=100000), " ",IF(INDEX($AB$2:$AQ$1001,MATCH(ROWS($U$2:U203),$U$2:$U$1001,0),MATCH(COLUMNS($AB$1006:AF1006),$AB$1006:$AQ$1006,0)), HYPERLINK("#",""), HYPERLINK(CONCATENATE("#metadata!", ADDRESS(INDEX($W$2:$W$1001,MATCH(ROWS($U$2:U203),$U$2:$U$1001,0),0), INDEX($AB$1004:$AQ$1004,1,MATCH(COLUMNS($AB$1006:AF1006),$AB$1006:$AQ$1006,0)))),"Fix")))</f>
        <v>0</v>
      </c>
      <c r="G203" s="4">
        <f>IF(OR(INDEX($V$2:$V$1001,MATCH(ROWS($U$2:U203),$U$2:$U$1001,0),1)&gt;=100000,INDEX($AB$1005:$AQ$1005,1,MATCH(COLUMNS($AB$1006:AG1006),$AB$1006:$AQ$1006,0))&gt;=100000), " ",IF(INDEX($AB$2:$AQ$1001,MATCH(ROWS($U$2:U203),$U$2:$U$1001,0),MATCH(COLUMNS($AB$1006:AG1006),$AB$1006:$AQ$1006,0)), HYPERLINK("#",""), HYPERLINK(CONCATENATE("#metadata!", ADDRESS(INDEX($W$2:$W$1001,MATCH(ROWS($U$2:U203),$U$2:$U$1001,0),0), INDEX($AB$1004:$AQ$1004,1,MATCH(COLUMNS($AB$1006:AG1006),$AB$1006:$AQ$1006,0)))),"Fix")))</f>
        <v>0</v>
      </c>
      <c r="H203" s="4">
        <f>IF(OR(INDEX($V$2:$V$1001,MATCH(ROWS($U$2:U203),$U$2:$U$1001,0),1)&gt;=100000,INDEX($AB$1005:$AQ$1005,1,MATCH(COLUMNS($AB$1006:AH1006),$AB$1006:$AQ$1006,0))&gt;=100000), " ",IF(INDEX($AB$2:$AQ$1001,MATCH(ROWS($U$2:U203),$U$2:$U$1001,0),MATCH(COLUMNS($AB$1006:AH1006),$AB$1006:$AQ$1006,0)), HYPERLINK("#",""), HYPERLINK(CONCATENATE("#metadata!", ADDRESS(INDEX($W$2:$W$1001,MATCH(ROWS($U$2:U203),$U$2:$U$1001,0),0), INDEX($AB$1004:$AQ$1004,1,MATCH(COLUMNS($AB$1006:AH1006),$AB$1006:$AQ$1006,0)))),"Fix")))</f>
        <v>0</v>
      </c>
      <c r="I203" s="4">
        <f>IF(OR(INDEX($V$2:$V$1001,MATCH(ROWS($U$2:U203),$U$2:$U$1001,0),1)&gt;=100000,INDEX($AB$1005:$AQ$1005,1,MATCH(COLUMNS($AB$1006:AI1006),$AB$1006:$AQ$1006,0))&gt;=100000), " ",IF(INDEX($AB$2:$AQ$1001,MATCH(ROWS($U$2:U203),$U$2:$U$1001,0),MATCH(COLUMNS($AB$1006:AI1006),$AB$1006:$AQ$1006,0)), HYPERLINK("#",""), HYPERLINK(CONCATENATE("#metadata!", ADDRESS(INDEX($W$2:$W$1001,MATCH(ROWS($U$2:U203),$U$2:$U$1001,0),0), INDEX($AB$1004:$AQ$1004,1,MATCH(COLUMNS($AB$1006:AI1006),$AB$1006:$AQ$1006,0)))),"Fix")))</f>
        <v>0</v>
      </c>
      <c r="J203" s="4">
        <f>IF(OR(INDEX($V$2:$V$1001,MATCH(ROWS($U$2:U203),$U$2:$U$1001,0),1)&gt;=100000,INDEX($AB$1005:$AQ$1005,1,MATCH(COLUMNS($AB$1006:AJ1006),$AB$1006:$AQ$1006,0))&gt;=100000), " ",IF(INDEX($AB$2:$AQ$1001,MATCH(ROWS($U$2:U203),$U$2:$U$1001,0),MATCH(COLUMNS($AB$1006:AJ1006),$AB$1006:$AQ$1006,0)), HYPERLINK("#",""), HYPERLINK(CONCATENATE("#metadata!", ADDRESS(INDEX($W$2:$W$1001,MATCH(ROWS($U$2:U203),$U$2:$U$1001,0),0), INDEX($AB$1004:$AQ$1004,1,MATCH(COLUMNS($AB$1006:AJ1006),$AB$1006:$AQ$1006,0)))),"Fix")))</f>
        <v>0</v>
      </c>
      <c r="K203" s="4">
        <f>IF(OR(INDEX($V$2:$V$1001,MATCH(ROWS($U$2:U203),$U$2:$U$1001,0),1)&gt;=100000,INDEX($AB$1005:$AQ$1005,1,MATCH(COLUMNS($AB$1006:AK1006),$AB$1006:$AQ$1006,0))&gt;=100000), " ",IF(INDEX($AB$2:$AQ$1001,MATCH(ROWS($U$2:U203),$U$2:$U$1001,0),MATCH(COLUMNS($AB$1006:AK1006),$AB$1006:$AQ$1006,0)), HYPERLINK("#",""), HYPERLINK(CONCATENATE("#metadata!", ADDRESS(INDEX($W$2:$W$1001,MATCH(ROWS($U$2:U203),$U$2:$U$1001,0),0), INDEX($AB$1004:$AQ$1004,1,MATCH(COLUMNS($AB$1006:AK1006),$AB$1006:$AQ$1006,0)))),"Fix")))</f>
        <v>0</v>
      </c>
      <c r="L203" s="4">
        <f>IF(OR(INDEX($V$2:$V$1001,MATCH(ROWS($U$2:U203),$U$2:$U$1001,0),1)&gt;=100000,INDEX($AB$1005:$AQ$1005,1,MATCH(COLUMNS($AB$1006:AL1006),$AB$1006:$AQ$1006,0))&gt;=100000), " ",IF(INDEX($AB$2:$AQ$1001,MATCH(ROWS($U$2:U203),$U$2:$U$1001,0),MATCH(COLUMNS($AB$1006:AL1006),$AB$1006:$AQ$1006,0)), HYPERLINK("#",""), HYPERLINK(CONCATENATE("#metadata!", ADDRESS(INDEX($W$2:$W$1001,MATCH(ROWS($U$2:U203),$U$2:$U$1001,0),0), INDEX($AB$1004:$AQ$1004,1,MATCH(COLUMNS($AB$1006:AL1006),$AB$1006:$AQ$1006,0)))),"Fix")))</f>
        <v>0</v>
      </c>
      <c r="M203" s="4">
        <f>IF(OR(INDEX($V$2:$V$1001,MATCH(ROWS($U$2:U203),$U$2:$U$1001,0),1)&gt;=100000,INDEX($AB$1005:$AQ$1005,1,MATCH(COLUMNS($AB$1006:AM1006),$AB$1006:$AQ$1006,0))&gt;=100000), " ",IF(INDEX($AB$2:$AQ$1001,MATCH(ROWS($U$2:U203),$U$2:$U$1001,0),MATCH(COLUMNS($AB$1006:AM1006),$AB$1006:$AQ$1006,0)), HYPERLINK("#",""), HYPERLINK(CONCATENATE("#metadata!", ADDRESS(INDEX($W$2:$W$1001,MATCH(ROWS($U$2:U203),$U$2:$U$1001,0),0), INDEX($AB$1004:$AQ$1004,1,MATCH(COLUMNS($AB$1006:AM1006),$AB$1006:$AQ$1006,0)))),"Fix")))</f>
        <v>0</v>
      </c>
      <c r="N203" s="4">
        <f>IF(OR(INDEX($V$2:$V$1001,MATCH(ROWS($U$2:U203),$U$2:$U$1001,0),1)&gt;=100000,INDEX($AB$1005:$AQ$1005,1,MATCH(COLUMNS($AB$1006:AN1006),$AB$1006:$AQ$1006,0))&gt;=100000), " ",IF(INDEX($AB$2:$AQ$1001,MATCH(ROWS($U$2:U203),$U$2:$U$1001,0),MATCH(COLUMNS($AB$1006:AN1006),$AB$1006:$AQ$1006,0)), HYPERLINK("#",""), HYPERLINK(CONCATENATE("#metadata!", ADDRESS(INDEX($W$2:$W$1001,MATCH(ROWS($U$2:U203),$U$2:$U$1001,0),0), INDEX($AB$1004:$AQ$1004,1,MATCH(COLUMNS($AB$1006:AN1006),$AB$1006:$AQ$1006,0)))),"Fix")))</f>
        <v>0</v>
      </c>
      <c r="O203" s="4">
        <f>IF(OR(INDEX($V$2:$V$1001,MATCH(ROWS($U$2:U203),$U$2:$U$1001,0),1)&gt;=100000,INDEX($AB$1005:$AQ$1005,1,MATCH(COLUMNS($AB$1006:AO1006),$AB$1006:$AQ$1006,0))&gt;=100000), " ",IF(INDEX($AB$2:$AQ$1001,MATCH(ROWS($U$2:U203),$U$2:$U$1001,0),MATCH(COLUMNS($AB$1006:AO1006),$AB$1006:$AQ$1006,0)), HYPERLINK("#",""), HYPERLINK(CONCATENATE("#metadata!", ADDRESS(INDEX($W$2:$W$1001,MATCH(ROWS($U$2:U203),$U$2:$U$1001,0),0), INDEX($AB$1004:$AQ$1004,1,MATCH(COLUMNS($AB$1006:AO1006),$AB$1006:$AQ$1006,0)))),"Fix")))</f>
        <v>0</v>
      </c>
      <c r="P203" s="4">
        <f>IF(OR(INDEX($V$2:$V$1001,MATCH(ROWS($U$2:U203),$U$2:$U$1001,0),1)&gt;=100000,INDEX($AB$1005:$AQ$1005,1,MATCH(COLUMNS($AB$1006:AP1006),$AB$1006:$AQ$1006,0))&gt;=100000), " ",IF(INDEX($AB$2:$AQ$1001,MATCH(ROWS($U$2:U203),$U$2:$U$1001,0),MATCH(COLUMNS($AB$1006:AP1006),$AB$1006:$AQ$1006,0)), HYPERLINK("#",""), HYPERLINK(CONCATENATE("#metadata!", ADDRESS(INDEX($W$2:$W$1001,MATCH(ROWS($U$2:U203),$U$2:$U$1001,0),0), INDEX($AB$1004:$AQ$1004,1,MATCH(COLUMNS($AB$1006:AP1006),$AB$1006:$AQ$1006,0)))),"Fix")))</f>
        <v>0</v>
      </c>
      <c r="Q203" s="4">
        <f>IF(OR(INDEX($V$2:$V$1001,MATCH(ROWS($U$2:U203),$U$2:$U$1001,0),1)&gt;=100000,INDEX($AB$1005:$AQ$1005,1,MATCH(COLUMNS($AB$1006:AQ1006),$AB$1006:$AQ$1006,0))&gt;=100000), " ",IF(INDEX($AB$2:$AQ$1001,MATCH(ROWS($U$2:U203),$U$2:$U$1001,0),MATCH(COLUMNS($AB$1006:AQ1006),$AB$1006:$AQ$1006,0)), HYPERLINK("#",""), HYPERLINK(CONCATENATE("#metadata!", ADDRESS(INDEX($W$2:$W$1001,MATCH(ROWS($U$2:U203),$U$2:$U$1001,0),0), INDEX($AB$1004:$AQ$1004,1,MATCH(COLUMNS($AB$1006:AQ1006),$AB$1006:$AQ$1006,0)))),"Fix")))</f>
        <v>0</v>
      </c>
      <c r="U203">
        <v>0</v>
      </c>
      <c r="V203">
        <v>0</v>
      </c>
      <c r="W203">
        <v>0</v>
      </c>
      <c r="X203">
        <f>IF(Y203,TRUE,AND(AB203:AQ203))</f>
        <v>0</v>
      </c>
      <c r="Y203">
        <f>COUNTBLANK(metadata!B203:Q203)=COLUMNS(metadata!B203:Q203)</f>
        <v>0</v>
      </c>
      <c r="Z203">
        <v>0</v>
      </c>
      <c r="AB203">
        <f>AND(IF(metadata!B203="",FALSE,TRUE),COUNTIF(metadata!B:B, metadata!B203) = 1,NOT(ISERROR(SUMPRODUCT(SEARCH(MID(metadata!B203,ROW(INDIRECT("1:"&amp;LEN(metadata!B203))), 1),"0123456789abcdefghijklmnopqrstuvwxyzABCDEFGHIJKLMNOPQRSTUVWXYZ.")))))</f>
        <v>0</v>
      </c>
      <c r="AC203">
        <f>OR(AND(IF(metadata!C203="",FALSE,TRUE),OR(exact(metadata!C203,"missing: not collected"),exact(metadata!C203,"missing: not provided"),exact(metadata!C203,"missing: restricted access"))),AND(IF(metadata!C203="",FALSE,TRUE),AND(AND(IFERROR(INT(LEFT(metadata!C203,4))&gt;1900,FALSE),IFERROR(INT(LEFT(metadata!C203,4))&lt;=YEAR(NOW()),FALSE)), OR(MID(metadata!C203,5,1)="", AND(AND(MID(metadata!C203,5,1)="-",IFERROR(INT(MID(metadata!C203,6,1))&gt;=0,FALSE),IFERROR(INT(MID(metadata!C203,6,1))&lt;=1,FALSE),NOT(MID(metadata!C203,7,1)=""),IFERROR(INT(MID(metadata!C203,6,2))&gt;=1,FALSE),IFERROR(INT(MID(metadata!C203,6,2))&lt;=12,FALSE)), OR(MID(metadata!C203,8,1)="", AND(AND(MID(metadata!C203,8,1)="-",IFERROR(INT(MID(metadata!C203,9,1))&gt;=0,FALSE),IFERROR(INT(MID(metadata!C203,9,1))&lt;=3,FALSE),NOT(MID(metadata!C203,10,1)=""),IFERROR(INT(MID(metadata!C203,9,2))&gt;=1,FALSE),IFERROR(INT(MID(metadata!C203,9,2))&lt;=31,FALSE)), OR(MID(metadata!C203,11,1)="", AND(AND(MID(metadata!C203,11,1)=" ",IFERROR(INT(MID(metadata!C203,12,1))&gt;=0,FALSE),IFERROR(INT(MID(metadata!C203,12,1))&lt;=2,FALSE),NOT(MID(metadata!C203,13,1)=""),IFERROR(INT(MID(metadata!C203,12,2))&gt;=0,FALSE),IFERROR(INT(MID(metadata!C203,12,2))&lt;=23,FALSE)), OR(MID(metadata!C203,14,1)="", AND(AND(MID(metadata!C203,14,1)=":",IFERROR(INT(MID(metadata!C203,15,1))&gt;=0,FALSE),IFERROR(INT(MID(metadata!C203,15,1))&lt;=5,FALSE),NOT(MID(metadata!C203,16,1)=""),IFERROR(INT(MID(metadata!C203,15,2))&gt;=0,FALSE),IFERROR(INT(MID(metadata!C203,15,2))&lt;=59,FALSE)), OR(MID(metadata!C203,17,1)="", AND(AND(MID(metadata!C203,17,1)=":",IFERROR(INT(MID(metadata!C203,18,1))&gt;=0,FALSE),IFERROR(INT(MID(metadata!C203,18,1))&lt;=5,FALSE),NOT(MID(metadata!C203,19,1)=""),IFERROR(INT(MID(metadata!C203,18,2))&gt;=0,FALSE),IFERROR(INT(MID(metadata!C203,18,2))&lt;=59,FALSE)), LEN(metadata!C203)&lt;=19)))))))))))))</f>
        <v>0</v>
      </c>
      <c r="AD203">
        <f>IF(metadata!D203="",FALSE,TRUE)</f>
        <v>0</v>
      </c>
      <c r="AE203">
        <f>OR(AND(IF(metadata!E203="",FALSE,TRUE),OR(exact(metadata!E203,"missing: not collected"),exact(metadata!E203,"missing: not provided"))),AND(IF(metadata!E203="",FALSE,TRUE),OR(exact(metadata!E203,"TRUE"),exact(metadata!E203,"FALSE"))))</f>
        <v>0</v>
      </c>
      <c r="AF203">
        <f>IF(metadata!F203="",FALSE,TRUE)</f>
        <v>0</v>
      </c>
      <c r="AG203">
        <f>IF(metadata!G203="",FALSE,TRUE)</f>
        <v>0</v>
      </c>
      <c r="AH203">
        <f>IF(metadata!H203="",FALSE,TRUE)</f>
        <v>0</v>
      </c>
      <c r="AI203">
        <f>OR(AND(IF(metadata!I203="",FALSE,TRUE),OR(exact(metadata!I203,"missing: not collected"),exact(metadata!I203,"missing: not provided"),exact(metadata!I203,"missing: restricted access"))),AND(IF(metadata!I203="",FALSE,TRUE),OR(exact(metadata!I203,"air"),exact(metadata!I203,"built environment"),exact(metadata!I203,"host-associated"),exact(metadata!I203,"human-associated"),exact(metadata!I203,"human-skin"),exact(metadata!I203,"human-oral"),exact(metadata!I203,"human-gut"),exact(metadata!I203,"human-vaginal"),exact(metadata!I203,"microbial mat/biofilm"),exact(metadata!I203,"misc environment"),exact(metadata!I203,"plant-associated"),exact(metadata!I203,"sediment"),exact(metadata!I203,"soil"),exact(metadata!I203,"wastewater/sludge"),exact(metadata!I203,"water"))))</f>
        <v>0</v>
      </c>
      <c r="AJ203">
        <f>IF(metadata!J203="",FALSE,TRUE)</f>
        <v>0</v>
      </c>
      <c r="AK203">
        <f>OR(AND(IF(metadata!K203="",FALSE,TRUE),OR(exact(metadata!K203,"missing: not collected"),exact(metadata!K203,"missing: not provided"),exact(metadata!K203,"missing: restricted access"))),AND(IF(metadata!K203="",FALSE,ISNUMBER(VALUE(metadata!K203))),metadata!K203&gt;=-90.00,metadata!K203&lt;=90.00))</f>
        <v>0</v>
      </c>
      <c r="AL203">
        <f>OR(AND(IF(metadata!L203="",FALSE,TRUE),OR(exact(metadata!L203,"missing: not collected"),exact(metadata!L203,"missing: not provided"),exact(metadata!L203,"missing: restricted access"))),AND(IF(metadata!L203="",FALSE,ISNUMBER(VALUE(metadata!L203))),metadata!L203&gt;=-180.00,metadata!L203&lt;=180.00))</f>
        <v>0</v>
      </c>
      <c r="AM203">
        <f>IF(metadata!M203="",FALSE,TRUE)</f>
        <v>0</v>
      </c>
      <c r="AN203">
        <f>OR(AND(IF(metadata!N203="",FALSE,TRUE),OR(exact(metadata!N203,"missing: not collected"),exact(metadata!N203,"missing: not provided"),exact(metadata!N203,"missing: restricted access"))),AND(IF(metadata!N203="",FALSE,TRUE),OR(exact(metadata!N203,"TRUE"),exact(metadata!N203,"FALSE"))))</f>
        <v>0</v>
      </c>
      <c r="AO203">
        <f>IF(metadata!O203="",FALSE,TRUE)</f>
        <v>0</v>
      </c>
      <c r="AP203">
        <f>OR(AND(IF(metadata!P203="",FALSE,TRUE),OR(exact(metadata!P203,"missing: not collected"),exact(metadata!P203,"missing: not provided"))),AND(IF(metadata!P203="",FALSE,IF(ISERROR(INT(metadata!P203)),FALSE,INT(metadata!P203)=metadata!P203)),metadata!P203&gt;0))</f>
        <v>0</v>
      </c>
      <c r="AQ203">
        <f>IF(metadata!Q203="",FALSE,TRUE)</f>
        <v>0</v>
      </c>
    </row>
    <row r="204" spans="1:43">
      <c r="A204" s="5">
        <f>IF(B204=" "," ",HYPERLINK(CONCATENATE("#metadata!",ADDRESS(INDEX($W$2:$W$1001,MATCH(ROWS($U$2:U204),$U$2:$U$1001,0),0),1)),INDEX($Z$2:$Z$1001,MATCH(ROWS($U$2:U204),$U$2:$U$1001,0),0)))</f>
        <v>0</v>
      </c>
      <c r="B204" s="4">
        <f>IF(OR(INDEX($V$2:$V$1001,MATCH(ROWS($U$2:U204),$U$2:$U$1001,0),1)&gt;=100000,INDEX($AB$1005:$AQ$1005,1,MATCH(COLUMNS($AB$1006:AB1006),$AB$1006:$AQ$1006,0))&gt;=100000), " ",IF(INDEX($AB$2:$AQ$1001,MATCH(ROWS($U$2:U204),$U$2:$U$1001,0),MATCH(COLUMNS($AB$1006:AB1006),$AB$1006:$AQ$1006,0)), HYPERLINK("#",""), HYPERLINK(CONCATENATE("#metadata!", ADDRESS(INDEX($W$2:$W$1001,MATCH(ROWS($U$2:U204),$U$2:$U$1001,0),0), INDEX($AB$1004:$AQ$1004,1,MATCH(COLUMNS($AB$1006:AB1006),$AB$1006:$AQ$1006,0)))),"Fix")))</f>
        <v>0</v>
      </c>
      <c r="C204" s="4">
        <f>IF(OR(INDEX($V$2:$V$1001,MATCH(ROWS($U$2:U204),$U$2:$U$1001,0),1)&gt;=100000,INDEX($AB$1005:$AQ$1005,1,MATCH(COLUMNS($AB$1006:AC1006),$AB$1006:$AQ$1006,0))&gt;=100000), " ",IF(INDEX($AB$2:$AQ$1001,MATCH(ROWS($U$2:U204),$U$2:$U$1001,0),MATCH(COLUMNS($AB$1006:AC1006),$AB$1006:$AQ$1006,0)), HYPERLINK("#",""), HYPERLINK(CONCATENATE("#metadata!", ADDRESS(INDEX($W$2:$W$1001,MATCH(ROWS($U$2:U204),$U$2:$U$1001,0),0), INDEX($AB$1004:$AQ$1004,1,MATCH(COLUMNS($AB$1006:AC1006),$AB$1006:$AQ$1006,0)))),"Fix")))</f>
        <v>0</v>
      </c>
      <c r="D204" s="4">
        <f>IF(OR(INDEX($V$2:$V$1001,MATCH(ROWS($U$2:U204),$U$2:$U$1001,0),1)&gt;=100000,INDEX($AB$1005:$AQ$1005,1,MATCH(COLUMNS($AB$1006:AD1006),$AB$1006:$AQ$1006,0))&gt;=100000), " ",IF(INDEX($AB$2:$AQ$1001,MATCH(ROWS($U$2:U204),$U$2:$U$1001,0),MATCH(COLUMNS($AB$1006:AD1006),$AB$1006:$AQ$1006,0)), HYPERLINK("#",""), HYPERLINK(CONCATENATE("#metadata!", ADDRESS(INDEX($W$2:$W$1001,MATCH(ROWS($U$2:U204),$U$2:$U$1001,0),0), INDEX($AB$1004:$AQ$1004,1,MATCH(COLUMNS($AB$1006:AD1006),$AB$1006:$AQ$1006,0)))),"Fix")))</f>
        <v>0</v>
      </c>
      <c r="E204" s="4">
        <f>IF(OR(INDEX($V$2:$V$1001,MATCH(ROWS($U$2:U204),$U$2:$U$1001,0),1)&gt;=100000,INDEX($AB$1005:$AQ$1005,1,MATCH(COLUMNS($AB$1006:AE1006),$AB$1006:$AQ$1006,0))&gt;=100000), " ",IF(INDEX($AB$2:$AQ$1001,MATCH(ROWS($U$2:U204),$U$2:$U$1001,0),MATCH(COLUMNS($AB$1006:AE1006),$AB$1006:$AQ$1006,0)), HYPERLINK("#",""), HYPERLINK(CONCATENATE("#metadata!", ADDRESS(INDEX($W$2:$W$1001,MATCH(ROWS($U$2:U204),$U$2:$U$1001,0),0), INDEX($AB$1004:$AQ$1004,1,MATCH(COLUMNS($AB$1006:AE1006),$AB$1006:$AQ$1006,0)))),"Fix")))</f>
        <v>0</v>
      </c>
      <c r="F204" s="4">
        <f>IF(OR(INDEX($V$2:$V$1001,MATCH(ROWS($U$2:U204),$U$2:$U$1001,0),1)&gt;=100000,INDEX($AB$1005:$AQ$1005,1,MATCH(COLUMNS($AB$1006:AF1006),$AB$1006:$AQ$1006,0))&gt;=100000), " ",IF(INDEX($AB$2:$AQ$1001,MATCH(ROWS($U$2:U204),$U$2:$U$1001,0),MATCH(COLUMNS($AB$1006:AF1006),$AB$1006:$AQ$1006,0)), HYPERLINK("#",""), HYPERLINK(CONCATENATE("#metadata!", ADDRESS(INDEX($W$2:$W$1001,MATCH(ROWS($U$2:U204),$U$2:$U$1001,0),0), INDEX($AB$1004:$AQ$1004,1,MATCH(COLUMNS($AB$1006:AF1006),$AB$1006:$AQ$1006,0)))),"Fix")))</f>
        <v>0</v>
      </c>
      <c r="G204" s="4">
        <f>IF(OR(INDEX($V$2:$V$1001,MATCH(ROWS($U$2:U204),$U$2:$U$1001,0),1)&gt;=100000,INDEX($AB$1005:$AQ$1005,1,MATCH(COLUMNS($AB$1006:AG1006),$AB$1006:$AQ$1006,0))&gt;=100000), " ",IF(INDEX($AB$2:$AQ$1001,MATCH(ROWS($U$2:U204),$U$2:$U$1001,0),MATCH(COLUMNS($AB$1006:AG1006),$AB$1006:$AQ$1006,0)), HYPERLINK("#",""), HYPERLINK(CONCATENATE("#metadata!", ADDRESS(INDEX($W$2:$W$1001,MATCH(ROWS($U$2:U204),$U$2:$U$1001,0),0), INDEX($AB$1004:$AQ$1004,1,MATCH(COLUMNS($AB$1006:AG1006),$AB$1006:$AQ$1006,0)))),"Fix")))</f>
        <v>0</v>
      </c>
      <c r="H204" s="4">
        <f>IF(OR(INDEX($V$2:$V$1001,MATCH(ROWS($U$2:U204),$U$2:$U$1001,0),1)&gt;=100000,INDEX($AB$1005:$AQ$1005,1,MATCH(COLUMNS($AB$1006:AH1006),$AB$1006:$AQ$1006,0))&gt;=100000), " ",IF(INDEX($AB$2:$AQ$1001,MATCH(ROWS($U$2:U204),$U$2:$U$1001,0),MATCH(COLUMNS($AB$1006:AH1006),$AB$1006:$AQ$1006,0)), HYPERLINK("#",""), HYPERLINK(CONCATENATE("#metadata!", ADDRESS(INDEX($W$2:$W$1001,MATCH(ROWS($U$2:U204),$U$2:$U$1001,0),0), INDEX($AB$1004:$AQ$1004,1,MATCH(COLUMNS($AB$1006:AH1006),$AB$1006:$AQ$1006,0)))),"Fix")))</f>
        <v>0</v>
      </c>
      <c r="I204" s="4">
        <f>IF(OR(INDEX($V$2:$V$1001,MATCH(ROWS($U$2:U204),$U$2:$U$1001,0),1)&gt;=100000,INDEX($AB$1005:$AQ$1005,1,MATCH(COLUMNS($AB$1006:AI1006),$AB$1006:$AQ$1006,0))&gt;=100000), " ",IF(INDEX($AB$2:$AQ$1001,MATCH(ROWS($U$2:U204),$U$2:$U$1001,0),MATCH(COLUMNS($AB$1006:AI1006),$AB$1006:$AQ$1006,0)), HYPERLINK("#",""), HYPERLINK(CONCATENATE("#metadata!", ADDRESS(INDEX($W$2:$W$1001,MATCH(ROWS($U$2:U204),$U$2:$U$1001,0),0), INDEX($AB$1004:$AQ$1004,1,MATCH(COLUMNS($AB$1006:AI1006),$AB$1006:$AQ$1006,0)))),"Fix")))</f>
        <v>0</v>
      </c>
      <c r="J204" s="4">
        <f>IF(OR(INDEX($V$2:$V$1001,MATCH(ROWS($U$2:U204),$U$2:$U$1001,0),1)&gt;=100000,INDEX($AB$1005:$AQ$1005,1,MATCH(COLUMNS($AB$1006:AJ1006),$AB$1006:$AQ$1006,0))&gt;=100000), " ",IF(INDEX($AB$2:$AQ$1001,MATCH(ROWS($U$2:U204),$U$2:$U$1001,0),MATCH(COLUMNS($AB$1006:AJ1006),$AB$1006:$AQ$1006,0)), HYPERLINK("#",""), HYPERLINK(CONCATENATE("#metadata!", ADDRESS(INDEX($W$2:$W$1001,MATCH(ROWS($U$2:U204),$U$2:$U$1001,0),0), INDEX($AB$1004:$AQ$1004,1,MATCH(COLUMNS($AB$1006:AJ1006),$AB$1006:$AQ$1006,0)))),"Fix")))</f>
        <v>0</v>
      </c>
      <c r="K204" s="4">
        <f>IF(OR(INDEX($V$2:$V$1001,MATCH(ROWS($U$2:U204),$U$2:$U$1001,0),1)&gt;=100000,INDEX($AB$1005:$AQ$1005,1,MATCH(COLUMNS($AB$1006:AK1006),$AB$1006:$AQ$1006,0))&gt;=100000), " ",IF(INDEX($AB$2:$AQ$1001,MATCH(ROWS($U$2:U204),$U$2:$U$1001,0),MATCH(COLUMNS($AB$1006:AK1006),$AB$1006:$AQ$1006,0)), HYPERLINK("#",""), HYPERLINK(CONCATENATE("#metadata!", ADDRESS(INDEX($W$2:$W$1001,MATCH(ROWS($U$2:U204),$U$2:$U$1001,0),0), INDEX($AB$1004:$AQ$1004,1,MATCH(COLUMNS($AB$1006:AK1006),$AB$1006:$AQ$1006,0)))),"Fix")))</f>
        <v>0</v>
      </c>
      <c r="L204" s="4">
        <f>IF(OR(INDEX($V$2:$V$1001,MATCH(ROWS($U$2:U204),$U$2:$U$1001,0),1)&gt;=100000,INDEX($AB$1005:$AQ$1005,1,MATCH(COLUMNS($AB$1006:AL1006),$AB$1006:$AQ$1006,0))&gt;=100000), " ",IF(INDEX($AB$2:$AQ$1001,MATCH(ROWS($U$2:U204),$U$2:$U$1001,0),MATCH(COLUMNS($AB$1006:AL1006),$AB$1006:$AQ$1006,0)), HYPERLINK("#",""), HYPERLINK(CONCATENATE("#metadata!", ADDRESS(INDEX($W$2:$W$1001,MATCH(ROWS($U$2:U204),$U$2:$U$1001,0),0), INDEX($AB$1004:$AQ$1004,1,MATCH(COLUMNS($AB$1006:AL1006),$AB$1006:$AQ$1006,0)))),"Fix")))</f>
        <v>0</v>
      </c>
      <c r="M204" s="4">
        <f>IF(OR(INDEX($V$2:$V$1001,MATCH(ROWS($U$2:U204),$U$2:$U$1001,0),1)&gt;=100000,INDEX($AB$1005:$AQ$1005,1,MATCH(COLUMNS($AB$1006:AM1006),$AB$1006:$AQ$1006,0))&gt;=100000), " ",IF(INDEX($AB$2:$AQ$1001,MATCH(ROWS($U$2:U204),$U$2:$U$1001,0),MATCH(COLUMNS($AB$1006:AM1006),$AB$1006:$AQ$1006,0)), HYPERLINK("#",""), HYPERLINK(CONCATENATE("#metadata!", ADDRESS(INDEX($W$2:$W$1001,MATCH(ROWS($U$2:U204),$U$2:$U$1001,0),0), INDEX($AB$1004:$AQ$1004,1,MATCH(COLUMNS($AB$1006:AM1006),$AB$1006:$AQ$1006,0)))),"Fix")))</f>
        <v>0</v>
      </c>
      <c r="N204" s="4">
        <f>IF(OR(INDEX($V$2:$V$1001,MATCH(ROWS($U$2:U204),$U$2:$U$1001,0),1)&gt;=100000,INDEX($AB$1005:$AQ$1005,1,MATCH(COLUMNS($AB$1006:AN1006),$AB$1006:$AQ$1006,0))&gt;=100000), " ",IF(INDEX($AB$2:$AQ$1001,MATCH(ROWS($U$2:U204),$U$2:$U$1001,0),MATCH(COLUMNS($AB$1006:AN1006),$AB$1006:$AQ$1006,0)), HYPERLINK("#",""), HYPERLINK(CONCATENATE("#metadata!", ADDRESS(INDEX($W$2:$W$1001,MATCH(ROWS($U$2:U204),$U$2:$U$1001,0),0), INDEX($AB$1004:$AQ$1004,1,MATCH(COLUMNS($AB$1006:AN1006),$AB$1006:$AQ$1006,0)))),"Fix")))</f>
        <v>0</v>
      </c>
      <c r="O204" s="4">
        <f>IF(OR(INDEX($V$2:$V$1001,MATCH(ROWS($U$2:U204),$U$2:$U$1001,0),1)&gt;=100000,INDEX($AB$1005:$AQ$1005,1,MATCH(COLUMNS($AB$1006:AO1006),$AB$1006:$AQ$1006,0))&gt;=100000), " ",IF(INDEX($AB$2:$AQ$1001,MATCH(ROWS($U$2:U204),$U$2:$U$1001,0),MATCH(COLUMNS($AB$1006:AO1006),$AB$1006:$AQ$1006,0)), HYPERLINK("#",""), HYPERLINK(CONCATENATE("#metadata!", ADDRESS(INDEX($W$2:$W$1001,MATCH(ROWS($U$2:U204),$U$2:$U$1001,0),0), INDEX($AB$1004:$AQ$1004,1,MATCH(COLUMNS($AB$1006:AO1006),$AB$1006:$AQ$1006,0)))),"Fix")))</f>
        <v>0</v>
      </c>
      <c r="P204" s="4">
        <f>IF(OR(INDEX($V$2:$V$1001,MATCH(ROWS($U$2:U204),$U$2:$U$1001,0),1)&gt;=100000,INDEX($AB$1005:$AQ$1005,1,MATCH(COLUMNS($AB$1006:AP1006),$AB$1006:$AQ$1006,0))&gt;=100000), " ",IF(INDEX($AB$2:$AQ$1001,MATCH(ROWS($U$2:U204),$U$2:$U$1001,0),MATCH(COLUMNS($AB$1006:AP1006),$AB$1006:$AQ$1006,0)), HYPERLINK("#",""), HYPERLINK(CONCATENATE("#metadata!", ADDRESS(INDEX($W$2:$W$1001,MATCH(ROWS($U$2:U204),$U$2:$U$1001,0),0), INDEX($AB$1004:$AQ$1004,1,MATCH(COLUMNS($AB$1006:AP1006),$AB$1006:$AQ$1006,0)))),"Fix")))</f>
        <v>0</v>
      </c>
      <c r="Q204" s="4">
        <f>IF(OR(INDEX($V$2:$V$1001,MATCH(ROWS($U$2:U204),$U$2:$U$1001,0),1)&gt;=100000,INDEX($AB$1005:$AQ$1005,1,MATCH(COLUMNS($AB$1006:AQ1006),$AB$1006:$AQ$1006,0))&gt;=100000), " ",IF(INDEX($AB$2:$AQ$1001,MATCH(ROWS($U$2:U204),$U$2:$U$1001,0),MATCH(COLUMNS($AB$1006:AQ1006),$AB$1006:$AQ$1006,0)), HYPERLINK("#",""), HYPERLINK(CONCATENATE("#metadata!", ADDRESS(INDEX($W$2:$W$1001,MATCH(ROWS($U$2:U204),$U$2:$U$1001,0),0), INDEX($AB$1004:$AQ$1004,1,MATCH(COLUMNS($AB$1006:AQ1006),$AB$1006:$AQ$1006,0)))),"Fix")))</f>
        <v>0</v>
      </c>
      <c r="U204">
        <v>0</v>
      </c>
      <c r="V204">
        <v>0</v>
      </c>
      <c r="W204">
        <v>0</v>
      </c>
      <c r="X204">
        <f>IF(Y204,TRUE,AND(AB204:AQ204))</f>
        <v>0</v>
      </c>
      <c r="Y204">
        <f>COUNTBLANK(metadata!B204:Q204)=COLUMNS(metadata!B204:Q204)</f>
        <v>0</v>
      </c>
      <c r="Z204">
        <v>0</v>
      </c>
      <c r="AB204">
        <f>AND(IF(metadata!B204="",FALSE,TRUE),COUNTIF(metadata!B:B, metadata!B204) = 1,NOT(ISERROR(SUMPRODUCT(SEARCH(MID(metadata!B204,ROW(INDIRECT("1:"&amp;LEN(metadata!B204))), 1),"0123456789abcdefghijklmnopqrstuvwxyzABCDEFGHIJKLMNOPQRSTUVWXYZ.")))))</f>
        <v>0</v>
      </c>
      <c r="AC204">
        <f>OR(AND(IF(metadata!C204="",FALSE,TRUE),OR(exact(metadata!C204,"missing: not collected"),exact(metadata!C204,"missing: not provided"),exact(metadata!C204,"missing: restricted access"))),AND(IF(metadata!C204="",FALSE,TRUE),AND(AND(IFERROR(INT(LEFT(metadata!C204,4))&gt;1900,FALSE),IFERROR(INT(LEFT(metadata!C204,4))&lt;=YEAR(NOW()),FALSE)), OR(MID(metadata!C204,5,1)="", AND(AND(MID(metadata!C204,5,1)="-",IFERROR(INT(MID(metadata!C204,6,1))&gt;=0,FALSE),IFERROR(INT(MID(metadata!C204,6,1))&lt;=1,FALSE),NOT(MID(metadata!C204,7,1)=""),IFERROR(INT(MID(metadata!C204,6,2))&gt;=1,FALSE),IFERROR(INT(MID(metadata!C204,6,2))&lt;=12,FALSE)), OR(MID(metadata!C204,8,1)="", AND(AND(MID(metadata!C204,8,1)="-",IFERROR(INT(MID(metadata!C204,9,1))&gt;=0,FALSE),IFERROR(INT(MID(metadata!C204,9,1))&lt;=3,FALSE),NOT(MID(metadata!C204,10,1)=""),IFERROR(INT(MID(metadata!C204,9,2))&gt;=1,FALSE),IFERROR(INT(MID(metadata!C204,9,2))&lt;=31,FALSE)), OR(MID(metadata!C204,11,1)="", AND(AND(MID(metadata!C204,11,1)=" ",IFERROR(INT(MID(metadata!C204,12,1))&gt;=0,FALSE),IFERROR(INT(MID(metadata!C204,12,1))&lt;=2,FALSE),NOT(MID(metadata!C204,13,1)=""),IFERROR(INT(MID(metadata!C204,12,2))&gt;=0,FALSE),IFERROR(INT(MID(metadata!C204,12,2))&lt;=23,FALSE)), OR(MID(metadata!C204,14,1)="", AND(AND(MID(metadata!C204,14,1)=":",IFERROR(INT(MID(metadata!C204,15,1))&gt;=0,FALSE),IFERROR(INT(MID(metadata!C204,15,1))&lt;=5,FALSE),NOT(MID(metadata!C204,16,1)=""),IFERROR(INT(MID(metadata!C204,15,2))&gt;=0,FALSE),IFERROR(INT(MID(metadata!C204,15,2))&lt;=59,FALSE)), OR(MID(metadata!C204,17,1)="", AND(AND(MID(metadata!C204,17,1)=":",IFERROR(INT(MID(metadata!C204,18,1))&gt;=0,FALSE),IFERROR(INT(MID(metadata!C204,18,1))&lt;=5,FALSE),NOT(MID(metadata!C204,19,1)=""),IFERROR(INT(MID(metadata!C204,18,2))&gt;=0,FALSE),IFERROR(INT(MID(metadata!C204,18,2))&lt;=59,FALSE)), LEN(metadata!C204)&lt;=19)))))))))))))</f>
        <v>0</v>
      </c>
      <c r="AD204">
        <f>IF(metadata!D204="",FALSE,TRUE)</f>
        <v>0</v>
      </c>
      <c r="AE204">
        <f>OR(AND(IF(metadata!E204="",FALSE,TRUE),OR(exact(metadata!E204,"missing: not collected"),exact(metadata!E204,"missing: not provided"))),AND(IF(metadata!E204="",FALSE,TRUE),OR(exact(metadata!E204,"TRUE"),exact(metadata!E204,"FALSE"))))</f>
        <v>0</v>
      </c>
      <c r="AF204">
        <f>IF(metadata!F204="",FALSE,TRUE)</f>
        <v>0</v>
      </c>
      <c r="AG204">
        <f>IF(metadata!G204="",FALSE,TRUE)</f>
        <v>0</v>
      </c>
      <c r="AH204">
        <f>IF(metadata!H204="",FALSE,TRUE)</f>
        <v>0</v>
      </c>
      <c r="AI204">
        <f>OR(AND(IF(metadata!I204="",FALSE,TRUE),OR(exact(metadata!I204,"missing: not collected"),exact(metadata!I204,"missing: not provided"),exact(metadata!I204,"missing: restricted access"))),AND(IF(metadata!I204="",FALSE,TRUE),OR(exact(metadata!I204,"air"),exact(metadata!I204,"built environment"),exact(metadata!I204,"host-associated"),exact(metadata!I204,"human-associated"),exact(metadata!I204,"human-skin"),exact(metadata!I204,"human-oral"),exact(metadata!I204,"human-gut"),exact(metadata!I204,"human-vaginal"),exact(metadata!I204,"microbial mat/biofilm"),exact(metadata!I204,"misc environment"),exact(metadata!I204,"plant-associated"),exact(metadata!I204,"sediment"),exact(metadata!I204,"soil"),exact(metadata!I204,"wastewater/sludge"),exact(metadata!I204,"water"))))</f>
        <v>0</v>
      </c>
      <c r="AJ204">
        <f>IF(metadata!J204="",FALSE,TRUE)</f>
        <v>0</v>
      </c>
      <c r="AK204">
        <f>OR(AND(IF(metadata!K204="",FALSE,TRUE),OR(exact(metadata!K204,"missing: not collected"),exact(metadata!K204,"missing: not provided"),exact(metadata!K204,"missing: restricted access"))),AND(IF(metadata!K204="",FALSE,ISNUMBER(VALUE(metadata!K204))),metadata!K204&gt;=-90.00,metadata!K204&lt;=90.00))</f>
        <v>0</v>
      </c>
      <c r="AL204">
        <f>OR(AND(IF(metadata!L204="",FALSE,TRUE),OR(exact(metadata!L204,"missing: not collected"),exact(metadata!L204,"missing: not provided"),exact(metadata!L204,"missing: restricted access"))),AND(IF(metadata!L204="",FALSE,ISNUMBER(VALUE(metadata!L204))),metadata!L204&gt;=-180.00,metadata!L204&lt;=180.00))</f>
        <v>0</v>
      </c>
      <c r="AM204">
        <f>IF(metadata!M204="",FALSE,TRUE)</f>
        <v>0</v>
      </c>
      <c r="AN204">
        <f>OR(AND(IF(metadata!N204="",FALSE,TRUE),OR(exact(metadata!N204,"missing: not collected"),exact(metadata!N204,"missing: not provided"),exact(metadata!N204,"missing: restricted access"))),AND(IF(metadata!N204="",FALSE,TRUE),OR(exact(metadata!N204,"TRUE"),exact(metadata!N204,"FALSE"))))</f>
        <v>0</v>
      </c>
      <c r="AO204">
        <f>IF(metadata!O204="",FALSE,TRUE)</f>
        <v>0</v>
      </c>
      <c r="AP204">
        <f>OR(AND(IF(metadata!P204="",FALSE,TRUE),OR(exact(metadata!P204,"missing: not collected"),exact(metadata!P204,"missing: not provided"))),AND(IF(metadata!P204="",FALSE,IF(ISERROR(INT(metadata!P204)),FALSE,INT(metadata!P204)=metadata!P204)),metadata!P204&gt;0))</f>
        <v>0</v>
      </c>
      <c r="AQ204">
        <f>IF(metadata!Q204="",FALSE,TRUE)</f>
        <v>0</v>
      </c>
    </row>
    <row r="205" spans="1:43">
      <c r="A205" s="5">
        <f>IF(B205=" "," ",HYPERLINK(CONCATENATE("#metadata!",ADDRESS(INDEX($W$2:$W$1001,MATCH(ROWS($U$2:U205),$U$2:$U$1001,0),0),1)),INDEX($Z$2:$Z$1001,MATCH(ROWS($U$2:U205),$U$2:$U$1001,0),0)))</f>
        <v>0</v>
      </c>
      <c r="B205" s="4">
        <f>IF(OR(INDEX($V$2:$V$1001,MATCH(ROWS($U$2:U205),$U$2:$U$1001,0),1)&gt;=100000,INDEX($AB$1005:$AQ$1005,1,MATCH(COLUMNS($AB$1006:AB1006),$AB$1006:$AQ$1006,0))&gt;=100000), " ",IF(INDEX($AB$2:$AQ$1001,MATCH(ROWS($U$2:U205),$U$2:$U$1001,0),MATCH(COLUMNS($AB$1006:AB1006),$AB$1006:$AQ$1006,0)), HYPERLINK("#",""), HYPERLINK(CONCATENATE("#metadata!", ADDRESS(INDEX($W$2:$W$1001,MATCH(ROWS($U$2:U205),$U$2:$U$1001,0),0), INDEX($AB$1004:$AQ$1004,1,MATCH(COLUMNS($AB$1006:AB1006),$AB$1006:$AQ$1006,0)))),"Fix")))</f>
        <v>0</v>
      </c>
      <c r="C205" s="4">
        <f>IF(OR(INDEX($V$2:$V$1001,MATCH(ROWS($U$2:U205),$U$2:$U$1001,0),1)&gt;=100000,INDEX($AB$1005:$AQ$1005,1,MATCH(COLUMNS($AB$1006:AC1006),$AB$1006:$AQ$1006,0))&gt;=100000), " ",IF(INDEX($AB$2:$AQ$1001,MATCH(ROWS($U$2:U205),$U$2:$U$1001,0),MATCH(COLUMNS($AB$1006:AC1006),$AB$1006:$AQ$1006,0)), HYPERLINK("#",""), HYPERLINK(CONCATENATE("#metadata!", ADDRESS(INDEX($W$2:$W$1001,MATCH(ROWS($U$2:U205),$U$2:$U$1001,0),0), INDEX($AB$1004:$AQ$1004,1,MATCH(COLUMNS($AB$1006:AC1006),$AB$1006:$AQ$1006,0)))),"Fix")))</f>
        <v>0</v>
      </c>
      <c r="D205" s="4">
        <f>IF(OR(INDEX($V$2:$V$1001,MATCH(ROWS($U$2:U205),$U$2:$U$1001,0),1)&gt;=100000,INDEX($AB$1005:$AQ$1005,1,MATCH(COLUMNS($AB$1006:AD1006),$AB$1006:$AQ$1006,0))&gt;=100000), " ",IF(INDEX($AB$2:$AQ$1001,MATCH(ROWS($U$2:U205),$U$2:$U$1001,0),MATCH(COLUMNS($AB$1006:AD1006),$AB$1006:$AQ$1006,0)), HYPERLINK("#",""), HYPERLINK(CONCATENATE("#metadata!", ADDRESS(INDEX($W$2:$W$1001,MATCH(ROWS($U$2:U205),$U$2:$U$1001,0),0), INDEX($AB$1004:$AQ$1004,1,MATCH(COLUMNS($AB$1006:AD1006),$AB$1006:$AQ$1006,0)))),"Fix")))</f>
        <v>0</v>
      </c>
      <c r="E205" s="4">
        <f>IF(OR(INDEX($V$2:$V$1001,MATCH(ROWS($U$2:U205),$U$2:$U$1001,0),1)&gt;=100000,INDEX($AB$1005:$AQ$1005,1,MATCH(COLUMNS($AB$1006:AE1006),$AB$1006:$AQ$1006,0))&gt;=100000), " ",IF(INDEX($AB$2:$AQ$1001,MATCH(ROWS($U$2:U205),$U$2:$U$1001,0),MATCH(COLUMNS($AB$1006:AE1006),$AB$1006:$AQ$1006,0)), HYPERLINK("#",""), HYPERLINK(CONCATENATE("#metadata!", ADDRESS(INDEX($W$2:$W$1001,MATCH(ROWS($U$2:U205),$U$2:$U$1001,0),0), INDEX($AB$1004:$AQ$1004,1,MATCH(COLUMNS($AB$1006:AE1006),$AB$1006:$AQ$1006,0)))),"Fix")))</f>
        <v>0</v>
      </c>
      <c r="F205" s="4">
        <f>IF(OR(INDEX($V$2:$V$1001,MATCH(ROWS($U$2:U205),$U$2:$U$1001,0),1)&gt;=100000,INDEX($AB$1005:$AQ$1005,1,MATCH(COLUMNS($AB$1006:AF1006),$AB$1006:$AQ$1006,0))&gt;=100000), " ",IF(INDEX($AB$2:$AQ$1001,MATCH(ROWS($U$2:U205),$U$2:$U$1001,0),MATCH(COLUMNS($AB$1006:AF1006),$AB$1006:$AQ$1006,0)), HYPERLINK("#",""), HYPERLINK(CONCATENATE("#metadata!", ADDRESS(INDEX($W$2:$W$1001,MATCH(ROWS($U$2:U205),$U$2:$U$1001,0),0), INDEX($AB$1004:$AQ$1004,1,MATCH(COLUMNS($AB$1006:AF1006),$AB$1006:$AQ$1006,0)))),"Fix")))</f>
        <v>0</v>
      </c>
      <c r="G205" s="4">
        <f>IF(OR(INDEX($V$2:$V$1001,MATCH(ROWS($U$2:U205),$U$2:$U$1001,0),1)&gt;=100000,INDEX($AB$1005:$AQ$1005,1,MATCH(COLUMNS($AB$1006:AG1006),$AB$1006:$AQ$1006,0))&gt;=100000), " ",IF(INDEX($AB$2:$AQ$1001,MATCH(ROWS($U$2:U205),$U$2:$U$1001,0),MATCH(COLUMNS($AB$1006:AG1006),$AB$1006:$AQ$1006,0)), HYPERLINK("#",""), HYPERLINK(CONCATENATE("#metadata!", ADDRESS(INDEX($W$2:$W$1001,MATCH(ROWS($U$2:U205),$U$2:$U$1001,0),0), INDEX($AB$1004:$AQ$1004,1,MATCH(COLUMNS($AB$1006:AG1006),$AB$1006:$AQ$1006,0)))),"Fix")))</f>
        <v>0</v>
      </c>
      <c r="H205" s="4">
        <f>IF(OR(INDEX($V$2:$V$1001,MATCH(ROWS($U$2:U205),$U$2:$U$1001,0),1)&gt;=100000,INDEX($AB$1005:$AQ$1005,1,MATCH(COLUMNS($AB$1006:AH1006),$AB$1006:$AQ$1006,0))&gt;=100000), " ",IF(INDEX($AB$2:$AQ$1001,MATCH(ROWS($U$2:U205),$U$2:$U$1001,0),MATCH(COLUMNS($AB$1006:AH1006),$AB$1006:$AQ$1006,0)), HYPERLINK("#",""), HYPERLINK(CONCATENATE("#metadata!", ADDRESS(INDEX($W$2:$W$1001,MATCH(ROWS($U$2:U205),$U$2:$U$1001,0),0), INDEX($AB$1004:$AQ$1004,1,MATCH(COLUMNS($AB$1006:AH1006),$AB$1006:$AQ$1006,0)))),"Fix")))</f>
        <v>0</v>
      </c>
      <c r="I205" s="4">
        <f>IF(OR(INDEX($V$2:$V$1001,MATCH(ROWS($U$2:U205),$U$2:$U$1001,0),1)&gt;=100000,INDEX($AB$1005:$AQ$1005,1,MATCH(COLUMNS($AB$1006:AI1006),$AB$1006:$AQ$1006,0))&gt;=100000), " ",IF(INDEX($AB$2:$AQ$1001,MATCH(ROWS($U$2:U205),$U$2:$U$1001,0),MATCH(COLUMNS($AB$1006:AI1006),$AB$1006:$AQ$1006,0)), HYPERLINK("#",""), HYPERLINK(CONCATENATE("#metadata!", ADDRESS(INDEX($W$2:$W$1001,MATCH(ROWS($U$2:U205),$U$2:$U$1001,0),0), INDEX($AB$1004:$AQ$1004,1,MATCH(COLUMNS($AB$1006:AI1006),$AB$1006:$AQ$1006,0)))),"Fix")))</f>
        <v>0</v>
      </c>
      <c r="J205" s="4">
        <f>IF(OR(INDEX($V$2:$V$1001,MATCH(ROWS($U$2:U205),$U$2:$U$1001,0),1)&gt;=100000,INDEX($AB$1005:$AQ$1005,1,MATCH(COLUMNS($AB$1006:AJ1006),$AB$1006:$AQ$1006,0))&gt;=100000), " ",IF(INDEX($AB$2:$AQ$1001,MATCH(ROWS($U$2:U205),$U$2:$U$1001,0),MATCH(COLUMNS($AB$1006:AJ1006),$AB$1006:$AQ$1006,0)), HYPERLINK("#",""), HYPERLINK(CONCATENATE("#metadata!", ADDRESS(INDEX($W$2:$W$1001,MATCH(ROWS($U$2:U205),$U$2:$U$1001,0),0), INDEX($AB$1004:$AQ$1004,1,MATCH(COLUMNS($AB$1006:AJ1006),$AB$1006:$AQ$1006,0)))),"Fix")))</f>
        <v>0</v>
      </c>
      <c r="K205" s="4">
        <f>IF(OR(INDEX($V$2:$V$1001,MATCH(ROWS($U$2:U205),$U$2:$U$1001,0),1)&gt;=100000,INDEX($AB$1005:$AQ$1005,1,MATCH(COLUMNS($AB$1006:AK1006),$AB$1006:$AQ$1006,0))&gt;=100000), " ",IF(INDEX($AB$2:$AQ$1001,MATCH(ROWS($U$2:U205),$U$2:$U$1001,0),MATCH(COLUMNS($AB$1006:AK1006),$AB$1006:$AQ$1006,0)), HYPERLINK("#",""), HYPERLINK(CONCATENATE("#metadata!", ADDRESS(INDEX($W$2:$W$1001,MATCH(ROWS($U$2:U205),$U$2:$U$1001,0),0), INDEX($AB$1004:$AQ$1004,1,MATCH(COLUMNS($AB$1006:AK1006),$AB$1006:$AQ$1006,0)))),"Fix")))</f>
        <v>0</v>
      </c>
      <c r="L205" s="4">
        <f>IF(OR(INDEX($V$2:$V$1001,MATCH(ROWS($U$2:U205),$U$2:$U$1001,0),1)&gt;=100000,INDEX($AB$1005:$AQ$1005,1,MATCH(COLUMNS($AB$1006:AL1006),$AB$1006:$AQ$1006,0))&gt;=100000), " ",IF(INDEX($AB$2:$AQ$1001,MATCH(ROWS($U$2:U205),$U$2:$U$1001,0),MATCH(COLUMNS($AB$1006:AL1006),$AB$1006:$AQ$1006,0)), HYPERLINK("#",""), HYPERLINK(CONCATENATE("#metadata!", ADDRESS(INDEX($W$2:$W$1001,MATCH(ROWS($U$2:U205),$U$2:$U$1001,0),0), INDEX($AB$1004:$AQ$1004,1,MATCH(COLUMNS($AB$1006:AL1006),$AB$1006:$AQ$1006,0)))),"Fix")))</f>
        <v>0</v>
      </c>
      <c r="M205" s="4">
        <f>IF(OR(INDEX($V$2:$V$1001,MATCH(ROWS($U$2:U205),$U$2:$U$1001,0),1)&gt;=100000,INDEX($AB$1005:$AQ$1005,1,MATCH(COLUMNS($AB$1006:AM1006),$AB$1006:$AQ$1006,0))&gt;=100000), " ",IF(INDEX($AB$2:$AQ$1001,MATCH(ROWS($U$2:U205),$U$2:$U$1001,0),MATCH(COLUMNS($AB$1006:AM1006),$AB$1006:$AQ$1006,0)), HYPERLINK("#",""), HYPERLINK(CONCATENATE("#metadata!", ADDRESS(INDEX($W$2:$W$1001,MATCH(ROWS($U$2:U205),$U$2:$U$1001,0),0), INDEX($AB$1004:$AQ$1004,1,MATCH(COLUMNS($AB$1006:AM1006),$AB$1006:$AQ$1006,0)))),"Fix")))</f>
        <v>0</v>
      </c>
      <c r="N205" s="4">
        <f>IF(OR(INDEX($V$2:$V$1001,MATCH(ROWS($U$2:U205),$U$2:$U$1001,0),1)&gt;=100000,INDEX($AB$1005:$AQ$1005,1,MATCH(COLUMNS($AB$1006:AN1006),$AB$1006:$AQ$1006,0))&gt;=100000), " ",IF(INDEX($AB$2:$AQ$1001,MATCH(ROWS($U$2:U205),$U$2:$U$1001,0),MATCH(COLUMNS($AB$1006:AN1006),$AB$1006:$AQ$1006,0)), HYPERLINK("#",""), HYPERLINK(CONCATENATE("#metadata!", ADDRESS(INDEX($W$2:$W$1001,MATCH(ROWS($U$2:U205),$U$2:$U$1001,0),0), INDEX($AB$1004:$AQ$1004,1,MATCH(COLUMNS($AB$1006:AN1006),$AB$1006:$AQ$1006,0)))),"Fix")))</f>
        <v>0</v>
      </c>
      <c r="O205" s="4">
        <f>IF(OR(INDEX($V$2:$V$1001,MATCH(ROWS($U$2:U205),$U$2:$U$1001,0),1)&gt;=100000,INDEX($AB$1005:$AQ$1005,1,MATCH(COLUMNS($AB$1006:AO1006),$AB$1006:$AQ$1006,0))&gt;=100000), " ",IF(INDEX($AB$2:$AQ$1001,MATCH(ROWS($U$2:U205),$U$2:$U$1001,0),MATCH(COLUMNS($AB$1006:AO1006),$AB$1006:$AQ$1006,0)), HYPERLINK("#",""), HYPERLINK(CONCATENATE("#metadata!", ADDRESS(INDEX($W$2:$W$1001,MATCH(ROWS($U$2:U205),$U$2:$U$1001,0),0), INDEX($AB$1004:$AQ$1004,1,MATCH(COLUMNS($AB$1006:AO1006),$AB$1006:$AQ$1006,0)))),"Fix")))</f>
        <v>0</v>
      </c>
      <c r="P205" s="4">
        <f>IF(OR(INDEX($V$2:$V$1001,MATCH(ROWS($U$2:U205),$U$2:$U$1001,0),1)&gt;=100000,INDEX($AB$1005:$AQ$1005,1,MATCH(COLUMNS($AB$1006:AP1006),$AB$1006:$AQ$1006,0))&gt;=100000), " ",IF(INDEX($AB$2:$AQ$1001,MATCH(ROWS($U$2:U205),$U$2:$U$1001,0),MATCH(COLUMNS($AB$1006:AP1006),$AB$1006:$AQ$1006,0)), HYPERLINK("#",""), HYPERLINK(CONCATENATE("#metadata!", ADDRESS(INDEX($W$2:$W$1001,MATCH(ROWS($U$2:U205),$U$2:$U$1001,0),0), INDEX($AB$1004:$AQ$1004,1,MATCH(COLUMNS($AB$1006:AP1006),$AB$1006:$AQ$1006,0)))),"Fix")))</f>
        <v>0</v>
      </c>
      <c r="Q205" s="4">
        <f>IF(OR(INDEX($V$2:$V$1001,MATCH(ROWS($U$2:U205),$U$2:$U$1001,0),1)&gt;=100000,INDEX($AB$1005:$AQ$1005,1,MATCH(COLUMNS($AB$1006:AQ1006),$AB$1006:$AQ$1006,0))&gt;=100000), " ",IF(INDEX($AB$2:$AQ$1001,MATCH(ROWS($U$2:U205),$U$2:$U$1001,0),MATCH(COLUMNS($AB$1006:AQ1006),$AB$1006:$AQ$1006,0)), HYPERLINK("#",""), HYPERLINK(CONCATENATE("#metadata!", ADDRESS(INDEX($W$2:$W$1001,MATCH(ROWS($U$2:U205),$U$2:$U$1001,0),0), INDEX($AB$1004:$AQ$1004,1,MATCH(COLUMNS($AB$1006:AQ1006),$AB$1006:$AQ$1006,0)))),"Fix")))</f>
        <v>0</v>
      </c>
      <c r="U205">
        <v>0</v>
      </c>
      <c r="V205">
        <v>0</v>
      </c>
      <c r="W205">
        <v>0</v>
      </c>
      <c r="X205">
        <f>IF(Y205,TRUE,AND(AB205:AQ205))</f>
        <v>0</v>
      </c>
      <c r="Y205">
        <f>COUNTBLANK(metadata!B205:Q205)=COLUMNS(metadata!B205:Q205)</f>
        <v>0</v>
      </c>
      <c r="Z205">
        <v>0</v>
      </c>
      <c r="AB205">
        <f>AND(IF(metadata!B205="",FALSE,TRUE),COUNTIF(metadata!B:B, metadata!B205) = 1,NOT(ISERROR(SUMPRODUCT(SEARCH(MID(metadata!B205,ROW(INDIRECT("1:"&amp;LEN(metadata!B205))), 1),"0123456789abcdefghijklmnopqrstuvwxyzABCDEFGHIJKLMNOPQRSTUVWXYZ.")))))</f>
        <v>0</v>
      </c>
      <c r="AC205">
        <f>OR(AND(IF(metadata!C205="",FALSE,TRUE),OR(exact(metadata!C205,"missing: not collected"),exact(metadata!C205,"missing: not provided"),exact(metadata!C205,"missing: restricted access"))),AND(IF(metadata!C205="",FALSE,TRUE),AND(AND(IFERROR(INT(LEFT(metadata!C205,4))&gt;1900,FALSE),IFERROR(INT(LEFT(metadata!C205,4))&lt;=YEAR(NOW()),FALSE)), OR(MID(metadata!C205,5,1)="", AND(AND(MID(metadata!C205,5,1)="-",IFERROR(INT(MID(metadata!C205,6,1))&gt;=0,FALSE),IFERROR(INT(MID(metadata!C205,6,1))&lt;=1,FALSE),NOT(MID(metadata!C205,7,1)=""),IFERROR(INT(MID(metadata!C205,6,2))&gt;=1,FALSE),IFERROR(INT(MID(metadata!C205,6,2))&lt;=12,FALSE)), OR(MID(metadata!C205,8,1)="", AND(AND(MID(metadata!C205,8,1)="-",IFERROR(INT(MID(metadata!C205,9,1))&gt;=0,FALSE),IFERROR(INT(MID(metadata!C205,9,1))&lt;=3,FALSE),NOT(MID(metadata!C205,10,1)=""),IFERROR(INT(MID(metadata!C205,9,2))&gt;=1,FALSE),IFERROR(INT(MID(metadata!C205,9,2))&lt;=31,FALSE)), OR(MID(metadata!C205,11,1)="", AND(AND(MID(metadata!C205,11,1)=" ",IFERROR(INT(MID(metadata!C205,12,1))&gt;=0,FALSE),IFERROR(INT(MID(metadata!C205,12,1))&lt;=2,FALSE),NOT(MID(metadata!C205,13,1)=""),IFERROR(INT(MID(metadata!C205,12,2))&gt;=0,FALSE),IFERROR(INT(MID(metadata!C205,12,2))&lt;=23,FALSE)), OR(MID(metadata!C205,14,1)="", AND(AND(MID(metadata!C205,14,1)=":",IFERROR(INT(MID(metadata!C205,15,1))&gt;=0,FALSE),IFERROR(INT(MID(metadata!C205,15,1))&lt;=5,FALSE),NOT(MID(metadata!C205,16,1)=""),IFERROR(INT(MID(metadata!C205,15,2))&gt;=0,FALSE),IFERROR(INT(MID(metadata!C205,15,2))&lt;=59,FALSE)), OR(MID(metadata!C205,17,1)="", AND(AND(MID(metadata!C205,17,1)=":",IFERROR(INT(MID(metadata!C205,18,1))&gt;=0,FALSE),IFERROR(INT(MID(metadata!C205,18,1))&lt;=5,FALSE),NOT(MID(metadata!C205,19,1)=""),IFERROR(INT(MID(metadata!C205,18,2))&gt;=0,FALSE),IFERROR(INT(MID(metadata!C205,18,2))&lt;=59,FALSE)), LEN(metadata!C205)&lt;=19)))))))))))))</f>
        <v>0</v>
      </c>
      <c r="AD205">
        <f>IF(metadata!D205="",FALSE,TRUE)</f>
        <v>0</v>
      </c>
      <c r="AE205">
        <f>OR(AND(IF(metadata!E205="",FALSE,TRUE),OR(exact(metadata!E205,"missing: not collected"),exact(metadata!E205,"missing: not provided"))),AND(IF(metadata!E205="",FALSE,TRUE),OR(exact(metadata!E205,"TRUE"),exact(metadata!E205,"FALSE"))))</f>
        <v>0</v>
      </c>
      <c r="AF205">
        <f>IF(metadata!F205="",FALSE,TRUE)</f>
        <v>0</v>
      </c>
      <c r="AG205">
        <f>IF(metadata!G205="",FALSE,TRUE)</f>
        <v>0</v>
      </c>
      <c r="AH205">
        <f>IF(metadata!H205="",FALSE,TRUE)</f>
        <v>0</v>
      </c>
      <c r="AI205">
        <f>OR(AND(IF(metadata!I205="",FALSE,TRUE),OR(exact(metadata!I205,"missing: not collected"),exact(metadata!I205,"missing: not provided"),exact(metadata!I205,"missing: restricted access"))),AND(IF(metadata!I205="",FALSE,TRUE),OR(exact(metadata!I205,"air"),exact(metadata!I205,"built environment"),exact(metadata!I205,"host-associated"),exact(metadata!I205,"human-associated"),exact(metadata!I205,"human-skin"),exact(metadata!I205,"human-oral"),exact(metadata!I205,"human-gut"),exact(metadata!I205,"human-vaginal"),exact(metadata!I205,"microbial mat/biofilm"),exact(metadata!I205,"misc environment"),exact(metadata!I205,"plant-associated"),exact(metadata!I205,"sediment"),exact(metadata!I205,"soil"),exact(metadata!I205,"wastewater/sludge"),exact(metadata!I205,"water"))))</f>
        <v>0</v>
      </c>
      <c r="AJ205">
        <f>IF(metadata!J205="",FALSE,TRUE)</f>
        <v>0</v>
      </c>
      <c r="AK205">
        <f>OR(AND(IF(metadata!K205="",FALSE,TRUE),OR(exact(metadata!K205,"missing: not collected"),exact(metadata!K205,"missing: not provided"),exact(metadata!K205,"missing: restricted access"))),AND(IF(metadata!K205="",FALSE,ISNUMBER(VALUE(metadata!K205))),metadata!K205&gt;=-90.00,metadata!K205&lt;=90.00))</f>
        <v>0</v>
      </c>
      <c r="AL205">
        <f>OR(AND(IF(metadata!L205="",FALSE,TRUE),OR(exact(metadata!L205,"missing: not collected"),exact(metadata!L205,"missing: not provided"),exact(metadata!L205,"missing: restricted access"))),AND(IF(metadata!L205="",FALSE,ISNUMBER(VALUE(metadata!L205))),metadata!L205&gt;=-180.00,metadata!L205&lt;=180.00))</f>
        <v>0</v>
      </c>
      <c r="AM205">
        <f>IF(metadata!M205="",FALSE,TRUE)</f>
        <v>0</v>
      </c>
      <c r="AN205">
        <f>OR(AND(IF(metadata!N205="",FALSE,TRUE),OR(exact(metadata!N205,"missing: not collected"),exact(metadata!N205,"missing: not provided"),exact(metadata!N205,"missing: restricted access"))),AND(IF(metadata!N205="",FALSE,TRUE),OR(exact(metadata!N205,"TRUE"),exact(metadata!N205,"FALSE"))))</f>
        <v>0</v>
      </c>
      <c r="AO205">
        <f>IF(metadata!O205="",FALSE,TRUE)</f>
        <v>0</v>
      </c>
      <c r="AP205">
        <f>OR(AND(IF(metadata!P205="",FALSE,TRUE),OR(exact(metadata!P205,"missing: not collected"),exact(metadata!P205,"missing: not provided"))),AND(IF(metadata!P205="",FALSE,IF(ISERROR(INT(metadata!P205)),FALSE,INT(metadata!P205)=metadata!P205)),metadata!P205&gt;0))</f>
        <v>0</v>
      </c>
      <c r="AQ205">
        <f>IF(metadata!Q205="",FALSE,TRUE)</f>
        <v>0</v>
      </c>
    </row>
    <row r="206" spans="1:43">
      <c r="A206" s="5">
        <f>IF(B206=" "," ",HYPERLINK(CONCATENATE("#metadata!",ADDRESS(INDEX($W$2:$W$1001,MATCH(ROWS($U$2:U206),$U$2:$U$1001,0),0),1)),INDEX($Z$2:$Z$1001,MATCH(ROWS($U$2:U206),$U$2:$U$1001,0),0)))</f>
        <v>0</v>
      </c>
      <c r="B206" s="4">
        <f>IF(OR(INDEX($V$2:$V$1001,MATCH(ROWS($U$2:U206),$U$2:$U$1001,0),1)&gt;=100000,INDEX($AB$1005:$AQ$1005,1,MATCH(COLUMNS($AB$1006:AB1006),$AB$1006:$AQ$1006,0))&gt;=100000), " ",IF(INDEX($AB$2:$AQ$1001,MATCH(ROWS($U$2:U206),$U$2:$U$1001,0),MATCH(COLUMNS($AB$1006:AB1006),$AB$1006:$AQ$1006,0)), HYPERLINK("#",""), HYPERLINK(CONCATENATE("#metadata!", ADDRESS(INDEX($W$2:$W$1001,MATCH(ROWS($U$2:U206),$U$2:$U$1001,0),0), INDEX($AB$1004:$AQ$1004,1,MATCH(COLUMNS($AB$1006:AB1006),$AB$1006:$AQ$1006,0)))),"Fix")))</f>
        <v>0</v>
      </c>
      <c r="C206" s="4">
        <f>IF(OR(INDEX($V$2:$V$1001,MATCH(ROWS($U$2:U206),$U$2:$U$1001,0),1)&gt;=100000,INDEX($AB$1005:$AQ$1005,1,MATCH(COLUMNS($AB$1006:AC1006),$AB$1006:$AQ$1006,0))&gt;=100000), " ",IF(INDEX($AB$2:$AQ$1001,MATCH(ROWS($U$2:U206),$U$2:$U$1001,0),MATCH(COLUMNS($AB$1006:AC1006),$AB$1006:$AQ$1006,0)), HYPERLINK("#",""), HYPERLINK(CONCATENATE("#metadata!", ADDRESS(INDEX($W$2:$W$1001,MATCH(ROWS($U$2:U206),$U$2:$U$1001,0),0), INDEX($AB$1004:$AQ$1004,1,MATCH(COLUMNS($AB$1006:AC1006),$AB$1006:$AQ$1006,0)))),"Fix")))</f>
        <v>0</v>
      </c>
      <c r="D206" s="4">
        <f>IF(OR(INDEX($V$2:$V$1001,MATCH(ROWS($U$2:U206),$U$2:$U$1001,0),1)&gt;=100000,INDEX($AB$1005:$AQ$1005,1,MATCH(COLUMNS($AB$1006:AD1006),$AB$1006:$AQ$1006,0))&gt;=100000), " ",IF(INDEX($AB$2:$AQ$1001,MATCH(ROWS($U$2:U206),$U$2:$U$1001,0),MATCH(COLUMNS($AB$1006:AD1006),$AB$1006:$AQ$1006,0)), HYPERLINK("#",""), HYPERLINK(CONCATENATE("#metadata!", ADDRESS(INDEX($W$2:$W$1001,MATCH(ROWS($U$2:U206),$U$2:$U$1001,0),0), INDEX($AB$1004:$AQ$1004,1,MATCH(COLUMNS($AB$1006:AD1006),$AB$1006:$AQ$1006,0)))),"Fix")))</f>
        <v>0</v>
      </c>
      <c r="E206" s="4">
        <f>IF(OR(INDEX($V$2:$V$1001,MATCH(ROWS($U$2:U206),$U$2:$U$1001,0),1)&gt;=100000,INDEX($AB$1005:$AQ$1005,1,MATCH(COLUMNS($AB$1006:AE1006),$AB$1006:$AQ$1006,0))&gt;=100000), " ",IF(INDEX($AB$2:$AQ$1001,MATCH(ROWS($U$2:U206),$U$2:$U$1001,0),MATCH(COLUMNS($AB$1006:AE1006),$AB$1006:$AQ$1006,0)), HYPERLINK("#",""), HYPERLINK(CONCATENATE("#metadata!", ADDRESS(INDEX($W$2:$W$1001,MATCH(ROWS($U$2:U206),$U$2:$U$1001,0),0), INDEX($AB$1004:$AQ$1004,1,MATCH(COLUMNS($AB$1006:AE1006),$AB$1006:$AQ$1006,0)))),"Fix")))</f>
        <v>0</v>
      </c>
      <c r="F206" s="4">
        <f>IF(OR(INDEX($V$2:$V$1001,MATCH(ROWS($U$2:U206),$U$2:$U$1001,0),1)&gt;=100000,INDEX($AB$1005:$AQ$1005,1,MATCH(COLUMNS($AB$1006:AF1006),$AB$1006:$AQ$1006,0))&gt;=100000), " ",IF(INDEX($AB$2:$AQ$1001,MATCH(ROWS($U$2:U206),$U$2:$U$1001,0),MATCH(COLUMNS($AB$1006:AF1006),$AB$1006:$AQ$1006,0)), HYPERLINK("#",""), HYPERLINK(CONCATENATE("#metadata!", ADDRESS(INDEX($W$2:$W$1001,MATCH(ROWS($U$2:U206),$U$2:$U$1001,0),0), INDEX($AB$1004:$AQ$1004,1,MATCH(COLUMNS($AB$1006:AF1006),$AB$1006:$AQ$1006,0)))),"Fix")))</f>
        <v>0</v>
      </c>
      <c r="G206" s="4">
        <f>IF(OR(INDEX($V$2:$V$1001,MATCH(ROWS($U$2:U206),$U$2:$U$1001,0),1)&gt;=100000,INDEX($AB$1005:$AQ$1005,1,MATCH(COLUMNS($AB$1006:AG1006),$AB$1006:$AQ$1006,0))&gt;=100000), " ",IF(INDEX($AB$2:$AQ$1001,MATCH(ROWS($U$2:U206),$U$2:$U$1001,0),MATCH(COLUMNS($AB$1006:AG1006),$AB$1006:$AQ$1006,0)), HYPERLINK("#",""), HYPERLINK(CONCATENATE("#metadata!", ADDRESS(INDEX($W$2:$W$1001,MATCH(ROWS($U$2:U206),$U$2:$U$1001,0),0), INDEX($AB$1004:$AQ$1004,1,MATCH(COLUMNS($AB$1006:AG1006),$AB$1006:$AQ$1006,0)))),"Fix")))</f>
        <v>0</v>
      </c>
      <c r="H206" s="4">
        <f>IF(OR(INDEX($V$2:$V$1001,MATCH(ROWS($U$2:U206),$U$2:$U$1001,0),1)&gt;=100000,INDEX($AB$1005:$AQ$1005,1,MATCH(COLUMNS($AB$1006:AH1006),$AB$1006:$AQ$1006,0))&gt;=100000), " ",IF(INDEX($AB$2:$AQ$1001,MATCH(ROWS($U$2:U206),$U$2:$U$1001,0),MATCH(COLUMNS($AB$1006:AH1006),$AB$1006:$AQ$1006,0)), HYPERLINK("#",""), HYPERLINK(CONCATENATE("#metadata!", ADDRESS(INDEX($W$2:$W$1001,MATCH(ROWS($U$2:U206),$U$2:$U$1001,0),0), INDEX($AB$1004:$AQ$1004,1,MATCH(COLUMNS($AB$1006:AH1006),$AB$1006:$AQ$1006,0)))),"Fix")))</f>
        <v>0</v>
      </c>
      <c r="I206" s="4">
        <f>IF(OR(INDEX($V$2:$V$1001,MATCH(ROWS($U$2:U206),$U$2:$U$1001,0),1)&gt;=100000,INDEX($AB$1005:$AQ$1005,1,MATCH(COLUMNS($AB$1006:AI1006),$AB$1006:$AQ$1006,0))&gt;=100000), " ",IF(INDEX($AB$2:$AQ$1001,MATCH(ROWS($U$2:U206),$U$2:$U$1001,0),MATCH(COLUMNS($AB$1006:AI1006),$AB$1006:$AQ$1006,0)), HYPERLINK("#",""), HYPERLINK(CONCATENATE("#metadata!", ADDRESS(INDEX($W$2:$W$1001,MATCH(ROWS($U$2:U206),$U$2:$U$1001,0),0), INDEX($AB$1004:$AQ$1004,1,MATCH(COLUMNS($AB$1006:AI1006),$AB$1006:$AQ$1006,0)))),"Fix")))</f>
        <v>0</v>
      </c>
      <c r="J206" s="4">
        <f>IF(OR(INDEX($V$2:$V$1001,MATCH(ROWS($U$2:U206),$U$2:$U$1001,0),1)&gt;=100000,INDEX($AB$1005:$AQ$1005,1,MATCH(COLUMNS($AB$1006:AJ1006),$AB$1006:$AQ$1006,0))&gt;=100000), " ",IF(INDEX($AB$2:$AQ$1001,MATCH(ROWS($U$2:U206),$U$2:$U$1001,0),MATCH(COLUMNS($AB$1006:AJ1006),$AB$1006:$AQ$1006,0)), HYPERLINK("#",""), HYPERLINK(CONCATENATE("#metadata!", ADDRESS(INDEX($W$2:$W$1001,MATCH(ROWS($U$2:U206),$U$2:$U$1001,0),0), INDEX($AB$1004:$AQ$1004,1,MATCH(COLUMNS($AB$1006:AJ1006),$AB$1006:$AQ$1006,0)))),"Fix")))</f>
        <v>0</v>
      </c>
      <c r="K206" s="4">
        <f>IF(OR(INDEX($V$2:$V$1001,MATCH(ROWS($U$2:U206),$U$2:$U$1001,0),1)&gt;=100000,INDEX($AB$1005:$AQ$1005,1,MATCH(COLUMNS($AB$1006:AK1006),$AB$1006:$AQ$1006,0))&gt;=100000), " ",IF(INDEX($AB$2:$AQ$1001,MATCH(ROWS($U$2:U206),$U$2:$U$1001,0),MATCH(COLUMNS($AB$1006:AK1006),$AB$1006:$AQ$1006,0)), HYPERLINK("#",""), HYPERLINK(CONCATENATE("#metadata!", ADDRESS(INDEX($W$2:$W$1001,MATCH(ROWS($U$2:U206),$U$2:$U$1001,0),0), INDEX($AB$1004:$AQ$1004,1,MATCH(COLUMNS($AB$1006:AK1006),$AB$1006:$AQ$1006,0)))),"Fix")))</f>
        <v>0</v>
      </c>
      <c r="L206" s="4">
        <f>IF(OR(INDEX($V$2:$V$1001,MATCH(ROWS($U$2:U206),$U$2:$U$1001,0),1)&gt;=100000,INDEX($AB$1005:$AQ$1005,1,MATCH(COLUMNS($AB$1006:AL1006),$AB$1006:$AQ$1006,0))&gt;=100000), " ",IF(INDEX($AB$2:$AQ$1001,MATCH(ROWS($U$2:U206),$U$2:$U$1001,0),MATCH(COLUMNS($AB$1006:AL1006),$AB$1006:$AQ$1006,0)), HYPERLINK("#",""), HYPERLINK(CONCATENATE("#metadata!", ADDRESS(INDEX($W$2:$W$1001,MATCH(ROWS($U$2:U206),$U$2:$U$1001,0),0), INDEX($AB$1004:$AQ$1004,1,MATCH(COLUMNS($AB$1006:AL1006),$AB$1006:$AQ$1006,0)))),"Fix")))</f>
        <v>0</v>
      </c>
      <c r="M206" s="4">
        <f>IF(OR(INDEX($V$2:$V$1001,MATCH(ROWS($U$2:U206),$U$2:$U$1001,0),1)&gt;=100000,INDEX($AB$1005:$AQ$1005,1,MATCH(COLUMNS($AB$1006:AM1006),$AB$1006:$AQ$1006,0))&gt;=100000), " ",IF(INDEX($AB$2:$AQ$1001,MATCH(ROWS($U$2:U206),$U$2:$U$1001,0),MATCH(COLUMNS($AB$1006:AM1006),$AB$1006:$AQ$1006,0)), HYPERLINK("#",""), HYPERLINK(CONCATENATE("#metadata!", ADDRESS(INDEX($W$2:$W$1001,MATCH(ROWS($U$2:U206),$U$2:$U$1001,0),0), INDEX($AB$1004:$AQ$1004,1,MATCH(COLUMNS($AB$1006:AM1006),$AB$1006:$AQ$1006,0)))),"Fix")))</f>
        <v>0</v>
      </c>
      <c r="N206" s="4">
        <f>IF(OR(INDEX($V$2:$V$1001,MATCH(ROWS($U$2:U206),$U$2:$U$1001,0),1)&gt;=100000,INDEX($AB$1005:$AQ$1005,1,MATCH(COLUMNS($AB$1006:AN1006),$AB$1006:$AQ$1006,0))&gt;=100000), " ",IF(INDEX($AB$2:$AQ$1001,MATCH(ROWS($U$2:U206),$U$2:$U$1001,0),MATCH(COLUMNS($AB$1006:AN1006),$AB$1006:$AQ$1006,0)), HYPERLINK("#",""), HYPERLINK(CONCATENATE("#metadata!", ADDRESS(INDEX($W$2:$W$1001,MATCH(ROWS($U$2:U206),$U$2:$U$1001,0),0), INDEX($AB$1004:$AQ$1004,1,MATCH(COLUMNS($AB$1006:AN1006),$AB$1006:$AQ$1006,0)))),"Fix")))</f>
        <v>0</v>
      </c>
      <c r="O206" s="4">
        <f>IF(OR(INDEX($V$2:$V$1001,MATCH(ROWS($U$2:U206),$U$2:$U$1001,0),1)&gt;=100000,INDEX($AB$1005:$AQ$1005,1,MATCH(COLUMNS($AB$1006:AO1006),$AB$1006:$AQ$1006,0))&gt;=100000), " ",IF(INDEX($AB$2:$AQ$1001,MATCH(ROWS($U$2:U206),$U$2:$U$1001,0),MATCH(COLUMNS($AB$1006:AO1006),$AB$1006:$AQ$1006,0)), HYPERLINK("#",""), HYPERLINK(CONCATENATE("#metadata!", ADDRESS(INDEX($W$2:$W$1001,MATCH(ROWS($U$2:U206),$U$2:$U$1001,0),0), INDEX($AB$1004:$AQ$1004,1,MATCH(COLUMNS($AB$1006:AO1006),$AB$1006:$AQ$1006,0)))),"Fix")))</f>
        <v>0</v>
      </c>
      <c r="P206" s="4">
        <f>IF(OR(INDEX($V$2:$V$1001,MATCH(ROWS($U$2:U206),$U$2:$U$1001,0),1)&gt;=100000,INDEX($AB$1005:$AQ$1005,1,MATCH(COLUMNS($AB$1006:AP1006),$AB$1006:$AQ$1006,0))&gt;=100000), " ",IF(INDEX($AB$2:$AQ$1001,MATCH(ROWS($U$2:U206),$U$2:$U$1001,0),MATCH(COLUMNS($AB$1006:AP1006),$AB$1006:$AQ$1006,0)), HYPERLINK("#",""), HYPERLINK(CONCATENATE("#metadata!", ADDRESS(INDEX($W$2:$W$1001,MATCH(ROWS($U$2:U206),$U$2:$U$1001,0),0), INDEX($AB$1004:$AQ$1004,1,MATCH(COLUMNS($AB$1006:AP1006),$AB$1006:$AQ$1006,0)))),"Fix")))</f>
        <v>0</v>
      </c>
      <c r="Q206" s="4">
        <f>IF(OR(INDEX($V$2:$V$1001,MATCH(ROWS($U$2:U206),$U$2:$U$1001,0),1)&gt;=100000,INDEX($AB$1005:$AQ$1005,1,MATCH(COLUMNS($AB$1006:AQ1006),$AB$1006:$AQ$1006,0))&gt;=100000), " ",IF(INDEX($AB$2:$AQ$1001,MATCH(ROWS($U$2:U206),$U$2:$U$1001,0),MATCH(COLUMNS($AB$1006:AQ1006),$AB$1006:$AQ$1006,0)), HYPERLINK("#",""), HYPERLINK(CONCATENATE("#metadata!", ADDRESS(INDEX($W$2:$W$1001,MATCH(ROWS($U$2:U206),$U$2:$U$1001,0),0), INDEX($AB$1004:$AQ$1004,1,MATCH(COLUMNS($AB$1006:AQ1006),$AB$1006:$AQ$1006,0)))),"Fix")))</f>
        <v>0</v>
      </c>
      <c r="U206">
        <v>0</v>
      </c>
      <c r="V206">
        <v>0</v>
      </c>
      <c r="W206">
        <v>0</v>
      </c>
      <c r="X206">
        <f>IF(Y206,TRUE,AND(AB206:AQ206))</f>
        <v>0</v>
      </c>
      <c r="Y206">
        <f>COUNTBLANK(metadata!B206:Q206)=COLUMNS(metadata!B206:Q206)</f>
        <v>0</v>
      </c>
      <c r="Z206">
        <v>0</v>
      </c>
      <c r="AB206">
        <f>AND(IF(metadata!B206="",FALSE,TRUE),COUNTIF(metadata!B:B, metadata!B206) = 1,NOT(ISERROR(SUMPRODUCT(SEARCH(MID(metadata!B206,ROW(INDIRECT("1:"&amp;LEN(metadata!B206))), 1),"0123456789abcdefghijklmnopqrstuvwxyzABCDEFGHIJKLMNOPQRSTUVWXYZ.")))))</f>
        <v>0</v>
      </c>
      <c r="AC206">
        <f>OR(AND(IF(metadata!C206="",FALSE,TRUE),OR(exact(metadata!C206,"missing: not collected"),exact(metadata!C206,"missing: not provided"),exact(metadata!C206,"missing: restricted access"))),AND(IF(metadata!C206="",FALSE,TRUE),AND(AND(IFERROR(INT(LEFT(metadata!C206,4))&gt;1900,FALSE),IFERROR(INT(LEFT(metadata!C206,4))&lt;=YEAR(NOW()),FALSE)), OR(MID(metadata!C206,5,1)="", AND(AND(MID(metadata!C206,5,1)="-",IFERROR(INT(MID(metadata!C206,6,1))&gt;=0,FALSE),IFERROR(INT(MID(metadata!C206,6,1))&lt;=1,FALSE),NOT(MID(metadata!C206,7,1)=""),IFERROR(INT(MID(metadata!C206,6,2))&gt;=1,FALSE),IFERROR(INT(MID(metadata!C206,6,2))&lt;=12,FALSE)), OR(MID(metadata!C206,8,1)="", AND(AND(MID(metadata!C206,8,1)="-",IFERROR(INT(MID(metadata!C206,9,1))&gt;=0,FALSE),IFERROR(INT(MID(metadata!C206,9,1))&lt;=3,FALSE),NOT(MID(metadata!C206,10,1)=""),IFERROR(INT(MID(metadata!C206,9,2))&gt;=1,FALSE),IFERROR(INT(MID(metadata!C206,9,2))&lt;=31,FALSE)), OR(MID(metadata!C206,11,1)="", AND(AND(MID(metadata!C206,11,1)=" ",IFERROR(INT(MID(metadata!C206,12,1))&gt;=0,FALSE),IFERROR(INT(MID(metadata!C206,12,1))&lt;=2,FALSE),NOT(MID(metadata!C206,13,1)=""),IFERROR(INT(MID(metadata!C206,12,2))&gt;=0,FALSE),IFERROR(INT(MID(metadata!C206,12,2))&lt;=23,FALSE)), OR(MID(metadata!C206,14,1)="", AND(AND(MID(metadata!C206,14,1)=":",IFERROR(INT(MID(metadata!C206,15,1))&gt;=0,FALSE),IFERROR(INT(MID(metadata!C206,15,1))&lt;=5,FALSE),NOT(MID(metadata!C206,16,1)=""),IFERROR(INT(MID(metadata!C206,15,2))&gt;=0,FALSE),IFERROR(INT(MID(metadata!C206,15,2))&lt;=59,FALSE)), OR(MID(metadata!C206,17,1)="", AND(AND(MID(metadata!C206,17,1)=":",IFERROR(INT(MID(metadata!C206,18,1))&gt;=0,FALSE),IFERROR(INT(MID(metadata!C206,18,1))&lt;=5,FALSE),NOT(MID(metadata!C206,19,1)=""),IFERROR(INT(MID(metadata!C206,18,2))&gt;=0,FALSE),IFERROR(INT(MID(metadata!C206,18,2))&lt;=59,FALSE)), LEN(metadata!C206)&lt;=19)))))))))))))</f>
        <v>0</v>
      </c>
      <c r="AD206">
        <f>IF(metadata!D206="",FALSE,TRUE)</f>
        <v>0</v>
      </c>
      <c r="AE206">
        <f>OR(AND(IF(metadata!E206="",FALSE,TRUE),OR(exact(metadata!E206,"missing: not collected"),exact(metadata!E206,"missing: not provided"))),AND(IF(metadata!E206="",FALSE,TRUE),OR(exact(metadata!E206,"TRUE"),exact(metadata!E206,"FALSE"))))</f>
        <v>0</v>
      </c>
      <c r="AF206">
        <f>IF(metadata!F206="",FALSE,TRUE)</f>
        <v>0</v>
      </c>
      <c r="AG206">
        <f>IF(metadata!G206="",FALSE,TRUE)</f>
        <v>0</v>
      </c>
      <c r="AH206">
        <f>IF(metadata!H206="",FALSE,TRUE)</f>
        <v>0</v>
      </c>
      <c r="AI206">
        <f>OR(AND(IF(metadata!I206="",FALSE,TRUE),OR(exact(metadata!I206,"missing: not collected"),exact(metadata!I206,"missing: not provided"),exact(metadata!I206,"missing: restricted access"))),AND(IF(metadata!I206="",FALSE,TRUE),OR(exact(metadata!I206,"air"),exact(metadata!I206,"built environment"),exact(metadata!I206,"host-associated"),exact(metadata!I206,"human-associated"),exact(metadata!I206,"human-skin"),exact(metadata!I206,"human-oral"),exact(metadata!I206,"human-gut"),exact(metadata!I206,"human-vaginal"),exact(metadata!I206,"microbial mat/biofilm"),exact(metadata!I206,"misc environment"),exact(metadata!I206,"plant-associated"),exact(metadata!I206,"sediment"),exact(metadata!I206,"soil"),exact(metadata!I206,"wastewater/sludge"),exact(metadata!I206,"water"))))</f>
        <v>0</v>
      </c>
      <c r="AJ206">
        <f>IF(metadata!J206="",FALSE,TRUE)</f>
        <v>0</v>
      </c>
      <c r="AK206">
        <f>OR(AND(IF(metadata!K206="",FALSE,TRUE),OR(exact(metadata!K206,"missing: not collected"),exact(metadata!K206,"missing: not provided"),exact(metadata!K206,"missing: restricted access"))),AND(IF(metadata!K206="",FALSE,ISNUMBER(VALUE(metadata!K206))),metadata!K206&gt;=-90.00,metadata!K206&lt;=90.00))</f>
        <v>0</v>
      </c>
      <c r="AL206">
        <f>OR(AND(IF(metadata!L206="",FALSE,TRUE),OR(exact(metadata!L206,"missing: not collected"),exact(metadata!L206,"missing: not provided"),exact(metadata!L206,"missing: restricted access"))),AND(IF(metadata!L206="",FALSE,ISNUMBER(VALUE(metadata!L206))),metadata!L206&gt;=-180.00,metadata!L206&lt;=180.00))</f>
        <v>0</v>
      </c>
      <c r="AM206">
        <f>IF(metadata!M206="",FALSE,TRUE)</f>
        <v>0</v>
      </c>
      <c r="AN206">
        <f>OR(AND(IF(metadata!N206="",FALSE,TRUE),OR(exact(metadata!N206,"missing: not collected"),exact(metadata!N206,"missing: not provided"),exact(metadata!N206,"missing: restricted access"))),AND(IF(metadata!N206="",FALSE,TRUE),OR(exact(metadata!N206,"TRUE"),exact(metadata!N206,"FALSE"))))</f>
        <v>0</v>
      </c>
      <c r="AO206">
        <f>IF(metadata!O206="",FALSE,TRUE)</f>
        <v>0</v>
      </c>
      <c r="AP206">
        <f>OR(AND(IF(metadata!P206="",FALSE,TRUE),OR(exact(metadata!P206,"missing: not collected"),exact(metadata!P206,"missing: not provided"))),AND(IF(metadata!P206="",FALSE,IF(ISERROR(INT(metadata!P206)),FALSE,INT(metadata!P206)=metadata!P206)),metadata!P206&gt;0))</f>
        <v>0</v>
      </c>
      <c r="AQ206">
        <f>IF(metadata!Q206="",FALSE,TRUE)</f>
        <v>0</v>
      </c>
    </row>
    <row r="207" spans="1:43">
      <c r="A207" s="5">
        <f>IF(B207=" "," ",HYPERLINK(CONCATENATE("#metadata!",ADDRESS(INDEX($W$2:$W$1001,MATCH(ROWS($U$2:U207),$U$2:$U$1001,0),0),1)),INDEX($Z$2:$Z$1001,MATCH(ROWS($U$2:U207),$U$2:$U$1001,0),0)))</f>
        <v>0</v>
      </c>
      <c r="B207" s="4">
        <f>IF(OR(INDEX($V$2:$V$1001,MATCH(ROWS($U$2:U207),$U$2:$U$1001,0),1)&gt;=100000,INDEX($AB$1005:$AQ$1005,1,MATCH(COLUMNS($AB$1006:AB1006),$AB$1006:$AQ$1006,0))&gt;=100000), " ",IF(INDEX($AB$2:$AQ$1001,MATCH(ROWS($U$2:U207),$U$2:$U$1001,0),MATCH(COLUMNS($AB$1006:AB1006),$AB$1006:$AQ$1006,0)), HYPERLINK("#",""), HYPERLINK(CONCATENATE("#metadata!", ADDRESS(INDEX($W$2:$W$1001,MATCH(ROWS($U$2:U207),$U$2:$U$1001,0),0), INDEX($AB$1004:$AQ$1004,1,MATCH(COLUMNS($AB$1006:AB1006),$AB$1006:$AQ$1006,0)))),"Fix")))</f>
        <v>0</v>
      </c>
      <c r="C207" s="4">
        <f>IF(OR(INDEX($V$2:$V$1001,MATCH(ROWS($U$2:U207),$U$2:$U$1001,0),1)&gt;=100000,INDEX($AB$1005:$AQ$1005,1,MATCH(COLUMNS($AB$1006:AC1006),$AB$1006:$AQ$1006,0))&gt;=100000), " ",IF(INDEX($AB$2:$AQ$1001,MATCH(ROWS($U$2:U207),$U$2:$U$1001,0),MATCH(COLUMNS($AB$1006:AC1006),$AB$1006:$AQ$1006,0)), HYPERLINK("#",""), HYPERLINK(CONCATENATE("#metadata!", ADDRESS(INDEX($W$2:$W$1001,MATCH(ROWS($U$2:U207),$U$2:$U$1001,0),0), INDEX($AB$1004:$AQ$1004,1,MATCH(COLUMNS($AB$1006:AC1006),$AB$1006:$AQ$1006,0)))),"Fix")))</f>
        <v>0</v>
      </c>
      <c r="D207" s="4">
        <f>IF(OR(INDEX($V$2:$V$1001,MATCH(ROWS($U$2:U207),$U$2:$U$1001,0),1)&gt;=100000,INDEX($AB$1005:$AQ$1005,1,MATCH(COLUMNS($AB$1006:AD1006),$AB$1006:$AQ$1006,0))&gt;=100000), " ",IF(INDEX($AB$2:$AQ$1001,MATCH(ROWS($U$2:U207),$U$2:$U$1001,0),MATCH(COLUMNS($AB$1006:AD1006),$AB$1006:$AQ$1006,0)), HYPERLINK("#",""), HYPERLINK(CONCATENATE("#metadata!", ADDRESS(INDEX($W$2:$W$1001,MATCH(ROWS($U$2:U207),$U$2:$U$1001,0),0), INDEX($AB$1004:$AQ$1004,1,MATCH(COLUMNS($AB$1006:AD1006),$AB$1006:$AQ$1006,0)))),"Fix")))</f>
        <v>0</v>
      </c>
      <c r="E207" s="4">
        <f>IF(OR(INDEX($V$2:$V$1001,MATCH(ROWS($U$2:U207),$U$2:$U$1001,0),1)&gt;=100000,INDEX($AB$1005:$AQ$1005,1,MATCH(COLUMNS($AB$1006:AE1006),$AB$1006:$AQ$1006,0))&gt;=100000), " ",IF(INDEX($AB$2:$AQ$1001,MATCH(ROWS($U$2:U207),$U$2:$U$1001,0),MATCH(COLUMNS($AB$1006:AE1006),$AB$1006:$AQ$1006,0)), HYPERLINK("#",""), HYPERLINK(CONCATENATE("#metadata!", ADDRESS(INDEX($W$2:$W$1001,MATCH(ROWS($U$2:U207),$U$2:$U$1001,0),0), INDEX($AB$1004:$AQ$1004,1,MATCH(COLUMNS($AB$1006:AE1006),$AB$1006:$AQ$1006,0)))),"Fix")))</f>
        <v>0</v>
      </c>
      <c r="F207" s="4">
        <f>IF(OR(INDEX($V$2:$V$1001,MATCH(ROWS($U$2:U207),$U$2:$U$1001,0),1)&gt;=100000,INDEX($AB$1005:$AQ$1005,1,MATCH(COLUMNS($AB$1006:AF1006),$AB$1006:$AQ$1006,0))&gt;=100000), " ",IF(INDEX($AB$2:$AQ$1001,MATCH(ROWS($U$2:U207),$U$2:$U$1001,0),MATCH(COLUMNS($AB$1006:AF1006),$AB$1006:$AQ$1006,0)), HYPERLINK("#",""), HYPERLINK(CONCATENATE("#metadata!", ADDRESS(INDEX($W$2:$W$1001,MATCH(ROWS($U$2:U207),$U$2:$U$1001,0),0), INDEX($AB$1004:$AQ$1004,1,MATCH(COLUMNS($AB$1006:AF1006),$AB$1006:$AQ$1006,0)))),"Fix")))</f>
        <v>0</v>
      </c>
      <c r="G207" s="4">
        <f>IF(OR(INDEX($V$2:$V$1001,MATCH(ROWS($U$2:U207),$U$2:$U$1001,0),1)&gt;=100000,INDEX($AB$1005:$AQ$1005,1,MATCH(COLUMNS($AB$1006:AG1006),$AB$1006:$AQ$1006,0))&gt;=100000), " ",IF(INDEX($AB$2:$AQ$1001,MATCH(ROWS($U$2:U207),$U$2:$U$1001,0),MATCH(COLUMNS($AB$1006:AG1006),$AB$1006:$AQ$1006,0)), HYPERLINK("#",""), HYPERLINK(CONCATENATE("#metadata!", ADDRESS(INDEX($W$2:$W$1001,MATCH(ROWS($U$2:U207),$U$2:$U$1001,0),0), INDEX($AB$1004:$AQ$1004,1,MATCH(COLUMNS($AB$1006:AG1006),$AB$1006:$AQ$1006,0)))),"Fix")))</f>
        <v>0</v>
      </c>
      <c r="H207" s="4">
        <f>IF(OR(INDEX($V$2:$V$1001,MATCH(ROWS($U$2:U207),$U$2:$U$1001,0),1)&gt;=100000,INDEX($AB$1005:$AQ$1005,1,MATCH(COLUMNS($AB$1006:AH1006),$AB$1006:$AQ$1006,0))&gt;=100000), " ",IF(INDEX($AB$2:$AQ$1001,MATCH(ROWS($U$2:U207),$U$2:$U$1001,0),MATCH(COLUMNS($AB$1006:AH1006),$AB$1006:$AQ$1006,0)), HYPERLINK("#",""), HYPERLINK(CONCATENATE("#metadata!", ADDRESS(INDEX($W$2:$W$1001,MATCH(ROWS($U$2:U207),$U$2:$U$1001,0),0), INDEX($AB$1004:$AQ$1004,1,MATCH(COLUMNS($AB$1006:AH1006),$AB$1006:$AQ$1006,0)))),"Fix")))</f>
        <v>0</v>
      </c>
      <c r="I207" s="4">
        <f>IF(OR(INDEX($V$2:$V$1001,MATCH(ROWS($U$2:U207),$U$2:$U$1001,0),1)&gt;=100000,INDEX($AB$1005:$AQ$1005,1,MATCH(COLUMNS($AB$1006:AI1006),$AB$1006:$AQ$1006,0))&gt;=100000), " ",IF(INDEX($AB$2:$AQ$1001,MATCH(ROWS($U$2:U207),$U$2:$U$1001,0),MATCH(COLUMNS($AB$1006:AI1006),$AB$1006:$AQ$1006,0)), HYPERLINK("#",""), HYPERLINK(CONCATENATE("#metadata!", ADDRESS(INDEX($W$2:$W$1001,MATCH(ROWS($U$2:U207),$U$2:$U$1001,0),0), INDEX($AB$1004:$AQ$1004,1,MATCH(COLUMNS($AB$1006:AI1006),$AB$1006:$AQ$1006,0)))),"Fix")))</f>
        <v>0</v>
      </c>
      <c r="J207" s="4">
        <f>IF(OR(INDEX($V$2:$V$1001,MATCH(ROWS($U$2:U207),$U$2:$U$1001,0),1)&gt;=100000,INDEX($AB$1005:$AQ$1005,1,MATCH(COLUMNS($AB$1006:AJ1006),$AB$1006:$AQ$1006,0))&gt;=100000), " ",IF(INDEX($AB$2:$AQ$1001,MATCH(ROWS($U$2:U207),$U$2:$U$1001,0),MATCH(COLUMNS($AB$1006:AJ1006),$AB$1006:$AQ$1006,0)), HYPERLINK("#",""), HYPERLINK(CONCATENATE("#metadata!", ADDRESS(INDEX($W$2:$W$1001,MATCH(ROWS($U$2:U207),$U$2:$U$1001,0),0), INDEX($AB$1004:$AQ$1004,1,MATCH(COLUMNS($AB$1006:AJ1006),$AB$1006:$AQ$1006,0)))),"Fix")))</f>
        <v>0</v>
      </c>
      <c r="K207" s="4">
        <f>IF(OR(INDEX($V$2:$V$1001,MATCH(ROWS($U$2:U207),$U$2:$U$1001,0),1)&gt;=100000,INDEX($AB$1005:$AQ$1005,1,MATCH(COLUMNS($AB$1006:AK1006),$AB$1006:$AQ$1006,0))&gt;=100000), " ",IF(INDEX($AB$2:$AQ$1001,MATCH(ROWS($U$2:U207),$U$2:$U$1001,0),MATCH(COLUMNS($AB$1006:AK1006),$AB$1006:$AQ$1006,0)), HYPERLINK("#",""), HYPERLINK(CONCATENATE("#metadata!", ADDRESS(INDEX($W$2:$W$1001,MATCH(ROWS($U$2:U207),$U$2:$U$1001,0),0), INDEX($AB$1004:$AQ$1004,1,MATCH(COLUMNS($AB$1006:AK1006),$AB$1006:$AQ$1006,0)))),"Fix")))</f>
        <v>0</v>
      </c>
      <c r="L207" s="4">
        <f>IF(OR(INDEX($V$2:$V$1001,MATCH(ROWS($U$2:U207),$U$2:$U$1001,0),1)&gt;=100000,INDEX($AB$1005:$AQ$1005,1,MATCH(COLUMNS($AB$1006:AL1006),$AB$1006:$AQ$1006,0))&gt;=100000), " ",IF(INDEX($AB$2:$AQ$1001,MATCH(ROWS($U$2:U207),$U$2:$U$1001,0),MATCH(COLUMNS($AB$1006:AL1006),$AB$1006:$AQ$1006,0)), HYPERLINK("#",""), HYPERLINK(CONCATENATE("#metadata!", ADDRESS(INDEX($W$2:$W$1001,MATCH(ROWS($U$2:U207),$U$2:$U$1001,0),0), INDEX($AB$1004:$AQ$1004,1,MATCH(COLUMNS($AB$1006:AL1006),$AB$1006:$AQ$1006,0)))),"Fix")))</f>
        <v>0</v>
      </c>
      <c r="M207" s="4">
        <f>IF(OR(INDEX($V$2:$V$1001,MATCH(ROWS($U$2:U207),$U$2:$U$1001,0),1)&gt;=100000,INDEX($AB$1005:$AQ$1005,1,MATCH(COLUMNS($AB$1006:AM1006),$AB$1006:$AQ$1006,0))&gt;=100000), " ",IF(INDEX($AB$2:$AQ$1001,MATCH(ROWS($U$2:U207),$U$2:$U$1001,0),MATCH(COLUMNS($AB$1006:AM1006),$AB$1006:$AQ$1006,0)), HYPERLINK("#",""), HYPERLINK(CONCATENATE("#metadata!", ADDRESS(INDEX($W$2:$W$1001,MATCH(ROWS($U$2:U207),$U$2:$U$1001,0),0), INDEX($AB$1004:$AQ$1004,1,MATCH(COLUMNS($AB$1006:AM1006),$AB$1006:$AQ$1006,0)))),"Fix")))</f>
        <v>0</v>
      </c>
      <c r="N207" s="4">
        <f>IF(OR(INDEX($V$2:$V$1001,MATCH(ROWS($U$2:U207),$U$2:$U$1001,0),1)&gt;=100000,INDEX($AB$1005:$AQ$1005,1,MATCH(COLUMNS($AB$1006:AN1006),$AB$1006:$AQ$1006,0))&gt;=100000), " ",IF(INDEX($AB$2:$AQ$1001,MATCH(ROWS($U$2:U207),$U$2:$U$1001,0),MATCH(COLUMNS($AB$1006:AN1006),$AB$1006:$AQ$1006,0)), HYPERLINK("#",""), HYPERLINK(CONCATENATE("#metadata!", ADDRESS(INDEX($W$2:$W$1001,MATCH(ROWS($U$2:U207),$U$2:$U$1001,0),0), INDEX($AB$1004:$AQ$1004,1,MATCH(COLUMNS($AB$1006:AN1006),$AB$1006:$AQ$1006,0)))),"Fix")))</f>
        <v>0</v>
      </c>
      <c r="O207" s="4">
        <f>IF(OR(INDEX($V$2:$V$1001,MATCH(ROWS($U$2:U207),$U$2:$U$1001,0),1)&gt;=100000,INDEX($AB$1005:$AQ$1005,1,MATCH(COLUMNS($AB$1006:AO1006),$AB$1006:$AQ$1006,0))&gt;=100000), " ",IF(INDEX($AB$2:$AQ$1001,MATCH(ROWS($U$2:U207),$U$2:$U$1001,0),MATCH(COLUMNS($AB$1006:AO1006),$AB$1006:$AQ$1006,0)), HYPERLINK("#",""), HYPERLINK(CONCATENATE("#metadata!", ADDRESS(INDEX($W$2:$W$1001,MATCH(ROWS($U$2:U207),$U$2:$U$1001,0),0), INDEX($AB$1004:$AQ$1004,1,MATCH(COLUMNS($AB$1006:AO1006),$AB$1006:$AQ$1006,0)))),"Fix")))</f>
        <v>0</v>
      </c>
      <c r="P207" s="4">
        <f>IF(OR(INDEX($V$2:$V$1001,MATCH(ROWS($U$2:U207),$U$2:$U$1001,0),1)&gt;=100000,INDEX($AB$1005:$AQ$1005,1,MATCH(COLUMNS($AB$1006:AP1006),$AB$1006:$AQ$1006,0))&gt;=100000), " ",IF(INDEX($AB$2:$AQ$1001,MATCH(ROWS($U$2:U207),$U$2:$U$1001,0),MATCH(COLUMNS($AB$1006:AP1006),$AB$1006:$AQ$1006,0)), HYPERLINK("#",""), HYPERLINK(CONCATENATE("#metadata!", ADDRESS(INDEX($W$2:$W$1001,MATCH(ROWS($U$2:U207),$U$2:$U$1001,0),0), INDEX($AB$1004:$AQ$1004,1,MATCH(COLUMNS($AB$1006:AP1006),$AB$1006:$AQ$1006,0)))),"Fix")))</f>
        <v>0</v>
      </c>
      <c r="Q207" s="4">
        <f>IF(OR(INDEX($V$2:$V$1001,MATCH(ROWS($U$2:U207),$U$2:$U$1001,0),1)&gt;=100000,INDEX($AB$1005:$AQ$1005,1,MATCH(COLUMNS($AB$1006:AQ1006),$AB$1006:$AQ$1006,0))&gt;=100000), " ",IF(INDEX($AB$2:$AQ$1001,MATCH(ROWS($U$2:U207),$U$2:$U$1001,0),MATCH(COLUMNS($AB$1006:AQ1006),$AB$1006:$AQ$1006,0)), HYPERLINK("#",""), HYPERLINK(CONCATENATE("#metadata!", ADDRESS(INDEX($W$2:$W$1001,MATCH(ROWS($U$2:U207),$U$2:$U$1001,0),0), INDEX($AB$1004:$AQ$1004,1,MATCH(COLUMNS($AB$1006:AQ1006),$AB$1006:$AQ$1006,0)))),"Fix")))</f>
        <v>0</v>
      </c>
      <c r="U207">
        <v>0</v>
      </c>
      <c r="V207">
        <v>0</v>
      </c>
      <c r="W207">
        <v>0</v>
      </c>
      <c r="X207">
        <f>IF(Y207,TRUE,AND(AB207:AQ207))</f>
        <v>0</v>
      </c>
      <c r="Y207">
        <f>COUNTBLANK(metadata!B207:Q207)=COLUMNS(metadata!B207:Q207)</f>
        <v>0</v>
      </c>
      <c r="Z207">
        <v>0</v>
      </c>
      <c r="AB207">
        <f>AND(IF(metadata!B207="",FALSE,TRUE),COUNTIF(metadata!B:B, metadata!B207) = 1,NOT(ISERROR(SUMPRODUCT(SEARCH(MID(metadata!B207,ROW(INDIRECT("1:"&amp;LEN(metadata!B207))), 1),"0123456789abcdefghijklmnopqrstuvwxyzABCDEFGHIJKLMNOPQRSTUVWXYZ.")))))</f>
        <v>0</v>
      </c>
      <c r="AC207">
        <f>OR(AND(IF(metadata!C207="",FALSE,TRUE),OR(exact(metadata!C207,"missing: not collected"),exact(metadata!C207,"missing: not provided"),exact(metadata!C207,"missing: restricted access"))),AND(IF(metadata!C207="",FALSE,TRUE),AND(AND(IFERROR(INT(LEFT(metadata!C207,4))&gt;1900,FALSE),IFERROR(INT(LEFT(metadata!C207,4))&lt;=YEAR(NOW()),FALSE)), OR(MID(metadata!C207,5,1)="", AND(AND(MID(metadata!C207,5,1)="-",IFERROR(INT(MID(metadata!C207,6,1))&gt;=0,FALSE),IFERROR(INT(MID(metadata!C207,6,1))&lt;=1,FALSE),NOT(MID(metadata!C207,7,1)=""),IFERROR(INT(MID(metadata!C207,6,2))&gt;=1,FALSE),IFERROR(INT(MID(metadata!C207,6,2))&lt;=12,FALSE)), OR(MID(metadata!C207,8,1)="", AND(AND(MID(metadata!C207,8,1)="-",IFERROR(INT(MID(metadata!C207,9,1))&gt;=0,FALSE),IFERROR(INT(MID(metadata!C207,9,1))&lt;=3,FALSE),NOT(MID(metadata!C207,10,1)=""),IFERROR(INT(MID(metadata!C207,9,2))&gt;=1,FALSE),IFERROR(INT(MID(metadata!C207,9,2))&lt;=31,FALSE)), OR(MID(metadata!C207,11,1)="", AND(AND(MID(metadata!C207,11,1)=" ",IFERROR(INT(MID(metadata!C207,12,1))&gt;=0,FALSE),IFERROR(INT(MID(metadata!C207,12,1))&lt;=2,FALSE),NOT(MID(metadata!C207,13,1)=""),IFERROR(INT(MID(metadata!C207,12,2))&gt;=0,FALSE),IFERROR(INT(MID(metadata!C207,12,2))&lt;=23,FALSE)), OR(MID(metadata!C207,14,1)="", AND(AND(MID(metadata!C207,14,1)=":",IFERROR(INT(MID(metadata!C207,15,1))&gt;=0,FALSE),IFERROR(INT(MID(metadata!C207,15,1))&lt;=5,FALSE),NOT(MID(metadata!C207,16,1)=""),IFERROR(INT(MID(metadata!C207,15,2))&gt;=0,FALSE),IFERROR(INT(MID(metadata!C207,15,2))&lt;=59,FALSE)), OR(MID(metadata!C207,17,1)="", AND(AND(MID(metadata!C207,17,1)=":",IFERROR(INT(MID(metadata!C207,18,1))&gt;=0,FALSE),IFERROR(INT(MID(metadata!C207,18,1))&lt;=5,FALSE),NOT(MID(metadata!C207,19,1)=""),IFERROR(INT(MID(metadata!C207,18,2))&gt;=0,FALSE),IFERROR(INT(MID(metadata!C207,18,2))&lt;=59,FALSE)), LEN(metadata!C207)&lt;=19)))))))))))))</f>
        <v>0</v>
      </c>
      <c r="AD207">
        <f>IF(metadata!D207="",FALSE,TRUE)</f>
        <v>0</v>
      </c>
      <c r="AE207">
        <f>OR(AND(IF(metadata!E207="",FALSE,TRUE),OR(exact(metadata!E207,"missing: not collected"),exact(metadata!E207,"missing: not provided"))),AND(IF(metadata!E207="",FALSE,TRUE),OR(exact(metadata!E207,"TRUE"),exact(metadata!E207,"FALSE"))))</f>
        <v>0</v>
      </c>
      <c r="AF207">
        <f>IF(metadata!F207="",FALSE,TRUE)</f>
        <v>0</v>
      </c>
      <c r="AG207">
        <f>IF(metadata!G207="",FALSE,TRUE)</f>
        <v>0</v>
      </c>
      <c r="AH207">
        <f>IF(metadata!H207="",FALSE,TRUE)</f>
        <v>0</v>
      </c>
      <c r="AI207">
        <f>OR(AND(IF(metadata!I207="",FALSE,TRUE),OR(exact(metadata!I207,"missing: not collected"),exact(metadata!I207,"missing: not provided"),exact(metadata!I207,"missing: restricted access"))),AND(IF(metadata!I207="",FALSE,TRUE),OR(exact(metadata!I207,"air"),exact(metadata!I207,"built environment"),exact(metadata!I207,"host-associated"),exact(metadata!I207,"human-associated"),exact(metadata!I207,"human-skin"),exact(metadata!I207,"human-oral"),exact(metadata!I207,"human-gut"),exact(metadata!I207,"human-vaginal"),exact(metadata!I207,"microbial mat/biofilm"),exact(metadata!I207,"misc environment"),exact(metadata!I207,"plant-associated"),exact(metadata!I207,"sediment"),exact(metadata!I207,"soil"),exact(metadata!I207,"wastewater/sludge"),exact(metadata!I207,"water"))))</f>
        <v>0</v>
      </c>
      <c r="AJ207">
        <f>IF(metadata!J207="",FALSE,TRUE)</f>
        <v>0</v>
      </c>
      <c r="AK207">
        <f>OR(AND(IF(metadata!K207="",FALSE,TRUE),OR(exact(metadata!K207,"missing: not collected"),exact(metadata!K207,"missing: not provided"),exact(metadata!K207,"missing: restricted access"))),AND(IF(metadata!K207="",FALSE,ISNUMBER(VALUE(metadata!K207))),metadata!K207&gt;=-90.00,metadata!K207&lt;=90.00))</f>
        <v>0</v>
      </c>
      <c r="AL207">
        <f>OR(AND(IF(metadata!L207="",FALSE,TRUE),OR(exact(metadata!L207,"missing: not collected"),exact(metadata!L207,"missing: not provided"),exact(metadata!L207,"missing: restricted access"))),AND(IF(metadata!L207="",FALSE,ISNUMBER(VALUE(metadata!L207))),metadata!L207&gt;=-180.00,metadata!L207&lt;=180.00))</f>
        <v>0</v>
      </c>
      <c r="AM207">
        <f>IF(metadata!M207="",FALSE,TRUE)</f>
        <v>0</v>
      </c>
      <c r="AN207">
        <f>OR(AND(IF(metadata!N207="",FALSE,TRUE),OR(exact(metadata!N207,"missing: not collected"),exact(metadata!N207,"missing: not provided"),exact(metadata!N207,"missing: restricted access"))),AND(IF(metadata!N207="",FALSE,TRUE),OR(exact(metadata!N207,"TRUE"),exact(metadata!N207,"FALSE"))))</f>
        <v>0</v>
      </c>
      <c r="AO207">
        <f>IF(metadata!O207="",FALSE,TRUE)</f>
        <v>0</v>
      </c>
      <c r="AP207">
        <f>OR(AND(IF(metadata!P207="",FALSE,TRUE),OR(exact(metadata!P207,"missing: not collected"),exact(metadata!P207,"missing: not provided"))),AND(IF(metadata!P207="",FALSE,IF(ISERROR(INT(metadata!P207)),FALSE,INT(metadata!P207)=metadata!P207)),metadata!P207&gt;0))</f>
        <v>0</v>
      </c>
      <c r="AQ207">
        <f>IF(metadata!Q207="",FALSE,TRUE)</f>
        <v>0</v>
      </c>
    </row>
    <row r="208" spans="1:43">
      <c r="A208" s="5">
        <f>IF(B208=" "," ",HYPERLINK(CONCATENATE("#metadata!",ADDRESS(INDEX($W$2:$W$1001,MATCH(ROWS($U$2:U208),$U$2:$U$1001,0),0),1)),INDEX($Z$2:$Z$1001,MATCH(ROWS($U$2:U208),$U$2:$U$1001,0),0)))</f>
        <v>0</v>
      </c>
      <c r="B208" s="4">
        <f>IF(OR(INDEX($V$2:$V$1001,MATCH(ROWS($U$2:U208),$U$2:$U$1001,0),1)&gt;=100000,INDEX($AB$1005:$AQ$1005,1,MATCH(COLUMNS($AB$1006:AB1006),$AB$1006:$AQ$1006,0))&gt;=100000), " ",IF(INDEX($AB$2:$AQ$1001,MATCH(ROWS($U$2:U208),$U$2:$U$1001,0),MATCH(COLUMNS($AB$1006:AB1006),$AB$1006:$AQ$1006,0)), HYPERLINK("#",""), HYPERLINK(CONCATENATE("#metadata!", ADDRESS(INDEX($W$2:$W$1001,MATCH(ROWS($U$2:U208),$U$2:$U$1001,0),0), INDEX($AB$1004:$AQ$1004,1,MATCH(COLUMNS($AB$1006:AB1006),$AB$1006:$AQ$1006,0)))),"Fix")))</f>
        <v>0</v>
      </c>
      <c r="C208" s="4">
        <f>IF(OR(INDEX($V$2:$V$1001,MATCH(ROWS($U$2:U208),$U$2:$U$1001,0),1)&gt;=100000,INDEX($AB$1005:$AQ$1005,1,MATCH(COLUMNS($AB$1006:AC1006),$AB$1006:$AQ$1006,0))&gt;=100000), " ",IF(INDEX($AB$2:$AQ$1001,MATCH(ROWS($U$2:U208),$U$2:$U$1001,0),MATCH(COLUMNS($AB$1006:AC1006),$AB$1006:$AQ$1006,0)), HYPERLINK("#",""), HYPERLINK(CONCATENATE("#metadata!", ADDRESS(INDEX($W$2:$W$1001,MATCH(ROWS($U$2:U208),$U$2:$U$1001,0),0), INDEX($AB$1004:$AQ$1004,1,MATCH(COLUMNS($AB$1006:AC1006),$AB$1006:$AQ$1006,0)))),"Fix")))</f>
        <v>0</v>
      </c>
      <c r="D208" s="4">
        <f>IF(OR(INDEX($V$2:$V$1001,MATCH(ROWS($U$2:U208),$U$2:$U$1001,0),1)&gt;=100000,INDEX($AB$1005:$AQ$1005,1,MATCH(COLUMNS($AB$1006:AD1006),$AB$1006:$AQ$1006,0))&gt;=100000), " ",IF(INDEX($AB$2:$AQ$1001,MATCH(ROWS($U$2:U208),$U$2:$U$1001,0),MATCH(COLUMNS($AB$1006:AD1006),$AB$1006:$AQ$1006,0)), HYPERLINK("#",""), HYPERLINK(CONCATENATE("#metadata!", ADDRESS(INDEX($W$2:$W$1001,MATCH(ROWS($U$2:U208),$U$2:$U$1001,0),0), INDEX($AB$1004:$AQ$1004,1,MATCH(COLUMNS($AB$1006:AD1006),$AB$1006:$AQ$1006,0)))),"Fix")))</f>
        <v>0</v>
      </c>
      <c r="E208" s="4">
        <f>IF(OR(INDEX($V$2:$V$1001,MATCH(ROWS($U$2:U208),$U$2:$U$1001,0),1)&gt;=100000,INDEX($AB$1005:$AQ$1005,1,MATCH(COLUMNS($AB$1006:AE1006),$AB$1006:$AQ$1006,0))&gt;=100000), " ",IF(INDEX($AB$2:$AQ$1001,MATCH(ROWS($U$2:U208),$U$2:$U$1001,0),MATCH(COLUMNS($AB$1006:AE1006),$AB$1006:$AQ$1006,0)), HYPERLINK("#",""), HYPERLINK(CONCATENATE("#metadata!", ADDRESS(INDEX($W$2:$W$1001,MATCH(ROWS($U$2:U208),$U$2:$U$1001,0),0), INDEX($AB$1004:$AQ$1004,1,MATCH(COLUMNS($AB$1006:AE1006),$AB$1006:$AQ$1006,0)))),"Fix")))</f>
        <v>0</v>
      </c>
      <c r="F208" s="4">
        <f>IF(OR(INDEX($V$2:$V$1001,MATCH(ROWS($U$2:U208),$U$2:$U$1001,0),1)&gt;=100000,INDEX($AB$1005:$AQ$1005,1,MATCH(COLUMNS($AB$1006:AF1006),$AB$1006:$AQ$1006,0))&gt;=100000), " ",IF(INDEX($AB$2:$AQ$1001,MATCH(ROWS($U$2:U208),$U$2:$U$1001,0),MATCH(COLUMNS($AB$1006:AF1006),$AB$1006:$AQ$1006,0)), HYPERLINK("#",""), HYPERLINK(CONCATENATE("#metadata!", ADDRESS(INDEX($W$2:$W$1001,MATCH(ROWS($U$2:U208),$U$2:$U$1001,0),0), INDEX($AB$1004:$AQ$1004,1,MATCH(COLUMNS($AB$1006:AF1006),$AB$1006:$AQ$1006,0)))),"Fix")))</f>
        <v>0</v>
      </c>
      <c r="G208" s="4">
        <f>IF(OR(INDEX($V$2:$V$1001,MATCH(ROWS($U$2:U208),$U$2:$U$1001,0),1)&gt;=100000,INDEX($AB$1005:$AQ$1005,1,MATCH(COLUMNS($AB$1006:AG1006),$AB$1006:$AQ$1006,0))&gt;=100000), " ",IF(INDEX($AB$2:$AQ$1001,MATCH(ROWS($U$2:U208),$U$2:$U$1001,0),MATCH(COLUMNS($AB$1006:AG1006),$AB$1006:$AQ$1006,0)), HYPERLINK("#",""), HYPERLINK(CONCATENATE("#metadata!", ADDRESS(INDEX($W$2:$W$1001,MATCH(ROWS($U$2:U208),$U$2:$U$1001,0),0), INDEX($AB$1004:$AQ$1004,1,MATCH(COLUMNS($AB$1006:AG1006),$AB$1006:$AQ$1006,0)))),"Fix")))</f>
        <v>0</v>
      </c>
      <c r="H208" s="4">
        <f>IF(OR(INDEX($V$2:$V$1001,MATCH(ROWS($U$2:U208),$U$2:$U$1001,0),1)&gt;=100000,INDEX($AB$1005:$AQ$1005,1,MATCH(COLUMNS($AB$1006:AH1006),$AB$1006:$AQ$1006,0))&gt;=100000), " ",IF(INDEX($AB$2:$AQ$1001,MATCH(ROWS($U$2:U208),$U$2:$U$1001,0),MATCH(COLUMNS($AB$1006:AH1006),$AB$1006:$AQ$1006,0)), HYPERLINK("#",""), HYPERLINK(CONCATENATE("#metadata!", ADDRESS(INDEX($W$2:$W$1001,MATCH(ROWS($U$2:U208),$U$2:$U$1001,0),0), INDEX($AB$1004:$AQ$1004,1,MATCH(COLUMNS($AB$1006:AH1006),$AB$1006:$AQ$1006,0)))),"Fix")))</f>
        <v>0</v>
      </c>
      <c r="I208" s="4">
        <f>IF(OR(INDEX($V$2:$V$1001,MATCH(ROWS($U$2:U208),$U$2:$U$1001,0),1)&gt;=100000,INDEX($AB$1005:$AQ$1005,1,MATCH(COLUMNS($AB$1006:AI1006),$AB$1006:$AQ$1006,0))&gt;=100000), " ",IF(INDEX($AB$2:$AQ$1001,MATCH(ROWS($U$2:U208),$U$2:$U$1001,0),MATCH(COLUMNS($AB$1006:AI1006),$AB$1006:$AQ$1006,0)), HYPERLINK("#",""), HYPERLINK(CONCATENATE("#metadata!", ADDRESS(INDEX($W$2:$W$1001,MATCH(ROWS($U$2:U208),$U$2:$U$1001,0),0), INDEX($AB$1004:$AQ$1004,1,MATCH(COLUMNS($AB$1006:AI1006),$AB$1006:$AQ$1006,0)))),"Fix")))</f>
        <v>0</v>
      </c>
      <c r="J208" s="4">
        <f>IF(OR(INDEX($V$2:$V$1001,MATCH(ROWS($U$2:U208),$U$2:$U$1001,0),1)&gt;=100000,INDEX($AB$1005:$AQ$1005,1,MATCH(COLUMNS($AB$1006:AJ1006),$AB$1006:$AQ$1006,0))&gt;=100000), " ",IF(INDEX($AB$2:$AQ$1001,MATCH(ROWS($U$2:U208),$U$2:$U$1001,0),MATCH(COLUMNS($AB$1006:AJ1006),$AB$1006:$AQ$1006,0)), HYPERLINK("#",""), HYPERLINK(CONCATENATE("#metadata!", ADDRESS(INDEX($W$2:$W$1001,MATCH(ROWS($U$2:U208),$U$2:$U$1001,0),0), INDEX($AB$1004:$AQ$1004,1,MATCH(COLUMNS($AB$1006:AJ1006),$AB$1006:$AQ$1006,0)))),"Fix")))</f>
        <v>0</v>
      </c>
      <c r="K208" s="4">
        <f>IF(OR(INDEX($V$2:$V$1001,MATCH(ROWS($U$2:U208),$U$2:$U$1001,0),1)&gt;=100000,INDEX($AB$1005:$AQ$1005,1,MATCH(COLUMNS($AB$1006:AK1006),$AB$1006:$AQ$1006,0))&gt;=100000), " ",IF(INDEX($AB$2:$AQ$1001,MATCH(ROWS($U$2:U208),$U$2:$U$1001,0),MATCH(COLUMNS($AB$1006:AK1006),$AB$1006:$AQ$1006,0)), HYPERLINK("#",""), HYPERLINK(CONCATENATE("#metadata!", ADDRESS(INDEX($W$2:$W$1001,MATCH(ROWS($U$2:U208),$U$2:$U$1001,0),0), INDEX($AB$1004:$AQ$1004,1,MATCH(COLUMNS($AB$1006:AK1006),$AB$1006:$AQ$1006,0)))),"Fix")))</f>
        <v>0</v>
      </c>
      <c r="L208" s="4">
        <f>IF(OR(INDEX($V$2:$V$1001,MATCH(ROWS($U$2:U208),$U$2:$U$1001,0),1)&gt;=100000,INDEX($AB$1005:$AQ$1005,1,MATCH(COLUMNS($AB$1006:AL1006),$AB$1006:$AQ$1006,0))&gt;=100000), " ",IF(INDEX($AB$2:$AQ$1001,MATCH(ROWS($U$2:U208),$U$2:$U$1001,0),MATCH(COLUMNS($AB$1006:AL1006),$AB$1006:$AQ$1006,0)), HYPERLINK("#",""), HYPERLINK(CONCATENATE("#metadata!", ADDRESS(INDEX($W$2:$W$1001,MATCH(ROWS($U$2:U208),$U$2:$U$1001,0),0), INDEX($AB$1004:$AQ$1004,1,MATCH(COLUMNS($AB$1006:AL1006),$AB$1006:$AQ$1006,0)))),"Fix")))</f>
        <v>0</v>
      </c>
      <c r="M208" s="4">
        <f>IF(OR(INDEX($V$2:$V$1001,MATCH(ROWS($U$2:U208),$U$2:$U$1001,0),1)&gt;=100000,INDEX($AB$1005:$AQ$1005,1,MATCH(COLUMNS($AB$1006:AM1006),$AB$1006:$AQ$1006,0))&gt;=100000), " ",IF(INDEX($AB$2:$AQ$1001,MATCH(ROWS($U$2:U208),$U$2:$U$1001,0),MATCH(COLUMNS($AB$1006:AM1006),$AB$1006:$AQ$1006,0)), HYPERLINK("#",""), HYPERLINK(CONCATENATE("#metadata!", ADDRESS(INDEX($W$2:$W$1001,MATCH(ROWS($U$2:U208),$U$2:$U$1001,0),0), INDEX($AB$1004:$AQ$1004,1,MATCH(COLUMNS($AB$1006:AM1006),$AB$1006:$AQ$1006,0)))),"Fix")))</f>
        <v>0</v>
      </c>
      <c r="N208" s="4">
        <f>IF(OR(INDEX($V$2:$V$1001,MATCH(ROWS($U$2:U208),$U$2:$U$1001,0),1)&gt;=100000,INDEX($AB$1005:$AQ$1005,1,MATCH(COLUMNS($AB$1006:AN1006),$AB$1006:$AQ$1006,0))&gt;=100000), " ",IF(INDEX($AB$2:$AQ$1001,MATCH(ROWS($U$2:U208),$U$2:$U$1001,0),MATCH(COLUMNS($AB$1006:AN1006),$AB$1006:$AQ$1006,0)), HYPERLINK("#",""), HYPERLINK(CONCATENATE("#metadata!", ADDRESS(INDEX($W$2:$W$1001,MATCH(ROWS($U$2:U208),$U$2:$U$1001,0),0), INDEX($AB$1004:$AQ$1004,1,MATCH(COLUMNS($AB$1006:AN1006),$AB$1006:$AQ$1006,0)))),"Fix")))</f>
        <v>0</v>
      </c>
      <c r="O208" s="4">
        <f>IF(OR(INDEX($V$2:$V$1001,MATCH(ROWS($U$2:U208),$U$2:$U$1001,0),1)&gt;=100000,INDEX($AB$1005:$AQ$1005,1,MATCH(COLUMNS($AB$1006:AO1006),$AB$1006:$AQ$1006,0))&gt;=100000), " ",IF(INDEX($AB$2:$AQ$1001,MATCH(ROWS($U$2:U208),$U$2:$U$1001,0),MATCH(COLUMNS($AB$1006:AO1006),$AB$1006:$AQ$1006,0)), HYPERLINK("#",""), HYPERLINK(CONCATENATE("#metadata!", ADDRESS(INDEX($W$2:$W$1001,MATCH(ROWS($U$2:U208),$U$2:$U$1001,0),0), INDEX($AB$1004:$AQ$1004,1,MATCH(COLUMNS($AB$1006:AO1006),$AB$1006:$AQ$1006,0)))),"Fix")))</f>
        <v>0</v>
      </c>
      <c r="P208" s="4">
        <f>IF(OR(INDEX($V$2:$V$1001,MATCH(ROWS($U$2:U208),$U$2:$U$1001,0),1)&gt;=100000,INDEX($AB$1005:$AQ$1005,1,MATCH(COLUMNS($AB$1006:AP1006),$AB$1006:$AQ$1006,0))&gt;=100000), " ",IF(INDEX($AB$2:$AQ$1001,MATCH(ROWS($U$2:U208),$U$2:$U$1001,0),MATCH(COLUMNS($AB$1006:AP1006),$AB$1006:$AQ$1006,0)), HYPERLINK("#",""), HYPERLINK(CONCATENATE("#metadata!", ADDRESS(INDEX($W$2:$W$1001,MATCH(ROWS($U$2:U208),$U$2:$U$1001,0),0), INDEX($AB$1004:$AQ$1004,1,MATCH(COLUMNS($AB$1006:AP1006),$AB$1006:$AQ$1006,0)))),"Fix")))</f>
        <v>0</v>
      </c>
      <c r="Q208" s="4">
        <f>IF(OR(INDEX($V$2:$V$1001,MATCH(ROWS($U$2:U208),$U$2:$U$1001,0),1)&gt;=100000,INDEX($AB$1005:$AQ$1005,1,MATCH(COLUMNS($AB$1006:AQ1006),$AB$1006:$AQ$1006,0))&gt;=100000), " ",IF(INDEX($AB$2:$AQ$1001,MATCH(ROWS($U$2:U208),$U$2:$U$1001,0),MATCH(COLUMNS($AB$1006:AQ1006),$AB$1006:$AQ$1006,0)), HYPERLINK("#",""), HYPERLINK(CONCATENATE("#metadata!", ADDRESS(INDEX($W$2:$W$1001,MATCH(ROWS($U$2:U208),$U$2:$U$1001,0),0), INDEX($AB$1004:$AQ$1004,1,MATCH(COLUMNS($AB$1006:AQ1006),$AB$1006:$AQ$1006,0)))),"Fix")))</f>
        <v>0</v>
      </c>
      <c r="U208">
        <v>0</v>
      </c>
      <c r="V208">
        <v>0</v>
      </c>
      <c r="W208">
        <v>0</v>
      </c>
      <c r="X208">
        <f>IF(Y208,TRUE,AND(AB208:AQ208))</f>
        <v>0</v>
      </c>
      <c r="Y208">
        <f>COUNTBLANK(metadata!B208:Q208)=COLUMNS(metadata!B208:Q208)</f>
        <v>0</v>
      </c>
      <c r="Z208">
        <v>0</v>
      </c>
      <c r="AB208">
        <f>AND(IF(metadata!B208="",FALSE,TRUE),COUNTIF(metadata!B:B, metadata!B208) = 1,NOT(ISERROR(SUMPRODUCT(SEARCH(MID(metadata!B208,ROW(INDIRECT("1:"&amp;LEN(metadata!B208))), 1),"0123456789abcdefghijklmnopqrstuvwxyzABCDEFGHIJKLMNOPQRSTUVWXYZ.")))))</f>
        <v>0</v>
      </c>
      <c r="AC208">
        <f>OR(AND(IF(metadata!C208="",FALSE,TRUE),OR(exact(metadata!C208,"missing: not collected"),exact(metadata!C208,"missing: not provided"),exact(metadata!C208,"missing: restricted access"))),AND(IF(metadata!C208="",FALSE,TRUE),AND(AND(IFERROR(INT(LEFT(metadata!C208,4))&gt;1900,FALSE),IFERROR(INT(LEFT(metadata!C208,4))&lt;=YEAR(NOW()),FALSE)), OR(MID(metadata!C208,5,1)="", AND(AND(MID(metadata!C208,5,1)="-",IFERROR(INT(MID(metadata!C208,6,1))&gt;=0,FALSE),IFERROR(INT(MID(metadata!C208,6,1))&lt;=1,FALSE),NOT(MID(metadata!C208,7,1)=""),IFERROR(INT(MID(metadata!C208,6,2))&gt;=1,FALSE),IFERROR(INT(MID(metadata!C208,6,2))&lt;=12,FALSE)), OR(MID(metadata!C208,8,1)="", AND(AND(MID(metadata!C208,8,1)="-",IFERROR(INT(MID(metadata!C208,9,1))&gt;=0,FALSE),IFERROR(INT(MID(metadata!C208,9,1))&lt;=3,FALSE),NOT(MID(metadata!C208,10,1)=""),IFERROR(INT(MID(metadata!C208,9,2))&gt;=1,FALSE),IFERROR(INT(MID(metadata!C208,9,2))&lt;=31,FALSE)), OR(MID(metadata!C208,11,1)="", AND(AND(MID(metadata!C208,11,1)=" ",IFERROR(INT(MID(metadata!C208,12,1))&gt;=0,FALSE),IFERROR(INT(MID(metadata!C208,12,1))&lt;=2,FALSE),NOT(MID(metadata!C208,13,1)=""),IFERROR(INT(MID(metadata!C208,12,2))&gt;=0,FALSE),IFERROR(INT(MID(metadata!C208,12,2))&lt;=23,FALSE)), OR(MID(metadata!C208,14,1)="", AND(AND(MID(metadata!C208,14,1)=":",IFERROR(INT(MID(metadata!C208,15,1))&gt;=0,FALSE),IFERROR(INT(MID(metadata!C208,15,1))&lt;=5,FALSE),NOT(MID(metadata!C208,16,1)=""),IFERROR(INT(MID(metadata!C208,15,2))&gt;=0,FALSE),IFERROR(INT(MID(metadata!C208,15,2))&lt;=59,FALSE)), OR(MID(metadata!C208,17,1)="", AND(AND(MID(metadata!C208,17,1)=":",IFERROR(INT(MID(metadata!C208,18,1))&gt;=0,FALSE),IFERROR(INT(MID(metadata!C208,18,1))&lt;=5,FALSE),NOT(MID(metadata!C208,19,1)=""),IFERROR(INT(MID(metadata!C208,18,2))&gt;=0,FALSE),IFERROR(INT(MID(metadata!C208,18,2))&lt;=59,FALSE)), LEN(metadata!C208)&lt;=19)))))))))))))</f>
        <v>0</v>
      </c>
      <c r="AD208">
        <f>IF(metadata!D208="",FALSE,TRUE)</f>
        <v>0</v>
      </c>
      <c r="AE208">
        <f>OR(AND(IF(metadata!E208="",FALSE,TRUE),OR(exact(metadata!E208,"missing: not collected"),exact(metadata!E208,"missing: not provided"))),AND(IF(metadata!E208="",FALSE,TRUE),OR(exact(metadata!E208,"TRUE"),exact(metadata!E208,"FALSE"))))</f>
        <v>0</v>
      </c>
      <c r="AF208">
        <f>IF(metadata!F208="",FALSE,TRUE)</f>
        <v>0</v>
      </c>
      <c r="AG208">
        <f>IF(metadata!G208="",FALSE,TRUE)</f>
        <v>0</v>
      </c>
      <c r="AH208">
        <f>IF(metadata!H208="",FALSE,TRUE)</f>
        <v>0</v>
      </c>
      <c r="AI208">
        <f>OR(AND(IF(metadata!I208="",FALSE,TRUE),OR(exact(metadata!I208,"missing: not collected"),exact(metadata!I208,"missing: not provided"),exact(metadata!I208,"missing: restricted access"))),AND(IF(metadata!I208="",FALSE,TRUE),OR(exact(metadata!I208,"air"),exact(metadata!I208,"built environment"),exact(metadata!I208,"host-associated"),exact(metadata!I208,"human-associated"),exact(metadata!I208,"human-skin"),exact(metadata!I208,"human-oral"),exact(metadata!I208,"human-gut"),exact(metadata!I208,"human-vaginal"),exact(metadata!I208,"microbial mat/biofilm"),exact(metadata!I208,"misc environment"),exact(metadata!I208,"plant-associated"),exact(metadata!I208,"sediment"),exact(metadata!I208,"soil"),exact(metadata!I208,"wastewater/sludge"),exact(metadata!I208,"water"))))</f>
        <v>0</v>
      </c>
      <c r="AJ208">
        <f>IF(metadata!J208="",FALSE,TRUE)</f>
        <v>0</v>
      </c>
      <c r="AK208">
        <f>OR(AND(IF(metadata!K208="",FALSE,TRUE),OR(exact(metadata!K208,"missing: not collected"),exact(metadata!K208,"missing: not provided"),exact(metadata!K208,"missing: restricted access"))),AND(IF(metadata!K208="",FALSE,ISNUMBER(VALUE(metadata!K208))),metadata!K208&gt;=-90.00,metadata!K208&lt;=90.00))</f>
        <v>0</v>
      </c>
      <c r="AL208">
        <f>OR(AND(IF(metadata!L208="",FALSE,TRUE),OR(exact(metadata!L208,"missing: not collected"),exact(metadata!L208,"missing: not provided"),exact(metadata!L208,"missing: restricted access"))),AND(IF(metadata!L208="",FALSE,ISNUMBER(VALUE(metadata!L208))),metadata!L208&gt;=-180.00,metadata!L208&lt;=180.00))</f>
        <v>0</v>
      </c>
      <c r="AM208">
        <f>IF(metadata!M208="",FALSE,TRUE)</f>
        <v>0</v>
      </c>
      <c r="AN208">
        <f>OR(AND(IF(metadata!N208="",FALSE,TRUE),OR(exact(metadata!N208,"missing: not collected"),exact(metadata!N208,"missing: not provided"),exact(metadata!N208,"missing: restricted access"))),AND(IF(metadata!N208="",FALSE,TRUE),OR(exact(metadata!N208,"TRUE"),exact(metadata!N208,"FALSE"))))</f>
        <v>0</v>
      </c>
      <c r="AO208">
        <f>IF(metadata!O208="",FALSE,TRUE)</f>
        <v>0</v>
      </c>
      <c r="AP208">
        <f>OR(AND(IF(metadata!P208="",FALSE,TRUE),OR(exact(metadata!P208,"missing: not collected"),exact(metadata!P208,"missing: not provided"))),AND(IF(metadata!P208="",FALSE,IF(ISERROR(INT(metadata!P208)),FALSE,INT(metadata!P208)=metadata!P208)),metadata!P208&gt;0))</f>
        <v>0</v>
      </c>
      <c r="AQ208">
        <f>IF(metadata!Q208="",FALSE,TRUE)</f>
        <v>0</v>
      </c>
    </row>
    <row r="209" spans="1:43">
      <c r="A209" s="5">
        <f>IF(B209=" "," ",HYPERLINK(CONCATENATE("#metadata!",ADDRESS(INDEX($W$2:$W$1001,MATCH(ROWS($U$2:U209),$U$2:$U$1001,0),0),1)),INDEX($Z$2:$Z$1001,MATCH(ROWS($U$2:U209),$U$2:$U$1001,0),0)))</f>
        <v>0</v>
      </c>
      <c r="B209" s="4">
        <f>IF(OR(INDEX($V$2:$V$1001,MATCH(ROWS($U$2:U209),$U$2:$U$1001,0),1)&gt;=100000,INDEX($AB$1005:$AQ$1005,1,MATCH(COLUMNS($AB$1006:AB1006),$AB$1006:$AQ$1006,0))&gt;=100000), " ",IF(INDEX($AB$2:$AQ$1001,MATCH(ROWS($U$2:U209),$U$2:$U$1001,0),MATCH(COLUMNS($AB$1006:AB1006),$AB$1006:$AQ$1006,0)), HYPERLINK("#",""), HYPERLINK(CONCATENATE("#metadata!", ADDRESS(INDEX($W$2:$W$1001,MATCH(ROWS($U$2:U209),$U$2:$U$1001,0),0), INDEX($AB$1004:$AQ$1004,1,MATCH(COLUMNS($AB$1006:AB1006),$AB$1006:$AQ$1006,0)))),"Fix")))</f>
        <v>0</v>
      </c>
      <c r="C209" s="4">
        <f>IF(OR(INDEX($V$2:$V$1001,MATCH(ROWS($U$2:U209),$U$2:$U$1001,0),1)&gt;=100000,INDEX($AB$1005:$AQ$1005,1,MATCH(COLUMNS($AB$1006:AC1006),$AB$1006:$AQ$1006,0))&gt;=100000), " ",IF(INDEX($AB$2:$AQ$1001,MATCH(ROWS($U$2:U209),$U$2:$U$1001,0),MATCH(COLUMNS($AB$1006:AC1006),$AB$1006:$AQ$1006,0)), HYPERLINK("#",""), HYPERLINK(CONCATENATE("#metadata!", ADDRESS(INDEX($W$2:$W$1001,MATCH(ROWS($U$2:U209),$U$2:$U$1001,0),0), INDEX($AB$1004:$AQ$1004,1,MATCH(COLUMNS($AB$1006:AC1006),$AB$1006:$AQ$1006,0)))),"Fix")))</f>
        <v>0</v>
      </c>
      <c r="D209" s="4">
        <f>IF(OR(INDEX($V$2:$V$1001,MATCH(ROWS($U$2:U209),$U$2:$U$1001,0),1)&gt;=100000,INDEX($AB$1005:$AQ$1005,1,MATCH(COLUMNS($AB$1006:AD1006),$AB$1006:$AQ$1006,0))&gt;=100000), " ",IF(INDEX($AB$2:$AQ$1001,MATCH(ROWS($U$2:U209),$U$2:$U$1001,0),MATCH(COLUMNS($AB$1006:AD1006),$AB$1006:$AQ$1006,0)), HYPERLINK("#",""), HYPERLINK(CONCATENATE("#metadata!", ADDRESS(INDEX($W$2:$W$1001,MATCH(ROWS($U$2:U209),$U$2:$U$1001,0),0), INDEX($AB$1004:$AQ$1004,1,MATCH(COLUMNS($AB$1006:AD1006),$AB$1006:$AQ$1006,0)))),"Fix")))</f>
        <v>0</v>
      </c>
      <c r="E209" s="4">
        <f>IF(OR(INDEX($V$2:$V$1001,MATCH(ROWS($U$2:U209),$U$2:$U$1001,0),1)&gt;=100000,INDEX($AB$1005:$AQ$1005,1,MATCH(COLUMNS($AB$1006:AE1006),$AB$1006:$AQ$1006,0))&gt;=100000), " ",IF(INDEX($AB$2:$AQ$1001,MATCH(ROWS($U$2:U209),$U$2:$U$1001,0),MATCH(COLUMNS($AB$1006:AE1006),$AB$1006:$AQ$1006,0)), HYPERLINK("#",""), HYPERLINK(CONCATENATE("#metadata!", ADDRESS(INDEX($W$2:$W$1001,MATCH(ROWS($U$2:U209),$U$2:$U$1001,0),0), INDEX($AB$1004:$AQ$1004,1,MATCH(COLUMNS($AB$1006:AE1006),$AB$1006:$AQ$1006,0)))),"Fix")))</f>
        <v>0</v>
      </c>
      <c r="F209" s="4">
        <f>IF(OR(INDEX($V$2:$V$1001,MATCH(ROWS($U$2:U209),$U$2:$U$1001,0),1)&gt;=100000,INDEX($AB$1005:$AQ$1005,1,MATCH(COLUMNS($AB$1006:AF1006),$AB$1006:$AQ$1006,0))&gt;=100000), " ",IF(INDEX($AB$2:$AQ$1001,MATCH(ROWS($U$2:U209),$U$2:$U$1001,0),MATCH(COLUMNS($AB$1006:AF1006),$AB$1006:$AQ$1006,0)), HYPERLINK("#",""), HYPERLINK(CONCATENATE("#metadata!", ADDRESS(INDEX($W$2:$W$1001,MATCH(ROWS($U$2:U209),$U$2:$U$1001,0),0), INDEX($AB$1004:$AQ$1004,1,MATCH(COLUMNS($AB$1006:AF1006),$AB$1006:$AQ$1006,0)))),"Fix")))</f>
        <v>0</v>
      </c>
      <c r="G209" s="4">
        <f>IF(OR(INDEX($V$2:$V$1001,MATCH(ROWS($U$2:U209),$U$2:$U$1001,0),1)&gt;=100000,INDEX($AB$1005:$AQ$1005,1,MATCH(COLUMNS($AB$1006:AG1006),$AB$1006:$AQ$1006,0))&gt;=100000), " ",IF(INDEX($AB$2:$AQ$1001,MATCH(ROWS($U$2:U209),$U$2:$U$1001,0),MATCH(COLUMNS($AB$1006:AG1006),$AB$1006:$AQ$1006,0)), HYPERLINK("#",""), HYPERLINK(CONCATENATE("#metadata!", ADDRESS(INDEX($W$2:$W$1001,MATCH(ROWS($U$2:U209),$U$2:$U$1001,0),0), INDEX($AB$1004:$AQ$1004,1,MATCH(COLUMNS($AB$1006:AG1006),$AB$1006:$AQ$1006,0)))),"Fix")))</f>
        <v>0</v>
      </c>
      <c r="H209" s="4">
        <f>IF(OR(INDEX($V$2:$V$1001,MATCH(ROWS($U$2:U209),$U$2:$U$1001,0),1)&gt;=100000,INDEX($AB$1005:$AQ$1005,1,MATCH(COLUMNS($AB$1006:AH1006),$AB$1006:$AQ$1006,0))&gt;=100000), " ",IF(INDEX($AB$2:$AQ$1001,MATCH(ROWS($U$2:U209),$U$2:$U$1001,0),MATCH(COLUMNS($AB$1006:AH1006),$AB$1006:$AQ$1006,0)), HYPERLINK("#",""), HYPERLINK(CONCATENATE("#metadata!", ADDRESS(INDEX($W$2:$W$1001,MATCH(ROWS($U$2:U209),$U$2:$U$1001,0),0), INDEX($AB$1004:$AQ$1004,1,MATCH(COLUMNS($AB$1006:AH1006),$AB$1006:$AQ$1006,0)))),"Fix")))</f>
        <v>0</v>
      </c>
      <c r="I209" s="4">
        <f>IF(OR(INDEX($V$2:$V$1001,MATCH(ROWS($U$2:U209),$U$2:$U$1001,0),1)&gt;=100000,INDEX($AB$1005:$AQ$1005,1,MATCH(COLUMNS($AB$1006:AI1006),$AB$1006:$AQ$1006,0))&gt;=100000), " ",IF(INDEX($AB$2:$AQ$1001,MATCH(ROWS($U$2:U209),$U$2:$U$1001,0),MATCH(COLUMNS($AB$1006:AI1006),$AB$1006:$AQ$1006,0)), HYPERLINK("#",""), HYPERLINK(CONCATENATE("#metadata!", ADDRESS(INDEX($W$2:$W$1001,MATCH(ROWS($U$2:U209),$U$2:$U$1001,0),0), INDEX($AB$1004:$AQ$1004,1,MATCH(COLUMNS($AB$1006:AI1006),$AB$1006:$AQ$1006,0)))),"Fix")))</f>
        <v>0</v>
      </c>
      <c r="J209" s="4">
        <f>IF(OR(INDEX($V$2:$V$1001,MATCH(ROWS($U$2:U209),$U$2:$U$1001,0),1)&gt;=100000,INDEX($AB$1005:$AQ$1005,1,MATCH(COLUMNS($AB$1006:AJ1006),$AB$1006:$AQ$1006,0))&gt;=100000), " ",IF(INDEX($AB$2:$AQ$1001,MATCH(ROWS($U$2:U209),$U$2:$U$1001,0),MATCH(COLUMNS($AB$1006:AJ1006),$AB$1006:$AQ$1006,0)), HYPERLINK("#",""), HYPERLINK(CONCATENATE("#metadata!", ADDRESS(INDEX($W$2:$W$1001,MATCH(ROWS($U$2:U209),$U$2:$U$1001,0),0), INDEX($AB$1004:$AQ$1004,1,MATCH(COLUMNS($AB$1006:AJ1006),$AB$1006:$AQ$1006,0)))),"Fix")))</f>
        <v>0</v>
      </c>
      <c r="K209" s="4">
        <f>IF(OR(INDEX($V$2:$V$1001,MATCH(ROWS($U$2:U209),$U$2:$U$1001,0),1)&gt;=100000,INDEX($AB$1005:$AQ$1005,1,MATCH(COLUMNS($AB$1006:AK1006),$AB$1006:$AQ$1006,0))&gt;=100000), " ",IF(INDEX($AB$2:$AQ$1001,MATCH(ROWS($U$2:U209),$U$2:$U$1001,0),MATCH(COLUMNS($AB$1006:AK1006),$AB$1006:$AQ$1006,0)), HYPERLINK("#",""), HYPERLINK(CONCATENATE("#metadata!", ADDRESS(INDEX($W$2:$W$1001,MATCH(ROWS($U$2:U209),$U$2:$U$1001,0),0), INDEX($AB$1004:$AQ$1004,1,MATCH(COLUMNS($AB$1006:AK1006),$AB$1006:$AQ$1006,0)))),"Fix")))</f>
        <v>0</v>
      </c>
      <c r="L209" s="4">
        <f>IF(OR(INDEX($V$2:$V$1001,MATCH(ROWS($U$2:U209),$U$2:$U$1001,0),1)&gt;=100000,INDEX($AB$1005:$AQ$1005,1,MATCH(COLUMNS($AB$1006:AL1006),$AB$1006:$AQ$1006,0))&gt;=100000), " ",IF(INDEX($AB$2:$AQ$1001,MATCH(ROWS($U$2:U209),$U$2:$U$1001,0),MATCH(COLUMNS($AB$1006:AL1006),$AB$1006:$AQ$1006,0)), HYPERLINK("#",""), HYPERLINK(CONCATENATE("#metadata!", ADDRESS(INDEX($W$2:$W$1001,MATCH(ROWS($U$2:U209),$U$2:$U$1001,0),0), INDEX($AB$1004:$AQ$1004,1,MATCH(COLUMNS($AB$1006:AL1006),$AB$1006:$AQ$1006,0)))),"Fix")))</f>
        <v>0</v>
      </c>
      <c r="M209" s="4">
        <f>IF(OR(INDEX($V$2:$V$1001,MATCH(ROWS($U$2:U209),$U$2:$U$1001,0),1)&gt;=100000,INDEX($AB$1005:$AQ$1005,1,MATCH(COLUMNS($AB$1006:AM1006),$AB$1006:$AQ$1006,0))&gt;=100000), " ",IF(INDEX($AB$2:$AQ$1001,MATCH(ROWS($U$2:U209),$U$2:$U$1001,0),MATCH(COLUMNS($AB$1006:AM1006),$AB$1006:$AQ$1006,0)), HYPERLINK("#",""), HYPERLINK(CONCATENATE("#metadata!", ADDRESS(INDEX($W$2:$W$1001,MATCH(ROWS($U$2:U209),$U$2:$U$1001,0),0), INDEX($AB$1004:$AQ$1004,1,MATCH(COLUMNS($AB$1006:AM1006),$AB$1006:$AQ$1006,0)))),"Fix")))</f>
        <v>0</v>
      </c>
      <c r="N209" s="4">
        <f>IF(OR(INDEX($V$2:$V$1001,MATCH(ROWS($U$2:U209),$U$2:$U$1001,0),1)&gt;=100000,INDEX($AB$1005:$AQ$1005,1,MATCH(COLUMNS($AB$1006:AN1006),$AB$1006:$AQ$1006,0))&gt;=100000), " ",IF(INDEX($AB$2:$AQ$1001,MATCH(ROWS($U$2:U209),$U$2:$U$1001,0),MATCH(COLUMNS($AB$1006:AN1006),$AB$1006:$AQ$1006,0)), HYPERLINK("#",""), HYPERLINK(CONCATENATE("#metadata!", ADDRESS(INDEX($W$2:$W$1001,MATCH(ROWS($U$2:U209),$U$2:$U$1001,0),0), INDEX($AB$1004:$AQ$1004,1,MATCH(COLUMNS($AB$1006:AN1006),$AB$1006:$AQ$1006,0)))),"Fix")))</f>
        <v>0</v>
      </c>
      <c r="O209" s="4">
        <f>IF(OR(INDEX($V$2:$V$1001,MATCH(ROWS($U$2:U209),$U$2:$U$1001,0),1)&gt;=100000,INDEX($AB$1005:$AQ$1005,1,MATCH(COLUMNS($AB$1006:AO1006),$AB$1006:$AQ$1006,0))&gt;=100000), " ",IF(INDEX($AB$2:$AQ$1001,MATCH(ROWS($U$2:U209),$U$2:$U$1001,0),MATCH(COLUMNS($AB$1006:AO1006),$AB$1006:$AQ$1006,0)), HYPERLINK("#",""), HYPERLINK(CONCATENATE("#metadata!", ADDRESS(INDEX($W$2:$W$1001,MATCH(ROWS($U$2:U209),$U$2:$U$1001,0),0), INDEX($AB$1004:$AQ$1004,1,MATCH(COLUMNS($AB$1006:AO1006),$AB$1006:$AQ$1006,0)))),"Fix")))</f>
        <v>0</v>
      </c>
      <c r="P209" s="4">
        <f>IF(OR(INDEX($V$2:$V$1001,MATCH(ROWS($U$2:U209),$U$2:$U$1001,0),1)&gt;=100000,INDEX($AB$1005:$AQ$1005,1,MATCH(COLUMNS($AB$1006:AP1006),$AB$1006:$AQ$1006,0))&gt;=100000), " ",IF(INDEX($AB$2:$AQ$1001,MATCH(ROWS($U$2:U209),$U$2:$U$1001,0),MATCH(COLUMNS($AB$1006:AP1006),$AB$1006:$AQ$1006,0)), HYPERLINK("#",""), HYPERLINK(CONCATENATE("#metadata!", ADDRESS(INDEX($W$2:$W$1001,MATCH(ROWS($U$2:U209),$U$2:$U$1001,0),0), INDEX($AB$1004:$AQ$1004,1,MATCH(COLUMNS($AB$1006:AP1006),$AB$1006:$AQ$1006,0)))),"Fix")))</f>
        <v>0</v>
      </c>
      <c r="Q209" s="4">
        <f>IF(OR(INDEX($V$2:$V$1001,MATCH(ROWS($U$2:U209),$U$2:$U$1001,0),1)&gt;=100000,INDEX($AB$1005:$AQ$1005,1,MATCH(COLUMNS($AB$1006:AQ1006),$AB$1006:$AQ$1006,0))&gt;=100000), " ",IF(INDEX($AB$2:$AQ$1001,MATCH(ROWS($U$2:U209),$U$2:$U$1001,0),MATCH(COLUMNS($AB$1006:AQ1006),$AB$1006:$AQ$1006,0)), HYPERLINK("#",""), HYPERLINK(CONCATENATE("#metadata!", ADDRESS(INDEX($W$2:$W$1001,MATCH(ROWS($U$2:U209),$U$2:$U$1001,0),0), INDEX($AB$1004:$AQ$1004,1,MATCH(COLUMNS($AB$1006:AQ1006),$AB$1006:$AQ$1006,0)))),"Fix")))</f>
        <v>0</v>
      </c>
      <c r="U209">
        <v>0</v>
      </c>
      <c r="V209">
        <v>0</v>
      </c>
      <c r="W209">
        <v>0</v>
      </c>
      <c r="X209">
        <f>IF(Y209,TRUE,AND(AB209:AQ209))</f>
        <v>0</v>
      </c>
      <c r="Y209">
        <f>COUNTBLANK(metadata!B209:Q209)=COLUMNS(metadata!B209:Q209)</f>
        <v>0</v>
      </c>
      <c r="Z209">
        <v>0</v>
      </c>
      <c r="AB209">
        <f>AND(IF(metadata!B209="",FALSE,TRUE),COUNTIF(metadata!B:B, metadata!B209) = 1,NOT(ISERROR(SUMPRODUCT(SEARCH(MID(metadata!B209,ROW(INDIRECT("1:"&amp;LEN(metadata!B209))), 1),"0123456789abcdefghijklmnopqrstuvwxyzABCDEFGHIJKLMNOPQRSTUVWXYZ.")))))</f>
        <v>0</v>
      </c>
      <c r="AC209">
        <f>OR(AND(IF(metadata!C209="",FALSE,TRUE),OR(exact(metadata!C209,"missing: not collected"),exact(metadata!C209,"missing: not provided"),exact(metadata!C209,"missing: restricted access"))),AND(IF(metadata!C209="",FALSE,TRUE),AND(AND(IFERROR(INT(LEFT(metadata!C209,4))&gt;1900,FALSE),IFERROR(INT(LEFT(metadata!C209,4))&lt;=YEAR(NOW()),FALSE)), OR(MID(metadata!C209,5,1)="", AND(AND(MID(metadata!C209,5,1)="-",IFERROR(INT(MID(metadata!C209,6,1))&gt;=0,FALSE),IFERROR(INT(MID(metadata!C209,6,1))&lt;=1,FALSE),NOT(MID(metadata!C209,7,1)=""),IFERROR(INT(MID(metadata!C209,6,2))&gt;=1,FALSE),IFERROR(INT(MID(metadata!C209,6,2))&lt;=12,FALSE)), OR(MID(metadata!C209,8,1)="", AND(AND(MID(metadata!C209,8,1)="-",IFERROR(INT(MID(metadata!C209,9,1))&gt;=0,FALSE),IFERROR(INT(MID(metadata!C209,9,1))&lt;=3,FALSE),NOT(MID(metadata!C209,10,1)=""),IFERROR(INT(MID(metadata!C209,9,2))&gt;=1,FALSE),IFERROR(INT(MID(metadata!C209,9,2))&lt;=31,FALSE)), OR(MID(metadata!C209,11,1)="", AND(AND(MID(metadata!C209,11,1)=" ",IFERROR(INT(MID(metadata!C209,12,1))&gt;=0,FALSE),IFERROR(INT(MID(metadata!C209,12,1))&lt;=2,FALSE),NOT(MID(metadata!C209,13,1)=""),IFERROR(INT(MID(metadata!C209,12,2))&gt;=0,FALSE),IFERROR(INT(MID(metadata!C209,12,2))&lt;=23,FALSE)), OR(MID(metadata!C209,14,1)="", AND(AND(MID(metadata!C209,14,1)=":",IFERROR(INT(MID(metadata!C209,15,1))&gt;=0,FALSE),IFERROR(INT(MID(metadata!C209,15,1))&lt;=5,FALSE),NOT(MID(metadata!C209,16,1)=""),IFERROR(INT(MID(metadata!C209,15,2))&gt;=0,FALSE),IFERROR(INT(MID(metadata!C209,15,2))&lt;=59,FALSE)), OR(MID(metadata!C209,17,1)="", AND(AND(MID(metadata!C209,17,1)=":",IFERROR(INT(MID(metadata!C209,18,1))&gt;=0,FALSE),IFERROR(INT(MID(metadata!C209,18,1))&lt;=5,FALSE),NOT(MID(metadata!C209,19,1)=""),IFERROR(INT(MID(metadata!C209,18,2))&gt;=0,FALSE),IFERROR(INT(MID(metadata!C209,18,2))&lt;=59,FALSE)), LEN(metadata!C209)&lt;=19)))))))))))))</f>
        <v>0</v>
      </c>
      <c r="AD209">
        <f>IF(metadata!D209="",FALSE,TRUE)</f>
        <v>0</v>
      </c>
      <c r="AE209">
        <f>OR(AND(IF(metadata!E209="",FALSE,TRUE),OR(exact(metadata!E209,"missing: not collected"),exact(metadata!E209,"missing: not provided"))),AND(IF(metadata!E209="",FALSE,TRUE),OR(exact(metadata!E209,"TRUE"),exact(metadata!E209,"FALSE"))))</f>
        <v>0</v>
      </c>
      <c r="AF209">
        <f>IF(metadata!F209="",FALSE,TRUE)</f>
        <v>0</v>
      </c>
      <c r="AG209">
        <f>IF(metadata!G209="",FALSE,TRUE)</f>
        <v>0</v>
      </c>
      <c r="AH209">
        <f>IF(metadata!H209="",FALSE,TRUE)</f>
        <v>0</v>
      </c>
      <c r="AI209">
        <f>OR(AND(IF(metadata!I209="",FALSE,TRUE),OR(exact(metadata!I209,"missing: not collected"),exact(metadata!I209,"missing: not provided"),exact(metadata!I209,"missing: restricted access"))),AND(IF(metadata!I209="",FALSE,TRUE),OR(exact(metadata!I209,"air"),exact(metadata!I209,"built environment"),exact(metadata!I209,"host-associated"),exact(metadata!I209,"human-associated"),exact(metadata!I209,"human-skin"),exact(metadata!I209,"human-oral"),exact(metadata!I209,"human-gut"),exact(metadata!I209,"human-vaginal"),exact(metadata!I209,"microbial mat/biofilm"),exact(metadata!I209,"misc environment"),exact(metadata!I209,"plant-associated"),exact(metadata!I209,"sediment"),exact(metadata!I209,"soil"),exact(metadata!I209,"wastewater/sludge"),exact(metadata!I209,"water"))))</f>
        <v>0</v>
      </c>
      <c r="AJ209">
        <f>IF(metadata!J209="",FALSE,TRUE)</f>
        <v>0</v>
      </c>
      <c r="AK209">
        <f>OR(AND(IF(metadata!K209="",FALSE,TRUE),OR(exact(metadata!K209,"missing: not collected"),exact(metadata!K209,"missing: not provided"),exact(metadata!K209,"missing: restricted access"))),AND(IF(metadata!K209="",FALSE,ISNUMBER(VALUE(metadata!K209))),metadata!K209&gt;=-90.00,metadata!K209&lt;=90.00))</f>
        <v>0</v>
      </c>
      <c r="AL209">
        <f>OR(AND(IF(metadata!L209="",FALSE,TRUE),OR(exact(metadata!L209,"missing: not collected"),exact(metadata!L209,"missing: not provided"),exact(metadata!L209,"missing: restricted access"))),AND(IF(metadata!L209="",FALSE,ISNUMBER(VALUE(metadata!L209))),metadata!L209&gt;=-180.00,metadata!L209&lt;=180.00))</f>
        <v>0</v>
      </c>
      <c r="AM209">
        <f>IF(metadata!M209="",FALSE,TRUE)</f>
        <v>0</v>
      </c>
      <c r="AN209">
        <f>OR(AND(IF(metadata!N209="",FALSE,TRUE),OR(exact(metadata!N209,"missing: not collected"),exact(metadata!N209,"missing: not provided"),exact(metadata!N209,"missing: restricted access"))),AND(IF(metadata!N209="",FALSE,TRUE),OR(exact(metadata!N209,"TRUE"),exact(metadata!N209,"FALSE"))))</f>
        <v>0</v>
      </c>
      <c r="AO209">
        <f>IF(metadata!O209="",FALSE,TRUE)</f>
        <v>0</v>
      </c>
      <c r="AP209">
        <f>OR(AND(IF(metadata!P209="",FALSE,TRUE),OR(exact(metadata!P209,"missing: not collected"),exact(metadata!P209,"missing: not provided"))),AND(IF(metadata!P209="",FALSE,IF(ISERROR(INT(metadata!P209)),FALSE,INT(metadata!P209)=metadata!P209)),metadata!P209&gt;0))</f>
        <v>0</v>
      </c>
      <c r="AQ209">
        <f>IF(metadata!Q209="",FALSE,TRUE)</f>
        <v>0</v>
      </c>
    </row>
    <row r="210" spans="1:43">
      <c r="A210" s="5">
        <f>IF(B210=" "," ",HYPERLINK(CONCATENATE("#metadata!",ADDRESS(INDEX($W$2:$W$1001,MATCH(ROWS($U$2:U210),$U$2:$U$1001,0),0),1)),INDEX($Z$2:$Z$1001,MATCH(ROWS($U$2:U210),$U$2:$U$1001,0),0)))</f>
        <v>0</v>
      </c>
      <c r="B210" s="4">
        <f>IF(OR(INDEX($V$2:$V$1001,MATCH(ROWS($U$2:U210),$U$2:$U$1001,0),1)&gt;=100000,INDEX($AB$1005:$AQ$1005,1,MATCH(COLUMNS($AB$1006:AB1006),$AB$1006:$AQ$1006,0))&gt;=100000), " ",IF(INDEX($AB$2:$AQ$1001,MATCH(ROWS($U$2:U210),$U$2:$U$1001,0),MATCH(COLUMNS($AB$1006:AB1006),$AB$1006:$AQ$1006,0)), HYPERLINK("#",""), HYPERLINK(CONCATENATE("#metadata!", ADDRESS(INDEX($W$2:$W$1001,MATCH(ROWS($U$2:U210),$U$2:$U$1001,0),0), INDEX($AB$1004:$AQ$1004,1,MATCH(COLUMNS($AB$1006:AB1006),$AB$1006:$AQ$1006,0)))),"Fix")))</f>
        <v>0</v>
      </c>
      <c r="C210" s="4">
        <f>IF(OR(INDEX($V$2:$V$1001,MATCH(ROWS($U$2:U210),$U$2:$U$1001,0),1)&gt;=100000,INDEX($AB$1005:$AQ$1005,1,MATCH(COLUMNS($AB$1006:AC1006),$AB$1006:$AQ$1006,0))&gt;=100000), " ",IF(INDEX($AB$2:$AQ$1001,MATCH(ROWS($U$2:U210),$U$2:$U$1001,0),MATCH(COLUMNS($AB$1006:AC1006),$AB$1006:$AQ$1006,0)), HYPERLINK("#",""), HYPERLINK(CONCATENATE("#metadata!", ADDRESS(INDEX($W$2:$W$1001,MATCH(ROWS($U$2:U210),$U$2:$U$1001,0),0), INDEX($AB$1004:$AQ$1004,1,MATCH(COLUMNS($AB$1006:AC1006),$AB$1006:$AQ$1006,0)))),"Fix")))</f>
        <v>0</v>
      </c>
      <c r="D210" s="4">
        <f>IF(OR(INDEX($V$2:$V$1001,MATCH(ROWS($U$2:U210),$U$2:$U$1001,0),1)&gt;=100000,INDEX($AB$1005:$AQ$1005,1,MATCH(COLUMNS($AB$1006:AD1006),$AB$1006:$AQ$1006,0))&gt;=100000), " ",IF(INDEX($AB$2:$AQ$1001,MATCH(ROWS($U$2:U210),$U$2:$U$1001,0),MATCH(COLUMNS($AB$1006:AD1006),$AB$1006:$AQ$1006,0)), HYPERLINK("#",""), HYPERLINK(CONCATENATE("#metadata!", ADDRESS(INDEX($W$2:$W$1001,MATCH(ROWS($U$2:U210),$U$2:$U$1001,0),0), INDEX($AB$1004:$AQ$1004,1,MATCH(COLUMNS($AB$1006:AD1006),$AB$1006:$AQ$1006,0)))),"Fix")))</f>
        <v>0</v>
      </c>
      <c r="E210" s="4">
        <f>IF(OR(INDEX($V$2:$V$1001,MATCH(ROWS($U$2:U210),$U$2:$U$1001,0),1)&gt;=100000,INDEX($AB$1005:$AQ$1005,1,MATCH(COLUMNS($AB$1006:AE1006),$AB$1006:$AQ$1006,0))&gt;=100000), " ",IF(INDEX($AB$2:$AQ$1001,MATCH(ROWS($U$2:U210),$U$2:$U$1001,0),MATCH(COLUMNS($AB$1006:AE1006),$AB$1006:$AQ$1006,0)), HYPERLINK("#",""), HYPERLINK(CONCATENATE("#metadata!", ADDRESS(INDEX($W$2:$W$1001,MATCH(ROWS($U$2:U210),$U$2:$U$1001,0),0), INDEX($AB$1004:$AQ$1004,1,MATCH(COLUMNS($AB$1006:AE1006),$AB$1006:$AQ$1006,0)))),"Fix")))</f>
        <v>0</v>
      </c>
      <c r="F210" s="4">
        <f>IF(OR(INDEX($V$2:$V$1001,MATCH(ROWS($U$2:U210),$U$2:$U$1001,0),1)&gt;=100000,INDEX($AB$1005:$AQ$1005,1,MATCH(COLUMNS($AB$1006:AF1006),$AB$1006:$AQ$1006,0))&gt;=100000), " ",IF(INDEX($AB$2:$AQ$1001,MATCH(ROWS($U$2:U210),$U$2:$U$1001,0),MATCH(COLUMNS($AB$1006:AF1006),$AB$1006:$AQ$1006,0)), HYPERLINK("#",""), HYPERLINK(CONCATENATE("#metadata!", ADDRESS(INDEX($W$2:$W$1001,MATCH(ROWS($U$2:U210),$U$2:$U$1001,0),0), INDEX($AB$1004:$AQ$1004,1,MATCH(COLUMNS($AB$1006:AF1006),$AB$1006:$AQ$1006,0)))),"Fix")))</f>
        <v>0</v>
      </c>
      <c r="G210" s="4">
        <f>IF(OR(INDEX($V$2:$V$1001,MATCH(ROWS($U$2:U210),$U$2:$U$1001,0),1)&gt;=100000,INDEX($AB$1005:$AQ$1005,1,MATCH(COLUMNS($AB$1006:AG1006),$AB$1006:$AQ$1006,0))&gt;=100000), " ",IF(INDEX($AB$2:$AQ$1001,MATCH(ROWS($U$2:U210),$U$2:$U$1001,0),MATCH(COLUMNS($AB$1006:AG1006),$AB$1006:$AQ$1006,0)), HYPERLINK("#",""), HYPERLINK(CONCATENATE("#metadata!", ADDRESS(INDEX($W$2:$W$1001,MATCH(ROWS($U$2:U210),$U$2:$U$1001,0),0), INDEX($AB$1004:$AQ$1004,1,MATCH(COLUMNS($AB$1006:AG1006),$AB$1006:$AQ$1006,0)))),"Fix")))</f>
        <v>0</v>
      </c>
      <c r="H210" s="4">
        <f>IF(OR(INDEX($V$2:$V$1001,MATCH(ROWS($U$2:U210),$U$2:$U$1001,0),1)&gt;=100000,INDEX($AB$1005:$AQ$1005,1,MATCH(COLUMNS($AB$1006:AH1006),$AB$1006:$AQ$1006,0))&gt;=100000), " ",IF(INDEX($AB$2:$AQ$1001,MATCH(ROWS($U$2:U210),$U$2:$U$1001,0),MATCH(COLUMNS($AB$1006:AH1006),$AB$1006:$AQ$1006,0)), HYPERLINK("#",""), HYPERLINK(CONCATENATE("#metadata!", ADDRESS(INDEX($W$2:$W$1001,MATCH(ROWS($U$2:U210),$U$2:$U$1001,0),0), INDEX($AB$1004:$AQ$1004,1,MATCH(COLUMNS($AB$1006:AH1006),$AB$1006:$AQ$1006,0)))),"Fix")))</f>
        <v>0</v>
      </c>
      <c r="I210" s="4">
        <f>IF(OR(INDEX($V$2:$V$1001,MATCH(ROWS($U$2:U210),$U$2:$U$1001,0),1)&gt;=100000,INDEX($AB$1005:$AQ$1005,1,MATCH(COLUMNS($AB$1006:AI1006),$AB$1006:$AQ$1006,0))&gt;=100000), " ",IF(INDEX($AB$2:$AQ$1001,MATCH(ROWS($U$2:U210),$U$2:$U$1001,0),MATCH(COLUMNS($AB$1006:AI1006),$AB$1006:$AQ$1006,0)), HYPERLINK("#",""), HYPERLINK(CONCATENATE("#metadata!", ADDRESS(INDEX($W$2:$W$1001,MATCH(ROWS($U$2:U210),$U$2:$U$1001,0),0), INDEX($AB$1004:$AQ$1004,1,MATCH(COLUMNS($AB$1006:AI1006),$AB$1006:$AQ$1006,0)))),"Fix")))</f>
        <v>0</v>
      </c>
      <c r="J210" s="4">
        <f>IF(OR(INDEX($V$2:$V$1001,MATCH(ROWS($U$2:U210),$U$2:$U$1001,0),1)&gt;=100000,INDEX($AB$1005:$AQ$1005,1,MATCH(COLUMNS($AB$1006:AJ1006),$AB$1006:$AQ$1006,0))&gt;=100000), " ",IF(INDEX($AB$2:$AQ$1001,MATCH(ROWS($U$2:U210),$U$2:$U$1001,0),MATCH(COLUMNS($AB$1006:AJ1006),$AB$1006:$AQ$1006,0)), HYPERLINK("#",""), HYPERLINK(CONCATENATE("#metadata!", ADDRESS(INDEX($W$2:$W$1001,MATCH(ROWS($U$2:U210),$U$2:$U$1001,0),0), INDEX($AB$1004:$AQ$1004,1,MATCH(COLUMNS($AB$1006:AJ1006),$AB$1006:$AQ$1006,0)))),"Fix")))</f>
        <v>0</v>
      </c>
      <c r="K210" s="4">
        <f>IF(OR(INDEX($V$2:$V$1001,MATCH(ROWS($U$2:U210),$U$2:$U$1001,0),1)&gt;=100000,INDEX($AB$1005:$AQ$1005,1,MATCH(COLUMNS($AB$1006:AK1006),$AB$1006:$AQ$1006,0))&gt;=100000), " ",IF(INDEX($AB$2:$AQ$1001,MATCH(ROWS($U$2:U210),$U$2:$U$1001,0),MATCH(COLUMNS($AB$1006:AK1006),$AB$1006:$AQ$1006,0)), HYPERLINK("#",""), HYPERLINK(CONCATENATE("#metadata!", ADDRESS(INDEX($W$2:$W$1001,MATCH(ROWS($U$2:U210),$U$2:$U$1001,0),0), INDEX($AB$1004:$AQ$1004,1,MATCH(COLUMNS($AB$1006:AK1006),$AB$1006:$AQ$1006,0)))),"Fix")))</f>
        <v>0</v>
      </c>
      <c r="L210" s="4">
        <f>IF(OR(INDEX($V$2:$V$1001,MATCH(ROWS($U$2:U210),$U$2:$U$1001,0),1)&gt;=100000,INDEX($AB$1005:$AQ$1005,1,MATCH(COLUMNS($AB$1006:AL1006),$AB$1006:$AQ$1006,0))&gt;=100000), " ",IF(INDEX($AB$2:$AQ$1001,MATCH(ROWS($U$2:U210),$U$2:$U$1001,0),MATCH(COLUMNS($AB$1006:AL1006),$AB$1006:$AQ$1006,0)), HYPERLINK("#",""), HYPERLINK(CONCATENATE("#metadata!", ADDRESS(INDEX($W$2:$W$1001,MATCH(ROWS($U$2:U210),$U$2:$U$1001,0),0), INDEX($AB$1004:$AQ$1004,1,MATCH(COLUMNS($AB$1006:AL1006),$AB$1006:$AQ$1006,0)))),"Fix")))</f>
        <v>0</v>
      </c>
      <c r="M210" s="4">
        <f>IF(OR(INDEX($V$2:$V$1001,MATCH(ROWS($U$2:U210),$U$2:$U$1001,0),1)&gt;=100000,INDEX($AB$1005:$AQ$1005,1,MATCH(COLUMNS($AB$1006:AM1006),$AB$1006:$AQ$1006,0))&gt;=100000), " ",IF(INDEX($AB$2:$AQ$1001,MATCH(ROWS($U$2:U210),$U$2:$U$1001,0),MATCH(COLUMNS($AB$1006:AM1006),$AB$1006:$AQ$1006,0)), HYPERLINK("#",""), HYPERLINK(CONCATENATE("#metadata!", ADDRESS(INDEX($W$2:$W$1001,MATCH(ROWS($U$2:U210),$U$2:$U$1001,0),0), INDEX($AB$1004:$AQ$1004,1,MATCH(COLUMNS($AB$1006:AM1006),$AB$1006:$AQ$1006,0)))),"Fix")))</f>
        <v>0</v>
      </c>
      <c r="N210" s="4">
        <f>IF(OR(INDEX($V$2:$V$1001,MATCH(ROWS($U$2:U210),$U$2:$U$1001,0),1)&gt;=100000,INDEX($AB$1005:$AQ$1005,1,MATCH(COLUMNS($AB$1006:AN1006),$AB$1006:$AQ$1006,0))&gt;=100000), " ",IF(INDEX($AB$2:$AQ$1001,MATCH(ROWS($U$2:U210),$U$2:$U$1001,0),MATCH(COLUMNS($AB$1006:AN1006),$AB$1006:$AQ$1006,0)), HYPERLINK("#",""), HYPERLINK(CONCATENATE("#metadata!", ADDRESS(INDEX($W$2:$W$1001,MATCH(ROWS($U$2:U210),$U$2:$U$1001,0),0), INDEX($AB$1004:$AQ$1004,1,MATCH(COLUMNS($AB$1006:AN1006),$AB$1006:$AQ$1006,0)))),"Fix")))</f>
        <v>0</v>
      </c>
      <c r="O210" s="4">
        <f>IF(OR(INDEX($V$2:$V$1001,MATCH(ROWS($U$2:U210),$U$2:$U$1001,0),1)&gt;=100000,INDEX($AB$1005:$AQ$1005,1,MATCH(COLUMNS($AB$1006:AO1006),$AB$1006:$AQ$1006,0))&gt;=100000), " ",IF(INDEX($AB$2:$AQ$1001,MATCH(ROWS($U$2:U210),$U$2:$U$1001,0),MATCH(COLUMNS($AB$1006:AO1006),$AB$1006:$AQ$1006,0)), HYPERLINK("#",""), HYPERLINK(CONCATENATE("#metadata!", ADDRESS(INDEX($W$2:$W$1001,MATCH(ROWS($U$2:U210),$U$2:$U$1001,0),0), INDEX($AB$1004:$AQ$1004,1,MATCH(COLUMNS($AB$1006:AO1006),$AB$1006:$AQ$1006,0)))),"Fix")))</f>
        <v>0</v>
      </c>
      <c r="P210" s="4">
        <f>IF(OR(INDEX($V$2:$V$1001,MATCH(ROWS($U$2:U210),$U$2:$U$1001,0),1)&gt;=100000,INDEX($AB$1005:$AQ$1005,1,MATCH(COLUMNS($AB$1006:AP1006),$AB$1006:$AQ$1006,0))&gt;=100000), " ",IF(INDEX($AB$2:$AQ$1001,MATCH(ROWS($U$2:U210),$U$2:$U$1001,0),MATCH(COLUMNS($AB$1006:AP1006),$AB$1006:$AQ$1006,0)), HYPERLINK("#",""), HYPERLINK(CONCATENATE("#metadata!", ADDRESS(INDEX($W$2:$W$1001,MATCH(ROWS($U$2:U210),$U$2:$U$1001,0),0), INDEX($AB$1004:$AQ$1004,1,MATCH(COLUMNS($AB$1006:AP1006),$AB$1006:$AQ$1006,0)))),"Fix")))</f>
        <v>0</v>
      </c>
      <c r="Q210" s="4">
        <f>IF(OR(INDEX($V$2:$V$1001,MATCH(ROWS($U$2:U210),$U$2:$U$1001,0),1)&gt;=100000,INDEX($AB$1005:$AQ$1005,1,MATCH(COLUMNS($AB$1006:AQ1006),$AB$1006:$AQ$1006,0))&gt;=100000), " ",IF(INDEX($AB$2:$AQ$1001,MATCH(ROWS($U$2:U210),$U$2:$U$1001,0),MATCH(COLUMNS($AB$1006:AQ1006),$AB$1006:$AQ$1006,0)), HYPERLINK("#",""), HYPERLINK(CONCATENATE("#metadata!", ADDRESS(INDEX($W$2:$W$1001,MATCH(ROWS($U$2:U210),$U$2:$U$1001,0),0), INDEX($AB$1004:$AQ$1004,1,MATCH(COLUMNS($AB$1006:AQ1006),$AB$1006:$AQ$1006,0)))),"Fix")))</f>
        <v>0</v>
      </c>
      <c r="U210">
        <v>0</v>
      </c>
      <c r="V210">
        <v>0</v>
      </c>
      <c r="W210">
        <v>0</v>
      </c>
      <c r="X210">
        <f>IF(Y210,TRUE,AND(AB210:AQ210))</f>
        <v>0</v>
      </c>
      <c r="Y210">
        <f>COUNTBLANK(metadata!B210:Q210)=COLUMNS(metadata!B210:Q210)</f>
        <v>0</v>
      </c>
      <c r="Z210">
        <v>0</v>
      </c>
      <c r="AB210">
        <f>AND(IF(metadata!B210="",FALSE,TRUE),COUNTIF(metadata!B:B, metadata!B210) = 1,NOT(ISERROR(SUMPRODUCT(SEARCH(MID(metadata!B210,ROW(INDIRECT("1:"&amp;LEN(metadata!B210))), 1),"0123456789abcdefghijklmnopqrstuvwxyzABCDEFGHIJKLMNOPQRSTUVWXYZ.")))))</f>
        <v>0</v>
      </c>
      <c r="AC210">
        <f>OR(AND(IF(metadata!C210="",FALSE,TRUE),OR(exact(metadata!C210,"missing: not collected"),exact(metadata!C210,"missing: not provided"),exact(metadata!C210,"missing: restricted access"))),AND(IF(metadata!C210="",FALSE,TRUE),AND(AND(IFERROR(INT(LEFT(metadata!C210,4))&gt;1900,FALSE),IFERROR(INT(LEFT(metadata!C210,4))&lt;=YEAR(NOW()),FALSE)), OR(MID(metadata!C210,5,1)="", AND(AND(MID(metadata!C210,5,1)="-",IFERROR(INT(MID(metadata!C210,6,1))&gt;=0,FALSE),IFERROR(INT(MID(metadata!C210,6,1))&lt;=1,FALSE),NOT(MID(metadata!C210,7,1)=""),IFERROR(INT(MID(metadata!C210,6,2))&gt;=1,FALSE),IFERROR(INT(MID(metadata!C210,6,2))&lt;=12,FALSE)), OR(MID(metadata!C210,8,1)="", AND(AND(MID(metadata!C210,8,1)="-",IFERROR(INT(MID(metadata!C210,9,1))&gt;=0,FALSE),IFERROR(INT(MID(metadata!C210,9,1))&lt;=3,FALSE),NOT(MID(metadata!C210,10,1)=""),IFERROR(INT(MID(metadata!C210,9,2))&gt;=1,FALSE),IFERROR(INT(MID(metadata!C210,9,2))&lt;=31,FALSE)), OR(MID(metadata!C210,11,1)="", AND(AND(MID(metadata!C210,11,1)=" ",IFERROR(INT(MID(metadata!C210,12,1))&gt;=0,FALSE),IFERROR(INT(MID(metadata!C210,12,1))&lt;=2,FALSE),NOT(MID(metadata!C210,13,1)=""),IFERROR(INT(MID(metadata!C210,12,2))&gt;=0,FALSE),IFERROR(INT(MID(metadata!C210,12,2))&lt;=23,FALSE)), OR(MID(metadata!C210,14,1)="", AND(AND(MID(metadata!C210,14,1)=":",IFERROR(INT(MID(metadata!C210,15,1))&gt;=0,FALSE),IFERROR(INT(MID(metadata!C210,15,1))&lt;=5,FALSE),NOT(MID(metadata!C210,16,1)=""),IFERROR(INT(MID(metadata!C210,15,2))&gt;=0,FALSE),IFERROR(INT(MID(metadata!C210,15,2))&lt;=59,FALSE)), OR(MID(metadata!C210,17,1)="", AND(AND(MID(metadata!C210,17,1)=":",IFERROR(INT(MID(metadata!C210,18,1))&gt;=0,FALSE),IFERROR(INT(MID(metadata!C210,18,1))&lt;=5,FALSE),NOT(MID(metadata!C210,19,1)=""),IFERROR(INT(MID(metadata!C210,18,2))&gt;=0,FALSE),IFERROR(INT(MID(metadata!C210,18,2))&lt;=59,FALSE)), LEN(metadata!C210)&lt;=19)))))))))))))</f>
        <v>0</v>
      </c>
      <c r="AD210">
        <f>IF(metadata!D210="",FALSE,TRUE)</f>
        <v>0</v>
      </c>
      <c r="AE210">
        <f>OR(AND(IF(metadata!E210="",FALSE,TRUE),OR(exact(metadata!E210,"missing: not collected"),exact(metadata!E210,"missing: not provided"))),AND(IF(metadata!E210="",FALSE,TRUE),OR(exact(metadata!E210,"TRUE"),exact(metadata!E210,"FALSE"))))</f>
        <v>0</v>
      </c>
      <c r="AF210">
        <f>IF(metadata!F210="",FALSE,TRUE)</f>
        <v>0</v>
      </c>
      <c r="AG210">
        <f>IF(metadata!G210="",FALSE,TRUE)</f>
        <v>0</v>
      </c>
      <c r="AH210">
        <f>IF(metadata!H210="",FALSE,TRUE)</f>
        <v>0</v>
      </c>
      <c r="AI210">
        <f>OR(AND(IF(metadata!I210="",FALSE,TRUE),OR(exact(metadata!I210,"missing: not collected"),exact(metadata!I210,"missing: not provided"),exact(metadata!I210,"missing: restricted access"))),AND(IF(metadata!I210="",FALSE,TRUE),OR(exact(metadata!I210,"air"),exact(metadata!I210,"built environment"),exact(metadata!I210,"host-associated"),exact(metadata!I210,"human-associated"),exact(metadata!I210,"human-skin"),exact(metadata!I210,"human-oral"),exact(metadata!I210,"human-gut"),exact(metadata!I210,"human-vaginal"),exact(metadata!I210,"microbial mat/biofilm"),exact(metadata!I210,"misc environment"),exact(metadata!I210,"plant-associated"),exact(metadata!I210,"sediment"),exact(metadata!I210,"soil"),exact(metadata!I210,"wastewater/sludge"),exact(metadata!I210,"water"))))</f>
        <v>0</v>
      </c>
      <c r="AJ210">
        <f>IF(metadata!J210="",FALSE,TRUE)</f>
        <v>0</v>
      </c>
      <c r="AK210">
        <f>OR(AND(IF(metadata!K210="",FALSE,TRUE),OR(exact(metadata!K210,"missing: not collected"),exact(metadata!K210,"missing: not provided"),exact(metadata!K210,"missing: restricted access"))),AND(IF(metadata!K210="",FALSE,ISNUMBER(VALUE(metadata!K210))),metadata!K210&gt;=-90.00,metadata!K210&lt;=90.00))</f>
        <v>0</v>
      </c>
      <c r="AL210">
        <f>OR(AND(IF(metadata!L210="",FALSE,TRUE),OR(exact(metadata!L210,"missing: not collected"),exact(metadata!L210,"missing: not provided"),exact(metadata!L210,"missing: restricted access"))),AND(IF(metadata!L210="",FALSE,ISNUMBER(VALUE(metadata!L210))),metadata!L210&gt;=-180.00,metadata!L210&lt;=180.00))</f>
        <v>0</v>
      </c>
      <c r="AM210">
        <f>IF(metadata!M210="",FALSE,TRUE)</f>
        <v>0</v>
      </c>
      <c r="AN210">
        <f>OR(AND(IF(metadata!N210="",FALSE,TRUE),OR(exact(metadata!N210,"missing: not collected"),exact(metadata!N210,"missing: not provided"),exact(metadata!N210,"missing: restricted access"))),AND(IF(metadata!N210="",FALSE,TRUE),OR(exact(metadata!N210,"TRUE"),exact(metadata!N210,"FALSE"))))</f>
        <v>0</v>
      </c>
      <c r="AO210">
        <f>IF(metadata!O210="",FALSE,TRUE)</f>
        <v>0</v>
      </c>
      <c r="AP210">
        <f>OR(AND(IF(metadata!P210="",FALSE,TRUE),OR(exact(metadata!P210,"missing: not collected"),exact(metadata!P210,"missing: not provided"))),AND(IF(metadata!P210="",FALSE,IF(ISERROR(INT(metadata!P210)),FALSE,INT(metadata!P210)=metadata!P210)),metadata!P210&gt;0))</f>
        <v>0</v>
      </c>
      <c r="AQ210">
        <f>IF(metadata!Q210="",FALSE,TRUE)</f>
        <v>0</v>
      </c>
    </row>
    <row r="211" spans="1:43">
      <c r="A211" s="5">
        <f>IF(B211=" "," ",HYPERLINK(CONCATENATE("#metadata!",ADDRESS(INDEX($W$2:$W$1001,MATCH(ROWS($U$2:U211),$U$2:$U$1001,0),0),1)),INDEX($Z$2:$Z$1001,MATCH(ROWS($U$2:U211),$U$2:$U$1001,0),0)))</f>
        <v>0</v>
      </c>
      <c r="B211" s="4">
        <f>IF(OR(INDEX($V$2:$V$1001,MATCH(ROWS($U$2:U211),$U$2:$U$1001,0),1)&gt;=100000,INDEX($AB$1005:$AQ$1005,1,MATCH(COLUMNS($AB$1006:AB1006),$AB$1006:$AQ$1006,0))&gt;=100000), " ",IF(INDEX($AB$2:$AQ$1001,MATCH(ROWS($U$2:U211),$U$2:$U$1001,0),MATCH(COLUMNS($AB$1006:AB1006),$AB$1006:$AQ$1006,0)), HYPERLINK("#",""), HYPERLINK(CONCATENATE("#metadata!", ADDRESS(INDEX($W$2:$W$1001,MATCH(ROWS($U$2:U211),$U$2:$U$1001,0),0), INDEX($AB$1004:$AQ$1004,1,MATCH(COLUMNS($AB$1006:AB1006),$AB$1006:$AQ$1006,0)))),"Fix")))</f>
        <v>0</v>
      </c>
      <c r="C211" s="4">
        <f>IF(OR(INDEX($V$2:$V$1001,MATCH(ROWS($U$2:U211),$U$2:$U$1001,0),1)&gt;=100000,INDEX($AB$1005:$AQ$1005,1,MATCH(COLUMNS($AB$1006:AC1006),$AB$1006:$AQ$1006,0))&gt;=100000), " ",IF(INDEX($AB$2:$AQ$1001,MATCH(ROWS($U$2:U211),$U$2:$U$1001,0),MATCH(COLUMNS($AB$1006:AC1006),$AB$1006:$AQ$1006,0)), HYPERLINK("#",""), HYPERLINK(CONCATENATE("#metadata!", ADDRESS(INDEX($W$2:$W$1001,MATCH(ROWS($U$2:U211),$U$2:$U$1001,0),0), INDEX($AB$1004:$AQ$1004,1,MATCH(COLUMNS($AB$1006:AC1006),$AB$1006:$AQ$1006,0)))),"Fix")))</f>
        <v>0</v>
      </c>
      <c r="D211" s="4">
        <f>IF(OR(INDEX($V$2:$V$1001,MATCH(ROWS($U$2:U211),$U$2:$U$1001,0),1)&gt;=100000,INDEX($AB$1005:$AQ$1005,1,MATCH(COLUMNS($AB$1006:AD1006),$AB$1006:$AQ$1006,0))&gt;=100000), " ",IF(INDEX($AB$2:$AQ$1001,MATCH(ROWS($U$2:U211),$U$2:$U$1001,0),MATCH(COLUMNS($AB$1006:AD1006),$AB$1006:$AQ$1006,0)), HYPERLINK("#",""), HYPERLINK(CONCATENATE("#metadata!", ADDRESS(INDEX($W$2:$W$1001,MATCH(ROWS($U$2:U211),$U$2:$U$1001,0),0), INDEX($AB$1004:$AQ$1004,1,MATCH(COLUMNS($AB$1006:AD1006),$AB$1006:$AQ$1006,0)))),"Fix")))</f>
        <v>0</v>
      </c>
      <c r="E211" s="4">
        <f>IF(OR(INDEX($V$2:$V$1001,MATCH(ROWS($U$2:U211),$U$2:$U$1001,0),1)&gt;=100000,INDEX($AB$1005:$AQ$1005,1,MATCH(COLUMNS($AB$1006:AE1006),$AB$1006:$AQ$1006,0))&gt;=100000), " ",IF(INDEX($AB$2:$AQ$1001,MATCH(ROWS($U$2:U211),$U$2:$U$1001,0),MATCH(COLUMNS($AB$1006:AE1006),$AB$1006:$AQ$1006,0)), HYPERLINK("#",""), HYPERLINK(CONCATENATE("#metadata!", ADDRESS(INDEX($W$2:$W$1001,MATCH(ROWS($U$2:U211),$U$2:$U$1001,0),0), INDEX($AB$1004:$AQ$1004,1,MATCH(COLUMNS($AB$1006:AE1006),$AB$1006:$AQ$1006,0)))),"Fix")))</f>
        <v>0</v>
      </c>
      <c r="F211" s="4">
        <f>IF(OR(INDEX($V$2:$V$1001,MATCH(ROWS($U$2:U211),$U$2:$U$1001,0),1)&gt;=100000,INDEX($AB$1005:$AQ$1005,1,MATCH(COLUMNS($AB$1006:AF1006),$AB$1006:$AQ$1006,0))&gt;=100000), " ",IF(INDEX($AB$2:$AQ$1001,MATCH(ROWS($U$2:U211),$U$2:$U$1001,0),MATCH(COLUMNS($AB$1006:AF1006),$AB$1006:$AQ$1006,0)), HYPERLINK("#",""), HYPERLINK(CONCATENATE("#metadata!", ADDRESS(INDEX($W$2:$W$1001,MATCH(ROWS($U$2:U211),$U$2:$U$1001,0),0), INDEX($AB$1004:$AQ$1004,1,MATCH(COLUMNS($AB$1006:AF1006),$AB$1006:$AQ$1006,0)))),"Fix")))</f>
        <v>0</v>
      </c>
      <c r="G211" s="4">
        <f>IF(OR(INDEX($V$2:$V$1001,MATCH(ROWS($U$2:U211),$U$2:$U$1001,0),1)&gt;=100000,INDEX($AB$1005:$AQ$1005,1,MATCH(COLUMNS($AB$1006:AG1006),$AB$1006:$AQ$1006,0))&gt;=100000), " ",IF(INDEX($AB$2:$AQ$1001,MATCH(ROWS($U$2:U211),$U$2:$U$1001,0),MATCH(COLUMNS($AB$1006:AG1006),$AB$1006:$AQ$1006,0)), HYPERLINK("#",""), HYPERLINK(CONCATENATE("#metadata!", ADDRESS(INDEX($W$2:$W$1001,MATCH(ROWS($U$2:U211),$U$2:$U$1001,0),0), INDEX($AB$1004:$AQ$1004,1,MATCH(COLUMNS($AB$1006:AG1006),$AB$1006:$AQ$1006,0)))),"Fix")))</f>
        <v>0</v>
      </c>
      <c r="H211" s="4">
        <f>IF(OR(INDEX($V$2:$V$1001,MATCH(ROWS($U$2:U211),$U$2:$U$1001,0),1)&gt;=100000,INDEX($AB$1005:$AQ$1005,1,MATCH(COLUMNS($AB$1006:AH1006),$AB$1006:$AQ$1006,0))&gt;=100000), " ",IF(INDEX($AB$2:$AQ$1001,MATCH(ROWS($U$2:U211),$U$2:$U$1001,0),MATCH(COLUMNS($AB$1006:AH1006),$AB$1006:$AQ$1006,0)), HYPERLINK("#",""), HYPERLINK(CONCATENATE("#metadata!", ADDRESS(INDEX($W$2:$W$1001,MATCH(ROWS($U$2:U211),$U$2:$U$1001,0),0), INDEX($AB$1004:$AQ$1004,1,MATCH(COLUMNS($AB$1006:AH1006),$AB$1006:$AQ$1006,0)))),"Fix")))</f>
        <v>0</v>
      </c>
      <c r="I211" s="4">
        <f>IF(OR(INDEX($V$2:$V$1001,MATCH(ROWS($U$2:U211),$U$2:$U$1001,0),1)&gt;=100000,INDEX($AB$1005:$AQ$1005,1,MATCH(COLUMNS($AB$1006:AI1006),$AB$1006:$AQ$1006,0))&gt;=100000), " ",IF(INDEX($AB$2:$AQ$1001,MATCH(ROWS($U$2:U211),$U$2:$U$1001,0),MATCH(COLUMNS($AB$1006:AI1006),$AB$1006:$AQ$1006,0)), HYPERLINK("#",""), HYPERLINK(CONCATENATE("#metadata!", ADDRESS(INDEX($W$2:$W$1001,MATCH(ROWS($U$2:U211),$U$2:$U$1001,0),0), INDEX($AB$1004:$AQ$1004,1,MATCH(COLUMNS($AB$1006:AI1006),$AB$1006:$AQ$1006,0)))),"Fix")))</f>
        <v>0</v>
      </c>
      <c r="J211" s="4">
        <f>IF(OR(INDEX($V$2:$V$1001,MATCH(ROWS($U$2:U211),$U$2:$U$1001,0),1)&gt;=100000,INDEX($AB$1005:$AQ$1005,1,MATCH(COLUMNS($AB$1006:AJ1006),$AB$1006:$AQ$1006,0))&gt;=100000), " ",IF(INDEX($AB$2:$AQ$1001,MATCH(ROWS($U$2:U211),$U$2:$U$1001,0),MATCH(COLUMNS($AB$1006:AJ1006),$AB$1006:$AQ$1006,0)), HYPERLINK("#",""), HYPERLINK(CONCATENATE("#metadata!", ADDRESS(INDEX($W$2:$W$1001,MATCH(ROWS($U$2:U211),$U$2:$U$1001,0),0), INDEX($AB$1004:$AQ$1004,1,MATCH(COLUMNS($AB$1006:AJ1006),$AB$1006:$AQ$1006,0)))),"Fix")))</f>
        <v>0</v>
      </c>
      <c r="K211" s="4">
        <f>IF(OR(INDEX($V$2:$V$1001,MATCH(ROWS($U$2:U211),$U$2:$U$1001,0),1)&gt;=100000,INDEX($AB$1005:$AQ$1005,1,MATCH(COLUMNS($AB$1006:AK1006),$AB$1006:$AQ$1006,0))&gt;=100000), " ",IF(INDEX($AB$2:$AQ$1001,MATCH(ROWS($U$2:U211),$U$2:$U$1001,0),MATCH(COLUMNS($AB$1006:AK1006),$AB$1006:$AQ$1006,0)), HYPERLINK("#",""), HYPERLINK(CONCATENATE("#metadata!", ADDRESS(INDEX($W$2:$W$1001,MATCH(ROWS($U$2:U211),$U$2:$U$1001,0),0), INDEX($AB$1004:$AQ$1004,1,MATCH(COLUMNS($AB$1006:AK1006),$AB$1006:$AQ$1006,0)))),"Fix")))</f>
        <v>0</v>
      </c>
      <c r="L211" s="4">
        <f>IF(OR(INDEX($V$2:$V$1001,MATCH(ROWS($U$2:U211),$U$2:$U$1001,0),1)&gt;=100000,INDEX($AB$1005:$AQ$1005,1,MATCH(COLUMNS($AB$1006:AL1006),$AB$1006:$AQ$1006,0))&gt;=100000), " ",IF(INDEX($AB$2:$AQ$1001,MATCH(ROWS($U$2:U211),$U$2:$U$1001,0),MATCH(COLUMNS($AB$1006:AL1006),$AB$1006:$AQ$1006,0)), HYPERLINK("#",""), HYPERLINK(CONCATENATE("#metadata!", ADDRESS(INDEX($W$2:$W$1001,MATCH(ROWS($U$2:U211),$U$2:$U$1001,0),0), INDEX($AB$1004:$AQ$1004,1,MATCH(COLUMNS($AB$1006:AL1006),$AB$1006:$AQ$1006,0)))),"Fix")))</f>
        <v>0</v>
      </c>
      <c r="M211" s="4">
        <f>IF(OR(INDEX($V$2:$V$1001,MATCH(ROWS($U$2:U211),$U$2:$U$1001,0),1)&gt;=100000,INDEX($AB$1005:$AQ$1005,1,MATCH(COLUMNS($AB$1006:AM1006),$AB$1006:$AQ$1006,0))&gt;=100000), " ",IF(INDEX($AB$2:$AQ$1001,MATCH(ROWS($U$2:U211),$U$2:$U$1001,0),MATCH(COLUMNS($AB$1006:AM1006),$AB$1006:$AQ$1006,0)), HYPERLINK("#",""), HYPERLINK(CONCATENATE("#metadata!", ADDRESS(INDEX($W$2:$W$1001,MATCH(ROWS($U$2:U211),$U$2:$U$1001,0),0), INDEX($AB$1004:$AQ$1004,1,MATCH(COLUMNS($AB$1006:AM1006),$AB$1006:$AQ$1006,0)))),"Fix")))</f>
        <v>0</v>
      </c>
      <c r="N211" s="4">
        <f>IF(OR(INDEX($V$2:$V$1001,MATCH(ROWS($U$2:U211),$U$2:$U$1001,0),1)&gt;=100000,INDEX($AB$1005:$AQ$1005,1,MATCH(COLUMNS($AB$1006:AN1006),$AB$1006:$AQ$1006,0))&gt;=100000), " ",IF(INDEX($AB$2:$AQ$1001,MATCH(ROWS($U$2:U211),$U$2:$U$1001,0),MATCH(COLUMNS($AB$1006:AN1006),$AB$1006:$AQ$1006,0)), HYPERLINK("#",""), HYPERLINK(CONCATENATE("#metadata!", ADDRESS(INDEX($W$2:$W$1001,MATCH(ROWS($U$2:U211),$U$2:$U$1001,0),0), INDEX($AB$1004:$AQ$1004,1,MATCH(COLUMNS($AB$1006:AN1006),$AB$1006:$AQ$1006,0)))),"Fix")))</f>
        <v>0</v>
      </c>
      <c r="O211" s="4">
        <f>IF(OR(INDEX($V$2:$V$1001,MATCH(ROWS($U$2:U211),$U$2:$U$1001,0),1)&gt;=100000,INDEX($AB$1005:$AQ$1005,1,MATCH(COLUMNS($AB$1006:AO1006),$AB$1006:$AQ$1006,0))&gt;=100000), " ",IF(INDEX($AB$2:$AQ$1001,MATCH(ROWS($U$2:U211),$U$2:$U$1001,0),MATCH(COLUMNS($AB$1006:AO1006),$AB$1006:$AQ$1006,0)), HYPERLINK("#",""), HYPERLINK(CONCATENATE("#metadata!", ADDRESS(INDEX($W$2:$W$1001,MATCH(ROWS($U$2:U211),$U$2:$U$1001,0),0), INDEX($AB$1004:$AQ$1004,1,MATCH(COLUMNS($AB$1006:AO1006),$AB$1006:$AQ$1006,0)))),"Fix")))</f>
        <v>0</v>
      </c>
      <c r="P211" s="4">
        <f>IF(OR(INDEX($V$2:$V$1001,MATCH(ROWS($U$2:U211),$U$2:$U$1001,0),1)&gt;=100000,INDEX($AB$1005:$AQ$1005,1,MATCH(COLUMNS($AB$1006:AP1006),$AB$1006:$AQ$1006,0))&gt;=100000), " ",IF(INDEX($AB$2:$AQ$1001,MATCH(ROWS($U$2:U211),$U$2:$U$1001,0),MATCH(COLUMNS($AB$1006:AP1006),$AB$1006:$AQ$1006,0)), HYPERLINK("#",""), HYPERLINK(CONCATENATE("#metadata!", ADDRESS(INDEX($W$2:$W$1001,MATCH(ROWS($U$2:U211),$U$2:$U$1001,0),0), INDEX($AB$1004:$AQ$1004,1,MATCH(COLUMNS($AB$1006:AP1006),$AB$1006:$AQ$1006,0)))),"Fix")))</f>
        <v>0</v>
      </c>
      <c r="Q211" s="4">
        <f>IF(OR(INDEX($V$2:$V$1001,MATCH(ROWS($U$2:U211),$U$2:$U$1001,0),1)&gt;=100000,INDEX($AB$1005:$AQ$1005,1,MATCH(COLUMNS($AB$1006:AQ1006),$AB$1006:$AQ$1006,0))&gt;=100000), " ",IF(INDEX($AB$2:$AQ$1001,MATCH(ROWS($U$2:U211),$U$2:$U$1001,0),MATCH(COLUMNS($AB$1006:AQ1006),$AB$1006:$AQ$1006,0)), HYPERLINK("#",""), HYPERLINK(CONCATENATE("#metadata!", ADDRESS(INDEX($W$2:$W$1001,MATCH(ROWS($U$2:U211),$U$2:$U$1001,0),0), INDEX($AB$1004:$AQ$1004,1,MATCH(COLUMNS($AB$1006:AQ1006),$AB$1006:$AQ$1006,0)))),"Fix")))</f>
        <v>0</v>
      </c>
      <c r="U211">
        <v>0</v>
      </c>
      <c r="V211">
        <v>0</v>
      </c>
      <c r="W211">
        <v>0</v>
      </c>
      <c r="X211">
        <f>IF(Y211,TRUE,AND(AB211:AQ211))</f>
        <v>0</v>
      </c>
      <c r="Y211">
        <f>COUNTBLANK(metadata!B211:Q211)=COLUMNS(metadata!B211:Q211)</f>
        <v>0</v>
      </c>
      <c r="Z211">
        <v>0</v>
      </c>
      <c r="AB211">
        <f>AND(IF(metadata!B211="",FALSE,TRUE),COUNTIF(metadata!B:B, metadata!B211) = 1,NOT(ISERROR(SUMPRODUCT(SEARCH(MID(metadata!B211,ROW(INDIRECT("1:"&amp;LEN(metadata!B211))), 1),"0123456789abcdefghijklmnopqrstuvwxyzABCDEFGHIJKLMNOPQRSTUVWXYZ.")))))</f>
        <v>0</v>
      </c>
      <c r="AC211">
        <f>OR(AND(IF(metadata!C211="",FALSE,TRUE),OR(exact(metadata!C211,"missing: not collected"),exact(metadata!C211,"missing: not provided"),exact(metadata!C211,"missing: restricted access"))),AND(IF(metadata!C211="",FALSE,TRUE),AND(AND(IFERROR(INT(LEFT(metadata!C211,4))&gt;1900,FALSE),IFERROR(INT(LEFT(metadata!C211,4))&lt;=YEAR(NOW()),FALSE)), OR(MID(metadata!C211,5,1)="", AND(AND(MID(metadata!C211,5,1)="-",IFERROR(INT(MID(metadata!C211,6,1))&gt;=0,FALSE),IFERROR(INT(MID(metadata!C211,6,1))&lt;=1,FALSE),NOT(MID(metadata!C211,7,1)=""),IFERROR(INT(MID(metadata!C211,6,2))&gt;=1,FALSE),IFERROR(INT(MID(metadata!C211,6,2))&lt;=12,FALSE)), OR(MID(metadata!C211,8,1)="", AND(AND(MID(metadata!C211,8,1)="-",IFERROR(INT(MID(metadata!C211,9,1))&gt;=0,FALSE),IFERROR(INT(MID(metadata!C211,9,1))&lt;=3,FALSE),NOT(MID(metadata!C211,10,1)=""),IFERROR(INT(MID(metadata!C211,9,2))&gt;=1,FALSE),IFERROR(INT(MID(metadata!C211,9,2))&lt;=31,FALSE)), OR(MID(metadata!C211,11,1)="", AND(AND(MID(metadata!C211,11,1)=" ",IFERROR(INT(MID(metadata!C211,12,1))&gt;=0,FALSE),IFERROR(INT(MID(metadata!C211,12,1))&lt;=2,FALSE),NOT(MID(metadata!C211,13,1)=""),IFERROR(INT(MID(metadata!C211,12,2))&gt;=0,FALSE),IFERROR(INT(MID(metadata!C211,12,2))&lt;=23,FALSE)), OR(MID(metadata!C211,14,1)="", AND(AND(MID(metadata!C211,14,1)=":",IFERROR(INT(MID(metadata!C211,15,1))&gt;=0,FALSE),IFERROR(INT(MID(metadata!C211,15,1))&lt;=5,FALSE),NOT(MID(metadata!C211,16,1)=""),IFERROR(INT(MID(metadata!C211,15,2))&gt;=0,FALSE),IFERROR(INT(MID(metadata!C211,15,2))&lt;=59,FALSE)), OR(MID(metadata!C211,17,1)="", AND(AND(MID(metadata!C211,17,1)=":",IFERROR(INT(MID(metadata!C211,18,1))&gt;=0,FALSE),IFERROR(INT(MID(metadata!C211,18,1))&lt;=5,FALSE),NOT(MID(metadata!C211,19,1)=""),IFERROR(INT(MID(metadata!C211,18,2))&gt;=0,FALSE),IFERROR(INT(MID(metadata!C211,18,2))&lt;=59,FALSE)), LEN(metadata!C211)&lt;=19)))))))))))))</f>
        <v>0</v>
      </c>
      <c r="AD211">
        <f>IF(metadata!D211="",FALSE,TRUE)</f>
        <v>0</v>
      </c>
      <c r="AE211">
        <f>OR(AND(IF(metadata!E211="",FALSE,TRUE),OR(exact(metadata!E211,"missing: not collected"),exact(metadata!E211,"missing: not provided"))),AND(IF(metadata!E211="",FALSE,TRUE),OR(exact(metadata!E211,"TRUE"),exact(metadata!E211,"FALSE"))))</f>
        <v>0</v>
      </c>
      <c r="AF211">
        <f>IF(metadata!F211="",FALSE,TRUE)</f>
        <v>0</v>
      </c>
      <c r="AG211">
        <f>IF(metadata!G211="",FALSE,TRUE)</f>
        <v>0</v>
      </c>
      <c r="AH211">
        <f>IF(metadata!H211="",FALSE,TRUE)</f>
        <v>0</v>
      </c>
      <c r="AI211">
        <f>OR(AND(IF(metadata!I211="",FALSE,TRUE),OR(exact(metadata!I211,"missing: not collected"),exact(metadata!I211,"missing: not provided"),exact(metadata!I211,"missing: restricted access"))),AND(IF(metadata!I211="",FALSE,TRUE),OR(exact(metadata!I211,"air"),exact(metadata!I211,"built environment"),exact(metadata!I211,"host-associated"),exact(metadata!I211,"human-associated"),exact(metadata!I211,"human-skin"),exact(metadata!I211,"human-oral"),exact(metadata!I211,"human-gut"),exact(metadata!I211,"human-vaginal"),exact(metadata!I211,"microbial mat/biofilm"),exact(metadata!I211,"misc environment"),exact(metadata!I211,"plant-associated"),exact(metadata!I211,"sediment"),exact(metadata!I211,"soil"),exact(metadata!I211,"wastewater/sludge"),exact(metadata!I211,"water"))))</f>
        <v>0</v>
      </c>
      <c r="AJ211">
        <f>IF(metadata!J211="",FALSE,TRUE)</f>
        <v>0</v>
      </c>
      <c r="AK211">
        <f>OR(AND(IF(metadata!K211="",FALSE,TRUE),OR(exact(metadata!K211,"missing: not collected"),exact(metadata!K211,"missing: not provided"),exact(metadata!K211,"missing: restricted access"))),AND(IF(metadata!K211="",FALSE,ISNUMBER(VALUE(metadata!K211))),metadata!K211&gt;=-90.00,metadata!K211&lt;=90.00))</f>
        <v>0</v>
      </c>
      <c r="AL211">
        <f>OR(AND(IF(metadata!L211="",FALSE,TRUE),OR(exact(metadata!L211,"missing: not collected"),exact(metadata!L211,"missing: not provided"),exact(metadata!L211,"missing: restricted access"))),AND(IF(metadata!L211="",FALSE,ISNUMBER(VALUE(metadata!L211))),metadata!L211&gt;=-180.00,metadata!L211&lt;=180.00))</f>
        <v>0</v>
      </c>
      <c r="AM211">
        <f>IF(metadata!M211="",FALSE,TRUE)</f>
        <v>0</v>
      </c>
      <c r="AN211">
        <f>OR(AND(IF(metadata!N211="",FALSE,TRUE),OR(exact(metadata!N211,"missing: not collected"),exact(metadata!N211,"missing: not provided"),exact(metadata!N211,"missing: restricted access"))),AND(IF(metadata!N211="",FALSE,TRUE),OR(exact(metadata!N211,"TRUE"),exact(metadata!N211,"FALSE"))))</f>
        <v>0</v>
      </c>
      <c r="AO211">
        <f>IF(metadata!O211="",FALSE,TRUE)</f>
        <v>0</v>
      </c>
      <c r="AP211">
        <f>OR(AND(IF(metadata!P211="",FALSE,TRUE),OR(exact(metadata!P211,"missing: not collected"),exact(metadata!P211,"missing: not provided"))),AND(IF(metadata!P211="",FALSE,IF(ISERROR(INT(metadata!P211)),FALSE,INT(metadata!P211)=metadata!P211)),metadata!P211&gt;0))</f>
        <v>0</v>
      </c>
      <c r="AQ211">
        <f>IF(metadata!Q211="",FALSE,TRUE)</f>
        <v>0</v>
      </c>
    </row>
    <row r="212" spans="1:43">
      <c r="A212" s="5">
        <f>IF(B212=" "," ",HYPERLINK(CONCATENATE("#metadata!",ADDRESS(INDEX($W$2:$W$1001,MATCH(ROWS($U$2:U212),$U$2:$U$1001,0),0),1)),INDEX($Z$2:$Z$1001,MATCH(ROWS($U$2:U212),$U$2:$U$1001,0),0)))</f>
        <v>0</v>
      </c>
      <c r="B212" s="4">
        <f>IF(OR(INDEX($V$2:$V$1001,MATCH(ROWS($U$2:U212),$U$2:$U$1001,0),1)&gt;=100000,INDEX($AB$1005:$AQ$1005,1,MATCH(COLUMNS($AB$1006:AB1006),$AB$1006:$AQ$1006,0))&gt;=100000), " ",IF(INDEX($AB$2:$AQ$1001,MATCH(ROWS($U$2:U212),$U$2:$U$1001,0),MATCH(COLUMNS($AB$1006:AB1006),$AB$1006:$AQ$1006,0)), HYPERLINK("#",""), HYPERLINK(CONCATENATE("#metadata!", ADDRESS(INDEX($W$2:$W$1001,MATCH(ROWS($U$2:U212),$U$2:$U$1001,0),0), INDEX($AB$1004:$AQ$1004,1,MATCH(COLUMNS($AB$1006:AB1006),$AB$1006:$AQ$1006,0)))),"Fix")))</f>
        <v>0</v>
      </c>
      <c r="C212" s="4">
        <f>IF(OR(INDEX($V$2:$V$1001,MATCH(ROWS($U$2:U212),$U$2:$U$1001,0),1)&gt;=100000,INDEX($AB$1005:$AQ$1005,1,MATCH(COLUMNS($AB$1006:AC1006),$AB$1006:$AQ$1006,0))&gt;=100000), " ",IF(INDEX($AB$2:$AQ$1001,MATCH(ROWS($U$2:U212),$U$2:$U$1001,0),MATCH(COLUMNS($AB$1006:AC1006),$AB$1006:$AQ$1006,0)), HYPERLINK("#",""), HYPERLINK(CONCATENATE("#metadata!", ADDRESS(INDEX($W$2:$W$1001,MATCH(ROWS($U$2:U212),$U$2:$U$1001,0),0), INDEX($AB$1004:$AQ$1004,1,MATCH(COLUMNS($AB$1006:AC1006),$AB$1006:$AQ$1006,0)))),"Fix")))</f>
        <v>0</v>
      </c>
      <c r="D212" s="4">
        <f>IF(OR(INDEX($V$2:$V$1001,MATCH(ROWS($U$2:U212),$U$2:$U$1001,0),1)&gt;=100000,INDEX($AB$1005:$AQ$1005,1,MATCH(COLUMNS($AB$1006:AD1006),$AB$1006:$AQ$1006,0))&gt;=100000), " ",IF(INDEX($AB$2:$AQ$1001,MATCH(ROWS($U$2:U212),$U$2:$U$1001,0),MATCH(COLUMNS($AB$1006:AD1006),$AB$1006:$AQ$1006,0)), HYPERLINK("#",""), HYPERLINK(CONCATENATE("#metadata!", ADDRESS(INDEX($W$2:$W$1001,MATCH(ROWS($U$2:U212),$U$2:$U$1001,0),0), INDEX($AB$1004:$AQ$1004,1,MATCH(COLUMNS($AB$1006:AD1006),$AB$1006:$AQ$1006,0)))),"Fix")))</f>
        <v>0</v>
      </c>
      <c r="E212" s="4">
        <f>IF(OR(INDEX($V$2:$V$1001,MATCH(ROWS($U$2:U212),$U$2:$U$1001,0),1)&gt;=100000,INDEX($AB$1005:$AQ$1005,1,MATCH(COLUMNS($AB$1006:AE1006),$AB$1006:$AQ$1006,0))&gt;=100000), " ",IF(INDEX($AB$2:$AQ$1001,MATCH(ROWS($U$2:U212),$U$2:$U$1001,0),MATCH(COLUMNS($AB$1006:AE1006),$AB$1006:$AQ$1006,0)), HYPERLINK("#",""), HYPERLINK(CONCATENATE("#metadata!", ADDRESS(INDEX($W$2:$W$1001,MATCH(ROWS($U$2:U212),$U$2:$U$1001,0),0), INDEX($AB$1004:$AQ$1004,1,MATCH(COLUMNS($AB$1006:AE1006),$AB$1006:$AQ$1006,0)))),"Fix")))</f>
        <v>0</v>
      </c>
      <c r="F212" s="4">
        <f>IF(OR(INDEX($V$2:$V$1001,MATCH(ROWS($U$2:U212),$U$2:$U$1001,0),1)&gt;=100000,INDEX($AB$1005:$AQ$1005,1,MATCH(COLUMNS($AB$1006:AF1006),$AB$1006:$AQ$1006,0))&gt;=100000), " ",IF(INDEX($AB$2:$AQ$1001,MATCH(ROWS($U$2:U212),$U$2:$U$1001,0),MATCH(COLUMNS($AB$1006:AF1006),$AB$1006:$AQ$1006,0)), HYPERLINK("#",""), HYPERLINK(CONCATENATE("#metadata!", ADDRESS(INDEX($W$2:$W$1001,MATCH(ROWS($U$2:U212),$U$2:$U$1001,0),0), INDEX($AB$1004:$AQ$1004,1,MATCH(COLUMNS($AB$1006:AF1006),$AB$1006:$AQ$1006,0)))),"Fix")))</f>
        <v>0</v>
      </c>
      <c r="G212" s="4">
        <f>IF(OR(INDEX($V$2:$V$1001,MATCH(ROWS($U$2:U212),$U$2:$U$1001,0),1)&gt;=100000,INDEX($AB$1005:$AQ$1005,1,MATCH(COLUMNS($AB$1006:AG1006),$AB$1006:$AQ$1006,0))&gt;=100000), " ",IF(INDEX($AB$2:$AQ$1001,MATCH(ROWS($U$2:U212),$U$2:$U$1001,0),MATCH(COLUMNS($AB$1006:AG1006),$AB$1006:$AQ$1006,0)), HYPERLINK("#",""), HYPERLINK(CONCATENATE("#metadata!", ADDRESS(INDEX($W$2:$W$1001,MATCH(ROWS($U$2:U212),$U$2:$U$1001,0),0), INDEX($AB$1004:$AQ$1004,1,MATCH(COLUMNS($AB$1006:AG1006),$AB$1006:$AQ$1006,0)))),"Fix")))</f>
        <v>0</v>
      </c>
      <c r="H212" s="4">
        <f>IF(OR(INDEX($V$2:$V$1001,MATCH(ROWS($U$2:U212),$U$2:$U$1001,0),1)&gt;=100000,INDEX($AB$1005:$AQ$1005,1,MATCH(COLUMNS($AB$1006:AH1006),$AB$1006:$AQ$1006,0))&gt;=100000), " ",IF(INDEX($AB$2:$AQ$1001,MATCH(ROWS($U$2:U212),$U$2:$U$1001,0),MATCH(COLUMNS($AB$1006:AH1006),$AB$1006:$AQ$1006,0)), HYPERLINK("#",""), HYPERLINK(CONCATENATE("#metadata!", ADDRESS(INDEX($W$2:$W$1001,MATCH(ROWS($U$2:U212),$U$2:$U$1001,0),0), INDEX($AB$1004:$AQ$1004,1,MATCH(COLUMNS($AB$1006:AH1006),$AB$1006:$AQ$1006,0)))),"Fix")))</f>
        <v>0</v>
      </c>
      <c r="I212" s="4">
        <f>IF(OR(INDEX($V$2:$V$1001,MATCH(ROWS($U$2:U212),$U$2:$U$1001,0),1)&gt;=100000,INDEX($AB$1005:$AQ$1005,1,MATCH(COLUMNS($AB$1006:AI1006),$AB$1006:$AQ$1006,0))&gt;=100000), " ",IF(INDEX($AB$2:$AQ$1001,MATCH(ROWS($U$2:U212),$U$2:$U$1001,0),MATCH(COLUMNS($AB$1006:AI1006),$AB$1006:$AQ$1006,0)), HYPERLINK("#",""), HYPERLINK(CONCATENATE("#metadata!", ADDRESS(INDEX($W$2:$W$1001,MATCH(ROWS($U$2:U212),$U$2:$U$1001,0),0), INDEX($AB$1004:$AQ$1004,1,MATCH(COLUMNS($AB$1006:AI1006),$AB$1006:$AQ$1006,0)))),"Fix")))</f>
        <v>0</v>
      </c>
      <c r="J212" s="4">
        <f>IF(OR(INDEX($V$2:$V$1001,MATCH(ROWS($U$2:U212),$U$2:$U$1001,0),1)&gt;=100000,INDEX($AB$1005:$AQ$1005,1,MATCH(COLUMNS($AB$1006:AJ1006),$AB$1006:$AQ$1006,0))&gt;=100000), " ",IF(INDEX($AB$2:$AQ$1001,MATCH(ROWS($U$2:U212),$U$2:$U$1001,0),MATCH(COLUMNS($AB$1006:AJ1006),$AB$1006:$AQ$1006,0)), HYPERLINK("#",""), HYPERLINK(CONCATENATE("#metadata!", ADDRESS(INDEX($W$2:$W$1001,MATCH(ROWS($U$2:U212),$U$2:$U$1001,0),0), INDEX($AB$1004:$AQ$1004,1,MATCH(COLUMNS($AB$1006:AJ1006),$AB$1006:$AQ$1006,0)))),"Fix")))</f>
        <v>0</v>
      </c>
      <c r="K212" s="4">
        <f>IF(OR(INDEX($V$2:$V$1001,MATCH(ROWS($U$2:U212),$U$2:$U$1001,0),1)&gt;=100000,INDEX($AB$1005:$AQ$1005,1,MATCH(COLUMNS($AB$1006:AK1006),$AB$1006:$AQ$1006,0))&gt;=100000), " ",IF(INDEX($AB$2:$AQ$1001,MATCH(ROWS($U$2:U212),$U$2:$U$1001,0),MATCH(COLUMNS($AB$1006:AK1006),$AB$1006:$AQ$1006,0)), HYPERLINK("#",""), HYPERLINK(CONCATENATE("#metadata!", ADDRESS(INDEX($W$2:$W$1001,MATCH(ROWS($U$2:U212),$U$2:$U$1001,0),0), INDEX($AB$1004:$AQ$1004,1,MATCH(COLUMNS($AB$1006:AK1006),$AB$1006:$AQ$1006,0)))),"Fix")))</f>
        <v>0</v>
      </c>
      <c r="L212" s="4">
        <f>IF(OR(INDEX($V$2:$V$1001,MATCH(ROWS($U$2:U212),$U$2:$U$1001,0),1)&gt;=100000,INDEX($AB$1005:$AQ$1005,1,MATCH(COLUMNS($AB$1006:AL1006),$AB$1006:$AQ$1006,0))&gt;=100000), " ",IF(INDEX($AB$2:$AQ$1001,MATCH(ROWS($U$2:U212),$U$2:$U$1001,0),MATCH(COLUMNS($AB$1006:AL1006),$AB$1006:$AQ$1006,0)), HYPERLINK("#",""), HYPERLINK(CONCATENATE("#metadata!", ADDRESS(INDEX($W$2:$W$1001,MATCH(ROWS($U$2:U212),$U$2:$U$1001,0),0), INDEX($AB$1004:$AQ$1004,1,MATCH(COLUMNS($AB$1006:AL1006),$AB$1006:$AQ$1006,0)))),"Fix")))</f>
        <v>0</v>
      </c>
      <c r="M212" s="4">
        <f>IF(OR(INDEX($V$2:$V$1001,MATCH(ROWS($U$2:U212),$U$2:$U$1001,0),1)&gt;=100000,INDEX($AB$1005:$AQ$1005,1,MATCH(COLUMNS($AB$1006:AM1006),$AB$1006:$AQ$1006,0))&gt;=100000), " ",IF(INDEX($AB$2:$AQ$1001,MATCH(ROWS($U$2:U212),$U$2:$U$1001,0),MATCH(COLUMNS($AB$1006:AM1006),$AB$1006:$AQ$1006,0)), HYPERLINK("#",""), HYPERLINK(CONCATENATE("#metadata!", ADDRESS(INDEX($W$2:$W$1001,MATCH(ROWS($U$2:U212),$U$2:$U$1001,0),0), INDEX($AB$1004:$AQ$1004,1,MATCH(COLUMNS($AB$1006:AM1006),$AB$1006:$AQ$1006,0)))),"Fix")))</f>
        <v>0</v>
      </c>
      <c r="N212" s="4">
        <f>IF(OR(INDEX($V$2:$V$1001,MATCH(ROWS($U$2:U212),$U$2:$U$1001,0),1)&gt;=100000,INDEX($AB$1005:$AQ$1005,1,MATCH(COLUMNS($AB$1006:AN1006),$AB$1006:$AQ$1006,0))&gt;=100000), " ",IF(INDEX($AB$2:$AQ$1001,MATCH(ROWS($U$2:U212),$U$2:$U$1001,0),MATCH(COLUMNS($AB$1006:AN1006),$AB$1006:$AQ$1006,0)), HYPERLINK("#",""), HYPERLINK(CONCATENATE("#metadata!", ADDRESS(INDEX($W$2:$W$1001,MATCH(ROWS($U$2:U212),$U$2:$U$1001,0),0), INDEX($AB$1004:$AQ$1004,1,MATCH(COLUMNS($AB$1006:AN1006),$AB$1006:$AQ$1006,0)))),"Fix")))</f>
        <v>0</v>
      </c>
      <c r="O212" s="4">
        <f>IF(OR(INDEX($V$2:$V$1001,MATCH(ROWS($U$2:U212),$U$2:$U$1001,0),1)&gt;=100000,INDEX($AB$1005:$AQ$1005,1,MATCH(COLUMNS($AB$1006:AO1006),$AB$1006:$AQ$1006,0))&gt;=100000), " ",IF(INDEX($AB$2:$AQ$1001,MATCH(ROWS($U$2:U212),$U$2:$U$1001,0),MATCH(COLUMNS($AB$1006:AO1006),$AB$1006:$AQ$1006,0)), HYPERLINK("#",""), HYPERLINK(CONCATENATE("#metadata!", ADDRESS(INDEX($W$2:$W$1001,MATCH(ROWS($U$2:U212),$U$2:$U$1001,0),0), INDEX($AB$1004:$AQ$1004,1,MATCH(COLUMNS($AB$1006:AO1006),$AB$1006:$AQ$1006,0)))),"Fix")))</f>
        <v>0</v>
      </c>
      <c r="P212" s="4">
        <f>IF(OR(INDEX($V$2:$V$1001,MATCH(ROWS($U$2:U212),$U$2:$U$1001,0),1)&gt;=100000,INDEX($AB$1005:$AQ$1005,1,MATCH(COLUMNS($AB$1006:AP1006),$AB$1006:$AQ$1006,0))&gt;=100000), " ",IF(INDEX($AB$2:$AQ$1001,MATCH(ROWS($U$2:U212),$U$2:$U$1001,0),MATCH(COLUMNS($AB$1006:AP1006),$AB$1006:$AQ$1006,0)), HYPERLINK("#",""), HYPERLINK(CONCATENATE("#metadata!", ADDRESS(INDEX($W$2:$W$1001,MATCH(ROWS($U$2:U212),$U$2:$U$1001,0),0), INDEX($AB$1004:$AQ$1004,1,MATCH(COLUMNS($AB$1006:AP1006),$AB$1006:$AQ$1006,0)))),"Fix")))</f>
        <v>0</v>
      </c>
      <c r="Q212" s="4">
        <f>IF(OR(INDEX($V$2:$V$1001,MATCH(ROWS($U$2:U212),$U$2:$U$1001,0),1)&gt;=100000,INDEX($AB$1005:$AQ$1005,1,MATCH(COLUMNS($AB$1006:AQ1006),$AB$1006:$AQ$1006,0))&gt;=100000), " ",IF(INDEX($AB$2:$AQ$1001,MATCH(ROWS($U$2:U212),$U$2:$U$1001,0),MATCH(COLUMNS($AB$1006:AQ1006),$AB$1006:$AQ$1006,0)), HYPERLINK("#",""), HYPERLINK(CONCATENATE("#metadata!", ADDRESS(INDEX($W$2:$W$1001,MATCH(ROWS($U$2:U212),$U$2:$U$1001,0),0), INDEX($AB$1004:$AQ$1004,1,MATCH(COLUMNS($AB$1006:AQ1006),$AB$1006:$AQ$1006,0)))),"Fix")))</f>
        <v>0</v>
      </c>
      <c r="U212">
        <v>0</v>
      </c>
      <c r="V212">
        <v>0</v>
      </c>
      <c r="W212">
        <v>0</v>
      </c>
      <c r="X212">
        <f>IF(Y212,TRUE,AND(AB212:AQ212))</f>
        <v>0</v>
      </c>
      <c r="Y212">
        <f>COUNTBLANK(metadata!B212:Q212)=COLUMNS(metadata!B212:Q212)</f>
        <v>0</v>
      </c>
      <c r="Z212">
        <v>0</v>
      </c>
      <c r="AB212">
        <f>AND(IF(metadata!B212="",FALSE,TRUE),COUNTIF(metadata!B:B, metadata!B212) = 1,NOT(ISERROR(SUMPRODUCT(SEARCH(MID(metadata!B212,ROW(INDIRECT("1:"&amp;LEN(metadata!B212))), 1),"0123456789abcdefghijklmnopqrstuvwxyzABCDEFGHIJKLMNOPQRSTUVWXYZ.")))))</f>
        <v>0</v>
      </c>
      <c r="AC212">
        <f>OR(AND(IF(metadata!C212="",FALSE,TRUE),OR(exact(metadata!C212,"missing: not collected"),exact(metadata!C212,"missing: not provided"),exact(metadata!C212,"missing: restricted access"))),AND(IF(metadata!C212="",FALSE,TRUE),AND(AND(IFERROR(INT(LEFT(metadata!C212,4))&gt;1900,FALSE),IFERROR(INT(LEFT(metadata!C212,4))&lt;=YEAR(NOW()),FALSE)), OR(MID(metadata!C212,5,1)="", AND(AND(MID(metadata!C212,5,1)="-",IFERROR(INT(MID(metadata!C212,6,1))&gt;=0,FALSE),IFERROR(INT(MID(metadata!C212,6,1))&lt;=1,FALSE),NOT(MID(metadata!C212,7,1)=""),IFERROR(INT(MID(metadata!C212,6,2))&gt;=1,FALSE),IFERROR(INT(MID(metadata!C212,6,2))&lt;=12,FALSE)), OR(MID(metadata!C212,8,1)="", AND(AND(MID(metadata!C212,8,1)="-",IFERROR(INT(MID(metadata!C212,9,1))&gt;=0,FALSE),IFERROR(INT(MID(metadata!C212,9,1))&lt;=3,FALSE),NOT(MID(metadata!C212,10,1)=""),IFERROR(INT(MID(metadata!C212,9,2))&gt;=1,FALSE),IFERROR(INT(MID(metadata!C212,9,2))&lt;=31,FALSE)), OR(MID(metadata!C212,11,1)="", AND(AND(MID(metadata!C212,11,1)=" ",IFERROR(INT(MID(metadata!C212,12,1))&gt;=0,FALSE),IFERROR(INT(MID(metadata!C212,12,1))&lt;=2,FALSE),NOT(MID(metadata!C212,13,1)=""),IFERROR(INT(MID(metadata!C212,12,2))&gt;=0,FALSE),IFERROR(INT(MID(metadata!C212,12,2))&lt;=23,FALSE)), OR(MID(metadata!C212,14,1)="", AND(AND(MID(metadata!C212,14,1)=":",IFERROR(INT(MID(metadata!C212,15,1))&gt;=0,FALSE),IFERROR(INT(MID(metadata!C212,15,1))&lt;=5,FALSE),NOT(MID(metadata!C212,16,1)=""),IFERROR(INT(MID(metadata!C212,15,2))&gt;=0,FALSE),IFERROR(INT(MID(metadata!C212,15,2))&lt;=59,FALSE)), OR(MID(metadata!C212,17,1)="", AND(AND(MID(metadata!C212,17,1)=":",IFERROR(INT(MID(metadata!C212,18,1))&gt;=0,FALSE),IFERROR(INT(MID(metadata!C212,18,1))&lt;=5,FALSE),NOT(MID(metadata!C212,19,1)=""),IFERROR(INT(MID(metadata!C212,18,2))&gt;=0,FALSE),IFERROR(INT(MID(metadata!C212,18,2))&lt;=59,FALSE)), LEN(metadata!C212)&lt;=19)))))))))))))</f>
        <v>0</v>
      </c>
      <c r="AD212">
        <f>IF(metadata!D212="",FALSE,TRUE)</f>
        <v>0</v>
      </c>
      <c r="AE212">
        <f>OR(AND(IF(metadata!E212="",FALSE,TRUE),OR(exact(metadata!E212,"missing: not collected"),exact(metadata!E212,"missing: not provided"))),AND(IF(metadata!E212="",FALSE,TRUE),OR(exact(metadata!E212,"TRUE"),exact(metadata!E212,"FALSE"))))</f>
        <v>0</v>
      </c>
      <c r="AF212">
        <f>IF(metadata!F212="",FALSE,TRUE)</f>
        <v>0</v>
      </c>
      <c r="AG212">
        <f>IF(metadata!G212="",FALSE,TRUE)</f>
        <v>0</v>
      </c>
      <c r="AH212">
        <f>IF(metadata!H212="",FALSE,TRUE)</f>
        <v>0</v>
      </c>
      <c r="AI212">
        <f>OR(AND(IF(metadata!I212="",FALSE,TRUE),OR(exact(metadata!I212,"missing: not collected"),exact(metadata!I212,"missing: not provided"),exact(metadata!I212,"missing: restricted access"))),AND(IF(metadata!I212="",FALSE,TRUE),OR(exact(metadata!I212,"air"),exact(metadata!I212,"built environment"),exact(metadata!I212,"host-associated"),exact(metadata!I212,"human-associated"),exact(metadata!I212,"human-skin"),exact(metadata!I212,"human-oral"),exact(metadata!I212,"human-gut"),exact(metadata!I212,"human-vaginal"),exact(metadata!I212,"microbial mat/biofilm"),exact(metadata!I212,"misc environment"),exact(metadata!I212,"plant-associated"),exact(metadata!I212,"sediment"),exact(metadata!I212,"soil"),exact(metadata!I212,"wastewater/sludge"),exact(metadata!I212,"water"))))</f>
        <v>0</v>
      </c>
      <c r="AJ212">
        <f>IF(metadata!J212="",FALSE,TRUE)</f>
        <v>0</v>
      </c>
      <c r="AK212">
        <f>OR(AND(IF(metadata!K212="",FALSE,TRUE),OR(exact(metadata!K212,"missing: not collected"),exact(metadata!K212,"missing: not provided"),exact(metadata!K212,"missing: restricted access"))),AND(IF(metadata!K212="",FALSE,ISNUMBER(VALUE(metadata!K212))),metadata!K212&gt;=-90.00,metadata!K212&lt;=90.00))</f>
        <v>0</v>
      </c>
      <c r="AL212">
        <f>OR(AND(IF(metadata!L212="",FALSE,TRUE),OR(exact(metadata!L212,"missing: not collected"),exact(metadata!L212,"missing: not provided"),exact(metadata!L212,"missing: restricted access"))),AND(IF(metadata!L212="",FALSE,ISNUMBER(VALUE(metadata!L212))),metadata!L212&gt;=-180.00,metadata!L212&lt;=180.00))</f>
        <v>0</v>
      </c>
      <c r="AM212">
        <f>IF(metadata!M212="",FALSE,TRUE)</f>
        <v>0</v>
      </c>
      <c r="AN212">
        <f>OR(AND(IF(metadata!N212="",FALSE,TRUE),OR(exact(metadata!N212,"missing: not collected"),exact(metadata!N212,"missing: not provided"),exact(metadata!N212,"missing: restricted access"))),AND(IF(metadata!N212="",FALSE,TRUE),OR(exact(metadata!N212,"TRUE"),exact(metadata!N212,"FALSE"))))</f>
        <v>0</v>
      </c>
      <c r="AO212">
        <f>IF(metadata!O212="",FALSE,TRUE)</f>
        <v>0</v>
      </c>
      <c r="AP212">
        <f>OR(AND(IF(metadata!P212="",FALSE,TRUE),OR(exact(metadata!P212,"missing: not collected"),exact(metadata!P212,"missing: not provided"))),AND(IF(metadata!P212="",FALSE,IF(ISERROR(INT(metadata!P212)),FALSE,INT(metadata!P212)=metadata!P212)),metadata!P212&gt;0))</f>
        <v>0</v>
      </c>
      <c r="AQ212">
        <f>IF(metadata!Q212="",FALSE,TRUE)</f>
        <v>0</v>
      </c>
    </row>
    <row r="213" spans="1:43">
      <c r="A213" s="5">
        <f>IF(B213=" "," ",HYPERLINK(CONCATENATE("#metadata!",ADDRESS(INDEX($W$2:$W$1001,MATCH(ROWS($U$2:U213),$U$2:$U$1001,0),0),1)),INDEX($Z$2:$Z$1001,MATCH(ROWS($U$2:U213),$U$2:$U$1001,0),0)))</f>
        <v>0</v>
      </c>
      <c r="B213" s="4">
        <f>IF(OR(INDEX($V$2:$V$1001,MATCH(ROWS($U$2:U213),$U$2:$U$1001,0),1)&gt;=100000,INDEX($AB$1005:$AQ$1005,1,MATCH(COLUMNS($AB$1006:AB1006),$AB$1006:$AQ$1006,0))&gt;=100000), " ",IF(INDEX($AB$2:$AQ$1001,MATCH(ROWS($U$2:U213),$U$2:$U$1001,0),MATCH(COLUMNS($AB$1006:AB1006),$AB$1006:$AQ$1006,0)), HYPERLINK("#",""), HYPERLINK(CONCATENATE("#metadata!", ADDRESS(INDEX($W$2:$W$1001,MATCH(ROWS($U$2:U213),$U$2:$U$1001,0),0), INDEX($AB$1004:$AQ$1004,1,MATCH(COLUMNS($AB$1006:AB1006),$AB$1006:$AQ$1006,0)))),"Fix")))</f>
        <v>0</v>
      </c>
      <c r="C213" s="4">
        <f>IF(OR(INDEX($V$2:$V$1001,MATCH(ROWS($U$2:U213),$U$2:$U$1001,0),1)&gt;=100000,INDEX($AB$1005:$AQ$1005,1,MATCH(COLUMNS($AB$1006:AC1006),$AB$1006:$AQ$1006,0))&gt;=100000), " ",IF(INDEX($AB$2:$AQ$1001,MATCH(ROWS($U$2:U213),$U$2:$U$1001,0),MATCH(COLUMNS($AB$1006:AC1006),$AB$1006:$AQ$1006,0)), HYPERLINK("#",""), HYPERLINK(CONCATENATE("#metadata!", ADDRESS(INDEX($W$2:$W$1001,MATCH(ROWS($U$2:U213),$U$2:$U$1001,0),0), INDEX($AB$1004:$AQ$1004,1,MATCH(COLUMNS($AB$1006:AC1006),$AB$1006:$AQ$1006,0)))),"Fix")))</f>
        <v>0</v>
      </c>
      <c r="D213" s="4">
        <f>IF(OR(INDEX($V$2:$V$1001,MATCH(ROWS($U$2:U213),$U$2:$U$1001,0),1)&gt;=100000,INDEX($AB$1005:$AQ$1005,1,MATCH(COLUMNS($AB$1006:AD1006),$AB$1006:$AQ$1006,0))&gt;=100000), " ",IF(INDEX($AB$2:$AQ$1001,MATCH(ROWS($U$2:U213),$U$2:$U$1001,0),MATCH(COLUMNS($AB$1006:AD1006),$AB$1006:$AQ$1006,0)), HYPERLINK("#",""), HYPERLINK(CONCATENATE("#metadata!", ADDRESS(INDEX($W$2:$W$1001,MATCH(ROWS($U$2:U213),$U$2:$U$1001,0),0), INDEX($AB$1004:$AQ$1004,1,MATCH(COLUMNS($AB$1006:AD1006),$AB$1006:$AQ$1006,0)))),"Fix")))</f>
        <v>0</v>
      </c>
      <c r="E213" s="4">
        <f>IF(OR(INDEX($V$2:$V$1001,MATCH(ROWS($U$2:U213),$U$2:$U$1001,0),1)&gt;=100000,INDEX($AB$1005:$AQ$1005,1,MATCH(COLUMNS($AB$1006:AE1006),$AB$1006:$AQ$1006,0))&gt;=100000), " ",IF(INDEX($AB$2:$AQ$1001,MATCH(ROWS($U$2:U213),$U$2:$U$1001,0),MATCH(COLUMNS($AB$1006:AE1006),$AB$1006:$AQ$1006,0)), HYPERLINK("#",""), HYPERLINK(CONCATENATE("#metadata!", ADDRESS(INDEX($W$2:$W$1001,MATCH(ROWS($U$2:U213),$U$2:$U$1001,0),0), INDEX($AB$1004:$AQ$1004,1,MATCH(COLUMNS($AB$1006:AE1006),$AB$1006:$AQ$1006,0)))),"Fix")))</f>
        <v>0</v>
      </c>
      <c r="F213" s="4">
        <f>IF(OR(INDEX($V$2:$V$1001,MATCH(ROWS($U$2:U213),$U$2:$U$1001,0),1)&gt;=100000,INDEX($AB$1005:$AQ$1005,1,MATCH(COLUMNS($AB$1006:AF1006),$AB$1006:$AQ$1006,0))&gt;=100000), " ",IF(INDEX($AB$2:$AQ$1001,MATCH(ROWS($U$2:U213),$U$2:$U$1001,0),MATCH(COLUMNS($AB$1006:AF1006),$AB$1006:$AQ$1006,0)), HYPERLINK("#",""), HYPERLINK(CONCATENATE("#metadata!", ADDRESS(INDEX($W$2:$W$1001,MATCH(ROWS($U$2:U213),$U$2:$U$1001,0),0), INDEX($AB$1004:$AQ$1004,1,MATCH(COLUMNS($AB$1006:AF1006),$AB$1006:$AQ$1006,0)))),"Fix")))</f>
        <v>0</v>
      </c>
      <c r="G213" s="4">
        <f>IF(OR(INDEX($V$2:$V$1001,MATCH(ROWS($U$2:U213),$U$2:$U$1001,0),1)&gt;=100000,INDEX($AB$1005:$AQ$1005,1,MATCH(COLUMNS($AB$1006:AG1006),$AB$1006:$AQ$1006,0))&gt;=100000), " ",IF(INDEX($AB$2:$AQ$1001,MATCH(ROWS($U$2:U213),$U$2:$U$1001,0),MATCH(COLUMNS($AB$1006:AG1006),$AB$1006:$AQ$1006,0)), HYPERLINK("#",""), HYPERLINK(CONCATENATE("#metadata!", ADDRESS(INDEX($W$2:$W$1001,MATCH(ROWS($U$2:U213),$U$2:$U$1001,0),0), INDEX($AB$1004:$AQ$1004,1,MATCH(COLUMNS($AB$1006:AG1006),$AB$1006:$AQ$1006,0)))),"Fix")))</f>
        <v>0</v>
      </c>
      <c r="H213" s="4">
        <f>IF(OR(INDEX($V$2:$V$1001,MATCH(ROWS($U$2:U213),$U$2:$U$1001,0),1)&gt;=100000,INDEX($AB$1005:$AQ$1005,1,MATCH(COLUMNS($AB$1006:AH1006),$AB$1006:$AQ$1006,0))&gt;=100000), " ",IF(INDEX($AB$2:$AQ$1001,MATCH(ROWS($U$2:U213),$U$2:$U$1001,0),MATCH(COLUMNS($AB$1006:AH1006),$AB$1006:$AQ$1006,0)), HYPERLINK("#",""), HYPERLINK(CONCATENATE("#metadata!", ADDRESS(INDEX($W$2:$W$1001,MATCH(ROWS($U$2:U213),$U$2:$U$1001,0),0), INDEX($AB$1004:$AQ$1004,1,MATCH(COLUMNS($AB$1006:AH1006),$AB$1006:$AQ$1006,0)))),"Fix")))</f>
        <v>0</v>
      </c>
      <c r="I213" s="4">
        <f>IF(OR(INDEX($V$2:$V$1001,MATCH(ROWS($U$2:U213),$U$2:$U$1001,0),1)&gt;=100000,INDEX($AB$1005:$AQ$1005,1,MATCH(COLUMNS($AB$1006:AI1006),$AB$1006:$AQ$1006,0))&gt;=100000), " ",IF(INDEX($AB$2:$AQ$1001,MATCH(ROWS($U$2:U213),$U$2:$U$1001,0),MATCH(COLUMNS($AB$1006:AI1006),$AB$1006:$AQ$1006,0)), HYPERLINK("#",""), HYPERLINK(CONCATENATE("#metadata!", ADDRESS(INDEX($W$2:$W$1001,MATCH(ROWS($U$2:U213),$U$2:$U$1001,0),0), INDEX($AB$1004:$AQ$1004,1,MATCH(COLUMNS($AB$1006:AI1006),$AB$1006:$AQ$1006,0)))),"Fix")))</f>
        <v>0</v>
      </c>
      <c r="J213" s="4">
        <f>IF(OR(INDEX($V$2:$V$1001,MATCH(ROWS($U$2:U213),$U$2:$U$1001,0),1)&gt;=100000,INDEX($AB$1005:$AQ$1005,1,MATCH(COLUMNS($AB$1006:AJ1006),$AB$1006:$AQ$1006,0))&gt;=100000), " ",IF(INDEX($AB$2:$AQ$1001,MATCH(ROWS($U$2:U213),$U$2:$U$1001,0),MATCH(COLUMNS($AB$1006:AJ1006),$AB$1006:$AQ$1006,0)), HYPERLINK("#",""), HYPERLINK(CONCATENATE("#metadata!", ADDRESS(INDEX($W$2:$W$1001,MATCH(ROWS($U$2:U213),$U$2:$U$1001,0),0), INDEX($AB$1004:$AQ$1004,1,MATCH(COLUMNS($AB$1006:AJ1006),$AB$1006:$AQ$1006,0)))),"Fix")))</f>
        <v>0</v>
      </c>
      <c r="K213" s="4">
        <f>IF(OR(INDEX($V$2:$V$1001,MATCH(ROWS($U$2:U213),$U$2:$U$1001,0),1)&gt;=100000,INDEX($AB$1005:$AQ$1005,1,MATCH(COLUMNS($AB$1006:AK1006),$AB$1006:$AQ$1006,0))&gt;=100000), " ",IF(INDEX($AB$2:$AQ$1001,MATCH(ROWS($U$2:U213),$U$2:$U$1001,0),MATCH(COLUMNS($AB$1006:AK1006),$AB$1006:$AQ$1006,0)), HYPERLINK("#",""), HYPERLINK(CONCATENATE("#metadata!", ADDRESS(INDEX($W$2:$W$1001,MATCH(ROWS($U$2:U213),$U$2:$U$1001,0),0), INDEX($AB$1004:$AQ$1004,1,MATCH(COLUMNS($AB$1006:AK1006),$AB$1006:$AQ$1006,0)))),"Fix")))</f>
        <v>0</v>
      </c>
      <c r="L213" s="4">
        <f>IF(OR(INDEX($V$2:$V$1001,MATCH(ROWS($U$2:U213),$U$2:$U$1001,0),1)&gt;=100000,INDEX($AB$1005:$AQ$1005,1,MATCH(COLUMNS($AB$1006:AL1006),$AB$1006:$AQ$1006,0))&gt;=100000), " ",IF(INDEX($AB$2:$AQ$1001,MATCH(ROWS($U$2:U213),$U$2:$U$1001,0),MATCH(COLUMNS($AB$1006:AL1006),$AB$1006:$AQ$1006,0)), HYPERLINK("#",""), HYPERLINK(CONCATENATE("#metadata!", ADDRESS(INDEX($W$2:$W$1001,MATCH(ROWS($U$2:U213),$U$2:$U$1001,0),0), INDEX($AB$1004:$AQ$1004,1,MATCH(COLUMNS($AB$1006:AL1006),$AB$1006:$AQ$1006,0)))),"Fix")))</f>
        <v>0</v>
      </c>
      <c r="M213" s="4">
        <f>IF(OR(INDEX($V$2:$V$1001,MATCH(ROWS($U$2:U213),$U$2:$U$1001,0),1)&gt;=100000,INDEX($AB$1005:$AQ$1005,1,MATCH(COLUMNS($AB$1006:AM1006),$AB$1006:$AQ$1006,0))&gt;=100000), " ",IF(INDEX($AB$2:$AQ$1001,MATCH(ROWS($U$2:U213),$U$2:$U$1001,0),MATCH(COLUMNS($AB$1006:AM1006),$AB$1006:$AQ$1006,0)), HYPERLINK("#",""), HYPERLINK(CONCATENATE("#metadata!", ADDRESS(INDEX($W$2:$W$1001,MATCH(ROWS($U$2:U213),$U$2:$U$1001,0),0), INDEX($AB$1004:$AQ$1004,1,MATCH(COLUMNS($AB$1006:AM1006),$AB$1006:$AQ$1006,0)))),"Fix")))</f>
        <v>0</v>
      </c>
      <c r="N213" s="4">
        <f>IF(OR(INDEX($V$2:$V$1001,MATCH(ROWS($U$2:U213),$U$2:$U$1001,0),1)&gt;=100000,INDEX($AB$1005:$AQ$1005,1,MATCH(COLUMNS($AB$1006:AN1006),$AB$1006:$AQ$1006,0))&gt;=100000), " ",IF(INDEX($AB$2:$AQ$1001,MATCH(ROWS($U$2:U213),$U$2:$U$1001,0),MATCH(COLUMNS($AB$1006:AN1006),$AB$1006:$AQ$1006,0)), HYPERLINK("#",""), HYPERLINK(CONCATENATE("#metadata!", ADDRESS(INDEX($W$2:$W$1001,MATCH(ROWS($U$2:U213),$U$2:$U$1001,0),0), INDEX($AB$1004:$AQ$1004,1,MATCH(COLUMNS($AB$1006:AN1006),$AB$1006:$AQ$1006,0)))),"Fix")))</f>
        <v>0</v>
      </c>
      <c r="O213" s="4">
        <f>IF(OR(INDEX($V$2:$V$1001,MATCH(ROWS($U$2:U213),$U$2:$U$1001,0),1)&gt;=100000,INDEX($AB$1005:$AQ$1005,1,MATCH(COLUMNS($AB$1006:AO1006),$AB$1006:$AQ$1006,0))&gt;=100000), " ",IF(INDEX($AB$2:$AQ$1001,MATCH(ROWS($U$2:U213),$U$2:$U$1001,0),MATCH(COLUMNS($AB$1006:AO1006),$AB$1006:$AQ$1006,0)), HYPERLINK("#",""), HYPERLINK(CONCATENATE("#metadata!", ADDRESS(INDEX($W$2:$W$1001,MATCH(ROWS($U$2:U213),$U$2:$U$1001,0),0), INDEX($AB$1004:$AQ$1004,1,MATCH(COLUMNS($AB$1006:AO1006),$AB$1006:$AQ$1006,0)))),"Fix")))</f>
        <v>0</v>
      </c>
      <c r="P213" s="4">
        <f>IF(OR(INDEX($V$2:$V$1001,MATCH(ROWS($U$2:U213),$U$2:$U$1001,0),1)&gt;=100000,INDEX($AB$1005:$AQ$1005,1,MATCH(COLUMNS($AB$1006:AP1006),$AB$1006:$AQ$1006,0))&gt;=100000), " ",IF(INDEX($AB$2:$AQ$1001,MATCH(ROWS($U$2:U213),$U$2:$U$1001,0),MATCH(COLUMNS($AB$1006:AP1006),$AB$1006:$AQ$1006,0)), HYPERLINK("#",""), HYPERLINK(CONCATENATE("#metadata!", ADDRESS(INDEX($W$2:$W$1001,MATCH(ROWS($U$2:U213),$U$2:$U$1001,0),0), INDEX($AB$1004:$AQ$1004,1,MATCH(COLUMNS($AB$1006:AP1006),$AB$1006:$AQ$1006,0)))),"Fix")))</f>
        <v>0</v>
      </c>
      <c r="Q213" s="4">
        <f>IF(OR(INDEX($V$2:$V$1001,MATCH(ROWS($U$2:U213),$U$2:$U$1001,0),1)&gt;=100000,INDEX($AB$1005:$AQ$1005,1,MATCH(COLUMNS($AB$1006:AQ1006),$AB$1006:$AQ$1006,0))&gt;=100000), " ",IF(INDEX($AB$2:$AQ$1001,MATCH(ROWS($U$2:U213),$U$2:$U$1001,0),MATCH(COLUMNS($AB$1006:AQ1006),$AB$1006:$AQ$1006,0)), HYPERLINK("#",""), HYPERLINK(CONCATENATE("#metadata!", ADDRESS(INDEX($W$2:$W$1001,MATCH(ROWS($U$2:U213),$U$2:$U$1001,0),0), INDEX($AB$1004:$AQ$1004,1,MATCH(COLUMNS($AB$1006:AQ1006),$AB$1006:$AQ$1006,0)))),"Fix")))</f>
        <v>0</v>
      </c>
      <c r="U213">
        <v>0</v>
      </c>
      <c r="V213">
        <v>0</v>
      </c>
      <c r="W213">
        <v>0</v>
      </c>
      <c r="X213">
        <f>IF(Y213,TRUE,AND(AB213:AQ213))</f>
        <v>0</v>
      </c>
      <c r="Y213">
        <f>COUNTBLANK(metadata!B213:Q213)=COLUMNS(metadata!B213:Q213)</f>
        <v>0</v>
      </c>
      <c r="Z213">
        <v>0</v>
      </c>
      <c r="AB213">
        <f>AND(IF(metadata!B213="",FALSE,TRUE),COUNTIF(metadata!B:B, metadata!B213) = 1,NOT(ISERROR(SUMPRODUCT(SEARCH(MID(metadata!B213,ROW(INDIRECT("1:"&amp;LEN(metadata!B213))), 1),"0123456789abcdefghijklmnopqrstuvwxyzABCDEFGHIJKLMNOPQRSTUVWXYZ.")))))</f>
        <v>0</v>
      </c>
      <c r="AC213">
        <f>OR(AND(IF(metadata!C213="",FALSE,TRUE),OR(exact(metadata!C213,"missing: not collected"),exact(metadata!C213,"missing: not provided"),exact(metadata!C213,"missing: restricted access"))),AND(IF(metadata!C213="",FALSE,TRUE),AND(AND(IFERROR(INT(LEFT(metadata!C213,4))&gt;1900,FALSE),IFERROR(INT(LEFT(metadata!C213,4))&lt;=YEAR(NOW()),FALSE)), OR(MID(metadata!C213,5,1)="", AND(AND(MID(metadata!C213,5,1)="-",IFERROR(INT(MID(metadata!C213,6,1))&gt;=0,FALSE),IFERROR(INT(MID(metadata!C213,6,1))&lt;=1,FALSE),NOT(MID(metadata!C213,7,1)=""),IFERROR(INT(MID(metadata!C213,6,2))&gt;=1,FALSE),IFERROR(INT(MID(metadata!C213,6,2))&lt;=12,FALSE)), OR(MID(metadata!C213,8,1)="", AND(AND(MID(metadata!C213,8,1)="-",IFERROR(INT(MID(metadata!C213,9,1))&gt;=0,FALSE),IFERROR(INT(MID(metadata!C213,9,1))&lt;=3,FALSE),NOT(MID(metadata!C213,10,1)=""),IFERROR(INT(MID(metadata!C213,9,2))&gt;=1,FALSE),IFERROR(INT(MID(metadata!C213,9,2))&lt;=31,FALSE)), OR(MID(metadata!C213,11,1)="", AND(AND(MID(metadata!C213,11,1)=" ",IFERROR(INT(MID(metadata!C213,12,1))&gt;=0,FALSE),IFERROR(INT(MID(metadata!C213,12,1))&lt;=2,FALSE),NOT(MID(metadata!C213,13,1)=""),IFERROR(INT(MID(metadata!C213,12,2))&gt;=0,FALSE),IFERROR(INT(MID(metadata!C213,12,2))&lt;=23,FALSE)), OR(MID(metadata!C213,14,1)="", AND(AND(MID(metadata!C213,14,1)=":",IFERROR(INT(MID(metadata!C213,15,1))&gt;=0,FALSE),IFERROR(INT(MID(metadata!C213,15,1))&lt;=5,FALSE),NOT(MID(metadata!C213,16,1)=""),IFERROR(INT(MID(metadata!C213,15,2))&gt;=0,FALSE),IFERROR(INT(MID(metadata!C213,15,2))&lt;=59,FALSE)), OR(MID(metadata!C213,17,1)="", AND(AND(MID(metadata!C213,17,1)=":",IFERROR(INT(MID(metadata!C213,18,1))&gt;=0,FALSE),IFERROR(INT(MID(metadata!C213,18,1))&lt;=5,FALSE),NOT(MID(metadata!C213,19,1)=""),IFERROR(INT(MID(metadata!C213,18,2))&gt;=0,FALSE),IFERROR(INT(MID(metadata!C213,18,2))&lt;=59,FALSE)), LEN(metadata!C213)&lt;=19)))))))))))))</f>
        <v>0</v>
      </c>
      <c r="AD213">
        <f>IF(metadata!D213="",FALSE,TRUE)</f>
        <v>0</v>
      </c>
      <c r="AE213">
        <f>OR(AND(IF(metadata!E213="",FALSE,TRUE),OR(exact(metadata!E213,"missing: not collected"),exact(metadata!E213,"missing: not provided"))),AND(IF(metadata!E213="",FALSE,TRUE),OR(exact(metadata!E213,"TRUE"),exact(metadata!E213,"FALSE"))))</f>
        <v>0</v>
      </c>
      <c r="AF213">
        <f>IF(metadata!F213="",FALSE,TRUE)</f>
        <v>0</v>
      </c>
      <c r="AG213">
        <f>IF(metadata!G213="",FALSE,TRUE)</f>
        <v>0</v>
      </c>
      <c r="AH213">
        <f>IF(metadata!H213="",FALSE,TRUE)</f>
        <v>0</v>
      </c>
      <c r="AI213">
        <f>OR(AND(IF(metadata!I213="",FALSE,TRUE),OR(exact(metadata!I213,"missing: not collected"),exact(metadata!I213,"missing: not provided"),exact(metadata!I213,"missing: restricted access"))),AND(IF(metadata!I213="",FALSE,TRUE),OR(exact(metadata!I213,"air"),exact(metadata!I213,"built environment"),exact(metadata!I213,"host-associated"),exact(metadata!I213,"human-associated"),exact(metadata!I213,"human-skin"),exact(metadata!I213,"human-oral"),exact(metadata!I213,"human-gut"),exact(metadata!I213,"human-vaginal"),exact(metadata!I213,"microbial mat/biofilm"),exact(metadata!I213,"misc environment"),exact(metadata!I213,"plant-associated"),exact(metadata!I213,"sediment"),exact(metadata!I213,"soil"),exact(metadata!I213,"wastewater/sludge"),exact(metadata!I213,"water"))))</f>
        <v>0</v>
      </c>
      <c r="AJ213">
        <f>IF(metadata!J213="",FALSE,TRUE)</f>
        <v>0</v>
      </c>
      <c r="AK213">
        <f>OR(AND(IF(metadata!K213="",FALSE,TRUE),OR(exact(metadata!K213,"missing: not collected"),exact(metadata!K213,"missing: not provided"),exact(metadata!K213,"missing: restricted access"))),AND(IF(metadata!K213="",FALSE,ISNUMBER(VALUE(metadata!K213))),metadata!K213&gt;=-90.00,metadata!K213&lt;=90.00))</f>
        <v>0</v>
      </c>
      <c r="AL213">
        <f>OR(AND(IF(metadata!L213="",FALSE,TRUE),OR(exact(metadata!L213,"missing: not collected"),exact(metadata!L213,"missing: not provided"),exact(metadata!L213,"missing: restricted access"))),AND(IF(metadata!L213="",FALSE,ISNUMBER(VALUE(metadata!L213))),metadata!L213&gt;=-180.00,metadata!L213&lt;=180.00))</f>
        <v>0</v>
      </c>
      <c r="AM213">
        <f>IF(metadata!M213="",FALSE,TRUE)</f>
        <v>0</v>
      </c>
      <c r="AN213">
        <f>OR(AND(IF(metadata!N213="",FALSE,TRUE),OR(exact(metadata!N213,"missing: not collected"),exact(metadata!N213,"missing: not provided"),exact(metadata!N213,"missing: restricted access"))),AND(IF(metadata!N213="",FALSE,TRUE),OR(exact(metadata!N213,"TRUE"),exact(metadata!N213,"FALSE"))))</f>
        <v>0</v>
      </c>
      <c r="AO213">
        <f>IF(metadata!O213="",FALSE,TRUE)</f>
        <v>0</v>
      </c>
      <c r="AP213">
        <f>OR(AND(IF(metadata!P213="",FALSE,TRUE),OR(exact(metadata!P213,"missing: not collected"),exact(metadata!P213,"missing: not provided"))),AND(IF(metadata!P213="",FALSE,IF(ISERROR(INT(metadata!P213)),FALSE,INT(metadata!P213)=metadata!P213)),metadata!P213&gt;0))</f>
        <v>0</v>
      </c>
      <c r="AQ213">
        <f>IF(metadata!Q213="",FALSE,TRUE)</f>
        <v>0</v>
      </c>
    </row>
    <row r="214" spans="1:43">
      <c r="A214" s="5">
        <f>IF(B214=" "," ",HYPERLINK(CONCATENATE("#metadata!",ADDRESS(INDEX($W$2:$W$1001,MATCH(ROWS($U$2:U214),$U$2:$U$1001,0),0),1)),INDEX($Z$2:$Z$1001,MATCH(ROWS($U$2:U214),$U$2:$U$1001,0),0)))</f>
        <v>0</v>
      </c>
      <c r="B214" s="4">
        <f>IF(OR(INDEX($V$2:$V$1001,MATCH(ROWS($U$2:U214),$U$2:$U$1001,0),1)&gt;=100000,INDEX($AB$1005:$AQ$1005,1,MATCH(COLUMNS($AB$1006:AB1006),$AB$1006:$AQ$1006,0))&gt;=100000), " ",IF(INDEX($AB$2:$AQ$1001,MATCH(ROWS($U$2:U214),$U$2:$U$1001,0),MATCH(COLUMNS($AB$1006:AB1006),$AB$1006:$AQ$1006,0)), HYPERLINK("#",""), HYPERLINK(CONCATENATE("#metadata!", ADDRESS(INDEX($W$2:$W$1001,MATCH(ROWS($U$2:U214),$U$2:$U$1001,0),0), INDEX($AB$1004:$AQ$1004,1,MATCH(COLUMNS($AB$1006:AB1006),$AB$1006:$AQ$1006,0)))),"Fix")))</f>
        <v>0</v>
      </c>
      <c r="C214" s="4">
        <f>IF(OR(INDEX($V$2:$V$1001,MATCH(ROWS($U$2:U214),$U$2:$U$1001,0),1)&gt;=100000,INDEX($AB$1005:$AQ$1005,1,MATCH(COLUMNS($AB$1006:AC1006),$AB$1006:$AQ$1006,0))&gt;=100000), " ",IF(INDEX($AB$2:$AQ$1001,MATCH(ROWS($U$2:U214),$U$2:$U$1001,0),MATCH(COLUMNS($AB$1006:AC1006),$AB$1006:$AQ$1006,0)), HYPERLINK("#",""), HYPERLINK(CONCATENATE("#metadata!", ADDRESS(INDEX($W$2:$W$1001,MATCH(ROWS($U$2:U214),$U$2:$U$1001,0),0), INDEX($AB$1004:$AQ$1004,1,MATCH(COLUMNS($AB$1006:AC1006),$AB$1006:$AQ$1006,0)))),"Fix")))</f>
        <v>0</v>
      </c>
      <c r="D214" s="4">
        <f>IF(OR(INDEX($V$2:$V$1001,MATCH(ROWS($U$2:U214),$U$2:$U$1001,0),1)&gt;=100000,INDEX($AB$1005:$AQ$1005,1,MATCH(COLUMNS($AB$1006:AD1006),$AB$1006:$AQ$1006,0))&gt;=100000), " ",IF(INDEX($AB$2:$AQ$1001,MATCH(ROWS($U$2:U214),$U$2:$U$1001,0),MATCH(COLUMNS($AB$1006:AD1006),$AB$1006:$AQ$1006,0)), HYPERLINK("#",""), HYPERLINK(CONCATENATE("#metadata!", ADDRESS(INDEX($W$2:$W$1001,MATCH(ROWS($U$2:U214),$U$2:$U$1001,0),0), INDEX($AB$1004:$AQ$1004,1,MATCH(COLUMNS($AB$1006:AD1006),$AB$1006:$AQ$1006,0)))),"Fix")))</f>
        <v>0</v>
      </c>
      <c r="E214" s="4">
        <f>IF(OR(INDEX($V$2:$V$1001,MATCH(ROWS($U$2:U214),$U$2:$U$1001,0),1)&gt;=100000,INDEX($AB$1005:$AQ$1005,1,MATCH(COLUMNS($AB$1006:AE1006),$AB$1006:$AQ$1006,0))&gt;=100000), " ",IF(INDEX($AB$2:$AQ$1001,MATCH(ROWS($U$2:U214),$U$2:$U$1001,0),MATCH(COLUMNS($AB$1006:AE1006),$AB$1006:$AQ$1006,0)), HYPERLINK("#",""), HYPERLINK(CONCATENATE("#metadata!", ADDRESS(INDEX($W$2:$W$1001,MATCH(ROWS($U$2:U214),$U$2:$U$1001,0),0), INDEX($AB$1004:$AQ$1004,1,MATCH(COLUMNS($AB$1006:AE1006),$AB$1006:$AQ$1006,0)))),"Fix")))</f>
        <v>0</v>
      </c>
      <c r="F214" s="4">
        <f>IF(OR(INDEX($V$2:$V$1001,MATCH(ROWS($U$2:U214),$U$2:$U$1001,0),1)&gt;=100000,INDEX($AB$1005:$AQ$1005,1,MATCH(COLUMNS($AB$1006:AF1006),$AB$1006:$AQ$1006,0))&gt;=100000), " ",IF(INDEX($AB$2:$AQ$1001,MATCH(ROWS($U$2:U214),$U$2:$U$1001,0),MATCH(COLUMNS($AB$1006:AF1006),$AB$1006:$AQ$1006,0)), HYPERLINK("#",""), HYPERLINK(CONCATENATE("#metadata!", ADDRESS(INDEX($W$2:$W$1001,MATCH(ROWS($U$2:U214),$U$2:$U$1001,0),0), INDEX($AB$1004:$AQ$1004,1,MATCH(COLUMNS($AB$1006:AF1006),$AB$1006:$AQ$1006,0)))),"Fix")))</f>
        <v>0</v>
      </c>
      <c r="G214" s="4">
        <f>IF(OR(INDEX($V$2:$V$1001,MATCH(ROWS($U$2:U214),$U$2:$U$1001,0),1)&gt;=100000,INDEX($AB$1005:$AQ$1005,1,MATCH(COLUMNS($AB$1006:AG1006),$AB$1006:$AQ$1006,0))&gt;=100000), " ",IF(INDEX($AB$2:$AQ$1001,MATCH(ROWS($U$2:U214),$U$2:$U$1001,0),MATCH(COLUMNS($AB$1006:AG1006),$AB$1006:$AQ$1006,0)), HYPERLINK("#",""), HYPERLINK(CONCATENATE("#metadata!", ADDRESS(INDEX($W$2:$W$1001,MATCH(ROWS($U$2:U214),$U$2:$U$1001,0),0), INDEX($AB$1004:$AQ$1004,1,MATCH(COLUMNS($AB$1006:AG1006),$AB$1006:$AQ$1006,0)))),"Fix")))</f>
        <v>0</v>
      </c>
      <c r="H214" s="4">
        <f>IF(OR(INDEX($V$2:$V$1001,MATCH(ROWS($U$2:U214),$U$2:$U$1001,0),1)&gt;=100000,INDEX($AB$1005:$AQ$1005,1,MATCH(COLUMNS($AB$1006:AH1006),$AB$1006:$AQ$1006,0))&gt;=100000), " ",IF(INDEX($AB$2:$AQ$1001,MATCH(ROWS($U$2:U214),$U$2:$U$1001,0),MATCH(COLUMNS($AB$1006:AH1006),$AB$1006:$AQ$1006,0)), HYPERLINK("#",""), HYPERLINK(CONCATENATE("#metadata!", ADDRESS(INDEX($W$2:$W$1001,MATCH(ROWS($U$2:U214),$U$2:$U$1001,0),0), INDEX($AB$1004:$AQ$1004,1,MATCH(COLUMNS($AB$1006:AH1006),$AB$1006:$AQ$1006,0)))),"Fix")))</f>
        <v>0</v>
      </c>
      <c r="I214" s="4">
        <f>IF(OR(INDEX($V$2:$V$1001,MATCH(ROWS($U$2:U214),$U$2:$U$1001,0),1)&gt;=100000,INDEX($AB$1005:$AQ$1005,1,MATCH(COLUMNS($AB$1006:AI1006),$AB$1006:$AQ$1006,0))&gt;=100000), " ",IF(INDEX($AB$2:$AQ$1001,MATCH(ROWS($U$2:U214),$U$2:$U$1001,0),MATCH(COLUMNS($AB$1006:AI1006),$AB$1006:$AQ$1006,0)), HYPERLINK("#",""), HYPERLINK(CONCATENATE("#metadata!", ADDRESS(INDEX($W$2:$W$1001,MATCH(ROWS($U$2:U214),$U$2:$U$1001,0),0), INDEX($AB$1004:$AQ$1004,1,MATCH(COLUMNS($AB$1006:AI1006),$AB$1006:$AQ$1006,0)))),"Fix")))</f>
        <v>0</v>
      </c>
      <c r="J214" s="4">
        <f>IF(OR(INDEX($V$2:$V$1001,MATCH(ROWS($U$2:U214),$U$2:$U$1001,0),1)&gt;=100000,INDEX($AB$1005:$AQ$1005,1,MATCH(COLUMNS($AB$1006:AJ1006),$AB$1006:$AQ$1006,0))&gt;=100000), " ",IF(INDEX($AB$2:$AQ$1001,MATCH(ROWS($U$2:U214),$U$2:$U$1001,0),MATCH(COLUMNS($AB$1006:AJ1006),$AB$1006:$AQ$1006,0)), HYPERLINK("#",""), HYPERLINK(CONCATENATE("#metadata!", ADDRESS(INDEX($W$2:$W$1001,MATCH(ROWS($U$2:U214),$U$2:$U$1001,0),0), INDEX($AB$1004:$AQ$1004,1,MATCH(COLUMNS($AB$1006:AJ1006),$AB$1006:$AQ$1006,0)))),"Fix")))</f>
        <v>0</v>
      </c>
      <c r="K214" s="4">
        <f>IF(OR(INDEX($V$2:$V$1001,MATCH(ROWS($U$2:U214),$U$2:$U$1001,0),1)&gt;=100000,INDEX($AB$1005:$AQ$1005,1,MATCH(COLUMNS($AB$1006:AK1006),$AB$1006:$AQ$1006,0))&gt;=100000), " ",IF(INDEX($AB$2:$AQ$1001,MATCH(ROWS($U$2:U214),$U$2:$U$1001,0),MATCH(COLUMNS($AB$1006:AK1006),$AB$1006:$AQ$1006,0)), HYPERLINK("#",""), HYPERLINK(CONCATENATE("#metadata!", ADDRESS(INDEX($W$2:$W$1001,MATCH(ROWS($U$2:U214),$U$2:$U$1001,0),0), INDEX($AB$1004:$AQ$1004,1,MATCH(COLUMNS($AB$1006:AK1006),$AB$1006:$AQ$1006,0)))),"Fix")))</f>
        <v>0</v>
      </c>
      <c r="L214" s="4">
        <f>IF(OR(INDEX($V$2:$V$1001,MATCH(ROWS($U$2:U214),$U$2:$U$1001,0),1)&gt;=100000,INDEX($AB$1005:$AQ$1005,1,MATCH(COLUMNS($AB$1006:AL1006),$AB$1006:$AQ$1006,0))&gt;=100000), " ",IF(INDEX($AB$2:$AQ$1001,MATCH(ROWS($U$2:U214),$U$2:$U$1001,0),MATCH(COLUMNS($AB$1006:AL1006),$AB$1006:$AQ$1006,0)), HYPERLINK("#",""), HYPERLINK(CONCATENATE("#metadata!", ADDRESS(INDEX($W$2:$W$1001,MATCH(ROWS($U$2:U214),$U$2:$U$1001,0),0), INDEX($AB$1004:$AQ$1004,1,MATCH(COLUMNS($AB$1006:AL1006),$AB$1006:$AQ$1006,0)))),"Fix")))</f>
        <v>0</v>
      </c>
      <c r="M214" s="4">
        <f>IF(OR(INDEX($V$2:$V$1001,MATCH(ROWS($U$2:U214),$U$2:$U$1001,0),1)&gt;=100000,INDEX($AB$1005:$AQ$1005,1,MATCH(COLUMNS($AB$1006:AM1006),$AB$1006:$AQ$1006,0))&gt;=100000), " ",IF(INDEX($AB$2:$AQ$1001,MATCH(ROWS($U$2:U214),$U$2:$U$1001,0),MATCH(COLUMNS($AB$1006:AM1006),$AB$1006:$AQ$1006,0)), HYPERLINK("#",""), HYPERLINK(CONCATENATE("#metadata!", ADDRESS(INDEX($W$2:$W$1001,MATCH(ROWS($U$2:U214),$U$2:$U$1001,0),0), INDEX($AB$1004:$AQ$1004,1,MATCH(COLUMNS($AB$1006:AM1006),$AB$1006:$AQ$1006,0)))),"Fix")))</f>
        <v>0</v>
      </c>
      <c r="N214" s="4">
        <f>IF(OR(INDEX($V$2:$V$1001,MATCH(ROWS($U$2:U214),$U$2:$U$1001,0),1)&gt;=100000,INDEX($AB$1005:$AQ$1005,1,MATCH(COLUMNS($AB$1006:AN1006),$AB$1006:$AQ$1006,0))&gt;=100000), " ",IF(INDEX($AB$2:$AQ$1001,MATCH(ROWS($U$2:U214),$U$2:$U$1001,0),MATCH(COLUMNS($AB$1006:AN1006),$AB$1006:$AQ$1006,0)), HYPERLINK("#",""), HYPERLINK(CONCATENATE("#metadata!", ADDRESS(INDEX($W$2:$W$1001,MATCH(ROWS($U$2:U214),$U$2:$U$1001,0),0), INDEX($AB$1004:$AQ$1004,1,MATCH(COLUMNS($AB$1006:AN1006),$AB$1006:$AQ$1006,0)))),"Fix")))</f>
        <v>0</v>
      </c>
      <c r="O214" s="4">
        <f>IF(OR(INDEX($V$2:$V$1001,MATCH(ROWS($U$2:U214),$U$2:$U$1001,0),1)&gt;=100000,INDEX($AB$1005:$AQ$1005,1,MATCH(COLUMNS($AB$1006:AO1006),$AB$1006:$AQ$1006,0))&gt;=100000), " ",IF(INDEX($AB$2:$AQ$1001,MATCH(ROWS($U$2:U214),$U$2:$U$1001,0),MATCH(COLUMNS($AB$1006:AO1006),$AB$1006:$AQ$1006,0)), HYPERLINK("#",""), HYPERLINK(CONCATENATE("#metadata!", ADDRESS(INDEX($W$2:$W$1001,MATCH(ROWS($U$2:U214),$U$2:$U$1001,0),0), INDEX($AB$1004:$AQ$1004,1,MATCH(COLUMNS($AB$1006:AO1006),$AB$1006:$AQ$1006,0)))),"Fix")))</f>
        <v>0</v>
      </c>
      <c r="P214" s="4">
        <f>IF(OR(INDEX($V$2:$V$1001,MATCH(ROWS($U$2:U214),$U$2:$U$1001,0),1)&gt;=100000,INDEX($AB$1005:$AQ$1005,1,MATCH(COLUMNS($AB$1006:AP1006),$AB$1006:$AQ$1006,0))&gt;=100000), " ",IF(INDEX($AB$2:$AQ$1001,MATCH(ROWS($U$2:U214),$U$2:$U$1001,0),MATCH(COLUMNS($AB$1006:AP1006),$AB$1006:$AQ$1006,0)), HYPERLINK("#",""), HYPERLINK(CONCATENATE("#metadata!", ADDRESS(INDEX($W$2:$W$1001,MATCH(ROWS($U$2:U214),$U$2:$U$1001,0),0), INDEX($AB$1004:$AQ$1004,1,MATCH(COLUMNS($AB$1006:AP1006),$AB$1006:$AQ$1006,0)))),"Fix")))</f>
        <v>0</v>
      </c>
      <c r="Q214" s="4">
        <f>IF(OR(INDEX($V$2:$V$1001,MATCH(ROWS($U$2:U214),$U$2:$U$1001,0),1)&gt;=100000,INDEX($AB$1005:$AQ$1005,1,MATCH(COLUMNS($AB$1006:AQ1006),$AB$1006:$AQ$1006,0))&gt;=100000), " ",IF(INDEX($AB$2:$AQ$1001,MATCH(ROWS($U$2:U214),$U$2:$U$1001,0),MATCH(COLUMNS($AB$1006:AQ1006),$AB$1006:$AQ$1006,0)), HYPERLINK("#",""), HYPERLINK(CONCATENATE("#metadata!", ADDRESS(INDEX($W$2:$W$1001,MATCH(ROWS($U$2:U214),$U$2:$U$1001,0),0), INDEX($AB$1004:$AQ$1004,1,MATCH(COLUMNS($AB$1006:AQ1006),$AB$1006:$AQ$1006,0)))),"Fix")))</f>
        <v>0</v>
      </c>
      <c r="U214">
        <v>0</v>
      </c>
      <c r="V214">
        <v>0</v>
      </c>
      <c r="W214">
        <v>0</v>
      </c>
      <c r="X214">
        <f>IF(Y214,TRUE,AND(AB214:AQ214))</f>
        <v>0</v>
      </c>
      <c r="Y214">
        <f>COUNTBLANK(metadata!B214:Q214)=COLUMNS(metadata!B214:Q214)</f>
        <v>0</v>
      </c>
      <c r="Z214">
        <v>0</v>
      </c>
      <c r="AB214">
        <f>AND(IF(metadata!B214="",FALSE,TRUE),COUNTIF(metadata!B:B, metadata!B214) = 1,NOT(ISERROR(SUMPRODUCT(SEARCH(MID(metadata!B214,ROW(INDIRECT("1:"&amp;LEN(metadata!B214))), 1),"0123456789abcdefghijklmnopqrstuvwxyzABCDEFGHIJKLMNOPQRSTUVWXYZ.")))))</f>
        <v>0</v>
      </c>
      <c r="AC214">
        <f>OR(AND(IF(metadata!C214="",FALSE,TRUE),OR(exact(metadata!C214,"missing: not collected"),exact(metadata!C214,"missing: not provided"),exact(metadata!C214,"missing: restricted access"))),AND(IF(metadata!C214="",FALSE,TRUE),AND(AND(IFERROR(INT(LEFT(metadata!C214,4))&gt;1900,FALSE),IFERROR(INT(LEFT(metadata!C214,4))&lt;=YEAR(NOW()),FALSE)), OR(MID(metadata!C214,5,1)="", AND(AND(MID(metadata!C214,5,1)="-",IFERROR(INT(MID(metadata!C214,6,1))&gt;=0,FALSE),IFERROR(INT(MID(metadata!C214,6,1))&lt;=1,FALSE),NOT(MID(metadata!C214,7,1)=""),IFERROR(INT(MID(metadata!C214,6,2))&gt;=1,FALSE),IFERROR(INT(MID(metadata!C214,6,2))&lt;=12,FALSE)), OR(MID(metadata!C214,8,1)="", AND(AND(MID(metadata!C214,8,1)="-",IFERROR(INT(MID(metadata!C214,9,1))&gt;=0,FALSE),IFERROR(INT(MID(metadata!C214,9,1))&lt;=3,FALSE),NOT(MID(metadata!C214,10,1)=""),IFERROR(INT(MID(metadata!C214,9,2))&gt;=1,FALSE),IFERROR(INT(MID(metadata!C214,9,2))&lt;=31,FALSE)), OR(MID(metadata!C214,11,1)="", AND(AND(MID(metadata!C214,11,1)=" ",IFERROR(INT(MID(metadata!C214,12,1))&gt;=0,FALSE),IFERROR(INT(MID(metadata!C214,12,1))&lt;=2,FALSE),NOT(MID(metadata!C214,13,1)=""),IFERROR(INT(MID(metadata!C214,12,2))&gt;=0,FALSE),IFERROR(INT(MID(metadata!C214,12,2))&lt;=23,FALSE)), OR(MID(metadata!C214,14,1)="", AND(AND(MID(metadata!C214,14,1)=":",IFERROR(INT(MID(metadata!C214,15,1))&gt;=0,FALSE),IFERROR(INT(MID(metadata!C214,15,1))&lt;=5,FALSE),NOT(MID(metadata!C214,16,1)=""),IFERROR(INT(MID(metadata!C214,15,2))&gt;=0,FALSE),IFERROR(INT(MID(metadata!C214,15,2))&lt;=59,FALSE)), OR(MID(metadata!C214,17,1)="", AND(AND(MID(metadata!C214,17,1)=":",IFERROR(INT(MID(metadata!C214,18,1))&gt;=0,FALSE),IFERROR(INT(MID(metadata!C214,18,1))&lt;=5,FALSE),NOT(MID(metadata!C214,19,1)=""),IFERROR(INT(MID(metadata!C214,18,2))&gt;=0,FALSE),IFERROR(INT(MID(metadata!C214,18,2))&lt;=59,FALSE)), LEN(metadata!C214)&lt;=19)))))))))))))</f>
        <v>0</v>
      </c>
      <c r="AD214">
        <f>IF(metadata!D214="",FALSE,TRUE)</f>
        <v>0</v>
      </c>
      <c r="AE214">
        <f>OR(AND(IF(metadata!E214="",FALSE,TRUE),OR(exact(metadata!E214,"missing: not collected"),exact(metadata!E214,"missing: not provided"))),AND(IF(metadata!E214="",FALSE,TRUE),OR(exact(metadata!E214,"TRUE"),exact(metadata!E214,"FALSE"))))</f>
        <v>0</v>
      </c>
      <c r="AF214">
        <f>IF(metadata!F214="",FALSE,TRUE)</f>
        <v>0</v>
      </c>
      <c r="AG214">
        <f>IF(metadata!G214="",FALSE,TRUE)</f>
        <v>0</v>
      </c>
      <c r="AH214">
        <f>IF(metadata!H214="",FALSE,TRUE)</f>
        <v>0</v>
      </c>
      <c r="AI214">
        <f>OR(AND(IF(metadata!I214="",FALSE,TRUE),OR(exact(metadata!I214,"missing: not collected"),exact(metadata!I214,"missing: not provided"),exact(metadata!I214,"missing: restricted access"))),AND(IF(metadata!I214="",FALSE,TRUE),OR(exact(metadata!I214,"air"),exact(metadata!I214,"built environment"),exact(metadata!I214,"host-associated"),exact(metadata!I214,"human-associated"),exact(metadata!I214,"human-skin"),exact(metadata!I214,"human-oral"),exact(metadata!I214,"human-gut"),exact(metadata!I214,"human-vaginal"),exact(metadata!I214,"microbial mat/biofilm"),exact(metadata!I214,"misc environment"),exact(metadata!I214,"plant-associated"),exact(metadata!I214,"sediment"),exact(metadata!I214,"soil"),exact(metadata!I214,"wastewater/sludge"),exact(metadata!I214,"water"))))</f>
        <v>0</v>
      </c>
      <c r="AJ214">
        <f>IF(metadata!J214="",FALSE,TRUE)</f>
        <v>0</v>
      </c>
      <c r="AK214">
        <f>OR(AND(IF(metadata!K214="",FALSE,TRUE),OR(exact(metadata!K214,"missing: not collected"),exact(metadata!K214,"missing: not provided"),exact(metadata!K214,"missing: restricted access"))),AND(IF(metadata!K214="",FALSE,ISNUMBER(VALUE(metadata!K214))),metadata!K214&gt;=-90.00,metadata!K214&lt;=90.00))</f>
        <v>0</v>
      </c>
      <c r="AL214">
        <f>OR(AND(IF(metadata!L214="",FALSE,TRUE),OR(exact(metadata!L214,"missing: not collected"),exact(metadata!L214,"missing: not provided"),exact(metadata!L214,"missing: restricted access"))),AND(IF(metadata!L214="",FALSE,ISNUMBER(VALUE(metadata!L214))),metadata!L214&gt;=-180.00,metadata!L214&lt;=180.00))</f>
        <v>0</v>
      </c>
      <c r="AM214">
        <f>IF(metadata!M214="",FALSE,TRUE)</f>
        <v>0</v>
      </c>
      <c r="AN214">
        <f>OR(AND(IF(metadata!N214="",FALSE,TRUE),OR(exact(metadata!N214,"missing: not collected"),exact(metadata!N214,"missing: not provided"),exact(metadata!N214,"missing: restricted access"))),AND(IF(metadata!N214="",FALSE,TRUE),OR(exact(metadata!N214,"TRUE"),exact(metadata!N214,"FALSE"))))</f>
        <v>0</v>
      </c>
      <c r="AO214">
        <f>IF(metadata!O214="",FALSE,TRUE)</f>
        <v>0</v>
      </c>
      <c r="AP214">
        <f>OR(AND(IF(metadata!P214="",FALSE,TRUE),OR(exact(metadata!P214,"missing: not collected"),exact(metadata!P214,"missing: not provided"))),AND(IF(metadata!P214="",FALSE,IF(ISERROR(INT(metadata!P214)),FALSE,INT(metadata!P214)=metadata!P214)),metadata!P214&gt;0))</f>
        <v>0</v>
      </c>
      <c r="AQ214">
        <f>IF(metadata!Q214="",FALSE,TRUE)</f>
        <v>0</v>
      </c>
    </row>
    <row r="215" spans="1:43">
      <c r="A215" s="5">
        <f>IF(B215=" "," ",HYPERLINK(CONCATENATE("#metadata!",ADDRESS(INDEX($W$2:$W$1001,MATCH(ROWS($U$2:U215),$U$2:$U$1001,0),0),1)),INDEX($Z$2:$Z$1001,MATCH(ROWS($U$2:U215),$U$2:$U$1001,0),0)))</f>
        <v>0</v>
      </c>
      <c r="B215" s="4">
        <f>IF(OR(INDEX($V$2:$V$1001,MATCH(ROWS($U$2:U215),$U$2:$U$1001,0),1)&gt;=100000,INDEX($AB$1005:$AQ$1005,1,MATCH(COLUMNS($AB$1006:AB1006),$AB$1006:$AQ$1006,0))&gt;=100000), " ",IF(INDEX($AB$2:$AQ$1001,MATCH(ROWS($U$2:U215),$U$2:$U$1001,0),MATCH(COLUMNS($AB$1006:AB1006),$AB$1006:$AQ$1006,0)), HYPERLINK("#",""), HYPERLINK(CONCATENATE("#metadata!", ADDRESS(INDEX($W$2:$W$1001,MATCH(ROWS($U$2:U215),$U$2:$U$1001,0),0), INDEX($AB$1004:$AQ$1004,1,MATCH(COLUMNS($AB$1006:AB1006),$AB$1006:$AQ$1006,0)))),"Fix")))</f>
        <v>0</v>
      </c>
      <c r="C215" s="4">
        <f>IF(OR(INDEX($V$2:$V$1001,MATCH(ROWS($U$2:U215),$U$2:$U$1001,0),1)&gt;=100000,INDEX($AB$1005:$AQ$1005,1,MATCH(COLUMNS($AB$1006:AC1006),$AB$1006:$AQ$1006,0))&gt;=100000), " ",IF(INDEX($AB$2:$AQ$1001,MATCH(ROWS($U$2:U215),$U$2:$U$1001,0),MATCH(COLUMNS($AB$1006:AC1006),$AB$1006:$AQ$1006,0)), HYPERLINK("#",""), HYPERLINK(CONCATENATE("#metadata!", ADDRESS(INDEX($W$2:$W$1001,MATCH(ROWS($U$2:U215),$U$2:$U$1001,0),0), INDEX($AB$1004:$AQ$1004,1,MATCH(COLUMNS($AB$1006:AC1006),$AB$1006:$AQ$1006,0)))),"Fix")))</f>
        <v>0</v>
      </c>
      <c r="D215" s="4">
        <f>IF(OR(INDEX($V$2:$V$1001,MATCH(ROWS($U$2:U215),$U$2:$U$1001,0),1)&gt;=100000,INDEX($AB$1005:$AQ$1005,1,MATCH(COLUMNS($AB$1006:AD1006),$AB$1006:$AQ$1006,0))&gt;=100000), " ",IF(INDEX($AB$2:$AQ$1001,MATCH(ROWS($U$2:U215),$U$2:$U$1001,0),MATCH(COLUMNS($AB$1006:AD1006),$AB$1006:$AQ$1006,0)), HYPERLINK("#",""), HYPERLINK(CONCATENATE("#metadata!", ADDRESS(INDEX($W$2:$W$1001,MATCH(ROWS($U$2:U215),$U$2:$U$1001,0),0), INDEX($AB$1004:$AQ$1004,1,MATCH(COLUMNS($AB$1006:AD1006),$AB$1006:$AQ$1006,0)))),"Fix")))</f>
        <v>0</v>
      </c>
      <c r="E215" s="4">
        <f>IF(OR(INDEX($V$2:$V$1001,MATCH(ROWS($U$2:U215),$U$2:$U$1001,0),1)&gt;=100000,INDEX($AB$1005:$AQ$1005,1,MATCH(COLUMNS($AB$1006:AE1006),$AB$1006:$AQ$1006,0))&gt;=100000), " ",IF(INDEX($AB$2:$AQ$1001,MATCH(ROWS($U$2:U215),$U$2:$U$1001,0),MATCH(COLUMNS($AB$1006:AE1006),$AB$1006:$AQ$1006,0)), HYPERLINK("#",""), HYPERLINK(CONCATENATE("#metadata!", ADDRESS(INDEX($W$2:$W$1001,MATCH(ROWS($U$2:U215),$U$2:$U$1001,0),0), INDEX($AB$1004:$AQ$1004,1,MATCH(COLUMNS($AB$1006:AE1006),$AB$1006:$AQ$1006,0)))),"Fix")))</f>
        <v>0</v>
      </c>
      <c r="F215" s="4">
        <f>IF(OR(INDEX($V$2:$V$1001,MATCH(ROWS($U$2:U215),$U$2:$U$1001,0),1)&gt;=100000,INDEX($AB$1005:$AQ$1005,1,MATCH(COLUMNS($AB$1006:AF1006),$AB$1006:$AQ$1006,0))&gt;=100000), " ",IF(INDEX($AB$2:$AQ$1001,MATCH(ROWS($U$2:U215),$U$2:$U$1001,0),MATCH(COLUMNS($AB$1006:AF1006),$AB$1006:$AQ$1006,0)), HYPERLINK("#",""), HYPERLINK(CONCATENATE("#metadata!", ADDRESS(INDEX($W$2:$W$1001,MATCH(ROWS($U$2:U215),$U$2:$U$1001,0),0), INDEX($AB$1004:$AQ$1004,1,MATCH(COLUMNS($AB$1006:AF1006),$AB$1006:$AQ$1006,0)))),"Fix")))</f>
        <v>0</v>
      </c>
      <c r="G215" s="4">
        <f>IF(OR(INDEX($V$2:$V$1001,MATCH(ROWS($U$2:U215),$U$2:$U$1001,0),1)&gt;=100000,INDEX($AB$1005:$AQ$1005,1,MATCH(COLUMNS($AB$1006:AG1006),$AB$1006:$AQ$1006,0))&gt;=100000), " ",IF(INDEX($AB$2:$AQ$1001,MATCH(ROWS($U$2:U215),$U$2:$U$1001,0),MATCH(COLUMNS($AB$1006:AG1006),$AB$1006:$AQ$1006,0)), HYPERLINK("#",""), HYPERLINK(CONCATENATE("#metadata!", ADDRESS(INDEX($W$2:$W$1001,MATCH(ROWS($U$2:U215),$U$2:$U$1001,0),0), INDEX($AB$1004:$AQ$1004,1,MATCH(COLUMNS($AB$1006:AG1006),$AB$1006:$AQ$1006,0)))),"Fix")))</f>
        <v>0</v>
      </c>
      <c r="H215" s="4">
        <f>IF(OR(INDEX($V$2:$V$1001,MATCH(ROWS($U$2:U215),$U$2:$U$1001,0),1)&gt;=100000,INDEX($AB$1005:$AQ$1005,1,MATCH(COLUMNS($AB$1006:AH1006),$AB$1006:$AQ$1006,0))&gt;=100000), " ",IF(INDEX($AB$2:$AQ$1001,MATCH(ROWS($U$2:U215),$U$2:$U$1001,0),MATCH(COLUMNS($AB$1006:AH1006),$AB$1006:$AQ$1006,0)), HYPERLINK("#",""), HYPERLINK(CONCATENATE("#metadata!", ADDRESS(INDEX($W$2:$W$1001,MATCH(ROWS($U$2:U215),$U$2:$U$1001,0),0), INDEX($AB$1004:$AQ$1004,1,MATCH(COLUMNS($AB$1006:AH1006),$AB$1006:$AQ$1006,0)))),"Fix")))</f>
        <v>0</v>
      </c>
      <c r="I215" s="4">
        <f>IF(OR(INDEX($V$2:$V$1001,MATCH(ROWS($U$2:U215),$U$2:$U$1001,0),1)&gt;=100000,INDEX($AB$1005:$AQ$1005,1,MATCH(COLUMNS($AB$1006:AI1006),$AB$1006:$AQ$1006,0))&gt;=100000), " ",IF(INDEX($AB$2:$AQ$1001,MATCH(ROWS($U$2:U215),$U$2:$U$1001,0),MATCH(COLUMNS($AB$1006:AI1006),$AB$1006:$AQ$1006,0)), HYPERLINK("#",""), HYPERLINK(CONCATENATE("#metadata!", ADDRESS(INDEX($W$2:$W$1001,MATCH(ROWS($U$2:U215),$U$2:$U$1001,0),0), INDEX($AB$1004:$AQ$1004,1,MATCH(COLUMNS($AB$1006:AI1006),$AB$1006:$AQ$1006,0)))),"Fix")))</f>
        <v>0</v>
      </c>
      <c r="J215" s="4">
        <f>IF(OR(INDEX($V$2:$V$1001,MATCH(ROWS($U$2:U215),$U$2:$U$1001,0),1)&gt;=100000,INDEX($AB$1005:$AQ$1005,1,MATCH(COLUMNS($AB$1006:AJ1006),$AB$1006:$AQ$1006,0))&gt;=100000), " ",IF(INDEX($AB$2:$AQ$1001,MATCH(ROWS($U$2:U215),$U$2:$U$1001,0),MATCH(COLUMNS($AB$1006:AJ1006),$AB$1006:$AQ$1006,0)), HYPERLINK("#",""), HYPERLINK(CONCATENATE("#metadata!", ADDRESS(INDEX($W$2:$W$1001,MATCH(ROWS($U$2:U215),$U$2:$U$1001,0),0), INDEX($AB$1004:$AQ$1004,1,MATCH(COLUMNS($AB$1006:AJ1006),$AB$1006:$AQ$1006,0)))),"Fix")))</f>
        <v>0</v>
      </c>
      <c r="K215" s="4">
        <f>IF(OR(INDEX($V$2:$V$1001,MATCH(ROWS($U$2:U215),$U$2:$U$1001,0),1)&gt;=100000,INDEX($AB$1005:$AQ$1005,1,MATCH(COLUMNS($AB$1006:AK1006),$AB$1006:$AQ$1006,0))&gt;=100000), " ",IF(INDEX($AB$2:$AQ$1001,MATCH(ROWS($U$2:U215),$U$2:$U$1001,0),MATCH(COLUMNS($AB$1006:AK1006),$AB$1006:$AQ$1006,0)), HYPERLINK("#",""), HYPERLINK(CONCATENATE("#metadata!", ADDRESS(INDEX($W$2:$W$1001,MATCH(ROWS($U$2:U215),$U$2:$U$1001,0),0), INDEX($AB$1004:$AQ$1004,1,MATCH(COLUMNS($AB$1006:AK1006),$AB$1006:$AQ$1006,0)))),"Fix")))</f>
        <v>0</v>
      </c>
      <c r="L215" s="4">
        <f>IF(OR(INDEX($V$2:$V$1001,MATCH(ROWS($U$2:U215),$U$2:$U$1001,0),1)&gt;=100000,INDEX($AB$1005:$AQ$1005,1,MATCH(COLUMNS($AB$1006:AL1006),$AB$1006:$AQ$1006,0))&gt;=100000), " ",IF(INDEX($AB$2:$AQ$1001,MATCH(ROWS($U$2:U215),$U$2:$U$1001,0),MATCH(COLUMNS($AB$1006:AL1006),$AB$1006:$AQ$1006,0)), HYPERLINK("#",""), HYPERLINK(CONCATENATE("#metadata!", ADDRESS(INDEX($W$2:$W$1001,MATCH(ROWS($U$2:U215),$U$2:$U$1001,0),0), INDEX($AB$1004:$AQ$1004,1,MATCH(COLUMNS($AB$1006:AL1006),$AB$1006:$AQ$1006,0)))),"Fix")))</f>
        <v>0</v>
      </c>
      <c r="M215" s="4">
        <f>IF(OR(INDEX($V$2:$V$1001,MATCH(ROWS($U$2:U215),$U$2:$U$1001,0),1)&gt;=100000,INDEX($AB$1005:$AQ$1005,1,MATCH(COLUMNS($AB$1006:AM1006),$AB$1006:$AQ$1006,0))&gt;=100000), " ",IF(INDEX($AB$2:$AQ$1001,MATCH(ROWS($U$2:U215),$U$2:$U$1001,0),MATCH(COLUMNS($AB$1006:AM1006),$AB$1006:$AQ$1006,0)), HYPERLINK("#",""), HYPERLINK(CONCATENATE("#metadata!", ADDRESS(INDEX($W$2:$W$1001,MATCH(ROWS($U$2:U215),$U$2:$U$1001,0),0), INDEX($AB$1004:$AQ$1004,1,MATCH(COLUMNS($AB$1006:AM1006),$AB$1006:$AQ$1006,0)))),"Fix")))</f>
        <v>0</v>
      </c>
      <c r="N215" s="4">
        <f>IF(OR(INDEX($V$2:$V$1001,MATCH(ROWS($U$2:U215),$U$2:$U$1001,0),1)&gt;=100000,INDEX($AB$1005:$AQ$1005,1,MATCH(COLUMNS($AB$1006:AN1006),$AB$1006:$AQ$1006,0))&gt;=100000), " ",IF(INDEX($AB$2:$AQ$1001,MATCH(ROWS($U$2:U215),$U$2:$U$1001,0),MATCH(COLUMNS($AB$1006:AN1006),$AB$1006:$AQ$1006,0)), HYPERLINK("#",""), HYPERLINK(CONCATENATE("#metadata!", ADDRESS(INDEX($W$2:$W$1001,MATCH(ROWS($U$2:U215),$U$2:$U$1001,0),0), INDEX($AB$1004:$AQ$1004,1,MATCH(COLUMNS($AB$1006:AN1006),$AB$1006:$AQ$1006,0)))),"Fix")))</f>
        <v>0</v>
      </c>
      <c r="O215" s="4">
        <f>IF(OR(INDEX($V$2:$V$1001,MATCH(ROWS($U$2:U215),$U$2:$U$1001,0),1)&gt;=100000,INDEX($AB$1005:$AQ$1005,1,MATCH(COLUMNS($AB$1006:AO1006),$AB$1006:$AQ$1006,0))&gt;=100000), " ",IF(INDEX($AB$2:$AQ$1001,MATCH(ROWS($U$2:U215),$U$2:$U$1001,0),MATCH(COLUMNS($AB$1006:AO1006),$AB$1006:$AQ$1006,0)), HYPERLINK("#",""), HYPERLINK(CONCATENATE("#metadata!", ADDRESS(INDEX($W$2:$W$1001,MATCH(ROWS($U$2:U215),$U$2:$U$1001,0),0), INDEX($AB$1004:$AQ$1004,1,MATCH(COLUMNS($AB$1006:AO1006),$AB$1006:$AQ$1006,0)))),"Fix")))</f>
        <v>0</v>
      </c>
      <c r="P215" s="4">
        <f>IF(OR(INDEX($V$2:$V$1001,MATCH(ROWS($U$2:U215),$U$2:$U$1001,0),1)&gt;=100000,INDEX($AB$1005:$AQ$1005,1,MATCH(COLUMNS($AB$1006:AP1006),$AB$1006:$AQ$1006,0))&gt;=100000), " ",IF(INDEX($AB$2:$AQ$1001,MATCH(ROWS($U$2:U215),$U$2:$U$1001,0),MATCH(COLUMNS($AB$1006:AP1006),$AB$1006:$AQ$1006,0)), HYPERLINK("#",""), HYPERLINK(CONCATENATE("#metadata!", ADDRESS(INDEX($W$2:$W$1001,MATCH(ROWS($U$2:U215),$U$2:$U$1001,0),0), INDEX($AB$1004:$AQ$1004,1,MATCH(COLUMNS($AB$1006:AP1006),$AB$1006:$AQ$1006,0)))),"Fix")))</f>
        <v>0</v>
      </c>
      <c r="Q215" s="4">
        <f>IF(OR(INDEX($V$2:$V$1001,MATCH(ROWS($U$2:U215),$U$2:$U$1001,0),1)&gt;=100000,INDEX($AB$1005:$AQ$1005,1,MATCH(COLUMNS($AB$1006:AQ1006),$AB$1006:$AQ$1006,0))&gt;=100000), " ",IF(INDEX($AB$2:$AQ$1001,MATCH(ROWS($U$2:U215),$U$2:$U$1001,0),MATCH(COLUMNS($AB$1006:AQ1006),$AB$1006:$AQ$1006,0)), HYPERLINK("#",""), HYPERLINK(CONCATENATE("#metadata!", ADDRESS(INDEX($W$2:$W$1001,MATCH(ROWS($U$2:U215),$U$2:$U$1001,0),0), INDEX($AB$1004:$AQ$1004,1,MATCH(COLUMNS($AB$1006:AQ1006),$AB$1006:$AQ$1006,0)))),"Fix")))</f>
        <v>0</v>
      </c>
      <c r="U215">
        <v>0</v>
      </c>
      <c r="V215">
        <v>0</v>
      </c>
      <c r="W215">
        <v>0</v>
      </c>
      <c r="X215">
        <f>IF(Y215,TRUE,AND(AB215:AQ215))</f>
        <v>0</v>
      </c>
      <c r="Y215">
        <f>COUNTBLANK(metadata!B215:Q215)=COLUMNS(metadata!B215:Q215)</f>
        <v>0</v>
      </c>
      <c r="Z215">
        <v>0</v>
      </c>
      <c r="AB215">
        <f>AND(IF(metadata!B215="",FALSE,TRUE),COUNTIF(metadata!B:B, metadata!B215) = 1,NOT(ISERROR(SUMPRODUCT(SEARCH(MID(metadata!B215,ROW(INDIRECT("1:"&amp;LEN(metadata!B215))), 1),"0123456789abcdefghijklmnopqrstuvwxyzABCDEFGHIJKLMNOPQRSTUVWXYZ.")))))</f>
        <v>0</v>
      </c>
      <c r="AC215">
        <f>OR(AND(IF(metadata!C215="",FALSE,TRUE),OR(exact(metadata!C215,"missing: not collected"),exact(metadata!C215,"missing: not provided"),exact(metadata!C215,"missing: restricted access"))),AND(IF(metadata!C215="",FALSE,TRUE),AND(AND(IFERROR(INT(LEFT(metadata!C215,4))&gt;1900,FALSE),IFERROR(INT(LEFT(metadata!C215,4))&lt;=YEAR(NOW()),FALSE)), OR(MID(metadata!C215,5,1)="", AND(AND(MID(metadata!C215,5,1)="-",IFERROR(INT(MID(metadata!C215,6,1))&gt;=0,FALSE),IFERROR(INT(MID(metadata!C215,6,1))&lt;=1,FALSE),NOT(MID(metadata!C215,7,1)=""),IFERROR(INT(MID(metadata!C215,6,2))&gt;=1,FALSE),IFERROR(INT(MID(metadata!C215,6,2))&lt;=12,FALSE)), OR(MID(metadata!C215,8,1)="", AND(AND(MID(metadata!C215,8,1)="-",IFERROR(INT(MID(metadata!C215,9,1))&gt;=0,FALSE),IFERROR(INT(MID(metadata!C215,9,1))&lt;=3,FALSE),NOT(MID(metadata!C215,10,1)=""),IFERROR(INT(MID(metadata!C215,9,2))&gt;=1,FALSE),IFERROR(INT(MID(metadata!C215,9,2))&lt;=31,FALSE)), OR(MID(metadata!C215,11,1)="", AND(AND(MID(metadata!C215,11,1)=" ",IFERROR(INT(MID(metadata!C215,12,1))&gt;=0,FALSE),IFERROR(INT(MID(metadata!C215,12,1))&lt;=2,FALSE),NOT(MID(metadata!C215,13,1)=""),IFERROR(INT(MID(metadata!C215,12,2))&gt;=0,FALSE),IFERROR(INT(MID(metadata!C215,12,2))&lt;=23,FALSE)), OR(MID(metadata!C215,14,1)="", AND(AND(MID(metadata!C215,14,1)=":",IFERROR(INT(MID(metadata!C215,15,1))&gt;=0,FALSE),IFERROR(INT(MID(metadata!C215,15,1))&lt;=5,FALSE),NOT(MID(metadata!C215,16,1)=""),IFERROR(INT(MID(metadata!C215,15,2))&gt;=0,FALSE),IFERROR(INT(MID(metadata!C215,15,2))&lt;=59,FALSE)), OR(MID(metadata!C215,17,1)="", AND(AND(MID(metadata!C215,17,1)=":",IFERROR(INT(MID(metadata!C215,18,1))&gt;=0,FALSE),IFERROR(INT(MID(metadata!C215,18,1))&lt;=5,FALSE),NOT(MID(metadata!C215,19,1)=""),IFERROR(INT(MID(metadata!C215,18,2))&gt;=0,FALSE),IFERROR(INT(MID(metadata!C215,18,2))&lt;=59,FALSE)), LEN(metadata!C215)&lt;=19)))))))))))))</f>
        <v>0</v>
      </c>
      <c r="AD215">
        <f>IF(metadata!D215="",FALSE,TRUE)</f>
        <v>0</v>
      </c>
      <c r="AE215">
        <f>OR(AND(IF(metadata!E215="",FALSE,TRUE),OR(exact(metadata!E215,"missing: not collected"),exact(metadata!E215,"missing: not provided"))),AND(IF(metadata!E215="",FALSE,TRUE),OR(exact(metadata!E215,"TRUE"),exact(metadata!E215,"FALSE"))))</f>
        <v>0</v>
      </c>
      <c r="AF215">
        <f>IF(metadata!F215="",FALSE,TRUE)</f>
        <v>0</v>
      </c>
      <c r="AG215">
        <f>IF(metadata!G215="",FALSE,TRUE)</f>
        <v>0</v>
      </c>
      <c r="AH215">
        <f>IF(metadata!H215="",FALSE,TRUE)</f>
        <v>0</v>
      </c>
      <c r="AI215">
        <f>OR(AND(IF(metadata!I215="",FALSE,TRUE),OR(exact(metadata!I215,"missing: not collected"),exact(metadata!I215,"missing: not provided"),exact(metadata!I215,"missing: restricted access"))),AND(IF(metadata!I215="",FALSE,TRUE),OR(exact(metadata!I215,"air"),exact(metadata!I215,"built environment"),exact(metadata!I215,"host-associated"),exact(metadata!I215,"human-associated"),exact(metadata!I215,"human-skin"),exact(metadata!I215,"human-oral"),exact(metadata!I215,"human-gut"),exact(metadata!I215,"human-vaginal"),exact(metadata!I215,"microbial mat/biofilm"),exact(metadata!I215,"misc environment"),exact(metadata!I215,"plant-associated"),exact(metadata!I215,"sediment"),exact(metadata!I215,"soil"),exact(metadata!I215,"wastewater/sludge"),exact(metadata!I215,"water"))))</f>
        <v>0</v>
      </c>
      <c r="AJ215">
        <f>IF(metadata!J215="",FALSE,TRUE)</f>
        <v>0</v>
      </c>
      <c r="AK215">
        <f>OR(AND(IF(metadata!K215="",FALSE,TRUE),OR(exact(metadata!K215,"missing: not collected"),exact(metadata!K215,"missing: not provided"),exact(metadata!K215,"missing: restricted access"))),AND(IF(metadata!K215="",FALSE,ISNUMBER(VALUE(metadata!K215))),metadata!K215&gt;=-90.00,metadata!K215&lt;=90.00))</f>
        <v>0</v>
      </c>
      <c r="AL215">
        <f>OR(AND(IF(metadata!L215="",FALSE,TRUE),OR(exact(metadata!L215,"missing: not collected"),exact(metadata!L215,"missing: not provided"),exact(metadata!L215,"missing: restricted access"))),AND(IF(metadata!L215="",FALSE,ISNUMBER(VALUE(metadata!L215))),metadata!L215&gt;=-180.00,metadata!L215&lt;=180.00))</f>
        <v>0</v>
      </c>
      <c r="AM215">
        <f>IF(metadata!M215="",FALSE,TRUE)</f>
        <v>0</v>
      </c>
      <c r="AN215">
        <f>OR(AND(IF(metadata!N215="",FALSE,TRUE),OR(exact(metadata!N215,"missing: not collected"),exact(metadata!N215,"missing: not provided"),exact(metadata!N215,"missing: restricted access"))),AND(IF(metadata!N215="",FALSE,TRUE),OR(exact(metadata!N215,"TRUE"),exact(metadata!N215,"FALSE"))))</f>
        <v>0</v>
      </c>
      <c r="AO215">
        <f>IF(metadata!O215="",FALSE,TRUE)</f>
        <v>0</v>
      </c>
      <c r="AP215">
        <f>OR(AND(IF(metadata!P215="",FALSE,TRUE),OR(exact(metadata!P215,"missing: not collected"),exact(metadata!P215,"missing: not provided"))),AND(IF(metadata!P215="",FALSE,IF(ISERROR(INT(metadata!P215)),FALSE,INT(metadata!P215)=metadata!P215)),metadata!P215&gt;0))</f>
        <v>0</v>
      </c>
      <c r="AQ215">
        <f>IF(metadata!Q215="",FALSE,TRUE)</f>
        <v>0</v>
      </c>
    </row>
    <row r="216" spans="1:43">
      <c r="A216" s="5">
        <f>IF(B216=" "," ",HYPERLINK(CONCATENATE("#metadata!",ADDRESS(INDEX($W$2:$W$1001,MATCH(ROWS($U$2:U216),$U$2:$U$1001,0),0),1)),INDEX($Z$2:$Z$1001,MATCH(ROWS($U$2:U216),$U$2:$U$1001,0),0)))</f>
        <v>0</v>
      </c>
      <c r="B216" s="4">
        <f>IF(OR(INDEX($V$2:$V$1001,MATCH(ROWS($U$2:U216),$U$2:$U$1001,0),1)&gt;=100000,INDEX($AB$1005:$AQ$1005,1,MATCH(COLUMNS($AB$1006:AB1006),$AB$1006:$AQ$1006,0))&gt;=100000), " ",IF(INDEX($AB$2:$AQ$1001,MATCH(ROWS($U$2:U216),$U$2:$U$1001,0),MATCH(COLUMNS($AB$1006:AB1006),$AB$1006:$AQ$1006,0)), HYPERLINK("#",""), HYPERLINK(CONCATENATE("#metadata!", ADDRESS(INDEX($W$2:$W$1001,MATCH(ROWS($U$2:U216),$U$2:$U$1001,0),0), INDEX($AB$1004:$AQ$1004,1,MATCH(COLUMNS($AB$1006:AB1006),$AB$1006:$AQ$1006,0)))),"Fix")))</f>
        <v>0</v>
      </c>
      <c r="C216" s="4">
        <f>IF(OR(INDEX($V$2:$V$1001,MATCH(ROWS($U$2:U216),$U$2:$U$1001,0),1)&gt;=100000,INDEX($AB$1005:$AQ$1005,1,MATCH(COLUMNS($AB$1006:AC1006),$AB$1006:$AQ$1006,0))&gt;=100000), " ",IF(INDEX($AB$2:$AQ$1001,MATCH(ROWS($U$2:U216),$U$2:$U$1001,0),MATCH(COLUMNS($AB$1006:AC1006),$AB$1006:$AQ$1006,0)), HYPERLINK("#",""), HYPERLINK(CONCATENATE("#metadata!", ADDRESS(INDEX($W$2:$W$1001,MATCH(ROWS($U$2:U216),$U$2:$U$1001,0),0), INDEX($AB$1004:$AQ$1004,1,MATCH(COLUMNS($AB$1006:AC1006),$AB$1006:$AQ$1006,0)))),"Fix")))</f>
        <v>0</v>
      </c>
      <c r="D216" s="4">
        <f>IF(OR(INDEX($V$2:$V$1001,MATCH(ROWS($U$2:U216),$U$2:$U$1001,0),1)&gt;=100000,INDEX($AB$1005:$AQ$1005,1,MATCH(COLUMNS($AB$1006:AD1006),$AB$1006:$AQ$1006,0))&gt;=100000), " ",IF(INDEX($AB$2:$AQ$1001,MATCH(ROWS($U$2:U216),$U$2:$U$1001,0),MATCH(COLUMNS($AB$1006:AD1006),$AB$1006:$AQ$1006,0)), HYPERLINK("#",""), HYPERLINK(CONCATENATE("#metadata!", ADDRESS(INDEX($W$2:$W$1001,MATCH(ROWS($U$2:U216),$U$2:$U$1001,0),0), INDEX($AB$1004:$AQ$1004,1,MATCH(COLUMNS($AB$1006:AD1006),$AB$1006:$AQ$1006,0)))),"Fix")))</f>
        <v>0</v>
      </c>
      <c r="E216" s="4">
        <f>IF(OR(INDEX($V$2:$V$1001,MATCH(ROWS($U$2:U216),$U$2:$U$1001,0),1)&gt;=100000,INDEX($AB$1005:$AQ$1005,1,MATCH(COLUMNS($AB$1006:AE1006),$AB$1006:$AQ$1006,0))&gt;=100000), " ",IF(INDEX($AB$2:$AQ$1001,MATCH(ROWS($U$2:U216),$U$2:$U$1001,0),MATCH(COLUMNS($AB$1006:AE1006),$AB$1006:$AQ$1006,0)), HYPERLINK("#",""), HYPERLINK(CONCATENATE("#metadata!", ADDRESS(INDEX($W$2:$W$1001,MATCH(ROWS($U$2:U216),$U$2:$U$1001,0),0), INDEX($AB$1004:$AQ$1004,1,MATCH(COLUMNS($AB$1006:AE1006),$AB$1006:$AQ$1006,0)))),"Fix")))</f>
        <v>0</v>
      </c>
      <c r="F216" s="4">
        <f>IF(OR(INDEX($V$2:$V$1001,MATCH(ROWS($U$2:U216),$U$2:$U$1001,0),1)&gt;=100000,INDEX($AB$1005:$AQ$1005,1,MATCH(COLUMNS($AB$1006:AF1006),$AB$1006:$AQ$1006,0))&gt;=100000), " ",IF(INDEX($AB$2:$AQ$1001,MATCH(ROWS($U$2:U216),$U$2:$U$1001,0),MATCH(COLUMNS($AB$1006:AF1006),$AB$1006:$AQ$1006,0)), HYPERLINK("#",""), HYPERLINK(CONCATENATE("#metadata!", ADDRESS(INDEX($W$2:$W$1001,MATCH(ROWS($U$2:U216),$U$2:$U$1001,0),0), INDEX($AB$1004:$AQ$1004,1,MATCH(COLUMNS($AB$1006:AF1006),$AB$1006:$AQ$1006,0)))),"Fix")))</f>
        <v>0</v>
      </c>
      <c r="G216" s="4">
        <f>IF(OR(INDEX($V$2:$V$1001,MATCH(ROWS($U$2:U216),$U$2:$U$1001,0),1)&gt;=100000,INDEX($AB$1005:$AQ$1005,1,MATCH(COLUMNS($AB$1006:AG1006),$AB$1006:$AQ$1006,0))&gt;=100000), " ",IF(INDEX($AB$2:$AQ$1001,MATCH(ROWS($U$2:U216),$U$2:$U$1001,0),MATCH(COLUMNS($AB$1006:AG1006),$AB$1006:$AQ$1006,0)), HYPERLINK("#",""), HYPERLINK(CONCATENATE("#metadata!", ADDRESS(INDEX($W$2:$W$1001,MATCH(ROWS($U$2:U216),$U$2:$U$1001,0),0), INDEX($AB$1004:$AQ$1004,1,MATCH(COLUMNS($AB$1006:AG1006),$AB$1006:$AQ$1006,0)))),"Fix")))</f>
        <v>0</v>
      </c>
      <c r="H216" s="4">
        <f>IF(OR(INDEX($V$2:$V$1001,MATCH(ROWS($U$2:U216),$U$2:$U$1001,0),1)&gt;=100000,INDEX($AB$1005:$AQ$1005,1,MATCH(COLUMNS($AB$1006:AH1006),$AB$1006:$AQ$1006,0))&gt;=100000), " ",IF(INDEX($AB$2:$AQ$1001,MATCH(ROWS($U$2:U216),$U$2:$U$1001,0),MATCH(COLUMNS($AB$1006:AH1006),$AB$1006:$AQ$1006,0)), HYPERLINK("#",""), HYPERLINK(CONCATENATE("#metadata!", ADDRESS(INDEX($W$2:$W$1001,MATCH(ROWS($U$2:U216),$U$2:$U$1001,0),0), INDEX($AB$1004:$AQ$1004,1,MATCH(COLUMNS($AB$1006:AH1006),$AB$1006:$AQ$1006,0)))),"Fix")))</f>
        <v>0</v>
      </c>
      <c r="I216" s="4">
        <f>IF(OR(INDEX($V$2:$V$1001,MATCH(ROWS($U$2:U216),$U$2:$U$1001,0),1)&gt;=100000,INDEX($AB$1005:$AQ$1005,1,MATCH(COLUMNS($AB$1006:AI1006),$AB$1006:$AQ$1006,0))&gt;=100000), " ",IF(INDEX($AB$2:$AQ$1001,MATCH(ROWS($U$2:U216),$U$2:$U$1001,0),MATCH(COLUMNS($AB$1006:AI1006),$AB$1006:$AQ$1006,0)), HYPERLINK("#",""), HYPERLINK(CONCATENATE("#metadata!", ADDRESS(INDEX($W$2:$W$1001,MATCH(ROWS($U$2:U216),$U$2:$U$1001,0),0), INDEX($AB$1004:$AQ$1004,1,MATCH(COLUMNS($AB$1006:AI1006),$AB$1006:$AQ$1006,0)))),"Fix")))</f>
        <v>0</v>
      </c>
      <c r="J216" s="4">
        <f>IF(OR(INDEX($V$2:$V$1001,MATCH(ROWS($U$2:U216),$U$2:$U$1001,0),1)&gt;=100000,INDEX($AB$1005:$AQ$1005,1,MATCH(COLUMNS($AB$1006:AJ1006),$AB$1006:$AQ$1006,0))&gt;=100000), " ",IF(INDEX($AB$2:$AQ$1001,MATCH(ROWS($U$2:U216),$U$2:$U$1001,0),MATCH(COLUMNS($AB$1006:AJ1006),$AB$1006:$AQ$1006,0)), HYPERLINK("#",""), HYPERLINK(CONCATENATE("#metadata!", ADDRESS(INDEX($W$2:$W$1001,MATCH(ROWS($U$2:U216),$U$2:$U$1001,0),0), INDEX($AB$1004:$AQ$1004,1,MATCH(COLUMNS($AB$1006:AJ1006),$AB$1006:$AQ$1006,0)))),"Fix")))</f>
        <v>0</v>
      </c>
      <c r="K216" s="4">
        <f>IF(OR(INDEX($V$2:$V$1001,MATCH(ROWS($U$2:U216),$U$2:$U$1001,0),1)&gt;=100000,INDEX($AB$1005:$AQ$1005,1,MATCH(COLUMNS($AB$1006:AK1006),$AB$1006:$AQ$1006,0))&gt;=100000), " ",IF(INDEX($AB$2:$AQ$1001,MATCH(ROWS($U$2:U216),$U$2:$U$1001,0),MATCH(COLUMNS($AB$1006:AK1006),$AB$1006:$AQ$1006,0)), HYPERLINK("#",""), HYPERLINK(CONCATENATE("#metadata!", ADDRESS(INDEX($W$2:$W$1001,MATCH(ROWS($U$2:U216),$U$2:$U$1001,0),0), INDEX($AB$1004:$AQ$1004,1,MATCH(COLUMNS($AB$1006:AK1006),$AB$1006:$AQ$1006,0)))),"Fix")))</f>
        <v>0</v>
      </c>
      <c r="L216" s="4">
        <f>IF(OR(INDEX($V$2:$V$1001,MATCH(ROWS($U$2:U216),$U$2:$U$1001,0),1)&gt;=100000,INDEX($AB$1005:$AQ$1005,1,MATCH(COLUMNS($AB$1006:AL1006),$AB$1006:$AQ$1006,0))&gt;=100000), " ",IF(INDEX($AB$2:$AQ$1001,MATCH(ROWS($U$2:U216),$U$2:$U$1001,0),MATCH(COLUMNS($AB$1006:AL1006),$AB$1006:$AQ$1006,0)), HYPERLINK("#",""), HYPERLINK(CONCATENATE("#metadata!", ADDRESS(INDEX($W$2:$W$1001,MATCH(ROWS($U$2:U216),$U$2:$U$1001,0),0), INDEX($AB$1004:$AQ$1004,1,MATCH(COLUMNS($AB$1006:AL1006),$AB$1006:$AQ$1006,0)))),"Fix")))</f>
        <v>0</v>
      </c>
      <c r="M216" s="4">
        <f>IF(OR(INDEX($V$2:$V$1001,MATCH(ROWS($U$2:U216),$U$2:$U$1001,0),1)&gt;=100000,INDEX($AB$1005:$AQ$1005,1,MATCH(COLUMNS($AB$1006:AM1006),$AB$1006:$AQ$1006,0))&gt;=100000), " ",IF(INDEX($AB$2:$AQ$1001,MATCH(ROWS($U$2:U216),$U$2:$U$1001,0),MATCH(COLUMNS($AB$1006:AM1006),$AB$1006:$AQ$1006,0)), HYPERLINK("#",""), HYPERLINK(CONCATENATE("#metadata!", ADDRESS(INDEX($W$2:$W$1001,MATCH(ROWS($U$2:U216),$U$2:$U$1001,0),0), INDEX($AB$1004:$AQ$1004,1,MATCH(COLUMNS($AB$1006:AM1006),$AB$1006:$AQ$1006,0)))),"Fix")))</f>
        <v>0</v>
      </c>
      <c r="N216" s="4">
        <f>IF(OR(INDEX($V$2:$V$1001,MATCH(ROWS($U$2:U216),$U$2:$U$1001,0),1)&gt;=100000,INDEX($AB$1005:$AQ$1005,1,MATCH(COLUMNS($AB$1006:AN1006),$AB$1006:$AQ$1006,0))&gt;=100000), " ",IF(INDEX($AB$2:$AQ$1001,MATCH(ROWS($U$2:U216),$U$2:$U$1001,0),MATCH(COLUMNS($AB$1006:AN1006),$AB$1006:$AQ$1006,0)), HYPERLINK("#",""), HYPERLINK(CONCATENATE("#metadata!", ADDRESS(INDEX($W$2:$W$1001,MATCH(ROWS($U$2:U216),$U$2:$U$1001,0),0), INDEX($AB$1004:$AQ$1004,1,MATCH(COLUMNS($AB$1006:AN1006),$AB$1006:$AQ$1006,0)))),"Fix")))</f>
        <v>0</v>
      </c>
      <c r="O216" s="4">
        <f>IF(OR(INDEX($V$2:$V$1001,MATCH(ROWS($U$2:U216),$U$2:$U$1001,0),1)&gt;=100000,INDEX($AB$1005:$AQ$1005,1,MATCH(COLUMNS($AB$1006:AO1006),$AB$1006:$AQ$1006,0))&gt;=100000), " ",IF(INDEX($AB$2:$AQ$1001,MATCH(ROWS($U$2:U216),$U$2:$U$1001,0),MATCH(COLUMNS($AB$1006:AO1006),$AB$1006:$AQ$1006,0)), HYPERLINK("#",""), HYPERLINK(CONCATENATE("#metadata!", ADDRESS(INDEX($W$2:$W$1001,MATCH(ROWS($U$2:U216),$U$2:$U$1001,0),0), INDEX($AB$1004:$AQ$1004,1,MATCH(COLUMNS($AB$1006:AO1006),$AB$1006:$AQ$1006,0)))),"Fix")))</f>
        <v>0</v>
      </c>
      <c r="P216" s="4">
        <f>IF(OR(INDEX($V$2:$V$1001,MATCH(ROWS($U$2:U216),$U$2:$U$1001,0),1)&gt;=100000,INDEX($AB$1005:$AQ$1005,1,MATCH(COLUMNS($AB$1006:AP1006),$AB$1006:$AQ$1006,0))&gt;=100000), " ",IF(INDEX($AB$2:$AQ$1001,MATCH(ROWS($U$2:U216),$U$2:$U$1001,0),MATCH(COLUMNS($AB$1006:AP1006),$AB$1006:$AQ$1006,0)), HYPERLINK("#",""), HYPERLINK(CONCATENATE("#metadata!", ADDRESS(INDEX($W$2:$W$1001,MATCH(ROWS($U$2:U216),$U$2:$U$1001,0),0), INDEX($AB$1004:$AQ$1004,1,MATCH(COLUMNS($AB$1006:AP1006),$AB$1006:$AQ$1006,0)))),"Fix")))</f>
        <v>0</v>
      </c>
      <c r="Q216" s="4">
        <f>IF(OR(INDEX($V$2:$V$1001,MATCH(ROWS($U$2:U216),$U$2:$U$1001,0),1)&gt;=100000,INDEX($AB$1005:$AQ$1005,1,MATCH(COLUMNS($AB$1006:AQ1006),$AB$1006:$AQ$1006,0))&gt;=100000), " ",IF(INDEX($AB$2:$AQ$1001,MATCH(ROWS($U$2:U216),$U$2:$U$1001,0),MATCH(COLUMNS($AB$1006:AQ1006),$AB$1006:$AQ$1006,0)), HYPERLINK("#",""), HYPERLINK(CONCATENATE("#metadata!", ADDRESS(INDEX($W$2:$W$1001,MATCH(ROWS($U$2:U216),$U$2:$U$1001,0),0), INDEX($AB$1004:$AQ$1004,1,MATCH(COLUMNS($AB$1006:AQ1006),$AB$1006:$AQ$1006,0)))),"Fix")))</f>
        <v>0</v>
      </c>
      <c r="U216">
        <v>0</v>
      </c>
      <c r="V216">
        <v>0</v>
      </c>
      <c r="W216">
        <v>0</v>
      </c>
      <c r="X216">
        <f>IF(Y216,TRUE,AND(AB216:AQ216))</f>
        <v>0</v>
      </c>
      <c r="Y216">
        <f>COUNTBLANK(metadata!B216:Q216)=COLUMNS(metadata!B216:Q216)</f>
        <v>0</v>
      </c>
      <c r="Z216">
        <v>0</v>
      </c>
      <c r="AB216">
        <f>AND(IF(metadata!B216="",FALSE,TRUE),COUNTIF(metadata!B:B, metadata!B216) = 1,NOT(ISERROR(SUMPRODUCT(SEARCH(MID(metadata!B216,ROW(INDIRECT("1:"&amp;LEN(metadata!B216))), 1),"0123456789abcdefghijklmnopqrstuvwxyzABCDEFGHIJKLMNOPQRSTUVWXYZ.")))))</f>
        <v>0</v>
      </c>
      <c r="AC216">
        <f>OR(AND(IF(metadata!C216="",FALSE,TRUE),OR(exact(metadata!C216,"missing: not collected"),exact(metadata!C216,"missing: not provided"),exact(metadata!C216,"missing: restricted access"))),AND(IF(metadata!C216="",FALSE,TRUE),AND(AND(IFERROR(INT(LEFT(metadata!C216,4))&gt;1900,FALSE),IFERROR(INT(LEFT(metadata!C216,4))&lt;=YEAR(NOW()),FALSE)), OR(MID(metadata!C216,5,1)="", AND(AND(MID(metadata!C216,5,1)="-",IFERROR(INT(MID(metadata!C216,6,1))&gt;=0,FALSE),IFERROR(INT(MID(metadata!C216,6,1))&lt;=1,FALSE),NOT(MID(metadata!C216,7,1)=""),IFERROR(INT(MID(metadata!C216,6,2))&gt;=1,FALSE),IFERROR(INT(MID(metadata!C216,6,2))&lt;=12,FALSE)), OR(MID(metadata!C216,8,1)="", AND(AND(MID(metadata!C216,8,1)="-",IFERROR(INT(MID(metadata!C216,9,1))&gt;=0,FALSE),IFERROR(INT(MID(metadata!C216,9,1))&lt;=3,FALSE),NOT(MID(metadata!C216,10,1)=""),IFERROR(INT(MID(metadata!C216,9,2))&gt;=1,FALSE),IFERROR(INT(MID(metadata!C216,9,2))&lt;=31,FALSE)), OR(MID(metadata!C216,11,1)="", AND(AND(MID(metadata!C216,11,1)=" ",IFERROR(INT(MID(metadata!C216,12,1))&gt;=0,FALSE),IFERROR(INT(MID(metadata!C216,12,1))&lt;=2,FALSE),NOT(MID(metadata!C216,13,1)=""),IFERROR(INT(MID(metadata!C216,12,2))&gt;=0,FALSE),IFERROR(INT(MID(metadata!C216,12,2))&lt;=23,FALSE)), OR(MID(metadata!C216,14,1)="", AND(AND(MID(metadata!C216,14,1)=":",IFERROR(INT(MID(metadata!C216,15,1))&gt;=0,FALSE),IFERROR(INT(MID(metadata!C216,15,1))&lt;=5,FALSE),NOT(MID(metadata!C216,16,1)=""),IFERROR(INT(MID(metadata!C216,15,2))&gt;=0,FALSE),IFERROR(INT(MID(metadata!C216,15,2))&lt;=59,FALSE)), OR(MID(metadata!C216,17,1)="", AND(AND(MID(metadata!C216,17,1)=":",IFERROR(INT(MID(metadata!C216,18,1))&gt;=0,FALSE),IFERROR(INT(MID(metadata!C216,18,1))&lt;=5,FALSE),NOT(MID(metadata!C216,19,1)=""),IFERROR(INT(MID(metadata!C216,18,2))&gt;=0,FALSE),IFERROR(INT(MID(metadata!C216,18,2))&lt;=59,FALSE)), LEN(metadata!C216)&lt;=19)))))))))))))</f>
        <v>0</v>
      </c>
      <c r="AD216">
        <f>IF(metadata!D216="",FALSE,TRUE)</f>
        <v>0</v>
      </c>
      <c r="AE216">
        <f>OR(AND(IF(metadata!E216="",FALSE,TRUE),OR(exact(metadata!E216,"missing: not collected"),exact(metadata!E216,"missing: not provided"))),AND(IF(metadata!E216="",FALSE,TRUE),OR(exact(metadata!E216,"TRUE"),exact(metadata!E216,"FALSE"))))</f>
        <v>0</v>
      </c>
      <c r="AF216">
        <f>IF(metadata!F216="",FALSE,TRUE)</f>
        <v>0</v>
      </c>
      <c r="AG216">
        <f>IF(metadata!G216="",FALSE,TRUE)</f>
        <v>0</v>
      </c>
      <c r="AH216">
        <f>IF(metadata!H216="",FALSE,TRUE)</f>
        <v>0</v>
      </c>
      <c r="AI216">
        <f>OR(AND(IF(metadata!I216="",FALSE,TRUE),OR(exact(metadata!I216,"missing: not collected"),exact(metadata!I216,"missing: not provided"),exact(metadata!I216,"missing: restricted access"))),AND(IF(metadata!I216="",FALSE,TRUE),OR(exact(metadata!I216,"air"),exact(metadata!I216,"built environment"),exact(metadata!I216,"host-associated"),exact(metadata!I216,"human-associated"),exact(metadata!I216,"human-skin"),exact(metadata!I216,"human-oral"),exact(metadata!I216,"human-gut"),exact(metadata!I216,"human-vaginal"),exact(metadata!I216,"microbial mat/biofilm"),exact(metadata!I216,"misc environment"),exact(metadata!I216,"plant-associated"),exact(metadata!I216,"sediment"),exact(metadata!I216,"soil"),exact(metadata!I216,"wastewater/sludge"),exact(metadata!I216,"water"))))</f>
        <v>0</v>
      </c>
      <c r="AJ216">
        <f>IF(metadata!J216="",FALSE,TRUE)</f>
        <v>0</v>
      </c>
      <c r="AK216">
        <f>OR(AND(IF(metadata!K216="",FALSE,TRUE),OR(exact(metadata!K216,"missing: not collected"),exact(metadata!K216,"missing: not provided"),exact(metadata!K216,"missing: restricted access"))),AND(IF(metadata!K216="",FALSE,ISNUMBER(VALUE(metadata!K216))),metadata!K216&gt;=-90.00,metadata!K216&lt;=90.00))</f>
        <v>0</v>
      </c>
      <c r="AL216">
        <f>OR(AND(IF(metadata!L216="",FALSE,TRUE),OR(exact(metadata!L216,"missing: not collected"),exact(metadata!L216,"missing: not provided"),exact(metadata!L216,"missing: restricted access"))),AND(IF(metadata!L216="",FALSE,ISNUMBER(VALUE(metadata!L216))),metadata!L216&gt;=-180.00,metadata!L216&lt;=180.00))</f>
        <v>0</v>
      </c>
      <c r="AM216">
        <f>IF(metadata!M216="",FALSE,TRUE)</f>
        <v>0</v>
      </c>
      <c r="AN216">
        <f>OR(AND(IF(metadata!N216="",FALSE,TRUE),OR(exact(metadata!N216,"missing: not collected"),exact(metadata!N216,"missing: not provided"),exact(metadata!N216,"missing: restricted access"))),AND(IF(metadata!N216="",FALSE,TRUE),OR(exact(metadata!N216,"TRUE"),exact(metadata!N216,"FALSE"))))</f>
        <v>0</v>
      </c>
      <c r="AO216">
        <f>IF(metadata!O216="",FALSE,TRUE)</f>
        <v>0</v>
      </c>
      <c r="AP216">
        <f>OR(AND(IF(metadata!P216="",FALSE,TRUE),OR(exact(metadata!P216,"missing: not collected"),exact(metadata!P216,"missing: not provided"))),AND(IF(metadata!P216="",FALSE,IF(ISERROR(INT(metadata!P216)),FALSE,INT(metadata!P216)=metadata!P216)),metadata!P216&gt;0))</f>
        <v>0</v>
      </c>
      <c r="AQ216">
        <f>IF(metadata!Q216="",FALSE,TRUE)</f>
        <v>0</v>
      </c>
    </row>
    <row r="217" spans="1:43">
      <c r="A217" s="5">
        <f>IF(B217=" "," ",HYPERLINK(CONCATENATE("#metadata!",ADDRESS(INDEX($W$2:$W$1001,MATCH(ROWS($U$2:U217),$U$2:$U$1001,0),0),1)),INDEX($Z$2:$Z$1001,MATCH(ROWS($U$2:U217),$U$2:$U$1001,0),0)))</f>
        <v>0</v>
      </c>
      <c r="B217" s="4">
        <f>IF(OR(INDEX($V$2:$V$1001,MATCH(ROWS($U$2:U217),$U$2:$U$1001,0),1)&gt;=100000,INDEX($AB$1005:$AQ$1005,1,MATCH(COLUMNS($AB$1006:AB1006),$AB$1006:$AQ$1006,0))&gt;=100000), " ",IF(INDEX($AB$2:$AQ$1001,MATCH(ROWS($U$2:U217),$U$2:$U$1001,0),MATCH(COLUMNS($AB$1006:AB1006),$AB$1006:$AQ$1006,0)), HYPERLINK("#",""), HYPERLINK(CONCATENATE("#metadata!", ADDRESS(INDEX($W$2:$W$1001,MATCH(ROWS($U$2:U217),$U$2:$U$1001,0),0), INDEX($AB$1004:$AQ$1004,1,MATCH(COLUMNS($AB$1006:AB1006),$AB$1006:$AQ$1006,0)))),"Fix")))</f>
        <v>0</v>
      </c>
      <c r="C217" s="4">
        <f>IF(OR(INDEX($V$2:$V$1001,MATCH(ROWS($U$2:U217),$U$2:$U$1001,0),1)&gt;=100000,INDEX($AB$1005:$AQ$1005,1,MATCH(COLUMNS($AB$1006:AC1006),$AB$1006:$AQ$1006,0))&gt;=100000), " ",IF(INDEX($AB$2:$AQ$1001,MATCH(ROWS($U$2:U217),$U$2:$U$1001,0),MATCH(COLUMNS($AB$1006:AC1006),$AB$1006:$AQ$1006,0)), HYPERLINK("#",""), HYPERLINK(CONCATENATE("#metadata!", ADDRESS(INDEX($W$2:$W$1001,MATCH(ROWS($U$2:U217),$U$2:$U$1001,0),0), INDEX($AB$1004:$AQ$1004,1,MATCH(COLUMNS($AB$1006:AC1006),$AB$1006:$AQ$1006,0)))),"Fix")))</f>
        <v>0</v>
      </c>
      <c r="D217" s="4">
        <f>IF(OR(INDEX($V$2:$V$1001,MATCH(ROWS($U$2:U217),$U$2:$U$1001,0),1)&gt;=100000,INDEX($AB$1005:$AQ$1005,1,MATCH(COLUMNS($AB$1006:AD1006),$AB$1006:$AQ$1006,0))&gt;=100000), " ",IF(INDEX($AB$2:$AQ$1001,MATCH(ROWS($U$2:U217),$U$2:$U$1001,0),MATCH(COLUMNS($AB$1006:AD1006),$AB$1006:$AQ$1006,0)), HYPERLINK("#",""), HYPERLINK(CONCATENATE("#metadata!", ADDRESS(INDEX($W$2:$W$1001,MATCH(ROWS($U$2:U217),$U$2:$U$1001,0),0), INDEX($AB$1004:$AQ$1004,1,MATCH(COLUMNS($AB$1006:AD1006),$AB$1006:$AQ$1006,0)))),"Fix")))</f>
        <v>0</v>
      </c>
      <c r="E217" s="4">
        <f>IF(OR(INDEX($V$2:$V$1001,MATCH(ROWS($U$2:U217),$U$2:$U$1001,0),1)&gt;=100000,INDEX($AB$1005:$AQ$1005,1,MATCH(COLUMNS($AB$1006:AE1006),$AB$1006:$AQ$1006,0))&gt;=100000), " ",IF(INDEX($AB$2:$AQ$1001,MATCH(ROWS($U$2:U217),$U$2:$U$1001,0),MATCH(COLUMNS($AB$1006:AE1006),$AB$1006:$AQ$1006,0)), HYPERLINK("#",""), HYPERLINK(CONCATENATE("#metadata!", ADDRESS(INDEX($W$2:$W$1001,MATCH(ROWS($U$2:U217),$U$2:$U$1001,0),0), INDEX($AB$1004:$AQ$1004,1,MATCH(COLUMNS($AB$1006:AE1006),$AB$1006:$AQ$1006,0)))),"Fix")))</f>
        <v>0</v>
      </c>
      <c r="F217" s="4">
        <f>IF(OR(INDEX($V$2:$V$1001,MATCH(ROWS($U$2:U217),$U$2:$U$1001,0),1)&gt;=100000,INDEX($AB$1005:$AQ$1005,1,MATCH(COLUMNS($AB$1006:AF1006),$AB$1006:$AQ$1006,0))&gt;=100000), " ",IF(INDEX($AB$2:$AQ$1001,MATCH(ROWS($U$2:U217),$U$2:$U$1001,0),MATCH(COLUMNS($AB$1006:AF1006),$AB$1006:$AQ$1006,0)), HYPERLINK("#",""), HYPERLINK(CONCATENATE("#metadata!", ADDRESS(INDEX($W$2:$W$1001,MATCH(ROWS($U$2:U217),$U$2:$U$1001,0),0), INDEX($AB$1004:$AQ$1004,1,MATCH(COLUMNS($AB$1006:AF1006),$AB$1006:$AQ$1006,0)))),"Fix")))</f>
        <v>0</v>
      </c>
      <c r="G217" s="4">
        <f>IF(OR(INDEX($V$2:$V$1001,MATCH(ROWS($U$2:U217),$U$2:$U$1001,0),1)&gt;=100000,INDEX($AB$1005:$AQ$1005,1,MATCH(COLUMNS($AB$1006:AG1006),$AB$1006:$AQ$1006,0))&gt;=100000), " ",IF(INDEX($AB$2:$AQ$1001,MATCH(ROWS($U$2:U217),$U$2:$U$1001,0),MATCH(COLUMNS($AB$1006:AG1006),$AB$1006:$AQ$1006,0)), HYPERLINK("#",""), HYPERLINK(CONCATENATE("#metadata!", ADDRESS(INDEX($W$2:$W$1001,MATCH(ROWS($U$2:U217),$U$2:$U$1001,0),0), INDEX($AB$1004:$AQ$1004,1,MATCH(COLUMNS($AB$1006:AG1006),$AB$1006:$AQ$1006,0)))),"Fix")))</f>
        <v>0</v>
      </c>
      <c r="H217" s="4">
        <f>IF(OR(INDEX($V$2:$V$1001,MATCH(ROWS($U$2:U217),$U$2:$U$1001,0),1)&gt;=100000,INDEX($AB$1005:$AQ$1005,1,MATCH(COLUMNS($AB$1006:AH1006),$AB$1006:$AQ$1006,0))&gt;=100000), " ",IF(INDEX($AB$2:$AQ$1001,MATCH(ROWS($U$2:U217),$U$2:$U$1001,0),MATCH(COLUMNS($AB$1006:AH1006),$AB$1006:$AQ$1006,0)), HYPERLINK("#",""), HYPERLINK(CONCATENATE("#metadata!", ADDRESS(INDEX($W$2:$W$1001,MATCH(ROWS($U$2:U217),$U$2:$U$1001,0),0), INDEX($AB$1004:$AQ$1004,1,MATCH(COLUMNS($AB$1006:AH1006),$AB$1006:$AQ$1006,0)))),"Fix")))</f>
        <v>0</v>
      </c>
      <c r="I217" s="4">
        <f>IF(OR(INDEX($V$2:$V$1001,MATCH(ROWS($U$2:U217),$U$2:$U$1001,0),1)&gt;=100000,INDEX($AB$1005:$AQ$1005,1,MATCH(COLUMNS($AB$1006:AI1006),$AB$1006:$AQ$1006,0))&gt;=100000), " ",IF(INDEX($AB$2:$AQ$1001,MATCH(ROWS($U$2:U217),$U$2:$U$1001,0),MATCH(COLUMNS($AB$1006:AI1006),$AB$1006:$AQ$1006,0)), HYPERLINK("#",""), HYPERLINK(CONCATENATE("#metadata!", ADDRESS(INDEX($W$2:$W$1001,MATCH(ROWS($U$2:U217),$U$2:$U$1001,0),0), INDEX($AB$1004:$AQ$1004,1,MATCH(COLUMNS($AB$1006:AI1006),$AB$1006:$AQ$1006,0)))),"Fix")))</f>
        <v>0</v>
      </c>
      <c r="J217" s="4">
        <f>IF(OR(INDEX($V$2:$V$1001,MATCH(ROWS($U$2:U217),$U$2:$U$1001,0),1)&gt;=100000,INDEX($AB$1005:$AQ$1005,1,MATCH(COLUMNS($AB$1006:AJ1006),$AB$1006:$AQ$1006,0))&gt;=100000), " ",IF(INDEX($AB$2:$AQ$1001,MATCH(ROWS($U$2:U217),$U$2:$U$1001,0),MATCH(COLUMNS($AB$1006:AJ1006),$AB$1006:$AQ$1006,0)), HYPERLINK("#",""), HYPERLINK(CONCATENATE("#metadata!", ADDRESS(INDEX($W$2:$W$1001,MATCH(ROWS($U$2:U217),$U$2:$U$1001,0),0), INDEX($AB$1004:$AQ$1004,1,MATCH(COLUMNS($AB$1006:AJ1006),$AB$1006:$AQ$1006,0)))),"Fix")))</f>
        <v>0</v>
      </c>
      <c r="K217" s="4">
        <f>IF(OR(INDEX($V$2:$V$1001,MATCH(ROWS($U$2:U217),$U$2:$U$1001,0),1)&gt;=100000,INDEX($AB$1005:$AQ$1005,1,MATCH(COLUMNS($AB$1006:AK1006),$AB$1006:$AQ$1006,0))&gt;=100000), " ",IF(INDEX($AB$2:$AQ$1001,MATCH(ROWS($U$2:U217),$U$2:$U$1001,0),MATCH(COLUMNS($AB$1006:AK1006),$AB$1006:$AQ$1006,0)), HYPERLINK("#",""), HYPERLINK(CONCATENATE("#metadata!", ADDRESS(INDEX($W$2:$W$1001,MATCH(ROWS($U$2:U217),$U$2:$U$1001,0),0), INDEX($AB$1004:$AQ$1004,1,MATCH(COLUMNS($AB$1006:AK1006),$AB$1006:$AQ$1006,0)))),"Fix")))</f>
        <v>0</v>
      </c>
      <c r="L217" s="4">
        <f>IF(OR(INDEX($V$2:$V$1001,MATCH(ROWS($U$2:U217),$U$2:$U$1001,0),1)&gt;=100000,INDEX($AB$1005:$AQ$1005,1,MATCH(COLUMNS($AB$1006:AL1006),$AB$1006:$AQ$1006,0))&gt;=100000), " ",IF(INDEX($AB$2:$AQ$1001,MATCH(ROWS($U$2:U217),$U$2:$U$1001,0),MATCH(COLUMNS($AB$1006:AL1006),$AB$1006:$AQ$1006,0)), HYPERLINK("#",""), HYPERLINK(CONCATENATE("#metadata!", ADDRESS(INDEX($W$2:$W$1001,MATCH(ROWS($U$2:U217),$U$2:$U$1001,0),0), INDEX($AB$1004:$AQ$1004,1,MATCH(COLUMNS($AB$1006:AL1006),$AB$1006:$AQ$1006,0)))),"Fix")))</f>
        <v>0</v>
      </c>
      <c r="M217" s="4">
        <f>IF(OR(INDEX($V$2:$V$1001,MATCH(ROWS($U$2:U217),$U$2:$U$1001,0),1)&gt;=100000,INDEX($AB$1005:$AQ$1005,1,MATCH(COLUMNS($AB$1006:AM1006),$AB$1006:$AQ$1006,0))&gt;=100000), " ",IF(INDEX($AB$2:$AQ$1001,MATCH(ROWS($U$2:U217),$U$2:$U$1001,0),MATCH(COLUMNS($AB$1006:AM1006),$AB$1006:$AQ$1006,0)), HYPERLINK("#",""), HYPERLINK(CONCATENATE("#metadata!", ADDRESS(INDEX($W$2:$W$1001,MATCH(ROWS($U$2:U217),$U$2:$U$1001,0),0), INDEX($AB$1004:$AQ$1004,1,MATCH(COLUMNS($AB$1006:AM1006),$AB$1006:$AQ$1006,0)))),"Fix")))</f>
        <v>0</v>
      </c>
      <c r="N217" s="4">
        <f>IF(OR(INDEX($V$2:$V$1001,MATCH(ROWS($U$2:U217),$U$2:$U$1001,0),1)&gt;=100000,INDEX($AB$1005:$AQ$1005,1,MATCH(COLUMNS($AB$1006:AN1006),$AB$1006:$AQ$1006,0))&gt;=100000), " ",IF(INDEX($AB$2:$AQ$1001,MATCH(ROWS($U$2:U217),$U$2:$U$1001,0),MATCH(COLUMNS($AB$1006:AN1006),$AB$1006:$AQ$1006,0)), HYPERLINK("#",""), HYPERLINK(CONCATENATE("#metadata!", ADDRESS(INDEX($W$2:$W$1001,MATCH(ROWS($U$2:U217),$U$2:$U$1001,0),0), INDEX($AB$1004:$AQ$1004,1,MATCH(COLUMNS($AB$1006:AN1006),$AB$1006:$AQ$1006,0)))),"Fix")))</f>
        <v>0</v>
      </c>
      <c r="O217" s="4">
        <f>IF(OR(INDEX($V$2:$V$1001,MATCH(ROWS($U$2:U217),$U$2:$U$1001,0),1)&gt;=100000,INDEX($AB$1005:$AQ$1005,1,MATCH(COLUMNS($AB$1006:AO1006),$AB$1006:$AQ$1006,0))&gt;=100000), " ",IF(INDEX($AB$2:$AQ$1001,MATCH(ROWS($U$2:U217),$U$2:$U$1001,0),MATCH(COLUMNS($AB$1006:AO1006),$AB$1006:$AQ$1006,0)), HYPERLINK("#",""), HYPERLINK(CONCATENATE("#metadata!", ADDRESS(INDEX($W$2:$W$1001,MATCH(ROWS($U$2:U217),$U$2:$U$1001,0),0), INDEX($AB$1004:$AQ$1004,1,MATCH(COLUMNS($AB$1006:AO1006),$AB$1006:$AQ$1006,0)))),"Fix")))</f>
        <v>0</v>
      </c>
      <c r="P217" s="4">
        <f>IF(OR(INDEX($V$2:$V$1001,MATCH(ROWS($U$2:U217),$U$2:$U$1001,0),1)&gt;=100000,INDEX($AB$1005:$AQ$1005,1,MATCH(COLUMNS($AB$1006:AP1006),$AB$1006:$AQ$1006,0))&gt;=100000), " ",IF(INDEX($AB$2:$AQ$1001,MATCH(ROWS($U$2:U217),$U$2:$U$1001,0),MATCH(COLUMNS($AB$1006:AP1006),$AB$1006:$AQ$1006,0)), HYPERLINK("#",""), HYPERLINK(CONCATENATE("#metadata!", ADDRESS(INDEX($W$2:$W$1001,MATCH(ROWS($U$2:U217),$U$2:$U$1001,0),0), INDEX($AB$1004:$AQ$1004,1,MATCH(COLUMNS($AB$1006:AP1006),$AB$1006:$AQ$1006,0)))),"Fix")))</f>
        <v>0</v>
      </c>
      <c r="Q217" s="4">
        <f>IF(OR(INDEX($V$2:$V$1001,MATCH(ROWS($U$2:U217),$U$2:$U$1001,0),1)&gt;=100000,INDEX($AB$1005:$AQ$1005,1,MATCH(COLUMNS($AB$1006:AQ1006),$AB$1006:$AQ$1006,0))&gt;=100000), " ",IF(INDEX($AB$2:$AQ$1001,MATCH(ROWS($U$2:U217),$U$2:$U$1001,0),MATCH(COLUMNS($AB$1006:AQ1006),$AB$1006:$AQ$1006,0)), HYPERLINK("#",""), HYPERLINK(CONCATENATE("#metadata!", ADDRESS(INDEX($W$2:$W$1001,MATCH(ROWS($U$2:U217),$U$2:$U$1001,0),0), INDEX($AB$1004:$AQ$1004,1,MATCH(COLUMNS($AB$1006:AQ1006),$AB$1006:$AQ$1006,0)))),"Fix")))</f>
        <v>0</v>
      </c>
      <c r="U217">
        <v>0</v>
      </c>
      <c r="V217">
        <v>0</v>
      </c>
      <c r="W217">
        <v>0</v>
      </c>
      <c r="X217">
        <f>IF(Y217,TRUE,AND(AB217:AQ217))</f>
        <v>0</v>
      </c>
      <c r="Y217">
        <f>COUNTBLANK(metadata!B217:Q217)=COLUMNS(metadata!B217:Q217)</f>
        <v>0</v>
      </c>
      <c r="Z217">
        <v>0</v>
      </c>
      <c r="AB217">
        <f>AND(IF(metadata!B217="",FALSE,TRUE),COUNTIF(metadata!B:B, metadata!B217) = 1,NOT(ISERROR(SUMPRODUCT(SEARCH(MID(metadata!B217,ROW(INDIRECT("1:"&amp;LEN(metadata!B217))), 1),"0123456789abcdefghijklmnopqrstuvwxyzABCDEFGHIJKLMNOPQRSTUVWXYZ.")))))</f>
        <v>0</v>
      </c>
      <c r="AC217">
        <f>OR(AND(IF(metadata!C217="",FALSE,TRUE),OR(exact(metadata!C217,"missing: not collected"),exact(metadata!C217,"missing: not provided"),exact(metadata!C217,"missing: restricted access"))),AND(IF(metadata!C217="",FALSE,TRUE),AND(AND(IFERROR(INT(LEFT(metadata!C217,4))&gt;1900,FALSE),IFERROR(INT(LEFT(metadata!C217,4))&lt;=YEAR(NOW()),FALSE)), OR(MID(metadata!C217,5,1)="", AND(AND(MID(metadata!C217,5,1)="-",IFERROR(INT(MID(metadata!C217,6,1))&gt;=0,FALSE),IFERROR(INT(MID(metadata!C217,6,1))&lt;=1,FALSE),NOT(MID(metadata!C217,7,1)=""),IFERROR(INT(MID(metadata!C217,6,2))&gt;=1,FALSE),IFERROR(INT(MID(metadata!C217,6,2))&lt;=12,FALSE)), OR(MID(metadata!C217,8,1)="", AND(AND(MID(metadata!C217,8,1)="-",IFERROR(INT(MID(metadata!C217,9,1))&gt;=0,FALSE),IFERROR(INT(MID(metadata!C217,9,1))&lt;=3,FALSE),NOT(MID(metadata!C217,10,1)=""),IFERROR(INT(MID(metadata!C217,9,2))&gt;=1,FALSE),IFERROR(INT(MID(metadata!C217,9,2))&lt;=31,FALSE)), OR(MID(metadata!C217,11,1)="", AND(AND(MID(metadata!C217,11,1)=" ",IFERROR(INT(MID(metadata!C217,12,1))&gt;=0,FALSE),IFERROR(INT(MID(metadata!C217,12,1))&lt;=2,FALSE),NOT(MID(metadata!C217,13,1)=""),IFERROR(INT(MID(metadata!C217,12,2))&gt;=0,FALSE),IFERROR(INT(MID(metadata!C217,12,2))&lt;=23,FALSE)), OR(MID(metadata!C217,14,1)="", AND(AND(MID(metadata!C217,14,1)=":",IFERROR(INT(MID(metadata!C217,15,1))&gt;=0,FALSE),IFERROR(INT(MID(metadata!C217,15,1))&lt;=5,FALSE),NOT(MID(metadata!C217,16,1)=""),IFERROR(INT(MID(metadata!C217,15,2))&gt;=0,FALSE),IFERROR(INT(MID(metadata!C217,15,2))&lt;=59,FALSE)), OR(MID(metadata!C217,17,1)="", AND(AND(MID(metadata!C217,17,1)=":",IFERROR(INT(MID(metadata!C217,18,1))&gt;=0,FALSE),IFERROR(INT(MID(metadata!C217,18,1))&lt;=5,FALSE),NOT(MID(metadata!C217,19,1)=""),IFERROR(INT(MID(metadata!C217,18,2))&gt;=0,FALSE),IFERROR(INT(MID(metadata!C217,18,2))&lt;=59,FALSE)), LEN(metadata!C217)&lt;=19)))))))))))))</f>
        <v>0</v>
      </c>
      <c r="AD217">
        <f>IF(metadata!D217="",FALSE,TRUE)</f>
        <v>0</v>
      </c>
      <c r="AE217">
        <f>OR(AND(IF(metadata!E217="",FALSE,TRUE),OR(exact(metadata!E217,"missing: not collected"),exact(metadata!E217,"missing: not provided"))),AND(IF(metadata!E217="",FALSE,TRUE),OR(exact(metadata!E217,"TRUE"),exact(metadata!E217,"FALSE"))))</f>
        <v>0</v>
      </c>
      <c r="AF217">
        <f>IF(metadata!F217="",FALSE,TRUE)</f>
        <v>0</v>
      </c>
      <c r="AG217">
        <f>IF(metadata!G217="",FALSE,TRUE)</f>
        <v>0</v>
      </c>
      <c r="AH217">
        <f>IF(metadata!H217="",FALSE,TRUE)</f>
        <v>0</v>
      </c>
      <c r="AI217">
        <f>OR(AND(IF(metadata!I217="",FALSE,TRUE),OR(exact(metadata!I217,"missing: not collected"),exact(metadata!I217,"missing: not provided"),exact(metadata!I217,"missing: restricted access"))),AND(IF(metadata!I217="",FALSE,TRUE),OR(exact(metadata!I217,"air"),exact(metadata!I217,"built environment"),exact(metadata!I217,"host-associated"),exact(metadata!I217,"human-associated"),exact(metadata!I217,"human-skin"),exact(metadata!I217,"human-oral"),exact(metadata!I217,"human-gut"),exact(metadata!I217,"human-vaginal"),exact(metadata!I217,"microbial mat/biofilm"),exact(metadata!I217,"misc environment"),exact(metadata!I217,"plant-associated"),exact(metadata!I217,"sediment"),exact(metadata!I217,"soil"),exact(metadata!I217,"wastewater/sludge"),exact(metadata!I217,"water"))))</f>
        <v>0</v>
      </c>
      <c r="AJ217">
        <f>IF(metadata!J217="",FALSE,TRUE)</f>
        <v>0</v>
      </c>
      <c r="AK217">
        <f>OR(AND(IF(metadata!K217="",FALSE,TRUE),OR(exact(metadata!K217,"missing: not collected"),exact(metadata!K217,"missing: not provided"),exact(metadata!K217,"missing: restricted access"))),AND(IF(metadata!K217="",FALSE,ISNUMBER(VALUE(metadata!K217))),metadata!K217&gt;=-90.00,metadata!K217&lt;=90.00))</f>
        <v>0</v>
      </c>
      <c r="AL217">
        <f>OR(AND(IF(metadata!L217="",FALSE,TRUE),OR(exact(metadata!L217,"missing: not collected"),exact(metadata!L217,"missing: not provided"),exact(metadata!L217,"missing: restricted access"))),AND(IF(metadata!L217="",FALSE,ISNUMBER(VALUE(metadata!L217))),metadata!L217&gt;=-180.00,metadata!L217&lt;=180.00))</f>
        <v>0</v>
      </c>
      <c r="AM217">
        <f>IF(metadata!M217="",FALSE,TRUE)</f>
        <v>0</v>
      </c>
      <c r="AN217">
        <f>OR(AND(IF(metadata!N217="",FALSE,TRUE),OR(exact(metadata!N217,"missing: not collected"),exact(metadata!N217,"missing: not provided"),exact(metadata!N217,"missing: restricted access"))),AND(IF(metadata!N217="",FALSE,TRUE),OR(exact(metadata!N217,"TRUE"),exact(metadata!N217,"FALSE"))))</f>
        <v>0</v>
      </c>
      <c r="AO217">
        <f>IF(metadata!O217="",FALSE,TRUE)</f>
        <v>0</v>
      </c>
      <c r="AP217">
        <f>OR(AND(IF(metadata!P217="",FALSE,TRUE),OR(exact(metadata!P217,"missing: not collected"),exact(metadata!P217,"missing: not provided"))),AND(IF(metadata!P217="",FALSE,IF(ISERROR(INT(metadata!P217)),FALSE,INT(metadata!P217)=metadata!P217)),metadata!P217&gt;0))</f>
        <v>0</v>
      </c>
      <c r="AQ217">
        <f>IF(metadata!Q217="",FALSE,TRUE)</f>
        <v>0</v>
      </c>
    </row>
    <row r="218" spans="1:43">
      <c r="A218" s="5">
        <f>IF(B218=" "," ",HYPERLINK(CONCATENATE("#metadata!",ADDRESS(INDEX($W$2:$W$1001,MATCH(ROWS($U$2:U218),$U$2:$U$1001,0),0),1)),INDEX($Z$2:$Z$1001,MATCH(ROWS($U$2:U218),$U$2:$U$1001,0),0)))</f>
        <v>0</v>
      </c>
      <c r="B218" s="4">
        <f>IF(OR(INDEX($V$2:$V$1001,MATCH(ROWS($U$2:U218),$U$2:$U$1001,0),1)&gt;=100000,INDEX($AB$1005:$AQ$1005,1,MATCH(COLUMNS($AB$1006:AB1006),$AB$1006:$AQ$1006,0))&gt;=100000), " ",IF(INDEX($AB$2:$AQ$1001,MATCH(ROWS($U$2:U218),$U$2:$U$1001,0),MATCH(COLUMNS($AB$1006:AB1006),$AB$1006:$AQ$1006,0)), HYPERLINK("#",""), HYPERLINK(CONCATENATE("#metadata!", ADDRESS(INDEX($W$2:$W$1001,MATCH(ROWS($U$2:U218),$U$2:$U$1001,0),0), INDEX($AB$1004:$AQ$1004,1,MATCH(COLUMNS($AB$1006:AB1006),$AB$1006:$AQ$1006,0)))),"Fix")))</f>
        <v>0</v>
      </c>
      <c r="C218" s="4">
        <f>IF(OR(INDEX($V$2:$V$1001,MATCH(ROWS($U$2:U218),$U$2:$U$1001,0),1)&gt;=100000,INDEX($AB$1005:$AQ$1005,1,MATCH(COLUMNS($AB$1006:AC1006),$AB$1006:$AQ$1006,0))&gt;=100000), " ",IF(INDEX($AB$2:$AQ$1001,MATCH(ROWS($U$2:U218),$U$2:$U$1001,0),MATCH(COLUMNS($AB$1006:AC1006),$AB$1006:$AQ$1006,0)), HYPERLINK("#",""), HYPERLINK(CONCATENATE("#metadata!", ADDRESS(INDEX($W$2:$W$1001,MATCH(ROWS($U$2:U218),$U$2:$U$1001,0),0), INDEX($AB$1004:$AQ$1004,1,MATCH(COLUMNS($AB$1006:AC1006),$AB$1006:$AQ$1006,0)))),"Fix")))</f>
        <v>0</v>
      </c>
      <c r="D218" s="4">
        <f>IF(OR(INDEX($V$2:$V$1001,MATCH(ROWS($U$2:U218),$U$2:$U$1001,0),1)&gt;=100000,INDEX($AB$1005:$AQ$1005,1,MATCH(COLUMNS($AB$1006:AD1006),$AB$1006:$AQ$1006,0))&gt;=100000), " ",IF(INDEX($AB$2:$AQ$1001,MATCH(ROWS($U$2:U218),$U$2:$U$1001,0),MATCH(COLUMNS($AB$1006:AD1006),$AB$1006:$AQ$1006,0)), HYPERLINK("#",""), HYPERLINK(CONCATENATE("#metadata!", ADDRESS(INDEX($W$2:$W$1001,MATCH(ROWS($U$2:U218),$U$2:$U$1001,0),0), INDEX($AB$1004:$AQ$1004,1,MATCH(COLUMNS($AB$1006:AD1006),$AB$1006:$AQ$1006,0)))),"Fix")))</f>
        <v>0</v>
      </c>
      <c r="E218" s="4">
        <f>IF(OR(INDEX($V$2:$V$1001,MATCH(ROWS($U$2:U218),$U$2:$U$1001,0),1)&gt;=100000,INDEX($AB$1005:$AQ$1005,1,MATCH(COLUMNS($AB$1006:AE1006),$AB$1006:$AQ$1006,0))&gt;=100000), " ",IF(INDEX($AB$2:$AQ$1001,MATCH(ROWS($U$2:U218),$U$2:$U$1001,0),MATCH(COLUMNS($AB$1006:AE1006),$AB$1006:$AQ$1006,0)), HYPERLINK("#",""), HYPERLINK(CONCATENATE("#metadata!", ADDRESS(INDEX($W$2:$W$1001,MATCH(ROWS($U$2:U218),$U$2:$U$1001,0),0), INDEX($AB$1004:$AQ$1004,1,MATCH(COLUMNS($AB$1006:AE1006),$AB$1006:$AQ$1006,0)))),"Fix")))</f>
        <v>0</v>
      </c>
      <c r="F218" s="4">
        <f>IF(OR(INDEX($V$2:$V$1001,MATCH(ROWS($U$2:U218),$U$2:$U$1001,0),1)&gt;=100000,INDEX($AB$1005:$AQ$1005,1,MATCH(COLUMNS($AB$1006:AF1006),$AB$1006:$AQ$1006,0))&gt;=100000), " ",IF(INDEX($AB$2:$AQ$1001,MATCH(ROWS($U$2:U218),$U$2:$U$1001,0),MATCH(COLUMNS($AB$1006:AF1006),$AB$1006:$AQ$1006,0)), HYPERLINK("#",""), HYPERLINK(CONCATENATE("#metadata!", ADDRESS(INDEX($W$2:$W$1001,MATCH(ROWS($U$2:U218),$U$2:$U$1001,0),0), INDEX($AB$1004:$AQ$1004,1,MATCH(COLUMNS($AB$1006:AF1006),$AB$1006:$AQ$1006,0)))),"Fix")))</f>
        <v>0</v>
      </c>
      <c r="G218" s="4">
        <f>IF(OR(INDEX($V$2:$V$1001,MATCH(ROWS($U$2:U218),$U$2:$U$1001,0),1)&gt;=100000,INDEX($AB$1005:$AQ$1005,1,MATCH(COLUMNS($AB$1006:AG1006),$AB$1006:$AQ$1006,0))&gt;=100000), " ",IF(INDEX($AB$2:$AQ$1001,MATCH(ROWS($U$2:U218),$U$2:$U$1001,0),MATCH(COLUMNS($AB$1006:AG1006),$AB$1006:$AQ$1006,0)), HYPERLINK("#",""), HYPERLINK(CONCATENATE("#metadata!", ADDRESS(INDEX($W$2:$W$1001,MATCH(ROWS($U$2:U218),$U$2:$U$1001,0),0), INDEX($AB$1004:$AQ$1004,1,MATCH(COLUMNS($AB$1006:AG1006),$AB$1006:$AQ$1006,0)))),"Fix")))</f>
        <v>0</v>
      </c>
      <c r="H218" s="4">
        <f>IF(OR(INDEX($V$2:$V$1001,MATCH(ROWS($U$2:U218),$U$2:$U$1001,0),1)&gt;=100000,INDEX($AB$1005:$AQ$1005,1,MATCH(COLUMNS($AB$1006:AH1006),$AB$1006:$AQ$1006,0))&gt;=100000), " ",IF(INDEX($AB$2:$AQ$1001,MATCH(ROWS($U$2:U218),$U$2:$U$1001,0),MATCH(COLUMNS($AB$1006:AH1006),$AB$1006:$AQ$1006,0)), HYPERLINK("#",""), HYPERLINK(CONCATENATE("#metadata!", ADDRESS(INDEX($W$2:$W$1001,MATCH(ROWS($U$2:U218),$U$2:$U$1001,0),0), INDEX($AB$1004:$AQ$1004,1,MATCH(COLUMNS($AB$1006:AH1006),$AB$1006:$AQ$1006,0)))),"Fix")))</f>
        <v>0</v>
      </c>
      <c r="I218" s="4">
        <f>IF(OR(INDEX($V$2:$V$1001,MATCH(ROWS($U$2:U218),$U$2:$U$1001,0),1)&gt;=100000,INDEX($AB$1005:$AQ$1005,1,MATCH(COLUMNS($AB$1006:AI1006),$AB$1006:$AQ$1006,0))&gt;=100000), " ",IF(INDEX($AB$2:$AQ$1001,MATCH(ROWS($U$2:U218),$U$2:$U$1001,0),MATCH(COLUMNS($AB$1006:AI1006),$AB$1006:$AQ$1006,0)), HYPERLINK("#",""), HYPERLINK(CONCATENATE("#metadata!", ADDRESS(INDEX($W$2:$W$1001,MATCH(ROWS($U$2:U218),$U$2:$U$1001,0),0), INDEX($AB$1004:$AQ$1004,1,MATCH(COLUMNS($AB$1006:AI1006),$AB$1006:$AQ$1006,0)))),"Fix")))</f>
        <v>0</v>
      </c>
      <c r="J218" s="4">
        <f>IF(OR(INDEX($V$2:$V$1001,MATCH(ROWS($U$2:U218),$U$2:$U$1001,0),1)&gt;=100000,INDEX($AB$1005:$AQ$1005,1,MATCH(COLUMNS($AB$1006:AJ1006),$AB$1006:$AQ$1006,0))&gt;=100000), " ",IF(INDEX($AB$2:$AQ$1001,MATCH(ROWS($U$2:U218),$U$2:$U$1001,0),MATCH(COLUMNS($AB$1006:AJ1006),$AB$1006:$AQ$1006,0)), HYPERLINK("#",""), HYPERLINK(CONCATENATE("#metadata!", ADDRESS(INDEX($W$2:$W$1001,MATCH(ROWS($U$2:U218),$U$2:$U$1001,0),0), INDEX($AB$1004:$AQ$1004,1,MATCH(COLUMNS($AB$1006:AJ1006),$AB$1006:$AQ$1006,0)))),"Fix")))</f>
        <v>0</v>
      </c>
      <c r="K218" s="4">
        <f>IF(OR(INDEX($V$2:$V$1001,MATCH(ROWS($U$2:U218),$U$2:$U$1001,0),1)&gt;=100000,INDEX($AB$1005:$AQ$1005,1,MATCH(COLUMNS($AB$1006:AK1006),$AB$1006:$AQ$1006,0))&gt;=100000), " ",IF(INDEX($AB$2:$AQ$1001,MATCH(ROWS($U$2:U218),$U$2:$U$1001,0),MATCH(COLUMNS($AB$1006:AK1006),$AB$1006:$AQ$1006,0)), HYPERLINK("#",""), HYPERLINK(CONCATENATE("#metadata!", ADDRESS(INDEX($W$2:$W$1001,MATCH(ROWS($U$2:U218),$U$2:$U$1001,0),0), INDEX($AB$1004:$AQ$1004,1,MATCH(COLUMNS($AB$1006:AK1006),$AB$1006:$AQ$1006,0)))),"Fix")))</f>
        <v>0</v>
      </c>
      <c r="L218" s="4">
        <f>IF(OR(INDEX($V$2:$V$1001,MATCH(ROWS($U$2:U218),$U$2:$U$1001,0),1)&gt;=100000,INDEX($AB$1005:$AQ$1005,1,MATCH(COLUMNS($AB$1006:AL1006),$AB$1006:$AQ$1006,0))&gt;=100000), " ",IF(INDEX($AB$2:$AQ$1001,MATCH(ROWS($U$2:U218),$U$2:$U$1001,0),MATCH(COLUMNS($AB$1006:AL1006),$AB$1006:$AQ$1006,0)), HYPERLINK("#",""), HYPERLINK(CONCATENATE("#metadata!", ADDRESS(INDEX($W$2:$W$1001,MATCH(ROWS($U$2:U218),$U$2:$U$1001,0),0), INDEX($AB$1004:$AQ$1004,1,MATCH(COLUMNS($AB$1006:AL1006),$AB$1006:$AQ$1006,0)))),"Fix")))</f>
        <v>0</v>
      </c>
      <c r="M218" s="4">
        <f>IF(OR(INDEX($V$2:$V$1001,MATCH(ROWS($U$2:U218),$U$2:$U$1001,0),1)&gt;=100000,INDEX($AB$1005:$AQ$1005,1,MATCH(COLUMNS($AB$1006:AM1006),$AB$1006:$AQ$1006,0))&gt;=100000), " ",IF(INDEX($AB$2:$AQ$1001,MATCH(ROWS($U$2:U218),$U$2:$U$1001,0),MATCH(COLUMNS($AB$1006:AM1006),$AB$1006:$AQ$1006,0)), HYPERLINK("#",""), HYPERLINK(CONCATENATE("#metadata!", ADDRESS(INDEX($W$2:$W$1001,MATCH(ROWS($U$2:U218),$U$2:$U$1001,0),0), INDEX($AB$1004:$AQ$1004,1,MATCH(COLUMNS($AB$1006:AM1006),$AB$1006:$AQ$1006,0)))),"Fix")))</f>
        <v>0</v>
      </c>
      <c r="N218" s="4">
        <f>IF(OR(INDEX($V$2:$V$1001,MATCH(ROWS($U$2:U218),$U$2:$U$1001,0),1)&gt;=100000,INDEX($AB$1005:$AQ$1005,1,MATCH(COLUMNS($AB$1006:AN1006),$AB$1006:$AQ$1006,0))&gt;=100000), " ",IF(INDEX($AB$2:$AQ$1001,MATCH(ROWS($U$2:U218),$U$2:$U$1001,0),MATCH(COLUMNS($AB$1006:AN1006),$AB$1006:$AQ$1006,0)), HYPERLINK("#",""), HYPERLINK(CONCATENATE("#metadata!", ADDRESS(INDEX($W$2:$W$1001,MATCH(ROWS($U$2:U218),$U$2:$U$1001,0),0), INDEX($AB$1004:$AQ$1004,1,MATCH(COLUMNS($AB$1006:AN1006),$AB$1006:$AQ$1006,0)))),"Fix")))</f>
        <v>0</v>
      </c>
      <c r="O218" s="4">
        <f>IF(OR(INDEX($V$2:$V$1001,MATCH(ROWS($U$2:U218),$U$2:$U$1001,0),1)&gt;=100000,INDEX($AB$1005:$AQ$1005,1,MATCH(COLUMNS($AB$1006:AO1006),$AB$1006:$AQ$1006,0))&gt;=100000), " ",IF(INDEX($AB$2:$AQ$1001,MATCH(ROWS($U$2:U218),$U$2:$U$1001,0),MATCH(COLUMNS($AB$1006:AO1006),$AB$1006:$AQ$1006,0)), HYPERLINK("#",""), HYPERLINK(CONCATENATE("#metadata!", ADDRESS(INDEX($W$2:$W$1001,MATCH(ROWS($U$2:U218),$U$2:$U$1001,0),0), INDEX($AB$1004:$AQ$1004,1,MATCH(COLUMNS($AB$1006:AO1006),$AB$1006:$AQ$1006,0)))),"Fix")))</f>
        <v>0</v>
      </c>
      <c r="P218" s="4">
        <f>IF(OR(INDEX($V$2:$V$1001,MATCH(ROWS($U$2:U218),$U$2:$U$1001,0),1)&gt;=100000,INDEX($AB$1005:$AQ$1005,1,MATCH(COLUMNS($AB$1006:AP1006),$AB$1006:$AQ$1006,0))&gt;=100000), " ",IF(INDEX($AB$2:$AQ$1001,MATCH(ROWS($U$2:U218),$U$2:$U$1001,0),MATCH(COLUMNS($AB$1006:AP1006),$AB$1006:$AQ$1006,0)), HYPERLINK("#",""), HYPERLINK(CONCATENATE("#metadata!", ADDRESS(INDEX($W$2:$W$1001,MATCH(ROWS($U$2:U218),$U$2:$U$1001,0),0), INDEX($AB$1004:$AQ$1004,1,MATCH(COLUMNS($AB$1006:AP1006),$AB$1006:$AQ$1006,0)))),"Fix")))</f>
        <v>0</v>
      </c>
      <c r="Q218" s="4">
        <f>IF(OR(INDEX($V$2:$V$1001,MATCH(ROWS($U$2:U218),$U$2:$U$1001,0),1)&gt;=100000,INDEX($AB$1005:$AQ$1005,1,MATCH(COLUMNS($AB$1006:AQ1006),$AB$1006:$AQ$1006,0))&gt;=100000), " ",IF(INDEX($AB$2:$AQ$1001,MATCH(ROWS($U$2:U218),$U$2:$U$1001,0),MATCH(COLUMNS($AB$1006:AQ1006),$AB$1006:$AQ$1006,0)), HYPERLINK("#",""), HYPERLINK(CONCATENATE("#metadata!", ADDRESS(INDEX($W$2:$W$1001,MATCH(ROWS($U$2:U218),$U$2:$U$1001,0),0), INDEX($AB$1004:$AQ$1004,1,MATCH(COLUMNS($AB$1006:AQ1006),$AB$1006:$AQ$1006,0)))),"Fix")))</f>
        <v>0</v>
      </c>
      <c r="U218">
        <v>0</v>
      </c>
      <c r="V218">
        <v>0</v>
      </c>
      <c r="W218">
        <v>0</v>
      </c>
      <c r="X218">
        <f>IF(Y218,TRUE,AND(AB218:AQ218))</f>
        <v>0</v>
      </c>
      <c r="Y218">
        <f>COUNTBLANK(metadata!B218:Q218)=COLUMNS(metadata!B218:Q218)</f>
        <v>0</v>
      </c>
      <c r="Z218">
        <v>0</v>
      </c>
      <c r="AB218">
        <f>AND(IF(metadata!B218="",FALSE,TRUE),COUNTIF(metadata!B:B, metadata!B218) = 1,NOT(ISERROR(SUMPRODUCT(SEARCH(MID(metadata!B218,ROW(INDIRECT("1:"&amp;LEN(metadata!B218))), 1),"0123456789abcdefghijklmnopqrstuvwxyzABCDEFGHIJKLMNOPQRSTUVWXYZ.")))))</f>
        <v>0</v>
      </c>
      <c r="AC218">
        <f>OR(AND(IF(metadata!C218="",FALSE,TRUE),OR(exact(metadata!C218,"missing: not collected"),exact(metadata!C218,"missing: not provided"),exact(metadata!C218,"missing: restricted access"))),AND(IF(metadata!C218="",FALSE,TRUE),AND(AND(IFERROR(INT(LEFT(metadata!C218,4))&gt;1900,FALSE),IFERROR(INT(LEFT(metadata!C218,4))&lt;=YEAR(NOW()),FALSE)), OR(MID(metadata!C218,5,1)="", AND(AND(MID(metadata!C218,5,1)="-",IFERROR(INT(MID(metadata!C218,6,1))&gt;=0,FALSE),IFERROR(INT(MID(metadata!C218,6,1))&lt;=1,FALSE),NOT(MID(metadata!C218,7,1)=""),IFERROR(INT(MID(metadata!C218,6,2))&gt;=1,FALSE),IFERROR(INT(MID(metadata!C218,6,2))&lt;=12,FALSE)), OR(MID(metadata!C218,8,1)="", AND(AND(MID(metadata!C218,8,1)="-",IFERROR(INT(MID(metadata!C218,9,1))&gt;=0,FALSE),IFERROR(INT(MID(metadata!C218,9,1))&lt;=3,FALSE),NOT(MID(metadata!C218,10,1)=""),IFERROR(INT(MID(metadata!C218,9,2))&gt;=1,FALSE),IFERROR(INT(MID(metadata!C218,9,2))&lt;=31,FALSE)), OR(MID(metadata!C218,11,1)="", AND(AND(MID(metadata!C218,11,1)=" ",IFERROR(INT(MID(metadata!C218,12,1))&gt;=0,FALSE),IFERROR(INT(MID(metadata!C218,12,1))&lt;=2,FALSE),NOT(MID(metadata!C218,13,1)=""),IFERROR(INT(MID(metadata!C218,12,2))&gt;=0,FALSE),IFERROR(INT(MID(metadata!C218,12,2))&lt;=23,FALSE)), OR(MID(metadata!C218,14,1)="", AND(AND(MID(metadata!C218,14,1)=":",IFERROR(INT(MID(metadata!C218,15,1))&gt;=0,FALSE),IFERROR(INT(MID(metadata!C218,15,1))&lt;=5,FALSE),NOT(MID(metadata!C218,16,1)=""),IFERROR(INT(MID(metadata!C218,15,2))&gt;=0,FALSE),IFERROR(INT(MID(metadata!C218,15,2))&lt;=59,FALSE)), OR(MID(metadata!C218,17,1)="", AND(AND(MID(metadata!C218,17,1)=":",IFERROR(INT(MID(metadata!C218,18,1))&gt;=0,FALSE),IFERROR(INT(MID(metadata!C218,18,1))&lt;=5,FALSE),NOT(MID(metadata!C218,19,1)=""),IFERROR(INT(MID(metadata!C218,18,2))&gt;=0,FALSE),IFERROR(INT(MID(metadata!C218,18,2))&lt;=59,FALSE)), LEN(metadata!C218)&lt;=19)))))))))))))</f>
        <v>0</v>
      </c>
      <c r="AD218">
        <f>IF(metadata!D218="",FALSE,TRUE)</f>
        <v>0</v>
      </c>
      <c r="AE218">
        <f>OR(AND(IF(metadata!E218="",FALSE,TRUE),OR(exact(metadata!E218,"missing: not collected"),exact(metadata!E218,"missing: not provided"))),AND(IF(metadata!E218="",FALSE,TRUE),OR(exact(metadata!E218,"TRUE"),exact(metadata!E218,"FALSE"))))</f>
        <v>0</v>
      </c>
      <c r="AF218">
        <f>IF(metadata!F218="",FALSE,TRUE)</f>
        <v>0</v>
      </c>
      <c r="AG218">
        <f>IF(metadata!G218="",FALSE,TRUE)</f>
        <v>0</v>
      </c>
      <c r="AH218">
        <f>IF(metadata!H218="",FALSE,TRUE)</f>
        <v>0</v>
      </c>
      <c r="AI218">
        <f>OR(AND(IF(metadata!I218="",FALSE,TRUE),OR(exact(metadata!I218,"missing: not collected"),exact(metadata!I218,"missing: not provided"),exact(metadata!I218,"missing: restricted access"))),AND(IF(metadata!I218="",FALSE,TRUE),OR(exact(metadata!I218,"air"),exact(metadata!I218,"built environment"),exact(metadata!I218,"host-associated"),exact(metadata!I218,"human-associated"),exact(metadata!I218,"human-skin"),exact(metadata!I218,"human-oral"),exact(metadata!I218,"human-gut"),exact(metadata!I218,"human-vaginal"),exact(metadata!I218,"microbial mat/biofilm"),exact(metadata!I218,"misc environment"),exact(metadata!I218,"plant-associated"),exact(metadata!I218,"sediment"),exact(metadata!I218,"soil"),exact(metadata!I218,"wastewater/sludge"),exact(metadata!I218,"water"))))</f>
        <v>0</v>
      </c>
      <c r="AJ218">
        <f>IF(metadata!J218="",FALSE,TRUE)</f>
        <v>0</v>
      </c>
      <c r="AK218">
        <f>OR(AND(IF(metadata!K218="",FALSE,TRUE),OR(exact(metadata!K218,"missing: not collected"),exact(metadata!K218,"missing: not provided"),exact(metadata!K218,"missing: restricted access"))),AND(IF(metadata!K218="",FALSE,ISNUMBER(VALUE(metadata!K218))),metadata!K218&gt;=-90.00,metadata!K218&lt;=90.00))</f>
        <v>0</v>
      </c>
      <c r="AL218">
        <f>OR(AND(IF(metadata!L218="",FALSE,TRUE),OR(exact(metadata!L218,"missing: not collected"),exact(metadata!L218,"missing: not provided"),exact(metadata!L218,"missing: restricted access"))),AND(IF(metadata!L218="",FALSE,ISNUMBER(VALUE(metadata!L218))),metadata!L218&gt;=-180.00,metadata!L218&lt;=180.00))</f>
        <v>0</v>
      </c>
      <c r="AM218">
        <f>IF(metadata!M218="",FALSE,TRUE)</f>
        <v>0</v>
      </c>
      <c r="AN218">
        <f>OR(AND(IF(metadata!N218="",FALSE,TRUE),OR(exact(metadata!N218,"missing: not collected"),exact(metadata!N218,"missing: not provided"),exact(metadata!N218,"missing: restricted access"))),AND(IF(metadata!N218="",FALSE,TRUE),OR(exact(metadata!N218,"TRUE"),exact(metadata!N218,"FALSE"))))</f>
        <v>0</v>
      </c>
      <c r="AO218">
        <f>IF(metadata!O218="",FALSE,TRUE)</f>
        <v>0</v>
      </c>
      <c r="AP218">
        <f>OR(AND(IF(metadata!P218="",FALSE,TRUE),OR(exact(metadata!P218,"missing: not collected"),exact(metadata!P218,"missing: not provided"))),AND(IF(metadata!P218="",FALSE,IF(ISERROR(INT(metadata!P218)),FALSE,INT(metadata!P218)=metadata!P218)),metadata!P218&gt;0))</f>
        <v>0</v>
      </c>
      <c r="AQ218">
        <f>IF(metadata!Q218="",FALSE,TRUE)</f>
        <v>0</v>
      </c>
    </row>
    <row r="219" spans="1:43">
      <c r="A219" s="5">
        <f>IF(B219=" "," ",HYPERLINK(CONCATENATE("#metadata!",ADDRESS(INDEX($W$2:$W$1001,MATCH(ROWS($U$2:U219),$U$2:$U$1001,0),0),1)),INDEX($Z$2:$Z$1001,MATCH(ROWS($U$2:U219),$U$2:$U$1001,0),0)))</f>
        <v>0</v>
      </c>
      <c r="B219" s="4">
        <f>IF(OR(INDEX($V$2:$V$1001,MATCH(ROWS($U$2:U219),$U$2:$U$1001,0),1)&gt;=100000,INDEX($AB$1005:$AQ$1005,1,MATCH(COLUMNS($AB$1006:AB1006),$AB$1006:$AQ$1006,0))&gt;=100000), " ",IF(INDEX($AB$2:$AQ$1001,MATCH(ROWS($U$2:U219),$U$2:$U$1001,0),MATCH(COLUMNS($AB$1006:AB1006),$AB$1006:$AQ$1006,0)), HYPERLINK("#",""), HYPERLINK(CONCATENATE("#metadata!", ADDRESS(INDEX($W$2:$W$1001,MATCH(ROWS($U$2:U219),$U$2:$U$1001,0),0), INDEX($AB$1004:$AQ$1004,1,MATCH(COLUMNS($AB$1006:AB1006),$AB$1006:$AQ$1006,0)))),"Fix")))</f>
        <v>0</v>
      </c>
      <c r="C219" s="4">
        <f>IF(OR(INDEX($V$2:$V$1001,MATCH(ROWS($U$2:U219),$U$2:$U$1001,0),1)&gt;=100000,INDEX($AB$1005:$AQ$1005,1,MATCH(COLUMNS($AB$1006:AC1006),$AB$1006:$AQ$1006,0))&gt;=100000), " ",IF(INDEX($AB$2:$AQ$1001,MATCH(ROWS($U$2:U219),$U$2:$U$1001,0),MATCH(COLUMNS($AB$1006:AC1006),$AB$1006:$AQ$1006,0)), HYPERLINK("#",""), HYPERLINK(CONCATENATE("#metadata!", ADDRESS(INDEX($W$2:$W$1001,MATCH(ROWS($U$2:U219),$U$2:$U$1001,0),0), INDEX($AB$1004:$AQ$1004,1,MATCH(COLUMNS($AB$1006:AC1006),$AB$1006:$AQ$1006,0)))),"Fix")))</f>
        <v>0</v>
      </c>
      <c r="D219" s="4">
        <f>IF(OR(INDEX($V$2:$V$1001,MATCH(ROWS($U$2:U219),$U$2:$U$1001,0),1)&gt;=100000,INDEX($AB$1005:$AQ$1005,1,MATCH(COLUMNS($AB$1006:AD1006),$AB$1006:$AQ$1006,0))&gt;=100000), " ",IF(INDEX($AB$2:$AQ$1001,MATCH(ROWS($U$2:U219),$U$2:$U$1001,0),MATCH(COLUMNS($AB$1006:AD1006),$AB$1006:$AQ$1006,0)), HYPERLINK("#",""), HYPERLINK(CONCATENATE("#metadata!", ADDRESS(INDEX($W$2:$W$1001,MATCH(ROWS($U$2:U219),$U$2:$U$1001,0),0), INDEX($AB$1004:$AQ$1004,1,MATCH(COLUMNS($AB$1006:AD1006),$AB$1006:$AQ$1006,0)))),"Fix")))</f>
        <v>0</v>
      </c>
      <c r="E219" s="4">
        <f>IF(OR(INDEX($V$2:$V$1001,MATCH(ROWS($U$2:U219),$U$2:$U$1001,0),1)&gt;=100000,INDEX($AB$1005:$AQ$1005,1,MATCH(COLUMNS($AB$1006:AE1006),$AB$1006:$AQ$1006,0))&gt;=100000), " ",IF(INDEX($AB$2:$AQ$1001,MATCH(ROWS($U$2:U219),$U$2:$U$1001,0),MATCH(COLUMNS($AB$1006:AE1006),$AB$1006:$AQ$1006,0)), HYPERLINK("#",""), HYPERLINK(CONCATENATE("#metadata!", ADDRESS(INDEX($W$2:$W$1001,MATCH(ROWS($U$2:U219),$U$2:$U$1001,0),0), INDEX($AB$1004:$AQ$1004,1,MATCH(COLUMNS($AB$1006:AE1006),$AB$1006:$AQ$1006,0)))),"Fix")))</f>
        <v>0</v>
      </c>
      <c r="F219" s="4">
        <f>IF(OR(INDEX($V$2:$V$1001,MATCH(ROWS($U$2:U219),$U$2:$U$1001,0),1)&gt;=100000,INDEX($AB$1005:$AQ$1005,1,MATCH(COLUMNS($AB$1006:AF1006),$AB$1006:$AQ$1006,0))&gt;=100000), " ",IF(INDEX($AB$2:$AQ$1001,MATCH(ROWS($U$2:U219),$U$2:$U$1001,0),MATCH(COLUMNS($AB$1006:AF1006),$AB$1006:$AQ$1006,0)), HYPERLINK("#",""), HYPERLINK(CONCATENATE("#metadata!", ADDRESS(INDEX($W$2:$W$1001,MATCH(ROWS($U$2:U219),$U$2:$U$1001,0),0), INDEX($AB$1004:$AQ$1004,1,MATCH(COLUMNS($AB$1006:AF1006),$AB$1006:$AQ$1006,0)))),"Fix")))</f>
        <v>0</v>
      </c>
      <c r="G219" s="4">
        <f>IF(OR(INDEX($V$2:$V$1001,MATCH(ROWS($U$2:U219),$U$2:$U$1001,0),1)&gt;=100000,INDEX($AB$1005:$AQ$1005,1,MATCH(COLUMNS($AB$1006:AG1006),$AB$1006:$AQ$1006,0))&gt;=100000), " ",IF(INDEX($AB$2:$AQ$1001,MATCH(ROWS($U$2:U219),$U$2:$U$1001,0),MATCH(COLUMNS($AB$1006:AG1006),$AB$1006:$AQ$1006,0)), HYPERLINK("#",""), HYPERLINK(CONCATENATE("#metadata!", ADDRESS(INDEX($W$2:$W$1001,MATCH(ROWS($U$2:U219),$U$2:$U$1001,0),0), INDEX($AB$1004:$AQ$1004,1,MATCH(COLUMNS($AB$1006:AG1006),$AB$1006:$AQ$1006,0)))),"Fix")))</f>
        <v>0</v>
      </c>
      <c r="H219" s="4">
        <f>IF(OR(INDEX($V$2:$V$1001,MATCH(ROWS($U$2:U219),$U$2:$U$1001,0),1)&gt;=100000,INDEX($AB$1005:$AQ$1005,1,MATCH(COLUMNS($AB$1006:AH1006),$AB$1006:$AQ$1006,0))&gt;=100000), " ",IF(INDEX($AB$2:$AQ$1001,MATCH(ROWS($U$2:U219),$U$2:$U$1001,0),MATCH(COLUMNS($AB$1006:AH1006),$AB$1006:$AQ$1006,0)), HYPERLINK("#",""), HYPERLINK(CONCATENATE("#metadata!", ADDRESS(INDEX($W$2:$W$1001,MATCH(ROWS($U$2:U219),$U$2:$U$1001,0),0), INDEX($AB$1004:$AQ$1004,1,MATCH(COLUMNS($AB$1006:AH1006),$AB$1006:$AQ$1006,0)))),"Fix")))</f>
        <v>0</v>
      </c>
      <c r="I219" s="4">
        <f>IF(OR(INDEX($V$2:$V$1001,MATCH(ROWS($U$2:U219),$U$2:$U$1001,0),1)&gt;=100000,INDEX($AB$1005:$AQ$1005,1,MATCH(COLUMNS($AB$1006:AI1006),$AB$1006:$AQ$1006,0))&gt;=100000), " ",IF(INDEX($AB$2:$AQ$1001,MATCH(ROWS($U$2:U219),$U$2:$U$1001,0),MATCH(COLUMNS($AB$1006:AI1006),$AB$1006:$AQ$1006,0)), HYPERLINK("#",""), HYPERLINK(CONCATENATE("#metadata!", ADDRESS(INDEX($W$2:$W$1001,MATCH(ROWS($U$2:U219),$U$2:$U$1001,0),0), INDEX($AB$1004:$AQ$1004,1,MATCH(COLUMNS($AB$1006:AI1006),$AB$1006:$AQ$1006,0)))),"Fix")))</f>
        <v>0</v>
      </c>
      <c r="J219" s="4">
        <f>IF(OR(INDEX($V$2:$V$1001,MATCH(ROWS($U$2:U219),$U$2:$U$1001,0),1)&gt;=100000,INDEX($AB$1005:$AQ$1005,1,MATCH(COLUMNS($AB$1006:AJ1006),$AB$1006:$AQ$1006,0))&gt;=100000), " ",IF(INDEX($AB$2:$AQ$1001,MATCH(ROWS($U$2:U219),$U$2:$U$1001,0),MATCH(COLUMNS($AB$1006:AJ1006),$AB$1006:$AQ$1006,0)), HYPERLINK("#",""), HYPERLINK(CONCATENATE("#metadata!", ADDRESS(INDEX($W$2:$W$1001,MATCH(ROWS($U$2:U219),$U$2:$U$1001,0),0), INDEX($AB$1004:$AQ$1004,1,MATCH(COLUMNS($AB$1006:AJ1006),$AB$1006:$AQ$1006,0)))),"Fix")))</f>
        <v>0</v>
      </c>
      <c r="K219" s="4">
        <f>IF(OR(INDEX($V$2:$V$1001,MATCH(ROWS($U$2:U219),$U$2:$U$1001,0),1)&gt;=100000,INDEX($AB$1005:$AQ$1005,1,MATCH(COLUMNS($AB$1006:AK1006),$AB$1006:$AQ$1006,0))&gt;=100000), " ",IF(INDEX($AB$2:$AQ$1001,MATCH(ROWS($U$2:U219),$U$2:$U$1001,0),MATCH(COLUMNS($AB$1006:AK1006),$AB$1006:$AQ$1006,0)), HYPERLINK("#",""), HYPERLINK(CONCATENATE("#metadata!", ADDRESS(INDEX($W$2:$W$1001,MATCH(ROWS($U$2:U219),$U$2:$U$1001,0),0), INDEX($AB$1004:$AQ$1004,1,MATCH(COLUMNS($AB$1006:AK1006),$AB$1006:$AQ$1006,0)))),"Fix")))</f>
        <v>0</v>
      </c>
      <c r="L219" s="4">
        <f>IF(OR(INDEX($V$2:$V$1001,MATCH(ROWS($U$2:U219),$U$2:$U$1001,0),1)&gt;=100000,INDEX($AB$1005:$AQ$1005,1,MATCH(COLUMNS($AB$1006:AL1006),$AB$1006:$AQ$1006,0))&gt;=100000), " ",IF(INDEX($AB$2:$AQ$1001,MATCH(ROWS($U$2:U219),$U$2:$U$1001,0),MATCH(COLUMNS($AB$1006:AL1006),$AB$1006:$AQ$1006,0)), HYPERLINK("#",""), HYPERLINK(CONCATENATE("#metadata!", ADDRESS(INDEX($W$2:$W$1001,MATCH(ROWS($U$2:U219),$U$2:$U$1001,0),0), INDEX($AB$1004:$AQ$1004,1,MATCH(COLUMNS($AB$1006:AL1006),$AB$1006:$AQ$1006,0)))),"Fix")))</f>
        <v>0</v>
      </c>
      <c r="M219" s="4">
        <f>IF(OR(INDEX($V$2:$V$1001,MATCH(ROWS($U$2:U219),$U$2:$U$1001,0),1)&gt;=100000,INDEX($AB$1005:$AQ$1005,1,MATCH(COLUMNS($AB$1006:AM1006),$AB$1006:$AQ$1006,0))&gt;=100000), " ",IF(INDEX($AB$2:$AQ$1001,MATCH(ROWS($U$2:U219),$U$2:$U$1001,0),MATCH(COLUMNS($AB$1006:AM1006),$AB$1006:$AQ$1006,0)), HYPERLINK("#",""), HYPERLINK(CONCATENATE("#metadata!", ADDRESS(INDEX($W$2:$W$1001,MATCH(ROWS($U$2:U219),$U$2:$U$1001,0),0), INDEX($AB$1004:$AQ$1004,1,MATCH(COLUMNS($AB$1006:AM1006),$AB$1006:$AQ$1006,0)))),"Fix")))</f>
        <v>0</v>
      </c>
      <c r="N219" s="4">
        <f>IF(OR(INDEX($V$2:$V$1001,MATCH(ROWS($U$2:U219),$U$2:$U$1001,0),1)&gt;=100000,INDEX($AB$1005:$AQ$1005,1,MATCH(COLUMNS($AB$1006:AN1006),$AB$1006:$AQ$1006,0))&gt;=100000), " ",IF(INDEX($AB$2:$AQ$1001,MATCH(ROWS($U$2:U219),$U$2:$U$1001,0),MATCH(COLUMNS($AB$1006:AN1006),$AB$1006:$AQ$1006,0)), HYPERLINK("#",""), HYPERLINK(CONCATENATE("#metadata!", ADDRESS(INDEX($W$2:$W$1001,MATCH(ROWS($U$2:U219),$U$2:$U$1001,0),0), INDEX($AB$1004:$AQ$1004,1,MATCH(COLUMNS($AB$1006:AN1006),$AB$1006:$AQ$1006,0)))),"Fix")))</f>
        <v>0</v>
      </c>
      <c r="O219" s="4">
        <f>IF(OR(INDEX($V$2:$V$1001,MATCH(ROWS($U$2:U219),$U$2:$U$1001,0),1)&gt;=100000,INDEX($AB$1005:$AQ$1005,1,MATCH(COLUMNS($AB$1006:AO1006),$AB$1006:$AQ$1006,0))&gt;=100000), " ",IF(INDEX($AB$2:$AQ$1001,MATCH(ROWS($U$2:U219),$U$2:$U$1001,0),MATCH(COLUMNS($AB$1006:AO1006),$AB$1006:$AQ$1006,0)), HYPERLINK("#",""), HYPERLINK(CONCATENATE("#metadata!", ADDRESS(INDEX($W$2:$W$1001,MATCH(ROWS($U$2:U219),$U$2:$U$1001,0),0), INDEX($AB$1004:$AQ$1004,1,MATCH(COLUMNS($AB$1006:AO1006),$AB$1006:$AQ$1006,0)))),"Fix")))</f>
        <v>0</v>
      </c>
      <c r="P219" s="4">
        <f>IF(OR(INDEX($V$2:$V$1001,MATCH(ROWS($U$2:U219),$U$2:$U$1001,0),1)&gt;=100000,INDEX($AB$1005:$AQ$1005,1,MATCH(COLUMNS($AB$1006:AP1006),$AB$1006:$AQ$1006,0))&gt;=100000), " ",IF(INDEX($AB$2:$AQ$1001,MATCH(ROWS($U$2:U219),$U$2:$U$1001,0),MATCH(COLUMNS($AB$1006:AP1006),$AB$1006:$AQ$1006,0)), HYPERLINK("#",""), HYPERLINK(CONCATENATE("#metadata!", ADDRESS(INDEX($W$2:$W$1001,MATCH(ROWS($U$2:U219),$U$2:$U$1001,0),0), INDEX($AB$1004:$AQ$1004,1,MATCH(COLUMNS($AB$1006:AP1006),$AB$1006:$AQ$1006,0)))),"Fix")))</f>
        <v>0</v>
      </c>
      <c r="Q219" s="4">
        <f>IF(OR(INDEX($V$2:$V$1001,MATCH(ROWS($U$2:U219),$U$2:$U$1001,0),1)&gt;=100000,INDEX($AB$1005:$AQ$1005,1,MATCH(COLUMNS($AB$1006:AQ1006),$AB$1006:$AQ$1006,0))&gt;=100000), " ",IF(INDEX($AB$2:$AQ$1001,MATCH(ROWS($U$2:U219),$U$2:$U$1001,0),MATCH(COLUMNS($AB$1006:AQ1006),$AB$1006:$AQ$1006,0)), HYPERLINK("#",""), HYPERLINK(CONCATENATE("#metadata!", ADDRESS(INDEX($W$2:$W$1001,MATCH(ROWS($U$2:U219),$U$2:$U$1001,0),0), INDEX($AB$1004:$AQ$1004,1,MATCH(COLUMNS($AB$1006:AQ1006),$AB$1006:$AQ$1006,0)))),"Fix")))</f>
        <v>0</v>
      </c>
      <c r="U219">
        <v>0</v>
      </c>
      <c r="V219">
        <v>0</v>
      </c>
      <c r="W219">
        <v>0</v>
      </c>
      <c r="X219">
        <f>IF(Y219,TRUE,AND(AB219:AQ219))</f>
        <v>0</v>
      </c>
      <c r="Y219">
        <f>COUNTBLANK(metadata!B219:Q219)=COLUMNS(metadata!B219:Q219)</f>
        <v>0</v>
      </c>
      <c r="Z219">
        <v>0</v>
      </c>
      <c r="AB219">
        <f>AND(IF(metadata!B219="",FALSE,TRUE),COUNTIF(metadata!B:B, metadata!B219) = 1,NOT(ISERROR(SUMPRODUCT(SEARCH(MID(metadata!B219,ROW(INDIRECT("1:"&amp;LEN(metadata!B219))), 1),"0123456789abcdefghijklmnopqrstuvwxyzABCDEFGHIJKLMNOPQRSTUVWXYZ.")))))</f>
        <v>0</v>
      </c>
      <c r="AC219">
        <f>OR(AND(IF(metadata!C219="",FALSE,TRUE),OR(exact(metadata!C219,"missing: not collected"),exact(metadata!C219,"missing: not provided"),exact(metadata!C219,"missing: restricted access"))),AND(IF(metadata!C219="",FALSE,TRUE),AND(AND(IFERROR(INT(LEFT(metadata!C219,4))&gt;1900,FALSE),IFERROR(INT(LEFT(metadata!C219,4))&lt;=YEAR(NOW()),FALSE)), OR(MID(metadata!C219,5,1)="", AND(AND(MID(metadata!C219,5,1)="-",IFERROR(INT(MID(metadata!C219,6,1))&gt;=0,FALSE),IFERROR(INT(MID(metadata!C219,6,1))&lt;=1,FALSE),NOT(MID(metadata!C219,7,1)=""),IFERROR(INT(MID(metadata!C219,6,2))&gt;=1,FALSE),IFERROR(INT(MID(metadata!C219,6,2))&lt;=12,FALSE)), OR(MID(metadata!C219,8,1)="", AND(AND(MID(metadata!C219,8,1)="-",IFERROR(INT(MID(metadata!C219,9,1))&gt;=0,FALSE),IFERROR(INT(MID(metadata!C219,9,1))&lt;=3,FALSE),NOT(MID(metadata!C219,10,1)=""),IFERROR(INT(MID(metadata!C219,9,2))&gt;=1,FALSE),IFERROR(INT(MID(metadata!C219,9,2))&lt;=31,FALSE)), OR(MID(metadata!C219,11,1)="", AND(AND(MID(metadata!C219,11,1)=" ",IFERROR(INT(MID(metadata!C219,12,1))&gt;=0,FALSE),IFERROR(INT(MID(metadata!C219,12,1))&lt;=2,FALSE),NOT(MID(metadata!C219,13,1)=""),IFERROR(INT(MID(metadata!C219,12,2))&gt;=0,FALSE),IFERROR(INT(MID(metadata!C219,12,2))&lt;=23,FALSE)), OR(MID(metadata!C219,14,1)="", AND(AND(MID(metadata!C219,14,1)=":",IFERROR(INT(MID(metadata!C219,15,1))&gt;=0,FALSE),IFERROR(INT(MID(metadata!C219,15,1))&lt;=5,FALSE),NOT(MID(metadata!C219,16,1)=""),IFERROR(INT(MID(metadata!C219,15,2))&gt;=0,FALSE),IFERROR(INT(MID(metadata!C219,15,2))&lt;=59,FALSE)), OR(MID(metadata!C219,17,1)="", AND(AND(MID(metadata!C219,17,1)=":",IFERROR(INT(MID(metadata!C219,18,1))&gt;=0,FALSE),IFERROR(INT(MID(metadata!C219,18,1))&lt;=5,FALSE),NOT(MID(metadata!C219,19,1)=""),IFERROR(INT(MID(metadata!C219,18,2))&gt;=0,FALSE),IFERROR(INT(MID(metadata!C219,18,2))&lt;=59,FALSE)), LEN(metadata!C219)&lt;=19)))))))))))))</f>
        <v>0</v>
      </c>
      <c r="AD219">
        <f>IF(metadata!D219="",FALSE,TRUE)</f>
        <v>0</v>
      </c>
      <c r="AE219">
        <f>OR(AND(IF(metadata!E219="",FALSE,TRUE),OR(exact(metadata!E219,"missing: not collected"),exact(metadata!E219,"missing: not provided"))),AND(IF(metadata!E219="",FALSE,TRUE),OR(exact(metadata!E219,"TRUE"),exact(metadata!E219,"FALSE"))))</f>
        <v>0</v>
      </c>
      <c r="AF219">
        <f>IF(metadata!F219="",FALSE,TRUE)</f>
        <v>0</v>
      </c>
      <c r="AG219">
        <f>IF(metadata!G219="",FALSE,TRUE)</f>
        <v>0</v>
      </c>
      <c r="AH219">
        <f>IF(metadata!H219="",FALSE,TRUE)</f>
        <v>0</v>
      </c>
      <c r="AI219">
        <f>OR(AND(IF(metadata!I219="",FALSE,TRUE),OR(exact(metadata!I219,"missing: not collected"),exact(metadata!I219,"missing: not provided"),exact(metadata!I219,"missing: restricted access"))),AND(IF(metadata!I219="",FALSE,TRUE),OR(exact(metadata!I219,"air"),exact(metadata!I219,"built environment"),exact(metadata!I219,"host-associated"),exact(metadata!I219,"human-associated"),exact(metadata!I219,"human-skin"),exact(metadata!I219,"human-oral"),exact(metadata!I219,"human-gut"),exact(metadata!I219,"human-vaginal"),exact(metadata!I219,"microbial mat/biofilm"),exact(metadata!I219,"misc environment"),exact(metadata!I219,"plant-associated"),exact(metadata!I219,"sediment"),exact(metadata!I219,"soil"),exact(metadata!I219,"wastewater/sludge"),exact(metadata!I219,"water"))))</f>
        <v>0</v>
      </c>
      <c r="AJ219">
        <f>IF(metadata!J219="",FALSE,TRUE)</f>
        <v>0</v>
      </c>
      <c r="AK219">
        <f>OR(AND(IF(metadata!K219="",FALSE,TRUE),OR(exact(metadata!K219,"missing: not collected"),exact(metadata!K219,"missing: not provided"),exact(metadata!K219,"missing: restricted access"))),AND(IF(metadata!K219="",FALSE,ISNUMBER(VALUE(metadata!K219))),metadata!K219&gt;=-90.00,metadata!K219&lt;=90.00))</f>
        <v>0</v>
      </c>
      <c r="AL219">
        <f>OR(AND(IF(metadata!L219="",FALSE,TRUE),OR(exact(metadata!L219,"missing: not collected"),exact(metadata!L219,"missing: not provided"),exact(metadata!L219,"missing: restricted access"))),AND(IF(metadata!L219="",FALSE,ISNUMBER(VALUE(metadata!L219))),metadata!L219&gt;=-180.00,metadata!L219&lt;=180.00))</f>
        <v>0</v>
      </c>
      <c r="AM219">
        <f>IF(metadata!M219="",FALSE,TRUE)</f>
        <v>0</v>
      </c>
      <c r="AN219">
        <f>OR(AND(IF(metadata!N219="",FALSE,TRUE),OR(exact(metadata!N219,"missing: not collected"),exact(metadata!N219,"missing: not provided"),exact(metadata!N219,"missing: restricted access"))),AND(IF(metadata!N219="",FALSE,TRUE),OR(exact(metadata!N219,"TRUE"),exact(metadata!N219,"FALSE"))))</f>
        <v>0</v>
      </c>
      <c r="AO219">
        <f>IF(metadata!O219="",FALSE,TRUE)</f>
        <v>0</v>
      </c>
      <c r="AP219">
        <f>OR(AND(IF(metadata!P219="",FALSE,TRUE),OR(exact(metadata!P219,"missing: not collected"),exact(metadata!P219,"missing: not provided"))),AND(IF(metadata!P219="",FALSE,IF(ISERROR(INT(metadata!P219)),FALSE,INT(metadata!P219)=metadata!P219)),metadata!P219&gt;0))</f>
        <v>0</v>
      </c>
      <c r="AQ219">
        <f>IF(metadata!Q219="",FALSE,TRUE)</f>
        <v>0</v>
      </c>
    </row>
    <row r="220" spans="1:43">
      <c r="A220" s="5">
        <f>IF(B220=" "," ",HYPERLINK(CONCATENATE("#metadata!",ADDRESS(INDEX($W$2:$W$1001,MATCH(ROWS($U$2:U220),$U$2:$U$1001,0),0),1)),INDEX($Z$2:$Z$1001,MATCH(ROWS($U$2:U220),$U$2:$U$1001,0),0)))</f>
        <v>0</v>
      </c>
      <c r="B220" s="4">
        <f>IF(OR(INDEX($V$2:$V$1001,MATCH(ROWS($U$2:U220),$U$2:$U$1001,0),1)&gt;=100000,INDEX($AB$1005:$AQ$1005,1,MATCH(COLUMNS($AB$1006:AB1006),$AB$1006:$AQ$1006,0))&gt;=100000), " ",IF(INDEX($AB$2:$AQ$1001,MATCH(ROWS($U$2:U220),$U$2:$U$1001,0),MATCH(COLUMNS($AB$1006:AB1006),$AB$1006:$AQ$1006,0)), HYPERLINK("#",""), HYPERLINK(CONCATENATE("#metadata!", ADDRESS(INDEX($W$2:$W$1001,MATCH(ROWS($U$2:U220),$U$2:$U$1001,0),0), INDEX($AB$1004:$AQ$1004,1,MATCH(COLUMNS($AB$1006:AB1006),$AB$1006:$AQ$1006,0)))),"Fix")))</f>
        <v>0</v>
      </c>
      <c r="C220" s="4">
        <f>IF(OR(INDEX($V$2:$V$1001,MATCH(ROWS($U$2:U220),$U$2:$U$1001,0),1)&gt;=100000,INDEX($AB$1005:$AQ$1005,1,MATCH(COLUMNS($AB$1006:AC1006),$AB$1006:$AQ$1006,0))&gt;=100000), " ",IF(INDEX($AB$2:$AQ$1001,MATCH(ROWS($U$2:U220),$U$2:$U$1001,0),MATCH(COLUMNS($AB$1006:AC1006),$AB$1006:$AQ$1006,0)), HYPERLINK("#",""), HYPERLINK(CONCATENATE("#metadata!", ADDRESS(INDEX($W$2:$W$1001,MATCH(ROWS($U$2:U220),$U$2:$U$1001,0),0), INDEX($AB$1004:$AQ$1004,1,MATCH(COLUMNS($AB$1006:AC1006),$AB$1006:$AQ$1006,0)))),"Fix")))</f>
        <v>0</v>
      </c>
      <c r="D220" s="4">
        <f>IF(OR(INDEX($V$2:$V$1001,MATCH(ROWS($U$2:U220),$U$2:$U$1001,0),1)&gt;=100000,INDEX($AB$1005:$AQ$1005,1,MATCH(COLUMNS($AB$1006:AD1006),$AB$1006:$AQ$1006,0))&gt;=100000), " ",IF(INDEX($AB$2:$AQ$1001,MATCH(ROWS($U$2:U220),$U$2:$U$1001,0),MATCH(COLUMNS($AB$1006:AD1006),$AB$1006:$AQ$1006,0)), HYPERLINK("#",""), HYPERLINK(CONCATENATE("#metadata!", ADDRESS(INDEX($W$2:$W$1001,MATCH(ROWS($U$2:U220),$U$2:$U$1001,0),0), INDEX($AB$1004:$AQ$1004,1,MATCH(COLUMNS($AB$1006:AD1006),$AB$1006:$AQ$1006,0)))),"Fix")))</f>
        <v>0</v>
      </c>
      <c r="E220" s="4">
        <f>IF(OR(INDEX($V$2:$V$1001,MATCH(ROWS($U$2:U220),$U$2:$U$1001,0),1)&gt;=100000,INDEX($AB$1005:$AQ$1005,1,MATCH(COLUMNS($AB$1006:AE1006),$AB$1006:$AQ$1006,0))&gt;=100000), " ",IF(INDEX($AB$2:$AQ$1001,MATCH(ROWS($U$2:U220),$U$2:$U$1001,0),MATCH(COLUMNS($AB$1006:AE1006),$AB$1006:$AQ$1006,0)), HYPERLINK("#",""), HYPERLINK(CONCATENATE("#metadata!", ADDRESS(INDEX($W$2:$W$1001,MATCH(ROWS($U$2:U220),$U$2:$U$1001,0),0), INDEX($AB$1004:$AQ$1004,1,MATCH(COLUMNS($AB$1006:AE1006),$AB$1006:$AQ$1006,0)))),"Fix")))</f>
        <v>0</v>
      </c>
      <c r="F220" s="4">
        <f>IF(OR(INDEX($V$2:$V$1001,MATCH(ROWS($U$2:U220),$U$2:$U$1001,0),1)&gt;=100000,INDEX($AB$1005:$AQ$1005,1,MATCH(COLUMNS($AB$1006:AF1006),$AB$1006:$AQ$1006,0))&gt;=100000), " ",IF(INDEX($AB$2:$AQ$1001,MATCH(ROWS($U$2:U220),$U$2:$U$1001,0),MATCH(COLUMNS($AB$1006:AF1006),$AB$1006:$AQ$1006,0)), HYPERLINK("#",""), HYPERLINK(CONCATENATE("#metadata!", ADDRESS(INDEX($W$2:$W$1001,MATCH(ROWS($U$2:U220),$U$2:$U$1001,0),0), INDEX($AB$1004:$AQ$1004,1,MATCH(COLUMNS($AB$1006:AF1006),$AB$1006:$AQ$1006,0)))),"Fix")))</f>
        <v>0</v>
      </c>
      <c r="G220" s="4">
        <f>IF(OR(INDEX($V$2:$V$1001,MATCH(ROWS($U$2:U220),$U$2:$U$1001,0),1)&gt;=100000,INDEX($AB$1005:$AQ$1005,1,MATCH(COLUMNS($AB$1006:AG1006),$AB$1006:$AQ$1006,0))&gt;=100000), " ",IF(INDEX($AB$2:$AQ$1001,MATCH(ROWS($U$2:U220),$U$2:$U$1001,0),MATCH(COLUMNS($AB$1006:AG1006),$AB$1006:$AQ$1006,0)), HYPERLINK("#",""), HYPERLINK(CONCATENATE("#metadata!", ADDRESS(INDEX($W$2:$W$1001,MATCH(ROWS($U$2:U220),$U$2:$U$1001,0),0), INDEX($AB$1004:$AQ$1004,1,MATCH(COLUMNS($AB$1006:AG1006),$AB$1006:$AQ$1006,0)))),"Fix")))</f>
        <v>0</v>
      </c>
      <c r="H220" s="4">
        <f>IF(OR(INDEX($V$2:$V$1001,MATCH(ROWS($U$2:U220),$U$2:$U$1001,0),1)&gt;=100000,INDEX($AB$1005:$AQ$1005,1,MATCH(COLUMNS($AB$1006:AH1006),$AB$1006:$AQ$1006,0))&gt;=100000), " ",IF(INDEX($AB$2:$AQ$1001,MATCH(ROWS($U$2:U220),$U$2:$U$1001,0),MATCH(COLUMNS($AB$1006:AH1006),$AB$1006:$AQ$1006,0)), HYPERLINK("#",""), HYPERLINK(CONCATENATE("#metadata!", ADDRESS(INDEX($W$2:$W$1001,MATCH(ROWS($U$2:U220),$U$2:$U$1001,0),0), INDEX($AB$1004:$AQ$1004,1,MATCH(COLUMNS($AB$1006:AH1006),$AB$1006:$AQ$1006,0)))),"Fix")))</f>
        <v>0</v>
      </c>
      <c r="I220" s="4">
        <f>IF(OR(INDEX($V$2:$V$1001,MATCH(ROWS($U$2:U220),$U$2:$U$1001,0),1)&gt;=100000,INDEX($AB$1005:$AQ$1005,1,MATCH(COLUMNS($AB$1006:AI1006),$AB$1006:$AQ$1006,0))&gt;=100000), " ",IF(INDEX($AB$2:$AQ$1001,MATCH(ROWS($U$2:U220),$U$2:$U$1001,0),MATCH(COLUMNS($AB$1006:AI1006),$AB$1006:$AQ$1006,0)), HYPERLINK("#",""), HYPERLINK(CONCATENATE("#metadata!", ADDRESS(INDEX($W$2:$W$1001,MATCH(ROWS($U$2:U220),$U$2:$U$1001,0),0), INDEX($AB$1004:$AQ$1004,1,MATCH(COLUMNS($AB$1006:AI1006),$AB$1006:$AQ$1006,0)))),"Fix")))</f>
        <v>0</v>
      </c>
      <c r="J220" s="4">
        <f>IF(OR(INDEX($V$2:$V$1001,MATCH(ROWS($U$2:U220),$U$2:$U$1001,0),1)&gt;=100000,INDEX($AB$1005:$AQ$1005,1,MATCH(COLUMNS($AB$1006:AJ1006),$AB$1006:$AQ$1006,0))&gt;=100000), " ",IF(INDEX($AB$2:$AQ$1001,MATCH(ROWS($U$2:U220),$U$2:$U$1001,0),MATCH(COLUMNS($AB$1006:AJ1006),$AB$1006:$AQ$1006,0)), HYPERLINK("#",""), HYPERLINK(CONCATENATE("#metadata!", ADDRESS(INDEX($W$2:$W$1001,MATCH(ROWS($U$2:U220),$U$2:$U$1001,0),0), INDEX($AB$1004:$AQ$1004,1,MATCH(COLUMNS($AB$1006:AJ1006),$AB$1006:$AQ$1006,0)))),"Fix")))</f>
        <v>0</v>
      </c>
      <c r="K220" s="4">
        <f>IF(OR(INDEX($V$2:$V$1001,MATCH(ROWS($U$2:U220),$U$2:$U$1001,0),1)&gt;=100000,INDEX($AB$1005:$AQ$1005,1,MATCH(COLUMNS($AB$1006:AK1006),$AB$1006:$AQ$1006,0))&gt;=100000), " ",IF(INDEX($AB$2:$AQ$1001,MATCH(ROWS($U$2:U220),$U$2:$U$1001,0),MATCH(COLUMNS($AB$1006:AK1006),$AB$1006:$AQ$1006,0)), HYPERLINK("#",""), HYPERLINK(CONCATENATE("#metadata!", ADDRESS(INDEX($W$2:$W$1001,MATCH(ROWS($U$2:U220),$U$2:$U$1001,0),0), INDEX($AB$1004:$AQ$1004,1,MATCH(COLUMNS($AB$1006:AK1006),$AB$1006:$AQ$1006,0)))),"Fix")))</f>
        <v>0</v>
      </c>
      <c r="L220" s="4">
        <f>IF(OR(INDEX($V$2:$V$1001,MATCH(ROWS($U$2:U220),$U$2:$U$1001,0),1)&gt;=100000,INDEX($AB$1005:$AQ$1005,1,MATCH(COLUMNS($AB$1006:AL1006),$AB$1006:$AQ$1006,0))&gt;=100000), " ",IF(INDEX($AB$2:$AQ$1001,MATCH(ROWS($U$2:U220),$U$2:$U$1001,0),MATCH(COLUMNS($AB$1006:AL1006),$AB$1006:$AQ$1006,0)), HYPERLINK("#",""), HYPERLINK(CONCATENATE("#metadata!", ADDRESS(INDEX($W$2:$W$1001,MATCH(ROWS($U$2:U220),$U$2:$U$1001,0),0), INDEX($AB$1004:$AQ$1004,1,MATCH(COLUMNS($AB$1006:AL1006),$AB$1006:$AQ$1006,0)))),"Fix")))</f>
        <v>0</v>
      </c>
      <c r="M220" s="4">
        <f>IF(OR(INDEX($V$2:$V$1001,MATCH(ROWS($U$2:U220),$U$2:$U$1001,0),1)&gt;=100000,INDEX($AB$1005:$AQ$1005,1,MATCH(COLUMNS($AB$1006:AM1006),$AB$1006:$AQ$1006,0))&gt;=100000), " ",IF(INDEX($AB$2:$AQ$1001,MATCH(ROWS($U$2:U220),$U$2:$U$1001,0),MATCH(COLUMNS($AB$1006:AM1006),$AB$1006:$AQ$1006,0)), HYPERLINK("#",""), HYPERLINK(CONCATENATE("#metadata!", ADDRESS(INDEX($W$2:$W$1001,MATCH(ROWS($U$2:U220),$U$2:$U$1001,0),0), INDEX($AB$1004:$AQ$1004,1,MATCH(COLUMNS($AB$1006:AM1006),$AB$1006:$AQ$1006,0)))),"Fix")))</f>
        <v>0</v>
      </c>
      <c r="N220" s="4">
        <f>IF(OR(INDEX($V$2:$V$1001,MATCH(ROWS($U$2:U220),$U$2:$U$1001,0),1)&gt;=100000,INDEX($AB$1005:$AQ$1005,1,MATCH(COLUMNS($AB$1006:AN1006),$AB$1006:$AQ$1006,0))&gt;=100000), " ",IF(INDEX($AB$2:$AQ$1001,MATCH(ROWS($U$2:U220),$U$2:$U$1001,0),MATCH(COLUMNS($AB$1006:AN1006),$AB$1006:$AQ$1006,0)), HYPERLINK("#",""), HYPERLINK(CONCATENATE("#metadata!", ADDRESS(INDEX($W$2:$W$1001,MATCH(ROWS($U$2:U220),$U$2:$U$1001,0),0), INDEX($AB$1004:$AQ$1004,1,MATCH(COLUMNS($AB$1006:AN1006),$AB$1006:$AQ$1006,0)))),"Fix")))</f>
        <v>0</v>
      </c>
      <c r="O220" s="4">
        <f>IF(OR(INDEX($V$2:$V$1001,MATCH(ROWS($U$2:U220),$U$2:$U$1001,0),1)&gt;=100000,INDEX($AB$1005:$AQ$1005,1,MATCH(COLUMNS($AB$1006:AO1006),$AB$1006:$AQ$1006,0))&gt;=100000), " ",IF(INDEX($AB$2:$AQ$1001,MATCH(ROWS($U$2:U220),$U$2:$U$1001,0),MATCH(COLUMNS($AB$1006:AO1006),$AB$1006:$AQ$1006,0)), HYPERLINK("#",""), HYPERLINK(CONCATENATE("#metadata!", ADDRESS(INDEX($W$2:$W$1001,MATCH(ROWS($U$2:U220),$U$2:$U$1001,0),0), INDEX($AB$1004:$AQ$1004,1,MATCH(COLUMNS($AB$1006:AO1006),$AB$1006:$AQ$1006,0)))),"Fix")))</f>
        <v>0</v>
      </c>
      <c r="P220" s="4">
        <f>IF(OR(INDEX($V$2:$V$1001,MATCH(ROWS($U$2:U220),$U$2:$U$1001,0),1)&gt;=100000,INDEX($AB$1005:$AQ$1005,1,MATCH(COLUMNS($AB$1006:AP1006),$AB$1006:$AQ$1006,0))&gt;=100000), " ",IF(INDEX($AB$2:$AQ$1001,MATCH(ROWS($U$2:U220),$U$2:$U$1001,0),MATCH(COLUMNS($AB$1006:AP1006),$AB$1006:$AQ$1006,0)), HYPERLINK("#",""), HYPERLINK(CONCATENATE("#metadata!", ADDRESS(INDEX($W$2:$W$1001,MATCH(ROWS($U$2:U220),$U$2:$U$1001,0),0), INDEX($AB$1004:$AQ$1004,1,MATCH(COLUMNS($AB$1006:AP1006),$AB$1006:$AQ$1006,0)))),"Fix")))</f>
        <v>0</v>
      </c>
      <c r="Q220" s="4">
        <f>IF(OR(INDEX($V$2:$V$1001,MATCH(ROWS($U$2:U220),$U$2:$U$1001,0),1)&gt;=100000,INDEX($AB$1005:$AQ$1005,1,MATCH(COLUMNS($AB$1006:AQ1006),$AB$1006:$AQ$1006,0))&gt;=100000), " ",IF(INDEX($AB$2:$AQ$1001,MATCH(ROWS($U$2:U220),$U$2:$U$1001,0),MATCH(COLUMNS($AB$1006:AQ1006),$AB$1006:$AQ$1006,0)), HYPERLINK("#",""), HYPERLINK(CONCATENATE("#metadata!", ADDRESS(INDEX($W$2:$W$1001,MATCH(ROWS($U$2:U220),$U$2:$U$1001,0),0), INDEX($AB$1004:$AQ$1004,1,MATCH(COLUMNS($AB$1006:AQ1006),$AB$1006:$AQ$1006,0)))),"Fix")))</f>
        <v>0</v>
      </c>
      <c r="U220">
        <v>0</v>
      </c>
      <c r="V220">
        <v>0</v>
      </c>
      <c r="W220">
        <v>0</v>
      </c>
      <c r="X220">
        <f>IF(Y220,TRUE,AND(AB220:AQ220))</f>
        <v>0</v>
      </c>
      <c r="Y220">
        <f>COUNTBLANK(metadata!B220:Q220)=COLUMNS(metadata!B220:Q220)</f>
        <v>0</v>
      </c>
      <c r="Z220">
        <v>0</v>
      </c>
      <c r="AB220">
        <f>AND(IF(metadata!B220="",FALSE,TRUE),COUNTIF(metadata!B:B, metadata!B220) = 1,NOT(ISERROR(SUMPRODUCT(SEARCH(MID(metadata!B220,ROW(INDIRECT("1:"&amp;LEN(metadata!B220))), 1),"0123456789abcdefghijklmnopqrstuvwxyzABCDEFGHIJKLMNOPQRSTUVWXYZ.")))))</f>
        <v>0</v>
      </c>
      <c r="AC220">
        <f>OR(AND(IF(metadata!C220="",FALSE,TRUE),OR(exact(metadata!C220,"missing: not collected"),exact(metadata!C220,"missing: not provided"),exact(metadata!C220,"missing: restricted access"))),AND(IF(metadata!C220="",FALSE,TRUE),AND(AND(IFERROR(INT(LEFT(metadata!C220,4))&gt;1900,FALSE),IFERROR(INT(LEFT(metadata!C220,4))&lt;=YEAR(NOW()),FALSE)), OR(MID(metadata!C220,5,1)="", AND(AND(MID(metadata!C220,5,1)="-",IFERROR(INT(MID(metadata!C220,6,1))&gt;=0,FALSE),IFERROR(INT(MID(metadata!C220,6,1))&lt;=1,FALSE),NOT(MID(metadata!C220,7,1)=""),IFERROR(INT(MID(metadata!C220,6,2))&gt;=1,FALSE),IFERROR(INT(MID(metadata!C220,6,2))&lt;=12,FALSE)), OR(MID(metadata!C220,8,1)="", AND(AND(MID(metadata!C220,8,1)="-",IFERROR(INT(MID(metadata!C220,9,1))&gt;=0,FALSE),IFERROR(INT(MID(metadata!C220,9,1))&lt;=3,FALSE),NOT(MID(metadata!C220,10,1)=""),IFERROR(INT(MID(metadata!C220,9,2))&gt;=1,FALSE),IFERROR(INT(MID(metadata!C220,9,2))&lt;=31,FALSE)), OR(MID(metadata!C220,11,1)="", AND(AND(MID(metadata!C220,11,1)=" ",IFERROR(INT(MID(metadata!C220,12,1))&gt;=0,FALSE),IFERROR(INT(MID(metadata!C220,12,1))&lt;=2,FALSE),NOT(MID(metadata!C220,13,1)=""),IFERROR(INT(MID(metadata!C220,12,2))&gt;=0,FALSE),IFERROR(INT(MID(metadata!C220,12,2))&lt;=23,FALSE)), OR(MID(metadata!C220,14,1)="", AND(AND(MID(metadata!C220,14,1)=":",IFERROR(INT(MID(metadata!C220,15,1))&gt;=0,FALSE),IFERROR(INT(MID(metadata!C220,15,1))&lt;=5,FALSE),NOT(MID(metadata!C220,16,1)=""),IFERROR(INT(MID(metadata!C220,15,2))&gt;=0,FALSE),IFERROR(INT(MID(metadata!C220,15,2))&lt;=59,FALSE)), OR(MID(metadata!C220,17,1)="", AND(AND(MID(metadata!C220,17,1)=":",IFERROR(INT(MID(metadata!C220,18,1))&gt;=0,FALSE),IFERROR(INT(MID(metadata!C220,18,1))&lt;=5,FALSE),NOT(MID(metadata!C220,19,1)=""),IFERROR(INT(MID(metadata!C220,18,2))&gt;=0,FALSE),IFERROR(INT(MID(metadata!C220,18,2))&lt;=59,FALSE)), LEN(metadata!C220)&lt;=19)))))))))))))</f>
        <v>0</v>
      </c>
      <c r="AD220">
        <f>IF(metadata!D220="",FALSE,TRUE)</f>
        <v>0</v>
      </c>
      <c r="AE220">
        <f>OR(AND(IF(metadata!E220="",FALSE,TRUE),OR(exact(metadata!E220,"missing: not collected"),exact(metadata!E220,"missing: not provided"))),AND(IF(metadata!E220="",FALSE,TRUE),OR(exact(metadata!E220,"TRUE"),exact(metadata!E220,"FALSE"))))</f>
        <v>0</v>
      </c>
      <c r="AF220">
        <f>IF(metadata!F220="",FALSE,TRUE)</f>
        <v>0</v>
      </c>
      <c r="AG220">
        <f>IF(metadata!G220="",FALSE,TRUE)</f>
        <v>0</v>
      </c>
      <c r="AH220">
        <f>IF(metadata!H220="",FALSE,TRUE)</f>
        <v>0</v>
      </c>
      <c r="AI220">
        <f>OR(AND(IF(metadata!I220="",FALSE,TRUE),OR(exact(metadata!I220,"missing: not collected"),exact(metadata!I220,"missing: not provided"),exact(metadata!I220,"missing: restricted access"))),AND(IF(metadata!I220="",FALSE,TRUE),OR(exact(metadata!I220,"air"),exact(metadata!I220,"built environment"),exact(metadata!I220,"host-associated"),exact(metadata!I220,"human-associated"),exact(metadata!I220,"human-skin"),exact(metadata!I220,"human-oral"),exact(metadata!I220,"human-gut"),exact(metadata!I220,"human-vaginal"),exact(metadata!I220,"microbial mat/biofilm"),exact(metadata!I220,"misc environment"),exact(metadata!I220,"plant-associated"),exact(metadata!I220,"sediment"),exact(metadata!I220,"soil"),exact(metadata!I220,"wastewater/sludge"),exact(metadata!I220,"water"))))</f>
        <v>0</v>
      </c>
      <c r="AJ220">
        <f>IF(metadata!J220="",FALSE,TRUE)</f>
        <v>0</v>
      </c>
      <c r="AK220">
        <f>OR(AND(IF(metadata!K220="",FALSE,TRUE),OR(exact(metadata!K220,"missing: not collected"),exact(metadata!K220,"missing: not provided"),exact(metadata!K220,"missing: restricted access"))),AND(IF(metadata!K220="",FALSE,ISNUMBER(VALUE(metadata!K220))),metadata!K220&gt;=-90.00,metadata!K220&lt;=90.00))</f>
        <v>0</v>
      </c>
      <c r="AL220">
        <f>OR(AND(IF(metadata!L220="",FALSE,TRUE),OR(exact(metadata!L220,"missing: not collected"),exact(metadata!L220,"missing: not provided"),exact(metadata!L220,"missing: restricted access"))),AND(IF(metadata!L220="",FALSE,ISNUMBER(VALUE(metadata!L220))),metadata!L220&gt;=-180.00,metadata!L220&lt;=180.00))</f>
        <v>0</v>
      </c>
      <c r="AM220">
        <f>IF(metadata!M220="",FALSE,TRUE)</f>
        <v>0</v>
      </c>
      <c r="AN220">
        <f>OR(AND(IF(metadata!N220="",FALSE,TRUE),OR(exact(metadata!N220,"missing: not collected"),exact(metadata!N220,"missing: not provided"),exact(metadata!N220,"missing: restricted access"))),AND(IF(metadata!N220="",FALSE,TRUE),OR(exact(metadata!N220,"TRUE"),exact(metadata!N220,"FALSE"))))</f>
        <v>0</v>
      </c>
      <c r="AO220">
        <f>IF(metadata!O220="",FALSE,TRUE)</f>
        <v>0</v>
      </c>
      <c r="AP220">
        <f>OR(AND(IF(metadata!P220="",FALSE,TRUE),OR(exact(metadata!P220,"missing: not collected"),exact(metadata!P220,"missing: not provided"))),AND(IF(metadata!P220="",FALSE,IF(ISERROR(INT(metadata!P220)),FALSE,INT(metadata!P220)=metadata!P220)),metadata!P220&gt;0))</f>
        <v>0</v>
      </c>
      <c r="AQ220">
        <f>IF(metadata!Q220="",FALSE,TRUE)</f>
        <v>0</v>
      </c>
    </row>
    <row r="221" spans="1:43">
      <c r="A221" s="5">
        <f>IF(B221=" "," ",HYPERLINK(CONCATENATE("#metadata!",ADDRESS(INDEX($W$2:$W$1001,MATCH(ROWS($U$2:U221),$U$2:$U$1001,0),0),1)),INDEX($Z$2:$Z$1001,MATCH(ROWS($U$2:U221),$U$2:$U$1001,0),0)))</f>
        <v>0</v>
      </c>
      <c r="B221" s="4">
        <f>IF(OR(INDEX($V$2:$V$1001,MATCH(ROWS($U$2:U221),$U$2:$U$1001,0),1)&gt;=100000,INDEX($AB$1005:$AQ$1005,1,MATCH(COLUMNS($AB$1006:AB1006),$AB$1006:$AQ$1006,0))&gt;=100000), " ",IF(INDEX($AB$2:$AQ$1001,MATCH(ROWS($U$2:U221),$U$2:$U$1001,0),MATCH(COLUMNS($AB$1006:AB1006),$AB$1006:$AQ$1006,0)), HYPERLINK("#",""), HYPERLINK(CONCATENATE("#metadata!", ADDRESS(INDEX($W$2:$W$1001,MATCH(ROWS($U$2:U221),$U$2:$U$1001,0),0), INDEX($AB$1004:$AQ$1004,1,MATCH(COLUMNS($AB$1006:AB1006),$AB$1006:$AQ$1006,0)))),"Fix")))</f>
        <v>0</v>
      </c>
      <c r="C221" s="4">
        <f>IF(OR(INDEX($V$2:$V$1001,MATCH(ROWS($U$2:U221),$U$2:$U$1001,0),1)&gt;=100000,INDEX($AB$1005:$AQ$1005,1,MATCH(COLUMNS($AB$1006:AC1006),$AB$1006:$AQ$1006,0))&gt;=100000), " ",IF(INDEX($AB$2:$AQ$1001,MATCH(ROWS($U$2:U221),$U$2:$U$1001,0),MATCH(COLUMNS($AB$1006:AC1006),$AB$1006:$AQ$1006,0)), HYPERLINK("#",""), HYPERLINK(CONCATENATE("#metadata!", ADDRESS(INDEX($W$2:$W$1001,MATCH(ROWS($U$2:U221),$U$2:$U$1001,0),0), INDEX($AB$1004:$AQ$1004,1,MATCH(COLUMNS($AB$1006:AC1006),$AB$1006:$AQ$1006,0)))),"Fix")))</f>
        <v>0</v>
      </c>
      <c r="D221" s="4">
        <f>IF(OR(INDEX($V$2:$V$1001,MATCH(ROWS($U$2:U221),$U$2:$U$1001,0),1)&gt;=100000,INDEX($AB$1005:$AQ$1005,1,MATCH(COLUMNS($AB$1006:AD1006),$AB$1006:$AQ$1006,0))&gt;=100000), " ",IF(INDEX($AB$2:$AQ$1001,MATCH(ROWS($U$2:U221),$U$2:$U$1001,0),MATCH(COLUMNS($AB$1006:AD1006),$AB$1006:$AQ$1006,0)), HYPERLINK("#",""), HYPERLINK(CONCATENATE("#metadata!", ADDRESS(INDEX($W$2:$W$1001,MATCH(ROWS($U$2:U221),$U$2:$U$1001,0),0), INDEX($AB$1004:$AQ$1004,1,MATCH(COLUMNS($AB$1006:AD1006),$AB$1006:$AQ$1006,0)))),"Fix")))</f>
        <v>0</v>
      </c>
      <c r="E221" s="4">
        <f>IF(OR(INDEX($V$2:$V$1001,MATCH(ROWS($U$2:U221),$U$2:$U$1001,0),1)&gt;=100000,INDEX($AB$1005:$AQ$1005,1,MATCH(COLUMNS($AB$1006:AE1006),$AB$1006:$AQ$1006,0))&gt;=100000), " ",IF(INDEX($AB$2:$AQ$1001,MATCH(ROWS($U$2:U221),$U$2:$U$1001,0),MATCH(COLUMNS($AB$1006:AE1006),$AB$1006:$AQ$1006,0)), HYPERLINK("#",""), HYPERLINK(CONCATENATE("#metadata!", ADDRESS(INDEX($W$2:$W$1001,MATCH(ROWS($U$2:U221),$U$2:$U$1001,0),0), INDEX($AB$1004:$AQ$1004,1,MATCH(COLUMNS($AB$1006:AE1006),$AB$1006:$AQ$1006,0)))),"Fix")))</f>
        <v>0</v>
      </c>
      <c r="F221" s="4">
        <f>IF(OR(INDEX($V$2:$V$1001,MATCH(ROWS($U$2:U221),$U$2:$U$1001,0),1)&gt;=100000,INDEX($AB$1005:$AQ$1005,1,MATCH(COLUMNS($AB$1006:AF1006),$AB$1006:$AQ$1006,0))&gt;=100000), " ",IF(INDEX($AB$2:$AQ$1001,MATCH(ROWS($U$2:U221),$U$2:$U$1001,0),MATCH(COLUMNS($AB$1006:AF1006),$AB$1006:$AQ$1006,0)), HYPERLINK("#",""), HYPERLINK(CONCATENATE("#metadata!", ADDRESS(INDEX($W$2:$W$1001,MATCH(ROWS($U$2:U221),$U$2:$U$1001,0),0), INDEX($AB$1004:$AQ$1004,1,MATCH(COLUMNS($AB$1006:AF1006),$AB$1006:$AQ$1006,0)))),"Fix")))</f>
        <v>0</v>
      </c>
      <c r="G221" s="4">
        <f>IF(OR(INDEX($V$2:$V$1001,MATCH(ROWS($U$2:U221),$U$2:$U$1001,0),1)&gt;=100000,INDEX($AB$1005:$AQ$1005,1,MATCH(COLUMNS($AB$1006:AG1006),$AB$1006:$AQ$1006,0))&gt;=100000), " ",IF(INDEX($AB$2:$AQ$1001,MATCH(ROWS($U$2:U221),$U$2:$U$1001,0),MATCH(COLUMNS($AB$1006:AG1006),$AB$1006:$AQ$1006,0)), HYPERLINK("#",""), HYPERLINK(CONCATENATE("#metadata!", ADDRESS(INDEX($W$2:$W$1001,MATCH(ROWS($U$2:U221),$U$2:$U$1001,0),0), INDEX($AB$1004:$AQ$1004,1,MATCH(COLUMNS($AB$1006:AG1006),$AB$1006:$AQ$1006,0)))),"Fix")))</f>
        <v>0</v>
      </c>
      <c r="H221" s="4">
        <f>IF(OR(INDEX($V$2:$V$1001,MATCH(ROWS($U$2:U221),$U$2:$U$1001,0),1)&gt;=100000,INDEX($AB$1005:$AQ$1005,1,MATCH(COLUMNS($AB$1006:AH1006),$AB$1006:$AQ$1006,0))&gt;=100000), " ",IF(INDEX($AB$2:$AQ$1001,MATCH(ROWS($U$2:U221),$U$2:$U$1001,0),MATCH(COLUMNS($AB$1006:AH1006),$AB$1006:$AQ$1006,0)), HYPERLINK("#",""), HYPERLINK(CONCATENATE("#metadata!", ADDRESS(INDEX($W$2:$W$1001,MATCH(ROWS($U$2:U221),$U$2:$U$1001,0),0), INDEX($AB$1004:$AQ$1004,1,MATCH(COLUMNS($AB$1006:AH1006),$AB$1006:$AQ$1006,0)))),"Fix")))</f>
        <v>0</v>
      </c>
      <c r="I221" s="4">
        <f>IF(OR(INDEX($V$2:$V$1001,MATCH(ROWS($U$2:U221),$U$2:$U$1001,0),1)&gt;=100000,INDEX($AB$1005:$AQ$1005,1,MATCH(COLUMNS($AB$1006:AI1006),$AB$1006:$AQ$1006,0))&gt;=100000), " ",IF(INDEX($AB$2:$AQ$1001,MATCH(ROWS($U$2:U221),$U$2:$U$1001,0),MATCH(COLUMNS($AB$1006:AI1006),$AB$1006:$AQ$1006,0)), HYPERLINK("#",""), HYPERLINK(CONCATENATE("#metadata!", ADDRESS(INDEX($W$2:$W$1001,MATCH(ROWS($U$2:U221),$U$2:$U$1001,0),0), INDEX($AB$1004:$AQ$1004,1,MATCH(COLUMNS($AB$1006:AI1006),$AB$1006:$AQ$1006,0)))),"Fix")))</f>
        <v>0</v>
      </c>
      <c r="J221" s="4">
        <f>IF(OR(INDEX($V$2:$V$1001,MATCH(ROWS($U$2:U221),$U$2:$U$1001,0),1)&gt;=100000,INDEX($AB$1005:$AQ$1005,1,MATCH(COLUMNS($AB$1006:AJ1006),$AB$1006:$AQ$1006,0))&gt;=100000), " ",IF(INDEX($AB$2:$AQ$1001,MATCH(ROWS($U$2:U221),$U$2:$U$1001,0),MATCH(COLUMNS($AB$1006:AJ1006),$AB$1006:$AQ$1006,0)), HYPERLINK("#",""), HYPERLINK(CONCATENATE("#metadata!", ADDRESS(INDEX($W$2:$W$1001,MATCH(ROWS($U$2:U221),$U$2:$U$1001,0),0), INDEX($AB$1004:$AQ$1004,1,MATCH(COLUMNS($AB$1006:AJ1006),$AB$1006:$AQ$1006,0)))),"Fix")))</f>
        <v>0</v>
      </c>
      <c r="K221" s="4">
        <f>IF(OR(INDEX($V$2:$V$1001,MATCH(ROWS($U$2:U221),$U$2:$U$1001,0),1)&gt;=100000,INDEX($AB$1005:$AQ$1005,1,MATCH(COLUMNS($AB$1006:AK1006),$AB$1006:$AQ$1006,0))&gt;=100000), " ",IF(INDEX($AB$2:$AQ$1001,MATCH(ROWS($U$2:U221),$U$2:$U$1001,0),MATCH(COLUMNS($AB$1006:AK1006),$AB$1006:$AQ$1006,0)), HYPERLINK("#",""), HYPERLINK(CONCATENATE("#metadata!", ADDRESS(INDEX($W$2:$W$1001,MATCH(ROWS($U$2:U221),$U$2:$U$1001,0),0), INDEX($AB$1004:$AQ$1004,1,MATCH(COLUMNS($AB$1006:AK1006),$AB$1006:$AQ$1006,0)))),"Fix")))</f>
        <v>0</v>
      </c>
      <c r="L221" s="4">
        <f>IF(OR(INDEX($V$2:$V$1001,MATCH(ROWS($U$2:U221),$U$2:$U$1001,0),1)&gt;=100000,INDEX($AB$1005:$AQ$1005,1,MATCH(COLUMNS($AB$1006:AL1006),$AB$1006:$AQ$1006,0))&gt;=100000), " ",IF(INDEX($AB$2:$AQ$1001,MATCH(ROWS($U$2:U221),$U$2:$U$1001,0),MATCH(COLUMNS($AB$1006:AL1006),$AB$1006:$AQ$1006,0)), HYPERLINK("#",""), HYPERLINK(CONCATENATE("#metadata!", ADDRESS(INDEX($W$2:$W$1001,MATCH(ROWS($U$2:U221),$U$2:$U$1001,0),0), INDEX($AB$1004:$AQ$1004,1,MATCH(COLUMNS($AB$1006:AL1006),$AB$1006:$AQ$1006,0)))),"Fix")))</f>
        <v>0</v>
      </c>
      <c r="M221" s="4">
        <f>IF(OR(INDEX($V$2:$V$1001,MATCH(ROWS($U$2:U221),$U$2:$U$1001,0),1)&gt;=100000,INDEX($AB$1005:$AQ$1005,1,MATCH(COLUMNS($AB$1006:AM1006),$AB$1006:$AQ$1006,0))&gt;=100000), " ",IF(INDEX($AB$2:$AQ$1001,MATCH(ROWS($U$2:U221),$U$2:$U$1001,0),MATCH(COLUMNS($AB$1006:AM1006),$AB$1006:$AQ$1006,0)), HYPERLINK("#",""), HYPERLINK(CONCATENATE("#metadata!", ADDRESS(INDEX($W$2:$W$1001,MATCH(ROWS($U$2:U221),$U$2:$U$1001,0),0), INDEX($AB$1004:$AQ$1004,1,MATCH(COLUMNS($AB$1006:AM1006),$AB$1006:$AQ$1006,0)))),"Fix")))</f>
        <v>0</v>
      </c>
      <c r="N221" s="4">
        <f>IF(OR(INDEX($V$2:$V$1001,MATCH(ROWS($U$2:U221),$U$2:$U$1001,0),1)&gt;=100000,INDEX($AB$1005:$AQ$1005,1,MATCH(COLUMNS($AB$1006:AN1006),$AB$1006:$AQ$1006,0))&gt;=100000), " ",IF(INDEX($AB$2:$AQ$1001,MATCH(ROWS($U$2:U221),$U$2:$U$1001,0),MATCH(COLUMNS($AB$1006:AN1006),$AB$1006:$AQ$1006,0)), HYPERLINK("#",""), HYPERLINK(CONCATENATE("#metadata!", ADDRESS(INDEX($W$2:$W$1001,MATCH(ROWS($U$2:U221),$U$2:$U$1001,0),0), INDEX($AB$1004:$AQ$1004,1,MATCH(COLUMNS($AB$1006:AN1006),$AB$1006:$AQ$1006,0)))),"Fix")))</f>
        <v>0</v>
      </c>
      <c r="O221" s="4">
        <f>IF(OR(INDEX($V$2:$V$1001,MATCH(ROWS($U$2:U221),$U$2:$U$1001,0),1)&gt;=100000,INDEX($AB$1005:$AQ$1005,1,MATCH(COLUMNS($AB$1006:AO1006),$AB$1006:$AQ$1006,0))&gt;=100000), " ",IF(INDEX($AB$2:$AQ$1001,MATCH(ROWS($U$2:U221),$U$2:$U$1001,0),MATCH(COLUMNS($AB$1006:AO1006),$AB$1006:$AQ$1006,0)), HYPERLINK("#",""), HYPERLINK(CONCATENATE("#metadata!", ADDRESS(INDEX($W$2:$W$1001,MATCH(ROWS($U$2:U221),$U$2:$U$1001,0),0), INDEX($AB$1004:$AQ$1004,1,MATCH(COLUMNS($AB$1006:AO1006),$AB$1006:$AQ$1006,0)))),"Fix")))</f>
        <v>0</v>
      </c>
      <c r="P221" s="4">
        <f>IF(OR(INDEX($V$2:$V$1001,MATCH(ROWS($U$2:U221),$U$2:$U$1001,0),1)&gt;=100000,INDEX($AB$1005:$AQ$1005,1,MATCH(COLUMNS($AB$1006:AP1006),$AB$1006:$AQ$1006,0))&gt;=100000), " ",IF(INDEX($AB$2:$AQ$1001,MATCH(ROWS($U$2:U221),$U$2:$U$1001,0),MATCH(COLUMNS($AB$1006:AP1006),$AB$1006:$AQ$1006,0)), HYPERLINK("#",""), HYPERLINK(CONCATENATE("#metadata!", ADDRESS(INDEX($W$2:$W$1001,MATCH(ROWS($U$2:U221),$U$2:$U$1001,0),0), INDEX($AB$1004:$AQ$1004,1,MATCH(COLUMNS($AB$1006:AP1006),$AB$1006:$AQ$1006,0)))),"Fix")))</f>
        <v>0</v>
      </c>
      <c r="Q221" s="4">
        <f>IF(OR(INDEX($V$2:$V$1001,MATCH(ROWS($U$2:U221),$U$2:$U$1001,0),1)&gt;=100000,INDEX($AB$1005:$AQ$1005,1,MATCH(COLUMNS($AB$1006:AQ1006),$AB$1006:$AQ$1006,0))&gt;=100000), " ",IF(INDEX($AB$2:$AQ$1001,MATCH(ROWS($U$2:U221),$U$2:$U$1001,0),MATCH(COLUMNS($AB$1006:AQ1006),$AB$1006:$AQ$1006,0)), HYPERLINK("#",""), HYPERLINK(CONCATENATE("#metadata!", ADDRESS(INDEX($W$2:$W$1001,MATCH(ROWS($U$2:U221),$U$2:$U$1001,0),0), INDEX($AB$1004:$AQ$1004,1,MATCH(COLUMNS($AB$1006:AQ1006),$AB$1006:$AQ$1006,0)))),"Fix")))</f>
        <v>0</v>
      </c>
      <c r="U221">
        <v>0</v>
      </c>
      <c r="V221">
        <v>0</v>
      </c>
      <c r="W221">
        <v>0</v>
      </c>
      <c r="X221">
        <f>IF(Y221,TRUE,AND(AB221:AQ221))</f>
        <v>0</v>
      </c>
      <c r="Y221">
        <f>COUNTBLANK(metadata!B221:Q221)=COLUMNS(metadata!B221:Q221)</f>
        <v>0</v>
      </c>
      <c r="Z221">
        <v>0</v>
      </c>
      <c r="AB221">
        <f>AND(IF(metadata!B221="",FALSE,TRUE),COUNTIF(metadata!B:B, metadata!B221) = 1,NOT(ISERROR(SUMPRODUCT(SEARCH(MID(metadata!B221,ROW(INDIRECT("1:"&amp;LEN(metadata!B221))), 1),"0123456789abcdefghijklmnopqrstuvwxyzABCDEFGHIJKLMNOPQRSTUVWXYZ.")))))</f>
        <v>0</v>
      </c>
      <c r="AC221">
        <f>OR(AND(IF(metadata!C221="",FALSE,TRUE),OR(exact(metadata!C221,"missing: not collected"),exact(metadata!C221,"missing: not provided"),exact(metadata!C221,"missing: restricted access"))),AND(IF(metadata!C221="",FALSE,TRUE),AND(AND(IFERROR(INT(LEFT(metadata!C221,4))&gt;1900,FALSE),IFERROR(INT(LEFT(metadata!C221,4))&lt;=YEAR(NOW()),FALSE)), OR(MID(metadata!C221,5,1)="", AND(AND(MID(metadata!C221,5,1)="-",IFERROR(INT(MID(metadata!C221,6,1))&gt;=0,FALSE),IFERROR(INT(MID(metadata!C221,6,1))&lt;=1,FALSE),NOT(MID(metadata!C221,7,1)=""),IFERROR(INT(MID(metadata!C221,6,2))&gt;=1,FALSE),IFERROR(INT(MID(metadata!C221,6,2))&lt;=12,FALSE)), OR(MID(metadata!C221,8,1)="", AND(AND(MID(metadata!C221,8,1)="-",IFERROR(INT(MID(metadata!C221,9,1))&gt;=0,FALSE),IFERROR(INT(MID(metadata!C221,9,1))&lt;=3,FALSE),NOT(MID(metadata!C221,10,1)=""),IFERROR(INT(MID(metadata!C221,9,2))&gt;=1,FALSE),IFERROR(INT(MID(metadata!C221,9,2))&lt;=31,FALSE)), OR(MID(metadata!C221,11,1)="", AND(AND(MID(metadata!C221,11,1)=" ",IFERROR(INT(MID(metadata!C221,12,1))&gt;=0,FALSE),IFERROR(INT(MID(metadata!C221,12,1))&lt;=2,FALSE),NOT(MID(metadata!C221,13,1)=""),IFERROR(INT(MID(metadata!C221,12,2))&gt;=0,FALSE),IFERROR(INT(MID(metadata!C221,12,2))&lt;=23,FALSE)), OR(MID(metadata!C221,14,1)="", AND(AND(MID(metadata!C221,14,1)=":",IFERROR(INT(MID(metadata!C221,15,1))&gt;=0,FALSE),IFERROR(INT(MID(metadata!C221,15,1))&lt;=5,FALSE),NOT(MID(metadata!C221,16,1)=""),IFERROR(INT(MID(metadata!C221,15,2))&gt;=0,FALSE),IFERROR(INT(MID(metadata!C221,15,2))&lt;=59,FALSE)), OR(MID(metadata!C221,17,1)="", AND(AND(MID(metadata!C221,17,1)=":",IFERROR(INT(MID(metadata!C221,18,1))&gt;=0,FALSE),IFERROR(INT(MID(metadata!C221,18,1))&lt;=5,FALSE),NOT(MID(metadata!C221,19,1)=""),IFERROR(INT(MID(metadata!C221,18,2))&gt;=0,FALSE),IFERROR(INT(MID(metadata!C221,18,2))&lt;=59,FALSE)), LEN(metadata!C221)&lt;=19)))))))))))))</f>
        <v>0</v>
      </c>
      <c r="AD221">
        <f>IF(metadata!D221="",FALSE,TRUE)</f>
        <v>0</v>
      </c>
      <c r="AE221">
        <f>OR(AND(IF(metadata!E221="",FALSE,TRUE),OR(exact(metadata!E221,"missing: not collected"),exact(metadata!E221,"missing: not provided"))),AND(IF(metadata!E221="",FALSE,TRUE),OR(exact(metadata!E221,"TRUE"),exact(metadata!E221,"FALSE"))))</f>
        <v>0</v>
      </c>
      <c r="AF221">
        <f>IF(metadata!F221="",FALSE,TRUE)</f>
        <v>0</v>
      </c>
      <c r="AG221">
        <f>IF(metadata!G221="",FALSE,TRUE)</f>
        <v>0</v>
      </c>
      <c r="AH221">
        <f>IF(metadata!H221="",FALSE,TRUE)</f>
        <v>0</v>
      </c>
      <c r="AI221">
        <f>OR(AND(IF(metadata!I221="",FALSE,TRUE),OR(exact(metadata!I221,"missing: not collected"),exact(metadata!I221,"missing: not provided"),exact(metadata!I221,"missing: restricted access"))),AND(IF(metadata!I221="",FALSE,TRUE),OR(exact(metadata!I221,"air"),exact(metadata!I221,"built environment"),exact(metadata!I221,"host-associated"),exact(metadata!I221,"human-associated"),exact(metadata!I221,"human-skin"),exact(metadata!I221,"human-oral"),exact(metadata!I221,"human-gut"),exact(metadata!I221,"human-vaginal"),exact(metadata!I221,"microbial mat/biofilm"),exact(metadata!I221,"misc environment"),exact(metadata!I221,"plant-associated"),exact(metadata!I221,"sediment"),exact(metadata!I221,"soil"),exact(metadata!I221,"wastewater/sludge"),exact(metadata!I221,"water"))))</f>
        <v>0</v>
      </c>
      <c r="AJ221">
        <f>IF(metadata!J221="",FALSE,TRUE)</f>
        <v>0</v>
      </c>
      <c r="AK221">
        <f>OR(AND(IF(metadata!K221="",FALSE,TRUE),OR(exact(metadata!K221,"missing: not collected"),exact(metadata!K221,"missing: not provided"),exact(metadata!K221,"missing: restricted access"))),AND(IF(metadata!K221="",FALSE,ISNUMBER(VALUE(metadata!K221))),metadata!K221&gt;=-90.00,metadata!K221&lt;=90.00))</f>
        <v>0</v>
      </c>
      <c r="AL221">
        <f>OR(AND(IF(metadata!L221="",FALSE,TRUE),OR(exact(metadata!L221,"missing: not collected"),exact(metadata!L221,"missing: not provided"),exact(metadata!L221,"missing: restricted access"))),AND(IF(metadata!L221="",FALSE,ISNUMBER(VALUE(metadata!L221))),metadata!L221&gt;=-180.00,metadata!L221&lt;=180.00))</f>
        <v>0</v>
      </c>
      <c r="AM221">
        <f>IF(metadata!M221="",FALSE,TRUE)</f>
        <v>0</v>
      </c>
      <c r="AN221">
        <f>OR(AND(IF(metadata!N221="",FALSE,TRUE),OR(exact(metadata!N221,"missing: not collected"),exact(metadata!N221,"missing: not provided"),exact(metadata!N221,"missing: restricted access"))),AND(IF(metadata!N221="",FALSE,TRUE),OR(exact(metadata!N221,"TRUE"),exact(metadata!N221,"FALSE"))))</f>
        <v>0</v>
      </c>
      <c r="AO221">
        <f>IF(metadata!O221="",FALSE,TRUE)</f>
        <v>0</v>
      </c>
      <c r="AP221">
        <f>OR(AND(IF(metadata!P221="",FALSE,TRUE),OR(exact(metadata!P221,"missing: not collected"),exact(metadata!P221,"missing: not provided"))),AND(IF(metadata!P221="",FALSE,IF(ISERROR(INT(metadata!P221)),FALSE,INT(metadata!P221)=metadata!P221)),metadata!P221&gt;0))</f>
        <v>0</v>
      </c>
      <c r="AQ221">
        <f>IF(metadata!Q221="",FALSE,TRUE)</f>
        <v>0</v>
      </c>
    </row>
    <row r="222" spans="1:43">
      <c r="A222" s="5">
        <f>IF(B222=" "," ",HYPERLINK(CONCATENATE("#metadata!",ADDRESS(INDEX($W$2:$W$1001,MATCH(ROWS($U$2:U222),$U$2:$U$1001,0),0),1)),INDEX($Z$2:$Z$1001,MATCH(ROWS($U$2:U222),$U$2:$U$1001,0),0)))</f>
        <v>0</v>
      </c>
      <c r="B222" s="4">
        <f>IF(OR(INDEX($V$2:$V$1001,MATCH(ROWS($U$2:U222),$U$2:$U$1001,0),1)&gt;=100000,INDEX($AB$1005:$AQ$1005,1,MATCH(COLUMNS($AB$1006:AB1006),$AB$1006:$AQ$1006,0))&gt;=100000), " ",IF(INDEX($AB$2:$AQ$1001,MATCH(ROWS($U$2:U222),$U$2:$U$1001,0),MATCH(COLUMNS($AB$1006:AB1006),$AB$1006:$AQ$1006,0)), HYPERLINK("#",""), HYPERLINK(CONCATENATE("#metadata!", ADDRESS(INDEX($W$2:$W$1001,MATCH(ROWS($U$2:U222),$U$2:$U$1001,0),0), INDEX($AB$1004:$AQ$1004,1,MATCH(COLUMNS($AB$1006:AB1006),$AB$1006:$AQ$1006,0)))),"Fix")))</f>
        <v>0</v>
      </c>
      <c r="C222" s="4">
        <f>IF(OR(INDEX($V$2:$V$1001,MATCH(ROWS($U$2:U222),$U$2:$U$1001,0),1)&gt;=100000,INDEX($AB$1005:$AQ$1005,1,MATCH(COLUMNS($AB$1006:AC1006),$AB$1006:$AQ$1006,0))&gt;=100000), " ",IF(INDEX($AB$2:$AQ$1001,MATCH(ROWS($U$2:U222),$U$2:$U$1001,0),MATCH(COLUMNS($AB$1006:AC1006),$AB$1006:$AQ$1006,0)), HYPERLINK("#",""), HYPERLINK(CONCATENATE("#metadata!", ADDRESS(INDEX($W$2:$W$1001,MATCH(ROWS($U$2:U222),$U$2:$U$1001,0),0), INDEX($AB$1004:$AQ$1004,1,MATCH(COLUMNS($AB$1006:AC1006),$AB$1006:$AQ$1006,0)))),"Fix")))</f>
        <v>0</v>
      </c>
      <c r="D222" s="4">
        <f>IF(OR(INDEX($V$2:$V$1001,MATCH(ROWS($U$2:U222),$U$2:$U$1001,0),1)&gt;=100000,INDEX($AB$1005:$AQ$1005,1,MATCH(COLUMNS($AB$1006:AD1006),$AB$1006:$AQ$1006,0))&gt;=100000), " ",IF(INDEX($AB$2:$AQ$1001,MATCH(ROWS($U$2:U222),$U$2:$U$1001,0),MATCH(COLUMNS($AB$1006:AD1006),$AB$1006:$AQ$1006,0)), HYPERLINK("#",""), HYPERLINK(CONCATENATE("#metadata!", ADDRESS(INDEX($W$2:$W$1001,MATCH(ROWS($U$2:U222),$U$2:$U$1001,0),0), INDEX($AB$1004:$AQ$1004,1,MATCH(COLUMNS($AB$1006:AD1006),$AB$1006:$AQ$1006,0)))),"Fix")))</f>
        <v>0</v>
      </c>
      <c r="E222" s="4">
        <f>IF(OR(INDEX($V$2:$V$1001,MATCH(ROWS($U$2:U222),$U$2:$U$1001,0),1)&gt;=100000,INDEX($AB$1005:$AQ$1005,1,MATCH(COLUMNS($AB$1006:AE1006),$AB$1006:$AQ$1006,0))&gt;=100000), " ",IF(INDEX($AB$2:$AQ$1001,MATCH(ROWS($U$2:U222),$U$2:$U$1001,0),MATCH(COLUMNS($AB$1006:AE1006),$AB$1006:$AQ$1006,0)), HYPERLINK("#",""), HYPERLINK(CONCATENATE("#metadata!", ADDRESS(INDEX($W$2:$W$1001,MATCH(ROWS($U$2:U222),$U$2:$U$1001,0),0), INDEX($AB$1004:$AQ$1004,1,MATCH(COLUMNS($AB$1006:AE1006),$AB$1006:$AQ$1006,0)))),"Fix")))</f>
        <v>0</v>
      </c>
      <c r="F222" s="4">
        <f>IF(OR(INDEX($V$2:$V$1001,MATCH(ROWS($U$2:U222),$U$2:$U$1001,0),1)&gt;=100000,INDEX($AB$1005:$AQ$1005,1,MATCH(COLUMNS($AB$1006:AF1006),$AB$1006:$AQ$1006,0))&gt;=100000), " ",IF(INDEX($AB$2:$AQ$1001,MATCH(ROWS($U$2:U222),$U$2:$U$1001,0),MATCH(COLUMNS($AB$1006:AF1006),$AB$1006:$AQ$1006,0)), HYPERLINK("#",""), HYPERLINK(CONCATENATE("#metadata!", ADDRESS(INDEX($W$2:$W$1001,MATCH(ROWS($U$2:U222),$U$2:$U$1001,0),0), INDEX($AB$1004:$AQ$1004,1,MATCH(COLUMNS($AB$1006:AF1006),$AB$1006:$AQ$1006,0)))),"Fix")))</f>
        <v>0</v>
      </c>
      <c r="G222" s="4">
        <f>IF(OR(INDEX($V$2:$V$1001,MATCH(ROWS($U$2:U222),$U$2:$U$1001,0),1)&gt;=100000,INDEX($AB$1005:$AQ$1005,1,MATCH(COLUMNS($AB$1006:AG1006),$AB$1006:$AQ$1006,0))&gt;=100000), " ",IF(INDEX($AB$2:$AQ$1001,MATCH(ROWS($U$2:U222),$U$2:$U$1001,0),MATCH(COLUMNS($AB$1006:AG1006),$AB$1006:$AQ$1006,0)), HYPERLINK("#",""), HYPERLINK(CONCATENATE("#metadata!", ADDRESS(INDEX($W$2:$W$1001,MATCH(ROWS($U$2:U222),$U$2:$U$1001,0),0), INDEX($AB$1004:$AQ$1004,1,MATCH(COLUMNS($AB$1006:AG1006),$AB$1006:$AQ$1006,0)))),"Fix")))</f>
        <v>0</v>
      </c>
      <c r="H222" s="4">
        <f>IF(OR(INDEX($V$2:$V$1001,MATCH(ROWS($U$2:U222),$U$2:$U$1001,0),1)&gt;=100000,INDEX($AB$1005:$AQ$1005,1,MATCH(COLUMNS($AB$1006:AH1006),$AB$1006:$AQ$1006,0))&gt;=100000), " ",IF(INDEX($AB$2:$AQ$1001,MATCH(ROWS($U$2:U222),$U$2:$U$1001,0),MATCH(COLUMNS($AB$1006:AH1006),$AB$1006:$AQ$1006,0)), HYPERLINK("#",""), HYPERLINK(CONCATENATE("#metadata!", ADDRESS(INDEX($W$2:$W$1001,MATCH(ROWS($U$2:U222),$U$2:$U$1001,0),0), INDEX($AB$1004:$AQ$1004,1,MATCH(COLUMNS($AB$1006:AH1006),$AB$1006:$AQ$1006,0)))),"Fix")))</f>
        <v>0</v>
      </c>
      <c r="I222" s="4">
        <f>IF(OR(INDEX($V$2:$V$1001,MATCH(ROWS($U$2:U222),$U$2:$U$1001,0),1)&gt;=100000,INDEX($AB$1005:$AQ$1005,1,MATCH(COLUMNS($AB$1006:AI1006),$AB$1006:$AQ$1006,0))&gt;=100000), " ",IF(INDEX($AB$2:$AQ$1001,MATCH(ROWS($U$2:U222),$U$2:$U$1001,0),MATCH(COLUMNS($AB$1006:AI1006),$AB$1006:$AQ$1006,0)), HYPERLINK("#",""), HYPERLINK(CONCATENATE("#metadata!", ADDRESS(INDEX($W$2:$W$1001,MATCH(ROWS($U$2:U222),$U$2:$U$1001,0),0), INDEX($AB$1004:$AQ$1004,1,MATCH(COLUMNS($AB$1006:AI1006),$AB$1006:$AQ$1006,0)))),"Fix")))</f>
        <v>0</v>
      </c>
      <c r="J222" s="4">
        <f>IF(OR(INDEX($V$2:$V$1001,MATCH(ROWS($U$2:U222),$U$2:$U$1001,0),1)&gt;=100000,INDEX($AB$1005:$AQ$1005,1,MATCH(COLUMNS($AB$1006:AJ1006),$AB$1006:$AQ$1006,0))&gt;=100000), " ",IF(INDEX($AB$2:$AQ$1001,MATCH(ROWS($U$2:U222),$U$2:$U$1001,0),MATCH(COLUMNS($AB$1006:AJ1006),$AB$1006:$AQ$1006,0)), HYPERLINK("#",""), HYPERLINK(CONCATENATE("#metadata!", ADDRESS(INDEX($W$2:$W$1001,MATCH(ROWS($U$2:U222),$U$2:$U$1001,0),0), INDEX($AB$1004:$AQ$1004,1,MATCH(COLUMNS($AB$1006:AJ1006),$AB$1006:$AQ$1006,0)))),"Fix")))</f>
        <v>0</v>
      </c>
      <c r="K222" s="4">
        <f>IF(OR(INDEX($V$2:$V$1001,MATCH(ROWS($U$2:U222),$U$2:$U$1001,0),1)&gt;=100000,INDEX($AB$1005:$AQ$1005,1,MATCH(COLUMNS($AB$1006:AK1006),$AB$1006:$AQ$1006,0))&gt;=100000), " ",IF(INDEX($AB$2:$AQ$1001,MATCH(ROWS($U$2:U222),$U$2:$U$1001,0),MATCH(COLUMNS($AB$1006:AK1006),$AB$1006:$AQ$1006,0)), HYPERLINK("#",""), HYPERLINK(CONCATENATE("#metadata!", ADDRESS(INDEX($W$2:$W$1001,MATCH(ROWS($U$2:U222),$U$2:$U$1001,0),0), INDEX($AB$1004:$AQ$1004,1,MATCH(COLUMNS($AB$1006:AK1006),$AB$1006:$AQ$1006,0)))),"Fix")))</f>
        <v>0</v>
      </c>
      <c r="L222" s="4">
        <f>IF(OR(INDEX($V$2:$V$1001,MATCH(ROWS($U$2:U222),$U$2:$U$1001,0),1)&gt;=100000,INDEX($AB$1005:$AQ$1005,1,MATCH(COLUMNS($AB$1006:AL1006),$AB$1006:$AQ$1006,0))&gt;=100000), " ",IF(INDEX($AB$2:$AQ$1001,MATCH(ROWS($U$2:U222),$U$2:$U$1001,0),MATCH(COLUMNS($AB$1006:AL1006),$AB$1006:$AQ$1006,0)), HYPERLINK("#",""), HYPERLINK(CONCATENATE("#metadata!", ADDRESS(INDEX($W$2:$W$1001,MATCH(ROWS($U$2:U222),$U$2:$U$1001,0),0), INDEX($AB$1004:$AQ$1004,1,MATCH(COLUMNS($AB$1006:AL1006),$AB$1006:$AQ$1006,0)))),"Fix")))</f>
        <v>0</v>
      </c>
      <c r="M222" s="4">
        <f>IF(OR(INDEX($V$2:$V$1001,MATCH(ROWS($U$2:U222),$U$2:$U$1001,0),1)&gt;=100000,INDEX($AB$1005:$AQ$1005,1,MATCH(COLUMNS($AB$1006:AM1006),$AB$1006:$AQ$1006,0))&gt;=100000), " ",IF(INDEX($AB$2:$AQ$1001,MATCH(ROWS($U$2:U222),$U$2:$U$1001,0),MATCH(COLUMNS($AB$1006:AM1006),$AB$1006:$AQ$1006,0)), HYPERLINK("#",""), HYPERLINK(CONCATENATE("#metadata!", ADDRESS(INDEX($W$2:$W$1001,MATCH(ROWS($U$2:U222),$U$2:$U$1001,0),0), INDEX($AB$1004:$AQ$1004,1,MATCH(COLUMNS($AB$1006:AM1006),$AB$1006:$AQ$1006,0)))),"Fix")))</f>
        <v>0</v>
      </c>
      <c r="N222" s="4">
        <f>IF(OR(INDEX($V$2:$V$1001,MATCH(ROWS($U$2:U222),$U$2:$U$1001,0),1)&gt;=100000,INDEX($AB$1005:$AQ$1005,1,MATCH(COLUMNS($AB$1006:AN1006),$AB$1006:$AQ$1006,0))&gt;=100000), " ",IF(INDEX($AB$2:$AQ$1001,MATCH(ROWS($U$2:U222),$U$2:$U$1001,0),MATCH(COLUMNS($AB$1006:AN1006),$AB$1006:$AQ$1006,0)), HYPERLINK("#",""), HYPERLINK(CONCATENATE("#metadata!", ADDRESS(INDEX($W$2:$W$1001,MATCH(ROWS($U$2:U222),$U$2:$U$1001,0),0), INDEX($AB$1004:$AQ$1004,1,MATCH(COLUMNS($AB$1006:AN1006),$AB$1006:$AQ$1006,0)))),"Fix")))</f>
        <v>0</v>
      </c>
      <c r="O222" s="4">
        <f>IF(OR(INDEX($V$2:$V$1001,MATCH(ROWS($U$2:U222),$U$2:$U$1001,0),1)&gt;=100000,INDEX($AB$1005:$AQ$1005,1,MATCH(COLUMNS($AB$1006:AO1006),$AB$1006:$AQ$1006,0))&gt;=100000), " ",IF(INDEX($AB$2:$AQ$1001,MATCH(ROWS($U$2:U222),$U$2:$U$1001,0),MATCH(COLUMNS($AB$1006:AO1006),$AB$1006:$AQ$1006,0)), HYPERLINK("#",""), HYPERLINK(CONCATENATE("#metadata!", ADDRESS(INDEX($W$2:$W$1001,MATCH(ROWS($U$2:U222),$U$2:$U$1001,0),0), INDEX($AB$1004:$AQ$1004,1,MATCH(COLUMNS($AB$1006:AO1006),$AB$1006:$AQ$1006,0)))),"Fix")))</f>
        <v>0</v>
      </c>
      <c r="P222" s="4">
        <f>IF(OR(INDEX($V$2:$V$1001,MATCH(ROWS($U$2:U222),$U$2:$U$1001,0),1)&gt;=100000,INDEX($AB$1005:$AQ$1005,1,MATCH(COLUMNS($AB$1006:AP1006),$AB$1006:$AQ$1006,0))&gt;=100000), " ",IF(INDEX($AB$2:$AQ$1001,MATCH(ROWS($U$2:U222),$U$2:$U$1001,0),MATCH(COLUMNS($AB$1006:AP1006),$AB$1006:$AQ$1006,0)), HYPERLINK("#",""), HYPERLINK(CONCATENATE("#metadata!", ADDRESS(INDEX($W$2:$W$1001,MATCH(ROWS($U$2:U222),$U$2:$U$1001,0),0), INDEX($AB$1004:$AQ$1004,1,MATCH(COLUMNS($AB$1006:AP1006),$AB$1006:$AQ$1006,0)))),"Fix")))</f>
        <v>0</v>
      </c>
      <c r="Q222" s="4">
        <f>IF(OR(INDEX($V$2:$V$1001,MATCH(ROWS($U$2:U222),$U$2:$U$1001,0),1)&gt;=100000,INDEX($AB$1005:$AQ$1005,1,MATCH(COLUMNS($AB$1006:AQ1006),$AB$1006:$AQ$1006,0))&gt;=100000), " ",IF(INDEX($AB$2:$AQ$1001,MATCH(ROWS($U$2:U222),$U$2:$U$1001,0),MATCH(COLUMNS($AB$1006:AQ1006),$AB$1006:$AQ$1006,0)), HYPERLINK("#",""), HYPERLINK(CONCATENATE("#metadata!", ADDRESS(INDEX($W$2:$W$1001,MATCH(ROWS($U$2:U222),$U$2:$U$1001,0),0), INDEX($AB$1004:$AQ$1004,1,MATCH(COLUMNS($AB$1006:AQ1006),$AB$1006:$AQ$1006,0)))),"Fix")))</f>
        <v>0</v>
      </c>
      <c r="U222">
        <v>0</v>
      </c>
      <c r="V222">
        <v>0</v>
      </c>
      <c r="W222">
        <v>0</v>
      </c>
      <c r="X222">
        <f>IF(Y222,TRUE,AND(AB222:AQ222))</f>
        <v>0</v>
      </c>
      <c r="Y222">
        <f>COUNTBLANK(metadata!B222:Q222)=COLUMNS(metadata!B222:Q222)</f>
        <v>0</v>
      </c>
      <c r="Z222">
        <v>0</v>
      </c>
      <c r="AB222">
        <f>AND(IF(metadata!B222="",FALSE,TRUE),COUNTIF(metadata!B:B, metadata!B222) = 1,NOT(ISERROR(SUMPRODUCT(SEARCH(MID(metadata!B222,ROW(INDIRECT("1:"&amp;LEN(metadata!B222))), 1),"0123456789abcdefghijklmnopqrstuvwxyzABCDEFGHIJKLMNOPQRSTUVWXYZ.")))))</f>
        <v>0</v>
      </c>
      <c r="AC222">
        <f>OR(AND(IF(metadata!C222="",FALSE,TRUE),OR(exact(metadata!C222,"missing: not collected"),exact(metadata!C222,"missing: not provided"),exact(metadata!C222,"missing: restricted access"))),AND(IF(metadata!C222="",FALSE,TRUE),AND(AND(IFERROR(INT(LEFT(metadata!C222,4))&gt;1900,FALSE),IFERROR(INT(LEFT(metadata!C222,4))&lt;=YEAR(NOW()),FALSE)), OR(MID(metadata!C222,5,1)="", AND(AND(MID(metadata!C222,5,1)="-",IFERROR(INT(MID(metadata!C222,6,1))&gt;=0,FALSE),IFERROR(INT(MID(metadata!C222,6,1))&lt;=1,FALSE),NOT(MID(metadata!C222,7,1)=""),IFERROR(INT(MID(metadata!C222,6,2))&gt;=1,FALSE),IFERROR(INT(MID(metadata!C222,6,2))&lt;=12,FALSE)), OR(MID(metadata!C222,8,1)="", AND(AND(MID(metadata!C222,8,1)="-",IFERROR(INT(MID(metadata!C222,9,1))&gt;=0,FALSE),IFERROR(INT(MID(metadata!C222,9,1))&lt;=3,FALSE),NOT(MID(metadata!C222,10,1)=""),IFERROR(INT(MID(metadata!C222,9,2))&gt;=1,FALSE),IFERROR(INT(MID(metadata!C222,9,2))&lt;=31,FALSE)), OR(MID(metadata!C222,11,1)="", AND(AND(MID(metadata!C222,11,1)=" ",IFERROR(INT(MID(metadata!C222,12,1))&gt;=0,FALSE),IFERROR(INT(MID(metadata!C222,12,1))&lt;=2,FALSE),NOT(MID(metadata!C222,13,1)=""),IFERROR(INT(MID(metadata!C222,12,2))&gt;=0,FALSE),IFERROR(INT(MID(metadata!C222,12,2))&lt;=23,FALSE)), OR(MID(metadata!C222,14,1)="", AND(AND(MID(metadata!C222,14,1)=":",IFERROR(INT(MID(metadata!C222,15,1))&gt;=0,FALSE),IFERROR(INT(MID(metadata!C222,15,1))&lt;=5,FALSE),NOT(MID(metadata!C222,16,1)=""),IFERROR(INT(MID(metadata!C222,15,2))&gt;=0,FALSE),IFERROR(INT(MID(metadata!C222,15,2))&lt;=59,FALSE)), OR(MID(metadata!C222,17,1)="", AND(AND(MID(metadata!C222,17,1)=":",IFERROR(INT(MID(metadata!C222,18,1))&gt;=0,FALSE),IFERROR(INT(MID(metadata!C222,18,1))&lt;=5,FALSE),NOT(MID(metadata!C222,19,1)=""),IFERROR(INT(MID(metadata!C222,18,2))&gt;=0,FALSE),IFERROR(INT(MID(metadata!C222,18,2))&lt;=59,FALSE)), LEN(metadata!C222)&lt;=19)))))))))))))</f>
        <v>0</v>
      </c>
      <c r="AD222">
        <f>IF(metadata!D222="",FALSE,TRUE)</f>
        <v>0</v>
      </c>
      <c r="AE222">
        <f>OR(AND(IF(metadata!E222="",FALSE,TRUE),OR(exact(metadata!E222,"missing: not collected"),exact(metadata!E222,"missing: not provided"))),AND(IF(metadata!E222="",FALSE,TRUE),OR(exact(metadata!E222,"TRUE"),exact(metadata!E222,"FALSE"))))</f>
        <v>0</v>
      </c>
      <c r="AF222">
        <f>IF(metadata!F222="",FALSE,TRUE)</f>
        <v>0</v>
      </c>
      <c r="AG222">
        <f>IF(metadata!G222="",FALSE,TRUE)</f>
        <v>0</v>
      </c>
      <c r="AH222">
        <f>IF(metadata!H222="",FALSE,TRUE)</f>
        <v>0</v>
      </c>
      <c r="AI222">
        <f>OR(AND(IF(metadata!I222="",FALSE,TRUE),OR(exact(metadata!I222,"missing: not collected"),exact(metadata!I222,"missing: not provided"),exact(metadata!I222,"missing: restricted access"))),AND(IF(metadata!I222="",FALSE,TRUE),OR(exact(metadata!I222,"air"),exact(metadata!I222,"built environment"),exact(metadata!I222,"host-associated"),exact(metadata!I222,"human-associated"),exact(metadata!I222,"human-skin"),exact(metadata!I222,"human-oral"),exact(metadata!I222,"human-gut"),exact(metadata!I222,"human-vaginal"),exact(metadata!I222,"microbial mat/biofilm"),exact(metadata!I222,"misc environment"),exact(metadata!I222,"plant-associated"),exact(metadata!I222,"sediment"),exact(metadata!I222,"soil"),exact(metadata!I222,"wastewater/sludge"),exact(metadata!I222,"water"))))</f>
        <v>0</v>
      </c>
      <c r="AJ222">
        <f>IF(metadata!J222="",FALSE,TRUE)</f>
        <v>0</v>
      </c>
      <c r="AK222">
        <f>OR(AND(IF(metadata!K222="",FALSE,TRUE),OR(exact(metadata!K222,"missing: not collected"),exact(metadata!K222,"missing: not provided"),exact(metadata!K222,"missing: restricted access"))),AND(IF(metadata!K222="",FALSE,ISNUMBER(VALUE(metadata!K222))),metadata!K222&gt;=-90.00,metadata!K222&lt;=90.00))</f>
        <v>0</v>
      </c>
      <c r="AL222">
        <f>OR(AND(IF(metadata!L222="",FALSE,TRUE),OR(exact(metadata!L222,"missing: not collected"),exact(metadata!L222,"missing: not provided"),exact(metadata!L222,"missing: restricted access"))),AND(IF(metadata!L222="",FALSE,ISNUMBER(VALUE(metadata!L222))),metadata!L222&gt;=-180.00,metadata!L222&lt;=180.00))</f>
        <v>0</v>
      </c>
      <c r="AM222">
        <f>IF(metadata!M222="",FALSE,TRUE)</f>
        <v>0</v>
      </c>
      <c r="AN222">
        <f>OR(AND(IF(metadata!N222="",FALSE,TRUE),OR(exact(metadata!N222,"missing: not collected"),exact(metadata!N222,"missing: not provided"),exact(metadata!N222,"missing: restricted access"))),AND(IF(metadata!N222="",FALSE,TRUE),OR(exact(metadata!N222,"TRUE"),exact(metadata!N222,"FALSE"))))</f>
        <v>0</v>
      </c>
      <c r="AO222">
        <f>IF(metadata!O222="",FALSE,TRUE)</f>
        <v>0</v>
      </c>
      <c r="AP222">
        <f>OR(AND(IF(metadata!P222="",FALSE,TRUE),OR(exact(metadata!P222,"missing: not collected"),exact(metadata!P222,"missing: not provided"))),AND(IF(metadata!P222="",FALSE,IF(ISERROR(INT(metadata!P222)),FALSE,INT(metadata!P222)=metadata!P222)),metadata!P222&gt;0))</f>
        <v>0</v>
      </c>
      <c r="AQ222">
        <f>IF(metadata!Q222="",FALSE,TRUE)</f>
        <v>0</v>
      </c>
    </row>
    <row r="223" spans="1:43">
      <c r="A223" s="5">
        <f>IF(B223=" "," ",HYPERLINK(CONCATENATE("#metadata!",ADDRESS(INDEX($W$2:$W$1001,MATCH(ROWS($U$2:U223),$U$2:$U$1001,0),0),1)),INDEX($Z$2:$Z$1001,MATCH(ROWS($U$2:U223),$U$2:$U$1001,0),0)))</f>
        <v>0</v>
      </c>
      <c r="B223" s="4">
        <f>IF(OR(INDEX($V$2:$V$1001,MATCH(ROWS($U$2:U223),$U$2:$U$1001,0),1)&gt;=100000,INDEX($AB$1005:$AQ$1005,1,MATCH(COLUMNS($AB$1006:AB1006),$AB$1006:$AQ$1006,0))&gt;=100000), " ",IF(INDEX($AB$2:$AQ$1001,MATCH(ROWS($U$2:U223),$U$2:$U$1001,0),MATCH(COLUMNS($AB$1006:AB1006),$AB$1006:$AQ$1006,0)), HYPERLINK("#",""), HYPERLINK(CONCATENATE("#metadata!", ADDRESS(INDEX($W$2:$W$1001,MATCH(ROWS($U$2:U223),$U$2:$U$1001,0),0), INDEX($AB$1004:$AQ$1004,1,MATCH(COLUMNS($AB$1006:AB1006),$AB$1006:$AQ$1006,0)))),"Fix")))</f>
        <v>0</v>
      </c>
      <c r="C223" s="4">
        <f>IF(OR(INDEX($V$2:$V$1001,MATCH(ROWS($U$2:U223),$U$2:$U$1001,0),1)&gt;=100000,INDEX($AB$1005:$AQ$1005,1,MATCH(COLUMNS($AB$1006:AC1006),$AB$1006:$AQ$1006,0))&gt;=100000), " ",IF(INDEX($AB$2:$AQ$1001,MATCH(ROWS($U$2:U223),$U$2:$U$1001,0),MATCH(COLUMNS($AB$1006:AC1006),$AB$1006:$AQ$1006,0)), HYPERLINK("#",""), HYPERLINK(CONCATENATE("#metadata!", ADDRESS(INDEX($W$2:$W$1001,MATCH(ROWS($U$2:U223),$U$2:$U$1001,0),0), INDEX($AB$1004:$AQ$1004,1,MATCH(COLUMNS($AB$1006:AC1006),$AB$1006:$AQ$1006,0)))),"Fix")))</f>
        <v>0</v>
      </c>
      <c r="D223" s="4">
        <f>IF(OR(INDEX($V$2:$V$1001,MATCH(ROWS($U$2:U223),$U$2:$U$1001,0),1)&gt;=100000,INDEX($AB$1005:$AQ$1005,1,MATCH(COLUMNS($AB$1006:AD1006),$AB$1006:$AQ$1006,0))&gt;=100000), " ",IF(INDEX($AB$2:$AQ$1001,MATCH(ROWS($U$2:U223),$U$2:$U$1001,0),MATCH(COLUMNS($AB$1006:AD1006),$AB$1006:$AQ$1006,0)), HYPERLINK("#",""), HYPERLINK(CONCATENATE("#metadata!", ADDRESS(INDEX($W$2:$W$1001,MATCH(ROWS($U$2:U223),$U$2:$U$1001,0),0), INDEX($AB$1004:$AQ$1004,1,MATCH(COLUMNS($AB$1006:AD1006),$AB$1006:$AQ$1006,0)))),"Fix")))</f>
        <v>0</v>
      </c>
      <c r="E223" s="4">
        <f>IF(OR(INDEX($V$2:$V$1001,MATCH(ROWS($U$2:U223),$U$2:$U$1001,0),1)&gt;=100000,INDEX($AB$1005:$AQ$1005,1,MATCH(COLUMNS($AB$1006:AE1006),$AB$1006:$AQ$1006,0))&gt;=100000), " ",IF(INDEX($AB$2:$AQ$1001,MATCH(ROWS($U$2:U223),$U$2:$U$1001,0),MATCH(COLUMNS($AB$1006:AE1006),$AB$1006:$AQ$1006,0)), HYPERLINK("#",""), HYPERLINK(CONCATENATE("#metadata!", ADDRESS(INDEX($W$2:$W$1001,MATCH(ROWS($U$2:U223),$U$2:$U$1001,0),0), INDEX($AB$1004:$AQ$1004,1,MATCH(COLUMNS($AB$1006:AE1006),$AB$1006:$AQ$1006,0)))),"Fix")))</f>
        <v>0</v>
      </c>
      <c r="F223" s="4">
        <f>IF(OR(INDEX($V$2:$V$1001,MATCH(ROWS($U$2:U223),$U$2:$U$1001,0),1)&gt;=100000,INDEX($AB$1005:$AQ$1005,1,MATCH(COLUMNS($AB$1006:AF1006),$AB$1006:$AQ$1006,0))&gt;=100000), " ",IF(INDEX($AB$2:$AQ$1001,MATCH(ROWS($U$2:U223),$U$2:$U$1001,0),MATCH(COLUMNS($AB$1006:AF1006),$AB$1006:$AQ$1006,0)), HYPERLINK("#",""), HYPERLINK(CONCATENATE("#metadata!", ADDRESS(INDEX($W$2:$W$1001,MATCH(ROWS($U$2:U223),$U$2:$U$1001,0),0), INDEX($AB$1004:$AQ$1004,1,MATCH(COLUMNS($AB$1006:AF1006),$AB$1006:$AQ$1006,0)))),"Fix")))</f>
        <v>0</v>
      </c>
      <c r="G223" s="4">
        <f>IF(OR(INDEX($V$2:$V$1001,MATCH(ROWS($U$2:U223),$U$2:$U$1001,0),1)&gt;=100000,INDEX($AB$1005:$AQ$1005,1,MATCH(COLUMNS($AB$1006:AG1006),$AB$1006:$AQ$1006,0))&gt;=100000), " ",IF(INDEX($AB$2:$AQ$1001,MATCH(ROWS($U$2:U223),$U$2:$U$1001,0),MATCH(COLUMNS($AB$1006:AG1006),$AB$1006:$AQ$1006,0)), HYPERLINK("#",""), HYPERLINK(CONCATENATE("#metadata!", ADDRESS(INDEX($W$2:$W$1001,MATCH(ROWS($U$2:U223),$U$2:$U$1001,0),0), INDEX($AB$1004:$AQ$1004,1,MATCH(COLUMNS($AB$1006:AG1006),$AB$1006:$AQ$1006,0)))),"Fix")))</f>
        <v>0</v>
      </c>
      <c r="H223" s="4">
        <f>IF(OR(INDEX($V$2:$V$1001,MATCH(ROWS($U$2:U223),$U$2:$U$1001,0),1)&gt;=100000,INDEX($AB$1005:$AQ$1005,1,MATCH(COLUMNS($AB$1006:AH1006),$AB$1006:$AQ$1006,0))&gt;=100000), " ",IF(INDEX($AB$2:$AQ$1001,MATCH(ROWS($U$2:U223),$U$2:$U$1001,0),MATCH(COLUMNS($AB$1006:AH1006),$AB$1006:$AQ$1006,0)), HYPERLINK("#",""), HYPERLINK(CONCATENATE("#metadata!", ADDRESS(INDEX($W$2:$W$1001,MATCH(ROWS($U$2:U223),$U$2:$U$1001,0),0), INDEX($AB$1004:$AQ$1004,1,MATCH(COLUMNS($AB$1006:AH1006),$AB$1006:$AQ$1006,0)))),"Fix")))</f>
        <v>0</v>
      </c>
      <c r="I223" s="4">
        <f>IF(OR(INDEX($V$2:$V$1001,MATCH(ROWS($U$2:U223),$U$2:$U$1001,0),1)&gt;=100000,INDEX($AB$1005:$AQ$1005,1,MATCH(COLUMNS($AB$1006:AI1006),$AB$1006:$AQ$1006,0))&gt;=100000), " ",IF(INDEX($AB$2:$AQ$1001,MATCH(ROWS($U$2:U223),$U$2:$U$1001,0),MATCH(COLUMNS($AB$1006:AI1006),$AB$1006:$AQ$1006,0)), HYPERLINK("#",""), HYPERLINK(CONCATENATE("#metadata!", ADDRESS(INDEX($W$2:$W$1001,MATCH(ROWS($U$2:U223),$U$2:$U$1001,0),0), INDEX($AB$1004:$AQ$1004,1,MATCH(COLUMNS($AB$1006:AI1006),$AB$1006:$AQ$1006,0)))),"Fix")))</f>
        <v>0</v>
      </c>
      <c r="J223" s="4">
        <f>IF(OR(INDEX($V$2:$V$1001,MATCH(ROWS($U$2:U223),$U$2:$U$1001,0),1)&gt;=100000,INDEX($AB$1005:$AQ$1005,1,MATCH(COLUMNS($AB$1006:AJ1006),$AB$1006:$AQ$1006,0))&gt;=100000), " ",IF(INDEX($AB$2:$AQ$1001,MATCH(ROWS($U$2:U223),$U$2:$U$1001,0),MATCH(COLUMNS($AB$1006:AJ1006),$AB$1006:$AQ$1006,0)), HYPERLINK("#",""), HYPERLINK(CONCATENATE("#metadata!", ADDRESS(INDEX($W$2:$W$1001,MATCH(ROWS($U$2:U223),$U$2:$U$1001,0),0), INDEX($AB$1004:$AQ$1004,1,MATCH(COLUMNS($AB$1006:AJ1006),$AB$1006:$AQ$1006,0)))),"Fix")))</f>
        <v>0</v>
      </c>
      <c r="K223" s="4">
        <f>IF(OR(INDEX($V$2:$V$1001,MATCH(ROWS($U$2:U223),$U$2:$U$1001,0),1)&gt;=100000,INDEX($AB$1005:$AQ$1005,1,MATCH(COLUMNS($AB$1006:AK1006),$AB$1006:$AQ$1006,0))&gt;=100000), " ",IF(INDEX($AB$2:$AQ$1001,MATCH(ROWS($U$2:U223),$U$2:$U$1001,0),MATCH(COLUMNS($AB$1006:AK1006),$AB$1006:$AQ$1006,0)), HYPERLINK("#",""), HYPERLINK(CONCATENATE("#metadata!", ADDRESS(INDEX($W$2:$W$1001,MATCH(ROWS($U$2:U223),$U$2:$U$1001,0),0), INDEX($AB$1004:$AQ$1004,1,MATCH(COLUMNS($AB$1006:AK1006),$AB$1006:$AQ$1006,0)))),"Fix")))</f>
        <v>0</v>
      </c>
      <c r="L223" s="4">
        <f>IF(OR(INDEX($V$2:$V$1001,MATCH(ROWS($U$2:U223),$U$2:$U$1001,0),1)&gt;=100000,INDEX($AB$1005:$AQ$1005,1,MATCH(COLUMNS($AB$1006:AL1006),$AB$1006:$AQ$1006,0))&gt;=100000), " ",IF(INDEX($AB$2:$AQ$1001,MATCH(ROWS($U$2:U223),$U$2:$U$1001,0),MATCH(COLUMNS($AB$1006:AL1006),$AB$1006:$AQ$1006,0)), HYPERLINK("#",""), HYPERLINK(CONCATENATE("#metadata!", ADDRESS(INDEX($W$2:$W$1001,MATCH(ROWS($U$2:U223),$U$2:$U$1001,0),0), INDEX($AB$1004:$AQ$1004,1,MATCH(COLUMNS($AB$1006:AL1006),$AB$1006:$AQ$1006,0)))),"Fix")))</f>
        <v>0</v>
      </c>
      <c r="M223" s="4">
        <f>IF(OR(INDEX($V$2:$V$1001,MATCH(ROWS($U$2:U223),$U$2:$U$1001,0),1)&gt;=100000,INDEX($AB$1005:$AQ$1005,1,MATCH(COLUMNS($AB$1006:AM1006),$AB$1006:$AQ$1006,0))&gt;=100000), " ",IF(INDEX($AB$2:$AQ$1001,MATCH(ROWS($U$2:U223),$U$2:$U$1001,0),MATCH(COLUMNS($AB$1006:AM1006),$AB$1006:$AQ$1006,0)), HYPERLINK("#",""), HYPERLINK(CONCATENATE("#metadata!", ADDRESS(INDEX($W$2:$W$1001,MATCH(ROWS($U$2:U223),$U$2:$U$1001,0),0), INDEX($AB$1004:$AQ$1004,1,MATCH(COLUMNS($AB$1006:AM1006),$AB$1006:$AQ$1006,0)))),"Fix")))</f>
        <v>0</v>
      </c>
      <c r="N223" s="4">
        <f>IF(OR(INDEX($V$2:$V$1001,MATCH(ROWS($U$2:U223),$U$2:$U$1001,0),1)&gt;=100000,INDEX($AB$1005:$AQ$1005,1,MATCH(COLUMNS($AB$1006:AN1006),$AB$1006:$AQ$1006,0))&gt;=100000), " ",IF(INDEX($AB$2:$AQ$1001,MATCH(ROWS($U$2:U223),$U$2:$U$1001,0),MATCH(COLUMNS($AB$1006:AN1006),$AB$1006:$AQ$1006,0)), HYPERLINK("#",""), HYPERLINK(CONCATENATE("#metadata!", ADDRESS(INDEX($W$2:$W$1001,MATCH(ROWS($U$2:U223),$U$2:$U$1001,0),0), INDEX($AB$1004:$AQ$1004,1,MATCH(COLUMNS($AB$1006:AN1006),$AB$1006:$AQ$1006,0)))),"Fix")))</f>
        <v>0</v>
      </c>
      <c r="O223" s="4">
        <f>IF(OR(INDEX($V$2:$V$1001,MATCH(ROWS($U$2:U223),$U$2:$U$1001,0),1)&gt;=100000,INDEX($AB$1005:$AQ$1005,1,MATCH(COLUMNS($AB$1006:AO1006),$AB$1006:$AQ$1006,0))&gt;=100000), " ",IF(INDEX($AB$2:$AQ$1001,MATCH(ROWS($U$2:U223),$U$2:$U$1001,0),MATCH(COLUMNS($AB$1006:AO1006),$AB$1006:$AQ$1006,0)), HYPERLINK("#",""), HYPERLINK(CONCATENATE("#metadata!", ADDRESS(INDEX($W$2:$W$1001,MATCH(ROWS($U$2:U223),$U$2:$U$1001,0),0), INDEX($AB$1004:$AQ$1004,1,MATCH(COLUMNS($AB$1006:AO1006),$AB$1006:$AQ$1006,0)))),"Fix")))</f>
        <v>0</v>
      </c>
      <c r="P223" s="4">
        <f>IF(OR(INDEX($V$2:$V$1001,MATCH(ROWS($U$2:U223),$U$2:$U$1001,0),1)&gt;=100000,INDEX($AB$1005:$AQ$1005,1,MATCH(COLUMNS($AB$1006:AP1006),$AB$1006:$AQ$1006,0))&gt;=100000), " ",IF(INDEX($AB$2:$AQ$1001,MATCH(ROWS($U$2:U223),$U$2:$U$1001,0),MATCH(COLUMNS($AB$1006:AP1006),$AB$1006:$AQ$1006,0)), HYPERLINK("#",""), HYPERLINK(CONCATENATE("#metadata!", ADDRESS(INDEX($W$2:$W$1001,MATCH(ROWS($U$2:U223),$U$2:$U$1001,0),0), INDEX($AB$1004:$AQ$1004,1,MATCH(COLUMNS($AB$1006:AP1006),$AB$1006:$AQ$1006,0)))),"Fix")))</f>
        <v>0</v>
      </c>
      <c r="Q223" s="4">
        <f>IF(OR(INDEX($V$2:$V$1001,MATCH(ROWS($U$2:U223),$U$2:$U$1001,0),1)&gt;=100000,INDEX($AB$1005:$AQ$1005,1,MATCH(COLUMNS($AB$1006:AQ1006),$AB$1006:$AQ$1006,0))&gt;=100000), " ",IF(INDEX($AB$2:$AQ$1001,MATCH(ROWS($U$2:U223),$U$2:$U$1001,0),MATCH(COLUMNS($AB$1006:AQ1006),$AB$1006:$AQ$1006,0)), HYPERLINK("#",""), HYPERLINK(CONCATENATE("#metadata!", ADDRESS(INDEX($W$2:$W$1001,MATCH(ROWS($U$2:U223),$U$2:$U$1001,0),0), INDEX($AB$1004:$AQ$1004,1,MATCH(COLUMNS($AB$1006:AQ1006),$AB$1006:$AQ$1006,0)))),"Fix")))</f>
        <v>0</v>
      </c>
      <c r="U223">
        <v>0</v>
      </c>
      <c r="V223">
        <v>0</v>
      </c>
      <c r="W223">
        <v>0</v>
      </c>
      <c r="X223">
        <f>IF(Y223,TRUE,AND(AB223:AQ223))</f>
        <v>0</v>
      </c>
      <c r="Y223">
        <f>COUNTBLANK(metadata!B223:Q223)=COLUMNS(metadata!B223:Q223)</f>
        <v>0</v>
      </c>
      <c r="Z223">
        <v>0</v>
      </c>
      <c r="AB223">
        <f>AND(IF(metadata!B223="",FALSE,TRUE),COUNTIF(metadata!B:B, metadata!B223) = 1,NOT(ISERROR(SUMPRODUCT(SEARCH(MID(metadata!B223,ROW(INDIRECT("1:"&amp;LEN(metadata!B223))), 1),"0123456789abcdefghijklmnopqrstuvwxyzABCDEFGHIJKLMNOPQRSTUVWXYZ.")))))</f>
        <v>0</v>
      </c>
      <c r="AC223">
        <f>OR(AND(IF(metadata!C223="",FALSE,TRUE),OR(exact(metadata!C223,"missing: not collected"),exact(metadata!C223,"missing: not provided"),exact(metadata!C223,"missing: restricted access"))),AND(IF(metadata!C223="",FALSE,TRUE),AND(AND(IFERROR(INT(LEFT(metadata!C223,4))&gt;1900,FALSE),IFERROR(INT(LEFT(metadata!C223,4))&lt;=YEAR(NOW()),FALSE)), OR(MID(metadata!C223,5,1)="", AND(AND(MID(metadata!C223,5,1)="-",IFERROR(INT(MID(metadata!C223,6,1))&gt;=0,FALSE),IFERROR(INT(MID(metadata!C223,6,1))&lt;=1,FALSE),NOT(MID(metadata!C223,7,1)=""),IFERROR(INT(MID(metadata!C223,6,2))&gt;=1,FALSE),IFERROR(INT(MID(metadata!C223,6,2))&lt;=12,FALSE)), OR(MID(metadata!C223,8,1)="", AND(AND(MID(metadata!C223,8,1)="-",IFERROR(INT(MID(metadata!C223,9,1))&gt;=0,FALSE),IFERROR(INT(MID(metadata!C223,9,1))&lt;=3,FALSE),NOT(MID(metadata!C223,10,1)=""),IFERROR(INT(MID(metadata!C223,9,2))&gt;=1,FALSE),IFERROR(INT(MID(metadata!C223,9,2))&lt;=31,FALSE)), OR(MID(metadata!C223,11,1)="", AND(AND(MID(metadata!C223,11,1)=" ",IFERROR(INT(MID(metadata!C223,12,1))&gt;=0,FALSE),IFERROR(INT(MID(metadata!C223,12,1))&lt;=2,FALSE),NOT(MID(metadata!C223,13,1)=""),IFERROR(INT(MID(metadata!C223,12,2))&gt;=0,FALSE),IFERROR(INT(MID(metadata!C223,12,2))&lt;=23,FALSE)), OR(MID(metadata!C223,14,1)="", AND(AND(MID(metadata!C223,14,1)=":",IFERROR(INT(MID(metadata!C223,15,1))&gt;=0,FALSE),IFERROR(INT(MID(metadata!C223,15,1))&lt;=5,FALSE),NOT(MID(metadata!C223,16,1)=""),IFERROR(INT(MID(metadata!C223,15,2))&gt;=0,FALSE),IFERROR(INT(MID(metadata!C223,15,2))&lt;=59,FALSE)), OR(MID(metadata!C223,17,1)="", AND(AND(MID(metadata!C223,17,1)=":",IFERROR(INT(MID(metadata!C223,18,1))&gt;=0,FALSE),IFERROR(INT(MID(metadata!C223,18,1))&lt;=5,FALSE),NOT(MID(metadata!C223,19,1)=""),IFERROR(INT(MID(metadata!C223,18,2))&gt;=0,FALSE),IFERROR(INT(MID(metadata!C223,18,2))&lt;=59,FALSE)), LEN(metadata!C223)&lt;=19)))))))))))))</f>
        <v>0</v>
      </c>
      <c r="AD223">
        <f>IF(metadata!D223="",FALSE,TRUE)</f>
        <v>0</v>
      </c>
      <c r="AE223">
        <f>OR(AND(IF(metadata!E223="",FALSE,TRUE),OR(exact(metadata!E223,"missing: not collected"),exact(metadata!E223,"missing: not provided"))),AND(IF(metadata!E223="",FALSE,TRUE),OR(exact(metadata!E223,"TRUE"),exact(metadata!E223,"FALSE"))))</f>
        <v>0</v>
      </c>
      <c r="AF223">
        <f>IF(metadata!F223="",FALSE,TRUE)</f>
        <v>0</v>
      </c>
      <c r="AG223">
        <f>IF(metadata!G223="",FALSE,TRUE)</f>
        <v>0</v>
      </c>
      <c r="AH223">
        <f>IF(metadata!H223="",FALSE,TRUE)</f>
        <v>0</v>
      </c>
      <c r="AI223">
        <f>OR(AND(IF(metadata!I223="",FALSE,TRUE),OR(exact(metadata!I223,"missing: not collected"),exact(metadata!I223,"missing: not provided"),exact(metadata!I223,"missing: restricted access"))),AND(IF(metadata!I223="",FALSE,TRUE),OR(exact(metadata!I223,"air"),exact(metadata!I223,"built environment"),exact(metadata!I223,"host-associated"),exact(metadata!I223,"human-associated"),exact(metadata!I223,"human-skin"),exact(metadata!I223,"human-oral"),exact(metadata!I223,"human-gut"),exact(metadata!I223,"human-vaginal"),exact(metadata!I223,"microbial mat/biofilm"),exact(metadata!I223,"misc environment"),exact(metadata!I223,"plant-associated"),exact(metadata!I223,"sediment"),exact(metadata!I223,"soil"),exact(metadata!I223,"wastewater/sludge"),exact(metadata!I223,"water"))))</f>
        <v>0</v>
      </c>
      <c r="AJ223">
        <f>IF(metadata!J223="",FALSE,TRUE)</f>
        <v>0</v>
      </c>
      <c r="AK223">
        <f>OR(AND(IF(metadata!K223="",FALSE,TRUE),OR(exact(metadata!K223,"missing: not collected"),exact(metadata!K223,"missing: not provided"),exact(metadata!K223,"missing: restricted access"))),AND(IF(metadata!K223="",FALSE,ISNUMBER(VALUE(metadata!K223))),metadata!K223&gt;=-90.00,metadata!K223&lt;=90.00))</f>
        <v>0</v>
      </c>
      <c r="AL223">
        <f>OR(AND(IF(metadata!L223="",FALSE,TRUE),OR(exact(metadata!L223,"missing: not collected"),exact(metadata!L223,"missing: not provided"),exact(metadata!L223,"missing: restricted access"))),AND(IF(metadata!L223="",FALSE,ISNUMBER(VALUE(metadata!L223))),metadata!L223&gt;=-180.00,metadata!L223&lt;=180.00))</f>
        <v>0</v>
      </c>
      <c r="AM223">
        <f>IF(metadata!M223="",FALSE,TRUE)</f>
        <v>0</v>
      </c>
      <c r="AN223">
        <f>OR(AND(IF(metadata!N223="",FALSE,TRUE),OR(exact(metadata!N223,"missing: not collected"),exact(metadata!N223,"missing: not provided"),exact(metadata!N223,"missing: restricted access"))),AND(IF(metadata!N223="",FALSE,TRUE),OR(exact(metadata!N223,"TRUE"),exact(metadata!N223,"FALSE"))))</f>
        <v>0</v>
      </c>
      <c r="AO223">
        <f>IF(metadata!O223="",FALSE,TRUE)</f>
        <v>0</v>
      </c>
      <c r="AP223">
        <f>OR(AND(IF(metadata!P223="",FALSE,TRUE),OR(exact(metadata!P223,"missing: not collected"),exact(metadata!P223,"missing: not provided"))),AND(IF(metadata!P223="",FALSE,IF(ISERROR(INT(metadata!P223)),FALSE,INT(metadata!P223)=metadata!P223)),metadata!P223&gt;0))</f>
        <v>0</v>
      </c>
      <c r="AQ223">
        <f>IF(metadata!Q223="",FALSE,TRUE)</f>
        <v>0</v>
      </c>
    </row>
    <row r="224" spans="1:43">
      <c r="A224" s="5">
        <f>IF(B224=" "," ",HYPERLINK(CONCATENATE("#metadata!",ADDRESS(INDEX($W$2:$W$1001,MATCH(ROWS($U$2:U224),$U$2:$U$1001,0),0),1)),INDEX($Z$2:$Z$1001,MATCH(ROWS($U$2:U224),$U$2:$U$1001,0),0)))</f>
        <v>0</v>
      </c>
      <c r="B224" s="4">
        <f>IF(OR(INDEX($V$2:$V$1001,MATCH(ROWS($U$2:U224),$U$2:$U$1001,0),1)&gt;=100000,INDEX($AB$1005:$AQ$1005,1,MATCH(COLUMNS($AB$1006:AB1006),$AB$1006:$AQ$1006,0))&gt;=100000), " ",IF(INDEX($AB$2:$AQ$1001,MATCH(ROWS($U$2:U224),$U$2:$U$1001,0),MATCH(COLUMNS($AB$1006:AB1006),$AB$1006:$AQ$1006,0)), HYPERLINK("#",""), HYPERLINK(CONCATENATE("#metadata!", ADDRESS(INDEX($W$2:$W$1001,MATCH(ROWS($U$2:U224),$U$2:$U$1001,0),0), INDEX($AB$1004:$AQ$1004,1,MATCH(COLUMNS($AB$1006:AB1006),$AB$1006:$AQ$1006,0)))),"Fix")))</f>
        <v>0</v>
      </c>
      <c r="C224" s="4">
        <f>IF(OR(INDEX($V$2:$V$1001,MATCH(ROWS($U$2:U224),$U$2:$U$1001,0),1)&gt;=100000,INDEX($AB$1005:$AQ$1005,1,MATCH(COLUMNS($AB$1006:AC1006),$AB$1006:$AQ$1006,0))&gt;=100000), " ",IF(INDEX($AB$2:$AQ$1001,MATCH(ROWS($U$2:U224),$U$2:$U$1001,0),MATCH(COLUMNS($AB$1006:AC1006),$AB$1006:$AQ$1006,0)), HYPERLINK("#",""), HYPERLINK(CONCATENATE("#metadata!", ADDRESS(INDEX($W$2:$W$1001,MATCH(ROWS($U$2:U224),$U$2:$U$1001,0),0), INDEX($AB$1004:$AQ$1004,1,MATCH(COLUMNS($AB$1006:AC1006),$AB$1006:$AQ$1006,0)))),"Fix")))</f>
        <v>0</v>
      </c>
      <c r="D224" s="4">
        <f>IF(OR(INDEX($V$2:$V$1001,MATCH(ROWS($U$2:U224),$U$2:$U$1001,0),1)&gt;=100000,INDEX($AB$1005:$AQ$1005,1,MATCH(COLUMNS($AB$1006:AD1006),$AB$1006:$AQ$1006,0))&gt;=100000), " ",IF(INDEX($AB$2:$AQ$1001,MATCH(ROWS($U$2:U224),$U$2:$U$1001,0),MATCH(COLUMNS($AB$1006:AD1006),$AB$1006:$AQ$1006,0)), HYPERLINK("#",""), HYPERLINK(CONCATENATE("#metadata!", ADDRESS(INDEX($W$2:$W$1001,MATCH(ROWS($U$2:U224),$U$2:$U$1001,0),0), INDEX($AB$1004:$AQ$1004,1,MATCH(COLUMNS($AB$1006:AD1006),$AB$1006:$AQ$1006,0)))),"Fix")))</f>
        <v>0</v>
      </c>
      <c r="E224" s="4">
        <f>IF(OR(INDEX($V$2:$V$1001,MATCH(ROWS($U$2:U224),$U$2:$U$1001,0),1)&gt;=100000,INDEX($AB$1005:$AQ$1005,1,MATCH(COLUMNS($AB$1006:AE1006),$AB$1006:$AQ$1006,0))&gt;=100000), " ",IF(INDEX($AB$2:$AQ$1001,MATCH(ROWS($U$2:U224),$U$2:$U$1001,0),MATCH(COLUMNS($AB$1006:AE1006),$AB$1006:$AQ$1006,0)), HYPERLINK("#",""), HYPERLINK(CONCATENATE("#metadata!", ADDRESS(INDEX($W$2:$W$1001,MATCH(ROWS($U$2:U224),$U$2:$U$1001,0),0), INDEX($AB$1004:$AQ$1004,1,MATCH(COLUMNS($AB$1006:AE1006),$AB$1006:$AQ$1006,0)))),"Fix")))</f>
        <v>0</v>
      </c>
      <c r="F224" s="4">
        <f>IF(OR(INDEX($V$2:$V$1001,MATCH(ROWS($U$2:U224),$U$2:$U$1001,0),1)&gt;=100000,INDEX($AB$1005:$AQ$1005,1,MATCH(COLUMNS($AB$1006:AF1006),$AB$1006:$AQ$1006,0))&gt;=100000), " ",IF(INDEX($AB$2:$AQ$1001,MATCH(ROWS($U$2:U224),$U$2:$U$1001,0),MATCH(COLUMNS($AB$1006:AF1006),$AB$1006:$AQ$1006,0)), HYPERLINK("#",""), HYPERLINK(CONCATENATE("#metadata!", ADDRESS(INDEX($W$2:$W$1001,MATCH(ROWS($U$2:U224),$U$2:$U$1001,0),0), INDEX($AB$1004:$AQ$1004,1,MATCH(COLUMNS($AB$1006:AF1006),$AB$1006:$AQ$1006,0)))),"Fix")))</f>
        <v>0</v>
      </c>
      <c r="G224" s="4">
        <f>IF(OR(INDEX($V$2:$V$1001,MATCH(ROWS($U$2:U224),$U$2:$U$1001,0),1)&gt;=100000,INDEX($AB$1005:$AQ$1005,1,MATCH(COLUMNS($AB$1006:AG1006),$AB$1006:$AQ$1006,0))&gt;=100000), " ",IF(INDEX($AB$2:$AQ$1001,MATCH(ROWS($U$2:U224),$U$2:$U$1001,0),MATCH(COLUMNS($AB$1006:AG1006),$AB$1006:$AQ$1006,0)), HYPERLINK("#",""), HYPERLINK(CONCATENATE("#metadata!", ADDRESS(INDEX($W$2:$W$1001,MATCH(ROWS($U$2:U224),$U$2:$U$1001,0),0), INDEX($AB$1004:$AQ$1004,1,MATCH(COLUMNS($AB$1006:AG1006),$AB$1006:$AQ$1006,0)))),"Fix")))</f>
        <v>0</v>
      </c>
      <c r="H224" s="4">
        <f>IF(OR(INDEX($V$2:$V$1001,MATCH(ROWS($U$2:U224),$U$2:$U$1001,0),1)&gt;=100000,INDEX($AB$1005:$AQ$1005,1,MATCH(COLUMNS($AB$1006:AH1006),$AB$1006:$AQ$1006,0))&gt;=100000), " ",IF(INDEX($AB$2:$AQ$1001,MATCH(ROWS($U$2:U224),$U$2:$U$1001,0),MATCH(COLUMNS($AB$1006:AH1006),$AB$1006:$AQ$1006,0)), HYPERLINK("#",""), HYPERLINK(CONCATENATE("#metadata!", ADDRESS(INDEX($W$2:$W$1001,MATCH(ROWS($U$2:U224),$U$2:$U$1001,0),0), INDEX($AB$1004:$AQ$1004,1,MATCH(COLUMNS($AB$1006:AH1006),$AB$1006:$AQ$1006,0)))),"Fix")))</f>
        <v>0</v>
      </c>
      <c r="I224" s="4">
        <f>IF(OR(INDEX($V$2:$V$1001,MATCH(ROWS($U$2:U224),$U$2:$U$1001,0),1)&gt;=100000,INDEX($AB$1005:$AQ$1005,1,MATCH(COLUMNS($AB$1006:AI1006),$AB$1006:$AQ$1006,0))&gt;=100000), " ",IF(INDEX($AB$2:$AQ$1001,MATCH(ROWS($U$2:U224),$U$2:$U$1001,0),MATCH(COLUMNS($AB$1006:AI1006),$AB$1006:$AQ$1006,0)), HYPERLINK("#",""), HYPERLINK(CONCATENATE("#metadata!", ADDRESS(INDEX($W$2:$W$1001,MATCH(ROWS($U$2:U224),$U$2:$U$1001,0),0), INDEX($AB$1004:$AQ$1004,1,MATCH(COLUMNS($AB$1006:AI1006),$AB$1006:$AQ$1006,0)))),"Fix")))</f>
        <v>0</v>
      </c>
      <c r="J224" s="4">
        <f>IF(OR(INDEX($V$2:$V$1001,MATCH(ROWS($U$2:U224),$U$2:$U$1001,0),1)&gt;=100000,INDEX($AB$1005:$AQ$1005,1,MATCH(COLUMNS($AB$1006:AJ1006),$AB$1006:$AQ$1006,0))&gt;=100000), " ",IF(INDEX($AB$2:$AQ$1001,MATCH(ROWS($U$2:U224),$U$2:$U$1001,0),MATCH(COLUMNS($AB$1006:AJ1006),$AB$1006:$AQ$1006,0)), HYPERLINK("#",""), HYPERLINK(CONCATENATE("#metadata!", ADDRESS(INDEX($W$2:$W$1001,MATCH(ROWS($U$2:U224),$U$2:$U$1001,0),0), INDEX($AB$1004:$AQ$1004,1,MATCH(COLUMNS($AB$1006:AJ1006),$AB$1006:$AQ$1006,0)))),"Fix")))</f>
        <v>0</v>
      </c>
      <c r="K224" s="4">
        <f>IF(OR(INDEX($V$2:$V$1001,MATCH(ROWS($U$2:U224),$U$2:$U$1001,0),1)&gt;=100000,INDEX($AB$1005:$AQ$1005,1,MATCH(COLUMNS($AB$1006:AK1006),$AB$1006:$AQ$1006,0))&gt;=100000), " ",IF(INDEX($AB$2:$AQ$1001,MATCH(ROWS($U$2:U224),$U$2:$U$1001,0),MATCH(COLUMNS($AB$1006:AK1006),$AB$1006:$AQ$1006,0)), HYPERLINK("#",""), HYPERLINK(CONCATENATE("#metadata!", ADDRESS(INDEX($W$2:$W$1001,MATCH(ROWS($U$2:U224),$U$2:$U$1001,0),0), INDEX($AB$1004:$AQ$1004,1,MATCH(COLUMNS($AB$1006:AK1006),$AB$1006:$AQ$1006,0)))),"Fix")))</f>
        <v>0</v>
      </c>
      <c r="L224" s="4">
        <f>IF(OR(INDEX($V$2:$V$1001,MATCH(ROWS($U$2:U224),$U$2:$U$1001,0),1)&gt;=100000,INDEX($AB$1005:$AQ$1005,1,MATCH(COLUMNS($AB$1006:AL1006),$AB$1006:$AQ$1006,0))&gt;=100000), " ",IF(INDEX($AB$2:$AQ$1001,MATCH(ROWS($U$2:U224),$U$2:$U$1001,0),MATCH(COLUMNS($AB$1006:AL1006),$AB$1006:$AQ$1006,0)), HYPERLINK("#",""), HYPERLINK(CONCATENATE("#metadata!", ADDRESS(INDEX($W$2:$W$1001,MATCH(ROWS($U$2:U224),$U$2:$U$1001,0),0), INDEX($AB$1004:$AQ$1004,1,MATCH(COLUMNS($AB$1006:AL1006),$AB$1006:$AQ$1006,0)))),"Fix")))</f>
        <v>0</v>
      </c>
      <c r="M224" s="4">
        <f>IF(OR(INDEX($V$2:$V$1001,MATCH(ROWS($U$2:U224),$U$2:$U$1001,0),1)&gt;=100000,INDEX($AB$1005:$AQ$1005,1,MATCH(COLUMNS($AB$1006:AM1006),$AB$1006:$AQ$1006,0))&gt;=100000), " ",IF(INDEX($AB$2:$AQ$1001,MATCH(ROWS($U$2:U224),$U$2:$U$1001,0),MATCH(COLUMNS($AB$1006:AM1006),$AB$1006:$AQ$1006,0)), HYPERLINK("#",""), HYPERLINK(CONCATENATE("#metadata!", ADDRESS(INDEX($W$2:$W$1001,MATCH(ROWS($U$2:U224),$U$2:$U$1001,0),0), INDEX($AB$1004:$AQ$1004,1,MATCH(COLUMNS($AB$1006:AM1006),$AB$1006:$AQ$1006,0)))),"Fix")))</f>
        <v>0</v>
      </c>
      <c r="N224" s="4">
        <f>IF(OR(INDEX($V$2:$V$1001,MATCH(ROWS($U$2:U224),$U$2:$U$1001,0),1)&gt;=100000,INDEX($AB$1005:$AQ$1005,1,MATCH(COLUMNS($AB$1006:AN1006),$AB$1006:$AQ$1006,0))&gt;=100000), " ",IF(INDEX($AB$2:$AQ$1001,MATCH(ROWS($U$2:U224),$U$2:$U$1001,0),MATCH(COLUMNS($AB$1006:AN1006),$AB$1006:$AQ$1006,0)), HYPERLINK("#",""), HYPERLINK(CONCATENATE("#metadata!", ADDRESS(INDEX($W$2:$W$1001,MATCH(ROWS($U$2:U224),$U$2:$U$1001,0),0), INDEX($AB$1004:$AQ$1004,1,MATCH(COLUMNS($AB$1006:AN1006),$AB$1006:$AQ$1006,0)))),"Fix")))</f>
        <v>0</v>
      </c>
      <c r="O224" s="4">
        <f>IF(OR(INDEX($V$2:$V$1001,MATCH(ROWS($U$2:U224),$U$2:$U$1001,0),1)&gt;=100000,INDEX($AB$1005:$AQ$1005,1,MATCH(COLUMNS($AB$1006:AO1006),$AB$1006:$AQ$1006,0))&gt;=100000), " ",IF(INDEX($AB$2:$AQ$1001,MATCH(ROWS($U$2:U224),$U$2:$U$1001,0),MATCH(COLUMNS($AB$1006:AO1006),$AB$1006:$AQ$1006,0)), HYPERLINK("#",""), HYPERLINK(CONCATENATE("#metadata!", ADDRESS(INDEX($W$2:$W$1001,MATCH(ROWS($U$2:U224),$U$2:$U$1001,0),0), INDEX($AB$1004:$AQ$1004,1,MATCH(COLUMNS($AB$1006:AO1006),$AB$1006:$AQ$1006,0)))),"Fix")))</f>
        <v>0</v>
      </c>
      <c r="P224" s="4">
        <f>IF(OR(INDEX($V$2:$V$1001,MATCH(ROWS($U$2:U224),$U$2:$U$1001,0),1)&gt;=100000,INDEX($AB$1005:$AQ$1005,1,MATCH(COLUMNS($AB$1006:AP1006),$AB$1006:$AQ$1006,0))&gt;=100000), " ",IF(INDEX($AB$2:$AQ$1001,MATCH(ROWS($U$2:U224),$U$2:$U$1001,0),MATCH(COLUMNS($AB$1006:AP1006),$AB$1006:$AQ$1006,0)), HYPERLINK("#",""), HYPERLINK(CONCATENATE("#metadata!", ADDRESS(INDEX($W$2:$W$1001,MATCH(ROWS($U$2:U224),$U$2:$U$1001,0),0), INDEX($AB$1004:$AQ$1004,1,MATCH(COLUMNS($AB$1006:AP1006),$AB$1006:$AQ$1006,0)))),"Fix")))</f>
        <v>0</v>
      </c>
      <c r="Q224" s="4">
        <f>IF(OR(INDEX($V$2:$V$1001,MATCH(ROWS($U$2:U224),$U$2:$U$1001,0),1)&gt;=100000,INDEX($AB$1005:$AQ$1005,1,MATCH(COLUMNS($AB$1006:AQ1006),$AB$1006:$AQ$1006,0))&gt;=100000), " ",IF(INDEX($AB$2:$AQ$1001,MATCH(ROWS($U$2:U224),$U$2:$U$1001,0),MATCH(COLUMNS($AB$1006:AQ1006),$AB$1006:$AQ$1006,0)), HYPERLINK("#",""), HYPERLINK(CONCATENATE("#metadata!", ADDRESS(INDEX($W$2:$W$1001,MATCH(ROWS($U$2:U224),$U$2:$U$1001,0),0), INDEX($AB$1004:$AQ$1004,1,MATCH(COLUMNS($AB$1006:AQ1006),$AB$1006:$AQ$1006,0)))),"Fix")))</f>
        <v>0</v>
      </c>
      <c r="U224">
        <v>0</v>
      </c>
      <c r="V224">
        <v>0</v>
      </c>
      <c r="W224">
        <v>0</v>
      </c>
      <c r="X224">
        <f>IF(Y224,TRUE,AND(AB224:AQ224))</f>
        <v>0</v>
      </c>
      <c r="Y224">
        <f>COUNTBLANK(metadata!B224:Q224)=COLUMNS(metadata!B224:Q224)</f>
        <v>0</v>
      </c>
      <c r="Z224">
        <v>0</v>
      </c>
      <c r="AB224">
        <f>AND(IF(metadata!B224="",FALSE,TRUE),COUNTIF(metadata!B:B, metadata!B224) = 1,NOT(ISERROR(SUMPRODUCT(SEARCH(MID(metadata!B224,ROW(INDIRECT("1:"&amp;LEN(metadata!B224))), 1),"0123456789abcdefghijklmnopqrstuvwxyzABCDEFGHIJKLMNOPQRSTUVWXYZ.")))))</f>
        <v>0</v>
      </c>
      <c r="AC224">
        <f>OR(AND(IF(metadata!C224="",FALSE,TRUE),OR(exact(metadata!C224,"missing: not collected"),exact(metadata!C224,"missing: not provided"),exact(metadata!C224,"missing: restricted access"))),AND(IF(metadata!C224="",FALSE,TRUE),AND(AND(IFERROR(INT(LEFT(metadata!C224,4))&gt;1900,FALSE),IFERROR(INT(LEFT(metadata!C224,4))&lt;=YEAR(NOW()),FALSE)), OR(MID(metadata!C224,5,1)="", AND(AND(MID(metadata!C224,5,1)="-",IFERROR(INT(MID(metadata!C224,6,1))&gt;=0,FALSE),IFERROR(INT(MID(metadata!C224,6,1))&lt;=1,FALSE),NOT(MID(metadata!C224,7,1)=""),IFERROR(INT(MID(metadata!C224,6,2))&gt;=1,FALSE),IFERROR(INT(MID(metadata!C224,6,2))&lt;=12,FALSE)), OR(MID(metadata!C224,8,1)="", AND(AND(MID(metadata!C224,8,1)="-",IFERROR(INT(MID(metadata!C224,9,1))&gt;=0,FALSE),IFERROR(INT(MID(metadata!C224,9,1))&lt;=3,FALSE),NOT(MID(metadata!C224,10,1)=""),IFERROR(INT(MID(metadata!C224,9,2))&gt;=1,FALSE),IFERROR(INT(MID(metadata!C224,9,2))&lt;=31,FALSE)), OR(MID(metadata!C224,11,1)="", AND(AND(MID(metadata!C224,11,1)=" ",IFERROR(INT(MID(metadata!C224,12,1))&gt;=0,FALSE),IFERROR(INT(MID(metadata!C224,12,1))&lt;=2,FALSE),NOT(MID(metadata!C224,13,1)=""),IFERROR(INT(MID(metadata!C224,12,2))&gt;=0,FALSE),IFERROR(INT(MID(metadata!C224,12,2))&lt;=23,FALSE)), OR(MID(metadata!C224,14,1)="", AND(AND(MID(metadata!C224,14,1)=":",IFERROR(INT(MID(metadata!C224,15,1))&gt;=0,FALSE),IFERROR(INT(MID(metadata!C224,15,1))&lt;=5,FALSE),NOT(MID(metadata!C224,16,1)=""),IFERROR(INT(MID(metadata!C224,15,2))&gt;=0,FALSE),IFERROR(INT(MID(metadata!C224,15,2))&lt;=59,FALSE)), OR(MID(metadata!C224,17,1)="", AND(AND(MID(metadata!C224,17,1)=":",IFERROR(INT(MID(metadata!C224,18,1))&gt;=0,FALSE),IFERROR(INT(MID(metadata!C224,18,1))&lt;=5,FALSE),NOT(MID(metadata!C224,19,1)=""),IFERROR(INT(MID(metadata!C224,18,2))&gt;=0,FALSE),IFERROR(INT(MID(metadata!C224,18,2))&lt;=59,FALSE)), LEN(metadata!C224)&lt;=19)))))))))))))</f>
        <v>0</v>
      </c>
      <c r="AD224">
        <f>IF(metadata!D224="",FALSE,TRUE)</f>
        <v>0</v>
      </c>
      <c r="AE224">
        <f>OR(AND(IF(metadata!E224="",FALSE,TRUE),OR(exact(metadata!E224,"missing: not collected"),exact(metadata!E224,"missing: not provided"))),AND(IF(metadata!E224="",FALSE,TRUE),OR(exact(metadata!E224,"TRUE"),exact(metadata!E224,"FALSE"))))</f>
        <v>0</v>
      </c>
      <c r="AF224">
        <f>IF(metadata!F224="",FALSE,TRUE)</f>
        <v>0</v>
      </c>
      <c r="AG224">
        <f>IF(metadata!G224="",FALSE,TRUE)</f>
        <v>0</v>
      </c>
      <c r="AH224">
        <f>IF(metadata!H224="",FALSE,TRUE)</f>
        <v>0</v>
      </c>
      <c r="AI224">
        <f>OR(AND(IF(metadata!I224="",FALSE,TRUE),OR(exact(metadata!I224,"missing: not collected"),exact(metadata!I224,"missing: not provided"),exact(metadata!I224,"missing: restricted access"))),AND(IF(metadata!I224="",FALSE,TRUE),OR(exact(metadata!I224,"air"),exact(metadata!I224,"built environment"),exact(metadata!I224,"host-associated"),exact(metadata!I224,"human-associated"),exact(metadata!I224,"human-skin"),exact(metadata!I224,"human-oral"),exact(metadata!I224,"human-gut"),exact(metadata!I224,"human-vaginal"),exact(metadata!I224,"microbial mat/biofilm"),exact(metadata!I224,"misc environment"),exact(metadata!I224,"plant-associated"),exact(metadata!I224,"sediment"),exact(metadata!I224,"soil"),exact(metadata!I224,"wastewater/sludge"),exact(metadata!I224,"water"))))</f>
        <v>0</v>
      </c>
      <c r="AJ224">
        <f>IF(metadata!J224="",FALSE,TRUE)</f>
        <v>0</v>
      </c>
      <c r="AK224">
        <f>OR(AND(IF(metadata!K224="",FALSE,TRUE),OR(exact(metadata!K224,"missing: not collected"),exact(metadata!K224,"missing: not provided"),exact(metadata!K224,"missing: restricted access"))),AND(IF(metadata!K224="",FALSE,ISNUMBER(VALUE(metadata!K224))),metadata!K224&gt;=-90.00,metadata!K224&lt;=90.00))</f>
        <v>0</v>
      </c>
      <c r="AL224">
        <f>OR(AND(IF(metadata!L224="",FALSE,TRUE),OR(exact(metadata!L224,"missing: not collected"),exact(metadata!L224,"missing: not provided"),exact(metadata!L224,"missing: restricted access"))),AND(IF(metadata!L224="",FALSE,ISNUMBER(VALUE(metadata!L224))),metadata!L224&gt;=-180.00,metadata!L224&lt;=180.00))</f>
        <v>0</v>
      </c>
      <c r="AM224">
        <f>IF(metadata!M224="",FALSE,TRUE)</f>
        <v>0</v>
      </c>
      <c r="AN224">
        <f>OR(AND(IF(metadata!N224="",FALSE,TRUE),OR(exact(metadata!N224,"missing: not collected"),exact(metadata!N224,"missing: not provided"),exact(metadata!N224,"missing: restricted access"))),AND(IF(metadata!N224="",FALSE,TRUE),OR(exact(metadata!N224,"TRUE"),exact(metadata!N224,"FALSE"))))</f>
        <v>0</v>
      </c>
      <c r="AO224">
        <f>IF(metadata!O224="",FALSE,TRUE)</f>
        <v>0</v>
      </c>
      <c r="AP224">
        <f>OR(AND(IF(metadata!P224="",FALSE,TRUE),OR(exact(metadata!P224,"missing: not collected"),exact(metadata!P224,"missing: not provided"))),AND(IF(metadata!P224="",FALSE,IF(ISERROR(INT(metadata!P224)),FALSE,INT(metadata!P224)=metadata!P224)),metadata!P224&gt;0))</f>
        <v>0</v>
      </c>
      <c r="AQ224">
        <f>IF(metadata!Q224="",FALSE,TRUE)</f>
        <v>0</v>
      </c>
    </row>
    <row r="225" spans="1:43">
      <c r="A225" s="5">
        <f>IF(B225=" "," ",HYPERLINK(CONCATENATE("#metadata!",ADDRESS(INDEX($W$2:$W$1001,MATCH(ROWS($U$2:U225),$U$2:$U$1001,0),0),1)),INDEX($Z$2:$Z$1001,MATCH(ROWS($U$2:U225),$U$2:$U$1001,0),0)))</f>
        <v>0</v>
      </c>
      <c r="B225" s="4">
        <f>IF(OR(INDEX($V$2:$V$1001,MATCH(ROWS($U$2:U225),$U$2:$U$1001,0),1)&gt;=100000,INDEX($AB$1005:$AQ$1005,1,MATCH(COLUMNS($AB$1006:AB1006),$AB$1006:$AQ$1006,0))&gt;=100000), " ",IF(INDEX($AB$2:$AQ$1001,MATCH(ROWS($U$2:U225),$U$2:$U$1001,0),MATCH(COLUMNS($AB$1006:AB1006),$AB$1006:$AQ$1006,0)), HYPERLINK("#",""), HYPERLINK(CONCATENATE("#metadata!", ADDRESS(INDEX($W$2:$W$1001,MATCH(ROWS($U$2:U225),$U$2:$U$1001,0),0), INDEX($AB$1004:$AQ$1004,1,MATCH(COLUMNS($AB$1006:AB1006),$AB$1006:$AQ$1006,0)))),"Fix")))</f>
        <v>0</v>
      </c>
      <c r="C225" s="4">
        <f>IF(OR(INDEX($V$2:$V$1001,MATCH(ROWS($U$2:U225),$U$2:$U$1001,0),1)&gt;=100000,INDEX($AB$1005:$AQ$1005,1,MATCH(COLUMNS($AB$1006:AC1006),$AB$1006:$AQ$1006,0))&gt;=100000), " ",IF(INDEX($AB$2:$AQ$1001,MATCH(ROWS($U$2:U225),$U$2:$U$1001,0),MATCH(COLUMNS($AB$1006:AC1006),$AB$1006:$AQ$1006,0)), HYPERLINK("#",""), HYPERLINK(CONCATENATE("#metadata!", ADDRESS(INDEX($W$2:$W$1001,MATCH(ROWS($U$2:U225),$U$2:$U$1001,0),0), INDEX($AB$1004:$AQ$1004,1,MATCH(COLUMNS($AB$1006:AC1006),$AB$1006:$AQ$1006,0)))),"Fix")))</f>
        <v>0</v>
      </c>
      <c r="D225" s="4">
        <f>IF(OR(INDEX($V$2:$V$1001,MATCH(ROWS($U$2:U225),$U$2:$U$1001,0),1)&gt;=100000,INDEX($AB$1005:$AQ$1005,1,MATCH(COLUMNS($AB$1006:AD1006),$AB$1006:$AQ$1006,0))&gt;=100000), " ",IF(INDEX($AB$2:$AQ$1001,MATCH(ROWS($U$2:U225),$U$2:$U$1001,0),MATCH(COLUMNS($AB$1006:AD1006),$AB$1006:$AQ$1006,0)), HYPERLINK("#",""), HYPERLINK(CONCATENATE("#metadata!", ADDRESS(INDEX($W$2:$W$1001,MATCH(ROWS($U$2:U225),$U$2:$U$1001,0),0), INDEX($AB$1004:$AQ$1004,1,MATCH(COLUMNS($AB$1006:AD1006),$AB$1006:$AQ$1006,0)))),"Fix")))</f>
        <v>0</v>
      </c>
      <c r="E225" s="4">
        <f>IF(OR(INDEX($V$2:$V$1001,MATCH(ROWS($U$2:U225),$U$2:$U$1001,0),1)&gt;=100000,INDEX($AB$1005:$AQ$1005,1,MATCH(COLUMNS($AB$1006:AE1006),$AB$1006:$AQ$1006,0))&gt;=100000), " ",IF(INDEX($AB$2:$AQ$1001,MATCH(ROWS($U$2:U225),$U$2:$U$1001,0),MATCH(COLUMNS($AB$1006:AE1006),$AB$1006:$AQ$1006,0)), HYPERLINK("#",""), HYPERLINK(CONCATENATE("#metadata!", ADDRESS(INDEX($W$2:$W$1001,MATCH(ROWS($U$2:U225),$U$2:$U$1001,0),0), INDEX($AB$1004:$AQ$1004,1,MATCH(COLUMNS($AB$1006:AE1006),$AB$1006:$AQ$1006,0)))),"Fix")))</f>
        <v>0</v>
      </c>
      <c r="F225" s="4">
        <f>IF(OR(INDEX($V$2:$V$1001,MATCH(ROWS($U$2:U225),$U$2:$U$1001,0),1)&gt;=100000,INDEX($AB$1005:$AQ$1005,1,MATCH(COLUMNS($AB$1006:AF1006),$AB$1006:$AQ$1006,0))&gt;=100000), " ",IF(INDEX($AB$2:$AQ$1001,MATCH(ROWS($U$2:U225),$U$2:$U$1001,0),MATCH(COLUMNS($AB$1006:AF1006),$AB$1006:$AQ$1006,0)), HYPERLINK("#",""), HYPERLINK(CONCATENATE("#metadata!", ADDRESS(INDEX($W$2:$W$1001,MATCH(ROWS($U$2:U225),$U$2:$U$1001,0),0), INDEX($AB$1004:$AQ$1004,1,MATCH(COLUMNS($AB$1006:AF1006),$AB$1006:$AQ$1006,0)))),"Fix")))</f>
        <v>0</v>
      </c>
      <c r="G225" s="4">
        <f>IF(OR(INDEX($V$2:$V$1001,MATCH(ROWS($U$2:U225),$U$2:$U$1001,0),1)&gt;=100000,INDEX($AB$1005:$AQ$1005,1,MATCH(COLUMNS($AB$1006:AG1006),$AB$1006:$AQ$1006,0))&gt;=100000), " ",IF(INDEX($AB$2:$AQ$1001,MATCH(ROWS($U$2:U225),$U$2:$U$1001,0),MATCH(COLUMNS($AB$1006:AG1006),$AB$1006:$AQ$1006,0)), HYPERLINK("#",""), HYPERLINK(CONCATENATE("#metadata!", ADDRESS(INDEX($W$2:$W$1001,MATCH(ROWS($U$2:U225),$U$2:$U$1001,0),0), INDEX($AB$1004:$AQ$1004,1,MATCH(COLUMNS($AB$1006:AG1006),$AB$1006:$AQ$1006,0)))),"Fix")))</f>
        <v>0</v>
      </c>
      <c r="H225" s="4">
        <f>IF(OR(INDEX($V$2:$V$1001,MATCH(ROWS($U$2:U225),$U$2:$U$1001,0),1)&gt;=100000,INDEX($AB$1005:$AQ$1005,1,MATCH(COLUMNS($AB$1006:AH1006),$AB$1006:$AQ$1006,0))&gt;=100000), " ",IF(INDEX($AB$2:$AQ$1001,MATCH(ROWS($U$2:U225),$U$2:$U$1001,0),MATCH(COLUMNS($AB$1006:AH1006),$AB$1006:$AQ$1006,0)), HYPERLINK("#",""), HYPERLINK(CONCATENATE("#metadata!", ADDRESS(INDEX($W$2:$W$1001,MATCH(ROWS($U$2:U225),$U$2:$U$1001,0),0), INDEX($AB$1004:$AQ$1004,1,MATCH(COLUMNS($AB$1006:AH1006),$AB$1006:$AQ$1006,0)))),"Fix")))</f>
        <v>0</v>
      </c>
      <c r="I225" s="4">
        <f>IF(OR(INDEX($V$2:$V$1001,MATCH(ROWS($U$2:U225),$U$2:$U$1001,0),1)&gt;=100000,INDEX($AB$1005:$AQ$1005,1,MATCH(COLUMNS($AB$1006:AI1006),$AB$1006:$AQ$1006,0))&gt;=100000), " ",IF(INDEX($AB$2:$AQ$1001,MATCH(ROWS($U$2:U225),$U$2:$U$1001,0),MATCH(COLUMNS($AB$1006:AI1006),$AB$1006:$AQ$1006,0)), HYPERLINK("#",""), HYPERLINK(CONCATENATE("#metadata!", ADDRESS(INDEX($W$2:$W$1001,MATCH(ROWS($U$2:U225),$U$2:$U$1001,0),0), INDEX($AB$1004:$AQ$1004,1,MATCH(COLUMNS($AB$1006:AI1006),$AB$1006:$AQ$1006,0)))),"Fix")))</f>
        <v>0</v>
      </c>
      <c r="J225" s="4">
        <f>IF(OR(INDEX($V$2:$V$1001,MATCH(ROWS($U$2:U225),$U$2:$U$1001,0),1)&gt;=100000,INDEX($AB$1005:$AQ$1005,1,MATCH(COLUMNS($AB$1006:AJ1006),$AB$1006:$AQ$1006,0))&gt;=100000), " ",IF(INDEX($AB$2:$AQ$1001,MATCH(ROWS($U$2:U225),$U$2:$U$1001,0),MATCH(COLUMNS($AB$1006:AJ1006),$AB$1006:$AQ$1006,0)), HYPERLINK("#",""), HYPERLINK(CONCATENATE("#metadata!", ADDRESS(INDEX($W$2:$W$1001,MATCH(ROWS($U$2:U225),$U$2:$U$1001,0),0), INDEX($AB$1004:$AQ$1004,1,MATCH(COLUMNS($AB$1006:AJ1006),$AB$1006:$AQ$1006,0)))),"Fix")))</f>
        <v>0</v>
      </c>
      <c r="K225" s="4">
        <f>IF(OR(INDEX($V$2:$V$1001,MATCH(ROWS($U$2:U225),$U$2:$U$1001,0),1)&gt;=100000,INDEX($AB$1005:$AQ$1005,1,MATCH(COLUMNS($AB$1006:AK1006),$AB$1006:$AQ$1006,0))&gt;=100000), " ",IF(INDEX($AB$2:$AQ$1001,MATCH(ROWS($U$2:U225),$U$2:$U$1001,0),MATCH(COLUMNS($AB$1006:AK1006),$AB$1006:$AQ$1006,0)), HYPERLINK("#",""), HYPERLINK(CONCATENATE("#metadata!", ADDRESS(INDEX($W$2:$W$1001,MATCH(ROWS($U$2:U225),$U$2:$U$1001,0),0), INDEX($AB$1004:$AQ$1004,1,MATCH(COLUMNS($AB$1006:AK1006),$AB$1006:$AQ$1006,0)))),"Fix")))</f>
        <v>0</v>
      </c>
      <c r="L225" s="4">
        <f>IF(OR(INDEX($V$2:$V$1001,MATCH(ROWS($U$2:U225),$U$2:$U$1001,0),1)&gt;=100000,INDEX($AB$1005:$AQ$1005,1,MATCH(COLUMNS($AB$1006:AL1006),$AB$1006:$AQ$1006,0))&gt;=100000), " ",IF(INDEX($AB$2:$AQ$1001,MATCH(ROWS($U$2:U225),$U$2:$U$1001,0),MATCH(COLUMNS($AB$1006:AL1006),$AB$1006:$AQ$1006,0)), HYPERLINK("#",""), HYPERLINK(CONCATENATE("#metadata!", ADDRESS(INDEX($W$2:$W$1001,MATCH(ROWS($U$2:U225),$U$2:$U$1001,0),0), INDEX($AB$1004:$AQ$1004,1,MATCH(COLUMNS($AB$1006:AL1006),$AB$1006:$AQ$1006,0)))),"Fix")))</f>
        <v>0</v>
      </c>
      <c r="M225" s="4">
        <f>IF(OR(INDEX($V$2:$V$1001,MATCH(ROWS($U$2:U225),$U$2:$U$1001,0),1)&gt;=100000,INDEX($AB$1005:$AQ$1005,1,MATCH(COLUMNS($AB$1006:AM1006),$AB$1006:$AQ$1006,0))&gt;=100000), " ",IF(INDEX($AB$2:$AQ$1001,MATCH(ROWS($U$2:U225),$U$2:$U$1001,0),MATCH(COLUMNS($AB$1006:AM1006),$AB$1006:$AQ$1006,0)), HYPERLINK("#",""), HYPERLINK(CONCATENATE("#metadata!", ADDRESS(INDEX($W$2:$W$1001,MATCH(ROWS($U$2:U225),$U$2:$U$1001,0),0), INDEX($AB$1004:$AQ$1004,1,MATCH(COLUMNS($AB$1006:AM1006),$AB$1006:$AQ$1006,0)))),"Fix")))</f>
        <v>0</v>
      </c>
      <c r="N225" s="4">
        <f>IF(OR(INDEX($V$2:$V$1001,MATCH(ROWS($U$2:U225),$U$2:$U$1001,0),1)&gt;=100000,INDEX($AB$1005:$AQ$1005,1,MATCH(COLUMNS($AB$1006:AN1006),$AB$1006:$AQ$1006,0))&gt;=100000), " ",IF(INDEX($AB$2:$AQ$1001,MATCH(ROWS($U$2:U225),$U$2:$U$1001,0),MATCH(COLUMNS($AB$1006:AN1006),$AB$1006:$AQ$1006,0)), HYPERLINK("#",""), HYPERLINK(CONCATENATE("#metadata!", ADDRESS(INDEX($W$2:$W$1001,MATCH(ROWS($U$2:U225),$U$2:$U$1001,0),0), INDEX($AB$1004:$AQ$1004,1,MATCH(COLUMNS($AB$1006:AN1006),$AB$1006:$AQ$1006,0)))),"Fix")))</f>
        <v>0</v>
      </c>
      <c r="O225" s="4">
        <f>IF(OR(INDEX($V$2:$V$1001,MATCH(ROWS($U$2:U225),$U$2:$U$1001,0),1)&gt;=100000,INDEX($AB$1005:$AQ$1005,1,MATCH(COLUMNS($AB$1006:AO1006),$AB$1006:$AQ$1006,0))&gt;=100000), " ",IF(INDEX($AB$2:$AQ$1001,MATCH(ROWS($U$2:U225),$U$2:$U$1001,0),MATCH(COLUMNS($AB$1006:AO1006),$AB$1006:$AQ$1006,0)), HYPERLINK("#",""), HYPERLINK(CONCATENATE("#metadata!", ADDRESS(INDEX($W$2:$W$1001,MATCH(ROWS($U$2:U225),$U$2:$U$1001,0),0), INDEX($AB$1004:$AQ$1004,1,MATCH(COLUMNS($AB$1006:AO1006),$AB$1006:$AQ$1006,0)))),"Fix")))</f>
        <v>0</v>
      </c>
      <c r="P225" s="4">
        <f>IF(OR(INDEX($V$2:$V$1001,MATCH(ROWS($U$2:U225),$U$2:$U$1001,0),1)&gt;=100000,INDEX($AB$1005:$AQ$1005,1,MATCH(COLUMNS($AB$1006:AP1006),$AB$1006:$AQ$1006,0))&gt;=100000), " ",IF(INDEX($AB$2:$AQ$1001,MATCH(ROWS($U$2:U225),$U$2:$U$1001,0),MATCH(COLUMNS($AB$1006:AP1006),$AB$1006:$AQ$1006,0)), HYPERLINK("#",""), HYPERLINK(CONCATENATE("#metadata!", ADDRESS(INDEX($W$2:$W$1001,MATCH(ROWS($U$2:U225),$U$2:$U$1001,0),0), INDEX($AB$1004:$AQ$1004,1,MATCH(COLUMNS($AB$1006:AP1006),$AB$1006:$AQ$1006,0)))),"Fix")))</f>
        <v>0</v>
      </c>
      <c r="Q225" s="4">
        <f>IF(OR(INDEX($V$2:$V$1001,MATCH(ROWS($U$2:U225),$U$2:$U$1001,0),1)&gt;=100000,INDEX($AB$1005:$AQ$1005,1,MATCH(COLUMNS($AB$1006:AQ1006),$AB$1006:$AQ$1006,0))&gt;=100000), " ",IF(INDEX($AB$2:$AQ$1001,MATCH(ROWS($U$2:U225),$U$2:$U$1001,0),MATCH(COLUMNS($AB$1006:AQ1006),$AB$1006:$AQ$1006,0)), HYPERLINK("#",""), HYPERLINK(CONCATENATE("#metadata!", ADDRESS(INDEX($W$2:$W$1001,MATCH(ROWS($U$2:U225),$U$2:$U$1001,0),0), INDEX($AB$1004:$AQ$1004,1,MATCH(COLUMNS($AB$1006:AQ1006),$AB$1006:$AQ$1006,0)))),"Fix")))</f>
        <v>0</v>
      </c>
      <c r="U225">
        <v>0</v>
      </c>
      <c r="V225">
        <v>0</v>
      </c>
      <c r="W225">
        <v>0</v>
      </c>
      <c r="X225">
        <f>IF(Y225,TRUE,AND(AB225:AQ225))</f>
        <v>0</v>
      </c>
      <c r="Y225">
        <f>COUNTBLANK(metadata!B225:Q225)=COLUMNS(metadata!B225:Q225)</f>
        <v>0</v>
      </c>
      <c r="Z225">
        <v>0</v>
      </c>
      <c r="AB225">
        <f>AND(IF(metadata!B225="",FALSE,TRUE),COUNTIF(metadata!B:B, metadata!B225) = 1,NOT(ISERROR(SUMPRODUCT(SEARCH(MID(metadata!B225,ROW(INDIRECT("1:"&amp;LEN(metadata!B225))), 1),"0123456789abcdefghijklmnopqrstuvwxyzABCDEFGHIJKLMNOPQRSTUVWXYZ.")))))</f>
        <v>0</v>
      </c>
      <c r="AC225">
        <f>OR(AND(IF(metadata!C225="",FALSE,TRUE),OR(exact(metadata!C225,"missing: not collected"),exact(metadata!C225,"missing: not provided"),exact(metadata!C225,"missing: restricted access"))),AND(IF(metadata!C225="",FALSE,TRUE),AND(AND(IFERROR(INT(LEFT(metadata!C225,4))&gt;1900,FALSE),IFERROR(INT(LEFT(metadata!C225,4))&lt;=YEAR(NOW()),FALSE)), OR(MID(metadata!C225,5,1)="", AND(AND(MID(metadata!C225,5,1)="-",IFERROR(INT(MID(metadata!C225,6,1))&gt;=0,FALSE),IFERROR(INT(MID(metadata!C225,6,1))&lt;=1,FALSE),NOT(MID(metadata!C225,7,1)=""),IFERROR(INT(MID(metadata!C225,6,2))&gt;=1,FALSE),IFERROR(INT(MID(metadata!C225,6,2))&lt;=12,FALSE)), OR(MID(metadata!C225,8,1)="", AND(AND(MID(metadata!C225,8,1)="-",IFERROR(INT(MID(metadata!C225,9,1))&gt;=0,FALSE),IFERROR(INT(MID(metadata!C225,9,1))&lt;=3,FALSE),NOT(MID(metadata!C225,10,1)=""),IFERROR(INT(MID(metadata!C225,9,2))&gt;=1,FALSE),IFERROR(INT(MID(metadata!C225,9,2))&lt;=31,FALSE)), OR(MID(metadata!C225,11,1)="", AND(AND(MID(metadata!C225,11,1)=" ",IFERROR(INT(MID(metadata!C225,12,1))&gt;=0,FALSE),IFERROR(INT(MID(metadata!C225,12,1))&lt;=2,FALSE),NOT(MID(metadata!C225,13,1)=""),IFERROR(INT(MID(metadata!C225,12,2))&gt;=0,FALSE),IFERROR(INT(MID(metadata!C225,12,2))&lt;=23,FALSE)), OR(MID(metadata!C225,14,1)="", AND(AND(MID(metadata!C225,14,1)=":",IFERROR(INT(MID(metadata!C225,15,1))&gt;=0,FALSE),IFERROR(INT(MID(metadata!C225,15,1))&lt;=5,FALSE),NOT(MID(metadata!C225,16,1)=""),IFERROR(INT(MID(metadata!C225,15,2))&gt;=0,FALSE),IFERROR(INT(MID(metadata!C225,15,2))&lt;=59,FALSE)), OR(MID(metadata!C225,17,1)="", AND(AND(MID(metadata!C225,17,1)=":",IFERROR(INT(MID(metadata!C225,18,1))&gt;=0,FALSE),IFERROR(INT(MID(metadata!C225,18,1))&lt;=5,FALSE),NOT(MID(metadata!C225,19,1)=""),IFERROR(INT(MID(metadata!C225,18,2))&gt;=0,FALSE),IFERROR(INT(MID(metadata!C225,18,2))&lt;=59,FALSE)), LEN(metadata!C225)&lt;=19)))))))))))))</f>
        <v>0</v>
      </c>
      <c r="AD225">
        <f>IF(metadata!D225="",FALSE,TRUE)</f>
        <v>0</v>
      </c>
      <c r="AE225">
        <f>OR(AND(IF(metadata!E225="",FALSE,TRUE),OR(exact(metadata!E225,"missing: not collected"),exact(metadata!E225,"missing: not provided"))),AND(IF(metadata!E225="",FALSE,TRUE),OR(exact(metadata!E225,"TRUE"),exact(metadata!E225,"FALSE"))))</f>
        <v>0</v>
      </c>
      <c r="AF225">
        <f>IF(metadata!F225="",FALSE,TRUE)</f>
        <v>0</v>
      </c>
      <c r="AG225">
        <f>IF(metadata!G225="",FALSE,TRUE)</f>
        <v>0</v>
      </c>
      <c r="AH225">
        <f>IF(metadata!H225="",FALSE,TRUE)</f>
        <v>0</v>
      </c>
      <c r="AI225">
        <f>OR(AND(IF(metadata!I225="",FALSE,TRUE),OR(exact(metadata!I225,"missing: not collected"),exact(metadata!I225,"missing: not provided"),exact(metadata!I225,"missing: restricted access"))),AND(IF(metadata!I225="",FALSE,TRUE),OR(exact(metadata!I225,"air"),exact(metadata!I225,"built environment"),exact(metadata!I225,"host-associated"),exact(metadata!I225,"human-associated"),exact(metadata!I225,"human-skin"),exact(metadata!I225,"human-oral"),exact(metadata!I225,"human-gut"),exact(metadata!I225,"human-vaginal"),exact(metadata!I225,"microbial mat/biofilm"),exact(metadata!I225,"misc environment"),exact(metadata!I225,"plant-associated"),exact(metadata!I225,"sediment"),exact(metadata!I225,"soil"),exact(metadata!I225,"wastewater/sludge"),exact(metadata!I225,"water"))))</f>
        <v>0</v>
      </c>
      <c r="AJ225">
        <f>IF(metadata!J225="",FALSE,TRUE)</f>
        <v>0</v>
      </c>
      <c r="AK225">
        <f>OR(AND(IF(metadata!K225="",FALSE,TRUE),OR(exact(metadata!K225,"missing: not collected"),exact(metadata!K225,"missing: not provided"),exact(metadata!K225,"missing: restricted access"))),AND(IF(metadata!K225="",FALSE,ISNUMBER(VALUE(metadata!K225))),metadata!K225&gt;=-90.00,metadata!K225&lt;=90.00))</f>
        <v>0</v>
      </c>
      <c r="AL225">
        <f>OR(AND(IF(metadata!L225="",FALSE,TRUE),OR(exact(metadata!L225,"missing: not collected"),exact(metadata!L225,"missing: not provided"),exact(metadata!L225,"missing: restricted access"))),AND(IF(metadata!L225="",FALSE,ISNUMBER(VALUE(metadata!L225))),metadata!L225&gt;=-180.00,metadata!L225&lt;=180.00))</f>
        <v>0</v>
      </c>
      <c r="AM225">
        <f>IF(metadata!M225="",FALSE,TRUE)</f>
        <v>0</v>
      </c>
      <c r="AN225">
        <f>OR(AND(IF(metadata!N225="",FALSE,TRUE),OR(exact(metadata!N225,"missing: not collected"),exact(metadata!N225,"missing: not provided"),exact(metadata!N225,"missing: restricted access"))),AND(IF(metadata!N225="",FALSE,TRUE),OR(exact(metadata!N225,"TRUE"),exact(metadata!N225,"FALSE"))))</f>
        <v>0</v>
      </c>
      <c r="AO225">
        <f>IF(metadata!O225="",FALSE,TRUE)</f>
        <v>0</v>
      </c>
      <c r="AP225">
        <f>OR(AND(IF(metadata!P225="",FALSE,TRUE),OR(exact(metadata!P225,"missing: not collected"),exact(metadata!P225,"missing: not provided"))),AND(IF(metadata!P225="",FALSE,IF(ISERROR(INT(metadata!P225)),FALSE,INT(metadata!P225)=metadata!P225)),metadata!P225&gt;0))</f>
        <v>0</v>
      </c>
      <c r="AQ225">
        <f>IF(metadata!Q225="",FALSE,TRUE)</f>
        <v>0</v>
      </c>
    </row>
    <row r="226" spans="1:43">
      <c r="A226" s="5">
        <f>IF(B226=" "," ",HYPERLINK(CONCATENATE("#metadata!",ADDRESS(INDEX($W$2:$W$1001,MATCH(ROWS($U$2:U226),$U$2:$U$1001,0),0),1)),INDEX($Z$2:$Z$1001,MATCH(ROWS($U$2:U226),$U$2:$U$1001,0),0)))</f>
        <v>0</v>
      </c>
      <c r="B226" s="4">
        <f>IF(OR(INDEX($V$2:$V$1001,MATCH(ROWS($U$2:U226),$U$2:$U$1001,0),1)&gt;=100000,INDEX($AB$1005:$AQ$1005,1,MATCH(COLUMNS($AB$1006:AB1006),$AB$1006:$AQ$1006,0))&gt;=100000), " ",IF(INDEX($AB$2:$AQ$1001,MATCH(ROWS($U$2:U226),$U$2:$U$1001,0),MATCH(COLUMNS($AB$1006:AB1006),$AB$1006:$AQ$1006,0)), HYPERLINK("#",""), HYPERLINK(CONCATENATE("#metadata!", ADDRESS(INDEX($W$2:$W$1001,MATCH(ROWS($U$2:U226),$U$2:$U$1001,0),0), INDEX($AB$1004:$AQ$1004,1,MATCH(COLUMNS($AB$1006:AB1006),$AB$1006:$AQ$1006,0)))),"Fix")))</f>
        <v>0</v>
      </c>
      <c r="C226" s="4">
        <f>IF(OR(INDEX($V$2:$V$1001,MATCH(ROWS($U$2:U226),$U$2:$U$1001,0),1)&gt;=100000,INDEX($AB$1005:$AQ$1005,1,MATCH(COLUMNS($AB$1006:AC1006),$AB$1006:$AQ$1006,0))&gt;=100000), " ",IF(INDEX($AB$2:$AQ$1001,MATCH(ROWS($U$2:U226),$U$2:$U$1001,0),MATCH(COLUMNS($AB$1006:AC1006),$AB$1006:$AQ$1006,0)), HYPERLINK("#",""), HYPERLINK(CONCATENATE("#metadata!", ADDRESS(INDEX($W$2:$W$1001,MATCH(ROWS($U$2:U226),$U$2:$U$1001,0),0), INDEX($AB$1004:$AQ$1004,1,MATCH(COLUMNS($AB$1006:AC1006),$AB$1006:$AQ$1006,0)))),"Fix")))</f>
        <v>0</v>
      </c>
      <c r="D226" s="4">
        <f>IF(OR(INDEX($V$2:$V$1001,MATCH(ROWS($U$2:U226),$U$2:$U$1001,0),1)&gt;=100000,INDEX($AB$1005:$AQ$1005,1,MATCH(COLUMNS($AB$1006:AD1006),$AB$1006:$AQ$1006,0))&gt;=100000), " ",IF(INDEX($AB$2:$AQ$1001,MATCH(ROWS($U$2:U226),$U$2:$U$1001,0),MATCH(COLUMNS($AB$1006:AD1006),$AB$1006:$AQ$1006,0)), HYPERLINK("#",""), HYPERLINK(CONCATENATE("#metadata!", ADDRESS(INDEX($W$2:$W$1001,MATCH(ROWS($U$2:U226),$U$2:$U$1001,0),0), INDEX($AB$1004:$AQ$1004,1,MATCH(COLUMNS($AB$1006:AD1006),$AB$1006:$AQ$1006,0)))),"Fix")))</f>
        <v>0</v>
      </c>
      <c r="E226" s="4">
        <f>IF(OR(INDEX($V$2:$V$1001,MATCH(ROWS($U$2:U226),$U$2:$U$1001,0),1)&gt;=100000,INDEX($AB$1005:$AQ$1005,1,MATCH(COLUMNS($AB$1006:AE1006),$AB$1006:$AQ$1006,0))&gt;=100000), " ",IF(INDEX($AB$2:$AQ$1001,MATCH(ROWS($U$2:U226),$U$2:$U$1001,0),MATCH(COLUMNS($AB$1006:AE1006),$AB$1006:$AQ$1006,0)), HYPERLINK("#",""), HYPERLINK(CONCATENATE("#metadata!", ADDRESS(INDEX($W$2:$W$1001,MATCH(ROWS($U$2:U226),$U$2:$U$1001,0),0), INDEX($AB$1004:$AQ$1004,1,MATCH(COLUMNS($AB$1006:AE1006),$AB$1006:$AQ$1006,0)))),"Fix")))</f>
        <v>0</v>
      </c>
      <c r="F226" s="4">
        <f>IF(OR(INDEX($V$2:$V$1001,MATCH(ROWS($U$2:U226),$U$2:$U$1001,0),1)&gt;=100000,INDEX($AB$1005:$AQ$1005,1,MATCH(COLUMNS($AB$1006:AF1006),$AB$1006:$AQ$1006,0))&gt;=100000), " ",IF(INDEX($AB$2:$AQ$1001,MATCH(ROWS($U$2:U226),$U$2:$U$1001,0),MATCH(COLUMNS($AB$1006:AF1006),$AB$1006:$AQ$1006,0)), HYPERLINK("#",""), HYPERLINK(CONCATENATE("#metadata!", ADDRESS(INDEX($W$2:$W$1001,MATCH(ROWS($U$2:U226),$U$2:$U$1001,0),0), INDEX($AB$1004:$AQ$1004,1,MATCH(COLUMNS($AB$1006:AF1006),$AB$1006:$AQ$1006,0)))),"Fix")))</f>
        <v>0</v>
      </c>
      <c r="G226" s="4">
        <f>IF(OR(INDEX($V$2:$V$1001,MATCH(ROWS($U$2:U226),$U$2:$U$1001,0),1)&gt;=100000,INDEX($AB$1005:$AQ$1005,1,MATCH(COLUMNS($AB$1006:AG1006),$AB$1006:$AQ$1006,0))&gt;=100000), " ",IF(INDEX($AB$2:$AQ$1001,MATCH(ROWS($U$2:U226),$U$2:$U$1001,0),MATCH(COLUMNS($AB$1006:AG1006),$AB$1006:$AQ$1006,0)), HYPERLINK("#",""), HYPERLINK(CONCATENATE("#metadata!", ADDRESS(INDEX($W$2:$W$1001,MATCH(ROWS($U$2:U226),$U$2:$U$1001,0),0), INDEX($AB$1004:$AQ$1004,1,MATCH(COLUMNS($AB$1006:AG1006),$AB$1006:$AQ$1006,0)))),"Fix")))</f>
        <v>0</v>
      </c>
      <c r="H226" s="4">
        <f>IF(OR(INDEX($V$2:$V$1001,MATCH(ROWS($U$2:U226),$U$2:$U$1001,0),1)&gt;=100000,INDEX($AB$1005:$AQ$1005,1,MATCH(COLUMNS($AB$1006:AH1006),$AB$1006:$AQ$1006,0))&gt;=100000), " ",IF(INDEX($AB$2:$AQ$1001,MATCH(ROWS($U$2:U226),$U$2:$U$1001,0),MATCH(COLUMNS($AB$1006:AH1006),$AB$1006:$AQ$1006,0)), HYPERLINK("#",""), HYPERLINK(CONCATENATE("#metadata!", ADDRESS(INDEX($W$2:$W$1001,MATCH(ROWS($U$2:U226),$U$2:$U$1001,0),0), INDEX($AB$1004:$AQ$1004,1,MATCH(COLUMNS($AB$1006:AH1006),$AB$1006:$AQ$1006,0)))),"Fix")))</f>
        <v>0</v>
      </c>
      <c r="I226" s="4">
        <f>IF(OR(INDEX($V$2:$V$1001,MATCH(ROWS($U$2:U226),$U$2:$U$1001,0),1)&gt;=100000,INDEX($AB$1005:$AQ$1005,1,MATCH(COLUMNS($AB$1006:AI1006),$AB$1006:$AQ$1006,0))&gt;=100000), " ",IF(INDEX($AB$2:$AQ$1001,MATCH(ROWS($U$2:U226),$U$2:$U$1001,0),MATCH(COLUMNS($AB$1006:AI1006),$AB$1006:$AQ$1006,0)), HYPERLINK("#",""), HYPERLINK(CONCATENATE("#metadata!", ADDRESS(INDEX($W$2:$W$1001,MATCH(ROWS($U$2:U226),$U$2:$U$1001,0),0), INDEX($AB$1004:$AQ$1004,1,MATCH(COLUMNS($AB$1006:AI1006),$AB$1006:$AQ$1006,0)))),"Fix")))</f>
        <v>0</v>
      </c>
      <c r="J226" s="4">
        <f>IF(OR(INDEX($V$2:$V$1001,MATCH(ROWS($U$2:U226),$U$2:$U$1001,0),1)&gt;=100000,INDEX($AB$1005:$AQ$1005,1,MATCH(COLUMNS($AB$1006:AJ1006),$AB$1006:$AQ$1006,0))&gt;=100000), " ",IF(INDEX($AB$2:$AQ$1001,MATCH(ROWS($U$2:U226),$U$2:$U$1001,0),MATCH(COLUMNS($AB$1006:AJ1006),$AB$1006:$AQ$1006,0)), HYPERLINK("#",""), HYPERLINK(CONCATENATE("#metadata!", ADDRESS(INDEX($W$2:$W$1001,MATCH(ROWS($U$2:U226),$U$2:$U$1001,0),0), INDEX($AB$1004:$AQ$1004,1,MATCH(COLUMNS($AB$1006:AJ1006),$AB$1006:$AQ$1006,0)))),"Fix")))</f>
        <v>0</v>
      </c>
      <c r="K226" s="4">
        <f>IF(OR(INDEX($V$2:$V$1001,MATCH(ROWS($U$2:U226),$U$2:$U$1001,0),1)&gt;=100000,INDEX($AB$1005:$AQ$1005,1,MATCH(COLUMNS($AB$1006:AK1006),$AB$1006:$AQ$1006,0))&gt;=100000), " ",IF(INDEX($AB$2:$AQ$1001,MATCH(ROWS($U$2:U226),$U$2:$U$1001,0),MATCH(COLUMNS($AB$1006:AK1006),$AB$1006:$AQ$1006,0)), HYPERLINK("#",""), HYPERLINK(CONCATENATE("#metadata!", ADDRESS(INDEX($W$2:$W$1001,MATCH(ROWS($U$2:U226),$U$2:$U$1001,0),0), INDEX($AB$1004:$AQ$1004,1,MATCH(COLUMNS($AB$1006:AK1006),$AB$1006:$AQ$1006,0)))),"Fix")))</f>
        <v>0</v>
      </c>
      <c r="L226" s="4">
        <f>IF(OR(INDEX($V$2:$V$1001,MATCH(ROWS($U$2:U226),$U$2:$U$1001,0),1)&gt;=100000,INDEX($AB$1005:$AQ$1005,1,MATCH(COLUMNS($AB$1006:AL1006),$AB$1006:$AQ$1006,0))&gt;=100000), " ",IF(INDEX($AB$2:$AQ$1001,MATCH(ROWS($U$2:U226),$U$2:$U$1001,0),MATCH(COLUMNS($AB$1006:AL1006),$AB$1006:$AQ$1006,0)), HYPERLINK("#",""), HYPERLINK(CONCATENATE("#metadata!", ADDRESS(INDEX($W$2:$W$1001,MATCH(ROWS($U$2:U226),$U$2:$U$1001,0),0), INDEX($AB$1004:$AQ$1004,1,MATCH(COLUMNS($AB$1006:AL1006),$AB$1006:$AQ$1006,0)))),"Fix")))</f>
        <v>0</v>
      </c>
      <c r="M226" s="4">
        <f>IF(OR(INDEX($V$2:$V$1001,MATCH(ROWS($U$2:U226),$U$2:$U$1001,0),1)&gt;=100000,INDEX($AB$1005:$AQ$1005,1,MATCH(COLUMNS($AB$1006:AM1006),$AB$1006:$AQ$1006,0))&gt;=100000), " ",IF(INDEX($AB$2:$AQ$1001,MATCH(ROWS($U$2:U226),$U$2:$U$1001,0),MATCH(COLUMNS($AB$1006:AM1006),$AB$1006:$AQ$1006,0)), HYPERLINK("#",""), HYPERLINK(CONCATENATE("#metadata!", ADDRESS(INDEX($W$2:$W$1001,MATCH(ROWS($U$2:U226),$U$2:$U$1001,0),0), INDEX($AB$1004:$AQ$1004,1,MATCH(COLUMNS($AB$1006:AM1006),$AB$1006:$AQ$1006,0)))),"Fix")))</f>
        <v>0</v>
      </c>
      <c r="N226" s="4">
        <f>IF(OR(INDEX($V$2:$V$1001,MATCH(ROWS($U$2:U226),$U$2:$U$1001,0),1)&gt;=100000,INDEX($AB$1005:$AQ$1005,1,MATCH(COLUMNS($AB$1006:AN1006),$AB$1006:$AQ$1006,0))&gt;=100000), " ",IF(INDEX($AB$2:$AQ$1001,MATCH(ROWS($U$2:U226),$U$2:$U$1001,0),MATCH(COLUMNS($AB$1006:AN1006),$AB$1006:$AQ$1006,0)), HYPERLINK("#",""), HYPERLINK(CONCATENATE("#metadata!", ADDRESS(INDEX($W$2:$W$1001,MATCH(ROWS($U$2:U226),$U$2:$U$1001,0),0), INDEX($AB$1004:$AQ$1004,1,MATCH(COLUMNS($AB$1006:AN1006),$AB$1006:$AQ$1006,0)))),"Fix")))</f>
        <v>0</v>
      </c>
      <c r="O226" s="4">
        <f>IF(OR(INDEX($V$2:$V$1001,MATCH(ROWS($U$2:U226),$U$2:$U$1001,0),1)&gt;=100000,INDEX($AB$1005:$AQ$1005,1,MATCH(COLUMNS($AB$1006:AO1006),$AB$1006:$AQ$1006,0))&gt;=100000), " ",IF(INDEX($AB$2:$AQ$1001,MATCH(ROWS($U$2:U226),$U$2:$U$1001,0),MATCH(COLUMNS($AB$1006:AO1006),$AB$1006:$AQ$1006,0)), HYPERLINK("#",""), HYPERLINK(CONCATENATE("#metadata!", ADDRESS(INDEX($W$2:$W$1001,MATCH(ROWS($U$2:U226),$U$2:$U$1001,0),0), INDEX($AB$1004:$AQ$1004,1,MATCH(COLUMNS($AB$1006:AO1006),$AB$1006:$AQ$1006,0)))),"Fix")))</f>
        <v>0</v>
      </c>
      <c r="P226" s="4">
        <f>IF(OR(INDEX($V$2:$V$1001,MATCH(ROWS($U$2:U226),$U$2:$U$1001,0),1)&gt;=100000,INDEX($AB$1005:$AQ$1005,1,MATCH(COLUMNS($AB$1006:AP1006),$AB$1006:$AQ$1006,0))&gt;=100000), " ",IF(INDEX($AB$2:$AQ$1001,MATCH(ROWS($U$2:U226),$U$2:$U$1001,0),MATCH(COLUMNS($AB$1006:AP1006),$AB$1006:$AQ$1006,0)), HYPERLINK("#",""), HYPERLINK(CONCATENATE("#metadata!", ADDRESS(INDEX($W$2:$W$1001,MATCH(ROWS($U$2:U226),$U$2:$U$1001,0),0), INDEX($AB$1004:$AQ$1004,1,MATCH(COLUMNS($AB$1006:AP1006),$AB$1006:$AQ$1006,0)))),"Fix")))</f>
        <v>0</v>
      </c>
      <c r="Q226" s="4">
        <f>IF(OR(INDEX($V$2:$V$1001,MATCH(ROWS($U$2:U226),$U$2:$U$1001,0),1)&gt;=100000,INDEX($AB$1005:$AQ$1005,1,MATCH(COLUMNS($AB$1006:AQ1006),$AB$1006:$AQ$1006,0))&gt;=100000), " ",IF(INDEX($AB$2:$AQ$1001,MATCH(ROWS($U$2:U226),$U$2:$U$1001,0),MATCH(COLUMNS($AB$1006:AQ1006),$AB$1006:$AQ$1006,0)), HYPERLINK("#",""), HYPERLINK(CONCATENATE("#metadata!", ADDRESS(INDEX($W$2:$W$1001,MATCH(ROWS($U$2:U226),$U$2:$U$1001,0),0), INDEX($AB$1004:$AQ$1004,1,MATCH(COLUMNS($AB$1006:AQ1006),$AB$1006:$AQ$1006,0)))),"Fix")))</f>
        <v>0</v>
      </c>
      <c r="U226">
        <v>0</v>
      </c>
      <c r="V226">
        <v>0</v>
      </c>
      <c r="W226">
        <v>0</v>
      </c>
      <c r="X226">
        <f>IF(Y226,TRUE,AND(AB226:AQ226))</f>
        <v>0</v>
      </c>
      <c r="Y226">
        <f>COUNTBLANK(metadata!B226:Q226)=COLUMNS(metadata!B226:Q226)</f>
        <v>0</v>
      </c>
      <c r="Z226">
        <v>0</v>
      </c>
      <c r="AB226">
        <f>AND(IF(metadata!B226="",FALSE,TRUE),COUNTIF(metadata!B:B, metadata!B226) = 1,NOT(ISERROR(SUMPRODUCT(SEARCH(MID(metadata!B226,ROW(INDIRECT("1:"&amp;LEN(metadata!B226))), 1),"0123456789abcdefghijklmnopqrstuvwxyzABCDEFGHIJKLMNOPQRSTUVWXYZ.")))))</f>
        <v>0</v>
      </c>
      <c r="AC226">
        <f>OR(AND(IF(metadata!C226="",FALSE,TRUE),OR(exact(metadata!C226,"missing: not collected"),exact(metadata!C226,"missing: not provided"),exact(metadata!C226,"missing: restricted access"))),AND(IF(metadata!C226="",FALSE,TRUE),AND(AND(IFERROR(INT(LEFT(metadata!C226,4))&gt;1900,FALSE),IFERROR(INT(LEFT(metadata!C226,4))&lt;=YEAR(NOW()),FALSE)), OR(MID(metadata!C226,5,1)="", AND(AND(MID(metadata!C226,5,1)="-",IFERROR(INT(MID(metadata!C226,6,1))&gt;=0,FALSE),IFERROR(INT(MID(metadata!C226,6,1))&lt;=1,FALSE),NOT(MID(metadata!C226,7,1)=""),IFERROR(INT(MID(metadata!C226,6,2))&gt;=1,FALSE),IFERROR(INT(MID(metadata!C226,6,2))&lt;=12,FALSE)), OR(MID(metadata!C226,8,1)="", AND(AND(MID(metadata!C226,8,1)="-",IFERROR(INT(MID(metadata!C226,9,1))&gt;=0,FALSE),IFERROR(INT(MID(metadata!C226,9,1))&lt;=3,FALSE),NOT(MID(metadata!C226,10,1)=""),IFERROR(INT(MID(metadata!C226,9,2))&gt;=1,FALSE),IFERROR(INT(MID(metadata!C226,9,2))&lt;=31,FALSE)), OR(MID(metadata!C226,11,1)="", AND(AND(MID(metadata!C226,11,1)=" ",IFERROR(INT(MID(metadata!C226,12,1))&gt;=0,FALSE),IFERROR(INT(MID(metadata!C226,12,1))&lt;=2,FALSE),NOT(MID(metadata!C226,13,1)=""),IFERROR(INT(MID(metadata!C226,12,2))&gt;=0,FALSE),IFERROR(INT(MID(metadata!C226,12,2))&lt;=23,FALSE)), OR(MID(metadata!C226,14,1)="", AND(AND(MID(metadata!C226,14,1)=":",IFERROR(INT(MID(metadata!C226,15,1))&gt;=0,FALSE),IFERROR(INT(MID(metadata!C226,15,1))&lt;=5,FALSE),NOT(MID(metadata!C226,16,1)=""),IFERROR(INT(MID(metadata!C226,15,2))&gt;=0,FALSE),IFERROR(INT(MID(metadata!C226,15,2))&lt;=59,FALSE)), OR(MID(metadata!C226,17,1)="", AND(AND(MID(metadata!C226,17,1)=":",IFERROR(INT(MID(metadata!C226,18,1))&gt;=0,FALSE),IFERROR(INT(MID(metadata!C226,18,1))&lt;=5,FALSE),NOT(MID(metadata!C226,19,1)=""),IFERROR(INT(MID(metadata!C226,18,2))&gt;=0,FALSE),IFERROR(INT(MID(metadata!C226,18,2))&lt;=59,FALSE)), LEN(metadata!C226)&lt;=19)))))))))))))</f>
        <v>0</v>
      </c>
      <c r="AD226">
        <f>IF(metadata!D226="",FALSE,TRUE)</f>
        <v>0</v>
      </c>
      <c r="AE226">
        <f>OR(AND(IF(metadata!E226="",FALSE,TRUE),OR(exact(metadata!E226,"missing: not collected"),exact(metadata!E226,"missing: not provided"))),AND(IF(metadata!E226="",FALSE,TRUE),OR(exact(metadata!E226,"TRUE"),exact(metadata!E226,"FALSE"))))</f>
        <v>0</v>
      </c>
      <c r="AF226">
        <f>IF(metadata!F226="",FALSE,TRUE)</f>
        <v>0</v>
      </c>
      <c r="AG226">
        <f>IF(metadata!G226="",FALSE,TRUE)</f>
        <v>0</v>
      </c>
      <c r="AH226">
        <f>IF(metadata!H226="",FALSE,TRUE)</f>
        <v>0</v>
      </c>
      <c r="AI226">
        <f>OR(AND(IF(metadata!I226="",FALSE,TRUE),OR(exact(metadata!I226,"missing: not collected"),exact(metadata!I226,"missing: not provided"),exact(metadata!I226,"missing: restricted access"))),AND(IF(metadata!I226="",FALSE,TRUE),OR(exact(metadata!I226,"air"),exact(metadata!I226,"built environment"),exact(metadata!I226,"host-associated"),exact(metadata!I226,"human-associated"),exact(metadata!I226,"human-skin"),exact(metadata!I226,"human-oral"),exact(metadata!I226,"human-gut"),exact(metadata!I226,"human-vaginal"),exact(metadata!I226,"microbial mat/biofilm"),exact(metadata!I226,"misc environment"),exact(metadata!I226,"plant-associated"),exact(metadata!I226,"sediment"),exact(metadata!I226,"soil"),exact(metadata!I226,"wastewater/sludge"),exact(metadata!I226,"water"))))</f>
        <v>0</v>
      </c>
      <c r="AJ226">
        <f>IF(metadata!J226="",FALSE,TRUE)</f>
        <v>0</v>
      </c>
      <c r="AK226">
        <f>OR(AND(IF(metadata!K226="",FALSE,TRUE),OR(exact(metadata!K226,"missing: not collected"),exact(metadata!K226,"missing: not provided"),exact(metadata!K226,"missing: restricted access"))),AND(IF(metadata!K226="",FALSE,ISNUMBER(VALUE(metadata!K226))),metadata!K226&gt;=-90.00,metadata!K226&lt;=90.00))</f>
        <v>0</v>
      </c>
      <c r="AL226">
        <f>OR(AND(IF(metadata!L226="",FALSE,TRUE),OR(exact(metadata!L226,"missing: not collected"),exact(metadata!L226,"missing: not provided"),exact(metadata!L226,"missing: restricted access"))),AND(IF(metadata!L226="",FALSE,ISNUMBER(VALUE(metadata!L226))),metadata!L226&gt;=-180.00,metadata!L226&lt;=180.00))</f>
        <v>0</v>
      </c>
      <c r="AM226">
        <f>IF(metadata!M226="",FALSE,TRUE)</f>
        <v>0</v>
      </c>
      <c r="AN226">
        <f>OR(AND(IF(metadata!N226="",FALSE,TRUE),OR(exact(metadata!N226,"missing: not collected"),exact(metadata!N226,"missing: not provided"),exact(metadata!N226,"missing: restricted access"))),AND(IF(metadata!N226="",FALSE,TRUE),OR(exact(metadata!N226,"TRUE"),exact(metadata!N226,"FALSE"))))</f>
        <v>0</v>
      </c>
      <c r="AO226">
        <f>IF(metadata!O226="",FALSE,TRUE)</f>
        <v>0</v>
      </c>
      <c r="AP226">
        <f>OR(AND(IF(metadata!P226="",FALSE,TRUE),OR(exact(metadata!P226,"missing: not collected"),exact(metadata!P226,"missing: not provided"))),AND(IF(metadata!P226="",FALSE,IF(ISERROR(INT(metadata!P226)),FALSE,INT(metadata!P226)=metadata!P226)),metadata!P226&gt;0))</f>
        <v>0</v>
      </c>
      <c r="AQ226">
        <f>IF(metadata!Q226="",FALSE,TRUE)</f>
        <v>0</v>
      </c>
    </row>
    <row r="227" spans="1:43">
      <c r="A227" s="5">
        <f>IF(B227=" "," ",HYPERLINK(CONCATENATE("#metadata!",ADDRESS(INDEX($W$2:$W$1001,MATCH(ROWS($U$2:U227),$U$2:$U$1001,0),0),1)),INDEX($Z$2:$Z$1001,MATCH(ROWS($U$2:U227),$U$2:$U$1001,0),0)))</f>
        <v>0</v>
      </c>
      <c r="B227" s="4">
        <f>IF(OR(INDEX($V$2:$V$1001,MATCH(ROWS($U$2:U227),$U$2:$U$1001,0),1)&gt;=100000,INDEX($AB$1005:$AQ$1005,1,MATCH(COLUMNS($AB$1006:AB1006),$AB$1006:$AQ$1006,0))&gt;=100000), " ",IF(INDEX($AB$2:$AQ$1001,MATCH(ROWS($U$2:U227),$U$2:$U$1001,0),MATCH(COLUMNS($AB$1006:AB1006),$AB$1006:$AQ$1006,0)), HYPERLINK("#",""), HYPERLINK(CONCATENATE("#metadata!", ADDRESS(INDEX($W$2:$W$1001,MATCH(ROWS($U$2:U227),$U$2:$U$1001,0),0), INDEX($AB$1004:$AQ$1004,1,MATCH(COLUMNS($AB$1006:AB1006),$AB$1006:$AQ$1006,0)))),"Fix")))</f>
        <v>0</v>
      </c>
      <c r="C227" s="4">
        <f>IF(OR(INDEX($V$2:$V$1001,MATCH(ROWS($U$2:U227),$U$2:$U$1001,0),1)&gt;=100000,INDEX($AB$1005:$AQ$1005,1,MATCH(COLUMNS($AB$1006:AC1006),$AB$1006:$AQ$1006,0))&gt;=100000), " ",IF(INDEX($AB$2:$AQ$1001,MATCH(ROWS($U$2:U227),$U$2:$U$1001,0),MATCH(COLUMNS($AB$1006:AC1006),$AB$1006:$AQ$1006,0)), HYPERLINK("#",""), HYPERLINK(CONCATENATE("#metadata!", ADDRESS(INDEX($W$2:$W$1001,MATCH(ROWS($U$2:U227),$U$2:$U$1001,0),0), INDEX($AB$1004:$AQ$1004,1,MATCH(COLUMNS($AB$1006:AC1006),$AB$1006:$AQ$1006,0)))),"Fix")))</f>
        <v>0</v>
      </c>
      <c r="D227" s="4">
        <f>IF(OR(INDEX($V$2:$V$1001,MATCH(ROWS($U$2:U227),$U$2:$U$1001,0),1)&gt;=100000,INDEX($AB$1005:$AQ$1005,1,MATCH(COLUMNS($AB$1006:AD1006),$AB$1006:$AQ$1006,0))&gt;=100000), " ",IF(INDEX($AB$2:$AQ$1001,MATCH(ROWS($U$2:U227),$U$2:$U$1001,0),MATCH(COLUMNS($AB$1006:AD1006),$AB$1006:$AQ$1006,0)), HYPERLINK("#",""), HYPERLINK(CONCATENATE("#metadata!", ADDRESS(INDEX($W$2:$W$1001,MATCH(ROWS($U$2:U227),$U$2:$U$1001,0),0), INDEX($AB$1004:$AQ$1004,1,MATCH(COLUMNS($AB$1006:AD1006),$AB$1006:$AQ$1006,0)))),"Fix")))</f>
        <v>0</v>
      </c>
      <c r="E227" s="4">
        <f>IF(OR(INDEX($V$2:$V$1001,MATCH(ROWS($U$2:U227),$U$2:$U$1001,0),1)&gt;=100000,INDEX($AB$1005:$AQ$1005,1,MATCH(COLUMNS($AB$1006:AE1006),$AB$1006:$AQ$1006,0))&gt;=100000), " ",IF(INDEX($AB$2:$AQ$1001,MATCH(ROWS($U$2:U227),$U$2:$U$1001,0),MATCH(COLUMNS($AB$1006:AE1006),$AB$1006:$AQ$1006,0)), HYPERLINK("#",""), HYPERLINK(CONCATENATE("#metadata!", ADDRESS(INDEX($W$2:$W$1001,MATCH(ROWS($U$2:U227),$U$2:$U$1001,0),0), INDEX($AB$1004:$AQ$1004,1,MATCH(COLUMNS($AB$1006:AE1006),$AB$1006:$AQ$1006,0)))),"Fix")))</f>
        <v>0</v>
      </c>
      <c r="F227" s="4">
        <f>IF(OR(INDEX($V$2:$V$1001,MATCH(ROWS($U$2:U227),$U$2:$U$1001,0),1)&gt;=100000,INDEX($AB$1005:$AQ$1005,1,MATCH(COLUMNS($AB$1006:AF1006),$AB$1006:$AQ$1006,0))&gt;=100000), " ",IF(INDEX($AB$2:$AQ$1001,MATCH(ROWS($U$2:U227),$U$2:$U$1001,0),MATCH(COLUMNS($AB$1006:AF1006),$AB$1006:$AQ$1006,0)), HYPERLINK("#",""), HYPERLINK(CONCATENATE("#metadata!", ADDRESS(INDEX($W$2:$W$1001,MATCH(ROWS($U$2:U227),$U$2:$U$1001,0),0), INDEX($AB$1004:$AQ$1004,1,MATCH(COLUMNS($AB$1006:AF1006),$AB$1006:$AQ$1006,0)))),"Fix")))</f>
        <v>0</v>
      </c>
      <c r="G227" s="4">
        <f>IF(OR(INDEX($V$2:$V$1001,MATCH(ROWS($U$2:U227),$U$2:$U$1001,0),1)&gt;=100000,INDEX($AB$1005:$AQ$1005,1,MATCH(COLUMNS($AB$1006:AG1006),$AB$1006:$AQ$1006,0))&gt;=100000), " ",IF(INDEX($AB$2:$AQ$1001,MATCH(ROWS($U$2:U227),$U$2:$U$1001,0),MATCH(COLUMNS($AB$1006:AG1006),$AB$1006:$AQ$1006,0)), HYPERLINK("#",""), HYPERLINK(CONCATENATE("#metadata!", ADDRESS(INDEX($W$2:$W$1001,MATCH(ROWS($U$2:U227),$U$2:$U$1001,0),0), INDEX($AB$1004:$AQ$1004,1,MATCH(COLUMNS($AB$1006:AG1006),$AB$1006:$AQ$1006,0)))),"Fix")))</f>
        <v>0</v>
      </c>
      <c r="H227" s="4">
        <f>IF(OR(INDEX($V$2:$V$1001,MATCH(ROWS($U$2:U227),$U$2:$U$1001,0),1)&gt;=100000,INDEX($AB$1005:$AQ$1005,1,MATCH(COLUMNS($AB$1006:AH1006),$AB$1006:$AQ$1006,0))&gt;=100000), " ",IF(INDEX($AB$2:$AQ$1001,MATCH(ROWS($U$2:U227),$U$2:$U$1001,0),MATCH(COLUMNS($AB$1006:AH1006),$AB$1006:$AQ$1006,0)), HYPERLINK("#",""), HYPERLINK(CONCATENATE("#metadata!", ADDRESS(INDEX($W$2:$W$1001,MATCH(ROWS($U$2:U227),$U$2:$U$1001,0),0), INDEX($AB$1004:$AQ$1004,1,MATCH(COLUMNS($AB$1006:AH1006),$AB$1006:$AQ$1006,0)))),"Fix")))</f>
        <v>0</v>
      </c>
      <c r="I227" s="4">
        <f>IF(OR(INDEX($V$2:$V$1001,MATCH(ROWS($U$2:U227),$U$2:$U$1001,0),1)&gt;=100000,INDEX($AB$1005:$AQ$1005,1,MATCH(COLUMNS($AB$1006:AI1006),$AB$1006:$AQ$1006,0))&gt;=100000), " ",IF(INDEX($AB$2:$AQ$1001,MATCH(ROWS($U$2:U227),$U$2:$U$1001,0),MATCH(COLUMNS($AB$1006:AI1006),$AB$1006:$AQ$1006,0)), HYPERLINK("#",""), HYPERLINK(CONCATENATE("#metadata!", ADDRESS(INDEX($W$2:$W$1001,MATCH(ROWS($U$2:U227),$U$2:$U$1001,0),0), INDEX($AB$1004:$AQ$1004,1,MATCH(COLUMNS($AB$1006:AI1006),$AB$1006:$AQ$1006,0)))),"Fix")))</f>
        <v>0</v>
      </c>
      <c r="J227" s="4">
        <f>IF(OR(INDEX($V$2:$V$1001,MATCH(ROWS($U$2:U227),$U$2:$U$1001,0),1)&gt;=100000,INDEX($AB$1005:$AQ$1005,1,MATCH(COLUMNS($AB$1006:AJ1006),$AB$1006:$AQ$1006,0))&gt;=100000), " ",IF(INDEX($AB$2:$AQ$1001,MATCH(ROWS($U$2:U227),$U$2:$U$1001,0),MATCH(COLUMNS($AB$1006:AJ1006),$AB$1006:$AQ$1006,0)), HYPERLINK("#",""), HYPERLINK(CONCATENATE("#metadata!", ADDRESS(INDEX($W$2:$W$1001,MATCH(ROWS($U$2:U227),$U$2:$U$1001,0),0), INDEX($AB$1004:$AQ$1004,1,MATCH(COLUMNS($AB$1006:AJ1006),$AB$1006:$AQ$1006,0)))),"Fix")))</f>
        <v>0</v>
      </c>
      <c r="K227" s="4">
        <f>IF(OR(INDEX($V$2:$V$1001,MATCH(ROWS($U$2:U227),$U$2:$U$1001,0),1)&gt;=100000,INDEX($AB$1005:$AQ$1005,1,MATCH(COLUMNS($AB$1006:AK1006),$AB$1006:$AQ$1006,0))&gt;=100000), " ",IF(INDEX($AB$2:$AQ$1001,MATCH(ROWS($U$2:U227),$U$2:$U$1001,0),MATCH(COLUMNS($AB$1006:AK1006),$AB$1006:$AQ$1006,0)), HYPERLINK("#",""), HYPERLINK(CONCATENATE("#metadata!", ADDRESS(INDEX($W$2:$W$1001,MATCH(ROWS($U$2:U227),$U$2:$U$1001,0),0), INDEX($AB$1004:$AQ$1004,1,MATCH(COLUMNS($AB$1006:AK1006),$AB$1006:$AQ$1006,0)))),"Fix")))</f>
        <v>0</v>
      </c>
      <c r="L227" s="4">
        <f>IF(OR(INDEX($V$2:$V$1001,MATCH(ROWS($U$2:U227),$U$2:$U$1001,0),1)&gt;=100000,INDEX($AB$1005:$AQ$1005,1,MATCH(COLUMNS($AB$1006:AL1006),$AB$1006:$AQ$1006,0))&gt;=100000), " ",IF(INDEX($AB$2:$AQ$1001,MATCH(ROWS($U$2:U227),$U$2:$U$1001,0),MATCH(COLUMNS($AB$1006:AL1006),$AB$1006:$AQ$1006,0)), HYPERLINK("#",""), HYPERLINK(CONCATENATE("#metadata!", ADDRESS(INDEX($W$2:$W$1001,MATCH(ROWS($U$2:U227),$U$2:$U$1001,0),0), INDEX($AB$1004:$AQ$1004,1,MATCH(COLUMNS($AB$1006:AL1006),$AB$1006:$AQ$1006,0)))),"Fix")))</f>
        <v>0</v>
      </c>
      <c r="M227" s="4">
        <f>IF(OR(INDEX($V$2:$V$1001,MATCH(ROWS($U$2:U227),$U$2:$U$1001,0),1)&gt;=100000,INDEX($AB$1005:$AQ$1005,1,MATCH(COLUMNS($AB$1006:AM1006),$AB$1006:$AQ$1006,0))&gt;=100000), " ",IF(INDEX($AB$2:$AQ$1001,MATCH(ROWS($U$2:U227),$U$2:$U$1001,0),MATCH(COLUMNS($AB$1006:AM1006),$AB$1006:$AQ$1006,0)), HYPERLINK("#",""), HYPERLINK(CONCATENATE("#metadata!", ADDRESS(INDEX($W$2:$W$1001,MATCH(ROWS($U$2:U227),$U$2:$U$1001,0),0), INDEX($AB$1004:$AQ$1004,1,MATCH(COLUMNS($AB$1006:AM1006),$AB$1006:$AQ$1006,0)))),"Fix")))</f>
        <v>0</v>
      </c>
      <c r="N227" s="4">
        <f>IF(OR(INDEX($V$2:$V$1001,MATCH(ROWS($U$2:U227),$U$2:$U$1001,0),1)&gt;=100000,INDEX($AB$1005:$AQ$1005,1,MATCH(COLUMNS($AB$1006:AN1006),$AB$1006:$AQ$1006,0))&gt;=100000), " ",IF(INDEX($AB$2:$AQ$1001,MATCH(ROWS($U$2:U227),$U$2:$U$1001,0),MATCH(COLUMNS($AB$1006:AN1006),$AB$1006:$AQ$1006,0)), HYPERLINK("#",""), HYPERLINK(CONCATENATE("#metadata!", ADDRESS(INDEX($W$2:$W$1001,MATCH(ROWS($U$2:U227),$U$2:$U$1001,0),0), INDEX($AB$1004:$AQ$1004,1,MATCH(COLUMNS($AB$1006:AN1006),$AB$1006:$AQ$1006,0)))),"Fix")))</f>
        <v>0</v>
      </c>
      <c r="O227" s="4">
        <f>IF(OR(INDEX($V$2:$V$1001,MATCH(ROWS($U$2:U227),$U$2:$U$1001,0),1)&gt;=100000,INDEX($AB$1005:$AQ$1005,1,MATCH(COLUMNS($AB$1006:AO1006),$AB$1006:$AQ$1006,0))&gt;=100000), " ",IF(INDEX($AB$2:$AQ$1001,MATCH(ROWS($U$2:U227),$U$2:$U$1001,0),MATCH(COLUMNS($AB$1006:AO1006),$AB$1006:$AQ$1006,0)), HYPERLINK("#",""), HYPERLINK(CONCATENATE("#metadata!", ADDRESS(INDEX($W$2:$W$1001,MATCH(ROWS($U$2:U227),$U$2:$U$1001,0),0), INDEX($AB$1004:$AQ$1004,1,MATCH(COLUMNS($AB$1006:AO1006),$AB$1006:$AQ$1006,0)))),"Fix")))</f>
        <v>0</v>
      </c>
      <c r="P227" s="4">
        <f>IF(OR(INDEX($V$2:$V$1001,MATCH(ROWS($U$2:U227),$U$2:$U$1001,0),1)&gt;=100000,INDEX($AB$1005:$AQ$1005,1,MATCH(COLUMNS($AB$1006:AP1006),$AB$1006:$AQ$1006,0))&gt;=100000), " ",IF(INDEX($AB$2:$AQ$1001,MATCH(ROWS($U$2:U227),$U$2:$U$1001,0),MATCH(COLUMNS($AB$1006:AP1006),$AB$1006:$AQ$1006,0)), HYPERLINK("#",""), HYPERLINK(CONCATENATE("#metadata!", ADDRESS(INDEX($W$2:$W$1001,MATCH(ROWS($U$2:U227),$U$2:$U$1001,0),0), INDEX($AB$1004:$AQ$1004,1,MATCH(COLUMNS($AB$1006:AP1006),$AB$1006:$AQ$1006,0)))),"Fix")))</f>
        <v>0</v>
      </c>
      <c r="Q227" s="4">
        <f>IF(OR(INDEX($V$2:$V$1001,MATCH(ROWS($U$2:U227),$U$2:$U$1001,0),1)&gt;=100000,INDEX($AB$1005:$AQ$1005,1,MATCH(COLUMNS($AB$1006:AQ1006),$AB$1006:$AQ$1006,0))&gt;=100000), " ",IF(INDEX($AB$2:$AQ$1001,MATCH(ROWS($U$2:U227),$U$2:$U$1001,0),MATCH(COLUMNS($AB$1006:AQ1006),$AB$1006:$AQ$1006,0)), HYPERLINK("#",""), HYPERLINK(CONCATENATE("#metadata!", ADDRESS(INDEX($W$2:$W$1001,MATCH(ROWS($U$2:U227),$U$2:$U$1001,0),0), INDEX($AB$1004:$AQ$1004,1,MATCH(COLUMNS($AB$1006:AQ1006),$AB$1006:$AQ$1006,0)))),"Fix")))</f>
        <v>0</v>
      </c>
      <c r="U227">
        <v>0</v>
      </c>
      <c r="V227">
        <v>0</v>
      </c>
      <c r="W227">
        <v>0</v>
      </c>
      <c r="X227">
        <f>IF(Y227,TRUE,AND(AB227:AQ227))</f>
        <v>0</v>
      </c>
      <c r="Y227">
        <f>COUNTBLANK(metadata!B227:Q227)=COLUMNS(metadata!B227:Q227)</f>
        <v>0</v>
      </c>
      <c r="Z227">
        <v>0</v>
      </c>
      <c r="AB227">
        <f>AND(IF(metadata!B227="",FALSE,TRUE),COUNTIF(metadata!B:B, metadata!B227) = 1,NOT(ISERROR(SUMPRODUCT(SEARCH(MID(metadata!B227,ROW(INDIRECT("1:"&amp;LEN(metadata!B227))), 1),"0123456789abcdefghijklmnopqrstuvwxyzABCDEFGHIJKLMNOPQRSTUVWXYZ.")))))</f>
        <v>0</v>
      </c>
      <c r="AC227">
        <f>OR(AND(IF(metadata!C227="",FALSE,TRUE),OR(exact(metadata!C227,"missing: not collected"),exact(metadata!C227,"missing: not provided"),exact(metadata!C227,"missing: restricted access"))),AND(IF(metadata!C227="",FALSE,TRUE),AND(AND(IFERROR(INT(LEFT(metadata!C227,4))&gt;1900,FALSE),IFERROR(INT(LEFT(metadata!C227,4))&lt;=YEAR(NOW()),FALSE)), OR(MID(metadata!C227,5,1)="", AND(AND(MID(metadata!C227,5,1)="-",IFERROR(INT(MID(metadata!C227,6,1))&gt;=0,FALSE),IFERROR(INT(MID(metadata!C227,6,1))&lt;=1,FALSE),NOT(MID(metadata!C227,7,1)=""),IFERROR(INT(MID(metadata!C227,6,2))&gt;=1,FALSE),IFERROR(INT(MID(metadata!C227,6,2))&lt;=12,FALSE)), OR(MID(metadata!C227,8,1)="", AND(AND(MID(metadata!C227,8,1)="-",IFERROR(INT(MID(metadata!C227,9,1))&gt;=0,FALSE),IFERROR(INT(MID(metadata!C227,9,1))&lt;=3,FALSE),NOT(MID(metadata!C227,10,1)=""),IFERROR(INT(MID(metadata!C227,9,2))&gt;=1,FALSE),IFERROR(INT(MID(metadata!C227,9,2))&lt;=31,FALSE)), OR(MID(metadata!C227,11,1)="", AND(AND(MID(metadata!C227,11,1)=" ",IFERROR(INT(MID(metadata!C227,12,1))&gt;=0,FALSE),IFERROR(INT(MID(metadata!C227,12,1))&lt;=2,FALSE),NOT(MID(metadata!C227,13,1)=""),IFERROR(INT(MID(metadata!C227,12,2))&gt;=0,FALSE),IFERROR(INT(MID(metadata!C227,12,2))&lt;=23,FALSE)), OR(MID(metadata!C227,14,1)="", AND(AND(MID(metadata!C227,14,1)=":",IFERROR(INT(MID(metadata!C227,15,1))&gt;=0,FALSE),IFERROR(INT(MID(metadata!C227,15,1))&lt;=5,FALSE),NOT(MID(metadata!C227,16,1)=""),IFERROR(INT(MID(metadata!C227,15,2))&gt;=0,FALSE),IFERROR(INT(MID(metadata!C227,15,2))&lt;=59,FALSE)), OR(MID(metadata!C227,17,1)="", AND(AND(MID(metadata!C227,17,1)=":",IFERROR(INT(MID(metadata!C227,18,1))&gt;=0,FALSE),IFERROR(INT(MID(metadata!C227,18,1))&lt;=5,FALSE),NOT(MID(metadata!C227,19,1)=""),IFERROR(INT(MID(metadata!C227,18,2))&gt;=0,FALSE),IFERROR(INT(MID(metadata!C227,18,2))&lt;=59,FALSE)), LEN(metadata!C227)&lt;=19)))))))))))))</f>
        <v>0</v>
      </c>
      <c r="AD227">
        <f>IF(metadata!D227="",FALSE,TRUE)</f>
        <v>0</v>
      </c>
      <c r="AE227">
        <f>OR(AND(IF(metadata!E227="",FALSE,TRUE),OR(exact(metadata!E227,"missing: not collected"),exact(metadata!E227,"missing: not provided"))),AND(IF(metadata!E227="",FALSE,TRUE),OR(exact(metadata!E227,"TRUE"),exact(metadata!E227,"FALSE"))))</f>
        <v>0</v>
      </c>
      <c r="AF227">
        <f>IF(metadata!F227="",FALSE,TRUE)</f>
        <v>0</v>
      </c>
      <c r="AG227">
        <f>IF(metadata!G227="",FALSE,TRUE)</f>
        <v>0</v>
      </c>
      <c r="AH227">
        <f>IF(metadata!H227="",FALSE,TRUE)</f>
        <v>0</v>
      </c>
      <c r="AI227">
        <f>OR(AND(IF(metadata!I227="",FALSE,TRUE),OR(exact(metadata!I227,"missing: not collected"),exact(metadata!I227,"missing: not provided"),exact(metadata!I227,"missing: restricted access"))),AND(IF(metadata!I227="",FALSE,TRUE),OR(exact(metadata!I227,"air"),exact(metadata!I227,"built environment"),exact(metadata!I227,"host-associated"),exact(metadata!I227,"human-associated"),exact(metadata!I227,"human-skin"),exact(metadata!I227,"human-oral"),exact(metadata!I227,"human-gut"),exact(metadata!I227,"human-vaginal"),exact(metadata!I227,"microbial mat/biofilm"),exact(metadata!I227,"misc environment"),exact(metadata!I227,"plant-associated"),exact(metadata!I227,"sediment"),exact(metadata!I227,"soil"),exact(metadata!I227,"wastewater/sludge"),exact(metadata!I227,"water"))))</f>
        <v>0</v>
      </c>
      <c r="AJ227">
        <f>IF(metadata!J227="",FALSE,TRUE)</f>
        <v>0</v>
      </c>
      <c r="AK227">
        <f>OR(AND(IF(metadata!K227="",FALSE,TRUE),OR(exact(metadata!K227,"missing: not collected"),exact(metadata!K227,"missing: not provided"),exact(metadata!K227,"missing: restricted access"))),AND(IF(metadata!K227="",FALSE,ISNUMBER(VALUE(metadata!K227))),metadata!K227&gt;=-90.00,metadata!K227&lt;=90.00))</f>
        <v>0</v>
      </c>
      <c r="AL227">
        <f>OR(AND(IF(metadata!L227="",FALSE,TRUE),OR(exact(metadata!L227,"missing: not collected"),exact(metadata!L227,"missing: not provided"),exact(metadata!L227,"missing: restricted access"))),AND(IF(metadata!L227="",FALSE,ISNUMBER(VALUE(metadata!L227))),metadata!L227&gt;=-180.00,metadata!L227&lt;=180.00))</f>
        <v>0</v>
      </c>
      <c r="AM227">
        <f>IF(metadata!M227="",FALSE,TRUE)</f>
        <v>0</v>
      </c>
      <c r="AN227">
        <f>OR(AND(IF(metadata!N227="",FALSE,TRUE),OR(exact(metadata!N227,"missing: not collected"),exact(metadata!N227,"missing: not provided"),exact(metadata!N227,"missing: restricted access"))),AND(IF(metadata!N227="",FALSE,TRUE),OR(exact(metadata!N227,"TRUE"),exact(metadata!N227,"FALSE"))))</f>
        <v>0</v>
      </c>
      <c r="AO227">
        <f>IF(metadata!O227="",FALSE,TRUE)</f>
        <v>0</v>
      </c>
      <c r="AP227">
        <f>OR(AND(IF(metadata!P227="",FALSE,TRUE),OR(exact(metadata!P227,"missing: not collected"),exact(metadata!P227,"missing: not provided"))),AND(IF(metadata!P227="",FALSE,IF(ISERROR(INT(metadata!P227)),FALSE,INT(metadata!P227)=metadata!P227)),metadata!P227&gt;0))</f>
        <v>0</v>
      </c>
      <c r="AQ227">
        <f>IF(metadata!Q227="",FALSE,TRUE)</f>
        <v>0</v>
      </c>
    </row>
    <row r="228" spans="1:43">
      <c r="A228" s="5">
        <f>IF(B228=" "," ",HYPERLINK(CONCATENATE("#metadata!",ADDRESS(INDEX($W$2:$W$1001,MATCH(ROWS($U$2:U228),$U$2:$U$1001,0),0),1)),INDEX($Z$2:$Z$1001,MATCH(ROWS($U$2:U228),$U$2:$U$1001,0),0)))</f>
        <v>0</v>
      </c>
      <c r="B228" s="4">
        <f>IF(OR(INDEX($V$2:$V$1001,MATCH(ROWS($U$2:U228),$U$2:$U$1001,0),1)&gt;=100000,INDEX($AB$1005:$AQ$1005,1,MATCH(COLUMNS($AB$1006:AB1006),$AB$1006:$AQ$1006,0))&gt;=100000), " ",IF(INDEX($AB$2:$AQ$1001,MATCH(ROWS($U$2:U228),$U$2:$U$1001,0),MATCH(COLUMNS($AB$1006:AB1006),$AB$1006:$AQ$1006,0)), HYPERLINK("#",""), HYPERLINK(CONCATENATE("#metadata!", ADDRESS(INDEX($W$2:$W$1001,MATCH(ROWS($U$2:U228),$U$2:$U$1001,0),0), INDEX($AB$1004:$AQ$1004,1,MATCH(COLUMNS($AB$1006:AB1006),$AB$1006:$AQ$1006,0)))),"Fix")))</f>
        <v>0</v>
      </c>
      <c r="C228" s="4">
        <f>IF(OR(INDEX($V$2:$V$1001,MATCH(ROWS($U$2:U228),$U$2:$U$1001,0),1)&gt;=100000,INDEX($AB$1005:$AQ$1005,1,MATCH(COLUMNS($AB$1006:AC1006),$AB$1006:$AQ$1006,0))&gt;=100000), " ",IF(INDEX($AB$2:$AQ$1001,MATCH(ROWS($U$2:U228),$U$2:$U$1001,0),MATCH(COLUMNS($AB$1006:AC1006),$AB$1006:$AQ$1006,0)), HYPERLINK("#",""), HYPERLINK(CONCATENATE("#metadata!", ADDRESS(INDEX($W$2:$W$1001,MATCH(ROWS($U$2:U228),$U$2:$U$1001,0),0), INDEX($AB$1004:$AQ$1004,1,MATCH(COLUMNS($AB$1006:AC1006),$AB$1006:$AQ$1006,0)))),"Fix")))</f>
        <v>0</v>
      </c>
      <c r="D228" s="4">
        <f>IF(OR(INDEX($V$2:$V$1001,MATCH(ROWS($U$2:U228),$U$2:$U$1001,0),1)&gt;=100000,INDEX($AB$1005:$AQ$1005,1,MATCH(COLUMNS($AB$1006:AD1006),$AB$1006:$AQ$1006,0))&gt;=100000), " ",IF(INDEX($AB$2:$AQ$1001,MATCH(ROWS($U$2:U228),$U$2:$U$1001,0),MATCH(COLUMNS($AB$1006:AD1006),$AB$1006:$AQ$1006,0)), HYPERLINK("#",""), HYPERLINK(CONCATENATE("#metadata!", ADDRESS(INDEX($W$2:$W$1001,MATCH(ROWS($U$2:U228),$U$2:$U$1001,0),0), INDEX($AB$1004:$AQ$1004,1,MATCH(COLUMNS($AB$1006:AD1006),$AB$1006:$AQ$1006,0)))),"Fix")))</f>
        <v>0</v>
      </c>
      <c r="E228" s="4">
        <f>IF(OR(INDEX($V$2:$V$1001,MATCH(ROWS($U$2:U228),$U$2:$U$1001,0),1)&gt;=100000,INDEX($AB$1005:$AQ$1005,1,MATCH(COLUMNS($AB$1006:AE1006),$AB$1006:$AQ$1006,0))&gt;=100000), " ",IF(INDEX($AB$2:$AQ$1001,MATCH(ROWS($U$2:U228),$U$2:$U$1001,0),MATCH(COLUMNS($AB$1006:AE1006),$AB$1006:$AQ$1006,0)), HYPERLINK("#",""), HYPERLINK(CONCATENATE("#metadata!", ADDRESS(INDEX($W$2:$W$1001,MATCH(ROWS($U$2:U228),$U$2:$U$1001,0),0), INDEX($AB$1004:$AQ$1004,1,MATCH(COLUMNS($AB$1006:AE1006),$AB$1006:$AQ$1006,0)))),"Fix")))</f>
        <v>0</v>
      </c>
      <c r="F228" s="4">
        <f>IF(OR(INDEX($V$2:$V$1001,MATCH(ROWS($U$2:U228),$U$2:$U$1001,0),1)&gt;=100000,INDEX($AB$1005:$AQ$1005,1,MATCH(COLUMNS($AB$1006:AF1006),$AB$1006:$AQ$1006,0))&gt;=100000), " ",IF(INDEX($AB$2:$AQ$1001,MATCH(ROWS($U$2:U228),$U$2:$U$1001,0),MATCH(COLUMNS($AB$1006:AF1006),$AB$1006:$AQ$1006,0)), HYPERLINK("#",""), HYPERLINK(CONCATENATE("#metadata!", ADDRESS(INDEX($W$2:$W$1001,MATCH(ROWS($U$2:U228),$U$2:$U$1001,0),0), INDEX($AB$1004:$AQ$1004,1,MATCH(COLUMNS($AB$1006:AF1006),$AB$1006:$AQ$1006,0)))),"Fix")))</f>
        <v>0</v>
      </c>
      <c r="G228" s="4">
        <f>IF(OR(INDEX($V$2:$V$1001,MATCH(ROWS($U$2:U228),$U$2:$U$1001,0),1)&gt;=100000,INDEX($AB$1005:$AQ$1005,1,MATCH(COLUMNS($AB$1006:AG1006),$AB$1006:$AQ$1006,0))&gt;=100000), " ",IF(INDEX($AB$2:$AQ$1001,MATCH(ROWS($U$2:U228),$U$2:$U$1001,0),MATCH(COLUMNS($AB$1006:AG1006),$AB$1006:$AQ$1006,0)), HYPERLINK("#",""), HYPERLINK(CONCATENATE("#metadata!", ADDRESS(INDEX($W$2:$W$1001,MATCH(ROWS($U$2:U228),$U$2:$U$1001,0),0), INDEX($AB$1004:$AQ$1004,1,MATCH(COLUMNS($AB$1006:AG1006),$AB$1006:$AQ$1006,0)))),"Fix")))</f>
        <v>0</v>
      </c>
      <c r="H228" s="4">
        <f>IF(OR(INDEX($V$2:$V$1001,MATCH(ROWS($U$2:U228),$U$2:$U$1001,0),1)&gt;=100000,INDEX($AB$1005:$AQ$1005,1,MATCH(COLUMNS($AB$1006:AH1006),$AB$1006:$AQ$1006,0))&gt;=100000), " ",IF(INDEX($AB$2:$AQ$1001,MATCH(ROWS($U$2:U228),$U$2:$U$1001,0),MATCH(COLUMNS($AB$1006:AH1006),$AB$1006:$AQ$1006,0)), HYPERLINK("#",""), HYPERLINK(CONCATENATE("#metadata!", ADDRESS(INDEX($W$2:$W$1001,MATCH(ROWS($U$2:U228),$U$2:$U$1001,0),0), INDEX($AB$1004:$AQ$1004,1,MATCH(COLUMNS($AB$1006:AH1006),$AB$1006:$AQ$1006,0)))),"Fix")))</f>
        <v>0</v>
      </c>
      <c r="I228" s="4">
        <f>IF(OR(INDEX($V$2:$V$1001,MATCH(ROWS($U$2:U228),$U$2:$U$1001,0),1)&gt;=100000,INDEX($AB$1005:$AQ$1005,1,MATCH(COLUMNS($AB$1006:AI1006),$AB$1006:$AQ$1006,0))&gt;=100000), " ",IF(INDEX($AB$2:$AQ$1001,MATCH(ROWS($U$2:U228),$U$2:$U$1001,0),MATCH(COLUMNS($AB$1006:AI1006),$AB$1006:$AQ$1006,0)), HYPERLINK("#",""), HYPERLINK(CONCATENATE("#metadata!", ADDRESS(INDEX($W$2:$W$1001,MATCH(ROWS($U$2:U228),$U$2:$U$1001,0),0), INDEX($AB$1004:$AQ$1004,1,MATCH(COLUMNS($AB$1006:AI1006),$AB$1006:$AQ$1006,0)))),"Fix")))</f>
        <v>0</v>
      </c>
      <c r="J228" s="4">
        <f>IF(OR(INDEX($V$2:$V$1001,MATCH(ROWS($U$2:U228),$U$2:$U$1001,0),1)&gt;=100000,INDEX($AB$1005:$AQ$1005,1,MATCH(COLUMNS($AB$1006:AJ1006),$AB$1006:$AQ$1006,0))&gt;=100000), " ",IF(INDEX($AB$2:$AQ$1001,MATCH(ROWS($U$2:U228),$U$2:$U$1001,0),MATCH(COLUMNS($AB$1006:AJ1006),$AB$1006:$AQ$1006,0)), HYPERLINK("#",""), HYPERLINK(CONCATENATE("#metadata!", ADDRESS(INDEX($W$2:$W$1001,MATCH(ROWS($U$2:U228),$U$2:$U$1001,0),0), INDEX($AB$1004:$AQ$1004,1,MATCH(COLUMNS($AB$1006:AJ1006),$AB$1006:$AQ$1006,0)))),"Fix")))</f>
        <v>0</v>
      </c>
      <c r="K228" s="4">
        <f>IF(OR(INDEX($V$2:$V$1001,MATCH(ROWS($U$2:U228),$U$2:$U$1001,0),1)&gt;=100000,INDEX($AB$1005:$AQ$1005,1,MATCH(COLUMNS($AB$1006:AK1006),$AB$1006:$AQ$1006,0))&gt;=100000), " ",IF(INDEX($AB$2:$AQ$1001,MATCH(ROWS($U$2:U228),$U$2:$U$1001,0),MATCH(COLUMNS($AB$1006:AK1006),$AB$1006:$AQ$1006,0)), HYPERLINK("#",""), HYPERLINK(CONCATENATE("#metadata!", ADDRESS(INDEX($W$2:$W$1001,MATCH(ROWS($U$2:U228),$U$2:$U$1001,0),0), INDEX($AB$1004:$AQ$1004,1,MATCH(COLUMNS($AB$1006:AK1006),$AB$1006:$AQ$1006,0)))),"Fix")))</f>
        <v>0</v>
      </c>
      <c r="L228" s="4">
        <f>IF(OR(INDEX($V$2:$V$1001,MATCH(ROWS($U$2:U228),$U$2:$U$1001,0),1)&gt;=100000,INDEX($AB$1005:$AQ$1005,1,MATCH(COLUMNS($AB$1006:AL1006),$AB$1006:$AQ$1006,0))&gt;=100000), " ",IF(INDEX($AB$2:$AQ$1001,MATCH(ROWS($U$2:U228),$U$2:$U$1001,0),MATCH(COLUMNS($AB$1006:AL1006),$AB$1006:$AQ$1006,0)), HYPERLINK("#",""), HYPERLINK(CONCATENATE("#metadata!", ADDRESS(INDEX($W$2:$W$1001,MATCH(ROWS($U$2:U228),$U$2:$U$1001,0),0), INDEX($AB$1004:$AQ$1004,1,MATCH(COLUMNS($AB$1006:AL1006),$AB$1006:$AQ$1006,0)))),"Fix")))</f>
        <v>0</v>
      </c>
      <c r="M228" s="4">
        <f>IF(OR(INDEX($V$2:$V$1001,MATCH(ROWS($U$2:U228),$U$2:$U$1001,0),1)&gt;=100000,INDEX($AB$1005:$AQ$1005,1,MATCH(COLUMNS($AB$1006:AM1006),$AB$1006:$AQ$1006,0))&gt;=100000), " ",IF(INDEX($AB$2:$AQ$1001,MATCH(ROWS($U$2:U228),$U$2:$U$1001,0),MATCH(COLUMNS($AB$1006:AM1006),$AB$1006:$AQ$1006,0)), HYPERLINK("#",""), HYPERLINK(CONCATENATE("#metadata!", ADDRESS(INDEX($W$2:$W$1001,MATCH(ROWS($U$2:U228),$U$2:$U$1001,0),0), INDEX($AB$1004:$AQ$1004,1,MATCH(COLUMNS($AB$1006:AM1006),$AB$1006:$AQ$1006,0)))),"Fix")))</f>
        <v>0</v>
      </c>
      <c r="N228" s="4">
        <f>IF(OR(INDEX($V$2:$V$1001,MATCH(ROWS($U$2:U228),$U$2:$U$1001,0),1)&gt;=100000,INDEX($AB$1005:$AQ$1005,1,MATCH(COLUMNS($AB$1006:AN1006),$AB$1006:$AQ$1006,0))&gt;=100000), " ",IF(INDEX($AB$2:$AQ$1001,MATCH(ROWS($U$2:U228),$U$2:$U$1001,0),MATCH(COLUMNS($AB$1006:AN1006),$AB$1006:$AQ$1006,0)), HYPERLINK("#",""), HYPERLINK(CONCATENATE("#metadata!", ADDRESS(INDEX($W$2:$W$1001,MATCH(ROWS($U$2:U228),$U$2:$U$1001,0),0), INDEX($AB$1004:$AQ$1004,1,MATCH(COLUMNS($AB$1006:AN1006),$AB$1006:$AQ$1006,0)))),"Fix")))</f>
        <v>0</v>
      </c>
      <c r="O228" s="4">
        <f>IF(OR(INDEX($V$2:$V$1001,MATCH(ROWS($U$2:U228),$U$2:$U$1001,0),1)&gt;=100000,INDEX($AB$1005:$AQ$1005,1,MATCH(COLUMNS($AB$1006:AO1006),$AB$1006:$AQ$1006,0))&gt;=100000), " ",IF(INDEX($AB$2:$AQ$1001,MATCH(ROWS($U$2:U228),$U$2:$U$1001,0),MATCH(COLUMNS($AB$1006:AO1006),$AB$1006:$AQ$1006,0)), HYPERLINK("#",""), HYPERLINK(CONCATENATE("#metadata!", ADDRESS(INDEX($W$2:$W$1001,MATCH(ROWS($U$2:U228),$U$2:$U$1001,0),0), INDEX($AB$1004:$AQ$1004,1,MATCH(COLUMNS($AB$1006:AO1006),$AB$1006:$AQ$1006,0)))),"Fix")))</f>
        <v>0</v>
      </c>
      <c r="P228" s="4">
        <f>IF(OR(INDEX($V$2:$V$1001,MATCH(ROWS($U$2:U228),$U$2:$U$1001,0),1)&gt;=100000,INDEX($AB$1005:$AQ$1005,1,MATCH(COLUMNS($AB$1006:AP1006),$AB$1006:$AQ$1006,0))&gt;=100000), " ",IF(INDEX($AB$2:$AQ$1001,MATCH(ROWS($U$2:U228),$U$2:$U$1001,0),MATCH(COLUMNS($AB$1006:AP1006),$AB$1006:$AQ$1006,0)), HYPERLINK("#",""), HYPERLINK(CONCATENATE("#metadata!", ADDRESS(INDEX($W$2:$W$1001,MATCH(ROWS($U$2:U228),$U$2:$U$1001,0),0), INDEX($AB$1004:$AQ$1004,1,MATCH(COLUMNS($AB$1006:AP1006),$AB$1006:$AQ$1006,0)))),"Fix")))</f>
        <v>0</v>
      </c>
      <c r="Q228" s="4">
        <f>IF(OR(INDEX($V$2:$V$1001,MATCH(ROWS($U$2:U228),$U$2:$U$1001,0),1)&gt;=100000,INDEX($AB$1005:$AQ$1005,1,MATCH(COLUMNS($AB$1006:AQ1006),$AB$1006:$AQ$1006,0))&gt;=100000), " ",IF(INDEX($AB$2:$AQ$1001,MATCH(ROWS($U$2:U228),$U$2:$U$1001,0),MATCH(COLUMNS($AB$1006:AQ1006),$AB$1006:$AQ$1006,0)), HYPERLINK("#",""), HYPERLINK(CONCATENATE("#metadata!", ADDRESS(INDEX($W$2:$W$1001,MATCH(ROWS($U$2:U228),$U$2:$U$1001,0),0), INDEX($AB$1004:$AQ$1004,1,MATCH(COLUMNS($AB$1006:AQ1006),$AB$1006:$AQ$1006,0)))),"Fix")))</f>
        <v>0</v>
      </c>
      <c r="U228">
        <v>0</v>
      </c>
      <c r="V228">
        <v>0</v>
      </c>
      <c r="W228">
        <v>0</v>
      </c>
      <c r="X228">
        <f>IF(Y228,TRUE,AND(AB228:AQ228))</f>
        <v>0</v>
      </c>
      <c r="Y228">
        <f>COUNTBLANK(metadata!B228:Q228)=COLUMNS(metadata!B228:Q228)</f>
        <v>0</v>
      </c>
      <c r="Z228">
        <v>0</v>
      </c>
      <c r="AB228">
        <f>AND(IF(metadata!B228="",FALSE,TRUE),COUNTIF(metadata!B:B, metadata!B228) = 1,NOT(ISERROR(SUMPRODUCT(SEARCH(MID(metadata!B228,ROW(INDIRECT("1:"&amp;LEN(metadata!B228))), 1),"0123456789abcdefghijklmnopqrstuvwxyzABCDEFGHIJKLMNOPQRSTUVWXYZ.")))))</f>
        <v>0</v>
      </c>
      <c r="AC228">
        <f>OR(AND(IF(metadata!C228="",FALSE,TRUE),OR(exact(metadata!C228,"missing: not collected"),exact(metadata!C228,"missing: not provided"),exact(metadata!C228,"missing: restricted access"))),AND(IF(metadata!C228="",FALSE,TRUE),AND(AND(IFERROR(INT(LEFT(metadata!C228,4))&gt;1900,FALSE),IFERROR(INT(LEFT(metadata!C228,4))&lt;=YEAR(NOW()),FALSE)), OR(MID(metadata!C228,5,1)="", AND(AND(MID(metadata!C228,5,1)="-",IFERROR(INT(MID(metadata!C228,6,1))&gt;=0,FALSE),IFERROR(INT(MID(metadata!C228,6,1))&lt;=1,FALSE),NOT(MID(metadata!C228,7,1)=""),IFERROR(INT(MID(metadata!C228,6,2))&gt;=1,FALSE),IFERROR(INT(MID(metadata!C228,6,2))&lt;=12,FALSE)), OR(MID(metadata!C228,8,1)="", AND(AND(MID(metadata!C228,8,1)="-",IFERROR(INT(MID(metadata!C228,9,1))&gt;=0,FALSE),IFERROR(INT(MID(metadata!C228,9,1))&lt;=3,FALSE),NOT(MID(metadata!C228,10,1)=""),IFERROR(INT(MID(metadata!C228,9,2))&gt;=1,FALSE),IFERROR(INT(MID(metadata!C228,9,2))&lt;=31,FALSE)), OR(MID(metadata!C228,11,1)="", AND(AND(MID(metadata!C228,11,1)=" ",IFERROR(INT(MID(metadata!C228,12,1))&gt;=0,FALSE),IFERROR(INT(MID(metadata!C228,12,1))&lt;=2,FALSE),NOT(MID(metadata!C228,13,1)=""),IFERROR(INT(MID(metadata!C228,12,2))&gt;=0,FALSE),IFERROR(INT(MID(metadata!C228,12,2))&lt;=23,FALSE)), OR(MID(metadata!C228,14,1)="", AND(AND(MID(metadata!C228,14,1)=":",IFERROR(INT(MID(metadata!C228,15,1))&gt;=0,FALSE),IFERROR(INT(MID(metadata!C228,15,1))&lt;=5,FALSE),NOT(MID(metadata!C228,16,1)=""),IFERROR(INT(MID(metadata!C228,15,2))&gt;=0,FALSE),IFERROR(INT(MID(metadata!C228,15,2))&lt;=59,FALSE)), OR(MID(metadata!C228,17,1)="", AND(AND(MID(metadata!C228,17,1)=":",IFERROR(INT(MID(metadata!C228,18,1))&gt;=0,FALSE),IFERROR(INT(MID(metadata!C228,18,1))&lt;=5,FALSE),NOT(MID(metadata!C228,19,1)=""),IFERROR(INT(MID(metadata!C228,18,2))&gt;=0,FALSE),IFERROR(INT(MID(metadata!C228,18,2))&lt;=59,FALSE)), LEN(metadata!C228)&lt;=19)))))))))))))</f>
        <v>0</v>
      </c>
      <c r="AD228">
        <f>IF(metadata!D228="",FALSE,TRUE)</f>
        <v>0</v>
      </c>
      <c r="AE228">
        <f>OR(AND(IF(metadata!E228="",FALSE,TRUE),OR(exact(metadata!E228,"missing: not collected"),exact(metadata!E228,"missing: not provided"))),AND(IF(metadata!E228="",FALSE,TRUE),OR(exact(metadata!E228,"TRUE"),exact(metadata!E228,"FALSE"))))</f>
        <v>0</v>
      </c>
      <c r="AF228">
        <f>IF(metadata!F228="",FALSE,TRUE)</f>
        <v>0</v>
      </c>
      <c r="AG228">
        <f>IF(metadata!G228="",FALSE,TRUE)</f>
        <v>0</v>
      </c>
      <c r="AH228">
        <f>IF(metadata!H228="",FALSE,TRUE)</f>
        <v>0</v>
      </c>
      <c r="AI228">
        <f>OR(AND(IF(metadata!I228="",FALSE,TRUE),OR(exact(metadata!I228,"missing: not collected"),exact(metadata!I228,"missing: not provided"),exact(metadata!I228,"missing: restricted access"))),AND(IF(metadata!I228="",FALSE,TRUE),OR(exact(metadata!I228,"air"),exact(metadata!I228,"built environment"),exact(metadata!I228,"host-associated"),exact(metadata!I228,"human-associated"),exact(metadata!I228,"human-skin"),exact(metadata!I228,"human-oral"),exact(metadata!I228,"human-gut"),exact(metadata!I228,"human-vaginal"),exact(metadata!I228,"microbial mat/biofilm"),exact(metadata!I228,"misc environment"),exact(metadata!I228,"plant-associated"),exact(metadata!I228,"sediment"),exact(metadata!I228,"soil"),exact(metadata!I228,"wastewater/sludge"),exact(metadata!I228,"water"))))</f>
        <v>0</v>
      </c>
      <c r="AJ228">
        <f>IF(metadata!J228="",FALSE,TRUE)</f>
        <v>0</v>
      </c>
      <c r="AK228">
        <f>OR(AND(IF(metadata!K228="",FALSE,TRUE),OR(exact(metadata!K228,"missing: not collected"),exact(metadata!K228,"missing: not provided"),exact(metadata!K228,"missing: restricted access"))),AND(IF(metadata!K228="",FALSE,ISNUMBER(VALUE(metadata!K228))),metadata!K228&gt;=-90.00,metadata!K228&lt;=90.00))</f>
        <v>0</v>
      </c>
      <c r="AL228">
        <f>OR(AND(IF(metadata!L228="",FALSE,TRUE),OR(exact(metadata!L228,"missing: not collected"),exact(metadata!L228,"missing: not provided"),exact(metadata!L228,"missing: restricted access"))),AND(IF(metadata!L228="",FALSE,ISNUMBER(VALUE(metadata!L228))),metadata!L228&gt;=-180.00,metadata!L228&lt;=180.00))</f>
        <v>0</v>
      </c>
      <c r="AM228">
        <f>IF(metadata!M228="",FALSE,TRUE)</f>
        <v>0</v>
      </c>
      <c r="AN228">
        <f>OR(AND(IF(metadata!N228="",FALSE,TRUE),OR(exact(metadata!N228,"missing: not collected"),exact(metadata!N228,"missing: not provided"),exact(metadata!N228,"missing: restricted access"))),AND(IF(metadata!N228="",FALSE,TRUE),OR(exact(metadata!N228,"TRUE"),exact(metadata!N228,"FALSE"))))</f>
        <v>0</v>
      </c>
      <c r="AO228">
        <f>IF(metadata!O228="",FALSE,TRUE)</f>
        <v>0</v>
      </c>
      <c r="AP228">
        <f>OR(AND(IF(metadata!P228="",FALSE,TRUE),OR(exact(metadata!P228,"missing: not collected"),exact(metadata!P228,"missing: not provided"))),AND(IF(metadata!P228="",FALSE,IF(ISERROR(INT(metadata!P228)),FALSE,INT(metadata!P228)=metadata!P228)),metadata!P228&gt;0))</f>
        <v>0</v>
      </c>
      <c r="AQ228">
        <f>IF(metadata!Q228="",FALSE,TRUE)</f>
        <v>0</v>
      </c>
    </row>
    <row r="229" spans="1:43">
      <c r="A229" s="5">
        <f>IF(B229=" "," ",HYPERLINK(CONCATENATE("#metadata!",ADDRESS(INDEX($W$2:$W$1001,MATCH(ROWS($U$2:U229),$U$2:$U$1001,0),0),1)),INDEX($Z$2:$Z$1001,MATCH(ROWS($U$2:U229),$U$2:$U$1001,0),0)))</f>
        <v>0</v>
      </c>
      <c r="B229" s="4">
        <f>IF(OR(INDEX($V$2:$V$1001,MATCH(ROWS($U$2:U229),$U$2:$U$1001,0),1)&gt;=100000,INDEX($AB$1005:$AQ$1005,1,MATCH(COLUMNS($AB$1006:AB1006),$AB$1006:$AQ$1006,0))&gt;=100000), " ",IF(INDEX($AB$2:$AQ$1001,MATCH(ROWS($U$2:U229),$U$2:$U$1001,0),MATCH(COLUMNS($AB$1006:AB1006),$AB$1006:$AQ$1006,0)), HYPERLINK("#",""), HYPERLINK(CONCATENATE("#metadata!", ADDRESS(INDEX($W$2:$W$1001,MATCH(ROWS($U$2:U229),$U$2:$U$1001,0),0), INDEX($AB$1004:$AQ$1004,1,MATCH(COLUMNS($AB$1006:AB1006),$AB$1006:$AQ$1006,0)))),"Fix")))</f>
        <v>0</v>
      </c>
      <c r="C229" s="4">
        <f>IF(OR(INDEX($V$2:$V$1001,MATCH(ROWS($U$2:U229),$U$2:$U$1001,0),1)&gt;=100000,INDEX($AB$1005:$AQ$1005,1,MATCH(COLUMNS($AB$1006:AC1006),$AB$1006:$AQ$1006,0))&gt;=100000), " ",IF(INDEX($AB$2:$AQ$1001,MATCH(ROWS($U$2:U229),$U$2:$U$1001,0),MATCH(COLUMNS($AB$1006:AC1006),$AB$1006:$AQ$1006,0)), HYPERLINK("#",""), HYPERLINK(CONCATENATE("#metadata!", ADDRESS(INDEX($W$2:$W$1001,MATCH(ROWS($U$2:U229),$U$2:$U$1001,0),0), INDEX($AB$1004:$AQ$1004,1,MATCH(COLUMNS($AB$1006:AC1006),$AB$1006:$AQ$1006,0)))),"Fix")))</f>
        <v>0</v>
      </c>
      <c r="D229" s="4">
        <f>IF(OR(INDEX($V$2:$V$1001,MATCH(ROWS($U$2:U229),$U$2:$U$1001,0),1)&gt;=100000,INDEX($AB$1005:$AQ$1005,1,MATCH(COLUMNS($AB$1006:AD1006),$AB$1006:$AQ$1006,0))&gt;=100000), " ",IF(INDEX($AB$2:$AQ$1001,MATCH(ROWS($U$2:U229),$U$2:$U$1001,0),MATCH(COLUMNS($AB$1006:AD1006),$AB$1006:$AQ$1006,0)), HYPERLINK("#",""), HYPERLINK(CONCATENATE("#metadata!", ADDRESS(INDEX($W$2:$W$1001,MATCH(ROWS($U$2:U229),$U$2:$U$1001,0),0), INDEX($AB$1004:$AQ$1004,1,MATCH(COLUMNS($AB$1006:AD1006),$AB$1006:$AQ$1006,0)))),"Fix")))</f>
        <v>0</v>
      </c>
      <c r="E229" s="4">
        <f>IF(OR(INDEX($V$2:$V$1001,MATCH(ROWS($U$2:U229),$U$2:$U$1001,0),1)&gt;=100000,INDEX($AB$1005:$AQ$1005,1,MATCH(COLUMNS($AB$1006:AE1006),$AB$1006:$AQ$1006,0))&gt;=100000), " ",IF(INDEX($AB$2:$AQ$1001,MATCH(ROWS($U$2:U229),$U$2:$U$1001,0),MATCH(COLUMNS($AB$1006:AE1006),$AB$1006:$AQ$1006,0)), HYPERLINK("#",""), HYPERLINK(CONCATENATE("#metadata!", ADDRESS(INDEX($W$2:$W$1001,MATCH(ROWS($U$2:U229),$U$2:$U$1001,0),0), INDEX($AB$1004:$AQ$1004,1,MATCH(COLUMNS($AB$1006:AE1006),$AB$1006:$AQ$1006,0)))),"Fix")))</f>
        <v>0</v>
      </c>
      <c r="F229" s="4">
        <f>IF(OR(INDEX($V$2:$V$1001,MATCH(ROWS($U$2:U229),$U$2:$U$1001,0),1)&gt;=100000,INDEX($AB$1005:$AQ$1005,1,MATCH(COLUMNS($AB$1006:AF1006),$AB$1006:$AQ$1006,0))&gt;=100000), " ",IF(INDEX($AB$2:$AQ$1001,MATCH(ROWS($U$2:U229),$U$2:$U$1001,0),MATCH(COLUMNS($AB$1006:AF1006),$AB$1006:$AQ$1006,0)), HYPERLINK("#",""), HYPERLINK(CONCATENATE("#metadata!", ADDRESS(INDEX($W$2:$W$1001,MATCH(ROWS($U$2:U229),$U$2:$U$1001,0),0), INDEX($AB$1004:$AQ$1004,1,MATCH(COLUMNS($AB$1006:AF1006),$AB$1006:$AQ$1006,0)))),"Fix")))</f>
        <v>0</v>
      </c>
      <c r="G229" s="4">
        <f>IF(OR(INDEX($V$2:$V$1001,MATCH(ROWS($U$2:U229),$U$2:$U$1001,0),1)&gt;=100000,INDEX($AB$1005:$AQ$1005,1,MATCH(COLUMNS($AB$1006:AG1006),$AB$1006:$AQ$1006,0))&gt;=100000), " ",IF(INDEX($AB$2:$AQ$1001,MATCH(ROWS($U$2:U229),$U$2:$U$1001,0),MATCH(COLUMNS($AB$1006:AG1006),$AB$1006:$AQ$1006,0)), HYPERLINK("#",""), HYPERLINK(CONCATENATE("#metadata!", ADDRESS(INDEX($W$2:$W$1001,MATCH(ROWS($U$2:U229),$U$2:$U$1001,0),0), INDEX($AB$1004:$AQ$1004,1,MATCH(COLUMNS($AB$1006:AG1006),$AB$1006:$AQ$1006,0)))),"Fix")))</f>
        <v>0</v>
      </c>
      <c r="H229" s="4">
        <f>IF(OR(INDEX($V$2:$V$1001,MATCH(ROWS($U$2:U229),$U$2:$U$1001,0),1)&gt;=100000,INDEX($AB$1005:$AQ$1005,1,MATCH(COLUMNS($AB$1006:AH1006),$AB$1006:$AQ$1006,0))&gt;=100000), " ",IF(INDEX($AB$2:$AQ$1001,MATCH(ROWS($U$2:U229),$U$2:$U$1001,0),MATCH(COLUMNS($AB$1006:AH1006),$AB$1006:$AQ$1006,0)), HYPERLINK("#",""), HYPERLINK(CONCATENATE("#metadata!", ADDRESS(INDEX($W$2:$W$1001,MATCH(ROWS($U$2:U229),$U$2:$U$1001,0),0), INDEX($AB$1004:$AQ$1004,1,MATCH(COLUMNS($AB$1006:AH1006),$AB$1006:$AQ$1006,0)))),"Fix")))</f>
        <v>0</v>
      </c>
      <c r="I229" s="4">
        <f>IF(OR(INDEX($V$2:$V$1001,MATCH(ROWS($U$2:U229),$U$2:$U$1001,0),1)&gt;=100000,INDEX($AB$1005:$AQ$1005,1,MATCH(COLUMNS($AB$1006:AI1006),$AB$1006:$AQ$1006,0))&gt;=100000), " ",IF(INDEX($AB$2:$AQ$1001,MATCH(ROWS($U$2:U229),$U$2:$U$1001,0),MATCH(COLUMNS($AB$1006:AI1006),$AB$1006:$AQ$1006,0)), HYPERLINK("#",""), HYPERLINK(CONCATENATE("#metadata!", ADDRESS(INDEX($W$2:$W$1001,MATCH(ROWS($U$2:U229),$U$2:$U$1001,0),0), INDEX($AB$1004:$AQ$1004,1,MATCH(COLUMNS($AB$1006:AI1006),$AB$1006:$AQ$1006,0)))),"Fix")))</f>
        <v>0</v>
      </c>
      <c r="J229" s="4">
        <f>IF(OR(INDEX($V$2:$V$1001,MATCH(ROWS($U$2:U229),$U$2:$U$1001,0),1)&gt;=100000,INDEX($AB$1005:$AQ$1005,1,MATCH(COLUMNS($AB$1006:AJ1006),$AB$1006:$AQ$1006,0))&gt;=100000), " ",IF(INDEX($AB$2:$AQ$1001,MATCH(ROWS($U$2:U229),$U$2:$U$1001,0),MATCH(COLUMNS($AB$1006:AJ1006),$AB$1006:$AQ$1006,0)), HYPERLINK("#",""), HYPERLINK(CONCATENATE("#metadata!", ADDRESS(INDEX($W$2:$W$1001,MATCH(ROWS($U$2:U229),$U$2:$U$1001,0),0), INDEX($AB$1004:$AQ$1004,1,MATCH(COLUMNS($AB$1006:AJ1006),$AB$1006:$AQ$1006,0)))),"Fix")))</f>
        <v>0</v>
      </c>
      <c r="K229" s="4">
        <f>IF(OR(INDEX($V$2:$V$1001,MATCH(ROWS($U$2:U229),$U$2:$U$1001,0),1)&gt;=100000,INDEX($AB$1005:$AQ$1005,1,MATCH(COLUMNS($AB$1006:AK1006),$AB$1006:$AQ$1006,0))&gt;=100000), " ",IF(INDEX($AB$2:$AQ$1001,MATCH(ROWS($U$2:U229),$U$2:$U$1001,0),MATCH(COLUMNS($AB$1006:AK1006),$AB$1006:$AQ$1006,0)), HYPERLINK("#",""), HYPERLINK(CONCATENATE("#metadata!", ADDRESS(INDEX($W$2:$W$1001,MATCH(ROWS($U$2:U229),$U$2:$U$1001,0),0), INDEX($AB$1004:$AQ$1004,1,MATCH(COLUMNS($AB$1006:AK1006),$AB$1006:$AQ$1006,0)))),"Fix")))</f>
        <v>0</v>
      </c>
      <c r="L229" s="4">
        <f>IF(OR(INDEX($V$2:$V$1001,MATCH(ROWS($U$2:U229),$U$2:$U$1001,0),1)&gt;=100000,INDEX($AB$1005:$AQ$1005,1,MATCH(COLUMNS($AB$1006:AL1006),$AB$1006:$AQ$1006,0))&gt;=100000), " ",IF(INDEX($AB$2:$AQ$1001,MATCH(ROWS($U$2:U229),$U$2:$U$1001,0),MATCH(COLUMNS($AB$1006:AL1006),$AB$1006:$AQ$1006,0)), HYPERLINK("#",""), HYPERLINK(CONCATENATE("#metadata!", ADDRESS(INDEX($W$2:$W$1001,MATCH(ROWS($U$2:U229),$U$2:$U$1001,0),0), INDEX($AB$1004:$AQ$1004,1,MATCH(COLUMNS($AB$1006:AL1006),$AB$1006:$AQ$1006,0)))),"Fix")))</f>
        <v>0</v>
      </c>
      <c r="M229" s="4">
        <f>IF(OR(INDEX($V$2:$V$1001,MATCH(ROWS($U$2:U229),$U$2:$U$1001,0),1)&gt;=100000,INDEX($AB$1005:$AQ$1005,1,MATCH(COLUMNS($AB$1006:AM1006),$AB$1006:$AQ$1006,0))&gt;=100000), " ",IF(INDEX($AB$2:$AQ$1001,MATCH(ROWS($U$2:U229),$U$2:$U$1001,0),MATCH(COLUMNS($AB$1006:AM1006),$AB$1006:$AQ$1006,0)), HYPERLINK("#",""), HYPERLINK(CONCATENATE("#metadata!", ADDRESS(INDEX($W$2:$W$1001,MATCH(ROWS($U$2:U229),$U$2:$U$1001,0),0), INDEX($AB$1004:$AQ$1004,1,MATCH(COLUMNS($AB$1006:AM1006),$AB$1006:$AQ$1006,0)))),"Fix")))</f>
        <v>0</v>
      </c>
      <c r="N229" s="4">
        <f>IF(OR(INDEX($V$2:$V$1001,MATCH(ROWS($U$2:U229),$U$2:$U$1001,0),1)&gt;=100000,INDEX($AB$1005:$AQ$1005,1,MATCH(COLUMNS($AB$1006:AN1006),$AB$1006:$AQ$1006,0))&gt;=100000), " ",IF(INDEX($AB$2:$AQ$1001,MATCH(ROWS($U$2:U229),$U$2:$U$1001,0),MATCH(COLUMNS($AB$1006:AN1006),$AB$1006:$AQ$1006,0)), HYPERLINK("#",""), HYPERLINK(CONCATENATE("#metadata!", ADDRESS(INDEX($W$2:$W$1001,MATCH(ROWS($U$2:U229),$U$2:$U$1001,0),0), INDEX($AB$1004:$AQ$1004,1,MATCH(COLUMNS($AB$1006:AN1006),$AB$1006:$AQ$1006,0)))),"Fix")))</f>
        <v>0</v>
      </c>
      <c r="O229" s="4">
        <f>IF(OR(INDEX($V$2:$V$1001,MATCH(ROWS($U$2:U229),$U$2:$U$1001,0),1)&gt;=100000,INDEX($AB$1005:$AQ$1005,1,MATCH(COLUMNS($AB$1006:AO1006),$AB$1006:$AQ$1006,0))&gt;=100000), " ",IF(INDEX($AB$2:$AQ$1001,MATCH(ROWS($U$2:U229),$U$2:$U$1001,0),MATCH(COLUMNS($AB$1006:AO1006),$AB$1006:$AQ$1006,0)), HYPERLINK("#",""), HYPERLINK(CONCATENATE("#metadata!", ADDRESS(INDEX($W$2:$W$1001,MATCH(ROWS($U$2:U229),$U$2:$U$1001,0),0), INDEX($AB$1004:$AQ$1004,1,MATCH(COLUMNS($AB$1006:AO1006),$AB$1006:$AQ$1006,0)))),"Fix")))</f>
        <v>0</v>
      </c>
      <c r="P229" s="4">
        <f>IF(OR(INDEX($V$2:$V$1001,MATCH(ROWS($U$2:U229),$U$2:$U$1001,0),1)&gt;=100000,INDEX($AB$1005:$AQ$1005,1,MATCH(COLUMNS($AB$1006:AP1006),$AB$1006:$AQ$1006,0))&gt;=100000), " ",IF(INDEX($AB$2:$AQ$1001,MATCH(ROWS($U$2:U229),$U$2:$U$1001,0),MATCH(COLUMNS($AB$1006:AP1006),$AB$1006:$AQ$1006,0)), HYPERLINK("#",""), HYPERLINK(CONCATENATE("#metadata!", ADDRESS(INDEX($W$2:$W$1001,MATCH(ROWS($U$2:U229),$U$2:$U$1001,0),0), INDEX($AB$1004:$AQ$1004,1,MATCH(COLUMNS($AB$1006:AP1006),$AB$1006:$AQ$1006,0)))),"Fix")))</f>
        <v>0</v>
      </c>
      <c r="Q229" s="4">
        <f>IF(OR(INDEX($V$2:$V$1001,MATCH(ROWS($U$2:U229),$U$2:$U$1001,0),1)&gt;=100000,INDEX($AB$1005:$AQ$1005,1,MATCH(COLUMNS($AB$1006:AQ1006),$AB$1006:$AQ$1006,0))&gt;=100000), " ",IF(INDEX($AB$2:$AQ$1001,MATCH(ROWS($U$2:U229),$U$2:$U$1001,0),MATCH(COLUMNS($AB$1006:AQ1006),$AB$1006:$AQ$1006,0)), HYPERLINK("#",""), HYPERLINK(CONCATENATE("#metadata!", ADDRESS(INDEX($W$2:$W$1001,MATCH(ROWS($U$2:U229),$U$2:$U$1001,0),0), INDEX($AB$1004:$AQ$1004,1,MATCH(COLUMNS($AB$1006:AQ1006),$AB$1006:$AQ$1006,0)))),"Fix")))</f>
        <v>0</v>
      </c>
      <c r="U229">
        <v>0</v>
      </c>
      <c r="V229">
        <v>0</v>
      </c>
      <c r="W229">
        <v>0</v>
      </c>
      <c r="X229">
        <f>IF(Y229,TRUE,AND(AB229:AQ229))</f>
        <v>0</v>
      </c>
      <c r="Y229">
        <f>COUNTBLANK(metadata!B229:Q229)=COLUMNS(metadata!B229:Q229)</f>
        <v>0</v>
      </c>
      <c r="Z229">
        <v>0</v>
      </c>
      <c r="AB229">
        <f>AND(IF(metadata!B229="",FALSE,TRUE),COUNTIF(metadata!B:B, metadata!B229) = 1,NOT(ISERROR(SUMPRODUCT(SEARCH(MID(metadata!B229,ROW(INDIRECT("1:"&amp;LEN(metadata!B229))), 1),"0123456789abcdefghijklmnopqrstuvwxyzABCDEFGHIJKLMNOPQRSTUVWXYZ.")))))</f>
        <v>0</v>
      </c>
      <c r="AC229">
        <f>OR(AND(IF(metadata!C229="",FALSE,TRUE),OR(exact(metadata!C229,"missing: not collected"),exact(metadata!C229,"missing: not provided"),exact(metadata!C229,"missing: restricted access"))),AND(IF(metadata!C229="",FALSE,TRUE),AND(AND(IFERROR(INT(LEFT(metadata!C229,4))&gt;1900,FALSE),IFERROR(INT(LEFT(metadata!C229,4))&lt;=YEAR(NOW()),FALSE)), OR(MID(metadata!C229,5,1)="", AND(AND(MID(metadata!C229,5,1)="-",IFERROR(INT(MID(metadata!C229,6,1))&gt;=0,FALSE),IFERROR(INT(MID(metadata!C229,6,1))&lt;=1,FALSE),NOT(MID(metadata!C229,7,1)=""),IFERROR(INT(MID(metadata!C229,6,2))&gt;=1,FALSE),IFERROR(INT(MID(metadata!C229,6,2))&lt;=12,FALSE)), OR(MID(metadata!C229,8,1)="", AND(AND(MID(metadata!C229,8,1)="-",IFERROR(INT(MID(metadata!C229,9,1))&gt;=0,FALSE),IFERROR(INT(MID(metadata!C229,9,1))&lt;=3,FALSE),NOT(MID(metadata!C229,10,1)=""),IFERROR(INT(MID(metadata!C229,9,2))&gt;=1,FALSE),IFERROR(INT(MID(metadata!C229,9,2))&lt;=31,FALSE)), OR(MID(metadata!C229,11,1)="", AND(AND(MID(metadata!C229,11,1)=" ",IFERROR(INT(MID(metadata!C229,12,1))&gt;=0,FALSE),IFERROR(INT(MID(metadata!C229,12,1))&lt;=2,FALSE),NOT(MID(metadata!C229,13,1)=""),IFERROR(INT(MID(metadata!C229,12,2))&gt;=0,FALSE),IFERROR(INT(MID(metadata!C229,12,2))&lt;=23,FALSE)), OR(MID(metadata!C229,14,1)="", AND(AND(MID(metadata!C229,14,1)=":",IFERROR(INT(MID(metadata!C229,15,1))&gt;=0,FALSE),IFERROR(INT(MID(metadata!C229,15,1))&lt;=5,FALSE),NOT(MID(metadata!C229,16,1)=""),IFERROR(INT(MID(metadata!C229,15,2))&gt;=0,FALSE),IFERROR(INT(MID(metadata!C229,15,2))&lt;=59,FALSE)), OR(MID(metadata!C229,17,1)="", AND(AND(MID(metadata!C229,17,1)=":",IFERROR(INT(MID(metadata!C229,18,1))&gt;=0,FALSE),IFERROR(INT(MID(metadata!C229,18,1))&lt;=5,FALSE),NOT(MID(metadata!C229,19,1)=""),IFERROR(INT(MID(metadata!C229,18,2))&gt;=0,FALSE),IFERROR(INT(MID(metadata!C229,18,2))&lt;=59,FALSE)), LEN(metadata!C229)&lt;=19)))))))))))))</f>
        <v>0</v>
      </c>
      <c r="AD229">
        <f>IF(metadata!D229="",FALSE,TRUE)</f>
        <v>0</v>
      </c>
      <c r="AE229">
        <f>OR(AND(IF(metadata!E229="",FALSE,TRUE),OR(exact(metadata!E229,"missing: not collected"),exact(metadata!E229,"missing: not provided"))),AND(IF(metadata!E229="",FALSE,TRUE),OR(exact(metadata!E229,"TRUE"),exact(metadata!E229,"FALSE"))))</f>
        <v>0</v>
      </c>
      <c r="AF229">
        <f>IF(metadata!F229="",FALSE,TRUE)</f>
        <v>0</v>
      </c>
      <c r="AG229">
        <f>IF(metadata!G229="",FALSE,TRUE)</f>
        <v>0</v>
      </c>
      <c r="AH229">
        <f>IF(metadata!H229="",FALSE,TRUE)</f>
        <v>0</v>
      </c>
      <c r="AI229">
        <f>OR(AND(IF(metadata!I229="",FALSE,TRUE),OR(exact(metadata!I229,"missing: not collected"),exact(metadata!I229,"missing: not provided"),exact(metadata!I229,"missing: restricted access"))),AND(IF(metadata!I229="",FALSE,TRUE),OR(exact(metadata!I229,"air"),exact(metadata!I229,"built environment"),exact(metadata!I229,"host-associated"),exact(metadata!I229,"human-associated"),exact(metadata!I229,"human-skin"),exact(metadata!I229,"human-oral"),exact(metadata!I229,"human-gut"),exact(metadata!I229,"human-vaginal"),exact(metadata!I229,"microbial mat/biofilm"),exact(metadata!I229,"misc environment"),exact(metadata!I229,"plant-associated"),exact(metadata!I229,"sediment"),exact(metadata!I229,"soil"),exact(metadata!I229,"wastewater/sludge"),exact(metadata!I229,"water"))))</f>
        <v>0</v>
      </c>
      <c r="AJ229">
        <f>IF(metadata!J229="",FALSE,TRUE)</f>
        <v>0</v>
      </c>
      <c r="AK229">
        <f>OR(AND(IF(metadata!K229="",FALSE,TRUE),OR(exact(metadata!K229,"missing: not collected"),exact(metadata!K229,"missing: not provided"),exact(metadata!K229,"missing: restricted access"))),AND(IF(metadata!K229="",FALSE,ISNUMBER(VALUE(metadata!K229))),metadata!K229&gt;=-90.00,metadata!K229&lt;=90.00))</f>
        <v>0</v>
      </c>
      <c r="AL229">
        <f>OR(AND(IF(metadata!L229="",FALSE,TRUE),OR(exact(metadata!L229,"missing: not collected"),exact(metadata!L229,"missing: not provided"),exact(metadata!L229,"missing: restricted access"))),AND(IF(metadata!L229="",FALSE,ISNUMBER(VALUE(metadata!L229))),metadata!L229&gt;=-180.00,metadata!L229&lt;=180.00))</f>
        <v>0</v>
      </c>
      <c r="AM229">
        <f>IF(metadata!M229="",FALSE,TRUE)</f>
        <v>0</v>
      </c>
      <c r="AN229">
        <f>OR(AND(IF(metadata!N229="",FALSE,TRUE),OR(exact(metadata!N229,"missing: not collected"),exact(metadata!N229,"missing: not provided"),exact(metadata!N229,"missing: restricted access"))),AND(IF(metadata!N229="",FALSE,TRUE),OR(exact(metadata!N229,"TRUE"),exact(metadata!N229,"FALSE"))))</f>
        <v>0</v>
      </c>
      <c r="AO229">
        <f>IF(metadata!O229="",FALSE,TRUE)</f>
        <v>0</v>
      </c>
      <c r="AP229">
        <f>OR(AND(IF(metadata!P229="",FALSE,TRUE),OR(exact(metadata!P229,"missing: not collected"),exact(metadata!P229,"missing: not provided"))),AND(IF(metadata!P229="",FALSE,IF(ISERROR(INT(metadata!P229)),FALSE,INT(metadata!P229)=metadata!P229)),metadata!P229&gt;0))</f>
        <v>0</v>
      </c>
      <c r="AQ229">
        <f>IF(metadata!Q229="",FALSE,TRUE)</f>
        <v>0</v>
      </c>
    </row>
    <row r="230" spans="1:43">
      <c r="A230" s="5">
        <f>IF(B230=" "," ",HYPERLINK(CONCATENATE("#metadata!",ADDRESS(INDEX($W$2:$W$1001,MATCH(ROWS($U$2:U230),$U$2:$U$1001,0),0),1)),INDEX($Z$2:$Z$1001,MATCH(ROWS($U$2:U230),$U$2:$U$1001,0),0)))</f>
        <v>0</v>
      </c>
      <c r="B230" s="4">
        <f>IF(OR(INDEX($V$2:$V$1001,MATCH(ROWS($U$2:U230),$U$2:$U$1001,0),1)&gt;=100000,INDEX($AB$1005:$AQ$1005,1,MATCH(COLUMNS($AB$1006:AB1006),$AB$1006:$AQ$1006,0))&gt;=100000), " ",IF(INDEX($AB$2:$AQ$1001,MATCH(ROWS($U$2:U230),$U$2:$U$1001,0),MATCH(COLUMNS($AB$1006:AB1006),$AB$1006:$AQ$1006,0)), HYPERLINK("#",""), HYPERLINK(CONCATENATE("#metadata!", ADDRESS(INDEX($W$2:$W$1001,MATCH(ROWS($U$2:U230),$U$2:$U$1001,0),0), INDEX($AB$1004:$AQ$1004,1,MATCH(COLUMNS($AB$1006:AB1006),$AB$1006:$AQ$1006,0)))),"Fix")))</f>
        <v>0</v>
      </c>
      <c r="C230" s="4">
        <f>IF(OR(INDEX($V$2:$V$1001,MATCH(ROWS($U$2:U230),$U$2:$U$1001,0),1)&gt;=100000,INDEX($AB$1005:$AQ$1005,1,MATCH(COLUMNS($AB$1006:AC1006),$AB$1006:$AQ$1006,0))&gt;=100000), " ",IF(INDEX($AB$2:$AQ$1001,MATCH(ROWS($U$2:U230),$U$2:$U$1001,0),MATCH(COLUMNS($AB$1006:AC1006),$AB$1006:$AQ$1006,0)), HYPERLINK("#",""), HYPERLINK(CONCATENATE("#metadata!", ADDRESS(INDEX($W$2:$W$1001,MATCH(ROWS($U$2:U230),$U$2:$U$1001,0),0), INDEX($AB$1004:$AQ$1004,1,MATCH(COLUMNS($AB$1006:AC1006),$AB$1006:$AQ$1006,0)))),"Fix")))</f>
        <v>0</v>
      </c>
      <c r="D230" s="4">
        <f>IF(OR(INDEX($V$2:$V$1001,MATCH(ROWS($U$2:U230),$U$2:$U$1001,0),1)&gt;=100000,INDEX($AB$1005:$AQ$1005,1,MATCH(COLUMNS($AB$1006:AD1006),$AB$1006:$AQ$1006,0))&gt;=100000), " ",IF(INDEX($AB$2:$AQ$1001,MATCH(ROWS($U$2:U230),$U$2:$U$1001,0),MATCH(COLUMNS($AB$1006:AD1006),$AB$1006:$AQ$1006,0)), HYPERLINK("#",""), HYPERLINK(CONCATENATE("#metadata!", ADDRESS(INDEX($W$2:$W$1001,MATCH(ROWS($U$2:U230),$U$2:$U$1001,0),0), INDEX($AB$1004:$AQ$1004,1,MATCH(COLUMNS($AB$1006:AD1006),$AB$1006:$AQ$1006,0)))),"Fix")))</f>
        <v>0</v>
      </c>
      <c r="E230" s="4">
        <f>IF(OR(INDEX($V$2:$V$1001,MATCH(ROWS($U$2:U230),$U$2:$U$1001,0),1)&gt;=100000,INDEX($AB$1005:$AQ$1005,1,MATCH(COLUMNS($AB$1006:AE1006),$AB$1006:$AQ$1006,0))&gt;=100000), " ",IF(INDEX($AB$2:$AQ$1001,MATCH(ROWS($U$2:U230),$U$2:$U$1001,0),MATCH(COLUMNS($AB$1006:AE1006),$AB$1006:$AQ$1006,0)), HYPERLINK("#",""), HYPERLINK(CONCATENATE("#metadata!", ADDRESS(INDEX($W$2:$W$1001,MATCH(ROWS($U$2:U230),$U$2:$U$1001,0),0), INDEX($AB$1004:$AQ$1004,1,MATCH(COLUMNS($AB$1006:AE1006),$AB$1006:$AQ$1006,0)))),"Fix")))</f>
        <v>0</v>
      </c>
      <c r="F230" s="4">
        <f>IF(OR(INDEX($V$2:$V$1001,MATCH(ROWS($U$2:U230),$U$2:$U$1001,0),1)&gt;=100000,INDEX($AB$1005:$AQ$1005,1,MATCH(COLUMNS($AB$1006:AF1006),$AB$1006:$AQ$1006,0))&gt;=100000), " ",IF(INDEX($AB$2:$AQ$1001,MATCH(ROWS($U$2:U230),$U$2:$U$1001,0),MATCH(COLUMNS($AB$1006:AF1006),$AB$1006:$AQ$1006,0)), HYPERLINK("#",""), HYPERLINK(CONCATENATE("#metadata!", ADDRESS(INDEX($W$2:$W$1001,MATCH(ROWS($U$2:U230),$U$2:$U$1001,0),0), INDEX($AB$1004:$AQ$1004,1,MATCH(COLUMNS($AB$1006:AF1006),$AB$1006:$AQ$1006,0)))),"Fix")))</f>
        <v>0</v>
      </c>
      <c r="G230" s="4">
        <f>IF(OR(INDEX($V$2:$V$1001,MATCH(ROWS($U$2:U230),$U$2:$U$1001,0),1)&gt;=100000,INDEX($AB$1005:$AQ$1005,1,MATCH(COLUMNS($AB$1006:AG1006),$AB$1006:$AQ$1006,0))&gt;=100000), " ",IF(INDEX($AB$2:$AQ$1001,MATCH(ROWS($U$2:U230),$U$2:$U$1001,0),MATCH(COLUMNS($AB$1006:AG1006),$AB$1006:$AQ$1006,0)), HYPERLINK("#",""), HYPERLINK(CONCATENATE("#metadata!", ADDRESS(INDEX($W$2:$W$1001,MATCH(ROWS($U$2:U230),$U$2:$U$1001,0),0), INDEX($AB$1004:$AQ$1004,1,MATCH(COLUMNS($AB$1006:AG1006),$AB$1006:$AQ$1006,0)))),"Fix")))</f>
        <v>0</v>
      </c>
      <c r="H230" s="4">
        <f>IF(OR(INDEX($V$2:$V$1001,MATCH(ROWS($U$2:U230),$U$2:$U$1001,0),1)&gt;=100000,INDEX($AB$1005:$AQ$1005,1,MATCH(COLUMNS($AB$1006:AH1006),$AB$1006:$AQ$1006,0))&gt;=100000), " ",IF(INDEX($AB$2:$AQ$1001,MATCH(ROWS($U$2:U230),$U$2:$U$1001,0),MATCH(COLUMNS($AB$1006:AH1006),$AB$1006:$AQ$1006,0)), HYPERLINK("#",""), HYPERLINK(CONCATENATE("#metadata!", ADDRESS(INDEX($W$2:$W$1001,MATCH(ROWS($U$2:U230),$U$2:$U$1001,0),0), INDEX($AB$1004:$AQ$1004,1,MATCH(COLUMNS($AB$1006:AH1006),$AB$1006:$AQ$1006,0)))),"Fix")))</f>
        <v>0</v>
      </c>
      <c r="I230" s="4">
        <f>IF(OR(INDEX($V$2:$V$1001,MATCH(ROWS($U$2:U230),$U$2:$U$1001,0),1)&gt;=100000,INDEX($AB$1005:$AQ$1005,1,MATCH(COLUMNS($AB$1006:AI1006),$AB$1006:$AQ$1006,0))&gt;=100000), " ",IF(INDEX($AB$2:$AQ$1001,MATCH(ROWS($U$2:U230),$U$2:$U$1001,0),MATCH(COLUMNS($AB$1006:AI1006),$AB$1006:$AQ$1006,0)), HYPERLINK("#",""), HYPERLINK(CONCATENATE("#metadata!", ADDRESS(INDEX($W$2:$W$1001,MATCH(ROWS($U$2:U230),$U$2:$U$1001,0),0), INDEX($AB$1004:$AQ$1004,1,MATCH(COLUMNS($AB$1006:AI1006),$AB$1006:$AQ$1006,0)))),"Fix")))</f>
        <v>0</v>
      </c>
      <c r="J230" s="4">
        <f>IF(OR(INDEX($V$2:$V$1001,MATCH(ROWS($U$2:U230),$U$2:$U$1001,0),1)&gt;=100000,INDEX($AB$1005:$AQ$1005,1,MATCH(COLUMNS($AB$1006:AJ1006),$AB$1006:$AQ$1006,0))&gt;=100000), " ",IF(INDEX($AB$2:$AQ$1001,MATCH(ROWS($U$2:U230),$U$2:$U$1001,0),MATCH(COLUMNS($AB$1006:AJ1006),$AB$1006:$AQ$1006,0)), HYPERLINK("#",""), HYPERLINK(CONCATENATE("#metadata!", ADDRESS(INDEX($W$2:$W$1001,MATCH(ROWS($U$2:U230),$U$2:$U$1001,0),0), INDEX($AB$1004:$AQ$1004,1,MATCH(COLUMNS($AB$1006:AJ1006),$AB$1006:$AQ$1006,0)))),"Fix")))</f>
        <v>0</v>
      </c>
      <c r="K230" s="4">
        <f>IF(OR(INDEX($V$2:$V$1001,MATCH(ROWS($U$2:U230),$U$2:$U$1001,0),1)&gt;=100000,INDEX($AB$1005:$AQ$1005,1,MATCH(COLUMNS($AB$1006:AK1006),$AB$1006:$AQ$1006,0))&gt;=100000), " ",IF(INDEX($AB$2:$AQ$1001,MATCH(ROWS($U$2:U230),$U$2:$U$1001,0),MATCH(COLUMNS($AB$1006:AK1006),$AB$1006:$AQ$1006,0)), HYPERLINK("#",""), HYPERLINK(CONCATENATE("#metadata!", ADDRESS(INDEX($W$2:$W$1001,MATCH(ROWS($U$2:U230),$U$2:$U$1001,0),0), INDEX($AB$1004:$AQ$1004,1,MATCH(COLUMNS($AB$1006:AK1006),$AB$1006:$AQ$1006,0)))),"Fix")))</f>
        <v>0</v>
      </c>
      <c r="L230" s="4">
        <f>IF(OR(INDEX($V$2:$V$1001,MATCH(ROWS($U$2:U230),$U$2:$U$1001,0),1)&gt;=100000,INDEX($AB$1005:$AQ$1005,1,MATCH(COLUMNS($AB$1006:AL1006),$AB$1006:$AQ$1006,0))&gt;=100000), " ",IF(INDEX($AB$2:$AQ$1001,MATCH(ROWS($U$2:U230),$U$2:$U$1001,0),MATCH(COLUMNS($AB$1006:AL1006),$AB$1006:$AQ$1006,0)), HYPERLINK("#",""), HYPERLINK(CONCATENATE("#metadata!", ADDRESS(INDEX($W$2:$W$1001,MATCH(ROWS($U$2:U230),$U$2:$U$1001,0),0), INDEX($AB$1004:$AQ$1004,1,MATCH(COLUMNS($AB$1006:AL1006),$AB$1006:$AQ$1006,0)))),"Fix")))</f>
        <v>0</v>
      </c>
      <c r="M230" s="4">
        <f>IF(OR(INDEX($V$2:$V$1001,MATCH(ROWS($U$2:U230),$U$2:$U$1001,0),1)&gt;=100000,INDEX($AB$1005:$AQ$1005,1,MATCH(COLUMNS($AB$1006:AM1006),$AB$1006:$AQ$1006,0))&gt;=100000), " ",IF(INDEX($AB$2:$AQ$1001,MATCH(ROWS($U$2:U230),$U$2:$U$1001,0),MATCH(COLUMNS($AB$1006:AM1006),$AB$1006:$AQ$1006,0)), HYPERLINK("#",""), HYPERLINK(CONCATENATE("#metadata!", ADDRESS(INDEX($W$2:$W$1001,MATCH(ROWS($U$2:U230),$U$2:$U$1001,0),0), INDEX($AB$1004:$AQ$1004,1,MATCH(COLUMNS($AB$1006:AM1006),$AB$1006:$AQ$1006,0)))),"Fix")))</f>
        <v>0</v>
      </c>
      <c r="N230" s="4">
        <f>IF(OR(INDEX($V$2:$V$1001,MATCH(ROWS($U$2:U230),$U$2:$U$1001,0),1)&gt;=100000,INDEX($AB$1005:$AQ$1005,1,MATCH(COLUMNS($AB$1006:AN1006),$AB$1006:$AQ$1006,0))&gt;=100000), " ",IF(INDEX($AB$2:$AQ$1001,MATCH(ROWS($U$2:U230),$U$2:$U$1001,0),MATCH(COLUMNS($AB$1006:AN1006),$AB$1006:$AQ$1006,0)), HYPERLINK("#",""), HYPERLINK(CONCATENATE("#metadata!", ADDRESS(INDEX($W$2:$W$1001,MATCH(ROWS($U$2:U230),$U$2:$U$1001,0),0), INDEX($AB$1004:$AQ$1004,1,MATCH(COLUMNS($AB$1006:AN1006),$AB$1006:$AQ$1006,0)))),"Fix")))</f>
        <v>0</v>
      </c>
      <c r="O230" s="4">
        <f>IF(OR(INDEX($V$2:$V$1001,MATCH(ROWS($U$2:U230),$U$2:$U$1001,0),1)&gt;=100000,INDEX($AB$1005:$AQ$1005,1,MATCH(COLUMNS($AB$1006:AO1006),$AB$1006:$AQ$1006,0))&gt;=100000), " ",IF(INDEX($AB$2:$AQ$1001,MATCH(ROWS($U$2:U230),$U$2:$U$1001,0),MATCH(COLUMNS($AB$1006:AO1006),$AB$1006:$AQ$1006,0)), HYPERLINK("#",""), HYPERLINK(CONCATENATE("#metadata!", ADDRESS(INDEX($W$2:$W$1001,MATCH(ROWS($U$2:U230),$U$2:$U$1001,0),0), INDEX($AB$1004:$AQ$1004,1,MATCH(COLUMNS($AB$1006:AO1006),$AB$1006:$AQ$1006,0)))),"Fix")))</f>
        <v>0</v>
      </c>
      <c r="P230" s="4">
        <f>IF(OR(INDEX($V$2:$V$1001,MATCH(ROWS($U$2:U230),$U$2:$U$1001,0),1)&gt;=100000,INDEX($AB$1005:$AQ$1005,1,MATCH(COLUMNS($AB$1006:AP1006),$AB$1006:$AQ$1006,0))&gt;=100000), " ",IF(INDEX($AB$2:$AQ$1001,MATCH(ROWS($U$2:U230),$U$2:$U$1001,0),MATCH(COLUMNS($AB$1006:AP1006),$AB$1006:$AQ$1006,0)), HYPERLINK("#",""), HYPERLINK(CONCATENATE("#metadata!", ADDRESS(INDEX($W$2:$W$1001,MATCH(ROWS($U$2:U230),$U$2:$U$1001,0),0), INDEX($AB$1004:$AQ$1004,1,MATCH(COLUMNS($AB$1006:AP1006),$AB$1006:$AQ$1006,0)))),"Fix")))</f>
        <v>0</v>
      </c>
      <c r="Q230" s="4">
        <f>IF(OR(INDEX($V$2:$V$1001,MATCH(ROWS($U$2:U230),$U$2:$U$1001,0),1)&gt;=100000,INDEX($AB$1005:$AQ$1005,1,MATCH(COLUMNS($AB$1006:AQ1006),$AB$1006:$AQ$1006,0))&gt;=100000), " ",IF(INDEX($AB$2:$AQ$1001,MATCH(ROWS($U$2:U230),$U$2:$U$1001,0),MATCH(COLUMNS($AB$1006:AQ1006),$AB$1006:$AQ$1006,0)), HYPERLINK("#",""), HYPERLINK(CONCATENATE("#metadata!", ADDRESS(INDEX($W$2:$W$1001,MATCH(ROWS($U$2:U230),$U$2:$U$1001,0),0), INDEX($AB$1004:$AQ$1004,1,MATCH(COLUMNS($AB$1006:AQ1006),$AB$1006:$AQ$1006,0)))),"Fix")))</f>
        <v>0</v>
      </c>
      <c r="U230">
        <v>0</v>
      </c>
      <c r="V230">
        <v>0</v>
      </c>
      <c r="W230">
        <v>0</v>
      </c>
      <c r="X230">
        <f>IF(Y230,TRUE,AND(AB230:AQ230))</f>
        <v>0</v>
      </c>
      <c r="Y230">
        <f>COUNTBLANK(metadata!B230:Q230)=COLUMNS(metadata!B230:Q230)</f>
        <v>0</v>
      </c>
      <c r="Z230">
        <v>0</v>
      </c>
      <c r="AB230">
        <f>AND(IF(metadata!B230="",FALSE,TRUE),COUNTIF(metadata!B:B, metadata!B230) = 1,NOT(ISERROR(SUMPRODUCT(SEARCH(MID(metadata!B230,ROW(INDIRECT("1:"&amp;LEN(metadata!B230))), 1),"0123456789abcdefghijklmnopqrstuvwxyzABCDEFGHIJKLMNOPQRSTUVWXYZ.")))))</f>
        <v>0</v>
      </c>
      <c r="AC230">
        <f>OR(AND(IF(metadata!C230="",FALSE,TRUE),OR(exact(metadata!C230,"missing: not collected"),exact(metadata!C230,"missing: not provided"),exact(metadata!C230,"missing: restricted access"))),AND(IF(metadata!C230="",FALSE,TRUE),AND(AND(IFERROR(INT(LEFT(metadata!C230,4))&gt;1900,FALSE),IFERROR(INT(LEFT(metadata!C230,4))&lt;=YEAR(NOW()),FALSE)), OR(MID(metadata!C230,5,1)="", AND(AND(MID(metadata!C230,5,1)="-",IFERROR(INT(MID(metadata!C230,6,1))&gt;=0,FALSE),IFERROR(INT(MID(metadata!C230,6,1))&lt;=1,FALSE),NOT(MID(metadata!C230,7,1)=""),IFERROR(INT(MID(metadata!C230,6,2))&gt;=1,FALSE),IFERROR(INT(MID(metadata!C230,6,2))&lt;=12,FALSE)), OR(MID(metadata!C230,8,1)="", AND(AND(MID(metadata!C230,8,1)="-",IFERROR(INT(MID(metadata!C230,9,1))&gt;=0,FALSE),IFERROR(INT(MID(metadata!C230,9,1))&lt;=3,FALSE),NOT(MID(metadata!C230,10,1)=""),IFERROR(INT(MID(metadata!C230,9,2))&gt;=1,FALSE),IFERROR(INT(MID(metadata!C230,9,2))&lt;=31,FALSE)), OR(MID(metadata!C230,11,1)="", AND(AND(MID(metadata!C230,11,1)=" ",IFERROR(INT(MID(metadata!C230,12,1))&gt;=0,FALSE),IFERROR(INT(MID(metadata!C230,12,1))&lt;=2,FALSE),NOT(MID(metadata!C230,13,1)=""),IFERROR(INT(MID(metadata!C230,12,2))&gt;=0,FALSE),IFERROR(INT(MID(metadata!C230,12,2))&lt;=23,FALSE)), OR(MID(metadata!C230,14,1)="", AND(AND(MID(metadata!C230,14,1)=":",IFERROR(INT(MID(metadata!C230,15,1))&gt;=0,FALSE),IFERROR(INT(MID(metadata!C230,15,1))&lt;=5,FALSE),NOT(MID(metadata!C230,16,1)=""),IFERROR(INT(MID(metadata!C230,15,2))&gt;=0,FALSE),IFERROR(INT(MID(metadata!C230,15,2))&lt;=59,FALSE)), OR(MID(metadata!C230,17,1)="", AND(AND(MID(metadata!C230,17,1)=":",IFERROR(INT(MID(metadata!C230,18,1))&gt;=0,FALSE),IFERROR(INT(MID(metadata!C230,18,1))&lt;=5,FALSE),NOT(MID(metadata!C230,19,1)=""),IFERROR(INT(MID(metadata!C230,18,2))&gt;=0,FALSE),IFERROR(INT(MID(metadata!C230,18,2))&lt;=59,FALSE)), LEN(metadata!C230)&lt;=19)))))))))))))</f>
        <v>0</v>
      </c>
      <c r="AD230">
        <f>IF(metadata!D230="",FALSE,TRUE)</f>
        <v>0</v>
      </c>
      <c r="AE230">
        <f>OR(AND(IF(metadata!E230="",FALSE,TRUE),OR(exact(metadata!E230,"missing: not collected"),exact(metadata!E230,"missing: not provided"))),AND(IF(metadata!E230="",FALSE,TRUE),OR(exact(metadata!E230,"TRUE"),exact(metadata!E230,"FALSE"))))</f>
        <v>0</v>
      </c>
      <c r="AF230">
        <f>IF(metadata!F230="",FALSE,TRUE)</f>
        <v>0</v>
      </c>
      <c r="AG230">
        <f>IF(metadata!G230="",FALSE,TRUE)</f>
        <v>0</v>
      </c>
      <c r="AH230">
        <f>IF(metadata!H230="",FALSE,TRUE)</f>
        <v>0</v>
      </c>
      <c r="AI230">
        <f>OR(AND(IF(metadata!I230="",FALSE,TRUE),OR(exact(metadata!I230,"missing: not collected"),exact(metadata!I230,"missing: not provided"),exact(metadata!I230,"missing: restricted access"))),AND(IF(metadata!I230="",FALSE,TRUE),OR(exact(metadata!I230,"air"),exact(metadata!I230,"built environment"),exact(metadata!I230,"host-associated"),exact(metadata!I230,"human-associated"),exact(metadata!I230,"human-skin"),exact(metadata!I230,"human-oral"),exact(metadata!I230,"human-gut"),exact(metadata!I230,"human-vaginal"),exact(metadata!I230,"microbial mat/biofilm"),exact(metadata!I230,"misc environment"),exact(metadata!I230,"plant-associated"),exact(metadata!I230,"sediment"),exact(metadata!I230,"soil"),exact(metadata!I230,"wastewater/sludge"),exact(metadata!I230,"water"))))</f>
        <v>0</v>
      </c>
      <c r="AJ230">
        <f>IF(metadata!J230="",FALSE,TRUE)</f>
        <v>0</v>
      </c>
      <c r="AK230">
        <f>OR(AND(IF(metadata!K230="",FALSE,TRUE),OR(exact(metadata!K230,"missing: not collected"),exact(metadata!K230,"missing: not provided"),exact(metadata!K230,"missing: restricted access"))),AND(IF(metadata!K230="",FALSE,ISNUMBER(VALUE(metadata!K230))),metadata!K230&gt;=-90.00,metadata!K230&lt;=90.00))</f>
        <v>0</v>
      </c>
      <c r="AL230">
        <f>OR(AND(IF(metadata!L230="",FALSE,TRUE),OR(exact(metadata!L230,"missing: not collected"),exact(metadata!L230,"missing: not provided"),exact(metadata!L230,"missing: restricted access"))),AND(IF(metadata!L230="",FALSE,ISNUMBER(VALUE(metadata!L230))),metadata!L230&gt;=-180.00,metadata!L230&lt;=180.00))</f>
        <v>0</v>
      </c>
      <c r="AM230">
        <f>IF(metadata!M230="",FALSE,TRUE)</f>
        <v>0</v>
      </c>
      <c r="AN230">
        <f>OR(AND(IF(metadata!N230="",FALSE,TRUE),OR(exact(metadata!N230,"missing: not collected"),exact(metadata!N230,"missing: not provided"),exact(metadata!N230,"missing: restricted access"))),AND(IF(metadata!N230="",FALSE,TRUE),OR(exact(metadata!N230,"TRUE"),exact(metadata!N230,"FALSE"))))</f>
        <v>0</v>
      </c>
      <c r="AO230">
        <f>IF(metadata!O230="",FALSE,TRUE)</f>
        <v>0</v>
      </c>
      <c r="AP230">
        <f>OR(AND(IF(metadata!P230="",FALSE,TRUE),OR(exact(metadata!P230,"missing: not collected"),exact(metadata!P230,"missing: not provided"))),AND(IF(metadata!P230="",FALSE,IF(ISERROR(INT(metadata!P230)),FALSE,INT(metadata!P230)=metadata!P230)),metadata!P230&gt;0))</f>
        <v>0</v>
      </c>
      <c r="AQ230">
        <f>IF(metadata!Q230="",FALSE,TRUE)</f>
        <v>0</v>
      </c>
    </row>
    <row r="231" spans="1:43">
      <c r="A231" s="5">
        <f>IF(B231=" "," ",HYPERLINK(CONCATENATE("#metadata!",ADDRESS(INDEX($W$2:$W$1001,MATCH(ROWS($U$2:U231),$U$2:$U$1001,0),0),1)),INDEX($Z$2:$Z$1001,MATCH(ROWS($U$2:U231),$U$2:$U$1001,0),0)))</f>
        <v>0</v>
      </c>
      <c r="B231" s="4">
        <f>IF(OR(INDEX($V$2:$V$1001,MATCH(ROWS($U$2:U231),$U$2:$U$1001,0),1)&gt;=100000,INDEX($AB$1005:$AQ$1005,1,MATCH(COLUMNS($AB$1006:AB1006),$AB$1006:$AQ$1006,0))&gt;=100000), " ",IF(INDEX($AB$2:$AQ$1001,MATCH(ROWS($U$2:U231),$U$2:$U$1001,0),MATCH(COLUMNS($AB$1006:AB1006),$AB$1006:$AQ$1006,0)), HYPERLINK("#",""), HYPERLINK(CONCATENATE("#metadata!", ADDRESS(INDEX($W$2:$W$1001,MATCH(ROWS($U$2:U231),$U$2:$U$1001,0),0), INDEX($AB$1004:$AQ$1004,1,MATCH(COLUMNS($AB$1006:AB1006),$AB$1006:$AQ$1006,0)))),"Fix")))</f>
        <v>0</v>
      </c>
      <c r="C231" s="4">
        <f>IF(OR(INDEX($V$2:$V$1001,MATCH(ROWS($U$2:U231),$U$2:$U$1001,0),1)&gt;=100000,INDEX($AB$1005:$AQ$1005,1,MATCH(COLUMNS($AB$1006:AC1006),$AB$1006:$AQ$1006,0))&gt;=100000), " ",IF(INDEX($AB$2:$AQ$1001,MATCH(ROWS($U$2:U231),$U$2:$U$1001,0),MATCH(COLUMNS($AB$1006:AC1006),$AB$1006:$AQ$1006,0)), HYPERLINK("#",""), HYPERLINK(CONCATENATE("#metadata!", ADDRESS(INDEX($W$2:$W$1001,MATCH(ROWS($U$2:U231),$U$2:$U$1001,0),0), INDEX($AB$1004:$AQ$1004,1,MATCH(COLUMNS($AB$1006:AC1006),$AB$1006:$AQ$1006,0)))),"Fix")))</f>
        <v>0</v>
      </c>
      <c r="D231" s="4">
        <f>IF(OR(INDEX($V$2:$V$1001,MATCH(ROWS($U$2:U231),$U$2:$U$1001,0),1)&gt;=100000,INDEX($AB$1005:$AQ$1005,1,MATCH(COLUMNS($AB$1006:AD1006),$AB$1006:$AQ$1006,0))&gt;=100000), " ",IF(INDEX($AB$2:$AQ$1001,MATCH(ROWS($U$2:U231),$U$2:$U$1001,0),MATCH(COLUMNS($AB$1006:AD1006),$AB$1006:$AQ$1006,0)), HYPERLINK("#",""), HYPERLINK(CONCATENATE("#metadata!", ADDRESS(INDEX($W$2:$W$1001,MATCH(ROWS($U$2:U231),$U$2:$U$1001,0),0), INDEX($AB$1004:$AQ$1004,1,MATCH(COLUMNS($AB$1006:AD1006),$AB$1006:$AQ$1006,0)))),"Fix")))</f>
        <v>0</v>
      </c>
      <c r="E231" s="4">
        <f>IF(OR(INDEX($V$2:$V$1001,MATCH(ROWS($U$2:U231),$U$2:$U$1001,0),1)&gt;=100000,INDEX($AB$1005:$AQ$1005,1,MATCH(COLUMNS($AB$1006:AE1006),$AB$1006:$AQ$1006,0))&gt;=100000), " ",IF(INDEX($AB$2:$AQ$1001,MATCH(ROWS($U$2:U231),$U$2:$U$1001,0),MATCH(COLUMNS($AB$1006:AE1006),$AB$1006:$AQ$1006,0)), HYPERLINK("#",""), HYPERLINK(CONCATENATE("#metadata!", ADDRESS(INDEX($W$2:$W$1001,MATCH(ROWS($U$2:U231),$U$2:$U$1001,0),0), INDEX($AB$1004:$AQ$1004,1,MATCH(COLUMNS($AB$1006:AE1006),$AB$1006:$AQ$1006,0)))),"Fix")))</f>
        <v>0</v>
      </c>
      <c r="F231" s="4">
        <f>IF(OR(INDEX($V$2:$V$1001,MATCH(ROWS($U$2:U231),$U$2:$U$1001,0),1)&gt;=100000,INDEX($AB$1005:$AQ$1005,1,MATCH(COLUMNS($AB$1006:AF1006),$AB$1006:$AQ$1006,0))&gt;=100000), " ",IF(INDEX($AB$2:$AQ$1001,MATCH(ROWS($U$2:U231),$U$2:$U$1001,0),MATCH(COLUMNS($AB$1006:AF1006),$AB$1006:$AQ$1006,0)), HYPERLINK("#",""), HYPERLINK(CONCATENATE("#metadata!", ADDRESS(INDEX($W$2:$W$1001,MATCH(ROWS($U$2:U231),$U$2:$U$1001,0),0), INDEX($AB$1004:$AQ$1004,1,MATCH(COLUMNS($AB$1006:AF1006),$AB$1006:$AQ$1006,0)))),"Fix")))</f>
        <v>0</v>
      </c>
      <c r="G231" s="4">
        <f>IF(OR(INDEX($V$2:$V$1001,MATCH(ROWS($U$2:U231),$U$2:$U$1001,0),1)&gt;=100000,INDEX($AB$1005:$AQ$1005,1,MATCH(COLUMNS($AB$1006:AG1006),$AB$1006:$AQ$1006,0))&gt;=100000), " ",IF(INDEX($AB$2:$AQ$1001,MATCH(ROWS($U$2:U231),$U$2:$U$1001,0),MATCH(COLUMNS($AB$1006:AG1006),$AB$1006:$AQ$1006,0)), HYPERLINK("#",""), HYPERLINK(CONCATENATE("#metadata!", ADDRESS(INDEX($W$2:$W$1001,MATCH(ROWS($U$2:U231),$U$2:$U$1001,0),0), INDEX($AB$1004:$AQ$1004,1,MATCH(COLUMNS($AB$1006:AG1006),$AB$1006:$AQ$1006,0)))),"Fix")))</f>
        <v>0</v>
      </c>
      <c r="H231" s="4">
        <f>IF(OR(INDEX($V$2:$V$1001,MATCH(ROWS($U$2:U231),$U$2:$U$1001,0),1)&gt;=100000,INDEX($AB$1005:$AQ$1005,1,MATCH(COLUMNS($AB$1006:AH1006),$AB$1006:$AQ$1006,0))&gt;=100000), " ",IF(INDEX($AB$2:$AQ$1001,MATCH(ROWS($U$2:U231),$U$2:$U$1001,0),MATCH(COLUMNS($AB$1006:AH1006),$AB$1006:$AQ$1006,0)), HYPERLINK("#",""), HYPERLINK(CONCATENATE("#metadata!", ADDRESS(INDEX($W$2:$W$1001,MATCH(ROWS($U$2:U231),$U$2:$U$1001,0),0), INDEX($AB$1004:$AQ$1004,1,MATCH(COLUMNS($AB$1006:AH1006),$AB$1006:$AQ$1006,0)))),"Fix")))</f>
        <v>0</v>
      </c>
      <c r="I231" s="4">
        <f>IF(OR(INDEX($V$2:$V$1001,MATCH(ROWS($U$2:U231),$U$2:$U$1001,0),1)&gt;=100000,INDEX($AB$1005:$AQ$1005,1,MATCH(COLUMNS($AB$1006:AI1006),$AB$1006:$AQ$1006,0))&gt;=100000), " ",IF(INDEX($AB$2:$AQ$1001,MATCH(ROWS($U$2:U231),$U$2:$U$1001,0),MATCH(COLUMNS($AB$1006:AI1006),$AB$1006:$AQ$1006,0)), HYPERLINK("#",""), HYPERLINK(CONCATENATE("#metadata!", ADDRESS(INDEX($W$2:$W$1001,MATCH(ROWS($U$2:U231),$U$2:$U$1001,0),0), INDEX($AB$1004:$AQ$1004,1,MATCH(COLUMNS($AB$1006:AI1006),$AB$1006:$AQ$1006,0)))),"Fix")))</f>
        <v>0</v>
      </c>
      <c r="J231" s="4">
        <f>IF(OR(INDEX($V$2:$V$1001,MATCH(ROWS($U$2:U231),$U$2:$U$1001,0),1)&gt;=100000,INDEX($AB$1005:$AQ$1005,1,MATCH(COLUMNS($AB$1006:AJ1006),$AB$1006:$AQ$1006,0))&gt;=100000), " ",IF(INDEX($AB$2:$AQ$1001,MATCH(ROWS($U$2:U231),$U$2:$U$1001,0),MATCH(COLUMNS($AB$1006:AJ1006),$AB$1006:$AQ$1006,0)), HYPERLINK("#",""), HYPERLINK(CONCATENATE("#metadata!", ADDRESS(INDEX($W$2:$W$1001,MATCH(ROWS($U$2:U231),$U$2:$U$1001,0),0), INDEX($AB$1004:$AQ$1004,1,MATCH(COLUMNS($AB$1006:AJ1006),$AB$1006:$AQ$1006,0)))),"Fix")))</f>
        <v>0</v>
      </c>
      <c r="K231" s="4">
        <f>IF(OR(INDEX($V$2:$V$1001,MATCH(ROWS($U$2:U231),$U$2:$U$1001,0),1)&gt;=100000,INDEX($AB$1005:$AQ$1005,1,MATCH(COLUMNS($AB$1006:AK1006),$AB$1006:$AQ$1006,0))&gt;=100000), " ",IF(INDEX($AB$2:$AQ$1001,MATCH(ROWS($U$2:U231),$U$2:$U$1001,0),MATCH(COLUMNS($AB$1006:AK1006),$AB$1006:$AQ$1006,0)), HYPERLINK("#",""), HYPERLINK(CONCATENATE("#metadata!", ADDRESS(INDEX($W$2:$W$1001,MATCH(ROWS($U$2:U231),$U$2:$U$1001,0),0), INDEX($AB$1004:$AQ$1004,1,MATCH(COLUMNS($AB$1006:AK1006),$AB$1006:$AQ$1006,0)))),"Fix")))</f>
        <v>0</v>
      </c>
      <c r="L231" s="4">
        <f>IF(OR(INDEX($V$2:$V$1001,MATCH(ROWS($U$2:U231),$U$2:$U$1001,0),1)&gt;=100000,INDEX($AB$1005:$AQ$1005,1,MATCH(COLUMNS($AB$1006:AL1006),$AB$1006:$AQ$1006,0))&gt;=100000), " ",IF(INDEX($AB$2:$AQ$1001,MATCH(ROWS($U$2:U231),$U$2:$U$1001,0),MATCH(COLUMNS($AB$1006:AL1006),$AB$1006:$AQ$1006,0)), HYPERLINK("#",""), HYPERLINK(CONCATENATE("#metadata!", ADDRESS(INDEX($W$2:$W$1001,MATCH(ROWS($U$2:U231),$U$2:$U$1001,0),0), INDEX($AB$1004:$AQ$1004,1,MATCH(COLUMNS($AB$1006:AL1006),$AB$1006:$AQ$1006,0)))),"Fix")))</f>
        <v>0</v>
      </c>
      <c r="M231" s="4">
        <f>IF(OR(INDEX($V$2:$V$1001,MATCH(ROWS($U$2:U231),$U$2:$U$1001,0),1)&gt;=100000,INDEX($AB$1005:$AQ$1005,1,MATCH(COLUMNS($AB$1006:AM1006),$AB$1006:$AQ$1006,0))&gt;=100000), " ",IF(INDEX($AB$2:$AQ$1001,MATCH(ROWS($U$2:U231),$U$2:$U$1001,0),MATCH(COLUMNS($AB$1006:AM1006),$AB$1006:$AQ$1006,0)), HYPERLINK("#",""), HYPERLINK(CONCATENATE("#metadata!", ADDRESS(INDEX($W$2:$W$1001,MATCH(ROWS($U$2:U231),$U$2:$U$1001,0),0), INDEX($AB$1004:$AQ$1004,1,MATCH(COLUMNS($AB$1006:AM1006),$AB$1006:$AQ$1006,0)))),"Fix")))</f>
        <v>0</v>
      </c>
      <c r="N231" s="4">
        <f>IF(OR(INDEX($V$2:$V$1001,MATCH(ROWS($U$2:U231),$U$2:$U$1001,0),1)&gt;=100000,INDEX($AB$1005:$AQ$1005,1,MATCH(COLUMNS($AB$1006:AN1006),$AB$1006:$AQ$1006,0))&gt;=100000), " ",IF(INDEX($AB$2:$AQ$1001,MATCH(ROWS($U$2:U231),$U$2:$U$1001,0),MATCH(COLUMNS($AB$1006:AN1006),$AB$1006:$AQ$1006,0)), HYPERLINK("#",""), HYPERLINK(CONCATENATE("#metadata!", ADDRESS(INDEX($W$2:$W$1001,MATCH(ROWS($U$2:U231),$U$2:$U$1001,0),0), INDEX($AB$1004:$AQ$1004,1,MATCH(COLUMNS($AB$1006:AN1006),$AB$1006:$AQ$1006,0)))),"Fix")))</f>
        <v>0</v>
      </c>
      <c r="O231" s="4">
        <f>IF(OR(INDEX($V$2:$V$1001,MATCH(ROWS($U$2:U231),$U$2:$U$1001,0),1)&gt;=100000,INDEX($AB$1005:$AQ$1005,1,MATCH(COLUMNS($AB$1006:AO1006),$AB$1006:$AQ$1006,0))&gt;=100000), " ",IF(INDEX($AB$2:$AQ$1001,MATCH(ROWS($U$2:U231),$U$2:$U$1001,0),MATCH(COLUMNS($AB$1006:AO1006),$AB$1006:$AQ$1006,0)), HYPERLINK("#",""), HYPERLINK(CONCATENATE("#metadata!", ADDRESS(INDEX($W$2:$W$1001,MATCH(ROWS($U$2:U231),$U$2:$U$1001,0),0), INDEX($AB$1004:$AQ$1004,1,MATCH(COLUMNS($AB$1006:AO1006),$AB$1006:$AQ$1006,0)))),"Fix")))</f>
        <v>0</v>
      </c>
      <c r="P231" s="4">
        <f>IF(OR(INDEX($V$2:$V$1001,MATCH(ROWS($U$2:U231),$U$2:$U$1001,0),1)&gt;=100000,INDEX($AB$1005:$AQ$1005,1,MATCH(COLUMNS($AB$1006:AP1006),$AB$1006:$AQ$1006,0))&gt;=100000), " ",IF(INDEX($AB$2:$AQ$1001,MATCH(ROWS($U$2:U231),$U$2:$U$1001,0),MATCH(COLUMNS($AB$1006:AP1006),$AB$1006:$AQ$1006,0)), HYPERLINK("#",""), HYPERLINK(CONCATENATE("#metadata!", ADDRESS(INDEX($W$2:$W$1001,MATCH(ROWS($U$2:U231),$U$2:$U$1001,0),0), INDEX($AB$1004:$AQ$1004,1,MATCH(COLUMNS($AB$1006:AP1006),$AB$1006:$AQ$1006,0)))),"Fix")))</f>
        <v>0</v>
      </c>
      <c r="Q231" s="4">
        <f>IF(OR(INDEX($V$2:$V$1001,MATCH(ROWS($U$2:U231),$U$2:$U$1001,0),1)&gt;=100000,INDEX($AB$1005:$AQ$1005,1,MATCH(COLUMNS($AB$1006:AQ1006),$AB$1006:$AQ$1006,0))&gt;=100000), " ",IF(INDEX($AB$2:$AQ$1001,MATCH(ROWS($U$2:U231),$U$2:$U$1001,0),MATCH(COLUMNS($AB$1006:AQ1006),$AB$1006:$AQ$1006,0)), HYPERLINK("#",""), HYPERLINK(CONCATENATE("#metadata!", ADDRESS(INDEX($W$2:$W$1001,MATCH(ROWS($U$2:U231),$U$2:$U$1001,0),0), INDEX($AB$1004:$AQ$1004,1,MATCH(COLUMNS($AB$1006:AQ1006),$AB$1006:$AQ$1006,0)))),"Fix")))</f>
        <v>0</v>
      </c>
      <c r="U231">
        <v>0</v>
      </c>
      <c r="V231">
        <v>0</v>
      </c>
      <c r="W231">
        <v>0</v>
      </c>
      <c r="X231">
        <f>IF(Y231,TRUE,AND(AB231:AQ231))</f>
        <v>0</v>
      </c>
      <c r="Y231">
        <f>COUNTBLANK(metadata!B231:Q231)=COLUMNS(metadata!B231:Q231)</f>
        <v>0</v>
      </c>
      <c r="Z231">
        <v>0</v>
      </c>
      <c r="AB231">
        <f>AND(IF(metadata!B231="",FALSE,TRUE),COUNTIF(metadata!B:B, metadata!B231) = 1,NOT(ISERROR(SUMPRODUCT(SEARCH(MID(metadata!B231,ROW(INDIRECT("1:"&amp;LEN(metadata!B231))), 1),"0123456789abcdefghijklmnopqrstuvwxyzABCDEFGHIJKLMNOPQRSTUVWXYZ.")))))</f>
        <v>0</v>
      </c>
      <c r="AC231">
        <f>OR(AND(IF(metadata!C231="",FALSE,TRUE),OR(exact(metadata!C231,"missing: not collected"),exact(metadata!C231,"missing: not provided"),exact(metadata!C231,"missing: restricted access"))),AND(IF(metadata!C231="",FALSE,TRUE),AND(AND(IFERROR(INT(LEFT(metadata!C231,4))&gt;1900,FALSE),IFERROR(INT(LEFT(metadata!C231,4))&lt;=YEAR(NOW()),FALSE)), OR(MID(metadata!C231,5,1)="", AND(AND(MID(metadata!C231,5,1)="-",IFERROR(INT(MID(metadata!C231,6,1))&gt;=0,FALSE),IFERROR(INT(MID(metadata!C231,6,1))&lt;=1,FALSE),NOT(MID(metadata!C231,7,1)=""),IFERROR(INT(MID(metadata!C231,6,2))&gt;=1,FALSE),IFERROR(INT(MID(metadata!C231,6,2))&lt;=12,FALSE)), OR(MID(metadata!C231,8,1)="", AND(AND(MID(metadata!C231,8,1)="-",IFERROR(INT(MID(metadata!C231,9,1))&gt;=0,FALSE),IFERROR(INT(MID(metadata!C231,9,1))&lt;=3,FALSE),NOT(MID(metadata!C231,10,1)=""),IFERROR(INT(MID(metadata!C231,9,2))&gt;=1,FALSE),IFERROR(INT(MID(metadata!C231,9,2))&lt;=31,FALSE)), OR(MID(metadata!C231,11,1)="", AND(AND(MID(metadata!C231,11,1)=" ",IFERROR(INT(MID(metadata!C231,12,1))&gt;=0,FALSE),IFERROR(INT(MID(metadata!C231,12,1))&lt;=2,FALSE),NOT(MID(metadata!C231,13,1)=""),IFERROR(INT(MID(metadata!C231,12,2))&gt;=0,FALSE),IFERROR(INT(MID(metadata!C231,12,2))&lt;=23,FALSE)), OR(MID(metadata!C231,14,1)="", AND(AND(MID(metadata!C231,14,1)=":",IFERROR(INT(MID(metadata!C231,15,1))&gt;=0,FALSE),IFERROR(INT(MID(metadata!C231,15,1))&lt;=5,FALSE),NOT(MID(metadata!C231,16,1)=""),IFERROR(INT(MID(metadata!C231,15,2))&gt;=0,FALSE),IFERROR(INT(MID(metadata!C231,15,2))&lt;=59,FALSE)), OR(MID(metadata!C231,17,1)="", AND(AND(MID(metadata!C231,17,1)=":",IFERROR(INT(MID(metadata!C231,18,1))&gt;=0,FALSE),IFERROR(INT(MID(metadata!C231,18,1))&lt;=5,FALSE),NOT(MID(metadata!C231,19,1)=""),IFERROR(INT(MID(metadata!C231,18,2))&gt;=0,FALSE),IFERROR(INT(MID(metadata!C231,18,2))&lt;=59,FALSE)), LEN(metadata!C231)&lt;=19)))))))))))))</f>
        <v>0</v>
      </c>
      <c r="AD231">
        <f>IF(metadata!D231="",FALSE,TRUE)</f>
        <v>0</v>
      </c>
      <c r="AE231">
        <f>OR(AND(IF(metadata!E231="",FALSE,TRUE),OR(exact(metadata!E231,"missing: not collected"),exact(metadata!E231,"missing: not provided"))),AND(IF(metadata!E231="",FALSE,TRUE),OR(exact(metadata!E231,"TRUE"),exact(metadata!E231,"FALSE"))))</f>
        <v>0</v>
      </c>
      <c r="AF231">
        <f>IF(metadata!F231="",FALSE,TRUE)</f>
        <v>0</v>
      </c>
      <c r="AG231">
        <f>IF(metadata!G231="",FALSE,TRUE)</f>
        <v>0</v>
      </c>
      <c r="AH231">
        <f>IF(metadata!H231="",FALSE,TRUE)</f>
        <v>0</v>
      </c>
      <c r="AI231">
        <f>OR(AND(IF(metadata!I231="",FALSE,TRUE),OR(exact(metadata!I231,"missing: not collected"),exact(metadata!I231,"missing: not provided"),exact(metadata!I231,"missing: restricted access"))),AND(IF(metadata!I231="",FALSE,TRUE),OR(exact(metadata!I231,"air"),exact(metadata!I231,"built environment"),exact(metadata!I231,"host-associated"),exact(metadata!I231,"human-associated"),exact(metadata!I231,"human-skin"),exact(metadata!I231,"human-oral"),exact(metadata!I231,"human-gut"),exact(metadata!I231,"human-vaginal"),exact(metadata!I231,"microbial mat/biofilm"),exact(metadata!I231,"misc environment"),exact(metadata!I231,"plant-associated"),exact(metadata!I231,"sediment"),exact(metadata!I231,"soil"),exact(metadata!I231,"wastewater/sludge"),exact(metadata!I231,"water"))))</f>
        <v>0</v>
      </c>
      <c r="AJ231">
        <f>IF(metadata!J231="",FALSE,TRUE)</f>
        <v>0</v>
      </c>
      <c r="AK231">
        <f>OR(AND(IF(metadata!K231="",FALSE,TRUE),OR(exact(metadata!K231,"missing: not collected"),exact(metadata!K231,"missing: not provided"),exact(metadata!K231,"missing: restricted access"))),AND(IF(metadata!K231="",FALSE,ISNUMBER(VALUE(metadata!K231))),metadata!K231&gt;=-90.00,metadata!K231&lt;=90.00))</f>
        <v>0</v>
      </c>
      <c r="AL231">
        <f>OR(AND(IF(metadata!L231="",FALSE,TRUE),OR(exact(metadata!L231,"missing: not collected"),exact(metadata!L231,"missing: not provided"),exact(metadata!L231,"missing: restricted access"))),AND(IF(metadata!L231="",FALSE,ISNUMBER(VALUE(metadata!L231))),metadata!L231&gt;=-180.00,metadata!L231&lt;=180.00))</f>
        <v>0</v>
      </c>
      <c r="AM231">
        <f>IF(metadata!M231="",FALSE,TRUE)</f>
        <v>0</v>
      </c>
      <c r="AN231">
        <f>OR(AND(IF(metadata!N231="",FALSE,TRUE),OR(exact(metadata!N231,"missing: not collected"),exact(metadata!N231,"missing: not provided"),exact(metadata!N231,"missing: restricted access"))),AND(IF(metadata!N231="",FALSE,TRUE),OR(exact(metadata!N231,"TRUE"),exact(metadata!N231,"FALSE"))))</f>
        <v>0</v>
      </c>
      <c r="AO231">
        <f>IF(metadata!O231="",FALSE,TRUE)</f>
        <v>0</v>
      </c>
      <c r="AP231">
        <f>OR(AND(IF(metadata!P231="",FALSE,TRUE),OR(exact(metadata!P231,"missing: not collected"),exact(metadata!P231,"missing: not provided"))),AND(IF(metadata!P231="",FALSE,IF(ISERROR(INT(metadata!P231)),FALSE,INT(metadata!P231)=metadata!P231)),metadata!P231&gt;0))</f>
        <v>0</v>
      </c>
      <c r="AQ231">
        <f>IF(metadata!Q231="",FALSE,TRUE)</f>
        <v>0</v>
      </c>
    </row>
    <row r="232" spans="1:43">
      <c r="A232" s="5">
        <f>IF(B232=" "," ",HYPERLINK(CONCATENATE("#metadata!",ADDRESS(INDEX($W$2:$W$1001,MATCH(ROWS($U$2:U232),$U$2:$U$1001,0),0),1)),INDEX($Z$2:$Z$1001,MATCH(ROWS($U$2:U232),$U$2:$U$1001,0),0)))</f>
        <v>0</v>
      </c>
      <c r="B232" s="4">
        <f>IF(OR(INDEX($V$2:$V$1001,MATCH(ROWS($U$2:U232),$U$2:$U$1001,0),1)&gt;=100000,INDEX($AB$1005:$AQ$1005,1,MATCH(COLUMNS($AB$1006:AB1006),$AB$1006:$AQ$1006,0))&gt;=100000), " ",IF(INDEX($AB$2:$AQ$1001,MATCH(ROWS($U$2:U232),$U$2:$U$1001,0),MATCH(COLUMNS($AB$1006:AB1006),$AB$1006:$AQ$1006,0)), HYPERLINK("#",""), HYPERLINK(CONCATENATE("#metadata!", ADDRESS(INDEX($W$2:$W$1001,MATCH(ROWS($U$2:U232),$U$2:$U$1001,0),0), INDEX($AB$1004:$AQ$1004,1,MATCH(COLUMNS($AB$1006:AB1006),$AB$1006:$AQ$1006,0)))),"Fix")))</f>
        <v>0</v>
      </c>
      <c r="C232" s="4">
        <f>IF(OR(INDEX($V$2:$V$1001,MATCH(ROWS($U$2:U232),$U$2:$U$1001,0),1)&gt;=100000,INDEX($AB$1005:$AQ$1005,1,MATCH(COLUMNS($AB$1006:AC1006),$AB$1006:$AQ$1006,0))&gt;=100000), " ",IF(INDEX($AB$2:$AQ$1001,MATCH(ROWS($U$2:U232),$U$2:$U$1001,0),MATCH(COLUMNS($AB$1006:AC1006),$AB$1006:$AQ$1006,0)), HYPERLINK("#",""), HYPERLINK(CONCATENATE("#metadata!", ADDRESS(INDEX($W$2:$W$1001,MATCH(ROWS($U$2:U232),$U$2:$U$1001,0),0), INDEX($AB$1004:$AQ$1004,1,MATCH(COLUMNS($AB$1006:AC1006),$AB$1006:$AQ$1006,0)))),"Fix")))</f>
        <v>0</v>
      </c>
      <c r="D232" s="4">
        <f>IF(OR(INDEX($V$2:$V$1001,MATCH(ROWS($U$2:U232),$U$2:$U$1001,0),1)&gt;=100000,INDEX($AB$1005:$AQ$1005,1,MATCH(COLUMNS($AB$1006:AD1006),$AB$1006:$AQ$1006,0))&gt;=100000), " ",IF(INDEX($AB$2:$AQ$1001,MATCH(ROWS($U$2:U232),$U$2:$U$1001,0),MATCH(COLUMNS($AB$1006:AD1006),$AB$1006:$AQ$1006,0)), HYPERLINK("#",""), HYPERLINK(CONCATENATE("#metadata!", ADDRESS(INDEX($W$2:$W$1001,MATCH(ROWS($U$2:U232),$U$2:$U$1001,0),0), INDEX($AB$1004:$AQ$1004,1,MATCH(COLUMNS($AB$1006:AD1006),$AB$1006:$AQ$1006,0)))),"Fix")))</f>
        <v>0</v>
      </c>
      <c r="E232" s="4">
        <f>IF(OR(INDEX($V$2:$V$1001,MATCH(ROWS($U$2:U232),$U$2:$U$1001,0),1)&gt;=100000,INDEX($AB$1005:$AQ$1005,1,MATCH(COLUMNS($AB$1006:AE1006),$AB$1006:$AQ$1006,0))&gt;=100000), " ",IF(INDEX($AB$2:$AQ$1001,MATCH(ROWS($U$2:U232),$U$2:$U$1001,0),MATCH(COLUMNS($AB$1006:AE1006),$AB$1006:$AQ$1006,0)), HYPERLINK("#",""), HYPERLINK(CONCATENATE("#metadata!", ADDRESS(INDEX($W$2:$W$1001,MATCH(ROWS($U$2:U232),$U$2:$U$1001,0),0), INDEX($AB$1004:$AQ$1004,1,MATCH(COLUMNS($AB$1006:AE1006),$AB$1006:$AQ$1006,0)))),"Fix")))</f>
        <v>0</v>
      </c>
      <c r="F232" s="4">
        <f>IF(OR(INDEX($V$2:$V$1001,MATCH(ROWS($U$2:U232),$U$2:$U$1001,0),1)&gt;=100000,INDEX($AB$1005:$AQ$1005,1,MATCH(COLUMNS($AB$1006:AF1006),$AB$1006:$AQ$1006,0))&gt;=100000), " ",IF(INDEX($AB$2:$AQ$1001,MATCH(ROWS($U$2:U232),$U$2:$U$1001,0),MATCH(COLUMNS($AB$1006:AF1006),$AB$1006:$AQ$1006,0)), HYPERLINK("#",""), HYPERLINK(CONCATENATE("#metadata!", ADDRESS(INDEX($W$2:$W$1001,MATCH(ROWS($U$2:U232),$U$2:$U$1001,0),0), INDEX($AB$1004:$AQ$1004,1,MATCH(COLUMNS($AB$1006:AF1006),$AB$1006:$AQ$1006,0)))),"Fix")))</f>
        <v>0</v>
      </c>
      <c r="G232" s="4">
        <f>IF(OR(INDEX($V$2:$V$1001,MATCH(ROWS($U$2:U232),$U$2:$U$1001,0),1)&gt;=100000,INDEX($AB$1005:$AQ$1005,1,MATCH(COLUMNS($AB$1006:AG1006),$AB$1006:$AQ$1006,0))&gt;=100000), " ",IF(INDEX($AB$2:$AQ$1001,MATCH(ROWS($U$2:U232),$U$2:$U$1001,0),MATCH(COLUMNS($AB$1006:AG1006),$AB$1006:$AQ$1006,0)), HYPERLINK("#",""), HYPERLINK(CONCATENATE("#metadata!", ADDRESS(INDEX($W$2:$W$1001,MATCH(ROWS($U$2:U232),$U$2:$U$1001,0),0), INDEX($AB$1004:$AQ$1004,1,MATCH(COLUMNS($AB$1006:AG1006),$AB$1006:$AQ$1006,0)))),"Fix")))</f>
        <v>0</v>
      </c>
      <c r="H232" s="4">
        <f>IF(OR(INDEX($V$2:$V$1001,MATCH(ROWS($U$2:U232),$U$2:$U$1001,0),1)&gt;=100000,INDEX($AB$1005:$AQ$1005,1,MATCH(COLUMNS($AB$1006:AH1006),$AB$1006:$AQ$1006,0))&gt;=100000), " ",IF(INDEX($AB$2:$AQ$1001,MATCH(ROWS($U$2:U232),$U$2:$U$1001,0),MATCH(COLUMNS($AB$1006:AH1006),$AB$1006:$AQ$1006,0)), HYPERLINK("#",""), HYPERLINK(CONCATENATE("#metadata!", ADDRESS(INDEX($W$2:$W$1001,MATCH(ROWS($U$2:U232),$U$2:$U$1001,0),0), INDEX($AB$1004:$AQ$1004,1,MATCH(COLUMNS($AB$1006:AH1006),$AB$1006:$AQ$1006,0)))),"Fix")))</f>
        <v>0</v>
      </c>
      <c r="I232" s="4">
        <f>IF(OR(INDEX($V$2:$V$1001,MATCH(ROWS($U$2:U232),$U$2:$U$1001,0),1)&gt;=100000,INDEX($AB$1005:$AQ$1005,1,MATCH(COLUMNS($AB$1006:AI1006),$AB$1006:$AQ$1006,0))&gt;=100000), " ",IF(INDEX($AB$2:$AQ$1001,MATCH(ROWS($U$2:U232),$U$2:$U$1001,0),MATCH(COLUMNS($AB$1006:AI1006),$AB$1006:$AQ$1006,0)), HYPERLINK("#",""), HYPERLINK(CONCATENATE("#metadata!", ADDRESS(INDEX($W$2:$W$1001,MATCH(ROWS($U$2:U232),$U$2:$U$1001,0),0), INDEX($AB$1004:$AQ$1004,1,MATCH(COLUMNS($AB$1006:AI1006),$AB$1006:$AQ$1006,0)))),"Fix")))</f>
        <v>0</v>
      </c>
      <c r="J232" s="4">
        <f>IF(OR(INDEX($V$2:$V$1001,MATCH(ROWS($U$2:U232),$U$2:$U$1001,0),1)&gt;=100000,INDEX($AB$1005:$AQ$1005,1,MATCH(COLUMNS($AB$1006:AJ1006),$AB$1006:$AQ$1006,0))&gt;=100000), " ",IF(INDEX($AB$2:$AQ$1001,MATCH(ROWS($U$2:U232),$U$2:$U$1001,0),MATCH(COLUMNS($AB$1006:AJ1006),$AB$1006:$AQ$1006,0)), HYPERLINK("#",""), HYPERLINK(CONCATENATE("#metadata!", ADDRESS(INDEX($W$2:$W$1001,MATCH(ROWS($U$2:U232),$U$2:$U$1001,0),0), INDEX($AB$1004:$AQ$1004,1,MATCH(COLUMNS($AB$1006:AJ1006),$AB$1006:$AQ$1006,0)))),"Fix")))</f>
        <v>0</v>
      </c>
      <c r="K232" s="4">
        <f>IF(OR(INDEX($V$2:$V$1001,MATCH(ROWS($U$2:U232),$U$2:$U$1001,0),1)&gt;=100000,INDEX($AB$1005:$AQ$1005,1,MATCH(COLUMNS($AB$1006:AK1006),$AB$1006:$AQ$1006,0))&gt;=100000), " ",IF(INDEX($AB$2:$AQ$1001,MATCH(ROWS($U$2:U232),$U$2:$U$1001,0),MATCH(COLUMNS($AB$1006:AK1006),$AB$1006:$AQ$1006,0)), HYPERLINK("#",""), HYPERLINK(CONCATENATE("#metadata!", ADDRESS(INDEX($W$2:$W$1001,MATCH(ROWS($U$2:U232),$U$2:$U$1001,0),0), INDEX($AB$1004:$AQ$1004,1,MATCH(COLUMNS($AB$1006:AK1006),$AB$1006:$AQ$1006,0)))),"Fix")))</f>
        <v>0</v>
      </c>
      <c r="L232" s="4">
        <f>IF(OR(INDEX($V$2:$V$1001,MATCH(ROWS($U$2:U232),$U$2:$U$1001,0),1)&gt;=100000,INDEX($AB$1005:$AQ$1005,1,MATCH(COLUMNS($AB$1006:AL1006),$AB$1006:$AQ$1006,0))&gt;=100000), " ",IF(INDEX($AB$2:$AQ$1001,MATCH(ROWS($U$2:U232),$U$2:$U$1001,0),MATCH(COLUMNS($AB$1006:AL1006),$AB$1006:$AQ$1006,0)), HYPERLINK("#",""), HYPERLINK(CONCATENATE("#metadata!", ADDRESS(INDEX($W$2:$W$1001,MATCH(ROWS($U$2:U232),$U$2:$U$1001,0),0), INDEX($AB$1004:$AQ$1004,1,MATCH(COLUMNS($AB$1006:AL1006),$AB$1006:$AQ$1006,0)))),"Fix")))</f>
        <v>0</v>
      </c>
      <c r="M232" s="4">
        <f>IF(OR(INDEX($V$2:$V$1001,MATCH(ROWS($U$2:U232),$U$2:$U$1001,0),1)&gt;=100000,INDEX($AB$1005:$AQ$1005,1,MATCH(COLUMNS($AB$1006:AM1006),$AB$1006:$AQ$1006,0))&gt;=100000), " ",IF(INDEX($AB$2:$AQ$1001,MATCH(ROWS($U$2:U232),$U$2:$U$1001,0),MATCH(COLUMNS($AB$1006:AM1006),$AB$1006:$AQ$1006,0)), HYPERLINK("#",""), HYPERLINK(CONCATENATE("#metadata!", ADDRESS(INDEX($W$2:$W$1001,MATCH(ROWS($U$2:U232),$U$2:$U$1001,0),0), INDEX($AB$1004:$AQ$1004,1,MATCH(COLUMNS($AB$1006:AM1006),$AB$1006:$AQ$1006,0)))),"Fix")))</f>
        <v>0</v>
      </c>
      <c r="N232" s="4">
        <f>IF(OR(INDEX($V$2:$V$1001,MATCH(ROWS($U$2:U232),$U$2:$U$1001,0),1)&gt;=100000,INDEX($AB$1005:$AQ$1005,1,MATCH(COLUMNS($AB$1006:AN1006),$AB$1006:$AQ$1006,0))&gt;=100000), " ",IF(INDEX($AB$2:$AQ$1001,MATCH(ROWS($U$2:U232),$U$2:$U$1001,0),MATCH(COLUMNS($AB$1006:AN1006),$AB$1006:$AQ$1006,0)), HYPERLINK("#",""), HYPERLINK(CONCATENATE("#metadata!", ADDRESS(INDEX($W$2:$W$1001,MATCH(ROWS($U$2:U232),$U$2:$U$1001,0),0), INDEX($AB$1004:$AQ$1004,1,MATCH(COLUMNS($AB$1006:AN1006),$AB$1006:$AQ$1006,0)))),"Fix")))</f>
        <v>0</v>
      </c>
      <c r="O232" s="4">
        <f>IF(OR(INDEX($V$2:$V$1001,MATCH(ROWS($U$2:U232),$U$2:$U$1001,0),1)&gt;=100000,INDEX($AB$1005:$AQ$1005,1,MATCH(COLUMNS($AB$1006:AO1006),$AB$1006:$AQ$1006,0))&gt;=100000), " ",IF(INDEX($AB$2:$AQ$1001,MATCH(ROWS($U$2:U232),$U$2:$U$1001,0),MATCH(COLUMNS($AB$1006:AO1006),$AB$1006:$AQ$1006,0)), HYPERLINK("#",""), HYPERLINK(CONCATENATE("#metadata!", ADDRESS(INDEX($W$2:$W$1001,MATCH(ROWS($U$2:U232),$U$2:$U$1001,0),0), INDEX($AB$1004:$AQ$1004,1,MATCH(COLUMNS($AB$1006:AO1006),$AB$1006:$AQ$1006,0)))),"Fix")))</f>
        <v>0</v>
      </c>
      <c r="P232" s="4">
        <f>IF(OR(INDEX($V$2:$V$1001,MATCH(ROWS($U$2:U232),$U$2:$U$1001,0),1)&gt;=100000,INDEX($AB$1005:$AQ$1005,1,MATCH(COLUMNS($AB$1006:AP1006),$AB$1006:$AQ$1006,0))&gt;=100000), " ",IF(INDEX($AB$2:$AQ$1001,MATCH(ROWS($U$2:U232),$U$2:$U$1001,0),MATCH(COLUMNS($AB$1006:AP1006),$AB$1006:$AQ$1006,0)), HYPERLINK("#",""), HYPERLINK(CONCATENATE("#metadata!", ADDRESS(INDEX($W$2:$W$1001,MATCH(ROWS($U$2:U232),$U$2:$U$1001,0),0), INDEX($AB$1004:$AQ$1004,1,MATCH(COLUMNS($AB$1006:AP1006),$AB$1006:$AQ$1006,0)))),"Fix")))</f>
        <v>0</v>
      </c>
      <c r="Q232" s="4">
        <f>IF(OR(INDEX($V$2:$V$1001,MATCH(ROWS($U$2:U232),$U$2:$U$1001,0),1)&gt;=100000,INDEX($AB$1005:$AQ$1005,1,MATCH(COLUMNS($AB$1006:AQ1006),$AB$1006:$AQ$1006,0))&gt;=100000), " ",IF(INDEX($AB$2:$AQ$1001,MATCH(ROWS($U$2:U232),$U$2:$U$1001,0),MATCH(COLUMNS($AB$1006:AQ1006),$AB$1006:$AQ$1006,0)), HYPERLINK("#",""), HYPERLINK(CONCATENATE("#metadata!", ADDRESS(INDEX($W$2:$W$1001,MATCH(ROWS($U$2:U232),$U$2:$U$1001,0),0), INDEX($AB$1004:$AQ$1004,1,MATCH(COLUMNS($AB$1006:AQ1006),$AB$1006:$AQ$1006,0)))),"Fix")))</f>
        <v>0</v>
      </c>
      <c r="U232">
        <v>0</v>
      </c>
      <c r="V232">
        <v>0</v>
      </c>
      <c r="W232">
        <v>0</v>
      </c>
      <c r="X232">
        <f>IF(Y232,TRUE,AND(AB232:AQ232))</f>
        <v>0</v>
      </c>
      <c r="Y232">
        <f>COUNTBLANK(metadata!B232:Q232)=COLUMNS(metadata!B232:Q232)</f>
        <v>0</v>
      </c>
      <c r="Z232">
        <v>0</v>
      </c>
      <c r="AB232">
        <f>AND(IF(metadata!B232="",FALSE,TRUE),COUNTIF(metadata!B:B, metadata!B232) = 1,NOT(ISERROR(SUMPRODUCT(SEARCH(MID(metadata!B232,ROW(INDIRECT("1:"&amp;LEN(metadata!B232))), 1),"0123456789abcdefghijklmnopqrstuvwxyzABCDEFGHIJKLMNOPQRSTUVWXYZ.")))))</f>
        <v>0</v>
      </c>
      <c r="AC232">
        <f>OR(AND(IF(metadata!C232="",FALSE,TRUE),OR(exact(metadata!C232,"missing: not collected"),exact(metadata!C232,"missing: not provided"),exact(metadata!C232,"missing: restricted access"))),AND(IF(metadata!C232="",FALSE,TRUE),AND(AND(IFERROR(INT(LEFT(metadata!C232,4))&gt;1900,FALSE),IFERROR(INT(LEFT(metadata!C232,4))&lt;=YEAR(NOW()),FALSE)), OR(MID(metadata!C232,5,1)="", AND(AND(MID(metadata!C232,5,1)="-",IFERROR(INT(MID(metadata!C232,6,1))&gt;=0,FALSE),IFERROR(INT(MID(metadata!C232,6,1))&lt;=1,FALSE),NOT(MID(metadata!C232,7,1)=""),IFERROR(INT(MID(metadata!C232,6,2))&gt;=1,FALSE),IFERROR(INT(MID(metadata!C232,6,2))&lt;=12,FALSE)), OR(MID(metadata!C232,8,1)="", AND(AND(MID(metadata!C232,8,1)="-",IFERROR(INT(MID(metadata!C232,9,1))&gt;=0,FALSE),IFERROR(INT(MID(metadata!C232,9,1))&lt;=3,FALSE),NOT(MID(metadata!C232,10,1)=""),IFERROR(INT(MID(metadata!C232,9,2))&gt;=1,FALSE),IFERROR(INT(MID(metadata!C232,9,2))&lt;=31,FALSE)), OR(MID(metadata!C232,11,1)="", AND(AND(MID(metadata!C232,11,1)=" ",IFERROR(INT(MID(metadata!C232,12,1))&gt;=0,FALSE),IFERROR(INT(MID(metadata!C232,12,1))&lt;=2,FALSE),NOT(MID(metadata!C232,13,1)=""),IFERROR(INT(MID(metadata!C232,12,2))&gt;=0,FALSE),IFERROR(INT(MID(metadata!C232,12,2))&lt;=23,FALSE)), OR(MID(metadata!C232,14,1)="", AND(AND(MID(metadata!C232,14,1)=":",IFERROR(INT(MID(metadata!C232,15,1))&gt;=0,FALSE),IFERROR(INT(MID(metadata!C232,15,1))&lt;=5,FALSE),NOT(MID(metadata!C232,16,1)=""),IFERROR(INT(MID(metadata!C232,15,2))&gt;=0,FALSE),IFERROR(INT(MID(metadata!C232,15,2))&lt;=59,FALSE)), OR(MID(metadata!C232,17,1)="", AND(AND(MID(metadata!C232,17,1)=":",IFERROR(INT(MID(metadata!C232,18,1))&gt;=0,FALSE),IFERROR(INT(MID(metadata!C232,18,1))&lt;=5,FALSE),NOT(MID(metadata!C232,19,1)=""),IFERROR(INT(MID(metadata!C232,18,2))&gt;=0,FALSE),IFERROR(INT(MID(metadata!C232,18,2))&lt;=59,FALSE)), LEN(metadata!C232)&lt;=19)))))))))))))</f>
        <v>0</v>
      </c>
      <c r="AD232">
        <f>IF(metadata!D232="",FALSE,TRUE)</f>
        <v>0</v>
      </c>
      <c r="AE232">
        <f>OR(AND(IF(metadata!E232="",FALSE,TRUE),OR(exact(metadata!E232,"missing: not collected"),exact(metadata!E232,"missing: not provided"))),AND(IF(metadata!E232="",FALSE,TRUE),OR(exact(metadata!E232,"TRUE"),exact(metadata!E232,"FALSE"))))</f>
        <v>0</v>
      </c>
      <c r="AF232">
        <f>IF(metadata!F232="",FALSE,TRUE)</f>
        <v>0</v>
      </c>
      <c r="AG232">
        <f>IF(metadata!G232="",FALSE,TRUE)</f>
        <v>0</v>
      </c>
      <c r="AH232">
        <f>IF(metadata!H232="",FALSE,TRUE)</f>
        <v>0</v>
      </c>
      <c r="AI232">
        <f>OR(AND(IF(metadata!I232="",FALSE,TRUE),OR(exact(metadata!I232,"missing: not collected"),exact(metadata!I232,"missing: not provided"),exact(metadata!I232,"missing: restricted access"))),AND(IF(metadata!I232="",FALSE,TRUE),OR(exact(metadata!I232,"air"),exact(metadata!I232,"built environment"),exact(metadata!I232,"host-associated"),exact(metadata!I232,"human-associated"),exact(metadata!I232,"human-skin"),exact(metadata!I232,"human-oral"),exact(metadata!I232,"human-gut"),exact(metadata!I232,"human-vaginal"),exact(metadata!I232,"microbial mat/biofilm"),exact(metadata!I232,"misc environment"),exact(metadata!I232,"plant-associated"),exact(metadata!I232,"sediment"),exact(metadata!I232,"soil"),exact(metadata!I232,"wastewater/sludge"),exact(metadata!I232,"water"))))</f>
        <v>0</v>
      </c>
      <c r="AJ232">
        <f>IF(metadata!J232="",FALSE,TRUE)</f>
        <v>0</v>
      </c>
      <c r="AK232">
        <f>OR(AND(IF(metadata!K232="",FALSE,TRUE),OR(exact(metadata!K232,"missing: not collected"),exact(metadata!K232,"missing: not provided"),exact(metadata!K232,"missing: restricted access"))),AND(IF(metadata!K232="",FALSE,ISNUMBER(VALUE(metadata!K232))),metadata!K232&gt;=-90.00,metadata!K232&lt;=90.00))</f>
        <v>0</v>
      </c>
      <c r="AL232">
        <f>OR(AND(IF(metadata!L232="",FALSE,TRUE),OR(exact(metadata!L232,"missing: not collected"),exact(metadata!L232,"missing: not provided"),exact(metadata!L232,"missing: restricted access"))),AND(IF(metadata!L232="",FALSE,ISNUMBER(VALUE(metadata!L232))),metadata!L232&gt;=-180.00,metadata!L232&lt;=180.00))</f>
        <v>0</v>
      </c>
      <c r="AM232">
        <f>IF(metadata!M232="",FALSE,TRUE)</f>
        <v>0</v>
      </c>
      <c r="AN232">
        <f>OR(AND(IF(metadata!N232="",FALSE,TRUE),OR(exact(metadata!N232,"missing: not collected"),exact(metadata!N232,"missing: not provided"),exact(metadata!N232,"missing: restricted access"))),AND(IF(metadata!N232="",FALSE,TRUE),OR(exact(metadata!N232,"TRUE"),exact(metadata!N232,"FALSE"))))</f>
        <v>0</v>
      </c>
      <c r="AO232">
        <f>IF(metadata!O232="",FALSE,TRUE)</f>
        <v>0</v>
      </c>
      <c r="AP232">
        <f>OR(AND(IF(metadata!P232="",FALSE,TRUE),OR(exact(metadata!P232,"missing: not collected"),exact(metadata!P232,"missing: not provided"))),AND(IF(metadata!P232="",FALSE,IF(ISERROR(INT(metadata!P232)),FALSE,INT(metadata!P232)=metadata!P232)),metadata!P232&gt;0))</f>
        <v>0</v>
      </c>
      <c r="AQ232">
        <f>IF(metadata!Q232="",FALSE,TRUE)</f>
        <v>0</v>
      </c>
    </row>
    <row r="233" spans="1:43">
      <c r="A233" s="5">
        <f>IF(B233=" "," ",HYPERLINK(CONCATENATE("#metadata!",ADDRESS(INDEX($W$2:$W$1001,MATCH(ROWS($U$2:U233),$U$2:$U$1001,0),0),1)),INDEX($Z$2:$Z$1001,MATCH(ROWS($U$2:U233),$U$2:$U$1001,0),0)))</f>
        <v>0</v>
      </c>
      <c r="B233" s="4">
        <f>IF(OR(INDEX($V$2:$V$1001,MATCH(ROWS($U$2:U233),$U$2:$U$1001,0),1)&gt;=100000,INDEX($AB$1005:$AQ$1005,1,MATCH(COLUMNS($AB$1006:AB1006),$AB$1006:$AQ$1006,0))&gt;=100000), " ",IF(INDEX($AB$2:$AQ$1001,MATCH(ROWS($U$2:U233),$U$2:$U$1001,0),MATCH(COLUMNS($AB$1006:AB1006),$AB$1006:$AQ$1006,0)), HYPERLINK("#",""), HYPERLINK(CONCATENATE("#metadata!", ADDRESS(INDEX($W$2:$W$1001,MATCH(ROWS($U$2:U233),$U$2:$U$1001,0),0), INDEX($AB$1004:$AQ$1004,1,MATCH(COLUMNS($AB$1006:AB1006),$AB$1006:$AQ$1006,0)))),"Fix")))</f>
        <v>0</v>
      </c>
      <c r="C233" s="4">
        <f>IF(OR(INDEX($V$2:$V$1001,MATCH(ROWS($U$2:U233),$U$2:$U$1001,0),1)&gt;=100000,INDEX($AB$1005:$AQ$1005,1,MATCH(COLUMNS($AB$1006:AC1006),$AB$1006:$AQ$1006,0))&gt;=100000), " ",IF(INDEX($AB$2:$AQ$1001,MATCH(ROWS($U$2:U233),$U$2:$U$1001,0),MATCH(COLUMNS($AB$1006:AC1006),$AB$1006:$AQ$1006,0)), HYPERLINK("#",""), HYPERLINK(CONCATENATE("#metadata!", ADDRESS(INDEX($W$2:$W$1001,MATCH(ROWS($U$2:U233),$U$2:$U$1001,0),0), INDEX($AB$1004:$AQ$1004,1,MATCH(COLUMNS($AB$1006:AC1006),$AB$1006:$AQ$1006,0)))),"Fix")))</f>
        <v>0</v>
      </c>
      <c r="D233" s="4">
        <f>IF(OR(INDEX($V$2:$V$1001,MATCH(ROWS($U$2:U233),$U$2:$U$1001,0),1)&gt;=100000,INDEX($AB$1005:$AQ$1005,1,MATCH(COLUMNS($AB$1006:AD1006),$AB$1006:$AQ$1006,0))&gt;=100000), " ",IF(INDEX($AB$2:$AQ$1001,MATCH(ROWS($U$2:U233),$U$2:$U$1001,0),MATCH(COLUMNS($AB$1006:AD1006),$AB$1006:$AQ$1006,0)), HYPERLINK("#",""), HYPERLINK(CONCATENATE("#metadata!", ADDRESS(INDEX($W$2:$W$1001,MATCH(ROWS($U$2:U233),$U$2:$U$1001,0),0), INDEX($AB$1004:$AQ$1004,1,MATCH(COLUMNS($AB$1006:AD1006),$AB$1006:$AQ$1006,0)))),"Fix")))</f>
        <v>0</v>
      </c>
      <c r="E233" s="4">
        <f>IF(OR(INDEX($V$2:$V$1001,MATCH(ROWS($U$2:U233),$U$2:$U$1001,0),1)&gt;=100000,INDEX($AB$1005:$AQ$1005,1,MATCH(COLUMNS($AB$1006:AE1006),$AB$1006:$AQ$1006,0))&gt;=100000), " ",IF(INDEX($AB$2:$AQ$1001,MATCH(ROWS($U$2:U233),$U$2:$U$1001,0),MATCH(COLUMNS($AB$1006:AE1006),$AB$1006:$AQ$1006,0)), HYPERLINK("#",""), HYPERLINK(CONCATENATE("#metadata!", ADDRESS(INDEX($W$2:$W$1001,MATCH(ROWS($U$2:U233),$U$2:$U$1001,0),0), INDEX($AB$1004:$AQ$1004,1,MATCH(COLUMNS($AB$1006:AE1006),$AB$1006:$AQ$1006,0)))),"Fix")))</f>
        <v>0</v>
      </c>
      <c r="F233" s="4">
        <f>IF(OR(INDEX($V$2:$V$1001,MATCH(ROWS($U$2:U233),$U$2:$U$1001,0),1)&gt;=100000,INDEX($AB$1005:$AQ$1005,1,MATCH(COLUMNS($AB$1006:AF1006),$AB$1006:$AQ$1006,0))&gt;=100000), " ",IF(INDEX($AB$2:$AQ$1001,MATCH(ROWS($U$2:U233),$U$2:$U$1001,0),MATCH(COLUMNS($AB$1006:AF1006),$AB$1006:$AQ$1006,0)), HYPERLINK("#",""), HYPERLINK(CONCATENATE("#metadata!", ADDRESS(INDEX($W$2:$W$1001,MATCH(ROWS($U$2:U233),$U$2:$U$1001,0),0), INDEX($AB$1004:$AQ$1004,1,MATCH(COLUMNS($AB$1006:AF1006),$AB$1006:$AQ$1006,0)))),"Fix")))</f>
        <v>0</v>
      </c>
      <c r="G233" s="4">
        <f>IF(OR(INDEX($V$2:$V$1001,MATCH(ROWS($U$2:U233),$U$2:$U$1001,0),1)&gt;=100000,INDEX($AB$1005:$AQ$1005,1,MATCH(COLUMNS($AB$1006:AG1006),$AB$1006:$AQ$1006,0))&gt;=100000), " ",IF(INDEX($AB$2:$AQ$1001,MATCH(ROWS($U$2:U233),$U$2:$U$1001,0),MATCH(COLUMNS($AB$1006:AG1006),$AB$1006:$AQ$1006,0)), HYPERLINK("#",""), HYPERLINK(CONCATENATE("#metadata!", ADDRESS(INDEX($W$2:$W$1001,MATCH(ROWS($U$2:U233),$U$2:$U$1001,0),0), INDEX($AB$1004:$AQ$1004,1,MATCH(COLUMNS($AB$1006:AG1006),$AB$1006:$AQ$1006,0)))),"Fix")))</f>
        <v>0</v>
      </c>
      <c r="H233" s="4">
        <f>IF(OR(INDEX($V$2:$V$1001,MATCH(ROWS($U$2:U233),$U$2:$U$1001,0),1)&gt;=100000,INDEX($AB$1005:$AQ$1005,1,MATCH(COLUMNS($AB$1006:AH1006),$AB$1006:$AQ$1006,0))&gt;=100000), " ",IF(INDEX($AB$2:$AQ$1001,MATCH(ROWS($U$2:U233),$U$2:$U$1001,0),MATCH(COLUMNS($AB$1006:AH1006),$AB$1006:$AQ$1006,0)), HYPERLINK("#",""), HYPERLINK(CONCATENATE("#metadata!", ADDRESS(INDEX($W$2:$W$1001,MATCH(ROWS($U$2:U233),$U$2:$U$1001,0),0), INDEX($AB$1004:$AQ$1004,1,MATCH(COLUMNS($AB$1006:AH1006),$AB$1006:$AQ$1006,0)))),"Fix")))</f>
        <v>0</v>
      </c>
      <c r="I233" s="4">
        <f>IF(OR(INDEX($V$2:$V$1001,MATCH(ROWS($U$2:U233),$U$2:$U$1001,0),1)&gt;=100000,INDEX($AB$1005:$AQ$1005,1,MATCH(COLUMNS($AB$1006:AI1006),$AB$1006:$AQ$1006,0))&gt;=100000), " ",IF(INDEX($AB$2:$AQ$1001,MATCH(ROWS($U$2:U233),$U$2:$U$1001,0),MATCH(COLUMNS($AB$1006:AI1006),$AB$1006:$AQ$1006,0)), HYPERLINK("#",""), HYPERLINK(CONCATENATE("#metadata!", ADDRESS(INDEX($W$2:$W$1001,MATCH(ROWS($U$2:U233),$U$2:$U$1001,0),0), INDEX($AB$1004:$AQ$1004,1,MATCH(COLUMNS($AB$1006:AI1006),$AB$1006:$AQ$1006,0)))),"Fix")))</f>
        <v>0</v>
      </c>
      <c r="J233" s="4">
        <f>IF(OR(INDEX($V$2:$V$1001,MATCH(ROWS($U$2:U233),$U$2:$U$1001,0),1)&gt;=100000,INDEX($AB$1005:$AQ$1005,1,MATCH(COLUMNS($AB$1006:AJ1006),$AB$1006:$AQ$1006,0))&gt;=100000), " ",IF(INDEX($AB$2:$AQ$1001,MATCH(ROWS($U$2:U233),$U$2:$U$1001,0),MATCH(COLUMNS($AB$1006:AJ1006),$AB$1006:$AQ$1006,0)), HYPERLINK("#",""), HYPERLINK(CONCATENATE("#metadata!", ADDRESS(INDEX($W$2:$W$1001,MATCH(ROWS($U$2:U233),$U$2:$U$1001,0),0), INDEX($AB$1004:$AQ$1004,1,MATCH(COLUMNS($AB$1006:AJ1006),$AB$1006:$AQ$1006,0)))),"Fix")))</f>
        <v>0</v>
      </c>
      <c r="K233" s="4">
        <f>IF(OR(INDEX($V$2:$V$1001,MATCH(ROWS($U$2:U233),$U$2:$U$1001,0),1)&gt;=100000,INDEX($AB$1005:$AQ$1005,1,MATCH(COLUMNS($AB$1006:AK1006),$AB$1006:$AQ$1006,0))&gt;=100000), " ",IF(INDEX($AB$2:$AQ$1001,MATCH(ROWS($U$2:U233),$U$2:$U$1001,0),MATCH(COLUMNS($AB$1006:AK1006),$AB$1006:$AQ$1006,0)), HYPERLINK("#",""), HYPERLINK(CONCATENATE("#metadata!", ADDRESS(INDEX($W$2:$W$1001,MATCH(ROWS($U$2:U233),$U$2:$U$1001,0),0), INDEX($AB$1004:$AQ$1004,1,MATCH(COLUMNS($AB$1006:AK1006),$AB$1006:$AQ$1006,0)))),"Fix")))</f>
        <v>0</v>
      </c>
      <c r="L233" s="4">
        <f>IF(OR(INDEX($V$2:$V$1001,MATCH(ROWS($U$2:U233),$U$2:$U$1001,0),1)&gt;=100000,INDEX($AB$1005:$AQ$1005,1,MATCH(COLUMNS($AB$1006:AL1006),$AB$1006:$AQ$1006,0))&gt;=100000), " ",IF(INDEX($AB$2:$AQ$1001,MATCH(ROWS($U$2:U233),$U$2:$U$1001,0),MATCH(COLUMNS($AB$1006:AL1006),$AB$1006:$AQ$1006,0)), HYPERLINK("#",""), HYPERLINK(CONCATENATE("#metadata!", ADDRESS(INDEX($W$2:$W$1001,MATCH(ROWS($U$2:U233),$U$2:$U$1001,0),0), INDEX($AB$1004:$AQ$1004,1,MATCH(COLUMNS($AB$1006:AL1006),$AB$1006:$AQ$1006,0)))),"Fix")))</f>
        <v>0</v>
      </c>
      <c r="M233" s="4">
        <f>IF(OR(INDEX($V$2:$V$1001,MATCH(ROWS($U$2:U233),$U$2:$U$1001,0),1)&gt;=100000,INDEX($AB$1005:$AQ$1005,1,MATCH(COLUMNS($AB$1006:AM1006),$AB$1006:$AQ$1006,0))&gt;=100000), " ",IF(INDEX($AB$2:$AQ$1001,MATCH(ROWS($U$2:U233),$U$2:$U$1001,0),MATCH(COLUMNS($AB$1006:AM1006),$AB$1006:$AQ$1006,0)), HYPERLINK("#",""), HYPERLINK(CONCATENATE("#metadata!", ADDRESS(INDEX($W$2:$W$1001,MATCH(ROWS($U$2:U233),$U$2:$U$1001,0),0), INDEX($AB$1004:$AQ$1004,1,MATCH(COLUMNS($AB$1006:AM1006),$AB$1006:$AQ$1006,0)))),"Fix")))</f>
        <v>0</v>
      </c>
      <c r="N233" s="4">
        <f>IF(OR(INDEX($V$2:$V$1001,MATCH(ROWS($U$2:U233),$U$2:$U$1001,0),1)&gt;=100000,INDEX($AB$1005:$AQ$1005,1,MATCH(COLUMNS($AB$1006:AN1006),$AB$1006:$AQ$1006,0))&gt;=100000), " ",IF(INDEX($AB$2:$AQ$1001,MATCH(ROWS($U$2:U233),$U$2:$U$1001,0),MATCH(COLUMNS($AB$1006:AN1006),$AB$1006:$AQ$1006,0)), HYPERLINK("#",""), HYPERLINK(CONCATENATE("#metadata!", ADDRESS(INDEX($W$2:$W$1001,MATCH(ROWS($U$2:U233),$U$2:$U$1001,0),0), INDEX($AB$1004:$AQ$1004,1,MATCH(COLUMNS($AB$1006:AN1006),$AB$1006:$AQ$1006,0)))),"Fix")))</f>
        <v>0</v>
      </c>
      <c r="O233" s="4">
        <f>IF(OR(INDEX($V$2:$V$1001,MATCH(ROWS($U$2:U233),$U$2:$U$1001,0),1)&gt;=100000,INDEX($AB$1005:$AQ$1005,1,MATCH(COLUMNS($AB$1006:AO1006),$AB$1006:$AQ$1006,0))&gt;=100000), " ",IF(INDEX($AB$2:$AQ$1001,MATCH(ROWS($U$2:U233),$U$2:$U$1001,0),MATCH(COLUMNS($AB$1006:AO1006),$AB$1006:$AQ$1006,0)), HYPERLINK("#",""), HYPERLINK(CONCATENATE("#metadata!", ADDRESS(INDEX($W$2:$W$1001,MATCH(ROWS($U$2:U233),$U$2:$U$1001,0),0), INDEX($AB$1004:$AQ$1004,1,MATCH(COLUMNS($AB$1006:AO1006),$AB$1006:$AQ$1006,0)))),"Fix")))</f>
        <v>0</v>
      </c>
      <c r="P233" s="4">
        <f>IF(OR(INDEX($V$2:$V$1001,MATCH(ROWS($U$2:U233),$U$2:$U$1001,0),1)&gt;=100000,INDEX($AB$1005:$AQ$1005,1,MATCH(COLUMNS($AB$1006:AP1006),$AB$1006:$AQ$1006,0))&gt;=100000), " ",IF(INDEX($AB$2:$AQ$1001,MATCH(ROWS($U$2:U233),$U$2:$U$1001,0),MATCH(COLUMNS($AB$1006:AP1006),$AB$1006:$AQ$1006,0)), HYPERLINK("#",""), HYPERLINK(CONCATENATE("#metadata!", ADDRESS(INDEX($W$2:$W$1001,MATCH(ROWS($U$2:U233),$U$2:$U$1001,0),0), INDEX($AB$1004:$AQ$1004,1,MATCH(COLUMNS($AB$1006:AP1006),$AB$1006:$AQ$1006,0)))),"Fix")))</f>
        <v>0</v>
      </c>
      <c r="Q233" s="4">
        <f>IF(OR(INDEX($V$2:$V$1001,MATCH(ROWS($U$2:U233),$U$2:$U$1001,0),1)&gt;=100000,INDEX($AB$1005:$AQ$1005,1,MATCH(COLUMNS($AB$1006:AQ1006),$AB$1006:$AQ$1006,0))&gt;=100000), " ",IF(INDEX($AB$2:$AQ$1001,MATCH(ROWS($U$2:U233),$U$2:$U$1001,0),MATCH(COLUMNS($AB$1006:AQ1006),$AB$1006:$AQ$1006,0)), HYPERLINK("#",""), HYPERLINK(CONCATENATE("#metadata!", ADDRESS(INDEX($W$2:$W$1001,MATCH(ROWS($U$2:U233),$U$2:$U$1001,0),0), INDEX($AB$1004:$AQ$1004,1,MATCH(COLUMNS($AB$1006:AQ1006),$AB$1006:$AQ$1006,0)))),"Fix")))</f>
        <v>0</v>
      </c>
      <c r="U233">
        <v>0</v>
      </c>
      <c r="V233">
        <v>0</v>
      </c>
      <c r="W233">
        <v>0</v>
      </c>
      <c r="X233">
        <f>IF(Y233,TRUE,AND(AB233:AQ233))</f>
        <v>0</v>
      </c>
      <c r="Y233">
        <f>COUNTBLANK(metadata!B233:Q233)=COLUMNS(metadata!B233:Q233)</f>
        <v>0</v>
      </c>
      <c r="Z233">
        <v>0</v>
      </c>
      <c r="AB233">
        <f>AND(IF(metadata!B233="",FALSE,TRUE),COUNTIF(metadata!B:B, metadata!B233) = 1,NOT(ISERROR(SUMPRODUCT(SEARCH(MID(metadata!B233,ROW(INDIRECT("1:"&amp;LEN(metadata!B233))), 1),"0123456789abcdefghijklmnopqrstuvwxyzABCDEFGHIJKLMNOPQRSTUVWXYZ.")))))</f>
        <v>0</v>
      </c>
      <c r="AC233">
        <f>OR(AND(IF(metadata!C233="",FALSE,TRUE),OR(exact(metadata!C233,"missing: not collected"),exact(metadata!C233,"missing: not provided"),exact(metadata!C233,"missing: restricted access"))),AND(IF(metadata!C233="",FALSE,TRUE),AND(AND(IFERROR(INT(LEFT(metadata!C233,4))&gt;1900,FALSE),IFERROR(INT(LEFT(metadata!C233,4))&lt;=YEAR(NOW()),FALSE)), OR(MID(metadata!C233,5,1)="", AND(AND(MID(metadata!C233,5,1)="-",IFERROR(INT(MID(metadata!C233,6,1))&gt;=0,FALSE),IFERROR(INT(MID(metadata!C233,6,1))&lt;=1,FALSE),NOT(MID(metadata!C233,7,1)=""),IFERROR(INT(MID(metadata!C233,6,2))&gt;=1,FALSE),IFERROR(INT(MID(metadata!C233,6,2))&lt;=12,FALSE)), OR(MID(metadata!C233,8,1)="", AND(AND(MID(metadata!C233,8,1)="-",IFERROR(INT(MID(metadata!C233,9,1))&gt;=0,FALSE),IFERROR(INT(MID(metadata!C233,9,1))&lt;=3,FALSE),NOT(MID(metadata!C233,10,1)=""),IFERROR(INT(MID(metadata!C233,9,2))&gt;=1,FALSE),IFERROR(INT(MID(metadata!C233,9,2))&lt;=31,FALSE)), OR(MID(metadata!C233,11,1)="", AND(AND(MID(metadata!C233,11,1)=" ",IFERROR(INT(MID(metadata!C233,12,1))&gt;=0,FALSE),IFERROR(INT(MID(metadata!C233,12,1))&lt;=2,FALSE),NOT(MID(metadata!C233,13,1)=""),IFERROR(INT(MID(metadata!C233,12,2))&gt;=0,FALSE),IFERROR(INT(MID(metadata!C233,12,2))&lt;=23,FALSE)), OR(MID(metadata!C233,14,1)="", AND(AND(MID(metadata!C233,14,1)=":",IFERROR(INT(MID(metadata!C233,15,1))&gt;=0,FALSE),IFERROR(INT(MID(metadata!C233,15,1))&lt;=5,FALSE),NOT(MID(metadata!C233,16,1)=""),IFERROR(INT(MID(metadata!C233,15,2))&gt;=0,FALSE),IFERROR(INT(MID(metadata!C233,15,2))&lt;=59,FALSE)), OR(MID(metadata!C233,17,1)="", AND(AND(MID(metadata!C233,17,1)=":",IFERROR(INT(MID(metadata!C233,18,1))&gt;=0,FALSE),IFERROR(INT(MID(metadata!C233,18,1))&lt;=5,FALSE),NOT(MID(metadata!C233,19,1)=""),IFERROR(INT(MID(metadata!C233,18,2))&gt;=0,FALSE),IFERROR(INT(MID(metadata!C233,18,2))&lt;=59,FALSE)), LEN(metadata!C233)&lt;=19)))))))))))))</f>
        <v>0</v>
      </c>
      <c r="AD233">
        <f>IF(metadata!D233="",FALSE,TRUE)</f>
        <v>0</v>
      </c>
      <c r="AE233">
        <f>OR(AND(IF(metadata!E233="",FALSE,TRUE),OR(exact(metadata!E233,"missing: not collected"),exact(metadata!E233,"missing: not provided"))),AND(IF(metadata!E233="",FALSE,TRUE),OR(exact(metadata!E233,"TRUE"),exact(metadata!E233,"FALSE"))))</f>
        <v>0</v>
      </c>
      <c r="AF233">
        <f>IF(metadata!F233="",FALSE,TRUE)</f>
        <v>0</v>
      </c>
      <c r="AG233">
        <f>IF(metadata!G233="",FALSE,TRUE)</f>
        <v>0</v>
      </c>
      <c r="AH233">
        <f>IF(metadata!H233="",FALSE,TRUE)</f>
        <v>0</v>
      </c>
      <c r="AI233">
        <f>OR(AND(IF(metadata!I233="",FALSE,TRUE),OR(exact(metadata!I233,"missing: not collected"),exact(metadata!I233,"missing: not provided"),exact(metadata!I233,"missing: restricted access"))),AND(IF(metadata!I233="",FALSE,TRUE),OR(exact(metadata!I233,"air"),exact(metadata!I233,"built environment"),exact(metadata!I233,"host-associated"),exact(metadata!I233,"human-associated"),exact(metadata!I233,"human-skin"),exact(metadata!I233,"human-oral"),exact(metadata!I233,"human-gut"),exact(metadata!I233,"human-vaginal"),exact(metadata!I233,"microbial mat/biofilm"),exact(metadata!I233,"misc environment"),exact(metadata!I233,"plant-associated"),exact(metadata!I233,"sediment"),exact(metadata!I233,"soil"),exact(metadata!I233,"wastewater/sludge"),exact(metadata!I233,"water"))))</f>
        <v>0</v>
      </c>
      <c r="AJ233">
        <f>IF(metadata!J233="",FALSE,TRUE)</f>
        <v>0</v>
      </c>
      <c r="AK233">
        <f>OR(AND(IF(metadata!K233="",FALSE,TRUE),OR(exact(metadata!K233,"missing: not collected"),exact(metadata!K233,"missing: not provided"),exact(metadata!K233,"missing: restricted access"))),AND(IF(metadata!K233="",FALSE,ISNUMBER(VALUE(metadata!K233))),metadata!K233&gt;=-90.00,metadata!K233&lt;=90.00))</f>
        <v>0</v>
      </c>
      <c r="AL233">
        <f>OR(AND(IF(metadata!L233="",FALSE,TRUE),OR(exact(metadata!L233,"missing: not collected"),exact(metadata!L233,"missing: not provided"),exact(metadata!L233,"missing: restricted access"))),AND(IF(metadata!L233="",FALSE,ISNUMBER(VALUE(metadata!L233))),metadata!L233&gt;=-180.00,metadata!L233&lt;=180.00))</f>
        <v>0</v>
      </c>
      <c r="AM233">
        <f>IF(metadata!M233="",FALSE,TRUE)</f>
        <v>0</v>
      </c>
      <c r="AN233">
        <f>OR(AND(IF(metadata!N233="",FALSE,TRUE),OR(exact(metadata!N233,"missing: not collected"),exact(metadata!N233,"missing: not provided"),exact(metadata!N233,"missing: restricted access"))),AND(IF(metadata!N233="",FALSE,TRUE),OR(exact(metadata!N233,"TRUE"),exact(metadata!N233,"FALSE"))))</f>
        <v>0</v>
      </c>
      <c r="AO233">
        <f>IF(metadata!O233="",FALSE,TRUE)</f>
        <v>0</v>
      </c>
      <c r="AP233">
        <f>OR(AND(IF(metadata!P233="",FALSE,TRUE),OR(exact(metadata!P233,"missing: not collected"),exact(metadata!P233,"missing: not provided"))),AND(IF(metadata!P233="",FALSE,IF(ISERROR(INT(metadata!P233)),FALSE,INT(metadata!P233)=metadata!P233)),metadata!P233&gt;0))</f>
        <v>0</v>
      </c>
      <c r="AQ233">
        <f>IF(metadata!Q233="",FALSE,TRUE)</f>
        <v>0</v>
      </c>
    </row>
    <row r="234" spans="1:43">
      <c r="A234" s="5">
        <f>IF(B234=" "," ",HYPERLINK(CONCATENATE("#metadata!",ADDRESS(INDEX($W$2:$W$1001,MATCH(ROWS($U$2:U234),$U$2:$U$1001,0),0),1)),INDEX($Z$2:$Z$1001,MATCH(ROWS($U$2:U234),$U$2:$U$1001,0),0)))</f>
        <v>0</v>
      </c>
      <c r="B234" s="4">
        <f>IF(OR(INDEX($V$2:$V$1001,MATCH(ROWS($U$2:U234),$U$2:$U$1001,0),1)&gt;=100000,INDEX($AB$1005:$AQ$1005,1,MATCH(COLUMNS($AB$1006:AB1006),$AB$1006:$AQ$1006,0))&gt;=100000), " ",IF(INDEX($AB$2:$AQ$1001,MATCH(ROWS($U$2:U234),$U$2:$U$1001,0),MATCH(COLUMNS($AB$1006:AB1006),$AB$1006:$AQ$1006,0)), HYPERLINK("#",""), HYPERLINK(CONCATENATE("#metadata!", ADDRESS(INDEX($W$2:$W$1001,MATCH(ROWS($U$2:U234),$U$2:$U$1001,0),0), INDEX($AB$1004:$AQ$1004,1,MATCH(COLUMNS($AB$1006:AB1006),$AB$1006:$AQ$1006,0)))),"Fix")))</f>
        <v>0</v>
      </c>
      <c r="C234" s="4">
        <f>IF(OR(INDEX($V$2:$V$1001,MATCH(ROWS($U$2:U234),$U$2:$U$1001,0),1)&gt;=100000,INDEX($AB$1005:$AQ$1005,1,MATCH(COLUMNS($AB$1006:AC1006),$AB$1006:$AQ$1006,0))&gt;=100000), " ",IF(INDEX($AB$2:$AQ$1001,MATCH(ROWS($U$2:U234),$U$2:$U$1001,0),MATCH(COLUMNS($AB$1006:AC1006),$AB$1006:$AQ$1006,0)), HYPERLINK("#",""), HYPERLINK(CONCATENATE("#metadata!", ADDRESS(INDEX($W$2:$W$1001,MATCH(ROWS($U$2:U234),$U$2:$U$1001,0),0), INDEX($AB$1004:$AQ$1004,1,MATCH(COLUMNS($AB$1006:AC1006),$AB$1006:$AQ$1006,0)))),"Fix")))</f>
        <v>0</v>
      </c>
      <c r="D234" s="4">
        <f>IF(OR(INDEX($V$2:$V$1001,MATCH(ROWS($U$2:U234),$U$2:$U$1001,0),1)&gt;=100000,INDEX($AB$1005:$AQ$1005,1,MATCH(COLUMNS($AB$1006:AD1006),$AB$1006:$AQ$1006,0))&gt;=100000), " ",IF(INDEX($AB$2:$AQ$1001,MATCH(ROWS($U$2:U234),$U$2:$U$1001,0),MATCH(COLUMNS($AB$1006:AD1006),$AB$1006:$AQ$1006,0)), HYPERLINK("#",""), HYPERLINK(CONCATENATE("#metadata!", ADDRESS(INDEX($W$2:$W$1001,MATCH(ROWS($U$2:U234),$U$2:$U$1001,0),0), INDEX($AB$1004:$AQ$1004,1,MATCH(COLUMNS($AB$1006:AD1006),$AB$1006:$AQ$1006,0)))),"Fix")))</f>
        <v>0</v>
      </c>
      <c r="E234" s="4">
        <f>IF(OR(INDEX($V$2:$V$1001,MATCH(ROWS($U$2:U234),$U$2:$U$1001,0),1)&gt;=100000,INDEX($AB$1005:$AQ$1005,1,MATCH(COLUMNS($AB$1006:AE1006),$AB$1006:$AQ$1006,0))&gt;=100000), " ",IF(INDEX($AB$2:$AQ$1001,MATCH(ROWS($U$2:U234),$U$2:$U$1001,0),MATCH(COLUMNS($AB$1006:AE1006),$AB$1006:$AQ$1006,0)), HYPERLINK("#",""), HYPERLINK(CONCATENATE("#metadata!", ADDRESS(INDEX($W$2:$W$1001,MATCH(ROWS($U$2:U234),$U$2:$U$1001,0),0), INDEX($AB$1004:$AQ$1004,1,MATCH(COLUMNS($AB$1006:AE1006),$AB$1006:$AQ$1006,0)))),"Fix")))</f>
        <v>0</v>
      </c>
      <c r="F234" s="4">
        <f>IF(OR(INDEX($V$2:$V$1001,MATCH(ROWS($U$2:U234),$U$2:$U$1001,0),1)&gt;=100000,INDEX($AB$1005:$AQ$1005,1,MATCH(COLUMNS($AB$1006:AF1006),$AB$1006:$AQ$1006,0))&gt;=100000), " ",IF(INDEX($AB$2:$AQ$1001,MATCH(ROWS($U$2:U234),$U$2:$U$1001,0),MATCH(COLUMNS($AB$1006:AF1006),$AB$1006:$AQ$1006,0)), HYPERLINK("#",""), HYPERLINK(CONCATENATE("#metadata!", ADDRESS(INDEX($W$2:$W$1001,MATCH(ROWS($U$2:U234),$U$2:$U$1001,0),0), INDEX($AB$1004:$AQ$1004,1,MATCH(COLUMNS($AB$1006:AF1006),$AB$1006:$AQ$1006,0)))),"Fix")))</f>
        <v>0</v>
      </c>
      <c r="G234" s="4">
        <f>IF(OR(INDEX($V$2:$V$1001,MATCH(ROWS($U$2:U234),$U$2:$U$1001,0),1)&gt;=100000,INDEX($AB$1005:$AQ$1005,1,MATCH(COLUMNS($AB$1006:AG1006),$AB$1006:$AQ$1006,0))&gt;=100000), " ",IF(INDEX($AB$2:$AQ$1001,MATCH(ROWS($U$2:U234),$U$2:$U$1001,0),MATCH(COLUMNS($AB$1006:AG1006),$AB$1006:$AQ$1006,0)), HYPERLINK("#",""), HYPERLINK(CONCATENATE("#metadata!", ADDRESS(INDEX($W$2:$W$1001,MATCH(ROWS($U$2:U234),$U$2:$U$1001,0),0), INDEX($AB$1004:$AQ$1004,1,MATCH(COLUMNS($AB$1006:AG1006),$AB$1006:$AQ$1006,0)))),"Fix")))</f>
        <v>0</v>
      </c>
      <c r="H234" s="4">
        <f>IF(OR(INDEX($V$2:$V$1001,MATCH(ROWS($U$2:U234),$U$2:$U$1001,0),1)&gt;=100000,INDEX($AB$1005:$AQ$1005,1,MATCH(COLUMNS($AB$1006:AH1006),$AB$1006:$AQ$1006,0))&gt;=100000), " ",IF(INDEX($AB$2:$AQ$1001,MATCH(ROWS($U$2:U234),$U$2:$U$1001,0),MATCH(COLUMNS($AB$1006:AH1006),$AB$1006:$AQ$1006,0)), HYPERLINK("#",""), HYPERLINK(CONCATENATE("#metadata!", ADDRESS(INDEX($W$2:$W$1001,MATCH(ROWS($U$2:U234),$U$2:$U$1001,0),0), INDEX($AB$1004:$AQ$1004,1,MATCH(COLUMNS($AB$1006:AH1006),$AB$1006:$AQ$1006,0)))),"Fix")))</f>
        <v>0</v>
      </c>
      <c r="I234" s="4">
        <f>IF(OR(INDEX($V$2:$V$1001,MATCH(ROWS($U$2:U234),$U$2:$U$1001,0),1)&gt;=100000,INDEX($AB$1005:$AQ$1005,1,MATCH(COLUMNS($AB$1006:AI1006),$AB$1006:$AQ$1006,0))&gt;=100000), " ",IF(INDEX($AB$2:$AQ$1001,MATCH(ROWS($U$2:U234),$U$2:$U$1001,0),MATCH(COLUMNS($AB$1006:AI1006),$AB$1006:$AQ$1006,0)), HYPERLINK("#",""), HYPERLINK(CONCATENATE("#metadata!", ADDRESS(INDEX($W$2:$W$1001,MATCH(ROWS($U$2:U234),$U$2:$U$1001,0),0), INDEX($AB$1004:$AQ$1004,1,MATCH(COLUMNS($AB$1006:AI1006),$AB$1006:$AQ$1006,0)))),"Fix")))</f>
        <v>0</v>
      </c>
      <c r="J234" s="4">
        <f>IF(OR(INDEX($V$2:$V$1001,MATCH(ROWS($U$2:U234),$U$2:$U$1001,0),1)&gt;=100000,INDEX($AB$1005:$AQ$1005,1,MATCH(COLUMNS($AB$1006:AJ1006),$AB$1006:$AQ$1006,0))&gt;=100000), " ",IF(INDEX($AB$2:$AQ$1001,MATCH(ROWS($U$2:U234),$U$2:$U$1001,0),MATCH(COLUMNS($AB$1006:AJ1006),$AB$1006:$AQ$1006,0)), HYPERLINK("#",""), HYPERLINK(CONCATENATE("#metadata!", ADDRESS(INDEX($W$2:$W$1001,MATCH(ROWS($U$2:U234),$U$2:$U$1001,0),0), INDEX($AB$1004:$AQ$1004,1,MATCH(COLUMNS($AB$1006:AJ1006),$AB$1006:$AQ$1006,0)))),"Fix")))</f>
        <v>0</v>
      </c>
      <c r="K234" s="4">
        <f>IF(OR(INDEX($V$2:$V$1001,MATCH(ROWS($U$2:U234),$U$2:$U$1001,0),1)&gt;=100000,INDEX($AB$1005:$AQ$1005,1,MATCH(COLUMNS($AB$1006:AK1006),$AB$1006:$AQ$1006,0))&gt;=100000), " ",IF(INDEX($AB$2:$AQ$1001,MATCH(ROWS($U$2:U234),$U$2:$U$1001,0),MATCH(COLUMNS($AB$1006:AK1006),$AB$1006:$AQ$1006,0)), HYPERLINK("#",""), HYPERLINK(CONCATENATE("#metadata!", ADDRESS(INDEX($W$2:$W$1001,MATCH(ROWS($U$2:U234),$U$2:$U$1001,0),0), INDEX($AB$1004:$AQ$1004,1,MATCH(COLUMNS($AB$1006:AK1006),$AB$1006:$AQ$1006,0)))),"Fix")))</f>
        <v>0</v>
      </c>
      <c r="L234" s="4">
        <f>IF(OR(INDEX($V$2:$V$1001,MATCH(ROWS($U$2:U234),$U$2:$U$1001,0),1)&gt;=100000,INDEX($AB$1005:$AQ$1005,1,MATCH(COLUMNS($AB$1006:AL1006),$AB$1006:$AQ$1006,0))&gt;=100000), " ",IF(INDEX($AB$2:$AQ$1001,MATCH(ROWS($U$2:U234),$U$2:$U$1001,0),MATCH(COLUMNS($AB$1006:AL1006),$AB$1006:$AQ$1006,0)), HYPERLINK("#",""), HYPERLINK(CONCATENATE("#metadata!", ADDRESS(INDEX($W$2:$W$1001,MATCH(ROWS($U$2:U234),$U$2:$U$1001,0),0), INDEX($AB$1004:$AQ$1004,1,MATCH(COLUMNS($AB$1006:AL1006),$AB$1006:$AQ$1006,0)))),"Fix")))</f>
        <v>0</v>
      </c>
      <c r="M234" s="4">
        <f>IF(OR(INDEX($V$2:$V$1001,MATCH(ROWS($U$2:U234),$U$2:$U$1001,0),1)&gt;=100000,INDEX($AB$1005:$AQ$1005,1,MATCH(COLUMNS($AB$1006:AM1006),$AB$1006:$AQ$1006,0))&gt;=100000), " ",IF(INDEX($AB$2:$AQ$1001,MATCH(ROWS($U$2:U234),$U$2:$U$1001,0),MATCH(COLUMNS($AB$1006:AM1006),$AB$1006:$AQ$1006,0)), HYPERLINK("#",""), HYPERLINK(CONCATENATE("#metadata!", ADDRESS(INDEX($W$2:$W$1001,MATCH(ROWS($U$2:U234),$U$2:$U$1001,0),0), INDEX($AB$1004:$AQ$1004,1,MATCH(COLUMNS($AB$1006:AM1006),$AB$1006:$AQ$1006,0)))),"Fix")))</f>
        <v>0</v>
      </c>
      <c r="N234" s="4">
        <f>IF(OR(INDEX($V$2:$V$1001,MATCH(ROWS($U$2:U234),$U$2:$U$1001,0),1)&gt;=100000,INDEX($AB$1005:$AQ$1005,1,MATCH(COLUMNS($AB$1006:AN1006),$AB$1006:$AQ$1006,0))&gt;=100000), " ",IF(INDEX($AB$2:$AQ$1001,MATCH(ROWS($U$2:U234),$U$2:$U$1001,0),MATCH(COLUMNS($AB$1006:AN1006),$AB$1006:$AQ$1006,0)), HYPERLINK("#",""), HYPERLINK(CONCATENATE("#metadata!", ADDRESS(INDEX($W$2:$W$1001,MATCH(ROWS($U$2:U234),$U$2:$U$1001,0),0), INDEX($AB$1004:$AQ$1004,1,MATCH(COLUMNS($AB$1006:AN1006),$AB$1006:$AQ$1006,0)))),"Fix")))</f>
        <v>0</v>
      </c>
      <c r="O234" s="4">
        <f>IF(OR(INDEX($V$2:$V$1001,MATCH(ROWS($U$2:U234),$U$2:$U$1001,0),1)&gt;=100000,INDEX($AB$1005:$AQ$1005,1,MATCH(COLUMNS($AB$1006:AO1006),$AB$1006:$AQ$1006,0))&gt;=100000), " ",IF(INDEX($AB$2:$AQ$1001,MATCH(ROWS($U$2:U234),$U$2:$U$1001,0),MATCH(COLUMNS($AB$1006:AO1006),$AB$1006:$AQ$1006,0)), HYPERLINK("#",""), HYPERLINK(CONCATENATE("#metadata!", ADDRESS(INDEX($W$2:$W$1001,MATCH(ROWS($U$2:U234),$U$2:$U$1001,0),0), INDEX($AB$1004:$AQ$1004,1,MATCH(COLUMNS($AB$1006:AO1006),$AB$1006:$AQ$1006,0)))),"Fix")))</f>
        <v>0</v>
      </c>
      <c r="P234" s="4">
        <f>IF(OR(INDEX($V$2:$V$1001,MATCH(ROWS($U$2:U234),$U$2:$U$1001,0),1)&gt;=100000,INDEX($AB$1005:$AQ$1005,1,MATCH(COLUMNS($AB$1006:AP1006),$AB$1006:$AQ$1006,0))&gt;=100000), " ",IF(INDEX($AB$2:$AQ$1001,MATCH(ROWS($U$2:U234),$U$2:$U$1001,0),MATCH(COLUMNS($AB$1006:AP1006),$AB$1006:$AQ$1006,0)), HYPERLINK("#",""), HYPERLINK(CONCATENATE("#metadata!", ADDRESS(INDEX($W$2:$W$1001,MATCH(ROWS($U$2:U234),$U$2:$U$1001,0),0), INDEX($AB$1004:$AQ$1004,1,MATCH(COLUMNS($AB$1006:AP1006),$AB$1006:$AQ$1006,0)))),"Fix")))</f>
        <v>0</v>
      </c>
      <c r="Q234" s="4">
        <f>IF(OR(INDEX($V$2:$V$1001,MATCH(ROWS($U$2:U234),$U$2:$U$1001,0),1)&gt;=100000,INDEX($AB$1005:$AQ$1005,1,MATCH(COLUMNS($AB$1006:AQ1006),$AB$1006:$AQ$1006,0))&gt;=100000), " ",IF(INDEX($AB$2:$AQ$1001,MATCH(ROWS($U$2:U234),$U$2:$U$1001,0),MATCH(COLUMNS($AB$1006:AQ1006),$AB$1006:$AQ$1006,0)), HYPERLINK("#",""), HYPERLINK(CONCATENATE("#metadata!", ADDRESS(INDEX($W$2:$W$1001,MATCH(ROWS($U$2:U234),$U$2:$U$1001,0),0), INDEX($AB$1004:$AQ$1004,1,MATCH(COLUMNS($AB$1006:AQ1006),$AB$1006:$AQ$1006,0)))),"Fix")))</f>
        <v>0</v>
      </c>
      <c r="U234">
        <v>0</v>
      </c>
      <c r="V234">
        <v>0</v>
      </c>
      <c r="W234">
        <v>0</v>
      </c>
      <c r="X234">
        <f>IF(Y234,TRUE,AND(AB234:AQ234))</f>
        <v>0</v>
      </c>
      <c r="Y234">
        <f>COUNTBLANK(metadata!B234:Q234)=COLUMNS(metadata!B234:Q234)</f>
        <v>0</v>
      </c>
      <c r="Z234">
        <v>0</v>
      </c>
      <c r="AB234">
        <f>AND(IF(metadata!B234="",FALSE,TRUE),COUNTIF(metadata!B:B, metadata!B234) = 1,NOT(ISERROR(SUMPRODUCT(SEARCH(MID(metadata!B234,ROW(INDIRECT("1:"&amp;LEN(metadata!B234))), 1),"0123456789abcdefghijklmnopqrstuvwxyzABCDEFGHIJKLMNOPQRSTUVWXYZ.")))))</f>
        <v>0</v>
      </c>
      <c r="AC234">
        <f>OR(AND(IF(metadata!C234="",FALSE,TRUE),OR(exact(metadata!C234,"missing: not collected"),exact(metadata!C234,"missing: not provided"),exact(metadata!C234,"missing: restricted access"))),AND(IF(metadata!C234="",FALSE,TRUE),AND(AND(IFERROR(INT(LEFT(metadata!C234,4))&gt;1900,FALSE),IFERROR(INT(LEFT(metadata!C234,4))&lt;=YEAR(NOW()),FALSE)), OR(MID(metadata!C234,5,1)="", AND(AND(MID(metadata!C234,5,1)="-",IFERROR(INT(MID(metadata!C234,6,1))&gt;=0,FALSE),IFERROR(INT(MID(metadata!C234,6,1))&lt;=1,FALSE),NOT(MID(metadata!C234,7,1)=""),IFERROR(INT(MID(metadata!C234,6,2))&gt;=1,FALSE),IFERROR(INT(MID(metadata!C234,6,2))&lt;=12,FALSE)), OR(MID(metadata!C234,8,1)="", AND(AND(MID(metadata!C234,8,1)="-",IFERROR(INT(MID(metadata!C234,9,1))&gt;=0,FALSE),IFERROR(INT(MID(metadata!C234,9,1))&lt;=3,FALSE),NOT(MID(metadata!C234,10,1)=""),IFERROR(INT(MID(metadata!C234,9,2))&gt;=1,FALSE),IFERROR(INT(MID(metadata!C234,9,2))&lt;=31,FALSE)), OR(MID(metadata!C234,11,1)="", AND(AND(MID(metadata!C234,11,1)=" ",IFERROR(INT(MID(metadata!C234,12,1))&gt;=0,FALSE),IFERROR(INT(MID(metadata!C234,12,1))&lt;=2,FALSE),NOT(MID(metadata!C234,13,1)=""),IFERROR(INT(MID(metadata!C234,12,2))&gt;=0,FALSE),IFERROR(INT(MID(metadata!C234,12,2))&lt;=23,FALSE)), OR(MID(metadata!C234,14,1)="", AND(AND(MID(metadata!C234,14,1)=":",IFERROR(INT(MID(metadata!C234,15,1))&gt;=0,FALSE),IFERROR(INT(MID(metadata!C234,15,1))&lt;=5,FALSE),NOT(MID(metadata!C234,16,1)=""),IFERROR(INT(MID(metadata!C234,15,2))&gt;=0,FALSE),IFERROR(INT(MID(metadata!C234,15,2))&lt;=59,FALSE)), OR(MID(metadata!C234,17,1)="", AND(AND(MID(metadata!C234,17,1)=":",IFERROR(INT(MID(metadata!C234,18,1))&gt;=0,FALSE),IFERROR(INT(MID(metadata!C234,18,1))&lt;=5,FALSE),NOT(MID(metadata!C234,19,1)=""),IFERROR(INT(MID(metadata!C234,18,2))&gt;=0,FALSE),IFERROR(INT(MID(metadata!C234,18,2))&lt;=59,FALSE)), LEN(metadata!C234)&lt;=19)))))))))))))</f>
        <v>0</v>
      </c>
      <c r="AD234">
        <f>IF(metadata!D234="",FALSE,TRUE)</f>
        <v>0</v>
      </c>
      <c r="AE234">
        <f>OR(AND(IF(metadata!E234="",FALSE,TRUE),OR(exact(metadata!E234,"missing: not collected"),exact(metadata!E234,"missing: not provided"))),AND(IF(metadata!E234="",FALSE,TRUE),OR(exact(metadata!E234,"TRUE"),exact(metadata!E234,"FALSE"))))</f>
        <v>0</v>
      </c>
      <c r="AF234">
        <f>IF(metadata!F234="",FALSE,TRUE)</f>
        <v>0</v>
      </c>
      <c r="AG234">
        <f>IF(metadata!G234="",FALSE,TRUE)</f>
        <v>0</v>
      </c>
      <c r="AH234">
        <f>IF(metadata!H234="",FALSE,TRUE)</f>
        <v>0</v>
      </c>
      <c r="AI234">
        <f>OR(AND(IF(metadata!I234="",FALSE,TRUE),OR(exact(metadata!I234,"missing: not collected"),exact(metadata!I234,"missing: not provided"),exact(metadata!I234,"missing: restricted access"))),AND(IF(metadata!I234="",FALSE,TRUE),OR(exact(metadata!I234,"air"),exact(metadata!I234,"built environment"),exact(metadata!I234,"host-associated"),exact(metadata!I234,"human-associated"),exact(metadata!I234,"human-skin"),exact(metadata!I234,"human-oral"),exact(metadata!I234,"human-gut"),exact(metadata!I234,"human-vaginal"),exact(metadata!I234,"microbial mat/biofilm"),exact(metadata!I234,"misc environment"),exact(metadata!I234,"plant-associated"),exact(metadata!I234,"sediment"),exact(metadata!I234,"soil"),exact(metadata!I234,"wastewater/sludge"),exact(metadata!I234,"water"))))</f>
        <v>0</v>
      </c>
      <c r="AJ234">
        <f>IF(metadata!J234="",FALSE,TRUE)</f>
        <v>0</v>
      </c>
      <c r="AK234">
        <f>OR(AND(IF(metadata!K234="",FALSE,TRUE),OR(exact(metadata!K234,"missing: not collected"),exact(metadata!K234,"missing: not provided"),exact(metadata!K234,"missing: restricted access"))),AND(IF(metadata!K234="",FALSE,ISNUMBER(VALUE(metadata!K234))),metadata!K234&gt;=-90.00,metadata!K234&lt;=90.00))</f>
        <v>0</v>
      </c>
      <c r="AL234">
        <f>OR(AND(IF(metadata!L234="",FALSE,TRUE),OR(exact(metadata!L234,"missing: not collected"),exact(metadata!L234,"missing: not provided"),exact(metadata!L234,"missing: restricted access"))),AND(IF(metadata!L234="",FALSE,ISNUMBER(VALUE(metadata!L234))),metadata!L234&gt;=-180.00,metadata!L234&lt;=180.00))</f>
        <v>0</v>
      </c>
      <c r="AM234">
        <f>IF(metadata!M234="",FALSE,TRUE)</f>
        <v>0</v>
      </c>
      <c r="AN234">
        <f>OR(AND(IF(metadata!N234="",FALSE,TRUE),OR(exact(metadata!N234,"missing: not collected"),exact(metadata!N234,"missing: not provided"),exact(metadata!N234,"missing: restricted access"))),AND(IF(metadata!N234="",FALSE,TRUE),OR(exact(metadata!N234,"TRUE"),exact(metadata!N234,"FALSE"))))</f>
        <v>0</v>
      </c>
      <c r="AO234">
        <f>IF(metadata!O234="",FALSE,TRUE)</f>
        <v>0</v>
      </c>
      <c r="AP234">
        <f>OR(AND(IF(metadata!P234="",FALSE,TRUE),OR(exact(metadata!P234,"missing: not collected"),exact(metadata!P234,"missing: not provided"))),AND(IF(metadata!P234="",FALSE,IF(ISERROR(INT(metadata!P234)),FALSE,INT(metadata!P234)=metadata!P234)),metadata!P234&gt;0))</f>
        <v>0</v>
      </c>
      <c r="AQ234">
        <f>IF(metadata!Q234="",FALSE,TRUE)</f>
        <v>0</v>
      </c>
    </row>
    <row r="235" spans="1:43">
      <c r="A235" s="5">
        <f>IF(B235=" "," ",HYPERLINK(CONCATENATE("#metadata!",ADDRESS(INDEX($W$2:$W$1001,MATCH(ROWS($U$2:U235),$U$2:$U$1001,0),0),1)),INDEX($Z$2:$Z$1001,MATCH(ROWS($U$2:U235),$U$2:$U$1001,0),0)))</f>
        <v>0</v>
      </c>
      <c r="B235" s="4">
        <f>IF(OR(INDEX($V$2:$V$1001,MATCH(ROWS($U$2:U235),$U$2:$U$1001,0),1)&gt;=100000,INDEX($AB$1005:$AQ$1005,1,MATCH(COLUMNS($AB$1006:AB1006),$AB$1006:$AQ$1006,0))&gt;=100000), " ",IF(INDEX($AB$2:$AQ$1001,MATCH(ROWS($U$2:U235),$U$2:$U$1001,0),MATCH(COLUMNS($AB$1006:AB1006),$AB$1006:$AQ$1006,0)), HYPERLINK("#",""), HYPERLINK(CONCATENATE("#metadata!", ADDRESS(INDEX($W$2:$W$1001,MATCH(ROWS($U$2:U235),$U$2:$U$1001,0),0), INDEX($AB$1004:$AQ$1004,1,MATCH(COLUMNS($AB$1006:AB1006),$AB$1006:$AQ$1006,0)))),"Fix")))</f>
        <v>0</v>
      </c>
      <c r="C235" s="4">
        <f>IF(OR(INDEX($V$2:$V$1001,MATCH(ROWS($U$2:U235),$U$2:$U$1001,0),1)&gt;=100000,INDEX($AB$1005:$AQ$1005,1,MATCH(COLUMNS($AB$1006:AC1006),$AB$1006:$AQ$1006,0))&gt;=100000), " ",IF(INDEX($AB$2:$AQ$1001,MATCH(ROWS($U$2:U235),$U$2:$U$1001,0),MATCH(COLUMNS($AB$1006:AC1006),$AB$1006:$AQ$1006,0)), HYPERLINK("#",""), HYPERLINK(CONCATENATE("#metadata!", ADDRESS(INDEX($W$2:$W$1001,MATCH(ROWS($U$2:U235),$U$2:$U$1001,0),0), INDEX($AB$1004:$AQ$1004,1,MATCH(COLUMNS($AB$1006:AC1006),$AB$1006:$AQ$1006,0)))),"Fix")))</f>
        <v>0</v>
      </c>
      <c r="D235" s="4">
        <f>IF(OR(INDEX($V$2:$V$1001,MATCH(ROWS($U$2:U235),$U$2:$U$1001,0),1)&gt;=100000,INDEX($AB$1005:$AQ$1005,1,MATCH(COLUMNS($AB$1006:AD1006),$AB$1006:$AQ$1006,0))&gt;=100000), " ",IF(INDEX($AB$2:$AQ$1001,MATCH(ROWS($U$2:U235),$U$2:$U$1001,0),MATCH(COLUMNS($AB$1006:AD1006),$AB$1006:$AQ$1006,0)), HYPERLINK("#",""), HYPERLINK(CONCATENATE("#metadata!", ADDRESS(INDEX($W$2:$W$1001,MATCH(ROWS($U$2:U235),$U$2:$U$1001,0),0), INDEX($AB$1004:$AQ$1004,1,MATCH(COLUMNS($AB$1006:AD1006),$AB$1006:$AQ$1006,0)))),"Fix")))</f>
        <v>0</v>
      </c>
      <c r="E235" s="4">
        <f>IF(OR(INDEX($V$2:$V$1001,MATCH(ROWS($U$2:U235),$U$2:$U$1001,0),1)&gt;=100000,INDEX($AB$1005:$AQ$1005,1,MATCH(COLUMNS($AB$1006:AE1006),$AB$1006:$AQ$1006,0))&gt;=100000), " ",IF(INDEX($AB$2:$AQ$1001,MATCH(ROWS($U$2:U235),$U$2:$U$1001,0),MATCH(COLUMNS($AB$1006:AE1006),$AB$1006:$AQ$1006,0)), HYPERLINK("#",""), HYPERLINK(CONCATENATE("#metadata!", ADDRESS(INDEX($W$2:$W$1001,MATCH(ROWS($U$2:U235),$U$2:$U$1001,0),0), INDEX($AB$1004:$AQ$1004,1,MATCH(COLUMNS($AB$1006:AE1006),$AB$1006:$AQ$1006,0)))),"Fix")))</f>
        <v>0</v>
      </c>
      <c r="F235" s="4">
        <f>IF(OR(INDEX($V$2:$V$1001,MATCH(ROWS($U$2:U235),$U$2:$U$1001,0),1)&gt;=100000,INDEX($AB$1005:$AQ$1005,1,MATCH(COLUMNS($AB$1006:AF1006),$AB$1006:$AQ$1006,0))&gt;=100000), " ",IF(INDEX($AB$2:$AQ$1001,MATCH(ROWS($U$2:U235),$U$2:$U$1001,0),MATCH(COLUMNS($AB$1006:AF1006),$AB$1006:$AQ$1006,0)), HYPERLINK("#",""), HYPERLINK(CONCATENATE("#metadata!", ADDRESS(INDEX($W$2:$W$1001,MATCH(ROWS($U$2:U235),$U$2:$U$1001,0),0), INDEX($AB$1004:$AQ$1004,1,MATCH(COLUMNS($AB$1006:AF1006),$AB$1006:$AQ$1006,0)))),"Fix")))</f>
        <v>0</v>
      </c>
      <c r="G235" s="4">
        <f>IF(OR(INDEX($V$2:$V$1001,MATCH(ROWS($U$2:U235),$U$2:$U$1001,0),1)&gt;=100000,INDEX($AB$1005:$AQ$1005,1,MATCH(COLUMNS($AB$1006:AG1006),$AB$1006:$AQ$1006,0))&gt;=100000), " ",IF(INDEX($AB$2:$AQ$1001,MATCH(ROWS($U$2:U235),$U$2:$U$1001,0),MATCH(COLUMNS($AB$1006:AG1006),$AB$1006:$AQ$1006,0)), HYPERLINK("#",""), HYPERLINK(CONCATENATE("#metadata!", ADDRESS(INDEX($W$2:$W$1001,MATCH(ROWS($U$2:U235),$U$2:$U$1001,0),0), INDEX($AB$1004:$AQ$1004,1,MATCH(COLUMNS($AB$1006:AG1006),$AB$1006:$AQ$1006,0)))),"Fix")))</f>
        <v>0</v>
      </c>
      <c r="H235" s="4">
        <f>IF(OR(INDEX($V$2:$V$1001,MATCH(ROWS($U$2:U235),$U$2:$U$1001,0),1)&gt;=100000,INDEX($AB$1005:$AQ$1005,1,MATCH(COLUMNS($AB$1006:AH1006),$AB$1006:$AQ$1006,0))&gt;=100000), " ",IF(INDEX($AB$2:$AQ$1001,MATCH(ROWS($U$2:U235),$U$2:$U$1001,0),MATCH(COLUMNS($AB$1006:AH1006),$AB$1006:$AQ$1006,0)), HYPERLINK("#",""), HYPERLINK(CONCATENATE("#metadata!", ADDRESS(INDEX($W$2:$W$1001,MATCH(ROWS($U$2:U235),$U$2:$U$1001,0),0), INDEX($AB$1004:$AQ$1004,1,MATCH(COLUMNS($AB$1006:AH1006),$AB$1006:$AQ$1006,0)))),"Fix")))</f>
        <v>0</v>
      </c>
      <c r="I235" s="4">
        <f>IF(OR(INDEX($V$2:$V$1001,MATCH(ROWS($U$2:U235),$U$2:$U$1001,0),1)&gt;=100000,INDEX($AB$1005:$AQ$1005,1,MATCH(COLUMNS($AB$1006:AI1006),$AB$1006:$AQ$1006,0))&gt;=100000), " ",IF(INDEX($AB$2:$AQ$1001,MATCH(ROWS($U$2:U235),$U$2:$U$1001,0),MATCH(COLUMNS($AB$1006:AI1006),$AB$1006:$AQ$1006,0)), HYPERLINK("#",""), HYPERLINK(CONCATENATE("#metadata!", ADDRESS(INDEX($W$2:$W$1001,MATCH(ROWS($U$2:U235),$U$2:$U$1001,0),0), INDEX($AB$1004:$AQ$1004,1,MATCH(COLUMNS($AB$1006:AI1006),$AB$1006:$AQ$1006,0)))),"Fix")))</f>
        <v>0</v>
      </c>
      <c r="J235" s="4">
        <f>IF(OR(INDEX($V$2:$V$1001,MATCH(ROWS($U$2:U235),$U$2:$U$1001,0),1)&gt;=100000,INDEX($AB$1005:$AQ$1005,1,MATCH(COLUMNS($AB$1006:AJ1006),$AB$1006:$AQ$1006,0))&gt;=100000), " ",IF(INDEX($AB$2:$AQ$1001,MATCH(ROWS($U$2:U235),$U$2:$U$1001,0),MATCH(COLUMNS($AB$1006:AJ1006),$AB$1006:$AQ$1006,0)), HYPERLINK("#",""), HYPERLINK(CONCATENATE("#metadata!", ADDRESS(INDEX($W$2:$W$1001,MATCH(ROWS($U$2:U235),$U$2:$U$1001,0),0), INDEX($AB$1004:$AQ$1004,1,MATCH(COLUMNS($AB$1006:AJ1006),$AB$1006:$AQ$1006,0)))),"Fix")))</f>
        <v>0</v>
      </c>
      <c r="K235" s="4">
        <f>IF(OR(INDEX($V$2:$V$1001,MATCH(ROWS($U$2:U235),$U$2:$U$1001,0),1)&gt;=100000,INDEX($AB$1005:$AQ$1005,1,MATCH(COLUMNS($AB$1006:AK1006),$AB$1006:$AQ$1006,0))&gt;=100000), " ",IF(INDEX($AB$2:$AQ$1001,MATCH(ROWS($U$2:U235),$U$2:$U$1001,0),MATCH(COLUMNS($AB$1006:AK1006),$AB$1006:$AQ$1006,0)), HYPERLINK("#",""), HYPERLINK(CONCATENATE("#metadata!", ADDRESS(INDEX($W$2:$W$1001,MATCH(ROWS($U$2:U235),$U$2:$U$1001,0),0), INDEX($AB$1004:$AQ$1004,1,MATCH(COLUMNS($AB$1006:AK1006),$AB$1006:$AQ$1006,0)))),"Fix")))</f>
        <v>0</v>
      </c>
      <c r="L235" s="4">
        <f>IF(OR(INDEX($V$2:$V$1001,MATCH(ROWS($U$2:U235),$U$2:$U$1001,0),1)&gt;=100000,INDEX($AB$1005:$AQ$1005,1,MATCH(COLUMNS($AB$1006:AL1006),$AB$1006:$AQ$1006,0))&gt;=100000), " ",IF(INDEX($AB$2:$AQ$1001,MATCH(ROWS($U$2:U235),$U$2:$U$1001,0),MATCH(COLUMNS($AB$1006:AL1006),$AB$1006:$AQ$1006,0)), HYPERLINK("#",""), HYPERLINK(CONCATENATE("#metadata!", ADDRESS(INDEX($W$2:$W$1001,MATCH(ROWS($U$2:U235),$U$2:$U$1001,0),0), INDEX($AB$1004:$AQ$1004,1,MATCH(COLUMNS($AB$1006:AL1006),$AB$1006:$AQ$1006,0)))),"Fix")))</f>
        <v>0</v>
      </c>
      <c r="M235" s="4">
        <f>IF(OR(INDEX($V$2:$V$1001,MATCH(ROWS($U$2:U235),$U$2:$U$1001,0),1)&gt;=100000,INDEX($AB$1005:$AQ$1005,1,MATCH(COLUMNS($AB$1006:AM1006),$AB$1006:$AQ$1006,0))&gt;=100000), " ",IF(INDEX($AB$2:$AQ$1001,MATCH(ROWS($U$2:U235),$U$2:$U$1001,0),MATCH(COLUMNS($AB$1006:AM1006),$AB$1006:$AQ$1006,0)), HYPERLINK("#",""), HYPERLINK(CONCATENATE("#metadata!", ADDRESS(INDEX($W$2:$W$1001,MATCH(ROWS($U$2:U235),$U$2:$U$1001,0),0), INDEX($AB$1004:$AQ$1004,1,MATCH(COLUMNS($AB$1006:AM1006),$AB$1006:$AQ$1006,0)))),"Fix")))</f>
        <v>0</v>
      </c>
      <c r="N235" s="4">
        <f>IF(OR(INDEX($V$2:$V$1001,MATCH(ROWS($U$2:U235),$U$2:$U$1001,0),1)&gt;=100000,INDEX($AB$1005:$AQ$1005,1,MATCH(COLUMNS($AB$1006:AN1006),$AB$1006:$AQ$1006,0))&gt;=100000), " ",IF(INDEX($AB$2:$AQ$1001,MATCH(ROWS($U$2:U235),$U$2:$U$1001,0),MATCH(COLUMNS($AB$1006:AN1006),$AB$1006:$AQ$1006,0)), HYPERLINK("#",""), HYPERLINK(CONCATENATE("#metadata!", ADDRESS(INDEX($W$2:$W$1001,MATCH(ROWS($U$2:U235),$U$2:$U$1001,0),0), INDEX($AB$1004:$AQ$1004,1,MATCH(COLUMNS($AB$1006:AN1006),$AB$1006:$AQ$1006,0)))),"Fix")))</f>
        <v>0</v>
      </c>
      <c r="O235" s="4">
        <f>IF(OR(INDEX($V$2:$V$1001,MATCH(ROWS($U$2:U235),$U$2:$U$1001,0),1)&gt;=100000,INDEX($AB$1005:$AQ$1005,1,MATCH(COLUMNS($AB$1006:AO1006),$AB$1006:$AQ$1006,0))&gt;=100000), " ",IF(INDEX($AB$2:$AQ$1001,MATCH(ROWS($U$2:U235),$U$2:$U$1001,0),MATCH(COLUMNS($AB$1006:AO1006),$AB$1006:$AQ$1006,0)), HYPERLINK("#",""), HYPERLINK(CONCATENATE("#metadata!", ADDRESS(INDEX($W$2:$W$1001,MATCH(ROWS($U$2:U235),$U$2:$U$1001,0),0), INDEX($AB$1004:$AQ$1004,1,MATCH(COLUMNS($AB$1006:AO1006),$AB$1006:$AQ$1006,0)))),"Fix")))</f>
        <v>0</v>
      </c>
      <c r="P235" s="4">
        <f>IF(OR(INDEX($V$2:$V$1001,MATCH(ROWS($U$2:U235),$U$2:$U$1001,0),1)&gt;=100000,INDEX($AB$1005:$AQ$1005,1,MATCH(COLUMNS($AB$1006:AP1006),$AB$1006:$AQ$1006,0))&gt;=100000), " ",IF(INDEX($AB$2:$AQ$1001,MATCH(ROWS($U$2:U235),$U$2:$U$1001,0),MATCH(COLUMNS($AB$1006:AP1006),$AB$1006:$AQ$1006,0)), HYPERLINK("#",""), HYPERLINK(CONCATENATE("#metadata!", ADDRESS(INDEX($W$2:$W$1001,MATCH(ROWS($U$2:U235),$U$2:$U$1001,0),0), INDEX($AB$1004:$AQ$1004,1,MATCH(COLUMNS($AB$1006:AP1006),$AB$1006:$AQ$1006,0)))),"Fix")))</f>
        <v>0</v>
      </c>
      <c r="Q235" s="4">
        <f>IF(OR(INDEX($V$2:$V$1001,MATCH(ROWS($U$2:U235),$U$2:$U$1001,0),1)&gt;=100000,INDEX($AB$1005:$AQ$1005,1,MATCH(COLUMNS($AB$1006:AQ1006),$AB$1006:$AQ$1006,0))&gt;=100000), " ",IF(INDEX($AB$2:$AQ$1001,MATCH(ROWS($U$2:U235),$U$2:$U$1001,0),MATCH(COLUMNS($AB$1006:AQ1006),$AB$1006:$AQ$1006,0)), HYPERLINK("#",""), HYPERLINK(CONCATENATE("#metadata!", ADDRESS(INDEX($W$2:$W$1001,MATCH(ROWS($U$2:U235),$U$2:$U$1001,0),0), INDEX($AB$1004:$AQ$1004,1,MATCH(COLUMNS($AB$1006:AQ1006),$AB$1006:$AQ$1006,0)))),"Fix")))</f>
        <v>0</v>
      </c>
      <c r="U235">
        <v>0</v>
      </c>
      <c r="V235">
        <v>0</v>
      </c>
      <c r="W235">
        <v>0</v>
      </c>
      <c r="X235">
        <f>IF(Y235,TRUE,AND(AB235:AQ235))</f>
        <v>0</v>
      </c>
      <c r="Y235">
        <f>COUNTBLANK(metadata!B235:Q235)=COLUMNS(metadata!B235:Q235)</f>
        <v>0</v>
      </c>
      <c r="Z235">
        <v>0</v>
      </c>
      <c r="AB235">
        <f>AND(IF(metadata!B235="",FALSE,TRUE),COUNTIF(metadata!B:B, metadata!B235) = 1,NOT(ISERROR(SUMPRODUCT(SEARCH(MID(metadata!B235,ROW(INDIRECT("1:"&amp;LEN(metadata!B235))), 1),"0123456789abcdefghijklmnopqrstuvwxyzABCDEFGHIJKLMNOPQRSTUVWXYZ.")))))</f>
        <v>0</v>
      </c>
      <c r="AC235">
        <f>OR(AND(IF(metadata!C235="",FALSE,TRUE),OR(exact(metadata!C235,"missing: not collected"),exact(metadata!C235,"missing: not provided"),exact(metadata!C235,"missing: restricted access"))),AND(IF(metadata!C235="",FALSE,TRUE),AND(AND(IFERROR(INT(LEFT(metadata!C235,4))&gt;1900,FALSE),IFERROR(INT(LEFT(metadata!C235,4))&lt;=YEAR(NOW()),FALSE)), OR(MID(metadata!C235,5,1)="", AND(AND(MID(metadata!C235,5,1)="-",IFERROR(INT(MID(metadata!C235,6,1))&gt;=0,FALSE),IFERROR(INT(MID(metadata!C235,6,1))&lt;=1,FALSE),NOT(MID(metadata!C235,7,1)=""),IFERROR(INT(MID(metadata!C235,6,2))&gt;=1,FALSE),IFERROR(INT(MID(metadata!C235,6,2))&lt;=12,FALSE)), OR(MID(metadata!C235,8,1)="", AND(AND(MID(metadata!C235,8,1)="-",IFERROR(INT(MID(metadata!C235,9,1))&gt;=0,FALSE),IFERROR(INT(MID(metadata!C235,9,1))&lt;=3,FALSE),NOT(MID(metadata!C235,10,1)=""),IFERROR(INT(MID(metadata!C235,9,2))&gt;=1,FALSE),IFERROR(INT(MID(metadata!C235,9,2))&lt;=31,FALSE)), OR(MID(metadata!C235,11,1)="", AND(AND(MID(metadata!C235,11,1)=" ",IFERROR(INT(MID(metadata!C235,12,1))&gt;=0,FALSE),IFERROR(INT(MID(metadata!C235,12,1))&lt;=2,FALSE),NOT(MID(metadata!C235,13,1)=""),IFERROR(INT(MID(metadata!C235,12,2))&gt;=0,FALSE),IFERROR(INT(MID(metadata!C235,12,2))&lt;=23,FALSE)), OR(MID(metadata!C235,14,1)="", AND(AND(MID(metadata!C235,14,1)=":",IFERROR(INT(MID(metadata!C235,15,1))&gt;=0,FALSE),IFERROR(INT(MID(metadata!C235,15,1))&lt;=5,FALSE),NOT(MID(metadata!C235,16,1)=""),IFERROR(INT(MID(metadata!C235,15,2))&gt;=0,FALSE),IFERROR(INT(MID(metadata!C235,15,2))&lt;=59,FALSE)), OR(MID(metadata!C235,17,1)="", AND(AND(MID(metadata!C235,17,1)=":",IFERROR(INT(MID(metadata!C235,18,1))&gt;=0,FALSE),IFERROR(INT(MID(metadata!C235,18,1))&lt;=5,FALSE),NOT(MID(metadata!C235,19,1)=""),IFERROR(INT(MID(metadata!C235,18,2))&gt;=0,FALSE),IFERROR(INT(MID(metadata!C235,18,2))&lt;=59,FALSE)), LEN(metadata!C235)&lt;=19)))))))))))))</f>
        <v>0</v>
      </c>
      <c r="AD235">
        <f>IF(metadata!D235="",FALSE,TRUE)</f>
        <v>0</v>
      </c>
      <c r="AE235">
        <f>OR(AND(IF(metadata!E235="",FALSE,TRUE),OR(exact(metadata!E235,"missing: not collected"),exact(metadata!E235,"missing: not provided"))),AND(IF(metadata!E235="",FALSE,TRUE),OR(exact(metadata!E235,"TRUE"),exact(metadata!E235,"FALSE"))))</f>
        <v>0</v>
      </c>
      <c r="AF235">
        <f>IF(metadata!F235="",FALSE,TRUE)</f>
        <v>0</v>
      </c>
      <c r="AG235">
        <f>IF(metadata!G235="",FALSE,TRUE)</f>
        <v>0</v>
      </c>
      <c r="AH235">
        <f>IF(metadata!H235="",FALSE,TRUE)</f>
        <v>0</v>
      </c>
      <c r="AI235">
        <f>OR(AND(IF(metadata!I235="",FALSE,TRUE),OR(exact(metadata!I235,"missing: not collected"),exact(metadata!I235,"missing: not provided"),exact(metadata!I235,"missing: restricted access"))),AND(IF(metadata!I235="",FALSE,TRUE),OR(exact(metadata!I235,"air"),exact(metadata!I235,"built environment"),exact(metadata!I235,"host-associated"),exact(metadata!I235,"human-associated"),exact(metadata!I235,"human-skin"),exact(metadata!I235,"human-oral"),exact(metadata!I235,"human-gut"),exact(metadata!I235,"human-vaginal"),exact(metadata!I235,"microbial mat/biofilm"),exact(metadata!I235,"misc environment"),exact(metadata!I235,"plant-associated"),exact(metadata!I235,"sediment"),exact(metadata!I235,"soil"),exact(metadata!I235,"wastewater/sludge"),exact(metadata!I235,"water"))))</f>
        <v>0</v>
      </c>
      <c r="AJ235">
        <f>IF(metadata!J235="",FALSE,TRUE)</f>
        <v>0</v>
      </c>
      <c r="AK235">
        <f>OR(AND(IF(metadata!K235="",FALSE,TRUE),OR(exact(metadata!K235,"missing: not collected"),exact(metadata!K235,"missing: not provided"),exact(metadata!K235,"missing: restricted access"))),AND(IF(metadata!K235="",FALSE,ISNUMBER(VALUE(metadata!K235))),metadata!K235&gt;=-90.00,metadata!K235&lt;=90.00))</f>
        <v>0</v>
      </c>
      <c r="AL235">
        <f>OR(AND(IF(metadata!L235="",FALSE,TRUE),OR(exact(metadata!L235,"missing: not collected"),exact(metadata!L235,"missing: not provided"),exact(metadata!L235,"missing: restricted access"))),AND(IF(metadata!L235="",FALSE,ISNUMBER(VALUE(metadata!L235))),metadata!L235&gt;=-180.00,metadata!L235&lt;=180.00))</f>
        <v>0</v>
      </c>
      <c r="AM235">
        <f>IF(metadata!M235="",FALSE,TRUE)</f>
        <v>0</v>
      </c>
      <c r="AN235">
        <f>OR(AND(IF(metadata!N235="",FALSE,TRUE),OR(exact(metadata!N235,"missing: not collected"),exact(metadata!N235,"missing: not provided"),exact(metadata!N235,"missing: restricted access"))),AND(IF(metadata!N235="",FALSE,TRUE),OR(exact(metadata!N235,"TRUE"),exact(metadata!N235,"FALSE"))))</f>
        <v>0</v>
      </c>
      <c r="AO235">
        <f>IF(metadata!O235="",FALSE,TRUE)</f>
        <v>0</v>
      </c>
      <c r="AP235">
        <f>OR(AND(IF(metadata!P235="",FALSE,TRUE),OR(exact(metadata!P235,"missing: not collected"),exact(metadata!P235,"missing: not provided"))),AND(IF(metadata!P235="",FALSE,IF(ISERROR(INT(metadata!P235)),FALSE,INT(metadata!P235)=metadata!P235)),metadata!P235&gt;0))</f>
        <v>0</v>
      </c>
      <c r="AQ235">
        <f>IF(metadata!Q235="",FALSE,TRUE)</f>
        <v>0</v>
      </c>
    </row>
    <row r="236" spans="1:43">
      <c r="A236" s="5">
        <f>IF(B236=" "," ",HYPERLINK(CONCATENATE("#metadata!",ADDRESS(INDEX($W$2:$W$1001,MATCH(ROWS($U$2:U236),$U$2:$U$1001,0),0),1)),INDEX($Z$2:$Z$1001,MATCH(ROWS($U$2:U236),$U$2:$U$1001,0),0)))</f>
        <v>0</v>
      </c>
      <c r="B236" s="4">
        <f>IF(OR(INDEX($V$2:$V$1001,MATCH(ROWS($U$2:U236),$U$2:$U$1001,0),1)&gt;=100000,INDEX($AB$1005:$AQ$1005,1,MATCH(COLUMNS($AB$1006:AB1006),$AB$1006:$AQ$1006,0))&gt;=100000), " ",IF(INDEX($AB$2:$AQ$1001,MATCH(ROWS($U$2:U236),$U$2:$U$1001,0),MATCH(COLUMNS($AB$1006:AB1006),$AB$1006:$AQ$1006,0)), HYPERLINK("#",""), HYPERLINK(CONCATENATE("#metadata!", ADDRESS(INDEX($W$2:$W$1001,MATCH(ROWS($U$2:U236),$U$2:$U$1001,0),0), INDEX($AB$1004:$AQ$1004,1,MATCH(COLUMNS($AB$1006:AB1006),$AB$1006:$AQ$1006,0)))),"Fix")))</f>
        <v>0</v>
      </c>
      <c r="C236" s="4">
        <f>IF(OR(INDEX($V$2:$V$1001,MATCH(ROWS($U$2:U236),$U$2:$U$1001,0),1)&gt;=100000,INDEX($AB$1005:$AQ$1005,1,MATCH(COLUMNS($AB$1006:AC1006),$AB$1006:$AQ$1006,0))&gt;=100000), " ",IF(INDEX($AB$2:$AQ$1001,MATCH(ROWS($U$2:U236),$U$2:$U$1001,0),MATCH(COLUMNS($AB$1006:AC1006),$AB$1006:$AQ$1006,0)), HYPERLINK("#",""), HYPERLINK(CONCATENATE("#metadata!", ADDRESS(INDEX($W$2:$W$1001,MATCH(ROWS($U$2:U236),$U$2:$U$1001,0),0), INDEX($AB$1004:$AQ$1004,1,MATCH(COLUMNS($AB$1006:AC1006),$AB$1006:$AQ$1006,0)))),"Fix")))</f>
        <v>0</v>
      </c>
      <c r="D236" s="4">
        <f>IF(OR(INDEX($V$2:$V$1001,MATCH(ROWS($U$2:U236),$U$2:$U$1001,0),1)&gt;=100000,INDEX($AB$1005:$AQ$1005,1,MATCH(COLUMNS($AB$1006:AD1006),$AB$1006:$AQ$1006,0))&gt;=100000), " ",IF(INDEX($AB$2:$AQ$1001,MATCH(ROWS($U$2:U236),$U$2:$U$1001,0),MATCH(COLUMNS($AB$1006:AD1006),$AB$1006:$AQ$1006,0)), HYPERLINK("#",""), HYPERLINK(CONCATENATE("#metadata!", ADDRESS(INDEX($W$2:$W$1001,MATCH(ROWS($U$2:U236),$U$2:$U$1001,0),0), INDEX($AB$1004:$AQ$1004,1,MATCH(COLUMNS($AB$1006:AD1006),$AB$1006:$AQ$1006,0)))),"Fix")))</f>
        <v>0</v>
      </c>
      <c r="E236" s="4">
        <f>IF(OR(INDEX($V$2:$V$1001,MATCH(ROWS($U$2:U236),$U$2:$U$1001,0),1)&gt;=100000,INDEX($AB$1005:$AQ$1005,1,MATCH(COLUMNS($AB$1006:AE1006),$AB$1006:$AQ$1006,0))&gt;=100000), " ",IF(INDEX($AB$2:$AQ$1001,MATCH(ROWS($U$2:U236),$U$2:$U$1001,0),MATCH(COLUMNS($AB$1006:AE1006),$AB$1006:$AQ$1006,0)), HYPERLINK("#",""), HYPERLINK(CONCATENATE("#metadata!", ADDRESS(INDEX($W$2:$W$1001,MATCH(ROWS($U$2:U236),$U$2:$U$1001,0),0), INDEX($AB$1004:$AQ$1004,1,MATCH(COLUMNS($AB$1006:AE1006),$AB$1006:$AQ$1006,0)))),"Fix")))</f>
        <v>0</v>
      </c>
      <c r="F236" s="4">
        <f>IF(OR(INDEX($V$2:$V$1001,MATCH(ROWS($U$2:U236),$U$2:$U$1001,0),1)&gt;=100000,INDEX($AB$1005:$AQ$1005,1,MATCH(COLUMNS($AB$1006:AF1006),$AB$1006:$AQ$1006,0))&gt;=100000), " ",IF(INDEX($AB$2:$AQ$1001,MATCH(ROWS($U$2:U236),$U$2:$U$1001,0),MATCH(COLUMNS($AB$1006:AF1006),$AB$1006:$AQ$1006,0)), HYPERLINK("#",""), HYPERLINK(CONCATENATE("#metadata!", ADDRESS(INDEX($W$2:$W$1001,MATCH(ROWS($U$2:U236),$U$2:$U$1001,0),0), INDEX($AB$1004:$AQ$1004,1,MATCH(COLUMNS($AB$1006:AF1006),$AB$1006:$AQ$1006,0)))),"Fix")))</f>
        <v>0</v>
      </c>
      <c r="G236" s="4">
        <f>IF(OR(INDEX($V$2:$V$1001,MATCH(ROWS($U$2:U236),$U$2:$U$1001,0),1)&gt;=100000,INDEX($AB$1005:$AQ$1005,1,MATCH(COLUMNS($AB$1006:AG1006),$AB$1006:$AQ$1006,0))&gt;=100000), " ",IF(INDEX($AB$2:$AQ$1001,MATCH(ROWS($U$2:U236),$U$2:$U$1001,0),MATCH(COLUMNS($AB$1006:AG1006),$AB$1006:$AQ$1006,0)), HYPERLINK("#",""), HYPERLINK(CONCATENATE("#metadata!", ADDRESS(INDEX($W$2:$W$1001,MATCH(ROWS($U$2:U236),$U$2:$U$1001,0),0), INDEX($AB$1004:$AQ$1004,1,MATCH(COLUMNS($AB$1006:AG1006),$AB$1006:$AQ$1006,0)))),"Fix")))</f>
        <v>0</v>
      </c>
      <c r="H236" s="4">
        <f>IF(OR(INDEX($V$2:$V$1001,MATCH(ROWS($U$2:U236),$U$2:$U$1001,0),1)&gt;=100000,INDEX($AB$1005:$AQ$1005,1,MATCH(COLUMNS($AB$1006:AH1006),$AB$1006:$AQ$1006,0))&gt;=100000), " ",IF(INDEX($AB$2:$AQ$1001,MATCH(ROWS($U$2:U236),$U$2:$U$1001,0),MATCH(COLUMNS($AB$1006:AH1006),$AB$1006:$AQ$1006,0)), HYPERLINK("#",""), HYPERLINK(CONCATENATE("#metadata!", ADDRESS(INDEX($W$2:$W$1001,MATCH(ROWS($U$2:U236),$U$2:$U$1001,0),0), INDEX($AB$1004:$AQ$1004,1,MATCH(COLUMNS($AB$1006:AH1006),$AB$1006:$AQ$1006,0)))),"Fix")))</f>
        <v>0</v>
      </c>
      <c r="I236" s="4">
        <f>IF(OR(INDEX($V$2:$V$1001,MATCH(ROWS($U$2:U236),$U$2:$U$1001,0),1)&gt;=100000,INDEX($AB$1005:$AQ$1005,1,MATCH(COLUMNS($AB$1006:AI1006),$AB$1006:$AQ$1006,0))&gt;=100000), " ",IF(INDEX($AB$2:$AQ$1001,MATCH(ROWS($U$2:U236),$U$2:$U$1001,0),MATCH(COLUMNS($AB$1006:AI1006),$AB$1006:$AQ$1006,0)), HYPERLINK("#",""), HYPERLINK(CONCATENATE("#metadata!", ADDRESS(INDEX($W$2:$W$1001,MATCH(ROWS($U$2:U236),$U$2:$U$1001,0),0), INDEX($AB$1004:$AQ$1004,1,MATCH(COLUMNS($AB$1006:AI1006),$AB$1006:$AQ$1006,0)))),"Fix")))</f>
        <v>0</v>
      </c>
      <c r="J236" s="4">
        <f>IF(OR(INDEX($V$2:$V$1001,MATCH(ROWS($U$2:U236),$U$2:$U$1001,0),1)&gt;=100000,INDEX($AB$1005:$AQ$1005,1,MATCH(COLUMNS($AB$1006:AJ1006),$AB$1006:$AQ$1006,0))&gt;=100000), " ",IF(INDEX($AB$2:$AQ$1001,MATCH(ROWS($U$2:U236),$U$2:$U$1001,0),MATCH(COLUMNS($AB$1006:AJ1006),$AB$1006:$AQ$1006,0)), HYPERLINK("#",""), HYPERLINK(CONCATENATE("#metadata!", ADDRESS(INDEX($W$2:$W$1001,MATCH(ROWS($U$2:U236),$U$2:$U$1001,0),0), INDEX($AB$1004:$AQ$1004,1,MATCH(COLUMNS($AB$1006:AJ1006),$AB$1006:$AQ$1006,0)))),"Fix")))</f>
        <v>0</v>
      </c>
      <c r="K236" s="4">
        <f>IF(OR(INDEX($V$2:$V$1001,MATCH(ROWS($U$2:U236),$U$2:$U$1001,0),1)&gt;=100000,INDEX($AB$1005:$AQ$1005,1,MATCH(COLUMNS($AB$1006:AK1006),$AB$1006:$AQ$1006,0))&gt;=100000), " ",IF(INDEX($AB$2:$AQ$1001,MATCH(ROWS($U$2:U236),$U$2:$U$1001,0),MATCH(COLUMNS($AB$1006:AK1006),$AB$1006:$AQ$1006,0)), HYPERLINK("#",""), HYPERLINK(CONCATENATE("#metadata!", ADDRESS(INDEX($W$2:$W$1001,MATCH(ROWS($U$2:U236),$U$2:$U$1001,0),0), INDEX($AB$1004:$AQ$1004,1,MATCH(COLUMNS($AB$1006:AK1006),$AB$1006:$AQ$1006,0)))),"Fix")))</f>
        <v>0</v>
      </c>
      <c r="L236" s="4">
        <f>IF(OR(INDEX($V$2:$V$1001,MATCH(ROWS($U$2:U236),$U$2:$U$1001,0),1)&gt;=100000,INDEX($AB$1005:$AQ$1005,1,MATCH(COLUMNS($AB$1006:AL1006),$AB$1006:$AQ$1006,0))&gt;=100000), " ",IF(INDEX($AB$2:$AQ$1001,MATCH(ROWS($U$2:U236),$U$2:$U$1001,0),MATCH(COLUMNS($AB$1006:AL1006),$AB$1006:$AQ$1006,0)), HYPERLINK("#",""), HYPERLINK(CONCATENATE("#metadata!", ADDRESS(INDEX($W$2:$W$1001,MATCH(ROWS($U$2:U236),$U$2:$U$1001,0),0), INDEX($AB$1004:$AQ$1004,1,MATCH(COLUMNS($AB$1006:AL1006),$AB$1006:$AQ$1006,0)))),"Fix")))</f>
        <v>0</v>
      </c>
      <c r="M236" s="4">
        <f>IF(OR(INDEX($V$2:$V$1001,MATCH(ROWS($U$2:U236),$U$2:$U$1001,0),1)&gt;=100000,INDEX($AB$1005:$AQ$1005,1,MATCH(COLUMNS($AB$1006:AM1006),$AB$1006:$AQ$1006,0))&gt;=100000), " ",IF(INDEX($AB$2:$AQ$1001,MATCH(ROWS($U$2:U236),$U$2:$U$1001,0),MATCH(COLUMNS($AB$1006:AM1006),$AB$1006:$AQ$1006,0)), HYPERLINK("#",""), HYPERLINK(CONCATENATE("#metadata!", ADDRESS(INDEX($W$2:$W$1001,MATCH(ROWS($U$2:U236),$U$2:$U$1001,0),0), INDEX($AB$1004:$AQ$1004,1,MATCH(COLUMNS($AB$1006:AM1006),$AB$1006:$AQ$1006,0)))),"Fix")))</f>
        <v>0</v>
      </c>
      <c r="N236" s="4">
        <f>IF(OR(INDEX($V$2:$V$1001,MATCH(ROWS($U$2:U236),$U$2:$U$1001,0),1)&gt;=100000,INDEX($AB$1005:$AQ$1005,1,MATCH(COLUMNS($AB$1006:AN1006),$AB$1006:$AQ$1006,0))&gt;=100000), " ",IF(INDEX($AB$2:$AQ$1001,MATCH(ROWS($U$2:U236),$U$2:$U$1001,0),MATCH(COLUMNS($AB$1006:AN1006),$AB$1006:$AQ$1006,0)), HYPERLINK("#",""), HYPERLINK(CONCATENATE("#metadata!", ADDRESS(INDEX($W$2:$W$1001,MATCH(ROWS($U$2:U236),$U$2:$U$1001,0),0), INDEX($AB$1004:$AQ$1004,1,MATCH(COLUMNS($AB$1006:AN1006),$AB$1006:$AQ$1006,0)))),"Fix")))</f>
        <v>0</v>
      </c>
      <c r="O236" s="4">
        <f>IF(OR(INDEX($V$2:$V$1001,MATCH(ROWS($U$2:U236),$U$2:$U$1001,0),1)&gt;=100000,INDEX($AB$1005:$AQ$1005,1,MATCH(COLUMNS($AB$1006:AO1006),$AB$1006:$AQ$1006,0))&gt;=100000), " ",IF(INDEX($AB$2:$AQ$1001,MATCH(ROWS($U$2:U236),$U$2:$U$1001,0),MATCH(COLUMNS($AB$1006:AO1006),$AB$1006:$AQ$1006,0)), HYPERLINK("#",""), HYPERLINK(CONCATENATE("#metadata!", ADDRESS(INDEX($W$2:$W$1001,MATCH(ROWS($U$2:U236),$U$2:$U$1001,0),0), INDEX($AB$1004:$AQ$1004,1,MATCH(COLUMNS($AB$1006:AO1006),$AB$1006:$AQ$1006,0)))),"Fix")))</f>
        <v>0</v>
      </c>
      <c r="P236" s="4">
        <f>IF(OR(INDEX($V$2:$V$1001,MATCH(ROWS($U$2:U236),$U$2:$U$1001,0),1)&gt;=100000,INDEX($AB$1005:$AQ$1005,1,MATCH(COLUMNS($AB$1006:AP1006),$AB$1006:$AQ$1006,0))&gt;=100000), " ",IF(INDEX($AB$2:$AQ$1001,MATCH(ROWS($U$2:U236),$U$2:$U$1001,0),MATCH(COLUMNS($AB$1006:AP1006),$AB$1006:$AQ$1006,0)), HYPERLINK("#",""), HYPERLINK(CONCATENATE("#metadata!", ADDRESS(INDEX($W$2:$W$1001,MATCH(ROWS($U$2:U236),$U$2:$U$1001,0),0), INDEX($AB$1004:$AQ$1004,1,MATCH(COLUMNS($AB$1006:AP1006),$AB$1006:$AQ$1006,0)))),"Fix")))</f>
        <v>0</v>
      </c>
      <c r="Q236" s="4">
        <f>IF(OR(INDEX($V$2:$V$1001,MATCH(ROWS($U$2:U236),$U$2:$U$1001,0),1)&gt;=100000,INDEX($AB$1005:$AQ$1005,1,MATCH(COLUMNS($AB$1006:AQ1006),$AB$1006:$AQ$1006,0))&gt;=100000), " ",IF(INDEX($AB$2:$AQ$1001,MATCH(ROWS($U$2:U236),$U$2:$U$1001,0),MATCH(COLUMNS($AB$1006:AQ1006),$AB$1006:$AQ$1006,0)), HYPERLINK("#",""), HYPERLINK(CONCATENATE("#metadata!", ADDRESS(INDEX($W$2:$W$1001,MATCH(ROWS($U$2:U236),$U$2:$U$1001,0),0), INDEX($AB$1004:$AQ$1004,1,MATCH(COLUMNS($AB$1006:AQ1006),$AB$1006:$AQ$1006,0)))),"Fix")))</f>
        <v>0</v>
      </c>
      <c r="U236">
        <v>0</v>
      </c>
      <c r="V236">
        <v>0</v>
      </c>
      <c r="W236">
        <v>0</v>
      </c>
      <c r="X236">
        <f>IF(Y236,TRUE,AND(AB236:AQ236))</f>
        <v>0</v>
      </c>
      <c r="Y236">
        <f>COUNTBLANK(metadata!B236:Q236)=COLUMNS(metadata!B236:Q236)</f>
        <v>0</v>
      </c>
      <c r="Z236">
        <v>0</v>
      </c>
      <c r="AB236">
        <f>AND(IF(metadata!B236="",FALSE,TRUE),COUNTIF(metadata!B:B, metadata!B236) = 1,NOT(ISERROR(SUMPRODUCT(SEARCH(MID(metadata!B236,ROW(INDIRECT("1:"&amp;LEN(metadata!B236))), 1),"0123456789abcdefghijklmnopqrstuvwxyzABCDEFGHIJKLMNOPQRSTUVWXYZ.")))))</f>
        <v>0</v>
      </c>
      <c r="AC236">
        <f>OR(AND(IF(metadata!C236="",FALSE,TRUE),OR(exact(metadata!C236,"missing: not collected"),exact(metadata!C236,"missing: not provided"),exact(metadata!C236,"missing: restricted access"))),AND(IF(metadata!C236="",FALSE,TRUE),AND(AND(IFERROR(INT(LEFT(metadata!C236,4))&gt;1900,FALSE),IFERROR(INT(LEFT(metadata!C236,4))&lt;=YEAR(NOW()),FALSE)), OR(MID(metadata!C236,5,1)="", AND(AND(MID(metadata!C236,5,1)="-",IFERROR(INT(MID(metadata!C236,6,1))&gt;=0,FALSE),IFERROR(INT(MID(metadata!C236,6,1))&lt;=1,FALSE),NOT(MID(metadata!C236,7,1)=""),IFERROR(INT(MID(metadata!C236,6,2))&gt;=1,FALSE),IFERROR(INT(MID(metadata!C236,6,2))&lt;=12,FALSE)), OR(MID(metadata!C236,8,1)="", AND(AND(MID(metadata!C236,8,1)="-",IFERROR(INT(MID(metadata!C236,9,1))&gt;=0,FALSE),IFERROR(INT(MID(metadata!C236,9,1))&lt;=3,FALSE),NOT(MID(metadata!C236,10,1)=""),IFERROR(INT(MID(metadata!C236,9,2))&gt;=1,FALSE),IFERROR(INT(MID(metadata!C236,9,2))&lt;=31,FALSE)), OR(MID(metadata!C236,11,1)="", AND(AND(MID(metadata!C236,11,1)=" ",IFERROR(INT(MID(metadata!C236,12,1))&gt;=0,FALSE),IFERROR(INT(MID(metadata!C236,12,1))&lt;=2,FALSE),NOT(MID(metadata!C236,13,1)=""),IFERROR(INT(MID(metadata!C236,12,2))&gt;=0,FALSE),IFERROR(INT(MID(metadata!C236,12,2))&lt;=23,FALSE)), OR(MID(metadata!C236,14,1)="", AND(AND(MID(metadata!C236,14,1)=":",IFERROR(INT(MID(metadata!C236,15,1))&gt;=0,FALSE),IFERROR(INT(MID(metadata!C236,15,1))&lt;=5,FALSE),NOT(MID(metadata!C236,16,1)=""),IFERROR(INT(MID(metadata!C236,15,2))&gt;=0,FALSE),IFERROR(INT(MID(metadata!C236,15,2))&lt;=59,FALSE)), OR(MID(metadata!C236,17,1)="", AND(AND(MID(metadata!C236,17,1)=":",IFERROR(INT(MID(metadata!C236,18,1))&gt;=0,FALSE),IFERROR(INT(MID(metadata!C236,18,1))&lt;=5,FALSE),NOT(MID(metadata!C236,19,1)=""),IFERROR(INT(MID(metadata!C236,18,2))&gt;=0,FALSE),IFERROR(INT(MID(metadata!C236,18,2))&lt;=59,FALSE)), LEN(metadata!C236)&lt;=19)))))))))))))</f>
        <v>0</v>
      </c>
      <c r="AD236">
        <f>IF(metadata!D236="",FALSE,TRUE)</f>
        <v>0</v>
      </c>
      <c r="AE236">
        <f>OR(AND(IF(metadata!E236="",FALSE,TRUE),OR(exact(metadata!E236,"missing: not collected"),exact(metadata!E236,"missing: not provided"))),AND(IF(metadata!E236="",FALSE,TRUE),OR(exact(metadata!E236,"TRUE"),exact(metadata!E236,"FALSE"))))</f>
        <v>0</v>
      </c>
      <c r="AF236">
        <f>IF(metadata!F236="",FALSE,TRUE)</f>
        <v>0</v>
      </c>
      <c r="AG236">
        <f>IF(metadata!G236="",FALSE,TRUE)</f>
        <v>0</v>
      </c>
      <c r="AH236">
        <f>IF(metadata!H236="",FALSE,TRUE)</f>
        <v>0</v>
      </c>
      <c r="AI236">
        <f>OR(AND(IF(metadata!I236="",FALSE,TRUE),OR(exact(metadata!I236,"missing: not collected"),exact(metadata!I236,"missing: not provided"),exact(metadata!I236,"missing: restricted access"))),AND(IF(metadata!I236="",FALSE,TRUE),OR(exact(metadata!I236,"air"),exact(metadata!I236,"built environment"),exact(metadata!I236,"host-associated"),exact(metadata!I236,"human-associated"),exact(metadata!I236,"human-skin"),exact(metadata!I236,"human-oral"),exact(metadata!I236,"human-gut"),exact(metadata!I236,"human-vaginal"),exact(metadata!I236,"microbial mat/biofilm"),exact(metadata!I236,"misc environment"),exact(metadata!I236,"plant-associated"),exact(metadata!I236,"sediment"),exact(metadata!I236,"soil"),exact(metadata!I236,"wastewater/sludge"),exact(metadata!I236,"water"))))</f>
        <v>0</v>
      </c>
      <c r="AJ236">
        <f>IF(metadata!J236="",FALSE,TRUE)</f>
        <v>0</v>
      </c>
      <c r="AK236">
        <f>OR(AND(IF(metadata!K236="",FALSE,TRUE),OR(exact(metadata!K236,"missing: not collected"),exact(metadata!K236,"missing: not provided"),exact(metadata!K236,"missing: restricted access"))),AND(IF(metadata!K236="",FALSE,ISNUMBER(VALUE(metadata!K236))),metadata!K236&gt;=-90.00,metadata!K236&lt;=90.00))</f>
        <v>0</v>
      </c>
      <c r="AL236">
        <f>OR(AND(IF(metadata!L236="",FALSE,TRUE),OR(exact(metadata!L236,"missing: not collected"),exact(metadata!L236,"missing: not provided"),exact(metadata!L236,"missing: restricted access"))),AND(IF(metadata!L236="",FALSE,ISNUMBER(VALUE(metadata!L236))),metadata!L236&gt;=-180.00,metadata!L236&lt;=180.00))</f>
        <v>0</v>
      </c>
      <c r="AM236">
        <f>IF(metadata!M236="",FALSE,TRUE)</f>
        <v>0</v>
      </c>
      <c r="AN236">
        <f>OR(AND(IF(metadata!N236="",FALSE,TRUE),OR(exact(metadata!N236,"missing: not collected"),exact(metadata!N236,"missing: not provided"),exact(metadata!N236,"missing: restricted access"))),AND(IF(metadata!N236="",FALSE,TRUE),OR(exact(metadata!N236,"TRUE"),exact(metadata!N236,"FALSE"))))</f>
        <v>0</v>
      </c>
      <c r="AO236">
        <f>IF(metadata!O236="",FALSE,TRUE)</f>
        <v>0</v>
      </c>
      <c r="AP236">
        <f>OR(AND(IF(metadata!P236="",FALSE,TRUE),OR(exact(metadata!P236,"missing: not collected"),exact(metadata!P236,"missing: not provided"))),AND(IF(metadata!P236="",FALSE,IF(ISERROR(INT(metadata!P236)),FALSE,INT(metadata!P236)=metadata!P236)),metadata!P236&gt;0))</f>
        <v>0</v>
      </c>
      <c r="AQ236">
        <f>IF(metadata!Q236="",FALSE,TRUE)</f>
        <v>0</v>
      </c>
    </row>
    <row r="237" spans="1:43">
      <c r="A237" s="5">
        <f>IF(B237=" "," ",HYPERLINK(CONCATENATE("#metadata!",ADDRESS(INDEX($W$2:$W$1001,MATCH(ROWS($U$2:U237),$U$2:$U$1001,0),0),1)),INDEX($Z$2:$Z$1001,MATCH(ROWS($U$2:U237),$U$2:$U$1001,0),0)))</f>
        <v>0</v>
      </c>
      <c r="B237" s="4">
        <f>IF(OR(INDEX($V$2:$V$1001,MATCH(ROWS($U$2:U237),$U$2:$U$1001,0),1)&gt;=100000,INDEX($AB$1005:$AQ$1005,1,MATCH(COLUMNS($AB$1006:AB1006),$AB$1006:$AQ$1006,0))&gt;=100000), " ",IF(INDEX($AB$2:$AQ$1001,MATCH(ROWS($U$2:U237),$U$2:$U$1001,0),MATCH(COLUMNS($AB$1006:AB1006),$AB$1006:$AQ$1006,0)), HYPERLINK("#",""), HYPERLINK(CONCATENATE("#metadata!", ADDRESS(INDEX($W$2:$W$1001,MATCH(ROWS($U$2:U237),$U$2:$U$1001,0),0), INDEX($AB$1004:$AQ$1004,1,MATCH(COLUMNS($AB$1006:AB1006),$AB$1006:$AQ$1006,0)))),"Fix")))</f>
        <v>0</v>
      </c>
      <c r="C237" s="4">
        <f>IF(OR(INDEX($V$2:$V$1001,MATCH(ROWS($U$2:U237),$U$2:$U$1001,0),1)&gt;=100000,INDEX($AB$1005:$AQ$1005,1,MATCH(COLUMNS($AB$1006:AC1006),$AB$1006:$AQ$1006,0))&gt;=100000), " ",IF(INDEX($AB$2:$AQ$1001,MATCH(ROWS($U$2:U237),$U$2:$U$1001,0),MATCH(COLUMNS($AB$1006:AC1006),$AB$1006:$AQ$1006,0)), HYPERLINK("#",""), HYPERLINK(CONCATENATE("#metadata!", ADDRESS(INDEX($W$2:$W$1001,MATCH(ROWS($U$2:U237),$U$2:$U$1001,0),0), INDEX($AB$1004:$AQ$1004,1,MATCH(COLUMNS($AB$1006:AC1006),$AB$1006:$AQ$1006,0)))),"Fix")))</f>
        <v>0</v>
      </c>
      <c r="D237" s="4">
        <f>IF(OR(INDEX($V$2:$V$1001,MATCH(ROWS($U$2:U237),$U$2:$U$1001,0),1)&gt;=100000,INDEX($AB$1005:$AQ$1005,1,MATCH(COLUMNS($AB$1006:AD1006),$AB$1006:$AQ$1006,0))&gt;=100000), " ",IF(INDEX($AB$2:$AQ$1001,MATCH(ROWS($U$2:U237),$U$2:$U$1001,0),MATCH(COLUMNS($AB$1006:AD1006),$AB$1006:$AQ$1006,0)), HYPERLINK("#",""), HYPERLINK(CONCATENATE("#metadata!", ADDRESS(INDEX($W$2:$W$1001,MATCH(ROWS($U$2:U237),$U$2:$U$1001,0),0), INDEX($AB$1004:$AQ$1004,1,MATCH(COLUMNS($AB$1006:AD1006),$AB$1006:$AQ$1006,0)))),"Fix")))</f>
        <v>0</v>
      </c>
      <c r="E237" s="4">
        <f>IF(OR(INDEX($V$2:$V$1001,MATCH(ROWS($U$2:U237),$U$2:$U$1001,0),1)&gt;=100000,INDEX($AB$1005:$AQ$1005,1,MATCH(COLUMNS($AB$1006:AE1006),$AB$1006:$AQ$1006,0))&gt;=100000), " ",IF(INDEX($AB$2:$AQ$1001,MATCH(ROWS($U$2:U237),$U$2:$U$1001,0),MATCH(COLUMNS($AB$1006:AE1006),$AB$1006:$AQ$1006,0)), HYPERLINK("#",""), HYPERLINK(CONCATENATE("#metadata!", ADDRESS(INDEX($W$2:$W$1001,MATCH(ROWS($U$2:U237),$U$2:$U$1001,0),0), INDEX($AB$1004:$AQ$1004,1,MATCH(COLUMNS($AB$1006:AE1006),$AB$1006:$AQ$1006,0)))),"Fix")))</f>
        <v>0</v>
      </c>
      <c r="F237" s="4">
        <f>IF(OR(INDEX($V$2:$V$1001,MATCH(ROWS($U$2:U237),$U$2:$U$1001,0),1)&gt;=100000,INDEX($AB$1005:$AQ$1005,1,MATCH(COLUMNS($AB$1006:AF1006),$AB$1006:$AQ$1006,0))&gt;=100000), " ",IF(INDEX($AB$2:$AQ$1001,MATCH(ROWS($U$2:U237),$U$2:$U$1001,0),MATCH(COLUMNS($AB$1006:AF1006),$AB$1006:$AQ$1006,0)), HYPERLINK("#",""), HYPERLINK(CONCATENATE("#metadata!", ADDRESS(INDEX($W$2:$W$1001,MATCH(ROWS($U$2:U237),$U$2:$U$1001,0),0), INDEX($AB$1004:$AQ$1004,1,MATCH(COLUMNS($AB$1006:AF1006),$AB$1006:$AQ$1006,0)))),"Fix")))</f>
        <v>0</v>
      </c>
      <c r="G237" s="4">
        <f>IF(OR(INDEX($V$2:$V$1001,MATCH(ROWS($U$2:U237),$U$2:$U$1001,0),1)&gt;=100000,INDEX($AB$1005:$AQ$1005,1,MATCH(COLUMNS($AB$1006:AG1006),$AB$1006:$AQ$1006,0))&gt;=100000), " ",IF(INDEX($AB$2:$AQ$1001,MATCH(ROWS($U$2:U237),$U$2:$U$1001,0),MATCH(COLUMNS($AB$1006:AG1006),$AB$1006:$AQ$1006,0)), HYPERLINK("#",""), HYPERLINK(CONCATENATE("#metadata!", ADDRESS(INDEX($W$2:$W$1001,MATCH(ROWS($U$2:U237),$U$2:$U$1001,0),0), INDEX($AB$1004:$AQ$1004,1,MATCH(COLUMNS($AB$1006:AG1006),$AB$1006:$AQ$1006,0)))),"Fix")))</f>
        <v>0</v>
      </c>
      <c r="H237" s="4">
        <f>IF(OR(INDEX($V$2:$V$1001,MATCH(ROWS($U$2:U237),$U$2:$U$1001,0),1)&gt;=100000,INDEX($AB$1005:$AQ$1005,1,MATCH(COLUMNS($AB$1006:AH1006),$AB$1006:$AQ$1006,0))&gt;=100000), " ",IF(INDEX($AB$2:$AQ$1001,MATCH(ROWS($U$2:U237),$U$2:$U$1001,0),MATCH(COLUMNS($AB$1006:AH1006),$AB$1006:$AQ$1006,0)), HYPERLINK("#",""), HYPERLINK(CONCATENATE("#metadata!", ADDRESS(INDEX($W$2:$W$1001,MATCH(ROWS($U$2:U237),$U$2:$U$1001,0),0), INDEX($AB$1004:$AQ$1004,1,MATCH(COLUMNS($AB$1006:AH1006),$AB$1006:$AQ$1006,0)))),"Fix")))</f>
        <v>0</v>
      </c>
      <c r="I237" s="4">
        <f>IF(OR(INDEX($V$2:$V$1001,MATCH(ROWS($U$2:U237),$U$2:$U$1001,0),1)&gt;=100000,INDEX($AB$1005:$AQ$1005,1,MATCH(COLUMNS($AB$1006:AI1006),$AB$1006:$AQ$1006,0))&gt;=100000), " ",IF(INDEX($AB$2:$AQ$1001,MATCH(ROWS($U$2:U237),$U$2:$U$1001,0),MATCH(COLUMNS($AB$1006:AI1006),$AB$1006:$AQ$1006,0)), HYPERLINK("#",""), HYPERLINK(CONCATENATE("#metadata!", ADDRESS(INDEX($W$2:$W$1001,MATCH(ROWS($U$2:U237),$U$2:$U$1001,0),0), INDEX($AB$1004:$AQ$1004,1,MATCH(COLUMNS($AB$1006:AI1006),$AB$1006:$AQ$1006,0)))),"Fix")))</f>
        <v>0</v>
      </c>
      <c r="J237" s="4">
        <f>IF(OR(INDEX($V$2:$V$1001,MATCH(ROWS($U$2:U237),$U$2:$U$1001,0),1)&gt;=100000,INDEX($AB$1005:$AQ$1005,1,MATCH(COLUMNS($AB$1006:AJ1006),$AB$1006:$AQ$1006,0))&gt;=100000), " ",IF(INDEX($AB$2:$AQ$1001,MATCH(ROWS($U$2:U237),$U$2:$U$1001,0),MATCH(COLUMNS($AB$1006:AJ1006),$AB$1006:$AQ$1006,0)), HYPERLINK("#",""), HYPERLINK(CONCATENATE("#metadata!", ADDRESS(INDEX($W$2:$W$1001,MATCH(ROWS($U$2:U237),$U$2:$U$1001,0),0), INDEX($AB$1004:$AQ$1004,1,MATCH(COLUMNS($AB$1006:AJ1006),$AB$1006:$AQ$1006,0)))),"Fix")))</f>
        <v>0</v>
      </c>
      <c r="K237" s="4">
        <f>IF(OR(INDEX($V$2:$V$1001,MATCH(ROWS($U$2:U237),$U$2:$U$1001,0),1)&gt;=100000,INDEX($AB$1005:$AQ$1005,1,MATCH(COLUMNS($AB$1006:AK1006),$AB$1006:$AQ$1006,0))&gt;=100000), " ",IF(INDEX($AB$2:$AQ$1001,MATCH(ROWS($U$2:U237),$U$2:$U$1001,0),MATCH(COLUMNS($AB$1006:AK1006),$AB$1006:$AQ$1006,0)), HYPERLINK("#",""), HYPERLINK(CONCATENATE("#metadata!", ADDRESS(INDEX($W$2:$W$1001,MATCH(ROWS($U$2:U237),$U$2:$U$1001,0),0), INDEX($AB$1004:$AQ$1004,1,MATCH(COLUMNS($AB$1006:AK1006),$AB$1006:$AQ$1006,0)))),"Fix")))</f>
        <v>0</v>
      </c>
      <c r="L237" s="4">
        <f>IF(OR(INDEX($V$2:$V$1001,MATCH(ROWS($U$2:U237),$U$2:$U$1001,0),1)&gt;=100000,INDEX($AB$1005:$AQ$1005,1,MATCH(COLUMNS($AB$1006:AL1006),$AB$1006:$AQ$1006,0))&gt;=100000), " ",IF(INDEX($AB$2:$AQ$1001,MATCH(ROWS($U$2:U237),$U$2:$U$1001,0),MATCH(COLUMNS($AB$1006:AL1006),$AB$1006:$AQ$1006,0)), HYPERLINK("#",""), HYPERLINK(CONCATENATE("#metadata!", ADDRESS(INDEX($W$2:$W$1001,MATCH(ROWS($U$2:U237),$U$2:$U$1001,0),0), INDEX($AB$1004:$AQ$1004,1,MATCH(COLUMNS($AB$1006:AL1006),$AB$1006:$AQ$1006,0)))),"Fix")))</f>
        <v>0</v>
      </c>
      <c r="M237" s="4">
        <f>IF(OR(INDEX($V$2:$V$1001,MATCH(ROWS($U$2:U237),$U$2:$U$1001,0),1)&gt;=100000,INDEX($AB$1005:$AQ$1005,1,MATCH(COLUMNS($AB$1006:AM1006),$AB$1006:$AQ$1006,0))&gt;=100000), " ",IF(INDEX($AB$2:$AQ$1001,MATCH(ROWS($U$2:U237),$U$2:$U$1001,0),MATCH(COLUMNS($AB$1006:AM1006),$AB$1006:$AQ$1006,0)), HYPERLINK("#",""), HYPERLINK(CONCATENATE("#metadata!", ADDRESS(INDEX($W$2:$W$1001,MATCH(ROWS($U$2:U237),$U$2:$U$1001,0),0), INDEX($AB$1004:$AQ$1004,1,MATCH(COLUMNS($AB$1006:AM1006),$AB$1006:$AQ$1006,0)))),"Fix")))</f>
        <v>0</v>
      </c>
      <c r="N237" s="4">
        <f>IF(OR(INDEX($V$2:$V$1001,MATCH(ROWS($U$2:U237),$U$2:$U$1001,0),1)&gt;=100000,INDEX($AB$1005:$AQ$1005,1,MATCH(COLUMNS($AB$1006:AN1006),$AB$1006:$AQ$1006,0))&gt;=100000), " ",IF(INDEX($AB$2:$AQ$1001,MATCH(ROWS($U$2:U237),$U$2:$U$1001,0),MATCH(COLUMNS($AB$1006:AN1006),$AB$1006:$AQ$1006,0)), HYPERLINK("#",""), HYPERLINK(CONCATENATE("#metadata!", ADDRESS(INDEX($W$2:$W$1001,MATCH(ROWS($U$2:U237),$U$2:$U$1001,0),0), INDEX($AB$1004:$AQ$1004,1,MATCH(COLUMNS($AB$1006:AN1006),$AB$1006:$AQ$1006,0)))),"Fix")))</f>
        <v>0</v>
      </c>
      <c r="O237" s="4">
        <f>IF(OR(INDEX($V$2:$V$1001,MATCH(ROWS($U$2:U237),$U$2:$U$1001,0),1)&gt;=100000,INDEX($AB$1005:$AQ$1005,1,MATCH(COLUMNS($AB$1006:AO1006),$AB$1006:$AQ$1006,0))&gt;=100000), " ",IF(INDEX($AB$2:$AQ$1001,MATCH(ROWS($U$2:U237),$U$2:$U$1001,0),MATCH(COLUMNS($AB$1006:AO1006),$AB$1006:$AQ$1006,0)), HYPERLINK("#",""), HYPERLINK(CONCATENATE("#metadata!", ADDRESS(INDEX($W$2:$W$1001,MATCH(ROWS($U$2:U237),$U$2:$U$1001,0),0), INDEX($AB$1004:$AQ$1004,1,MATCH(COLUMNS($AB$1006:AO1006),$AB$1006:$AQ$1006,0)))),"Fix")))</f>
        <v>0</v>
      </c>
      <c r="P237" s="4">
        <f>IF(OR(INDEX($V$2:$V$1001,MATCH(ROWS($U$2:U237),$U$2:$U$1001,0),1)&gt;=100000,INDEX($AB$1005:$AQ$1005,1,MATCH(COLUMNS($AB$1006:AP1006),$AB$1006:$AQ$1006,0))&gt;=100000), " ",IF(INDEX($AB$2:$AQ$1001,MATCH(ROWS($U$2:U237),$U$2:$U$1001,0),MATCH(COLUMNS($AB$1006:AP1006),$AB$1006:$AQ$1006,0)), HYPERLINK("#",""), HYPERLINK(CONCATENATE("#metadata!", ADDRESS(INDEX($W$2:$W$1001,MATCH(ROWS($U$2:U237),$U$2:$U$1001,0),0), INDEX($AB$1004:$AQ$1004,1,MATCH(COLUMNS($AB$1006:AP1006),$AB$1006:$AQ$1006,0)))),"Fix")))</f>
        <v>0</v>
      </c>
      <c r="Q237" s="4">
        <f>IF(OR(INDEX($V$2:$V$1001,MATCH(ROWS($U$2:U237),$U$2:$U$1001,0),1)&gt;=100000,INDEX($AB$1005:$AQ$1005,1,MATCH(COLUMNS($AB$1006:AQ1006),$AB$1006:$AQ$1006,0))&gt;=100000), " ",IF(INDEX($AB$2:$AQ$1001,MATCH(ROWS($U$2:U237),$U$2:$U$1001,0),MATCH(COLUMNS($AB$1006:AQ1006),$AB$1006:$AQ$1006,0)), HYPERLINK("#",""), HYPERLINK(CONCATENATE("#metadata!", ADDRESS(INDEX($W$2:$W$1001,MATCH(ROWS($U$2:U237),$U$2:$U$1001,0),0), INDEX($AB$1004:$AQ$1004,1,MATCH(COLUMNS($AB$1006:AQ1006),$AB$1006:$AQ$1006,0)))),"Fix")))</f>
        <v>0</v>
      </c>
      <c r="U237">
        <v>0</v>
      </c>
      <c r="V237">
        <v>0</v>
      </c>
      <c r="W237">
        <v>0</v>
      </c>
      <c r="X237">
        <f>IF(Y237,TRUE,AND(AB237:AQ237))</f>
        <v>0</v>
      </c>
      <c r="Y237">
        <f>COUNTBLANK(metadata!B237:Q237)=COLUMNS(metadata!B237:Q237)</f>
        <v>0</v>
      </c>
      <c r="Z237">
        <v>0</v>
      </c>
      <c r="AB237">
        <f>AND(IF(metadata!B237="",FALSE,TRUE),COUNTIF(metadata!B:B, metadata!B237) = 1,NOT(ISERROR(SUMPRODUCT(SEARCH(MID(metadata!B237,ROW(INDIRECT("1:"&amp;LEN(metadata!B237))), 1),"0123456789abcdefghijklmnopqrstuvwxyzABCDEFGHIJKLMNOPQRSTUVWXYZ.")))))</f>
        <v>0</v>
      </c>
      <c r="AC237">
        <f>OR(AND(IF(metadata!C237="",FALSE,TRUE),OR(exact(metadata!C237,"missing: not collected"),exact(metadata!C237,"missing: not provided"),exact(metadata!C237,"missing: restricted access"))),AND(IF(metadata!C237="",FALSE,TRUE),AND(AND(IFERROR(INT(LEFT(metadata!C237,4))&gt;1900,FALSE),IFERROR(INT(LEFT(metadata!C237,4))&lt;=YEAR(NOW()),FALSE)), OR(MID(metadata!C237,5,1)="", AND(AND(MID(metadata!C237,5,1)="-",IFERROR(INT(MID(metadata!C237,6,1))&gt;=0,FALSE),IFERROR(INT(MID(metadata!C237,6,1))&lt;=1,FALSE),NOT(MID(metadata!C237,7,1)=""),IFERROR(INT(MID(metadata!C237,6,2))&gt;=1,FALSE),IFERROR(INT(MID(metadata!C237,6,2))&lt;=12,FALSE)), OR(MID(metadata!C237,8,1)="", AND(AND(MID(metadata!C237,8,1)="-",IFERROR(INT(MID(metadata!C237,9,1))&gt;=0,FALSE),IFERROR(INT(MID(metadata!C237,9,1))&lt;=3,FALSE),NOT(MID(metadata!C237,10,1)=""),IFERROR(INT(MID(metadata!C237,9,2))&gt;=1,FALSE),IFERROR(INT(MID(metadata!C237,9,2))&lt;=31,FALSE)), OR(MID(metadata!C237,11,1)="", AND(AND(MID(metadata!C237,11,1)=" ",IFERROR(INT(MID(metadata!C237,12,1))&gt;=0,FALSE),IFERROR(INT(MID(metadata!C237,12,1))&lt;=2,FALSE),NOT(MID(metadata!C237,13,1)=""),IFERROR(INT(MID(metadata!C237,12,2))&gt;=0,FALSE),IFERROR(INT(MID(metadata!C237,12,2))&lt;=23,FALSE)), OR(MID(metadata!C237,14,1)="", AND(AND(MID(metadata!C237,14,1)=":",IFERROR(INT(MID(metadata!C237,15,1))&gt;=0,FALSE),IFERROR(INT(MID(metadata!C237,15,1))&lt;=5,FALSE),NOT(MID(metadata!C237,16,1)=""),IFERROR(INT(MID(metadata!C237,15,2))&gt;=0,FALSE),IFERROR(INT(MID(metadata!C237,15,2))&lt;=59,FALSE)), OR(MID(metadata!C237,17,1)="", AND(AND(MID(metadata!C237,17,1)=":",IFERROR(INT(MID(metadata!C237,18,1))&gt;=0,FALSE),IFERROR(INT(MID(metadata!C237,18,1))&lt;=5,FALSE),NOT(MID(metadata!C237,19,1)=""),IFERROR(INT(MID(metadata!C237,18,2))&gt;=0,FALSE),IFERROR(INT(MID(metadata!C237,18,2))&lt;=59,FALSE)), LEN(metadata!C237)&lt;=19)))))))))))))</f>
        <v>0</v>
      </c>
      <c r="AD237">
        <f>IF(metadata!D237="",FALSE,TRUE)</f>
        <v>0</v>
      </c>
      <c r="AE237">
        <f>OR(AND(IF(metadata!E237="",FALSE,TRUE),OR(exact(metadata!E237,"missing: not collected"),exact(metadata!E237,"missing: not provided"))),AND(IF(metadata!E237="",FALSE,TRUE),OR(exact(metadata!E237,"TRUE"),exact(metadata!E237,"FALSE"))))</f>
        <v>0</v>
      </c>
      <c r="AF237">
        <f>IF(metadata!F237="",FALSE,TRUE)</f>
        <v>0</v>
      </c>
      <c r="AG237">
        <f>IF(metadata!G237="",FALSE,TRUE)</f>
        <v>0</v>
      </c>
      <c r="AH237">
        <f>IF(metadata!H237="",FALSE,TRUE)</f>
        <v>0</v>
      </c>
      <c r="AI237">
        <f>OR(AND(IF(metadata!I237="",FALSE,TRUE),OR(exact(metadata!I237,"missing: not collected"),exact(metadata!I237,"missing: not provided"),exact(metadata!I237,"missing: restricted access"))),AND(IF(metadata!I237="",FALSE,TRUE),OR(exact(metadata!I237,"air"),exact(metadata!I237,"built environment"),exact(metadata!I237,"host-associated"),exact(metadata!I237,"human-associated"),exact(metadata!I237,"human-skin"),exact(metadata!I237,"human-oral"),exact(metadata!I237,"human-gut"),exact(metadata!I237,"human-vaginal"),exact(metadata!I237,"microbial mat/biofilm"),exact(metadata!I237,"misc environment"),exact(metadata!I237,"plant-associated"),exact(metadata!I237,"sediment"),exact(metadata!I237,"soil"),exact(metadata!I237,"wastewater/sludge"),exact(metadata!I237,"water"))))</f>
        <v>0</v>
      </c>
      <c r="AJ237">
        <f>IF(metadata!J237="",FALSE,TRUE)</f>
        <v>0</v>
      </c>
      <c r="AK237">
        <f>OR(AND(IF(metadata!K237="",FALSE,TRUE),OR(exact(metadata!K237,"missing: not collected"),exact(metadata!K237,"missing: not provided"),exact(metadata!K237,"missing: restricted access"))),AND(IF(metadata!K237="",FALSE,ISNUMBER(VALUE(metadata!K237))),metadata!K237&gt;=-90.00,metadata!K237&lt;=90.00))</f>
        <v>0</v>
      </c>
      <c r="AL237">
        <f>OR(AND(IF(metadata!L237="",FALSE,TRUE),OR(exact(metadata!L237,"missing: not collected"),exact(metadata!L237,"missing: not provided"),exact(metadata!L237,"missing: restricted access"))),AND(IF(metadata!L237="",FALSE,ISNUMBER(VALUE(metadata!L237))),metadata!L237&gt;=-180.00,metadata!L237&lt;=180.00))</f>
        <v>0</v>
      </c>
      <c r="AM237">
        <f>IF(metadata!M237="",FALSE,TRUE)</f>
        <v>0</v>
      </c>
      <c r="AN237">
        <f>OR(AND(IF(metadata!N237="",FALSE,TRUE),OR(exact(metadata!N237,"missing: not collected"),exact(metadata!N237,"missing: not provided"),exact(metadata!N237,"missing: restricted access"))),AND(IF(metadata!N237="",FALSE,TRUE),OR(exact(metadata!N237,"TRUE"),exact(metadata!N237,"FALSE"))))</f>
        <v>0</v>
      </c>
      <c r="AO237">
        <f>IF(metadata!O237="",FALSE,TRUE)</f>
        <v>0</v>
      </c>
      <c r="AP237">
        <f>OR(AND(IF(metadata!P237="",FALSE,TRUE),OR(exact(metadata!P237,"missing: not collected"),exact(metadata!P237,"missing: not provided"))),AND(IF(metadata!P237="",FALSE,IF(ISERROR(INT(metadata!P237)),FALSE,INT(metadata!P237)=metadata!P237)),metadata!P237&gt;0))</f>
        <v>0</v>
      </c>
      <c r="AQ237">
        <f>IF(metadata!Q237="",FALSE,TRUE)</f>
        <v>0</v>
      </c>
    </row>
    <row r="238" spans="1:43">
      <c r="A238" s="5">
        <f>IF(B238=" "," ",HYPERLINK(CONCATENATE("#metadata!",ADDRESS(INDEX($W$2:$W$1001,MATCH(ROWS($U$2:U238),$U$2:$U$1001,0),0),1)),INDEX($Z$2:$Z$1001,MATCH(ROWS($U$2:U238),$U$2:$U$1001,0),0)))</f>
        <v>0</v>
      </c>
      <c r="B238" s="4">
        <f>IF(OR(INDEX($V$2:$V$1001,MATCH(ROWS($U$2:U238),$U$2:$U$1001,0),1)&gt;=100000,INDEX($AB$1005:$AQ$1005,1,MATCH(COLUMNS($AB$1006:AB1006),$AB$1006:$AQ$1006,0))&gt;=100000), " ",IF(INDEX($AB$2:$AQ$1001,MATCH(ROWS($U$2:U238),$U$2:$U$1001,0),MATCH(COLUMNS($AB$1006:AB1006),$AB$1006:$AQ$1006,0)), HYPERLINK("#",""), HYPERLINK(CONCATENATE("#metadata!", ADDRESS(INDEX($W$2:$W$1001,MATCH(ROWS($U$2:U238),$U$2:$U$1001,0),0), INDEX($AB$1004:$AQ$1004,1,MATCH(COLUMNS($AB$1006:AB1006),$AB$1006:$AQ$1006,0)))),"Fix")))</f>
        <v>0</v>
      </c>
      <c r="C238" s="4">
        <f>IF(OR(INDEX($V$2:$V$1001,MATCH(ROWS($U$2:U238),$U$2:$U$1001,0),1)&gt;=100000,INDEX($AB$1005:$AQ$1005,1,MATCH(COLUMNS($AB$1006:AC1006),$AB$1006:$AQ$1006,0))&gt;=100000), " ",IF(INDEX($AB$2:$AQ$1001,MATCH(ROWS($U$2:U238),$U$2:$U$1001,0),MATCH(COLUMNS($AB$1006:AC1006),$AB$1006:$AQ$1006,0)), HYPERLINK("#",""), HYPERLINK(CONCATENATE("#metadata!", ADDRESS(INDEX($W$2:$W$1001,MATCH(ROWS($U$2:U238),$U$2:$U$1001,0),0), INDEX($AB$1004:$AQ$1004,1,MATCH(COLUMNS($AB$1006:AC1006),$AB$1006:$AQ$1006,0)))),"Fix")))</f>
        <v>0</v>
      </c>
      <c r="D238" s="4">
        <f>IF(OR(INDEX($V$2:$V$1001,MATCH(ROWS($U$2:U238),$U$2:$U$1001,0),1)&gt;=100000,INDEX($AB$1005:$AQ$1005,1,MATCH(COLUMNS($AB$1006:AD1006),$AB$1006:$AQ$1006,0))&gt;=100000), " ",IF(INDEX($AB$2:$AQ$1001,MATCH(ROWS($U$2:U238),$U$2:$U$1001,0),MATCH(COLUMNS($AB$1006:AD1006),$AB$1006:$AQ$1006,0)), HYPERLINK("#",""), HYPERLINK(CONCATENATE("#metadata!", ADDRESS(INDEX($W$2:$W$1001,MATCH(ROWS($U$2:U238),$U$2:$U$1001,0),0), INDEX($AB$1004:$AQ$1004,1,MATCH(COLUMNS($AB$1006:AD1006),$AB$1006:$AQ$1006,0)))),"Fix")))</f>
        <v>0</v>
      </c>
      <c r="E238" s="4">
        <f>IF(OR(INDEX($V$2:$V$1001,MATCH(ROWS($U$2:U238),$U$2:$U$1001,0),1)&gt;=100000,INDEX($AB$1005:$AQ$1005,1,MATCH(COLUMNS($AB$1006:AE1006),$AB$1006:$AQ$1006,0))&gt;=100000), " ",IF(INDEX($AB$2:$AQ$1001,MATCH(ROWS($U$2:U238),$U$2:$U$1001,0),MATCH(COLUMNS($AB$1006:AE1006),$AB$1006:$AQ$1006,0)), HYPERLINK("#",""), HYPERLINK(CONCATENATE("#metadata!", ADDRESS(INDEX($W$2:$W$1001,MATCH(ROWS($U$2:U238),$U$2:$U$1001,0),0), INDEX($AB$1004:$AQ$1004,1,MATCH(COLUMNS($AB$1006:AE1006),$AB$1006:$AQ$1006,0)))),"Fix")))</f>
        <v>0</v>
      </c>
      <c r="F238" s="4">
        <f>IF(OR(INDEX($V$2:$V$1001,MATCH(ROWS($U$2:U238),$U$2:$U$1001,0),1)&gt;=100000,INDEX($AB$1005:$AQ$1005,1,MATCH(COLUMNS($AB$1006:AF1006),$AB$1006:$AQ$1006,0))&gt;=100000), " ",IF(INDEX($AB$2:$AQ$1001,MATCH(ROWS($U$2:U238),$U$2:$U$1001,0),MATCH(COLUMNS($AB$1006:AF1006),$AB$1006:$AQ$1006,0)), HYPERLINK("#",""), HYPERLINK(CONCATENATE("#metadata!", ADDRESS(INDEX($W$2:$W$1001,MATCH(ROWS($U$2:U238),$U$2:$U$1001,0),0), INDEX($AB$1004:$AQ$1004,1,MATCH(COLUMNS($AB$1006:AF1006),$AB$1006:$AQ$1006,0)))),"Fix")))</f>
        <v>0</v>
      </c>
      <c r="G238" s="4">
        <f>IF(OR(INDEX($V$2:$V$1001,MATCH(ROWS($U$2:U238),$U$2:$U$1001,0),1)&gt;=100000,INDEX($AB$1005:$AQ$1005,1,MATCH(COLUMNS($AB$1006:AG1006),$AB$1006:$AQ$1006,0))&gt;=100000), " ",IF(INDEX($AB$2:$AQ$1001,MATCH(ROWS($U$2:U238),$U$2:$U$1001,0),MATCH(COLUMNS($AB$1006:AG1006),$AB$1006:$AQ$1006,0)), HYPERLINK("#",""), HYPERLINK(CONCATENATE("#metadata!", ADDRESS(INDEX($W$2:$W$1001,MATCH(ROWS($U$2:U238),$U$2:$U$1001,0),0), INDEX($AB$1004:$AQ$1004,1,MATCH(COLUMNS($AB$1006:AG1006),$AB$1006:$AQ$1006,0)))),"Fix")))</f>
        <v>0</v>
      </c>
      <c r="H238" s="4">
        <f>IF(OR(INDEX($V$2:$V$1001,MATCH(ROWS($U$2:U238),$U$2:$U$1001,0),1)&gt;=100000,INDEX($AB$1005:$AQ$1005,1,MATCH(COLUMNS($AB$1006:AH1006),$AB$1006:$AQ$1006,0))&gt;=100000), " ",IF(INDEX($AB$2:$AQ$1001,MATCH(ROWS($U$2:U238),$U$2:$U$1001,0),MATCH(COLUMNS($AB$1006:AH1006),$AB$1006:$AQ$1006,0)), HYPERLINK("#",""), HYPERLINK(CONCATENATE("#metadata!", ADDRESS(INDEX($W$2:$W$1001,MATCH(ROWS($U$2:U238),$U$2:$U$1001,0),0), INDEX($AB$1004:$AQ$1004,1,MATCH(COLUMNS($AB$1006:AH1006),$AB$1006:$AQ$1006,0)))),"Fix")))</f>
        <v>0</v>
      </c>
      <c r="I238" s="4">
        <f>IF(OR(INDEX($V$2:$V$1001,MATCH(ROWS($U$2:U238),$U$2:$U$1001,0),1)&gt;=100000,INDEX($AB$1005:$AQ$1005,1,MATCH(COLUMNS($AB$1006:AI1006),$AB$1006:$AQ$1006,0))&gt;=100000), " ",IF(INDEX($AB$2:$AQ$1001,MATCH(ROWS($U$2:U238),$U$2:$U$1001,0),MATCH(COLUMNS($AB$1006:AI1006),$AB$1006:$AQ$1006,0)), HYPERLINK("#",""), HYPERLINK(CONCATENATE("#metadata!", ADDRESS(INDEX($W$2:$W$1001,MATCH(ROWS($U$2:U238),$U$2:$U$1001,0),0), INDEX($AB$1004:$AQ$1004,1,MATCH(COLUMNS($AB$1006:AI1006),$AB$1006:$AQ$1006,0)))),"Fix")))</f>
        <v>0</v>
      </c>
      <c r="J238" s="4">
        <f>IF(OR(INDEX($V$2:$V$1001,MATCH(ROWS($U$2:U238),$U$2:$U$1001,0),1)&gt;=100000,INDEX($AB$1005:$AQ$1005,1,MATCH(COLUMNS($AB$1006:AJ1006),$AB$1006:$AQ$1006,0))&gt;=100000), " ",IF(INDEX($AB$2:$AQ$1001,MATCH(ROWS($U$2:U238),$U$2:$U$1001,0),MATCH(COLUMNS($AB$1006:AJ1006),$AB$1006:$AQ$1006,0)), HYPERLINK("#",""), HYPERLINK(CONCATENATE("#metadata!", ADDRESS(INDEX($W$2:$W$1001,MATCH(ROWS($U$2:U238),$U$2:$U$1001,0),0), INDEX($AB$1004:$AQ$1004,1,MATCH(COLUMNS($AB$1006:AJ1006),$AB$1006:$AQ$1006,0)))),"Fix")))</f>
        <v>0</v>
      </c>
      <c r="K238" s="4">
        <f>IF(OR(INDEX($V$2:$V$1001,MATCH(ROWS($U$2:U238),$U$2:$U$1001,0),1)&gt;=100000,INDEX($AB$1005:$AQ$1005,1,MATCH(COLUMNS($AB$1006:AK1006),$AB$1006:$AQ$1006,0))&gt;=100000), " ",IF(INDEX($AB$2:$AQ$1001,MATCH(ROWS($U$2:U238),$U$2:$U$1001,0),MATCH(COLUMNS($AB$1006:AK1006),$AB$1006:$AQ$1006,0)), HYPERLINK("#",""), HYPERLINK(CONCATENATE("#metadata!", ADDRESS(INDEX($W$2:$W$1001,MATCH(ROWS($U$2:U238),$U$2:$U$1001,0),0), INDEX($AB$1004:$AQ$1004,1,MATCH(COLUMNS($AB$1006:AK1006),$AB$1006:$AQ$1006,0)))),"Fix")))</f>
        <v>0</v>
      </c>
      <c r="L238" s="4">
        <f>IF(OR(INDEX($V$2:$V$1001,MATCH(ROWS($U$2:U238),$U$2:$U$1001,0),1)&gt;=100000,INDEX($AB$1005:$AQ$1005,1,MATCH(COLUMNS($AB$1006:AL1006),$AB$1006:$AQ$1006,0))&gt;=100000), " ",IF(INDEX($AB$2:$AQ$1001,MATCH(ROWS($U$2:U238),$U$2:$U$1001,0),MATCH(COLUMNS($AB$1006:AL1006),$AB$1006:$AQ$1006,0)), HYPERLINK("#",""), HYPERLINK(CONCATENATE("#metadata!", ADDRESS(INDEX($W$2:$W$1001,MATCH(ROWS($U$2:U238),$U$2:$U$1001,0),0), INDEX($AB$1004:$AQ$1004,1,MATCH(COLUMNS($AB$1006:AL1006),$AB$1006:$AQ$1006,0)))),"Fix")))</f>
        <v>0</v>
      </c>
      <c r="M238" s="4">
        <f>IF(OR(INDEX($V$2:$V$1001,MATCH(ROWS($U$2:U238),$U$2:$U$1001,0),1)&gt;=100000,INDEX($AB$1005:$AQ$1005,1,MATCH(COLUMNS($AB$1006:AM1006),$AB$1006:$AQ$1006,0))&gt;=100000), " ",IF(INDEX($AB$2:$AQ$1001,MATCH(ROWS($U$2:U238),$U$2:$U$1001,0),MATCH(COLUMNS($AB$1006:AM1006),$AB$1006:$AQ$1006,0)), HYPERLINK("#",""), HYPERLINK(CONCATENATE("#metadata!", ADDRESS(INDEX($W$2:$W$1001,MATCH(ROWS($U$2:U238),$U$2:$U$1001,0),0), INDEX($AB$1004:$AQ$1004,1,MATCH(COLUMNS($AB$1006:AM1006),$AB$1006:$AQ$1006,0)))),"Fix")))</f>
        <v>0</v>
      </c>
      <c r="N238" s="4">
        <f>IF(OR(INDEX($V$2:$V$1001,MATCH(ROWS($U$2:U238),$U$2:$U$1001,0),1)&gt;=100000,INDEX($AB$1005:$AQ$1005,1,MATCH(COLUMNS($AB$1006:AN1006),$AB$1006:$AQ$1006,0))&gt;=100000), " ",IF(INDEX($AB$2:$AQ$1001,MATCH(ROWS($U$2:U238),$U$2:$U$1001,0),MATCH(COLUMNS($AB$1006:AN1006),$AB$1006:$AQ$1006,0)), HYPERLINK("#",""), HYPERLINK(CONCATENATE("#metadata!", ADDRESS(INDEX($W$2:$W$1001,MATCH(ROWS($U$2:U238),$U$2:$U$1001,0),0), INDEX($AB$1004:$AQ$1004,1,MATCH(COLUMNS($AB$1006:AN1006),$AB$1006:$AQ$1006,0)))),"Fix")))</f>
        <v>0</v>
      </c>
      <c r="O238" s="4">
        <f>IF(OR(INDEX($V$2:$V$1001,MATCH(ROWS($U$2:U238),$U$2:$U$1001,0),1)&gt;=100000,INDEX($AB$1005:$AQ$1005,1,MATCH(COLUMNS($AB$1006:AO1006),$AB$1006:$AQ$1006,0))&gt;=100000), " ",IF(INDEX($AB$2:$AQ$1001,MATCH(ROWS($U$2:U238),$U$2:$U$1001,0),MATCH(COLUMNS($AB$1006:AO1006),$AB$1006:$AQ$1006,0)), HYPERLINK("#",""), HYPERLINK(CONCATENATE("#metadata!", ADDRESS(INDEX($W$2:$W$1001,MATCH(ROWS($U$2:U238),$U$2:$U$1001,0),0), INDEX($AB$1004:$AQ$1004,1,MATCH(COLUMNS($AB$1006:AO1006),$AB$1006:$AQ$1006,0)))),"Fix")))</f>
        <v>0</v>
      </c>
      <c r="P238" s="4">
        <f>IF(OR(INDEX($V$2:$V$1001,MATCH(ROWS($U$2:U238),$U$2:$U$1001,0),1)&gt;=100000,INDEX($AB$1005:$AQ$1005,1,MATCH(COLUMNS($AB$1006:AP1006),$AB$1006:$AQ$1006,0))&gt;=100000), " ",IF(INDEX($AB$2:$AQ$1001,MATCH(ROWS($U$2:U238),$U$2:$U$1001,0),MATCH(COLUMNS($AB$1006:AP1006),$AB$1006:$AQ$1006,0)), HYPERLINK("#",""), HYPERLINK(CONCATENATE("#metadata!", ADDRESS(INDEX($W$2:$W$1001,MATCH(ROWS($U$2:U238),$U$2:$U$1001,0),0), INDEX($AB$1004:$AQ$1004,1,MATCH(COLUMNS($AB$1006:AP1006),$AB$1006:$AQ$1006,0)))),"Fix")))</f>
        <v>0</v>
      </c>
      <c r="Q238" s="4">
        <f>IF(OR(INDEX($V$2:$V$1001,MATCH(ROWS($U$2:U238),$U$2:$U$1001,0),1)&gt;=100000,INDEX($AB$1005:$AQ$1005,1,MATCH(COLUMNS($AB$1006:AQ1006),$AB$1006:$AQ$1006,0))&gt;=100000), " ",IF(INDEX($AB$2:$AQ$1001,MATCH(ROWS($U$2:U238),$U$2:$U$1001,0),MATCH(COLUMNS($AB$1006:AQ1006),$AB$1006:$AQ$1006,0)), HYPERLINK("#",""), HYPERLINK(CONCATENATE("#metadata!", ADDRESS(INDEX($W$2:$W$1001,MATCH(ROWS($U$2:U238),$U$2:$U$1001,0),0), INDEX($AB$1004:$AQ$1004,1,MATCH(COLUMNS($AB$1006:AQ1006),$AB$1006:$AQ$1006,0)))),"Fix")))</f>
        <v>0</v>
      </c>
      <c r="U238">
        <v>0</v>
      </c>
      <c r="V238">
        <v>0</v>
      </c>
      <c r="W238">
        <v>0</v>
      </c>
      <c r="X238">
        <f>IF(Y238,TRUE,AND(AB238:AQ238))</f>
        <v>0</v>
      </c>
      <c r="Y238">
        <f>COUNTBLANK(metadata!B238:Q238)=COLUMNS(metadata!B238:Q238)</f>
        <v>0</v>
      </c>
      <c r="Z238">
        <v>0</v>
      </c>
      <c r="AB238">
        <f>AND(IF(metadata!B238="",FALSE,TRUE),COUNTIF(metadata!B:B, metadata!B238) = 1,NOT(ISERROR(SUMPRODUCT(SEARCH(MID(metadata!B238,ROW(INDIRECT("1:"&amp;LEN(metadata!B238))), 1),"0123456789abcdefghijklmnopqrstuvwxyzABCDEFGHIJKLMNOPQRSTUVWXYZ.")))))</f>
        <v>0</v>
      </c>
      <c r="AC238">
        <f>OR(AND(IF(metadata!C238="",FALSE,TRUE),OR(exact(metadata!C238,"missing: not collected"),exact(metadata!C238,"missing: not provided"),exact(metadata!C238,"missing: restricted access"))),AND(IF(metadata!C238="",FALSE,TRUE),AND(AND(IFERROR(INT(LEFT(metadata!C238,4))&gt;1900,FALSE),IFERROR(INT(LEFT(metadata!C238,4))&lt;=YEAR(NOW()),FALSE)), OR(MID(metadata!C238,5,1)="", AND(AND(MID(metadata!C238,5,1)="-",IFERROR(INT(MID(metadata!C238,6,1))&gt;=0,FALSE),IFERROR(INT(MID(metadata!C238,6,1))&lt;=1,FALSE),NOT(MID(metadata!C238,7,1)=""),IFERROR(INT(MID(metadata!C238,6,2))&gt;=1,FALSE),IFERROR(INT(MID(metadata!C238,6,2))&lt;=12,FALSE)), OR(MID(metadata!C238,8,1)="", AND(AND(MID(metadata!C238,8,1)="-",IFERROR(INT(MID(metadata!C238,9,1))&gt;=0,FALSE),IFERROR(INT(MID(metadata!C238,9,1))&lt;=3,FALSE),NOT(MID(metadata!C238,10,1)=""),IFERROR(INT(MID(metadata!C238,9,2))&gt;=1,FALSE),IFERROR(INT(MID(metadata!C238,9,2))&lt;=31,FALSE)), OR(MID(metadata!C238,11,1)="", AND(AND(MID(metadata!C238,11,1)=" ",IFERROR(INT(MID(metadata!C238,12,1))&gt;=0,FALSE),IFERROR(INT(MID(metadata!C238,12,1))&lt;=2,FALSE),NOT(MID(metadata!C238,13,1)=""),IFERROR(INT(MID(metadata!C238,12,2))&gt;=0,FALSE),IFERROR(INT(MID(metadata!C238,12,2))&lt;=23,FALSE)), OR(MID(metadata!C238,14,1)="", AND(AND(MID(metadata!C238,14,1)=":",IFERROR(INT(MID(metadata!C238,15,1))&gt;=0,FALSE),IFERROR(INT(MID(metadata!C238,15,1))&lt;=5,FALSE),NOT(MID(metadata!C238,16,1)=""),IFERROR(INT(MID(metadata!C238,15,2))&gt;=0,FALSE),IFERROR(INT(MID(metadata!C238,15,2))&lt;=59,FALSE)), OR(MID(metadata!C238,17,1)="", AND(AND(MID(metadata!C238,17,1)=":",IFERROR(INT(MID(metadata!C238,18,1))&gt;=0,FALSE),IFERROR(INT(MID(metadata!C238,18,1))&lt;=5,FALSE),NOT(MID(metadata!C238,19,1)=""),IFERROR(INT(MID(metadata!C238,18,2))&gt;=0,FALSE),IFERROR(INT(MID(metadata!C238,18,2))&lt;=59,FALSE)), LEN(metadata!C238)&lt;=19)))))))))))))</f>
        <v>0</v>
      </c>
      <c r="AD238">
        <f>IF(metadata!D238="",FALSE,TRUE)</f>
        <v>0</v>
      </c>
      <c r="AE238">
        <f>OR(AND(IF(metadata!E238="",FALSE,TRUE),OR(exact(metadata!E238,"missing: not collected"),exact(metadata!E238,"missing: not provided"))),AND(IF(metadata!E238="",FALSE,TRUE),OR(exact(metadata!E238,"TRUE"),exact(metadata!E238,"FALSE"))))</f>
        <v>0</v>
      </c>
      <c r="AF238">
        <f>IF(metadata!F238="",FALSE,TRUE)</f>
        <v>0</v>
      </c>
      <c r="AG238">
        <f>IF(metadata!G238="",FALSE,TRUE)</f>
        <v>0</v>
      </c>
      <c r="AH238">
        <f>IF(metadata!H238="",FALSE,TRUE)</f>
        <v>0</v>
      </c>
      <c r="AI238">
        <f>OR(AND(IF(metadata!I238="",FALSE,TRUE),OR(exact(metadata!I238,"missing: not collected"),exact(metadata!I238,"missing: not provided"),exact(metadata!I238,"missing: restricted access"))),AND(IF(metadata!I238="",FALSE,TRUE),OR(exact(metadata!I238,"air"),exact(metadata!I238,"built environment"),exact(metadata!I238,"host-associated"),exact(metadata!I238,"human-associated"),exact(metadata!I238,"human-skin"),exact(metadata!I238,"human-oral"),exact(metadata!I238,"human-gut"),exact(metadata!I238,"human-vaginal"),exact(metadata!I238,"microbial mat/biofilm"),exact(metadata!I238,"misc environment"),exact(metadata!I238,"plant-associated"),exact(metadata!I238,"sediment"),exact(metadata!I238,"soil"),exact(metadata!I238,"wastewater/sludge"),exact(metadata!I238,"water"))))</f>
        <v>0</v>
      </c>
      <c r="AJ238">
        <f>IF(metadata!J238="",FALSE,TRUE)</f>
        <v>0</v>
      </c>
      <c r="AK238">
        <f>OR(AND(IF(metadata!K238="",FALSE,TRUE),OR(exact(metadata!K238,"missing: not collected"),exact(metadata!K238,"missing: not provided"),exact(metadata!K238,"missing: restricted access"))),AND(IF(metadata!K238="",FALSE,ISNUMBER(VALUE(metadata!K238))),metadata!K238&gt;=-90.00,metadata!K238&lt;=90.00))</f>
        <v>0</v>
      </c>
      <c r="AL238">
        <f>OR(AND(IF(metadata!L238="",FALSE,TRUE),OR(exact(metadata!L238,"missing: not collected"),exact(metadata!L238,"missing: not provided"),exact(metadata!L238,"missing: restricted access"))),AND(IF(metadata!L238="",FALSE,ISNUMBER(VALUE(metadata!L238))),metadata!L238&gt;=-180.00,metadata!L238&lt;=180.00))</f>
        <v>0</v>
      </c>
      <c r="AM238">
        <f>IF(metadata!M238="",FALSE,TRUE)</f>
        <v>0</v>
      </c>
      <c r="AN238">
        <f>OR(AND(IF(metadata!N238="",FALSE,TRUE),OR(exact(metadata!N238,"missing: not collected"),exact(metadata!N238,"missing: not provided"),exact(metadata!N238,"missing: restricted access"))),AND(IF(metadata!N238="",FALSE,TRUE),OR(exact(metadata!N238,"TRUE"),exact(metadata!N238,"FALSE"))))</f>
        <v>0</v>
      </c>
      <c r="AO238">
        <f>IF(metadata!O238="",FALSE,TRUE)</f>
        <v>0</v>
      </c>
      <c r="AP238">
        <f>OR(AND(IF(metadata!P238="",FALSE,TRUE),OR(exact(metadata!P238,"missing: not collected"),exact(metadata!P238,"missing: not provided"))),AND(IF(metadata!P238="",FALSE,IF(ISERROR(INT(metadata!P238)),FALSE,INT(metadata!P238)=metadata!P238)),metadata!P238&gt;0))</f>
        <v>0</v>
      </c>
      <c r="AQ238">
        <f>IF(metadata!Q238="",FALSE,TRUE)</f>
        <v>0</v>
      </c>
    </row>
    <row r="239" spans="1:43">
      <c r="A239" s="5">
        <f>IF(B239=" "," ",HYPERLINK(CONCATENATE("#metadata!",ADDRESS(INDEX($W$2:$W$1001,MATCH(ROWS($U$2:U239),$U$2:$U$1001,0),0),1)),INDEX($Z$2:$Z$1001,MATCH(ROWS($U$2:U239),$U$2:$U$1001,0),0)))</f>
        <v>0</v>
      </c>
      <c r="B239" s="4">
        <f>IF(OR(INDEX($V$2:$V$1001,MATCH(ROWS($U$2:U239),$U$2:$U$1001,0),1)&gt;=100000,INDEX($AB$1005:$AQ$1005,1,MATCH(COLUMNS($AB$1006:AB1006),$AB$1006:$AQ$1006,0))&gt;=100000), " ",IF(INDEX($AB$2:$AQ$1001,MATCH(ROWS($U$2:U239),$U$2:$U$1001,0),MATCH(COLUMNS($AB$1006:AB1006),$AB$1006:$AQ$1006,0)), HYPERLINK("#",""), HYPERLINK(CONCATENATE("#metadata!", ADDRESS(INDEX($W$2:$W$1001,MATCH(ROWS($U$2:U239),$U$2:$U$1001,0),0), INDEX($AB$1004:$AQ$1004,1,MATCH(COLUMNS($AB$1006:AB1006),$AB$1006:$AQ$1006,0)))),"Fix")))</f>
        <v>0</v>
      </c>
      <c r="C239" s="4">
        <f>IF(OR(INDEX($V$2:$V$1001,MATCH(ROWS($U$2:U239),$U$2:$U$1001,0),1)&gt;=100000,INDEX($AB$1005:$AQ$1005,1,MATCH(COLUMNS($AB$1006:AC1006),$AB$1006:$AQ$1006,0))&gt;=100000), " ",IF(INDEX($AB$2:$AQ$1001,MATCH(ROWS($U$2:U239),$U$2:$U$1001,0),MATCH(COLUMNS($AB$1006:AC1006),$AB$1006:$AQ$1006,0)), HYPERLINK("#",""), HYPERLINK(CONCATENATE("#metadata!", ADDRESS(INDEX($W$2:$W$1001,MATCH(ROWS($U$2:U239),$U$2:$U$1001,0),0), INDEX($AB$1004:$AQ$1004,1,MATCH(COLUMNS($AB$1006:AC1006),$AB$1006:$AQ$1006,0)))),"Fix")))</f>
        <v>0</v>
      </c>
      <c r="D239" s="4">
        <f>IF(OR(INDEX($V$2:$V$1001,MATCH(ROWS($U$2:U239),$U$2:$U$1001,0),1)&gt;=100000,INDEX($AB$1005:$AQ$1005,1,MATCH(COLUMNS($AB$1006:AD1006),$AB$1006:$AQ$1006,0))&gt;=100000), " ",IF(INDEX($AB$2:$AQ$1001,MATCH(ROWS($U$2:U239),$U$2:$U$1001,0),MATCH(COLUMNS($AB$1006:AD1006),$AB$1006:$AQ$1006,0)), HYPERLINK("#",""), HYPERLINK(CONCATENATE("#metadata!", ADDRESS(INDEX($W$2:$W$1001,MATCH(ROWS($U$2:U239),$U$2:$U$1001,0),0), INDEX($AB$1004:$AQ$1004,1,MATCH(COLUMNS($AB$1006:AD1006),$AB$1006:$AQ$1006,0)))),"Fix")))</f>
        <v>0</v>
      </c>
      <c r="E239" s="4">
        <f>IF(OR(INDEX($V$2:$V$1001,MATCH(ROWS($U$2:U239),$U$2:$U$1001,0),1)&gt;=100000,INDEX($AB$1005:$AQ$1005,1,MATCH(COLUMNS($AB$1006:AE1006),$AB$1006:$AQ$1006,0))&gt;=100000), " ",IF(INDEX($AB$2:$AQ$1001,MATCH(ROWS($U$2:U239),$U$2:$U$1001,0),MATCH(COLUMNS($AB$1006:AE1006),$AB$1006:$AQ$1006,0)), HYPERLINK("#",""), HYPERLINK(CONCATENATE("#metadata!", ADDRESS(INDEX($W$2:$W$1001,MATCH(ROWS($U$2:U239),$U$2:$U$1001,0),0), INDEX($AB$1004:$AQ$1004,1,MATCH(COLUMNS($AB$1006:AE1006),$AB$1006:$AQ$1006,0)))),"Fix")))</f>
        <v>0</v>
      </c>
      <c r="F239" s="4">
        <f>IF(OR(INDEX($V$2:$V$1001,MATCH(ROWS($U$2:U239),$U$2:$U$1001,0),1)&gt;=100000,INDEX($AB$1005:$AQ$1005,1,MATCH(COLUMNS($AB$1006:AF1006),$AB$1006:$AQ$1006,0))&gt;=100000), " ",IF(INDEX($AB$2:$AQ$1001,MATCH(ROWS($U$2:U239),$U$2:$U$1001,0),MATCH(COLUMNS($AB$1006:AF1006),$AB$1006:$AQ$1006,0)), HYPERLINK("#",""), HYPERLINK(CONCATENATE("#metadata!", ADDRESS(INDEX($W$2:$W$1001,MATCH(ROWS($U$2:U239),$U$2:$U$1001,0),0), INDEX($AB$1004:$AQ$1004,1,MATCH(COLUMNS($AB$1006:AF1006),$AB$1006:$AQ$1006,0)))),"Fix")))</f>
        <v>0</v>
      </c>
      <c r="G239" s="4">
        <f>IF(OR(INDEX($V$2:$V$1001,MATCH(ROWS($U$2:U239),$U$2:$U$1001,0),1)&gt;=100000,INDEX($AB$1005:$AQ$1005,1,MATCH(COLUMNS($AB$1006:AG1006),$AB$1006:$AQ$1006,0))&gt;=100000), " ",IF(INDEX($AB$2:$AQ$1001,MATCH(ROWS($U$2:U239),$U$2:$U$1001,0),MATCH(COLUMNS($AB$1006:AG1006),$AB$1006:$AQ$1006,0)), HYPERLINK("#",""), HYPERLINK(CONCATENATE("#metadata!", ADDRESS(INDEX($W$2:$W$1001,MATCH(ROWS($U$2:U239),$U$2:$U$1001,0),0), INDEX($AB$1004:$AQ$1004,1,MATCH(COLUMNS($AB$1006:AG1006),$AB$1006:$AQ$1006,0)))),"Fix")))</f>
        <v>0</v>
      </c>
      <c r="H239" s="4">
        <f>IF(OR(INDEX($V$2:$V$1001,MATCH(ROWS($U$2:U239),$U$2:$U$1001,0),1)&gt;=100000,INDEX($AB$1005:$AQ$1005,1,MATCH(COLUMNS($AB$1006:AH1006),$AB$1006:$AQ$1006,0))&gt;=100000), " ",IF(INDEX($AB$2:$AQ$1001,MATCH(ROWS($U$2:U239),$U$2:$U$1001,0),MATCH(COLUMNS($AB$1006:AH1006),$AB$1006:$AQ$1006,0)), HYPERLINK("#",""), HYPERLINK(CONCATENATE("#metadata!", ADDRESS(INDEX($W$2:$W$1001,MATCH(ROWS($U$2:U239),$U$2:$U$1001,0),0), INDEX($AB$1004:$AQ$1004,1,MATCH(COLUMNS($AB$1006:AH1006),$AB$1006:$AQ$1006,0)))),"Fix")))</f>
        <v>0</v>
      </c>
      <c r="I239" s="4">
        <f>IF(OR(INDEX($V$2:$V$1001,MATCH(ROWS($U$2:U239),$U$2:$U$1001,0),1)&gt;=100000,INDEX($AB$1005:$AQ$1005,1,MATCH(COLUMNS($AB$1006:AI1006),$AB$1006:$AQ$1006,0))&gt;=100000), " ",IF(INDEX($AB$2:$AQ$1001,MATCH(ROWS($U$2:U239),$U$2:$U$1001,0),MATCH(COLUMNS($AB$1006:AI1006),$AB$1006:$AQ$1006,0)), HYPERLINK("#",""), HYPERLINK(CONCATENATE("#metadata!", ADDRESS(INDEX($W$2:$W$1001,MATCH(ROWS($U$2:U239),$U$2:$U$1001,0),0), INDEX($AB$1004:$AQ$1004,1,MATCH(COLUMNS($AB$1006:AI1006),$AB$1006:$AQ$1006,0)))),"Fix")))</f>
        <v>0</v>
      </c>
      <c r="J239" s="4">
        <f>IF(OR(INDEX($V$2:$V$1001,MATCH(ROWS($U$2:U239),$U$2:$U$1001,0),1)&gt;=100000,INDEX($AB$1005:$AQ$1005,1,MATCH(COLUMNS($AB$1006:AJ1006),$AB$1006:$AQ$1006,0))&gt;=100000), " ",IF(INDEX($AB$2:$AQ$1001,MATCH(ROWS($U$2:U239),$U$2:$U$1001,0),MATCH(COLUMNS($AB$1006:AJ1006),$AB$1006:$AQ$1006,0)), HYPERLINK("#",""), HYPERLINK(CONCATENATE("#metadata!", ADDRESS(INDEX($W$2:$W$1001,MATCH(ROWS($U$2:U239),$U$2:$U$1001,0),0), INDEX($AB$1004:$AQ$1004,1,MATCH(COLUMNS($AB$1006:AJ1006),$AB$1006:$AQ$1006,0)))),"Fix")))</f>
        <v>0</v>
      </c>
      <c r="K239" s="4">
        <f>IF(OR(INDEX($V$2:$V$1001,MATCH(ROWS($U$2:U239),$U$2:$U$1001,0),1)&gt;=100000,INDEX($AB$1005:$AQ$1005,1,MATCH(COLUMNS($AB$1006:AK1006),$AB$1006:$AQ$1006,0))&gt;=100000), " ",IF(INDEX($AB$2:$AQ$1001,MATCH(ROWS($U$2:U239),$U$2:$U$1001,0),MATCH(COLUMNS($AB$1006:AK1006),$AB$1006:$AQ$1006,0)), HYPERLINK("#",""), HYPERLINK(CONCATENATE("#metadata!", ADDRESS(INDEX($W$2:$W$1001,MATCH(ROWS($U$2:U239),$U$2:$U$1001,0),0), INDEX($AB$1004:$AQ$1004,1,MATCH(COLUMNS($AB$1006:AK1006),$AB$1006:$AQ$1006,0)))),"Fix")))</f>
        <v>0</v>
      </c>
      <c r="L239" s="4">
        <f>IF(OR(INDEX($V$2:$V$1001,MATCH(ROWS($U$2:U239),$U$2:$U$1001,0),1)&gt;=100000,INDEX($AB$1005:$AQ$1005,1,MATCH(COLUMNS($AB$1006:AL1006),$AB$1006:$AQ$1006,0))&gt;=100000), " ",IF(INDEX($AB$2:$AQ$1001,MATCH(ROWS($U$2:U239),$U$2:$U$1001,0),MATCH(COLUMNS($AB$1006:AL1006),$AB$1006:$AQ$1006,0)), HYPERLINK("#",""), HYPERLINK(CONCATENATE("#metadata!", ADDRESS(INDEX($W$2:$W$1001,MATCH(ROWS($U$2:U239),$U$2:$U$1001,0),0), INDEX($AB$1004:$AQ$1004,1,MATCH(COLUMNS($AB$1006:AL1006),$AB$1006:$AQ$1006,0)))),"Fix")))</f>
        <v>0</v>
      </c>
      <c r="M239" s="4">
        <f>IF(OR(INDEX($V$2:$V$1001,MATCH(ROWS($U$2:U239),$U$2:$U$1001,0),1)&gt;=100000,INDEX($AB$1005:$AQ$1005,1,MATCH(COLUMNS($AB$1006:AM1006),$AB$1006:$AQ$1006,0))&gt;=100000), " ",IF(INDEX($AB$2:$AQ$1001,MATCH(ROWS($U$2:U239),$U$2:$U$1001,0),MATCH(COLUMNS($AB$1006:AM1006),$AB$1006:$AQ$1006,0)), HYPERLINK("#",""), HYPERLINK(CONCATENATE("#metadata!", ADDRESS(INDEX($W$2:$W$1001,MATCH(ROWS($U$2:U239),$U$2:$U$1001,0),0), INDEX($AB$1004:$AQ$1004,1,MATCH(COLUMNS($AB$1006:AM1006),$AB$1006:$AQ$1006,0)))),"Fix")))</f>
        <v>0</v>
      </c>
      <c r="N239" s="4">
        <f>IF(OR(INDEX($V$2:$V$1001,MATCH(ROWS($U$2:U239),$U$2:$U$1001,0),1)&gt;=100000,INDEX($AB$1005:$AQ$1005,1,MATCH(COLUMNS($AB$1006:AN1006),$AB$1006:$AQ$1006,0))&gt;=100000), " ",IF(INDEX($AB$2:$AQ$1001,MATCH(ROWS($U$2:U239),$U$2:$U$1001,0),MATCH(COLUMNS($AB$1006:AN1006),$AB$1006:$AQ$1006,0)), HYPERLINK("#",""), HYPERLINK(CONCATENATE("#metadata!", ADDRESS(INDEX($W$2:$W$1001,MATCH(ROWS($U$2:U239),$U$2:$U$1001,0),0), INDEX($AB$1004:$AQ$1004,1,MATCH(COLUMNS($AB$1006:AN1006),$AB$1006:$AQ$1006,0)))),"Fix")))</f>
        <v>0</v>
      </c>
      <c r="O239" s="4">
        <f>IF(OR(INDEX($V$2:$V$1001,MATCH(ROWS($U$2:U239),$U$2:$U$1001,0),1)&gt;=100000,INDEX($AB$1005:$AQ$1005,1,MATCH(COLUMNS($AB$1006:AO1006),$AB$1006:$AQ$1006,0))&gt;=100000), " ",IF(INDEX($AB$2:$AQ$1001,MATCH(ROWS($U$2:U239),$U$2:$U$1001,0),MATCH(COLUMNS($AB$1006:AO1006),$AB$1006:$AQ$1006,0)), HYPERLINK("#",""), HYPERLINK(CONCATENATE("#metadata!", ADDRESS(INDEX($W$2:$W$1001,MATCH(ROWS($U$2:U239),$U$2:$U$1001,0),0), INDEX($AB$1004:$AQ$1004,1,MATCH(COLUMNS($AB$1006:AO1006),$AB$1006:$AQ$1006,0)))),"Fix")))</f>
        <v>0</v>
      </c>
      <c r="P239" s="4">
        <f>IF(OR(INDEX($V$2:$V$1001,MATCH(ROWS($U$2:U239),$U$2:$U$1001,0),1)&gt;=100000,INDEX($AB$1005:$AQ$1005,1,MATCH(COLUMNS($AB$1006:AP1006),$AB$1006:$AQ$1006,0))&gt;=100000), " ",IF(INDEX($AB$2:$AQ$1001,MATCH(ROWS($U$2:U239),$U$2:$U$1001,0),MATCH(COLUMNS($AB$1006:AP1006),$AB$1006:$AQ$1006,0)), HYPERLINK("#",""), HYPERLINK(CONCATENATE("#metadata!", ADDRESS(INDEX($W$2:$W$1001,MATCH(ROWS($U$2:U239),$U$2:$U$1001,0),0), INDEX($AB$1004:$AQ$1004,1,MATCH(COLUMNS($AB$1006:AP1006),$AB$1006:$AQ$1006,0)))),"Fix")))</f>
        <v>0</v>
      </c>
      <c r="Q239" s="4">
        <f>IF(OR(INDEX($V$2:$V$1001,MATCH(ROWS($U$2:U239),$U$2:$U$1001,0),1)&gt;=100000,INDEX($AB$1005:$AQ$1005,1,MATCH(COLUMNS($AB$1006:AQ1006),$AB$1006:$AQ$1006,0))&gt;=100000), " ",IF(INDEX($AB$2:$AQ$1001,MATCH(ROWS($U$2:U239),$U$2:$U$1001,0),MATCH(COLUMNS($AB$1006:AQ1006),$AB$1006:$AQ$1006,0)), HYPERLINK("#",""), HYPERLINK(CONCATENATE("#metadata!", ADDRESS(INDEX($W$2:$W$1001,MATCH(ROWS($U$2:U239),$U$2:$U$1001,0),0), INDEX($AB$1004:$AQ$1004,1,MATCH(COLUMNS($AB$1006:AQ1006),$AB$1006:$AQ$1006,0)))),"Fix")))</f>
        <v>0</v>
      </c>
      <c r="U239">
        <v>0</v>
      </c>
      <c r="V239">
        <v>0</v>
      </c>
      <c r="W239">
        <v>0</v>
      </c>
      <c r="X239">
        <f>IF(Y239,TRUE,AND(AB239:AQ239))</f>
        <v>0</v>
      </c>
      <c r="Y239">
        <f>COUNTBLANK(metadata!B239:Q239)=COLUMNS(metadata!B239:Q239)</f>
        <v>0</v>
      </c>
      <c r="Z239">
        <v>0</v>
      </c>
      <c r="AB239">
        <f>AND(IF(metadata!B239="",FALSE,TRUE),COUNTIF(metadata!B:B, metadata!B239) = 1,NOT(ISERROR(SUMPRODUCT(SEARCH(MID(metadata!B239,ROW(INDIRECT("1:"&amp;LEN(metadata!B239))), 1),"0123456789abcdefghijklmnopqrstuvwxyzABCDEFGHIJKLMNOPQRSTUVWXYZ.")))))</f>
        <v>0</v>
      </c>
      <c r="AC239">
        <f>OR(AND(IF(metadata!C239="",FALSE,TRUE),OR(exact(metadata!C239,"missing: not collected"),exact(metadata!C239,"missing: not provided"),exact(metadata!C239,"missing: restricted access"))),AND(IF(metadata!C239="",FALSE,TRUE),AND(AND(IFERROR(INT(LEFT(metadata!C239,4))&gt;1900,FALSE),IFERROR(INT(LEFT(metadata!C239,4))&lt;=YEAR(NOW()),FALSE)), OR(MID(metadata!C239,5,1)="", AND(AND(MID(metadata!C239,5,1)="-",IFERROR(INT(MID(metadata!C239,6,1))&gt;=0,FALSE),IFERROR(INT(MID(metadata!C239,6,1))&lt;=1,FALSE),NOT(MID(metadata!C239,7,1)=""),IFERROR(INT(MID(metadata!C239,6,2))&gt;=1,FALSE),IFERROR(INT(MID(metadata!C239,6,2))&lt;=12,FALSE)), OR(MID(metadata!C239,8,1)="", AND(AND(MID(metadata!C239,8,1)="-",IFERROR(INT(MID(metadata!C239,9,1))&gt;=0,FALSE),IFERROR(INT(MID(metadata!C239,9,1))&lt;=3,FALSE),NOT(MID(metadata!C239,10,1)=""),IFERROR(INT(MID(metadata!C239,9,2))&gt;=1,FALSE),IFERROR(INT(MID(metadata!C239,9,2))&lt;=31,FALSE)), OR(MID(metadata!C239,11,1)="", AND(AND(MID(metadata!C239,11,1)=" ",IFERROR(INT(MID(metadata!C239,12,1))&gt;=0,FALSE),IFERROR(INT(MID(metadata!C239,12,1))&lt;=2,FALSE),NOT(MID(metadata!C239,13,1)=""),IFERROR(INT(MID(metadata!C239,12,2))&gt;=0,FALSE),IFERROR(INT(MID(metadata!C239,12,2))&lt;=23,FALSE)), OR(MID(metadata!C239,14,1)="", AND(AND(MID(metadata!C239,14,1)=":",IFERROR(INT(MID(metadata!C239,15,1))&gt;=0,FALSE),IFERROR(INT(MID(metadata!C239,15,1))&lt;=5,FALSE),NOT(MID(metadata!C239,16,1)=""),IFERROR(INT(MID(metadata!C239,15,2))&gt;=0,FALSE),IFERROR(INT(MID(metadata!C239,15,2))&lt;=59,FALSE)), OR(MID(metadata!C239,17,1)="", AND(AND(MID(metadata!C239,17,1)=":",IFERROR(INT(MID(metadata!C239,18,1))&gt;=0,FALSE),IFERROR(INT(MID(metadata!C239,18,1))&lt;=5,FALSE),NOT(MID(metadata!C239,19,1)=""),IFERROR(INT(MID(metadata!C239,18,2))&gt;=0,FALSE),IFERROR(INT(MID(metadata!C239,18,2))&lt;=59,FALSE)), LEN(metadata!C239)&lt;=19)))))))))))))</f>
        <v>0</v>
      </c>
      <c r="AD239">
        <f>IF(metadata!D239="",FALSE,TRUE)</f>
        <v>0</v>
      </c>
      <c r="AE239">
        <f>OR(AND(IF(metadata!E239="",FALSE,TRUE),OR(exact(metadata!E239,"missing: not collected"),exact(metadata!E239,"missing: not provided"))),AND(IF(metadata!E239="",FALSE,TRUE),OR(exact(metadata!E239,"TRUE"),exact(metadata!E239,"FALSE"))))</f>
        <v>0</v>
      </c>
      <c r="AF239">
        <f>IF(metadata!F239="",FALSE,TRUE)</f>
        <v>0</v>
      </c>
      <c r="AG239">
        <f>IF(metadata!G239="",FALSE,TRUE)</f>
        <v>0</v>
      </c>
      <c r="AH239">
        <f>IF(metadata!H239="",FALSE,TRUE)</f>
        <v>0</v>
      </c>
      <c r="AI239">
        <f>OR(AND(IF(metadata!I239="",FALSE,TRUE),OR(exact(metadata!I239,"missing: not collected"),exact(metadata!I239,"missing: not provided"),exact(metadata!I239,"missing: restricted access"))),AND(IF(metadata!I239="",FALSE,TRUE),OR(exact(metadata!I239,"air"),exact(metadata!I239,"built environment"),exact(metadata!I239,"host-associated"),exact(metadata!I239,"human-associated"),exact(metadata!I239,"human-skin"),exact(metadata!I239,"human-oral"),exact(metadata!I239,"human-gut"),exact(metadata!I239,"human-vaginal"),exact(metadata!I239,"microbial mat/biofilm"),exact(metadata!I239,"misc environment"),exact(metadata!I239,"plant-associated"),exact(metadata!I239,"sediment"),exact(metadata!I239,"soil"),exact(metadata!I239,"wastewater/sludge"),exact(metadata!I239,"water"))))</f>
        <v>0</v>
      </c>
      <c r="AJ239">
        <f>IF(metadata!J239="",FALSE,TRUE)</f>
        <v>0</v>
      </c>
      <c r="AK239">
        <f>OR(AND(IF(metadata!K239="",FALSE,TRUE),OR(exact(metadata!K239,"missing: not collected"),exact(metadata!K239,"missing: not provided"),exact(metadata!K239,"missing: restricted access"))),AND(IF(metadata!K239="",FALSE,ISNUMBER(VALUE(metadata!K239))),metadata!K239&gt;=-90.00,metadata!K239&lt;=90.00))</f>
        <v>0</v>
      </c>
      <c r="AL239">
        <f>OR(AND(IF(metadata!L239="",FALSE,TRUE),OR(exact(metadata!L239,"missing: not collected"),exact(metadata!L239,"missing: not provided"),exact(metadata!L239,"missing: restricted access"))),AND(IF(metadata!L239="",FALSE,ISNUMBER(VALUE(metadata!L239))),metadata!L239&gt;=-180.00,metadata!L239&lt;=180.00))</f>
        <v>0</v>
      </c>
      <c r="AM239">
        <f>IF(metadata!M239="",FALSE,TRUE)</f>
        <v>0</v>
      </c>
      <c r="AN239">
        <f>OR(AND(IF(metadata!N239="",FALSE,TRUE),OR(exact(metadata!N239,"missing: not collected"),exact(metadata!N239,"missing: not provided"),exact(metadata!N239,"missing: restricted access"))),AND(IF(metadata!N239="",FALSE,TRUE),OR(exact(metadata!N239,"TRUE"),exact(metadata!N239,"FALSE"))))</f>
        <v>0</v>
      </c>
      <c r="AO239">
        <f>IF(metadata!O239="",FALSE,TRUE)</f>
        <v>0</v>
      </c>
      <c r="AP239">
        <f>OR(AND(IF(metadata!P239="",FALSE,TRUE),OR(exact(metadata!P239,"missing: not collected"),exact(metadata!P239,"missing: not provided"))),AND(IF(metadata!P239="",FALSE,IF(ISERROR(INT(metadata!P239)),FALSE,INT(metadata!P239)=metadata!P239)),metadata!P239&gt;0))</f>
        <v>0</v>
      </c>
      <c r="AQ239">
        <f>IF(metadata!Q239="",FALSE,TRUE)</f>
        <v>0</v>
      </c>
    </row>
    <row r="240" spans="1:43">
      <c r="A240" s="5">
        <f>IF(B240=" "," ",HYPERLINK(CONCATENATE("#metadata!",ADDRESS(INDEX($W$2:$W$1001,MATCH(ROWS($U$2:U240),$U$2:$U$1001,0),0),1)),INDEX($Z$2:$Z$1001,MATCH(ROWS($U$2:U240),$U$2:$U$1001,0),0)))</f>
        <v>0</v>
      </c>
      <c r="B240" s="4">
        <f>IF(OR(INDEX($V$2:$V$1001,MATCH(ROWS($U$2:U240),$U$2:$U$1001,0),1)&gt;=100000,INDEX($AB$1005:$AQ$1005,1,MATCH(COLUMNS($AB$1006:AB1006),$AB$1006:$AQ$1006,0))&gt;=100000), " ",IF(INDEX($AB$2:$AQ$1001,MATCH(ROWS($U$2:U240),$U$2:$U$1001,0),MATCH(COLUMNS($AB$1006:AB1006),$AB$1006:$AQ$1006,0)), HYPERLINK("#",""), HYPERLINK(CONCATENATE("#metadata!", ADDRESS(INDEX($W$2:$W$1001,MATCH(ROWS($U$2:U240),$U$2:$U$1001,0),0), INDEX($AB$1004:$AQ$1004,1,MATCH(COLUMNS($AB$1006:AB1006),$AB$1006:$AQ$1006,0)))),"Fix")))</f>
        <v>0</v>
      </c>
      <c r="C240" s="4">
        <f>IF(OR(INDEX($V$2:$V$1001,MATCH(ROWS($U$2:U240),$U$2:$U$1001,0),1)&gt;=100000,INDEX($AB$1005:$AQ$1005,1,MATCH(COLUMNS($AB$1006:AC1006),$AB$1006:$AQ$1006,0))&gt;=100000), " ",IF(INDEX($AB$2:$AQ$1001,MATCH(ROWS($U$2:U240),$U$2:$U$1001,0),MATCH(COLUMNS($AB$1006:AC1006),$AB$1006:$AQ$1006,0)), HYPERLINK("#",""), HYPERLINK(CONCATENATE("#metadata!", ADDRESS(INDEX($W$2:$W$1001,MATCH(ROWS($U$2:U240),$U$2:$U$1001,0),0), INDEX($AB$1004:$AQ$1004,1,MATCH(COLUMNS($AB$1006:AC1006),$AB$1006:$AQ$1006,0)))),"Fix")))</f>
        <v>0</v>
      </c>
      <c r="D240" s="4">
        <f>IF(OR(INDEX($V$2:$V$1001,MATCH(ROWS($U$2:U240),$U$2:$U$1001,0),1)&gt;=100000,INDEX($AB$1005:$AQ$1005,1,MATCH(COLUMNS($AB$1006:AD1006),$AB$1006:$AQ$1006,0))&gt;=100000), " ",IF(INDEX($AB$2:$AQ$1001,MATCH(ROWS($U$2:U240),$U$2:$U$1001,0),MATCH(COLUMNS($AB$1006:AD1006),$AB$1006:$AQ$1006,0)), HYPERLINK("#",""), HYPERLINK(CONCATENATE("#metadata!", ADDRESS(INDEX($W$2:$W$1001,MATCH(ROWS($U$2:U240),$U$2:$U$1001,0),0), INDEX($AB$1004:$AQ$1004,1,MATCH(COLUMNS($AB$1006:AD1006),$AB$1006:$AQ$1006,0)))),"Fix")))</f>
        <v>0</v>
      </c>
      <c r="E240" s="4">
        <f>IF(OR(INDEX($V$2:$V$1001,MATCH(ROWS($U$2:U240),$U$2:$U$1001,0),1)&gt;=100000,INDEX($AB$1005:$AQ$1005,1,MATCH(COLUMNS($AB$1006:AE1006),$AB$1006:$AQ$1006,0))&gt;=100000), " ",IF(INDEX($AB$2:$AQ$1001,MATCH(ROWS($U$2:U240),$U$2:$U$1001,0),MATCH(COLUMNS($AB$1006:AE1006),$AB$1006:$AQ$1006,0)), HYPERLINK("#",""), HYPERLINK(CONCATENATE("#metadata!", ADDRESS(INDEX($W$2:$W$1001,MATCH(ROWS($U$2:U240),$U$2:$U$1001,0),0), INDEX($AB$1004:$AQ$1004,1,MATCH(COLUMNS($AB$1006:AE1006),$AB$1006:$AQ$1006,0)))),"Fix")))</f>
        <v>0</v>
      </c>
      <c r="F240" s="4">
        <f>IF(OR(INDEX($V$2:$V$1001,MATCH(ROWS($U$2:U240),$U$2:$U$1001,0),1)&gt;=100000,INDEX($AB$1005:$AQ$1005,1,MATCH(COLUMNS($AB$1006:AF1006),$AB$1006:$AQ$1006,0))&gt;=100000), " ",IF(INDEX($AB$2:$AQ$1001,MATCH(ROWS($U$2:U240),$U$2:$U$1001,0),MATCH(COLUMNS($AB$1006:AF1006),$AB$1006:$AQ$1006,0)), HYPERLINK("#",""), HYPERLINK(CONCATENATE("#metadata!", ADDRESS(INDEX($W$2:$W$1001,MATCH(ROWS($U$2:U240),$U$2:$U$1001,0),0), INDEX($AB$1004:$AQ$1004,1,MATCH(COLUMNS($AB$1006:AF1006),$AB$1006:$AQ$1006,0)))),"Fix")))</f>
        <v>0</v>
      </c>
      <c r="G240" s="4">
        <f>IF(OR(INDEX($V$2:$V$1001,MATCH(ROWS($U$2:U240),$U$2:$U$1001,0),1)&gt;=100000,INDEX($AB$1005:$AQ$1005,1,MATCH(COLUMNS($AB$1006:AG1006),$AB$1006:$AQ$1006,0))&gt;=100000), " ",IF(INDEX($AB$2:$AQ$1001,MATCH(ROWS($U$2:U240),$U$2:$U$1001,0),MATCH(COLUMNS($AB$1006:AG1006),$AB$1006:$AQ$1006,0)), HYPERLINK("#",""), HYPERLINK(CONCATENATE("#metadata!", ADDRESS(INDEX($W$2:$W$1001,MATCH(ROWS($U$2:U240),$U$2:$U$1001,0),0), INDEX($AB$1004:$AQ$1004,1,MATCH(COLUMNS($AB$1006:AG1006),$AB$1006:$AQ$1006,0)))),"Fix")))</f>
        <v>0</v>
      </c>
      <c r="H240" s="4">
        <f>IF(OR(INDEX($V$2:$V$1001,MATCH(ROWS($U$2:U240),$U$2:$U$1001,0),1)&gt;=100000,INDEX($AB$1005:$AQ$1005,1,MATCH(COLUMNS($AB$1006:AH1006),$AB$1006:$AQ$1006,0))&gt;=100000), " ",IF(INDEX($AB$2:$AQ$1001,MATCH(ROWS($U$2:U240),$U$2:$U$1001,0),MATCH(COLUMNS($AB$1006:AH1006),$AB$1006:$AQ$1006,0)), HYPERLINK("#",""), HYPERLINK(CONCATENATE("#metadata!", ADDRESS(INDEX($W$2:$W$1001,MATCH(ROWS($U$2:U240),$U$2:$U$1001,0),0), INDEX($AB$1004:$AQ$1004,1,MATCH(COLUMNS($AB$1006:AH1006),$AB$1006:$AQ$1006,0)))),"Fix")))</f>
        <v>0</v>
      </c>
      <c r="I240" s="4">
        <f>IF(OR(INDEX($V$2:$V$1001,MATCH(ROWS($U$2:U240),$U$2:$U$1001,0),1)&gt;=100000,INDEX($AB$1005:$AQ$1005,1,MATCH(COLUMNS($AB$1006:AI1006),$AB$1006:$AQ$1006,0))&gt;=100000), " ",IF(INDEX($AB$2:$AQ$1001,MATCH(ROWS($U$2:U240),$U$2:$U$1001,0),MATCH(COLUMNS($AB$1006:AI1006),$AB$1006:$AQ$1006,0)), HYPERLINK("#",""), HYPERLINK(CONCATENATE("#metadata!", ADDRESS(INDEX($W$2:$W$1001,MATCH(ROWS($U$2:U240),$U$2:$U$1001,0),0), INDEX($AB$1004:$AQ$1004,1,MATCH(COLUMNS($AB$1006:AI1006),$AB$1006:$AQ$1006,0)))),"Fix")))</f>
        <v>0</v>
      </c>
      <c r="J240" s="4">
        <f>IF(OR(INDEX($V$2:$V$1001,MATCH(ROWS($U$2:U240),$U$2:$U$1001,0),1)&gt;=100000,INDEX($AB$1005:$AQ$1005,1,MATCH(COLUMNS($AB$1006:AJ1006),$AB$1006:$AQ$1006,0))&gt;=100000), " ",IF(INDEX($AB$2:$AQ$1001,MATCH(ROWS($U$2:U240),$U$2:$U$1001,0),MATCH(COLUMNS($AB$1006:AJ1006),$AB$1006:$AQ$1006,0)), HYPERLINK("#",""), HYPERLINK(CONCATENATE("#metadata!", ADDRESS(INDEX($W$2:$W$1001,MATCH(ROWS($U$2:U240),$U$2:$U$1001,0),0), INDEX($AB$1004:$AQ$1004,1,MATCH(COLUMNS($AB$1006:AJ1006),$AB$1006:$AQ$1006,0)))),"Fix")))</f>
        <v>0</v>
      </c>
      <c r="K240" s="4">
        <f>IF(OR(INDEX($V$2:$V$1001,MATCH(ROWS($U$2:U240),$U$2:$U$1001,0),1)&gt;=100000,INDEX($AB$1005:$AQ$1005,1,MATCH(COLUMNS($AB$1006:AK1006),$AB$1006:$AQ$1006,0))&gt;=100000), " ",IF(INDEX($AB$2:$AQ$1001,MATCH(ROWS($U$2:U240),$U$2:$U$1001,0),MATCH(COLUMNS($AB$1006:AK1006),$AB$1006:$AQ$1006,0)), HYPERLINK("#",""), HYPERLINK(CONCATENATE("#metadata!", ADDRESS(INDEX($W$2:$W$1001,MATCH(ROWS($U$2:U240),$U$2:$U$1001,0),0), INDEX($AB$1004:$AQ$1004,1,MATCH(COLUMNS($AB$1006:AK1006),$AB$1006:$AQ$1006,0)))),"Fix")))</f>
        <v>0</v>
      </c>
      <c r="L240" s="4">
        <f>IF(OR(INDEX($V$2:$V$1001,MATCH(ROWS($U$2:U240),$U$2:$U$1001,0),1)&gt;=100000,INDEX($AB$1005:$AQ$1005,1,MATCH(COLUMNS($AB$1006:AL1006),$AB$1006:$AQ$1006,0))&gt;=100000), " ",IF(INDEX($AB$2:$AQ$1001,MATCH(ROWS($U$2:U240),$U$2:$U$1001,0),MATCH(COLUMNS($AB$1006:AL1006),$AB$1006:$AQ$1006,0)), HYPERLINK("#",""), HYPERLINK(CONCATENATE("#metadata!", ADDRESS(INDEX($W$2:$W$1001,MATCH(ROWS($U$2:U240),$U$2:$U$1001,0),0), INDEX($AB$1004:$AQ$1004,1,MATCH(COLUMNS($AB$1006:AL1006),$AB$1006:$AQ$1006,0)))),"Fix")))</f>
        <v>0</v>
      </c>
      <c r="M240" s="4">
        <f>IF(OR(INDEX($V$2:$V$1001,MATCH(ROWS($U$2:U240),$U$2:$U$1001,0),1)&gt;=100000,INDEX($AB$1005:$AQ$1005,1,MATCH(COLUMNS($AB$1006:AM1006),$AB$1006:$AQ$1006,0))&gt;=100000), " ",IF(INDEX($AB$2:$AQ$1001,MATCH(ROWS($U$2:U240),$U$2:$U$1001,0),MATCH(COLUMNS($AB$1006:AM1006),$AB$1006:$AQ$1006,0)), HYPERLINK("#",""), HYPERLINK(CONCATENATE("#metadata!", ADDRESS(INDEX($W$2:$W$1001,MATCH(ROWS($U$2:U240),$U$2:$U$1001,0),0), INDEX($AB$1004:$AQ$1004,1,MATCH(COLUMNS($AB$1006:AM1006),$AB$1006:$AQ$1006,0)))),"Fix")))</f>
        <v>0</v>
      </c>
      <c r="N240" s="4">
        <f>IF(OR(INDEX($V$2:$V$1001,MATCH(ROWS($U$2:U240),$U$2:$U$1001,0),1)&gt;=100000,INDEX($AB$1005:$AQ$1005,1,MATCH(COLUMNS($AB$1006:AN1006),$AB$1006:$AQ$1006,0))&gt;=100000), " ",IF(INDEX($AB$2:$AQ$1001,MATCH(ROWS($U$2:U240),$U$2:$U$1001,0),MATCH(COLUMNS($AB$1006:AN1006),$AB$1006:$AQ$1006,0)), HYPERLINK("#",""), HYPERLINK(CONCATENATE("#metadata!", ADDRESS(INDEX($W$2:$W$1001,MATCH(ROWS($U$2:U240),$U$2:$U$1001,0),0), INDEX($AB$1004:$AQ$1004,1,MATCH(COLUMNS($AB$1006:AN1006),$AB$1006:$AQ$1006,0)))),"Fix")))</f>
        <v>0</v>
      </c>
      <c r="O240" s="4">
        <f>IF(OR(INDEX($V$2:$V$1001,MATCH(ROWS($U$2:U240),$U$2:$U$1001,0),1)&gt;=100000,INDEX($AB$1005:$AQ$1005,1,MATCH(COLUMNS($AB$1006:AO1006),$AB$1006:$AQ$1006,0))&gt;=100000), " ",IF(INDEX($AB$2:$AQ$1001,MATCH(ROWS($U$2:U240),$U$2:$U$1001,0),MATCH(COLUMNS($AB$1006:AO1006),$AB$1006:$AQ$1006,0)), HYPERLINK("#",""), HYPERLINK(CONCATENATE("#metadata!", ADDRESS(INDEX($W$2:$W$1001,MATCH(ROWS($U$2:U240),$U$2:$U$1001,0),0), INDEX($AB$1004:$AQ$1004,1,MATCH(COLUMNS($AB$1006:AO1006),$AB$1006:$AQ$1006,0)))),"Fix")))</f>
        <v>0</v>
      </c>
      <c r="P240" s="4">
        <f>IF(OR(INDEX($V$2:$V$1001,MATCH(ROWS($U$2:U240),$U$2:$U$1001,0),1)&gt;=100000,INDEX($AB$1005:$AQ$1005,1,MATCH(COLUMNS($AB$1006:AP1006),$AB$1006:$AQ$1006,0))&gt;=100000), " ",IF(INDEX($AB$2:$AQ$1001,MATCH(ROWS($U$2:U240),$U$2:$U$1001,0),MATCH(COLUMNS($AB$1006:AP1006),$AB$1006:$AQ$1006,0)), HYPERLINK("#",""), HYPERLINK(CONCATENATE("#metadata!", ADDRESS(INDEX($W$2:$W$1001,MATCH(ROWS($U$2:U240),$U$2:$U$1001,0),0), INDEX($AB$1004:$AQ$1004,1,MATCH(COLUMNS($AB$1006:AP1006),$AB$1006:$AQ$1006,0)))),"Fix")))</f>
        <v>0</v>
      </c>
      <c r="Q240" s="4">
        <f>IF(OR(INDEX($V$2:$V$1001,MATCH(ROWS($U$2:U240),$U$2:$U$1001,0),1)&gt;=100000,INDEX($AB$1005:$AQ$1005,1,MATCH(COLUMNS($AB$1006:AQ1006),$AB$1006:$AQ$1006,0))&gt;=100000), " ",IF(INDEX($AB$2:$AQ$1001,MATCH(ROWS($U$2:U240),$U$2:$U$1001,0),MATCH(COLUMNS($AB$1006:AQ1006),$AB$1006:$AQ$1006,0)), HYPERLINK("#",""), HYPERLINK(CONCATENATE("#metadata!", ADDRESS(INDEX($W$2:$W$1001,MATCH(ROWS($U$2:U240),$U$2:$U$1001,0),0), INDEX($AB$1004:$AQ$1004,1,MATCH(COLUMNS($AB$1006:AQ1006),$AB$1006:$AQ$1006,0)))),"Fix")))</f>
        <v>0</v>
      </c>
      <c r="U240">
        <v>0</v>
      </c>
      <c r="V240">
        <v>0</v>
      </c>
      <c r="W240">
        <v>0</v>
      </c>
      <c r="X240">
        <f>IF(Y240,TRUE,AND(AB240:AQ240))</f>
        <v>0</v>
      </c>
      <c r="Y240">
        <f>COUNTBLANK(metadata!B240:Q240)=COLUMNS(metadata!B240:Q240)</f>
        <v>0</v>
      </c>
      <c r="Z240">
        <v>0</v>
      </c>
      <c r="AB240">
        <f>AND(IF(metadata!B240="",FALSE,TRUE),COUNTIF(metadata!B:B, metadata!B240) = 1,NOT(ISERROR(SUMPRODUCT(SEARCH(MID(metadata!B240,ROW(INDIRECT("1:"&amp;LEN(metadata!B240))), 1),"0123456789abcdefghijklmnopqrstuvwxyzABCDEFGHIJKLMNOPQRSTUVWXYZ.")))))</f>
        <v>0</v>
      </c>
      <c r="AC240">
        <f>OR(AND(IF(metadata!C240="",FALSE,TRUE),OR(exact(metadata!C240,"missing: not collected"),exact(metadata!C240,"missing: not provided"),exact(metadata!C240,"missing: restricted access"))),AND(IF(metadata!C240="",FALSE,TRUE),AND(AND(IFERROR(INT(LEFT(metadata!C240,4))&gt;1900,FALSE),IFERROR(INT(LEFT(metadata!C240,4))&lt;=YEAR(NOW()),FALSE)), OR(MID(metadata!C240,5,1)="", AND(AND(MID(metadata!C240,5,1)="-",IFERROR(INT(MID(metadata!C240,6,1))&gt;=0,FALSE),IFERROR(INT(MID(metadata!C240,6,1))&lt;=1,FALSE),NOT(MID(metadata!C240,7,1)=""),IFERROR(INT(MID(metadata!C240,6,2))&gt;=1,FALSE),IFERROR(INT(MID(metadata!C240,6,2))&lt;=12,FALSE)), OR(MID(metadata!C240,8,1)="", AND(AND(MID(metadata!C240,8,1)="-",IFERROR(INT(MID(metadata!C240,9,1))&gt;=0,FALSE),IFERROR(INT(MID(metadata!C240,9,1))&lt;=3,FALSE),NOT(MID(metadata!C240,10,1)=""),IFERROR(INT(MID(metadata!C240,9,2))&gt;=1,FALSE),IFERROR(INT(MID(metadata!C240,9,2))&lt;=31,FALSE)), OR(MID(metadata!C240,11,1)="", AND(AND(MID(metadata!C240,11,1)=" ",IFERROR(INT(MID(metadata!C240,12,1))&gt;=0,FALSE),IFERROR(INT(MID(metadata!C240,12,1))&lt;=2,FALSE),NOT(MID(metadata!C240,13,1)=""),IFERROR(INT(MID(metadata!C240,12,2))&gt;=0,FALSE),IFERROR(INT(MID(metadata!C240,12,2))&lt;=23,FALSE)), OR(MID(metadata!C240,14,1)="", AND(AND(MID(metadata!C240,14,1)=":",IFERROR(INT(MID(metadata!C240,15,1))&gt;=0,FALSE),IFERROR(INT(MID(metadata!C240,15,1))&lt;=5,FALSE),NOT(MID(metadata!C240,16,1)=""),IFERROR(INT(MID(metadata!C240,15,2))&gt;=0,FALSE),IFERROR(INT(MID(metadata!C240,15,2))&lt;=59,FALSE)), OR(MID(metadata!C240,17,1)="", AND(AND(MID(metadata!C240,17,1)=":",IFERROR(INT(MID(metadata!C240,18,1))&gt;=0,FALSE),IFERROR(INT(MID(metadata!C240,18,1))&lt;=5,FALSE),NOT(MID(metadata!C240,19,1)=""),IFERROR(INT(MID(metadata!C240,18,2))&gt;=0,FALSE),IFERROR(INT(MID(metadata!C240,18,2))&lt;=59,FALSE)), LEN(metadata!C240)&lt;=19)))))))))))))</f>
        <v>0</v>
      </c>
      <c r="AD240">
        <f>IF(metadata!D240="",FALSE,TRUE)</f>
        <v>0</v>
      </c>
      <c r="AE240">
        <f>OR(AND(IF(metadata!E240="",FALSE,TRUE),OR(exact(metadata!E240,"missing: not collected"),exact(metadata!E240,"missing: not provided"))),AND(IF(metadata!E240="",FALSE,TRUE),OR(exact(metadata!E240,"TRUE"),exact(metadata!E240,"FALSE"))))</f>
        <v>0</v>
      </c>
      <c r="AF240">
        <f>IF(metadata!F240="",FALSE,TRUE)</f>
        <v>0</v>
      </c>
      <c r="AG240">
        <f>IF(metadata!G240="",FALSE,TRUE)</f>
        <v>0</v>
      </c>
      <c r="AH240">
        <f>IF(metadata!H240="",FALSE,TRUE)</f>
        <v>0</v>
      </c>
      <c r="AI240">
        <f>OR(AND(IF(metadata!I240="",FALSE,TRUE),OR(exact(metadata!I240,"missing: not collected"),exact(metadata!I240,"missing: not provided"),exact(metadata!I240,"missing: restricted access"))),AND(IF(metadata!I240="",FALSE,TRUE),OR(exact(metadata!I240,"air"),exact(metadata!I240,"built environment"),exact(metadata!I240,"host-associated"),exact(metadata!I240,"human-associated"),exact(metadata!I240,"human-skin"),exact(metadata!I240,"human-oral"),exact(metadata!I240,"human-gut"),exact(metadata!I240,"human-vaginal"),exact(metadata!I240,"microbial mat/biofilm"),exact(metadata!I240,"misc environment"),exact(metadata!I240,"plant-associated"),exact(metadata!I240,"sediment"),exact(metadata!I240,"soil"),exact(metadata!I240,"wastewater/sludge"),exact(metadata!I240,"water"))))</f>
        <v>0</v>
      </c>
      <c r="AJ240">
        <f>IF(metadata!J240="",FALSE,TRUE)</f>
        <v>0</v>
      </c>
      <c r="AK240">
        <f>OR(AND(IF(metadata!K240="",FALSE,TRUE),OR(exact(metadata!K240,"missing: not collected"),exact(metadata!K240,"missing: not provided"),exact(metadata!K240,"missing: restricted access"))),AND(IF(metadata!K240="",FALSE,ISNUMBER(VALUE(metadata!K240))),metadata!K240&gt;=-90.00,metadata!K240&lt;=90.00))</f>
        <v>0</v>
      </c>
      <c r="AL240">
        <f>OR(AND(IF(metadata!L240="",FALSE,TRUE),OR(exact(metadata!L240,"missing: not collected"),exact(metadata!L240,"missing: not provided"),exact(metadata!L240,"missing: restricted access"))),AND(IF(metadata!L240="",FALSE,ISNUMBER(VALUE(metadata!L240))),metadata!L240&gt;=-180.00,metadata!L240&lt;=180.00))</f>
        <v>0</v>
      </c>
      <c r="AM240">
        <f>IF(metadata!M240="",FALSE,TRUE)</f>
        <v>0</v>
      </c>
      <c r="AN240">
        <f>OR(AND(IF(metadata!N240="",FALSE,TRUE),OR(exact(metadata!N240,"missing: not collected"),exact(metadata!N240,"missing: not provided"),exact(metadata!N240,"missing: restricted access"))),AND(IF(metadata!N240="",FALSE,TRUE),OR(exact(metadata!N240,"TRUE"),exact(metadata!N240,"FALSE"))))</f>
        <v>0</v>
      </c>
      <c r="AO240">
        <f>IF(metadata!O240="",FALSE,TRUE)</f>
        <v>0</v>
      </c>
      <c r="AP240">
        <f>OR(AND(IF(metadata!P240="",FALSE,TRUE),OR(exact(metadata!P240,"missing: not collected"),exact(metadata!P240,"missing: not provided"))),AND(IF(metadata!P240="",FALSE,IF(ISERROR(INT(metadata!P240)),FALSE,INT(metadata!P240)=metadata!P240)),metadata!P240&gt;0))</f>
        <v>0</v>
      </c>
      <c r="AQ240">
        <f>IF(metadata!Q240="",FALSE,TRUE)</f>
        <v>0</v>
      </c>
    </row>
    <row r="241" spans="1:43">
      <c r="A241" s="5">
        <f>IF(B241=" "," ",HYPERLINK(CONCATENATE("#metadata!",ADDRESS(INDEX($W$2:$W$1001,MATCH(ROWS($U$2:U241),$U$2:$U$1001,0),0),1)),INDEX($Z$2:$Z$1001,MATCH(ROWS($U$2:U241),$U$2:$U$1001,0),0)))</f>
        <v>0</v>
      </c>
      <c r="B241" s="4">
        <f>IF(OR(INDEX($V$2:$V$1001,MATCH(ROWS($U$2:U241),$U$2:$U$1001,0),1)&gt;=100000,INDEX($AB$1005:$AQ$1005,1,MATCH(COLUMNS($AB$1006:AB1006),$AB$1006:$AQ$1006,0))&gt;=100000), " ",IF(INDEX($AB$2:$AQ$1001,MATCH(ROWS($U$2:U241),$U$2:$U$1001,0),MATCH(COLUMNS($AB$1006:AB1006),$AB$1006:$AQ$1006,0)), HYPERLINK("#",""), HYPERLINK(CONCATENATE("#metadata!", ADDRESS(INDEX($W$2:$W$1001,MATCH(ROWS($U$2:U241),$U$2:$U$1001,0),0), INDEX($AB$1004:$AQ$1004,1,MATCH(COLUMNS($AB$1006:AB1006),$AB$1006:$AQ$1006,0)))),"Fix")))</f>
        <v>0</v>
      </c>
      <c r="C241" s="4">
        <f>IF(OR(INDEX($V$2:$V$1001,MATCH(ROWS($U$2:U241),$U$2:$U$1001,0),1)&gt;=100000,INDEX($AB$1005:$AQ$1005,1,MATCH(COLUMNS($AB$1006:AC1006),$AB$1006:$AQ$1006,0))&gt;=100000), " ",IF(INDEX($AB$2:$AQ$1001,MATCH(ROWS($U$2:U241),$U$2:$U$1001,0),MATCH(COLUMNS($AB$1006:AC1006),$AB$1006:$AQ$1006,0)), HYPERLINK("#",""), HYPERLINK(CONCATENATE("#metadata!", ADDRESS(INDEX($W$2:$W$1001,MATCH(ROWS($U$2:U241),$U$2:$U$1001,0),0), INDEX($AB$1004:$AQ$1004,1,MATCH(COLUMNS($AB$1006:AC1006),$AB$1006:$AQ$1006,0)))),"Fix")))</f>
        <v>0</v>
      </c>
      <c r="D241" s="4">
        <f>IF(OR(INDEX($V$2:$V$1001,MATCH(ROWS($U$2:U241),$U$2:$U$1001,0),1)&gt;=100000,INDEX($AB$1005:$AQ$1005,1,MATCH(COLUMNS($AB$1006:AD1006),$AB$1006:$AQ$1006,0))&gt;=100000), " ",IF(INDEX($AB$2:$AQ$1001,MATCH(ROWS($U$2:U241),$U$2:$U$1001,0),MATCH(COLUMNS($AB$1006:AD1006),$AB$1006:$AQ$1006,0)), HYPERLINK("#",""), HYPERLINK(CONCATENATE("#metadata!", ADDRESS(INDEX($W$2:$W$1001,MATCH(ROWS($U$2:U241),$U$2:$U$1001,0),0), INDEX($AB$1004:$AQ$1004,1,MATCH(COLUMNS($AB$1006:AD1006),$AB$1006:$AQ$1006,0)))),"Fix")))</f>
        <v>0</v>
      </c>
      <c r="E241" s="4">
        <f>IF(OR(INDEX($V$2:$V$1001,MATCH(ROWS($U$2:U241),$U$2:$U$1001,0),1)&gt;=100000,INDEX($AB$1005:$AQ$1005,1,MATCH(COLUMNS($AB$1006:AE1006),$AB$1006:$AQ$1006,0))&gt;=100000), " ",IF(INDEX($AB$2:$AQ$1001,MATCH(ROWS($U$2:U241),$U$2:$U$1001,0),MATCH(COLUMNS($AB$1006:AE1006),$AB$1006:$AQ$1006,0)), HYPERLINK("#",""), HYPERLINK(CONCATENATE("#metadata!", ADDRESS(INDEX($W$2:$W$1001,MATCH(ROWS($U$2:U241),$U$2:$U$1001,0),0), INDEX($AB$1004:$AQ$1004,1,MATCH(COLUMNS($AB$1006:AE1006),$AB$1006:$AQ$1006,0)))),"Fix")))</f>
        <v>0</v>
      </c>
      <c r="F241" s="4">
        <f>IF(OR(INDEX($V$2:$V$1001,MATCH(ROWS($U$2:U241),$U$2:$U$1001,0),1)&gt;=100000,INDEX($AB$1005:$AQ$1005,1,MATCH(COLUMNS($AB$1006:AF1006),$AB$1006:$AQ$1006,0))&gt;=100000), " ",IF(INDEX($AB$2:$AQ$1001,MATCH(ROWS($U$2:U241),$U$2:$U$1001,0),MATCH(COLUMNS($AB$1006:AF1006),$AB$1006:$AQ$1006,0)), HYPERLINK("#",""), HYPERLINK(CONCATENATE("#metadata!", ADDRESS(INDEX($W$2:$W$1001,MATCH(ROWS($U$2:U241),$U$2:$U$1001,0),0), INDEX($AB$1004:$AQ$1004,1,MATCH(COLUMNS($AB$1006:AF1006),$AB$1006:$AQ$1006,0)))),"Fix")))</f>
        <v>0</v>
      </c>
      <c r="G241" s="4">
        <f>IF(OR(INDEX($V$2:$V$1001,MATCH(ROWS($U$2:U241),$U$2:$U$1001,0),1)&gt;=100000,INDEX($AB$1005:$AQ$1005,1,MATCH(COLUMNS($AB$1006:AG1006),$AB$1006:$AQ$1006,0))&gt;=100000), " ",IF(INDEX($AB$2:$AQ$1001,MATCH(ROWS($U$2:U241),$U$2:$U$1001,0),MATCH(COLUMNS($AB$1006:AG1006),$AB$1006:$AQ$1006,0)), HYPERLINK("#",""), HYPERLINK(CONCATENATE("#metadata!", ADDRESS(INDEX($W$2:$W$1001,MATCH(ROWS($U$2:U241),$U$2:$U$1001,0),0), INDEX($AB$1004:$AQ$1004,1,MATCH(COLUMNS($AB$1006:AG1006),$AB$1006:$AQ$1006,0)))),"Fix")))</f>
        <v>0</v>
      </c>
      <c r="H241" s="4">
        <f>IF(OR(INDEX($V$2:$V$1001,MATCH(ROWS($U$2:U241),$U$2:$U$1001,0),1)&gt;=100000,INDEX($AB$1005:$AQ$1005,1,MATCH(COLUMNS($AB$1006:AH1006),$AB$1006:$AQ$1006,0))&gt;=100000), " ",IF(INDEX($AB$2:$AQ$1001,MATCH(ROWS($U$2:U241),$U$2:$U$1001,0),MATCH(COLUMNS($AB$1006:AH1006),$AB$1006:$AQ$1006,0)), HYPERLINK("#",""), HYPERLINK(CONCATENATE("#metadata!", ADDRESS(INDEX($W$2:$W$1001,MATCH(ROWS($U$2:U241),$U$2:$U$1001,0),0), INDEX($AB$1004:$AQ$1004,1,MATCH(COLUMNS($AB$1006:AH1006),$AB$1006:$AQ$1006,0)))),"Fix")))</f>
        <v>0</v>
      </c>
      <c r="I241" s="4">
        <f>IF(OR(INDEX($V$2:$V$1001,MATCH(ROWS($U$2:U241),$U$2:$U$1001,0),1)&gt;=100000,INDEX($AB$1005:$AQ$1005,1,MATCH(COLUMNS($AB$1006:AI1006),$AB$1006:$AQ$1006,0))&gt;=100000), " ",IF(INDEX($AB$2:$AQ$1001,MATCH(ROWS($U$2:U241),$U$2:$U$1001,0),MATCH(COLUMNS($AB$1006:AI1006),$AB$1006:$AQ$1006,0)), HYPERLINK("#",""), HYPERLINK(CONCATENATE("#metadata!", ADDRESS(INDEX($W$2:$W$1001,MATCH(ROWS($U$2:U241),$U$2:$U$1001,0),0), INDEX($AB$1004:$AQ$1004,1,MATCH(COLUMNS($AB$1006:AI1006),$AB$1006:$AQ$1006,0)))),"Fix")))</f>
        <v>0</v>
      </c>
      <c r="J241" s="4">
        <f>IF(OR(INDEX($V$2:$V$1001,MATCH(ROWS($U$2:U241),$U$2:$U$1001,0),1)&gt;=100000,INDEX($AB$1005:$AQ$1005,1,MATCH(COLUMNS($AB$1006:AJ1006),$AB$1006:$AQ$1006,0))&gt;=100000), " ",IF(INDEX($AB$2:$AQ$1001,MATCH(ROWS($U$2:U241),$U$2:$U$1001,0),MATCH(COLUMNS($AB$1006:AJ1006),$AB$1006:$AQ$1006,0)), HYPERLINK("#",""), HYPERLINK(CONCATENATE("#metadata!", ADDRESS(INDEX($W$2:$W$1001,MATCH(ROWS($U$2:U241),$U$2:$U$1001,0),0), INDEX($AB$1004:$AQ$1004,1,MATCH(COLUMNS($AB$1006:AJ1006),$AB$1006:$AQ$1006,0)))),"Fix")))</f>
        <v>0</v>
      </c>
      <c r="K241" s="4">
        <f>IF(OR(INDEX($V$2:$V$1001,MATCH(ROWS($U$2:U241),$U$2:$U$1001,0),1)&gt;=100000,INDEX($AB$1005:$AQ$1005,1,MATCH(COLUMNS($AB$1006:AK1006),$AB$1006:$AQ$1006,0))&gt;=100000), " ",IF(INDEX($AB$2:$AQ$1001,MATCH(ROWS($U$2:U241),$U$2:$U$1001,0),MATCH(COLUMNS($AB$1006:AK1006),$AB$1006:$AQ$1006,0)), HYPERLINK("#",""), HYPERLINK(CONCATENATE("#metadata!", ADDRESS(INDEX($W$2:$W$1001,MATCH(ROWS($U$2:U241),$U$2:$U$1001,0),0), INDEX($AB$1004:$AQ$1004,1,MATCH(COLUMNS($AB$1006:AK1006),$AB$1006:$AQ$1006,0)))),"Fix")))</f>
        <v>0</v>
      </c>
      <c r="L241" s="4">
        <f>IF(OR(INDEX($V$2:$V$1001,MATCH(ROWS($U$2:U241),$U$2:$U$1001,0),1)&gt;=100000,INDEX($AB$1005:$AQ$1005,1,MATCH(COLUMNS($AB$1006:AL1006),$AB$1006:$AQ$1006,0))&gt;=100000), " ",IF(INDEX($AB$2:$AQ$1001,MATCH(ROWS($U$2:U241),$U$2:$U$1001,0),MATCH(COLUMNS($AB$1006:AL1006),$AB$1006:$AQ$1006,0)), HYPERLINK("#",""), HYPERLINK(CONCATENATE("#metadata!", ADDRESS(INDEX($W$2:$W$1001,MATCH(ROWS($U$2:U241),$U$2:$U$1001,0),0), INDEX($AB$1004:$AQ$1004,1,MATCH(COLUMNS($AB$1006:AL1006),$AB$1006:$AQ$1006,0)))),"Fix")))</f>
        <v>0</v>
      </c>
      <c r="M241" s="4">
        <f>IF(OR(INDEX($V$2:$V$1001,MATCH(ROWS($U$2:U241),$U$2:$U$1001,0),1)&gt;=100000,INDEX($AB$1005:$AQ$1005,1,MATCH(COLUMNS($AB$1006:AM1006),$AB$1006:$AQ$1006,0))&gt;=100000), " ",IF(INDEX($AB$2:$AQ$1001,MATCH(ROWS($U$2:U241),$U$2:$U$1001,0),MATCH(COLUMNS($AB$1006:AM1006),$AB$1006:$AQ$1006,0)), HYPERLINK("#",""), HYPERLINK(CONCATENATE("#metadata!", ADDRESS(INDEX($W$2:$W$1001,MATCH(ROWS($U$2:U241),$U$2:$U$1001,0),0), INDEX($AB$1004:$AQ$1004,1,MATCH(COLUMNS($AB$1006:AM1006),$AB$1006:$AQ$1006,0)))),"Fix")))</f>
        <v>0</v>
      </c>
      <c r="N241" s="4">
        <f>IF(OR(INDEX($V$2:$V$1001,MATCH(ROWS($U$2:U241),$U$2:$U$1001,0),1)&gt;=100000,INDEX($AB$1005:$AQ$1005,1,MATCH(COLUMNS($AB$1006:AN1006),$AB$1006:$AQ$1006,0))&gt;=100000), " ",IF(INDEX($AB$2:$AQ$1001,MATCH(ROWS($U$2:U241),$U$2:$U$1001,0),MATCH(COLUMNS($AB$1006:AN1006),$AB$1006:$AQ$1006,0)), HYPERLINK("#",""), HYPERLINK(CONCATENATE("#metadata!", ADDRESS(INDEX($W$2:$W$1001,MATCH(ROWS($U$2:U241),$U$2:$U$1001,0),0), INDEX($AB$1004:$AQ$1004,1,MATCH(COLUMNS($AB$1006:AN1006),$AB$1006:$AQ$1006,0)))),"Fix")))</f>
        <v>0</v>
      </c>
      <c r="O241" s="4">
        <f>IF(OR(INDEX($V$2:$V$1001,MATCH(ROWS($U$2:U241),$U$2:$U$1001,0),1)&gt;=100000,INDEX($AB$1005:$AQ$1005,1,MATCH(COLUMNS($AB$1006:AO1006),$AB$1006:$AQ$1006,0))&gt;=100000), " ",IF(INDEX($AB$2:$AQ$1001,MATCH(ROWS($U$2:U241),$U$2:$U$1001,0),MATCH(COLUMNS($AB$1006:AO1006),$AB$1006:$AQ$1006,0)), HYPERLINK("#",""), HYPERLINK(CONCATENATE("#metadata!", ADDRESS(INDEX($W$2:$W$1001,MATCH(ROWS($U$2:U241),$U$2:$U$1001,0),0), INDEX($AB$1004:$AQ$1004,1,MATCH(COLUMNS($AB$1006:AO1006),$AB$1006:$AQ$1006,0)))),"Fix")))</f>
        <v>0</v>
      </c>
      <c r="P241" s="4">
        <f>IF(OR(INDEX($V$2:$V$1001,MATCH(ROWS($U$2:U241),$U$2:$U$1001,0),1)&gt;=100000,INDEX($AB$1005:$AQ$1005,1,MATCH(COLUMNS($AB$1006:AP1006),$AB$1006:$AQ$1006,0))&gt;=100000), " ",IF(INDEX($AB$2:$AQ$1001,MATCH(ROWS($U$2:U241),$U$2:$U$1001,0),MATCH(COLUMNS($AB$1006:AP1006),$AB$1006:$AQ$1006,0)), HYPERLINK("#",""), HYPERLINK(CONCATENATE("#metadata!", ADDRESS(INDEX($W$2:$W$1001,MATCH(ROWS($U$2:U241),$U$2:$U$1001,0),0), INDEX($AB$1004:$AQ$1004,1,MATCH(COLUMNS($AB$1006:AP1006),$AB$1006:$AQ$1006,0)))),"Fix")))</f>
        <v>0</v>
      </c>
      <c r="Q241" s="4">
        <f>IF(OR(INDEX($V$2:$V$1001,MATCH(ROWS($U$2:U241),$U$2:$U$1001,0),1)&gt;=100000,INDEX($AB$1005:$AQ$1005,1,MATCH(COLUMNS($AB$1006:AQ1006),$AB$1006:$AQ$1006,0))&gt;=100000), " ",IF(INDEX($AB$2:$AQ$1001,MATCH(ROWS($U$2:U241),$U$2:$U$1001,0),MATCH(COLUMNS($AB$1006:AQ1006),$AB$1006:$AQ$1006,0)), HYPERLINK("#",""), HYPERLINK(CONCATENATE("#metadata!", ADDRESS(INDEX($W$2:$W$1001,MATCH(ROWS($U$2:U241),$U$2:$U$1001,0),0), INDEX($AB$1004:$AQ$1004,1,MATCH(COLUMNS($AB$1006:AQ1006),$AB$1006:$AQ$1006,0)))),"Fix")))</f>
        <v>0</v>
      </c>
      <c r="U241">
        <v>0</v>
      </c>
      <c r="V241">
        <v>0</v>
      </c>
      <c r="W241">
        <v>0</v>
      </c>
      <c r="X241">
        <f>IF(Y241,TRUE,AND(AB241:AQ241))</f>
        <v>0</v>
      </c>
      <c r="Y241">
        <f>COUNTBLANK(metadata!B241:Q241)=COLUMNS(metadata!B241:Q241)</f>
        <v>0</v>
      </c>
      <c r="Z241">
        <v>0</v>
      </c>
      <c r="AB241">
        <f>AND(IF(metadata!B241="",FALSE,TRUE),COUNTIF(metadata!B:B, metadata!B241) = 1,NOT(ISERROR(SUMPRODUCT(SEARCH(MID(metadata!B241,ROW(INDIRECT("1:"&amp;LEN(metadata!B241))), 1),"0123456789abcdefghijklmnopqrstuvwxyzABCDEFGHIJKLMNOPQRSTUVWXYZ.")))))</f>
        <v>0</v>
      </c>
      <c r="AC241">
        <f>OR(AND(IF(metadata!C241="",FALSE,TRUE),OR(exact(metadata!C241,"missing: not collected"),exact(metadata!C241,"missing: not provided"),exact(metadata!C241,"missing: restricted access"))),AND(IF(metadata!C241="",FALSE,TRUE),AND(AND(IFERROR(INT(LEFT(metadata!C241,4))&gt;1900,FALSE),IFERROR(INT(LEFT(metadata!C241,4))&lt;=YEAR(NOW()),FALSE)), OR(MID(metadata!C241,5,1)="", AND(AND(MID(metadata!C241,5,1)="-",IFERROR(INT(MID(metadata!C241,6,1))&gt;=0,FALSE),IFERROR(INT(MID(metadata!C241,6,1))&lt;=1,FALSE),NOT(MID(metadata!C241,7,1)=""),IFERROR(INT(MID(metadata!C241,6,2))&gt;=1,FALSE),IFERROR(INT(MID(metadata!C241,6,2))&lt;=12,FALSE)), OR(MID(metadata!C241,8,1)="", AND(AND(MID(metadata!C241,8,1)="-",IFERROR(INT(MID(metadata!C241,9,1))&gt;=0,FALSE),IFERROR(INT(MID(metadata!C241,9,1))&lt;=3,FALSE),NOT(MID(metadata!C241,10,1)=""),IFERROR(INT(MID(metadata!C241,9,2))&gt;=1,FALSE),IFERROR(INT(MID(metadata!C241,9,2))&lt;=31,FALSE)), OR(MID(metadata!C241,11,1)="", AND(AND(MID(metadata!C241,11,1)=" ",IFERROR(INT(MID(metadata!C241,12,1))&gt;=0,FALSE),IFERROR(INT(MID(metadata!C241,12,1))&lt;=2,FALSE),NOT(MID(metadata!C241,13,1)=""),IFERROR(INT(MID(metadata!C241,12,2))&gt;=0,FALSE),IFERROR(INT(MID(metadata!C241,12,2))&lt;=23,FALSE)), OR(MID(metadata!C241,14,1)="", AND(AND(MID(metadata!C241,14,1)=":",IFERROR(INT(MID(metadata!C241,15,1))&gt;=0,FALSE),IFERROR(INT(MID(metadata!C241,15,1))&lt;=5,FALSE),NOT(MID(metadata!C241,16,1)=""),IFERROR(INT(MID(metadata!C241,15,2))&gt;=0,FALSE),IFERROR(INT(MID(metadata!C241,15,2))&lt;=59,FALSE)), OR(MID(metadata!C241,17,1)="", AND(AND(MID(metadata!C241,17,1)=":",IFERROR(INT(MID(metadata!C241,18,1))&gt;=0,FALSE),IFERROR(INT(MID(metadata!C241,18,1))&lt;=5,FALSE),NOT(MID(metadata!C241,19,1)=""),IFERROR(INT(MID(metadata!C241,18,2))&gt;=0,FALSE),IFERROR(INT(MID(metadata!C241,18,2))&lt;=59,FALSE)), LEN(metadata!C241)&lt;=19)))))))))))))</f>
        <v>0</v>
      </c>
      <c r="AD241">
        <f>IF(metadata!D241="",FALSE,TRUE)</f>
        <v>0</v>
      </c>
      <c r="AE241">
        <f>OR(AND(IF(metadata!E241="",FALSE,TRUE),OR(exact(metadata!E241,"missing: not collected"),exact(metadata!E241,"missing: not provided"))),AND(IF(metadata!E241="",FALSE,TRUE),OR(exact(metadata!E241,"TRUE"),exact(metadata!E241,"FALSE"))))</f>
        <v>0</v>
      </c>
      <c r="AF241">
        <f>IF(metadata!F241="",FALSE,TRUE)</f>
        <v>0</v>
      </c>
      <c r="AG241">
        <f>IF(metadata!G241="",FALSE,TRUE)</f>
        <v>0</v>
      </c>
      <c r="AH241">
        <f>IF(metadata!H241="",FALSE,TRUE)</f>
        <v>0</v>
      </c>
      <c r="AI241">
        <f>OR(AND(IF(metadata!I241="",FALSE,TRUE),OR(exact(metadata!I241,"missing: not collected"),exact(metadata!I241,"missing: not provided"),exact(metadata!I241,"missing: restricted access"))),AND(IF(metadata!I241="",FALSE,TRUE),OR(exact(metadata!I241,"air"),exact(metadata!I241,"built environment"),exact(metadata!I241,"host-associated"),exact(metadata!I241,"human-associated"),exact(metadata!I241,"human-skin"),exact(metadata!I241,"human-oral"),exact(metadata!I241,"human-gut"),exact(metadata!I241,"human-vaginal"),exact(metadata!I241,"microbial mat/biofilm"),exact(metadata!I241,"misc environment"),exact(metadata!I241,"plant-associated"),exact(metadata!I241,"sediment"),exact(metadata!I241,"soil"),exact(metadata!I241,"wastewater/sludge"),exact(metadata!I241,"water"))))</f>
        <v>0</v>
      </c>
      <c r="AJ241">
        <f>IF(metadata!J241="",FALSE,TRUE)</f>
        <v>0</v>
      </c>
      <c r="AK241">
        <f>OR(AND(IF(metadata!K241="",FALSE,TRUE),OR(exact(metadata!K241,"missing: not collected"),exact(metadata!K241,"missing: not provided"),exact(metadata!K241,"missing: restricted access"))),AND(IF(metadata!K241="",FALSE,ISNUMBER(VALUE(metadata!K241))),metadata!K241&gt;=-90.00,metadata!K241&lt;=90.00))</f>
        <v>0</v>
      </c>
      <c r="AL241">
        <f>OR(AND(IF(metadata!L241="",FALSE,TRUE),OR(exact(metadata!L241,"missing: not collected"),exact(metadata!L241,"missing: not provided"),exact(metadata!L241,"missing: restricted access"))),AND(IF(metadata!L241="",FALSE,ISNUMBER(VALUE(metadata!L241))),metadata!L241&gt;=-180.00,metadata!L241&lt;=180.00))</f>
        <v>0</v>
      </c>
      <c r="AM241">
        <f>IF(metadata!M241="",FALSE,TRUE)</f>
        <v>0</v>
      </c>
      <c r="AN241">
        <f>OR(AND(IF(metadata!N241="",FALSE,TRUE),OR(exact(metadata!N241,"missing: not collected"),exact(metadata!N241,"missing: not provided"),exact(metadata!N241,"missing: restricted access"))),AND(IF(metadata!N241="",FALSE,TRUE),OR(exact(metadata!N241,"TRUE"),exact(metadata!N241,"FALSE"))))</f>
        <v>0</v>
      </c>
      <c r="AO241">
        <f>IF(metadata!O241="",FALSE,TRUE)</f>
        <v>0</v>
      </c>
      <c r="AP241">
        <f>OR(AND(IF(metadata!P241="",FALSE,TRUE),OR(exact(metadata!P241,"missing: not collected"),exact(metadata!P241,"missing: not provided"))),AND(IF(metadata!P241="",FALSE,IF(ISERROR(INT(metadata!P241)),FALSE,INT(metadata!P241)=metadata!P241)),metadata!P241&gt;0))</f>
        <v>0</v>
      </c>
      <c r="AQ241">
        <f>IF(metadata!Q241="",FALSE,TRUE)</f>
        <v>0</v>
      </c>
    </row>
    <row r="242" spans="1:43">
      <c r="A242" s="5">
        <f>IF(B242=" "," ",HYPERLINK(CONCATENATE("#metadata!",ADDRESS(INDEX($W$2:$W$1001,MATCH(ROWS($U$2:U242),$U$2:$U$1001,0),0),1)),INDEX($Z$2:$Z$1001,MATCH(ROWS($U$2:U242),$U$2:$U$1001,0),0)))</f>
        <v>0</v>
      </c>
      <c r="B242" s="4">
        <f>IF(OR(INDEX($V$2:$V$1001,MATCH(ROWS($U$2:U242),$U$2:$U$1001,0),1)&gt;=100000,INDEX($AB$1005:$AQ$1005,1,MATCH(COLUMNS($AB$1006:AB1006),$AB$1006:$AQ$1006,0))&gt;=100000), " ",IF(INDEX($AB$2:$AQ$1001,MATCH(ROWS($U$2:U242),$U$2:$U$1001,0),MATCH(COLUMNS($AB$1006:AB1006),$AB$1006:$AQ$1006,0)), HYPERLINK("#",""), HYPERLINK(CONCATENATE("#metadata!", ADDRESS(INDEX($W$2:$W$1001,MATCH(ROWS($U$2:U242),$U$2:$U$1001,0),0), INDEX($AB$1004:$AQ$1004,1,MATCH(COLUMNS($AB$1006:AB1006),$AB$1006:$AQ$1006,0)))),"Fix")))</f>
        <v>0</v>
      </c>
      <c r="C242" s="4">
        <f>IF(OR(INDEX($V$2:$V$1001,MATCH(ROWS($U$2:U242),$U$2:$U$1001,0),1)&gt;=100000,INDEX($AB$1005:$AQ$1005,1,MATCH(COLUMNS($AB$1006:AC1006),$AB$1006:$AQ$1006,0))&gt;=100000), " ",IF(INDEX($AB$2:$AQ$1001,MATCH(ROWS($U$2:U242),$U$2:$U$1001,0),MATCH(COLUMNS($AB$1006:AC1006),$AB$1006:$AQ$1006,0)), HYPERLINK("#",""), HYPERLINK(CONCATENATE("#metadata!", ADDRESS(INDEX($W$2:$W$1001,MATCH(ROWS($U$2:U242),$U$2:$U$1001,0),0), INDEX($AB$1004:$AQ$1004,1,MATCH(COLUMNS($AB$1006:AC1006),$AB$1006:$AQ$1006,0)))),"Fix")))</f>
        <v>0</v>
      </c>
      <c r="D242" s="4">
        <f>IF(OR(INDEX($V$2:$V$1001,MATCH(ROWS($U$2:U242),$U$2:$U$1001,0),1)&gt;=100000,INDEX($AB$1005:$AQ$1005,1,MATCH(COLUMNS($AB$1006:AD1006),$AB$1006:$AQ$1006,0))&gt;=100000), " ",IF(INDEX($AB$2:$AQ$1001,MATCH(ROWS($U$2:U242),$U$2:$U$1001,0),MATCH(COLUMNS($AB$1006:AD1006),$AB$1006:$AQ$1006,0)), HYPERLINK("#",""), HYPERLINK(CONCATENATE("#metadata!", ADDRESS(INDEX($W$2:$W$1001,MATCH(ROWS($U$2:U242),$U$2:$U$1001,0),0), INDEX($AB$1004:$AQ$1004,1,MATCH(COLUMNS($AB$1006:AD1006),$AB$1006:$AQ$1006,0)))),"Fix")))</f>
        <v>0</v>
      </c>
      <c r="E242" s="4">
        <f>IF(OR(INDEX($V$2:$V$1001,MATCH(ROWS($U$2:U242),$U$2:$U$1001,0),1)&gt;=100000,INDEX($AB$1005:$AQ$1005,1,MATCH(COLUMNS($AB$1006:AE1006),$AB$1006:$AQ$1006,0))&gt;=100000), " ",IF(INDEX($AB$2:$AQ$1001,MATCH(ROWS($U$2:U242),$U$2:$U$1001,0),MATCH(COLUMNS($AB$1006:AE1006),$AB$1006:$AQ$1006,0)), HYPERLINK("#",""), HYPERLINK(CONCATENATE("#metadata!", ADDRESS(INDEX($W$2:$W$1001,MATCH(ROWS($U$2:U242),$U$2:$U$1001,0),0), INDEX($AB$1004:$AQ$1004,1,MATCH(COLUMNS($AB$1006:AE1006),$AB$1006:$AQ$1006,0)))),"Fix")))</f>
        <v>0</v>
      </c>
      <c r="F242" s="4">
        <f>IF(OR(INDEX($V$2:$V$1001,MATCH(ROWS($U$2:U242),$U$2:$U$1001,0),1)&gt;=100000,INDEX($AB$1005:$AQ$1005,1,MATCH(COLUMNS($AB$1006:AF1006),$AB$1006:$AQ$1006,0))&gt;=100000), " ",IF(INDEX($AB$2:$AQ$1001,MATCH(ROWS($U$2:U242),$U$2:$U$1001,0),MATCH(COLUMNS($AB$1006:AF1006),$AB$1006:$AQ$1006,0)), HYPERLINK("#",""), HYPERLINK(CONCATENATE("#metadata!", ADDRESS(INDEX($W$2:$W$1001,MATCH(ROWS($U$2:U242),$U$2:$U$1001,0),0), INDEX($AB$1004:$AQ$1004,1,MATCH(COLUMNS($AB$1006:AF1006),$AB$1006:$AQ$1006,0)))),"Fix")))</f>
        <v>0</v>
      </c>
      <c r="G242" s="4">
        <f>IF(OR(INDEX($V$2:$V$1001,MATCH(ROWS($U$2:U242),$U$2:$U$1001,0),1)&gt;=100000,INDEX($AB$1005:$AQ$1005,1,MATCH(COLUMNS($AB$1006:AG1006),$AB$1006:$AQ$1006,0))&gt;=100000), " ",IF(INDEX($AB$2:$AQ$1001,MATCH(ROWS($U$2:U242),$U$2:$U$1001,0),MATCH(COLUMNS($AB$1006:AG1006),$AB$1006:$AQ$1006,0)), HYPERLINK("#",""), HYPERLINK(CONCATENATE("#metadata!", ADDRESS(INDEX($W$2:$W$1001,MATCH(ROWS($U$2:U242),$U$2:$U$1001,0),0), INDEX($AB$1004:$AQ$1004,1,MATCH(COLUMNS($AB$1006:AG1006),$AB$1006:$AQ$1006,0)))),"Fix")))</f>
        <v>0</v>
      </c>
      <c r="H242" s="4">
        <f>IF(OR(INDEX($V$2:$V$1001,MATCH(ROWS($U$2:U242),$U$2:$U$1001,0),1)&gt;=100000,INDEX($AB$1005:$AQ$1005,1,MATCH(COLUMNS($AB$1006:AH1006),$AB$1006:$AQ$1006,0))&gt;=100000), " ",IF(INDEX($AB$2:$AQ$1001,MATCH(ROWS($U$2:U242),$U$2:$U$1001,0),MATCH(COLUMNS($AB$1006:AH1006),$AB$1006:$AQ$1006,0)), HYPERLINK("#",""), HYPERLINK(CONCATENATE("#metadata!", ADDRESS(INDEX($W$2:$W$1001,MATCH(ROWS($U$2:U242),$U$2:$U$1001,0),0), INDEX($AB$1004:$AQ$1004,1,MATCH(COLUMNS($AB$1006:AH1006),$AB$1006:$AQ$1006,0)))),"Fix")))</f>
        <v>0</v>
      </c>
      <c r="I242" s="4">
        <f>IF(OR(INDEX($V$2:$V$1001,MATCH(ROWS($U$2:U242),$U$2:$U$1001,0),1)&gt;=100000,INDEX($AB$1005:$AQ$1005,1,MATCH(COLUMNS($AB$1006:AI1006),$AB$1006:$AQ$1006,0))&gt;=100000), " ",IF(INDEX($AB$2:$AQ$1001,MATCH(ROWS($U$2:U242),$U$2:$U$1001,0),MATCH(COLUMNS($AB$1006:AI1006),$AB$1006:$AQ$1006,0)), HYPERLINK("#",""), HYPERLINK(CONCATENATE("#metadata!", ADDRESS(INDEX($W$2:$W$1001,MATCH(ROWS($U$2:U242),$U$2:$U$1001,0),0), INDEX($AB$1004:$AQ$1004,1,MATCH(COLUMNS($AB$1006:AI1006),$AB$1006:$AQ$1006,0)))),"Fix")))</f>
        <v>0</v>
      </c>
      <c r="J242" s="4">
        <f>IF(OR(INDEX($V$2:$V$1001,MATCH(ROWS($U$2:U242),$U$2:$U$1001,0),1)&gt;=100000,INDEX($AB$1005:$AQ$1005,1,MATCH(COLUMNS($AB$1006:AJ1006),$AB$1006:$AQ$1006,0))&gt;=100000), " ",IF(INDEX($AB$2:$AQ$1001,MATCH(ROWS($U$2:U242),$U$2:$U$1001,0),MATCH(COLUMNS($AB$1006:AJ1006),$AB$1006:$AQ$1006,0)), HYPERLINK("#",""), HYPERLINK(CONCATENATE("#metadata!", ADDRESS(INDEX($W$2:$W$1001,MATCH(ROWS($U$2:U242),$U$2:$U$1001,0),0), INDEX($AB$1004:$AQ$1004,1,MATCH(COLUMNS($AB$1006:AJ1006),$AB$1006:$AQ$1006,0)))),"Fix")))</f>
        <v>0</v>
      </c>
      <c r="K242" s="4">
        <f>IF(OR(INDEX($V$2:$V$1001,MATCH(ROWS($U$2:U242),$U$2:$U$1001,0),1)&gt;=100000,INDEX($AB$1005:$AQ$1005,1,MATCH(COLUMNS($AB$1006:AK1006),$AB$1006:$AQ$1006,0))&gt;=100000), " ",IF(INDEX($AB$2:$AQ$1001,MATCH(ROWS($U$2:U242),$U$2:$U$1001,0),MATCH(COLUMNS($AB$1006:AK1006),$AB$1006:$AQ$1006,0)), HYPERLINK("#",""), HYPERLINK(CONCATENATE("#metadata!", ADDRESS(INDEX($W$2:$W$1001,MATCH(ROWS($U$2:U242),$U$2:$U$1001,0),0), INDEX($AB$1004:$AQ$1004,1,MATCH(COLUMNS($AB$1006:AK1006),$AB$1006:$AQ$1006,0)))),"Fix")))</f>
        <v>0</v>
      </c>
      <c r="L242" s="4">
        <f>IF(OR(INDEX($V$2:$V$1001,MATCH(ROWS($U$2:U242),$U$2:$U$1001,0),1)&gt;=100000,INDEX($AB$1005:$AQ$1005,1,MATCH(COLUMNS($AB$1006:AL1006),$AB$1006:$AQ$1006,0))&gt;=100000), " ",IF(INDEX($AB$2:$AQ$1001,MATCH(ROWS($U$2:U242),$U$2:$U$1001,0),MATCH(COLUMNS($AB$1006:AL1006),$AB$1006:$AQ$1006,0)), HYPERLINK("#",""), HYPERLINK(CONCATENATE("#metadata!", ADDRESS(INDEX($W$2:$W$1001,MATCH(ROWS($U$2:U242),$U$2:$U$1001,0),0), INDEX($AB$1004:$AQ$1004,1,MATCH(COLUMNS($AB$1006:AL1006),$AB$1006:$AQ$1006,0)))),"Fix")))</f>
        <v>0</v>
      </c>
      <c r="M242" s="4">
        <f>IF(OR(INDEX($V$2:$V$1001,MATCH(ROWS($U$2:U242),$U$2:$U$1001,0),1)&gt;=100000,INDEX($AB$1005:$AQ$1005,1,MATCH(COLUMNS($AB$1006:AM1006),$AB$1006:$AQ$1006,0))&gt;=100000), " ",IF(INDEX($AB$2:$AQ$1001,MATCH(ROWS($U$2:U242),$U$2:$U$1001,0),MATCH(COLUMNS($AB$1006:AM1006),$AB$1006:$AQ$1006,0)), HYPERLINK("#",""), HYPERLINK(CONCATENATE("#metadata!", ADDRESS(INDEX($W$2:$W$1001,MATCH(ROWS($U$2:U242),$U$2:$U$1001,0),0), INDEX($AB$1004:$AQ$1004,1,MATCH(COLUMNS($AB$1006:AM1006),$AB$1006:$AQ$1006,0)))),"Fix")))</f>
        <v>0</v>
      </c>
      <c r="N242" s="4">
        <f>IF(OR(INDEX($V$2:$V$1001,MATCH(ROWS($U$2:U242),$U$2:$U$1001,0),1)&gt;=100000,INDEX($AB$1005:$AQ$1005,1,MATCH(COLUMNS($AB$1006:AN1006),$AB$1006:$AQ$1006,0))&gt;=100000), " ",IF(INDEX($AB$2:$AQ$1001,MATCH(ROWS($U$2:U242),$U$2:$U$1001,0),MATCH(COLUMNS($AB$1006:AN1006),$AB$1006:$AQ$1006,0)), HYPERLINK("#",""), HYPERLINK(CONCATENATE("#metadata!", ADDRESS(INDEX($W$2:$W$1001,MATCH(ROWS($U$2:U242),$U$2:$U$1001,0),0), INDEX($AB$1004:$AQ$1004,1,MATCH(COLUMNS($AB$1006:AN1006),$AB$1006:$AQ$1006,0)))),"Fix")))</f>
        <v>0</v>
      </c>
      <c r="O242" s="4">
        <f>IF(OR(INDEX($V$2:$V$1001,MATCH(ROWS($U$2:U242),$U$2:$U$1001,0),1)&gt;=100000,INDEX($AB$1005:$AQ$1005,1,MATCH(COLUMNS($AB$1006:AO1006),$AB$1006:$AQ$1006,0))&gt;=100000), " ",IF(INDEX($AB$2:$AQ$1001,MATCH(ROWS($U$2:U242),$U$2:$U$1001,0),MATCH(COLUMNS($AB$1006:AO1006),$AB$1006:$AQ$1006,0)), HYPERLINK("#",""), HYPERLINK(CONCATENATE("#metadata!", ADDRESS(INDEX($W$2:$W$1001,MATCH(ROWS($U$2:U242),$U$2:$U$1001,0),0), INDEX($AB$1004:$AQ$1004,1,MATCH(COLUMNS($AB$1006:AO1006),$AB$1006:$AQ$1006,0)))),"Fix")))</f>
        <v>0</v>
      </c>
      <c r="P242" s="4">
        <f>IF(OR(INDEX($V$2:$V$1001,MATCH(ROWS($U$2:U242),$U$2:$U$1001,0),1)&gt;=100000,INDEX($AB$1005:$AQ$1005,1,MATCH(COLUMNS($AB$1006:AP1006),$AB$1006:$AQ$1006,0))&gt;=100000), " ",IF(INDEX($AB$2:$AQ$1001,MATCH(ROWS($U$2:U242),$U$2:$U$1001,0),MATCH(COLUMNS($AB$1006:AP1006),$AB$1006:$AQ$1006,0)), HYPERLINK("#",""), HYPERLINK(CONCATENATE("#metadata!", ADDRESS(INDEX($W$2:$W$1001,MATCH(ROWS($U$2:U242),$U$2:$U$1001,0),0), INDEX($AB$1004:$AQ$1004,1,MATCH(COLUMNS($AB$1006:AP1006),$AB$1006:$AQ$1006,0)))),"Fix")))</f>
        <v>0</v>
      </c>
      <c r="Q242" s="4">
        <f>IF(OR(INDEX($V$2:$V$1001,MATCH(ROWS($U$2:U242),$U$2:$U$1001,0),1)&gt;=100000,INDEX($AB$1005:$AQ$1005,1,MATCH(COLUMNS($AB$1006:AQ1006),$AB$1006:$AQ$1006,0))&gt;=100000), " ",IF(INDEX($AB$2:$AQ$1001,MATCH(ROWS($U$2:U242),$U$2:$U$1001,0),MATCH(COLUMNS($AB$1006:AQ1006),$AB$1006:$AQ$1006,0)), HYPERLINK("#",""), HYPERLINK(CONCATENATE("#metadata!", ADDRESS(INDEX($W$2:$W$1001,MATCH(ROWS($U$2:U242),$U$2:$U$1001,0),0), INDEX($AB$1004:$AQ$1004,1,MATCH(COLUMNS($AB$1006:AQ1006),$AB$1006:$AQ$1006,0)))),"Fix")))</f>
        <v>0</v>
      </c>
      <c r="U242">
        <v>0</v>
      </c>
      <c r="V242">
        <v>0</v>
      </c>
      <c r="W242">
        <v>0</v>
      </c>
      <c r="X242">
        <f>IF(Y242,TRUE,AND(AB242:AQ242))</f>
        <v>0</v>
      </c>
      <c r="Y242">
        <f>COUNTBLANK(metadata!B242:Q242)=COLUMNS(metadata!B242:Q242)</f>
        <v>0</v>
      </c>
      <c r="Z242">
        <v>0</v>
      </c>
      <c r="AB242">
        <f>AND(IF(metadata!B242="",FALSE,TRUE),COUNTIF(metadata!B:B, metadata!B242) = 1,NOT(ISERROR(SUMPRODUCT(SEARCH(MID(metadata!B242,ROW(INDIRECT("1:"&amp;LEN(metadata!B242))), 1),"0123456789abcdefghijklmnopqrstuvwxyzABCDEFGHIJKLMNOPQRSTUVWXYZ.")))))</f>
        <v>0</v>
      </c>
      <c r="AC242">
        <f>OR(AND(IF(metadata!C242="",FALSE,TRUE),OR(exact(metadata!C242,"missing: not collected"),exact(metadata!C242,"missing: not provided"),exact(metadata!C242,"missing: restricted access"))),AND(IF(metadata!C242="",FALSE,TRUE),AND(AND(IFERROR(INT(LEFT(metadata!C242,4))&gt;1900,FALSE),IFERROR(INT(LEFT(metadata!C242,4))&lt;=YEAR(NOW()),FALSE)), OR(MID(metadata!C242,5,1)="", AND(AND(MID(metadata!C242,5,1)="-",IFERROR(INT(MID(metadata!C242,6,1))&gt;=0,FALSE),IFERROR(INT(MID(metadata!C242,6,1))&lt;=1,FALSE),NOT(MID(metadata!C242,7,1)=""),IFERROR(INT(MID(metadata!C242,6,2))&gt;=1,FALSE),IFERROR(INT(MID(metadata!C242,6,2))&lt;=12,FALSE)), OR(MID(metadata!C242,8,1)="", AND(AND(MID(metadata!C242,8,1)="-",IFERROR(INT(MID(metadata!C242,9,1))&gt;=0,FALSE),IFERROR(INT(MID(metadata!C242,9,1))&lt;=3,FALSE),NOT(MID(metadata!C242,10,1)=""),IFERROR(INT(MID(metadata!C242,9,2))&gt;=1,FALSE),IFERROR(INT(MID(metadata!C242,9,2))&lt;=31,FALSE)), OR(MID(metadata!C242,11,1)="", AND(AND(MID(metadata!C242,11,1)=" ",IFERROR(INT(MID(metadata!C242,12,1))&gt;=0,FALSE),IFERROR(INT(MID(metadata!C242,12,1))&lt;=2,FALSE),NOT(MID(metadata!C242,13,1)=""),IFERROR(INT(MID(metadata!C242,12,2))&gt;=0,FALSE),IFERROR(INT(MID(metadata!C242,12,2))&lt;=23,FALSE)), OR(MID(metadata!C242,14,1)="", AND(AND(MID(metadata!C242,14,1)=":",IFERROR(INT(MID(metadata!C242,15,1))&gt;=0,FALSE),IFERROR(INT(MID(metadata!C242,15,1))&lt;=5,FALSE),NOT(MID(metadata!C242,16,1)=""),IFERROR(INT(MID(metadata!C242,15,2))&gt;=0,FALSE),IFERROR(INT(MID(metadata!C242,15,2))&lt;=59,FALSE)), OR(MID(metadata!C242,17,1)="", AND(AND(MID(metadata!C242,17,1)=":",IFERROR(INT(MID(metadata!C242,18,1))&gt;=0,FALSE),IFERROR(INT(MID(metadata!C242,18,1))&lt;=5,FALSE),NOT(MID(metadata!C242,19,1)=""),IFERROR(INT(MID(metadata!C242,18,2))&gt;=0,FALSE),IFERROR(INT(MID(metadata!C242,18,2))&lt;=59,FALSE)), LEN(metadata!C242)&lt;=19)))))))))))))</f>
        <v>0</v>
      </c>
      <c r="AD242">
        <f>IF(metadata!D242="",FALSE,TRUE)</f>
        <v>0</v>
      </c>
      <c r="AE242">
        <f>OR(AND(IF(metadata!E242="",FALSE,TRUE),OR(exact(metadata!E242,"missing: not collected"),exact(metadata!E242,"missing: not provided"))),AND(IF(metadata!E242="",FALSE,TRUE),OR(exact(metadata!E242,"TRUE"),exact(metadata!E242,"FALSE"))))</f>
        <v>0</v>
      </c>
      <c r="AF242">
        <f>IF(metadata!F242="",FALSE,TRUE)</f>
        <v>0</v>
      </c>
      <c r="AG242">
        <f>IF(metadata!G242="",FALSE,TRUE)</f>
        <v>0</v>
      </c>
      <c r="AH242">
        <f>IF(metadata!H242="",FALSE,TRUE)</f>
        <v>0</v>
      </c>
      <c r="AI242">
        <f>OR(AND(IF(metadata!I242="",FALSE,TRUE),OR(exact(metadata!I242,"missing: not collected"),exact(metadata!I242,"missing: not provided"),exact(metadata!I242,"missing: restricted access"))),AND(IF(metadata!I242="",FALSE,TRUE),OR(exact(metadata!I242,"air"),exact(metadata!I242,"built environment"),exact(metadata!I242,"host-associated"),exact(metadata!I242,"human-associated"),exact(metadata!I242,"human-skin"),exact(metadata!I242,"human-oral"),exact(metadata!I242,"human-gut"),exact(metadata!I242,"human-vaginal"),exact(metadata!I242,"microbial mat/biofilm"),exact(metadata!I242,"misc environment"),exact(metadata!I242,"plant-associated"),exact(metadata!I242,"sediment"),exact(metadata!I242,"soil"),exact(metadata!I242,"wastewater/sludge"),exact(metadata!I242,"water"))))</f>
        <v>0</v>
      </c>
      <c r="AJ242">
        <f>IF(metadata!J242="",FALSE,TRUE)</f>
        <v>0</v>
      </c>
      <c r="AK242">
        <f>OR(AND(IF(metadata!K242="",FALSE,TRUE),OR(exact(metadata!K242,"missing: not collected"),exact(metadata!K242,"missing: not provided"),exact(metadata!K242,"missing: restricted access"))),AND(IF(metadata!K242="",FALSE,ISNUMBER(VALUE(metadata!K242))),metadata!K242&gt;=-90.00,metadata!K242&lt;=90.00))</f>
        <v>0</v>
      </c>
      <c r="AL242">
        <f>OR(AND(IF(metadata!L242="",FALSE,TRUE),OR(exact(metadata!L242,"missing: not collected"),exact(metadata!L242,"missing: not provided"),exact(metadata!L242,"missing: restricted access"))),AND(IF(metadata!L242="",FALSE,ISNUMBER(VALUE(metadata!L242))),metadata!L242&gt;=-180.00,metadata!L242&lt;=180.00))</f>
        <v>0</v>
      </c>
      <c r="AM242">
        <f>IF(metadata!M242="",FALSE,TRUE)</f>
        <v>0</v>
      </c>
      <c r="AN242">
        <f>OR(AND(IF(metadata!N242="",FALSE,TRUE),OR(exact(metadata!N242,"missing: not collected"),exact(metadata!N242,"missing: not provided"),exact(metadata!N242,"missing: restricted access"))),AND(IF(metadata!N242="",FALSE,TRUE),OR(exact(metadata!N242,"TRUE"),exact(metadata!N242,"FALSE"))))</f>
        <v>0</v>
      </c>
      <c r="AO242">
        <f>IF(metadata!O242="",FALSE,TRUE)</f>
        <v>0</v>
      </c>
      <c r="AP242">
        <f>OR(AND(IF(metadata!P242="",FALSE,TRUE),OR(exact(metadata!P242,"missing: not collected"),exact(metadata!P242,"missing: not provided"))),AND(IF(metadata!P242="",FALSE,IF(ISERROR(INT(metadata!P242)),FALSE,INT(metadata!P242)=metadata!P242)),metadata!P242&gt;0))</f>
        <v>0</v>
      </c>
      <c r="AQ242">
        <f>IF(metadata!Q242="",FALSE,TRUE)</f>
        <v>0</v>
      </c>
    </row>
    <row r="243" spans="1:43">
      <c r="A243" s="5">
        <f>IF(B243=" "," ",HYPERLINK(CONCATENATE("#metadata!",ADDRESS(INDEX($W$2:$W$1001,MATCH(ROWS($U$2:U243),$U$2:$U$1001,0),0),1)),INDEX($Z$2:$Z$1001,MATCH(ROWS($U$2:U243),$U$2:$U$1001,0),0)))</f>
        <v>0</v>
      </c>
      <c r="B243" s="4">
        <f>IF(OR(INDEX($V$2:$V$1001,MATCH(ROWS($U$2:U243),$U$2:$U$1001,0),1)&gt;=100000,INDEX($AB$1005:$AQ$1005,1,MATCH(COLUMNS($AB$1006:AB1006),$AB$1006:$AQ$1006,0))&gt;=100000), " ",IF(INDEX($AB$2:$AQ$1001,MATCH(ROWS($U$2:U243),$U$2:$U$1001,0),MATCH(COLUMNS($AB$1006:AB1006),$AB$1006:$AQ$1006,0)), HYPERLINK("#",""), HYPERLINK(CONCATENATE("#metadata!", ADDRESS(INDEX($W$2:$W$1001,MATCH(ROWS($U$2:U243),$U$2:$U$1001,0),0), INDEX($AB$1004:$AQ$1004,1,MATCH(COLUMNS($AB$1006:AB1006),$AB$1006:$AQ$1006,0)))),"Fix")))</f>
        <v>0</v>
      </c>
      <c r="C243" s="4">
        <f>IF(OR(INDEX($V$2:$V$1001,MATCH(ROWS($U$2:U243),$U$2:$U$1001,0),1)&gt;=100000,INDEX($AB$1005:$AQ$1005,1,MATCH(COLUMNS($AB$1006:AC1006),$AB$1006:$AQ$1006,0))&gt;=100000), " ",IF(INDEX($AB$2:$AQ$1001,MATCH(ROWS($U$2:U243),$U$2:$U$1001,0),MATCH(COLUMNS($AB$1006:AC1006),$AB$1006:$AQ$1006,0)), HYPERLINK("#",""), HYPERLINK(CONCATENATE("#metadata!", ADDRESS(INDEX($W$2:$W$1001,MATCH(ROWS($U$2:U243),$U$2:$U$1001,0),0), INDEX($AB$1004:$AQ$1004,1,MATCH(COLUMNS($AB$1006:AC1006),$AB$1006:$AQ$1006,0)))),"Fix")))</f>
        <v>0</v>
      </c>
      <c r="D243" s="4">
        <f>IF(OR(INDEX($V$2:$V$1001,MATCH(ROWS($U$2:U243),$U$2:$U$1001,0),1)&gt;=100000,INDEX($AB$1005:$AQ$1005,1,MATCH(COLUMNS($AB$1006:AD1006),$AB$1006:$AQ$1006,0))&gt;=100000), " ",IF(INDEX($AB$2:$AQ$1001,MATCH(ROWS($U$2:U243),$U$2:$U$1001,0),MATCH(COLUMNS($AB$1006:AD1006),$AB$1006:$AQ$1006,0)), HYPERLINK("#",""), HYPERLINK(CONCATENATE("#metadata!", ADDRESS(INDEX($W$2:$W$1001,MATCH(ROWS($U$2:U243),$U$2:$U$1001,0),0), INDEX($AB$1004:$AQ$1004,1,MATCH(COLUMNS($AB$1006:AD1006),$AB$1006:$AQ$1006,0)))),"Fix")))</f>
        <v>0</v>
      </c>
      <c r="E243" s="4">
        <f>IF(OR(INDEX($V$2:$V$1001,MATCH(ROWS($U$2:U243),$U$2:$U$1001,0),1)&gt;=100000,INDEX($AB$1005:$AQ$1005,1,MATCH(COLUMNS($AB$1006:AE1006),$AB$1006:$AQ$1006,0))&gt;=100000), " ",IF(INDEX($AB$2:$AQ$1001,MATCH(ROWS($U$2:U243),$U$2:$U$1001,0),MATCH(COLUMNS($AB$1006:AE1006),$AB$1006:$AQ$1006,0)), HYPERLINK("#",""), HYPERLINK(CONCATENATE("#metadata!", ADDRESS(INDEX($W$2:$W$1001,MATCH(ROWS($U$2:U243),$U$2:$U$1001,0),0), INDEX($AB$1004:$AQ$1004,1,MATCH(COLUMNS($AB$1006:AE1006),$AB$1006:$AQ$1006,0)))),"Fix")))</f>
        <v>0</v>
      </c>
      <c r="F243" s="4">
        <f>IF(OR(INDEX($V$2:$V$1001,MATCH(ROWS($U$2:U243),$U$2:$U$1001,0),1)&gt;=100000,INDEX($AB$1005:$AQ$1005,1,MATCH(COLUMNS($AB$1006:AF1006),$AB$1006:$AQ$1006,0))&gt;=100000), " ",IF(INDEX($AB$2:$AQ$1001,MATCH(ROWS($U$2:U243),$U$2:$U$1001,0),MATCH(COLUMNS($AB$1006:AF1006),$AB$1006:$AQ$1006,0)), HYPERLINK("#",""), HYPERLINK(CONCATENATE("#metadata!", ADDRESS(INDEX($W$2:$W$1001,MATCH(ROWS($U$2:U243),$U$2:$U$1001,0),0), INDEX($AB$1004:$AQ$1004,1,MATCH(COLUMNS($AB$1006:AF1006),$AB$1006:$AQ$1006,0)))),"Fix")))</f>
        <v>0</v>
      </c>
      <c r="G243" s="4">
        <f>IF(OR(INDEX($V$2:$V$1001,MATCH(ROWS($U$2:U243),$U$2:$U$1001,0),1)&gt;=100000,INDEX($AB$1005:$AQ$1005,1,MATCH(COLUMNS($AB$1006:AG1006),$AB$1006:$AQ$1006,0))&gt;=100000), " ",IF(INDEX($AB$2:$AQ$1001,MATCH(ROWS($U$2:U243),$U$2:$U$1001,0),MATCH(COLUMNS($AB$1006:AG1006),$AB$1006:$AQ$1006,0)), HYPERLINK("#",""), HYPERLINK(CONCATENATE("#metadata!", ADDRESS(INDEX($W$2:$W$1001,MATCH(ROWS($U$2:U243),$U$2:$U$1001,0),0), INDEX($AB$1004:$AQ$1004,1,MATCH(COLUMNS($AB$1006:AG1006),$AB$1006:$AQ$1006,0)))),"Fix")))</f>
        <v>0</v>
      </c>
      <c r="H243" s="4">
        <f>IF(OR(INDEX($V$2:$V$1001,MATCH(ROWS($U$2:U243),$U$2:$U$1001,0),1)&gt;=100000,INDEX($AB$1005:$AQ$1005,1,MATCH(COLUMNS($AB$1006:AH1006),$AB$1006:$AQ$1006,0))&gt;=100000), " ",IF(INDEX($AB$2:$AQ$1001,MATCH(ROWS($U$2:U243),$U$2:$U$1001,0),MATCH(COLUMNS($AB$1006:AH1006),$AB$1006:$AQ$1006,0)), HYPERLINK("#",""), HYPERLINK(CONCATENATE("#metadata!", ADDRESS(INDEX($W$2:$W$1001,MATCH(ROWS($U$2:U243),$U$2:$U$1001,0),0), INDEX($AB$1004:$AQ$1004,1,MATCH(COLUMNS($AB$1006:AH1006),$AB$1006:$AQ$1006,0)))),"Fix")))</f>
        <v>0</v>
      </c>
      <c r="I243" s="4">
        <f>IF(OR(INDEX($V$2:$V$1001,MATCH(ROWS($U$2:U243),$U$2:$U$1001,0),1)&gt;=100000,INDEX($AB$1005:$AQ$1005,1,MATCH(COLUMNS($AB$1006:AI1006),$AB$1006:$AQ$1006,0))&gt;=100000), " ",IF(INDEX($AB$2:$AQ$1001,MATCH(ROWS($U$2:U243),$U$2:$U$1001,0),MATCH(COLUMNS($AB$1006:AI1006),$AB$1006:$AQ$1006,0)), HYPERLINK("#",""), HYPERLINK(CONCATENATE("#metadata!", ADDRESS(INDEX($W$2:$W$1001,MATCH(ROWS($U$2:U243),$U$2:$U$1001,0),0), INDEX($AB$1004:$AQ$1004,1,MATCH(COLUMNS($AB$1006:AI1006),$AB$1006:$AQ$1006,0)))),"Fix")))</f>
        <v>0</v>
      </c>
      <c r="J243" s="4">
        <f>IF(OR(INDEX($V$2:$V$1001,MATCH(ROWS($U$2:U243),$U$2:$U$1001,0),1)&gt;=100000,INDEX($AB$1005:$AQ$1005,1,MATCH(COLUMNS($AB$1006:AJ1006),$AB$1006:$AQ$1006,0))&gt;=100000), " ",IF(INDEX($AB$2:$AQ$1001,MATCH(ROWS($U$2:U243),$U$2:$U$1001,0),MATCH(COLUMNS($AB$1006:AJ1006),$AB$1006:$AQ$1006,0)), HYPERLINK("#",""), HYPERLINK(CONCATENATE("#metadata!", ADDRESS(INDEX($W$2:$W$1001,MATCH(ROWS($U$2:U243),$U$2:$U$1001,0),0), INDEX($AB$1004:$AQ$1004,1,MATCH(COLUMNS($AB$1006:AJ1006),$AB$1006:$AQ$1006,0)))),"Fix")))</f>
        <v>0</v>
      </c>
      <c r="K243" s="4">
        <f>IF(OR(INDEX($V$2:$V$1001,MATCH(ROWS($U$2:U243),$U$2:$U$1001,0),1)&gt;=100000,INDEX($AB$1005:$AQ$1005,1,MATCH(COLUMNS($AB$1006:AK1006),$AB$1006:$AQ$1006,0))&gt;=100000), " ",IF(INDEX($AB$2:$AQ$1001,MATCH(ROWS($U$2:U243),$U$2:$U$1001,0),MATCH(COLUMNS($AB$1006:AK1006),$AB$1006:$AQ$1006,0)), HYPERLINK("#",""), HYPERLINK(CONCATENATE("#metadata!", ADDRESS(INDEX($W$2:$W$1001,MATCH(ROWS($U$2:U243),$U$2:$U$1001,0),0), INDEX($AB$1004:$AQ$1004,1,MATCH(COLUMNS($AB$1006:AK1006),$AB$1006:$AQ$1006,0)))),"Fix")))</f>
        <v>0</v>
      </c>
      <c r="L243" s="4">
        <f>IF(OR(INDEX($V$2:$V$1001,MATCH(ROWS($U$2:U243),$U$2:$U$1001,0),1)&gt;=100000,INDEX($AB$1005:$AQ$1005,1,MATCH(COLUMNS($AB$1006:AL1006),$AB$1006:$AQ$1006,0))&gt;=100000), " ",IF(INDEX($AB$2:$AQ$1001,MATCH(ROWS($U$2:U243),$U$2:$U$1001,0),MATCH(COLUMNS($AB$1006:AL1006),$AB$1006:$AQ$1006,0)), HYPERLINK("#",""), HYPERLINK(CONCATENATE("#metadata!", ADDRESS(INDEX($W$2:$W$1001,MATCH(ROWS($U$2:U243),$U$2:$U$1001,0),0), INDEX($AB$1004:$AQ$1004,1,MATCH(COLUMNS($AB$1006:AL1006),$AB$1006:$AQ$1006,0)))),"Fix")))</f>
        <v>0</v>
      </c>
      <c r="M243" s="4">
        <f>IF(OR(INDEX($V$2:$V$1001,MATCH(ROWS($U$2:U243),$U$2:$U$1001,0),1)&gt;=100000,INDEX($AB$1005:$AQ$1005,1,MATCH(COLUMNS($AB$1006:AM1006),$AB$1006:$AQ$1006,0))&gt;=100000), " ",IF(INDEX($AB$2:$AQ$1001,MATCH(ROWS($U$2:U243),$U$2:$U$1001,0),MATCH(COLUMNS($AB$1006:AM1006),$AB$1006:$AQ$1006,0)), HYPERLINK("#",""), HYPERLINK(CONCATENATE("#metadata!", ADDRESS(INDEX($W$2:$W$1001,MATCH(ROWS($U$2:U243),$U$2:$U$1001,0),0), INDEX($AB$1004:$AQ$1004,1,MATCH(COLUMNS($AB$1006:AM1006),$AB$1006:$AQ$1006,0)))),"Fix")))</f>
        <v>0</v>
      </c>
      <c r="N243" s="4">
        <f>IF(OR(INDEX($V$2:$V$1001,MATCH(ROWS($U$2:U243),$U$2:$U$1001,0),1)&gt;=100000,INDEX($AB$1005:$AQ$1005,1,MATCH(COLUMNS($AB$1006:AN1006),$AB$1006:$AQ$1006,0))&gt;=100000), " ",IF(INDEX($AB$2:$AQ$1001,MATCH(ROWS($U$2:U243),$U$2:$U$1001,0),MATCH(COLUMNS($AB$1006:AN1006),$AB$1006:$AQ$1006,0)), HYPERLINK("#",""), HYPERLINK(CONCATENATE("#metadata!", ADDRESS(INDEX($W$2:$W$1001,MATCH(ROWS($U$2:U243),$U$2:$U$1001,0),0), INDEX($AB$1004:$AQ$1004,1,MATCH(COLUMNS($AB$1006:AN1006),$AB$1006:$AQ$1006,0)))),"Fix")))</f>
        <v>0</v>
      </c>
      <c r="O243" s="4">
        <f>IF(OR(INDEX($V$2:$V$1001,MATCH(ROWS($U$2:U243),$U$2:$U$1001,0),1)&gt;=100000,INDEX($AB$1005:$AQ$1005,1,MATCH(COLUMNS($AB$1006:AO1006),$AB$1006:$AQ$1006,0))&gt;=100000), " ",IF(INDEX($AB$2:$AQ$1001,MATCH(ROWS($U$2:U243),$U$2:$U$1001,0),MATCH(COLUMNS($AB$1006:AO1006),$AB$1006:$AQ$1006,0)), HYPERLINK("#",""), HYPERLINK(CONCATENATE("#metadata!", ADDRESS(INDEX($W$2:$W$1001,MATCH(ROWS($U$2:U243),$U$2:$U$1001,0),0), INDEX($AB$1004:$AQ$1004,1,MATCH(COLUMNS($AB$1006:AO1006),$AB$1006:$AQ$1006,0)))),"Fix")))</f>
        <v>0</v>
      </c>
      <c r="P243" s="4">
        <f>IF(OR(INDEX($V$2:$V$1001,MATCH(ROWS($U$2:U243),$U$2:$U$1001,0),1)&gt;=100000,INDEX($AB$1005:$AQ$1005,1,MATCH(COLUMNS($AB$1006:AP1006),$AB$1006:$AQ$1006,0))&gt;=100000), " ",IF(INDEX($AB$2:$AQ$1001,MATCH(ROWS($U$2:U243),$U$2:$U$1001,0),MATCH(COLUMNS($AB$1006:AP1006),$AB$1006:$AQ$1006,0)), HYPERLINK("#",""), HYPERLINK(CONCATENATE("#metadata!", ADDRESS(INDEX($W$2:$W$1001,MATCH(ROWS($U$2:U243),$U$2:$U$1001,0),0), INDEX($AB$1004:$AQ$1004,1,MATCH(COLUMNS($AB$1006:AP1006),$AB$1006:$AQ$1006,0)))),"Fix")))</f>
        <v>0</v>
      </c>
      <c r="Q243" s="4">
        <f>IF(OR(INDEX($V$2:$V$1001,MATCH(ROWS($U$2:U243),$U$2:$U$1001,0),1)&gt;=100000,INDEX($AB$1005:$AQ$1005,1,MATCH(COLUMNS($AB$1006:AQ1006),$AB$1006:$AQ$1006,0))&gt;=100000), " ",IF(INDEX($AB$2:$AQ$1001,MATCH(ROWS($U$2:U243),$U$2:$U$1001,0),MATCH(COLUMNS($AB$1006:AQ1006),$AB$1006:$AQ$1006,0)), HYPERLINK("#",""), HYPERLINK(CONCATENATE("#metadata!", ADDRESS(INDEX($W$2:$W$1001,MATCH(ROWS($U$2:U243),$U$2:$U$1001,0),0), INDEX($AB$1004:$AQ$1004,1,MATCH(COLUMNS($AB$1006:AQ1006),$AB$1006:$AQ$1006,0)))),"Fix")))</f>
        <v>0</v>
      </c>
      <c r="U243">
        <v>0</v>
      </c>
      <c r="V243">
        <v>0</v>
      </c>
      <c r="W243">
        <v>0</v>
      </c>
      <c r="X243">
        <f>IF(Y243,TRUE,AND(AB243:AQ243))</f>
        <v>0</v>
      </c>
      <c r="Y243">
        <f>COUNTBLANK(metadata!B243:Q243)=COLUMNS(metadata!B243:Q243)</f>
        <v>0</v>
      </c>
      <c r="Z243">
        <v>0</v>
      </c>
      <c r="AB243">
        <f>AND(IF(metadata!B243="",FALSE,TRUE),COUNTIF(metadata!B:B, metadata!B243) = 1,NOT(ISERROR(SUMPRODUCT(SEARCH(MID(metadata!B243,ROW(INDIRECT("1:"&amp;LEN(metadata!B243))), 1),"0123456789abcdefghijklmnopqrstuvwxyzABCDEFGHIJKLMNOPQRSTUVWXYZ.")))))</f>
        <v>0</v>
      </c>
      <c r="AC243">
        <f>OR(AND(IF(metadata!C243="",FALSE,TRUE),OR(exact(metadata!C243,"missing: not collected"),exact(metadata!C243,"missing: not provided"),exact(metadata!C243,"missing: restricted access"))),AND(IF(metadata!C243="",FALSE,TRUE),AND(AND(IFERROR(INT(LEFT(metadata!C243,4))&gt;1900,FALSE),IFERROR(INT(LEFT(metadata!C243,4))&lt;=YEAR(NOW()),FALSE)), OR(MID(metadata!C243,5,1)="", AND(AND(MID(metadata!C243,5,1)="-",IFERROR(INT(MID(metadata!C243,6,1))&gt;=0,FALSE),IFERROR(INT(MID(metadata!C243,6,1))&lt;=1,FALSE),NOT(MID(metadata!C243,7,1)=""),IFERROR(INT(MID(metadata!C243,6,2))&gt;=1,FALSE),IFERROR(INT(MID(metadata!C243,6,2))&lt;=12,FALSE)), OR(MID(metadata!C243,8,1)="", AND(AND(MID(metadata!C243,8,1)="-",IFERROR(INT(MID(metadata!C243,9,1))&gt;=0,FALSE),IFERROR(INT(MID(metadata!C243,9,1))&lt;=3,FALSE),NOT(MID(metadata!C243,10,1)=""),IFERROR(INT(MID(metadata!C243,9,2))&gt;=1,FALSE),IFERROR(INT(MID(metadata!C243,9,2))&lt;=31,FALSE)), OR(MID(metadata!C243,11,1)="", AND(AND(MID(metadata!C243,11,1)=" ",IFERROR(INT(MID(metadata!C243,12,1))&gt;=0,FALSE),IFERROR(INT(MID(metadata!C243,12,1))&lt;=2,FALSE),NOT(MID(metadata!C243,13,1)=""),IFERROR(INT(MID(metadata!C243,12,2))&gt;=0,FALSE),IFERROR(INT(MID(metadata!C243,12,2))&lt;=23,FALSE)), OR(MID(metadata!C243,14,1)="", AND(AND(MID(metadata!C243,14,1)=":",IFERROR(INT(MID(metadata!C243,15,1))&gt;=0,FALSE),IFERROR(INT(MID(metadata!C243,15,1))&lt;=5,FALSE),NOT(MID(metadata!C243,16,1)=""),IFERROR(INT(MID(metadata!C243,15,2))&gt;=0,FALSE),IFERROR(INT(MID(metadata!C243,15,2))&lt;=59,FALSE)), OR(MID(metadata!C243,17,1)="", AND(AND(MID(metadata!C243,17,1)=":",IFERROR(INT(MID(metadata!C243,18,1))&gt;=0,FALSE),IFERROR(INT(MID(metadata!C243,18,1))&lt;=5,FALSE),NOT(MID(metadata!C243,19,1)=""),IFERROR(INT(MID(metadata!C243,18,2))&gt;=0,FALSE),IFERROR(INT(MID(metadata!C243,18,2))&lt;=59,FALSE)), LEN(metadata!C243)&lt;=19)))))))))))))</f>
        <v>0</v>
      </c>
      <c r="AD243">
        <f>IF(metadata!D243="",FALSE,TRUE)</f>
        <v>0</v>
      </c>
      <c r="AE243">
        <f>OR(AND(IF(metadata!E243="",FALSE,TRUE),OR(exact(metadata!E243,"missing: not collected"),exact(metadata!E243,"missing: not provided"))),AND(IF(metadata!E243="",FALSE,TRUE),OR(exact(metadata!E243,"TRUE"),exact(metadata!E243,"FALSE"))))</f>
        <v>0</v>
      </c>
      <c r="AF243">
        <f>IF(metadata!F243="",FALSE,TRUE)</f>
        <v>0</v>
      </c>
      <c r="AG243">
        <f>IF(metadata!G243="",FALSE,TRUE)</f>
        <v>0</v>
      </c>
      <c r="AH243">
        <f>IF(metadata!H243="",FALSE,TRUE)</f>
        <v>0</v>
      </c>
      <c r="AI243">
        <f>OR(AND(IF(metadata!I243="",FALSE,TRUE),OR(exact(metadata!I243,"missing: not collected"),exact(metadata!I243,"missing: not provided"),exact(metadata!I243,"missing: restricted access"))),AND(IF(metadata!I243="",FALSE,TRUE),OR(exact(metadata!I243,"air"),exact(metadata!I243,"built environment"),exact(metadata!I243,"host-associated"),exact(metadata!I243,"human-associated"),exact(metadata!I243,"human-skin"),exact(metadata!I243,"human-oral"),exact(metadata!I243,"human-gut"),exact(metadata!I243,"human-vaginal"),exact(metadata!I243,"microbial mat/biofilm"),exact(metadata!I243,"misc environment"),exact(metadata!I243,"plant-associated"),exact(metadata!I243,"sediment"),exact(metadata!I243,"soil"),exact(metadata!I243,"wastewater/sludge"),exact(metadata!I243,"water"))))</f>
        <v>0</v>
      </c>
      <c r="AJ243">
        <f>IF(metadata!J243="",FALSE,TRUE)</f>
        <v>0</v>
      </c>
      <c r="AK243">
        <f>OR(AND(IF(metadata!K243="",FALSE,TRUE),OR(exact(metadata!K243,"missing: not collected"),exact(metadata!K243,"missing: not provided"),exact(metadata!K243,"missing: restricted access"))),AND(IF(metadata!K243="",FALSE,ISNUMBER(VALUE(metadata!K243))),metadata!K243&gt;=-90.00,metadata!K243&lt;=90.00))</f>
        <v>0</v>
      </c>
      <c r="AL243">
        <f>OR(AND(IF(metadata!L243="",FALSE,TRUE),OR(exact(metadata!L243,"missing: not collected"),exact(metadata!L243,"missing: not provided"),exact(metadata!L243,"missing: restricted access"))),AND(IF(metadata!L243="",FALSE,ISNUMBER(VALUE(metadata!L243))),metadata!L243&gt;=-180.00,metadata!L243&lt;=180.00))</f>
        <v>0</v>
      </c>
      <c r="AM243">
        <f>IF(metadata!M243="",FALSE,TRUE)</f>
        <v>0</v>
      </c>
      <c r="AN243">
        <f>OR(AND(IF(metadata!N243="",FALSE,TRUE),OR(exact(metadata!N243,"missing: not collected"),exact(metadata!N243,"missing: not provided"),exact(metadata!N243,"missing: restricted access"))),AND(IF(metadata!N243="",FALSE,TRUE),OR(exact(metadata!N243,"TRUE"),exact(metadata!N243,"FALSE"))))</f>
        <v>0</v>
      </c>
      <c r="AO243">
        <f>IF(metadata!O243="",FALSE,TRUE)</f>
        <v>0</v>
      </c>
      <c r="AP243">
        <f>OR(AND(IF(metadata!P243="",FALSE,TRUE),OR(exact(metadata!P243,"missing: not collected"),exact(metadata!P243,"missing: not provided"))),AND(IF(metadata!P243="",FALSE,IF(ISERROR(INT(metadata!P243)),FALSE,INT(metadata!P243)=metadata!P243)),metadata!P243&gt;0))</f>
        <v>0</v>
      </c>
      <c r="AQ243">
        <f>IF(metadata!Q243="",FALSE,TRUE)</f>
        <v>0</v>
      </c>
    </row>
    <row r="244" spans="1:43">
      <c r="A244" s="5">
        <f>IF(B244=" "," ",HYPERLINK(CONCATENATE("#metadata!",ADDRESS(INDEX($W$2:$W$1001,MATCH(ROWS($U$2:U244),$U$2:$U$1001,0),0),1)),INDEX($Z$2:$Z$1001,MATCH(ROWS($U$2:U244),$U$2:$U$1001,0),0)))</f>
        <v>0</v>
      </c>
      <c r="B244" s="4">
        <f>IF(OR(INDEX($V$2:$V$1001,MATCH(ROWS($U$2:U244),$U$2:$U$1001,0),1)&gt;=100000,INDEX($AB$1005:$AQ$1005,1,MATCH(COLUMNS($AB$1006:AB1006),$AB$1006:$AQ$1006,0))&gt;=100000), " ",IF(INDEX($AB$2:$AQ$1001,MATCH(ROWS($U$2:U244),$U$2:$U$1001,0),MATCH(COLUMNS($AB$1006:AB1006),$AB$1006:$AQ$1006,0)), HYPERLINK("#",""), HYPERLINK(CONCATENATE("#metadata!", ADDRESS(INDEX($W$2:$W$1001,MATCH(ROWS($U$2:U244),$U$2:$U$1001,0),0), INDEX($AB$1004:$AQ$1004,1,MATCH(COLUMNS($AB$1006:AB1006),$AB$1006:$AQ$1006,0)))),"Fix")))</f>
        <v>0</v>
      </c>
      <c r="C244" s="4">
        <f>IF(OR(INDEX($V$2:$V$1001,MATCH(ROWS($U$2:U244),$U$2:$U$1001,0),1)&gt;=100000,INDEX($AB$1005:$AQ$1005,1,MATCH(COLUMNS($AB$1006:AC1006),$AB$1006:$AQ$1006,0))&gt;=100000), " ",IF(INDEX($AB$2:$AQ$1001,MATCH(ROWS($U$2:U244),$U$2:$U$1001,0),MATCH(COLUMNS($AB$1006:AC1006),$AB$1006:$AQ$1006,0)), HYPERLINK("#",""), HYPERLINK(CONCATENATE("#metadata!", ADDRESS(INDEX($W$2:$W$1001,MATCH(ROWS($U$2:U244),$U$2:$U$1001,0),0), INDEX($AB$1004:$AQ$1004,1,MATCH(COLUMNS($AB$1006:AC1006),$AB$1006:$AQ$1006,0)))),"Fix")))</f>
        <v>0</v>
      </c>
      <c r="D244" s="4">
        <f>IF(OR(INDEX($V$2:$V$1001,MATCH(ROWS($U$2:U244),$U$2:$U$1001,0),1)&gt;=100000,INDEX($AB$1005:$AQ$1005,1,MATCH(COLUMNS($AB$1006:AD1006),$AB$1006:$AQ$1006,0))&gt;=100000), " ",IF(INDEX($AB$2:$AQ$1001,MATCH(ROWS($U$2:U244),$U$2:$U$1001,0),MATCH(COLUMNS($AB$1006:AD1006),$AB$1006:$AQ$1006,0)), HYPERLINK("#",""), HYPERLINK(CONCATENATE("#metadata!", ADDRESS(INDEX($W$2:$W$1001,MATCH(ROWS($U$2:U244),$U$2:$U$1001,0),0), INDEX($AB$1004:$AQ$1004,1,MATCH(COLUMNS($AB$1006:AD1006),$AB$1006:$AQ$1006,0)))),"Fix")))</f>
        <v>0</v>
      </c>
      <c r="E244" s="4">
        <f>IF(OR(INDEX($V$2:$V$1001,MATCH(ROWS($U$2:U244),$U$2:$U$1001,0),1)&gt;=100000,INDEX($AB$1005:$AQ$1005,1,MATCH(COLUMNS($AB$1006:AE1006),$AB$1006:$AQ$1006,0))&gt;=100000), " ",IF(INDEX($AB$2:$AQ$1001,MATCH(ROWS($U$2:U244),$U$2:$U$1001,0),MATCH(COLUMNS($AB$1006:AE1006),$AB$1006:$AQ$1006,0)), HYPERLINK("#",""), HYPERLINK(CONCATENATE("#metadata!", ADDRESS(INDEX($W$2:$W$1001,MATCH(ROWS($U$2:U244),$U$2:$U$1001,0),0), INDEX($AB$1004:$AQ$1004,1,MATCH(COLUMNS($AB$1006:AE1006),$AB$1006:$AQ$1006,0)))),"Fix")))</f>
        <v>0</v>
      </c>
      <c r="F244" s="4">
        <f>IF(OR(INDEX($V$2:$V$1001,MATCH(ROWS($U$2:U244),$U$2:$U$1001,0),1)&gt;=100000,INDEX($AB$1005:$AQ$1005,1,MATCH(COLUMNS($AB$1006:AF1006),$AB$1006:$AQ$1006,0))&gt;=100000), " ",IF(INDEX($AB$2:$AQ$1001,MATCH(ROWS($U$2:U244),$U$2:$U$1001,0),MATCH(COLUMNS($AB$1006:AF1006),$AB$1006:$AQ$1006,0)), HYPERLINK("#",""), HYPERLINK(CONCATENATE("#metadata!", ADDRESS(INDEX($W$2:$W$1001,MATCH(ROWS($U$2:U244),$U$2:$U$1001,0),0), INDEX($AB$1004:$AQ$1004,1,MATCH(COLUMNS($AB$1006:AF1006),$AB$1006:$AQ$1006,0)))),"Fix")))</f>
        <v>0</v>
      </c>
      <c r="G244" s="4">
        <f>IF(OR(INDEX($V$2:$V$1001,MATCH(ROWS($U$2:U244),$U$2:$U$1001,0),1)&gt;=100000,INDEX($AB$1005:$AQ$1005,1,MATCH(COLUMNS($AB$1006:AG1006),$AB$1006:$AQ$1006,0))&gt;=100000), " ",IF(INDEX($AB$2:$AQ$1001,MATCH(ROWS($U$2:U244),$U$2:$U$1001,0),MATCH(COLUMNS($AB$1006:AG1006),$AB$1006:$AQ$1006,0)), HYPERLINK("#",""), HYPERLINK(CONCATENATE("#metadata!", ADDRESS(INDEX($W$2:$W$1001,MATCH(ROWS($U$2:U244),$U$2:$U$1001,0),0), INDEX($AB$1004:$AQ$1004,1,MATCH(COLUMNS($AB$1006:AG1006),$AB$1006:$AQ$1006,0)))),"Fix")))</f>
        <v>0</v>
      </c>
      <c r="H244" s="4">
        <f>IF(OR(INDEX($V$2:$V$1001,MATCH(ROWS($U$2:U244),$U$2:$U$1001,0),1)&gt;=100000,INDEX($AB$1005:$AQ$1005,1,MATCH(COLUMNS($AB$1006:AH1006),$AB$1006:$AQ$1006,0))&gt;=100000), " ",IF(INDEX($AB$2:$AQ$1001,MATCH(ROWS($U$2:U244),$U$2:$U$1001,0),MATCH(COLUMNS($AB$1006:AH1006),$AB$1006:$AQ$1006,0)), HYPERLINK("#",""), HYPERLINK(CONCATENATE("#metadata!", ADDRESS(INDEX($W$2:$W$1001,MATCH(ROWS($U$2:U244),$U$2:$U$1001,0),0), INDEX($AB$1004:$AQ$1004,1,MATCH(COLUMNS($AB$1006:AH1006),$AB$1006:$AQ$1006,0)))),"Fix")))</f>
        <v>0</v>
      </c>
      <c r="I244" s="4">
        <f>IF(OR(INDEX($V$2:$V$1001,MATCH(ROWS($U$2:U244),$U$2:$U$1001,0),1)&gt;=100000,INDEX($AB$1005:$AQ$1005,1,MATCH(COLUMNS($AB$1006:AI1006),$AB$1006:$AQ$1006,0))&gt;=100000), " ",IF(INDEX($AB$2:$AQ$1001,MATCH(ROWS($U$2:U244),$U$2:$U$1001,0),MATCH(COLUMNS($AB$1006:AI1006),$AB$1006:$AQ$1006,0)), HYPERLINK("#",""), HYPERLINK(CONCATENATE("#metadata!", ADDRESS(INDEX($W$2:$W$1001,MATCH(ROWS($U$2:U244),$U$2:$U$1001,0),0), INDEX($AB$1004:$AQ$1004,1,MATCH(COLUMNS($AB$1006:AI1006),$AB$1006:$AQ$1006,0)))),"Fix")))</f>
        <v>0</v>
      </c>
      <c r="J244" s="4">
        <f>IF(OR(INDEX($V$2:$V$1001,MATCH(ROWS($U$2:U244),$U$2:$U$1001,0),1)&gt;=100000,INDEX($AB$1005:$AQ$1005,1,MATCH(COLUMNS($AB$1006:AJ1006),$AB$1006:$AQ$1006,0))&gt;=100000), " ",IF(INDEX($AB$2:$AQ$1001,MATCH(ROWS($U$2:U244),$U$2:$U$1001,0),MATCH(COLUMNS($AB$1006:AJ1006),$AB$1006:$AQ$1006,0)), HYPERLINK("#",""), HYPERLINK(CONCATENATE("#metadata!", ADDRESS(INDEX($W$2:$W$1001,MATCH(ROWS($U$2:U244),$U$2:$U$1001,0),0), INDEX($AB$1004:$AQ$1004,1,MATCH(COLUMNS($AB$1006:AJ1006),$AB$1006:$AQ$1006,0)))),"Fix")))</f>
        <v>0</v>
      </c>
      <c r="K244" s="4">
        <f>IF(OR(INDEX($V$2:$V$1001,MATCH(ROWS($U$2:U244),$U$2:$U$1001,0),1)&gt;=100000,INDEX($AB$1005:$AQ$1005,1,MATCH(COLUMNS($AB$1006:AK1006),$AB$1006:$AQ$1006,0))&gt;=100000), " ",IF(INDEX($AB$2:$AQ$1001,MATCH(ROWS($U$2:U244),$U$2:$U$1001,0),MATCH(COLUMNS($AB$1006:AK1006),$AB$1006:$AQ$1006,0)), HYPERLINK("#",""), HYPERLINK(CONCATENATE("#metadata!", ADDRESS(INDEX($W$2:$W$1001,MATCH(ROWS($U$2:U244),$U$2:$U$1001,0),0), INDEX($AB$1004:$AQ$1004,1,MATCH(COLUMNS($AB$1006:AK1006),$AB$1006:$AQ$1006,0)))),"Fix")))</f>
        <v>0</v>
      </c>
      <c r="L244" s="4">
        <f>IF(OR(INDEX($V$2:$V$1001,MATCH(ROWS($U$2:U244),$U$2:$U$1001,0),1)&gt;=100000,INDEX($AB$1005:$AQ$1005,1,MATCH(COLUMNS($AB$1006:AL1006),$AB$1006:$AQ$1006,0))&gt;=100000), " ",IF(INDEX($AB$2:$AQ$1001,MATCH(ROWS($U$2:U244),$U$2:$U$1001,0),MATCH(COLUMNS($AB$1006:AL1006),$AB$1006:$AQ$1006,0)), HYPERLINK("#",""), HYPERLINK(CONCATENATE("#metadata!", ADDRESS(INDEX($W$2:$W$1001,MATCH(ROWS($U$2:U244),$U$2:$U$1001,0),0), INDEX($AB$1004:$AQ$1004,1,MATCH(COLUMNS($AB$1006:AL1006),$AB$1006:$AQ$1006,0)))),"Fix")))</f>
        <v>0</v>
      </c>
      <c r="M244" s="4">
        <f>IF(OR(INDEX($V$2:$V$1001,MATCH(ROWS($U$2:U244),$U$2:$U$1001,0),1)&gt;=100000,INDEX($AB$1005:$AQ$1005,1,MATCH(COLUMNS($AB$1006:AM1006),$AB$1006:$AQ$1006,0))&gt;=100000), " ",IF(INDEX($AB$2:$AQ$1001,MATCH(ROWS($U$2:U244),$U$2:$U$1001,0),MATCH(COLUMNS($AB$1006:AM1006),$AB$1006:$AQ$1006,0)), HYPERLINK("#",""), HYPERLINK(CONCATENATE("#metadata!", ADDRESS(INDEX($W$2:$W$1001,MATCH(ROWS($U$2:U244),$U$2:$U$1001,0),0), INDEX($AB$1004:$AQ$1004,1,MATCH(COLUMNS($AB$1006:AM1006),$AB$1006:$AQ$1006,0)))),"Fix")))</f>
        <v>0</v>
      </c>
      <c r="N244" s="4">
        <f>IF(OR(INDEX($V$2:$V$1001,MATCH(ROWS($U$2:U244),$U$2:$U$1001,0),1)&gt;=100000,INDEX($AB$1005:$AQ$1005,1,MATCH(COLUMNS($AB$1006:AN1006),$AB$1006:$AQ$1006,0))&gt;=100000), " ",IF(INDEX($AB$2:$AQ$1001,MATCH(ROWS($U$2:U244),$U$2:$U$1001,0),MATCH(COLUMNS($AB$1006:AN1006),$AB$1006:$AQ$1006,0)), HYPERLINK("#",""), HYPERLINK(CONCATENATE("#metadata!", ADDRESS(INDEX($W$2:$W$1001,MATCH(ROWS($U$2:U244),$U$2:$U$1001,0),0), INDEX($AB$1004:$AQ$1004,1,MATCH(COLUMNS($AB$1006:AN1006),$AB$1006:$AQ$1006,0)))),"Fix")))</f>
        <v>0</v>
      </c>
      <c r="O244" s="4">
        <f>IF(OR(INDEX($V$2:$V$1001,MATCH(ROWS($U$2:U244),$U$2:$U$1001,0),1)&gt;=100000,INDEX($AB$1005:$AQ$1005,1,MATCH(COLUMNS($AB$1006:AO1006),$AB$1006:$AQ$1006,0))&gt;=100000), " ",IF(INDEX($AB$2:$AQ$1001,MATCH(ROWS($U$2:U244),$U$2:$U$1001,0),MATCH(COLUMNS($AB$1006:AO1006),$AB$1006:$AQ$1006,0)), HYPERLINK("#",""), HYPERLINK(CONCATENATE("#metadata!", ADDRESS(INDEX($W$2:$W$1001,MATCH(ROWS($U$2:U244),$U$2:$U$1001,0),0), INDEX($AB$1004:$AQ$1004,1,MATCH(COLUMNS($AB$1006:AO1006),$AB$1006:$AQ$1006,0)))),"Fix")))</f>
        <v>0</v>
      </c>
      <c r="P244" s="4">
        <f>IF(OR(INDEX($V$2:$V$1001,MATCH(ROWS($U$2:U244),$U$2:$U$1001,0),1)&gt;=100000,INDEX($AB$1005:$AQ$1005,1,MATCH(COLUMNS($AB$1006:AP1006),$AB$1006:$AQ$1006,0))&gt;=100000), " ",IF(INDEX($AB$2:$AQ$1001,MATCH(ROWS($U$2:U244),$U$2:$U$1001,0),MATCH(COLUMNS($AB$1006:AP1006),$AB$1006:$AQ$1006,0)), HYPERLINK("#",""), HYPERLINK(CONCATENATE("#metadata!", ADDRESS(INDEX($W$2:$W$1001,MATCH(ROWS($U$2:U244),$U$2:$U$1001,0),0), INDEX($AB$1004:$AQ$1004,1,MATCH(COLUMNS($AB$1006:AP1006),$AB$1006:$AQ$1006,0)))),"Fix")))</f>
        <v>0</v>
      </c>
      <c r="Q244" s="4">
        <f>IF(OR(INDEX($V$2:$V$1001,MATCH(ROWS($U$2:U244),$U$2:$U$1001,0),1)&gt;=100000,INDEX($AB$1005:$AQ$1005,1,MATCH(COLUMNS($AB$1006:AQ1006),$AB$1006:$AQ$1006,0))&gt;=100000), " ",IF(INDEX($AB$2:$AQ$1001,MATCH(ROWS($U$2:U244),$U$2:$U$1001,0),MATCH(COLUMNS($AB$1006:AQ1006),$AB$1006:$AQ$1006,0)), HYPERLINK("#",""), HYPERLINK(CONCATENATE("#metadata!", ADDRESS(INDEX($W$2:$W$1001,MATCH(ROWS($U$2:U244),$U$2:$U$1001,0),0), INDEX($AB$1004:$AQ$1004,1,MATCH(COLUMNS($AB$1006:AQ1006),$AB$1006:$AQ$1006,0)))),"Fix")))</f>
        <v>0</v>
      </c>
      <c r="U244">
        <v>0</v>
      </c>
      <c r="V244">
        <v>0</v>
      </c>
      <c r="W244">
        <v>0</v>
      </c>
      <c r="X244">
        <f>IF(Y244,TRUE,AND(AB244:AQ244))</f>
        <v>0</v>
      </c>
      <c r="Y244">
        <f>COUNTBLANK(metadata!B244:Q244)=COLUMNS(metadata!B244:Q244)</f>
        <v>0</v>
      </c>
      <c r="Z244">
        <v>0</v>
      </c>
      <c r="AB244">
        <f>AND(IF(metadata!B244="",FALSE,TRUE),COUNTIF(metadata!B:B, metadata!B244) = 1,NOT(ISERROR(SUMPRODUCT(SEARCH(MID(metadata!B244,ROW(INDIRECT("1:"&amp;LEN(metadata!B244))), 1),"0123456789abcdefghijklmnopqrstuvwxyzABCDEFGHIJKLMNOPQRSTUVWXYZ.")))))</f>
        <v>0</v>
      </c>
      <c r="AC244">
        <f>OR(AND(IF(metadata!C244="",FALSE,TRUE),OR(exact(metadata!C244,"missing: not collected"),exact(metadata!C244,"missing: not provided"),exact(metadata!C244,"missing: restricted access"))),AND(IF(metadata!C244="",FALSE,TRUE),AND(AND(IFERROR(INT(LEFT(metadata!C244,4))&gt;1900,FALSE),IFERROR(INT(LEFT(metadata!C244,4))&lt;=YEAR(NOW()),FALSE)), OR(MID(metadata!C244,5,1)="", AND(AND(MID(metadata!C244,5,1)="-",IFERROR(INT(MID(metadata!C244,6,1))&gt;=0,FALSE),IFERROR(INT(MID(metadata!C244,6,1))&lt;=1,FALSE),NOT(MID(metadata!C244,7,1)=""),IFERROR(INT(MID(metadata!C244,6,2))&gt;=1,FALSE),IFERROR(INT(MID(metadata!C244,6,2))&lt;=12,FALSE)), OR(MID(metadata!C244,8,1)="", AND(AND(MID(metadata!C244,8,1)="-",IFERROR(INT(MID(metadata!C244,9,1))&gt;=0,FALSE),IFERROR(INT(MID(metadata!C244,9,1))&lt;=3,FALSE),NOT(MID(metadata!C244,10,1)=""),IFERROR(INT(MID(metadata!C244,9,2))&gt;=1,FALSE),IFERROR(INT(MID(metadata!C244,9,2))&lt;=31,FALSE)), OR(MID(metadata!C244,11,1)="", AND(AND(MID(metadata!C244,11,1)=" ",IFERROR(INT(MID(metadata!C244,12,1))&gt;=0,FALSE),IFERROR(INT(MID(metadata!C244,12,1))&lt;=2,FALSE),NOT(MID(metadata!C244,13,1)=""),IFERROR(INT(MID(metadata!C244,12,2))&gt;=0,FALSE),IFERROR(INT(MID(metadata!C244,12,2))&lt;=23,FALSE)), OR(MID(metadata!C244,14,1)="", AND(AND(MID(metadata!C244,14,1)=":",IFERROR(INT(MID(metadata!C244,15,1))&gt;=0,FALSE),IFERROR(INT(MID(metadata!C244,15,1))&lt;=5,FALSE),NOT(MID(metadata!C244,16,1)=""),IFERROR(INT(MID(metadata!C244,15,2))&gt;=0,FALSE),IFERROR(INT(MID(metadata!C244,15,2))&lt;=59,FALSE)), OR(MID(metadata!C244,17,1)="", AND(AND(MID(metadata!C244,17,1)=":",IFERROR(INT(MID(metadata!C244,18,1))&gt;=0,FALSE),IFERROR(INT(MID(metadata!C244,18,1))&lt;=5,FALSE),NOT(MID(metadata!C244,19,1)=""),IFERROR(INT(MID(metadata!C244,18,2))&gt;=0,FALSE),IFERROR(INT(MID(metadata!C244,18,2))&lt;=59,FALSE)), LEN(metadata!C244)&lt;=19)))))))))))))</f>
        <v>0</v>
      </c>
      <c r="AD244">
        <f>IF(metadata!D244="",FALSE,TRUE)</f>
        <v>0</v>
      </c>
      <c r="AE244">
        <f>OR(AND(IF(metadata!E244="",FALSE,TRUE),OR(exact(metadata!E244,"missing: not collected"),exact(metadata!E244,"missing: not provided"))),AND(IF(metadata!E244="",FALSE,TRUE),OR(exact(metadata!E244,"TRUE"),exact(metadata!E244,"FALSE"))))</f>
        <v>0</v>
      </c>
      <c r="AF244">
        <f>IF(metadata!F244="",FALSE,TRUE)</f>
        <v>0</v>
      </c>
      <c r="AG244">
        <f>IF(metadata!G244="",FALSE,TRUE)</f>
        <v>0</v>
      </c>
      <c r="AH244">
        <f>IF(metadata!H244="",FALSE,TRUE)</f>
        <v>0</v>
      </c>
      <c r="AI244">
        <f>OR(AND(IF(metadata!I244="",FALSE,TRUE),OR(exact(metadata!I244,"missing: not collected"),exact(metadata!I244,"missing: not provided"),exact(metadata!I244,"missing: restricted access"))),AND(IF(metadata!I244="",FALSE,TRUE),OR(exact(metadata!I244,"air"),exact(metadata!I244,"built environment"),exact(metadata!I244,"host-associated"),exact(metadata!I244,"human-associated"),exact(metadata!I244,"human-skin"),exact(metadata!I244,"human-oral"),exact(metadata!I244,"human-gut"),exact(metadata!I244,"human-vaginal"),exact(metadata!I244,"microbial mat/biofilm"),exact(metadata!I244,"misc environment"),exact(metadata!I244,"plant-associated"),exact(metadata!I244,"sediment"),exact(metadata!I244,"soil"),exact(metadata!I244,"wastewater/sludge"),exact(metadata!I244,"water"))))</f>
        <v>0</v>
      </c>
      <c r="AJ244">
        <f>IF(metadata!J244="",FALSE,TRUE)</f>
        <v>0</v>
      </c>
      <c r="AK244">
        <f>OR(AND(IF(metadata!K244="",FALSE,TRUE),OR(exact(metadata!K244,"missing: not collected"),exact(metadata!K244,"missing: not provided"),exact(metadata!K244,"missing: restricted access"))),AND(IF(metadata!K244="",FALSE,ISNUMBER(VALUE(metadata!K244))),metadata!K244&gt;=-90.00,metadata!K244&lt;=90.00))</f>
        <v>0</v>
      </c>
      <c r="AL244">
        <f>OR(AND(IF(metadata!L244="",FALSE,TRUE),OR(exact(metadata!L244,"missing: not collected"),exact(metadata!L244,"missing: not provided"),exact(metadata!L244,"missing: restricted access"))),AND(IF(metadata!L244="",FALSE,ISNUMBER(VALUE(metadata!L244))),metadata!L244&gt;=-180.00,metadata!L244&lt;=180.00))</f>
        <v>0</v>
      </c>
      <c r="AM244">
        <f>IF(metadata!M244="",FALSE,TRUE)</f>
        <v>0</v>
      </c>
      <c r="AN244">
        <f>OR(AND(IF(metadata!N244="",FALSE,TRUE),OR(exact(metadata!N244,"missing: not collected"),exact(metadata!N244,"missing: not provided"),exact(metadata!N244,"missing: restricted access"))),AND(IF(metadata!N244="",FALSE,TRUE),OR(exact(metadata!N244,"TRUE"),exact(metadata!N244,"FALSE"))))</f>
        <v>0</v>
      </c>
      <c r="AO244">
        <f>IF(metadata!O244="",FALSE,TRUE)</f>
        <v>0</v>
      </c>
      <c r="AP244">
        <f>OR(AND(IF(metadata!P244="",FALSE,TRUE),OR(exact(metadata!P244,"missing: not collected"),exact(metadata!P244,"missing: not provided"))),AND(IF(metadata!P244="",FALSE,IF(ISERROR(INT(metadata!P244)),FALSE,INT(metadata!P244)=metadata!P244)),metadata!P244&gt;0))</f>
        <v>0</v>
      </c>
      <c r="AQ244">
        <f>IF(metadata!Q244="",FALSE,TRUE)</f>
        <v>0</v>
      </c>
    </row>
    <row r="245" spans="1:43">
      <c r="A245" s="5">
        <f>IF(B245=" "," ",HYPERLINK(CONCATENATE("#metadata!",ADDRESS(INDEX($W$2:$W$1001,MATCH(ROWS($U$2:U245),$U$2:$U$1001,0),0),1)),INDEX($Z$2:$Z$1001,MATCH(ROWS($U$2:U245),$U$2:$U$1001,0),0)))</f>
        <v>0</v>
      </c>
      <c r="B245" s="4">
        <f>IF(OR(INDEX($V$2:$V$1001,MATCH(ROWS($U$2:U245),$U$2:$U$1001,0),1)&gt;=100000,INDEX($AB$1005:$AQ$1005,1,MATCH(COLUMNS($AB$1006:AB1006),$AB$1006:$AQ$1006,0))&gt;=100000), " ",IF(INDEX($AB$2:$AQ$1001,MATCH(ROWS($U$2:U245),$U$2:$U$1001,0),MATCH(COLUMNS($AB$1006:AB1006),$AB$1006:$AQ$1006,0)), HYPERLINK("#",""), HYPERLINK(CONCATENATE("#metadata!", ADDRESS(INDEX($W$2:$W$1001,MATCH(ROWS($U$2:U245),$U$2:$U$1001,0),0), INDEX($AB$1004:$AQ$1004,1,MATCH(COLUMNS($AB$1006:AB1006),$AB$1006:$AQ$1006,0)))),"Fix")))</f>
        <v>0</v>
      </c>
      <c r="C245" s="4">
        <f>IF(OR(INDEX($V$2:$V$1001,MATCH(ROWS($U$2:U245),$U$2:$U$1001,0),1)&gt;=100000,INDEX($AB$1005:$AQ$1005,1,MATCH(COLUMNS($AB$1006:AC1006),$AB$1006:$AQ$1006,0))&gt;=100000), " ",IF(INDEX($AB$2:$AQ$1001,MATCH(ROWS($U$2:U245),$U$2:$U$1001,0),MATCH(COLUMNS($AB$1006:AC1006),$AB$1006:$AQ$1006,0)), HYPERLINK("#",""), HYPERLINK(CONCATENATE("#metadata!", ADDRESS(INDEX($W$2:$W$1001,MATCH(ROWS($U$2:U245),$U$2:$U$1001,0),0), INDEX($AB$1004:$AQ$1004,1,MATCH(COLUMNS($AB$1006:AC1006),$AB$1006:$AQ$1006,0)))),"Fix")))</f>
        <v>0</v>
      </c>
      <c r="D245" s="4">
        <f>IF(OR(INDEX($V$2:$V$1001,MATCH(ROWS($U$2:U245),$U$2:$U$1001,0),1)&gt;=100000,INDEX($AB$1005:$AQ$1005,1,MATCH(COLUMNS($AB$1006:AD1006),$AB$1006:$AQ$1006,0))&gt;=100000), " ",IF(INDEX($AB$2:$AQ$1001,MATCH(ROWS($U$2:U245),$U$2:$U$1001,0),MATCH(COLUMNS($AB$1006:AD1006),$AB$1006:$AQ$1006,0)), HYPERLINK("#",""), HYPERLINK(CONCATENATE("#metadata!", ADDRESS(INDEX($W$2:$W$1001,MATCH(ROWS($U$2:U245),$U$2:$U$1001,0),0), INDEX($AB$1004:$AQ$1004,1,MATCH(COLUMNS($AB$1006:AD1006),$AB$1006:$AQ$1006,0)))),"Fix")))</f>
        <v>0</v>
      </c>
      <c r="E245" s="4">
        <f>IF(OR(INDEX($V$2:$V$1001,MATCH(ROWS($U$2:U245),$U$2:$U$1001,0),1)&gt;=100000,INDEX($AB$1005:$AQ$1005,1,MATCH(COLUMNS($AB$1006:AE1006),$AB$1006:$AQ$1006,0))&gt;=100000), " ",IF(INDEX($AB$2:$AQ$1001,MATCH(ROWS($U$2:U245),$U$2:$U$1001,0),MATCH(COLUMNS($AB$1006:AE1006),$AB$1006:$AQ$1006,0)), HYPERLINK("#",""), HYPERLINK(CONCATENATE("#metadata!", ADDRESS(INDEX($W$2:$W$1001,MATCH(ROWS($U$2:U245),$U$2:$U$1001,0),0), INDEX($AB$1004:$AQ$1004,1,MATCH(COLUMNS($AB$1006:AE1006),$AB$1006:$AQ$1006,0)))),"Fix")))</f>
        <v>0</v>
      </c>
      <c r="F245" s="4">
        <f>IF(OR(INDEX($V$2:$V$1001,MATCH(ROWS($U$2:U245),$U$2:$U$1001,0),1)&gt;=100000,INDEX($AB$1005:$AQ$1005,1,MATCH(COLUMNS($AB$1006:AF1006),$AB$1006:$AQ$1006,0))&gt;=100000), " ",IF(INDEX($AB$2:$AQ$1001,MATCH(ROWS($U$2:U245),$U$2:$U$1001,0),MATCH(COLUMNS($AB$1006:AF1006),$AB$1006:$AQ$1006,0)), HYPERLINK("#",""), HYPERLINK(CONCATENATE("#metadata!", ADDRESS(INDEX($W$2:$W$1001,MATCH(ROWS($U$2:U245),$U$2:$U$1001,0),0), INDEX($AB$1004:$AQ$1004,1,MATCH(COLUMNS($AB$1006:AF1006),$AB$1006:$AQ$1006,0)))),"Fix")))</f>
        <v>0</v>
      </c>
      <c r="G245" s="4">
        <f>IF(OR(INDEX($V$2:$V$1001,MATCH(ROWS($U$2:U245),$U$2:$U$1001,0),1)&gt;=100000,INDEX($AB$1005:$AQ$1005,1,MATCH(COLUMNS($AB$1006:AG1006),$AB$1006:$AQ$1006,0))&gt;=100000), " ",IF(INDEX($AB$2:$AQ$1001,MATCH(ROWS($U$2:U245),$U$2:$U$1001,0),MATCH(COLUMNS($AB$1006:AG1006),$AB$1006:$AQ$1006,0)), HYPERLINK("#",""), HYPERLINK(CONCATENATE("#metadata!", ADDRESS(INDEX($W$2:$W$1001,MATCH(ROWS($U$2:U245),$U$2:$U$1001,0),0), INDEX($AB$1004:$AQ$1004,1,MATCH(COLUMNS($AB$1006:AG1006),$AB$1006:$AQ$1006,0)))),"Fix")))</f>
        <v>0</v>
      </c>
      <c r="H245" s="4">
        <f>IF(OR(INDEX($V$2:$V$1001,MATCH(ROWS($U$2:U245),$U$2:$U$1001,0),1)&gt;=100000,INDEX($AB$1005:$AQ$1005,1,MATCH(COLUMNS($AB$1006:AH1006),$AB$1006:$AQ$1006,0))&gt;=100000), " ",IF(INDEX($AB$2:$AQ$1001,MATCH(ROWS($U$2:U245),$U$2:$U$1001,0),MATCH(COLUMNS($AB$1006:AH1006),$AB$1006:$AQ$1006,0)), HYPERLINK("#",""), HYPERLINK(CONCATENATE("#metadata!", ADDRESS(INDEX($W$2:$W$1001,MATCH(ROWS($U$2:U245),$U$2:$U$1001,0),0), INDEX($AB$1004:$AQ$1004,1,MATCH(COLUMNS($AB$1006:AH1006),$AB$1006:$AQ$1006,0)))),"Fix")))</f>
        <v>0</v>
      </c>
      <c r="I245" s="4">
        <f>IF(OR(INDEX($V$2:$V$1001,MATCH(ROWS($U$2:U245),$U$2:$U$1001,0),1)&gt;=100000,INDEX($AB$1005:$AQ$1005,1,MATCH(COLUMNS($AB$1006:AI1006),$AB$1006:$AQ$1006,0))&gt;=100000), " ",IF(INDEX($AB$2:$AQ$1001,MATCH(ROWS($U$2:U245),$U$2:$U$1001,0),MATCH(COLUMNS($AB$1006:AI1006),$AB$1006:$AQ$1006,0)), HYPERLINK("#",""), HYPERLINK(CONCATENATE("#metadata!", ADDRESS(INDEX($W$2:$W$1001,MATCH(ROWS($U$2:U245),$U$2:$U$1001,0),0), INDEX($AB$1004:$AQ$1004,1,MATCH(COLUMNS($AB$1006:AI1006),$AB$1006:$AQ$1006,0)))),"Fix")))</f>
        <v>0</v>
      </c>
      <c r="J245" s="4">
        <f>IF(OR(INDEX($V$2:$V$1001,MATCH(ROWS($U$2:U245),$U$2:$U$1001,0),1)&gt;=100000,INDEX($AB$1005:$AQ$1005,1,MATCH(COLUMNS($AB$1006:AJ1006),$AB$1006:$AQ$1006,0))&gt;=100000), " ",IF(INDEX($AB$2:$AQ$1001,MATCH(ROWS($U$2:U245),$U$2:$U$1001,0),MATCH(COLUMNS($AB$1006:AJ1006),$AB$1006:$AQ$1006,0)), HYPERLINK("#",""), HYPERLINK(CONCATENATE("#metadata!", ADDRESS(INDEX($W$2:$W$1001,MATCH(ROWS($U$2:U245),$U$2:$U$1001,0),0), INDEX($AB$1004:$AQ$1004,1,MATCH(COLUMNS($AB$1006:AJ1006),$AB$1006:$AQ$1006,0)))),"Fix")))</f>
        <v>0</v>
      </c>
      <c r="K245" s="4">
        <f>IF(OR(INDEX($V$2:$V$1001,MATCH(ROWS($U$2:U245),$U$2:$U$1001,0),1)&gt;=100000,INDEX($AB$1005:$AQ$1005,1,MATCH(COLUMNS($AB$1006:AK1006),$AB$1006:$AQ$1006,0))&gt;=100000), " ",IF(INDEX($AB$2:$AQ$1001,MATCH(ROWS($U$2:U245),$U$2:$U$1001,0),MATCH(COLUMNS($AB$1006:AK1006),$AB$1006:$AQ$1006,0)), HYPERLINK("#",""), HYPERLINK(CONCATENATE("#metadata!", ADDRESS(INDEX($W$2:$W$1001,MATCH(ROWS($U$2:U245),$U$2:$U$1001,0),0), INDEX($AB$1004:$AQ$1004,1,MATCH(COLUMNS($AB$1006:AK1006),$AB$1006:$AQ$1006,0)))),"Fix")))</f>
        <v>0</v>
      </c>
      <c r="L245" s="4">
        <f>IF(OR(INDEX($V$2:$V$1001,MATCH(ROWS($U$2:U245),$U$2:$U$1001,0),1)&gt;=100000,INDEX($AB$1005:$AQ$1005,1,MATCH(COLUMNS($AB$1006:AL1006),$AB$1006:$AQ$1006,0))&gt;=100000), " ",IF(INDEX($AB$2:$AQ$1001,MATCH(ROWS($U$2:U245),$U$2:$U$1001,0),MATCH(COLUMNS($AB$1006:AL1006),$AB$1006:$AQ$1006,0)), HYPERLINK("#",""), HYPERLINK(CONCATENATE("#metadata!", ADDRESS(INDEX($W$2:$W$1001,MATCH(ROWS($U$2:U245),$U$2:$U$1001,0),0), INDEX($AB$1004:$AQ$1004,1,MATCH(COLUMNS($AB$1006:AL1006),$AB$1006:$AQ$1006,0)))),"Fix")))</f>
        <v>0</v>
      </c>
      <c r="M245" s="4">
        <f>IF(OR(INDEX($V$2:$V$1001,MATCH(ROWS($U$2:U245),$U$2:$U$1001,0),1)&gt;=100000,INDEX($AB$1005:$AQ$1005,1,MATCH(COLUMNS($AB$1006:AM1006),$AB$1006:$AQ$1006,0))&gt;=100000), " ",IF(INDEX($AB$2:$AQ$1001,MATCH(ROWS($U$2:U245),$U$2:$U$1001,0),MATCH(COLUMNS($AB$1006:AM1006),$AB$1006:$AQ$1006,0)), HYPERLINK("#",""), HYPERLINK(CONCATENATE("#metadata!", ADDRESS(INDEX($W$2:$W$1001,MATCH(ROWS($U$2:U245),$U$2:$U$1001,0),0), INDEX($AB$1004:$AQ$1004,1,MATCH(COLUMNS($AB$1006:AM1006),$AB$1006:$AQ$1006,0)))),"Fix")))</f>
        <v>0</v>
      </c>
      <c r="N245" s="4">
        <f>IF(OR(INDEX($V$2:$V$1001,MATCH(ROWS($U$2:U245),$U$2:$U$1001,0),1)&gt;=100000,INDEX($AB$1005:$AQ$1005,1,MATCH(COLUMNS($AB$1006:AN1006),$AB$1006:$AQ$1006,0))&gt;=100000), " ",IF(INDEX($AB$2:$AQ$1001,MATCH(ROWS($U$2:U245),$U$2:$U$1001,0),MATCH(COLUMNS($AB$1006:AN1006),$AB$1006:$AQ$1006,0)), HYPERLINK("#",""), HYPERLINK(CONCATENATE("#metadata!", ADDRESS(INDEX($W$2:$W$1001,MATCH(ROWS($U$2:U245),$U$2:$U$1001,0),0), INDEX($AB$1004:$AQ$1004,1,MATCH(COLUMNS($AB$1006:AN1006),$AB$1006:$AQ$1006,0)))),"Fix")))</f>
        <v>0</v>
      </c>
      <c r="O245" s="4">
        <f>IF(OR(INDEX($V$2:$V$1001,MATCH(ROWS($U$2:U245),$U$2:$U$1001,0),1)&gt;=100000,INDEX($AB$1005:$AQ$1005,1,MATCH(COLUMNS($AB$1006:AO1006),$AB$1006:$AQ$1006,0))&gt;=100000), " ",IF(INDEX($AB$2:$AQ$1001,MATCH(ROWS($U$2:U245),$U$2:$U$1001,0),MATCH(COLUMNS($AB$1006:AO1006),$AB$1006:$AQ$1006,0)), HYPERLINK("#",""), HYPERLINK(CONCATENATE("#metadata!", ADDRESS(INDEX($W$2:$W$1001,MATCH(ROWS($U$2:U245),$U$2:$U$1001,0),0), INDEX($AB$1004:$AQ$1004,1,MATCH(COLUMNS($AB$1006:AO1006),$AB$1006:$AQ$1006,0)))),"Fix")))</f>
        <v>0</v>
      </c>
      <c r="P245" s="4">
        <f>IF(OR(INDEX($V$2:$V$1001,MATCH(ROWS($U$2:U245),$U$2:$U$1001,0),1)&gt;=100000,INDEX($AB$1005:$AQ$1005,1,MATCH(COLUMNS($AB$1006:AP1006),$AB$1006:$AQ$1006,0))&gt;=100000), " ",IF(INDEX($AB$2:$AQ$1001,MATCH(ROWS($U$2:U245),$U$2:$U$1001,0),MATCH(COLUMNS($AB$1006:AP1006),$AB$1006:$AQ$1006,0)), HYPERLINK("#",""), HYPERLINK(CONCATENATE("#metadata!", ADDRESS(INDEX($W$2:$W$1001,MATCH(ROWS($U$2:U245),$U$2:$U$1001,0),0), INDEX($AB$1004:$AQ$1004,1,MATCH(COLUMNS($AB$1006:AP1006),$AB$1006:$AQ$1006,0)))),"Fix")))</f>
        <v>0</v>
      </c>
      <c r="Q245" s="4">
        <f>IF(OR(INDEX($V$2:$V$1001,MATCH(ROWS($U$2:U245),$U$2:$U$1001,0),1)&gt;=100000,INDEX($AB$1005:$AQ$1005,1,MATCH(COLUMNS($AB$1006:AQ1006),$AB$1006:$AQ$1006,0))&gt;=100000), " ",IF(INDEX($AB$2:$AQ$1001,MATCH(ROWS($U$2:U245),$U$2:$U$1001,0),MATCH(COLUMNS($AB$1006:AQ1006),$AB$1006:$AQ$1006,0)), HYPERLINK("#",""), HYPERLINK(CONCATENATE("#metadata!", ADDRESS(INDEX($W$2:$W$1001,MATCH(ROWS($U$2:U245),$U$2:$U$1001,0),0), INDEX($AB$1004:$AQ$1004,1,MATCH(COLUMNS($AB$1006:AQ1006),$AB$1006:$AQ$1006,0)))),"Fix")))</f>
        <v>0</v>
      </c>
      <c r="U245">
        <v>0</v>
      </c>
      <c r="V245">
        <v>0</v>
      </c>
      <c r="W245">
        <v>0</v>
      </c>
      <c r="X245">
        <f>IF(Y245,TRUE,AND(AB245:AQ245))</f>
        <v>0</v>
      </c>
      <c r="Y245">
        <f>COUNTBLANK(metadata!B245:Q245)=COLUMNS(metadata!B245:Q245)</f>
        <v>0</v>
      </c>
      <c r="Z245">
        <v>0</v>
      </c>
      <c r="AB245">
        <f>AND(IF(metadata!B245="",FALSE,TRUE),COUNTIF(metadata!B:B, metadata!B245) = 1,NOT(ISERROR(SUMPRODUCT(SEARCH(MID(metadata!B245,ROW(INDIRECT("1:"&amp;LEN(metadata!B245))), 1),"0123456789abcdefghijklmnopqrstuvwxyzABCDEFGHIJKLMNOPQRSTUVWXYZ.")))))</f>
        <v>0</v>
      </c>
      <c r="AC245">
        <f>OR(AND(IF(metadata!C245="",FALSE,TRUE),OR(exact(metadata!C245,"missing: not collected"),exact(metadata!C245,"missing: not provided"),exact(metadata!C245,"missing: restricted access"))),AND(IF(metadata!C245="",FALSE,TRUE),AND(AND(IFERROR(INT(LEFT(metadata!C245,4))&gt;1900,FALSE),IFERROR(INT(LEFT(metadata!C245,4))&lt;=YEAR(NOW()),FALSE)), OR(MID(metadata!C245,5,1)="", AND(AND(MID(metadata!C245,5,1)="-",IFERROR(INT(MID(metadata!C245,6,1))&gt;=0,FALSE),IFERROR(INT(MID(metadata!C245,6,1))&lt;=1,FALSE),NOT(MID(metadata!C245,7,1)=""),IFERROR(INT(MID(metadata!C245,6,2))&gt;=1,FALSE),IFERROR(INT(MID(metadata!C245,6,2))&lt;=12,FALSE)), OR(MID(metadata!C245,8,1)="", AND(AND(MID(metadata!C245,8,1)="-",IFERROR(INT(MID(metadata!C245,9,1))&gt;=0,FALSE),IFERROR(INT(MID(metadata!C245,9,1))&lt;=3,FALSE),NOT(MID(metadata!C245,10,1)=""),IFERROR(INT(MID(metadata!C245,9,2))&gt;=1,FALSE),IFERROR(INT(MID(metadata!C245,9,2))&lt;=31,FALSE)), OR(MID(metadata!C245,11,1)="", AND(AND(MID(metadata!C245,11,1)=" ",IFERROR(INT(MID(metadata!C245,12,1))&gt;=0,FALSE),IFERROR(INT(MID(metadata!C245,12,1))&lt;=2,FALSE),NOT(MID(metadata!C245,13,1)=""),IFERROR(INT(MID(metadata!C245,12,2))&gt;=0,FALSE),IFERROR(INT(MID(metadata!C245,12,2))&lt;=23,FALSE)), OR(MID(metadata!C245,14,1)="", AND(AND(MID(metadata!C245,14,1)=":",IFERROR(INT(MID(metadata!C245,15,1))&gt;=0,FALSE),IFERROR(INT(MID(metadata!C245,15,1))&lt;=5,FALSE),NOT(MID(metadata!C245,16,1)=""),IFERROR(INT(MID(metadata!C245,15,2))&gt;=0,FALSE),IFERROR(INT(MID(metadata!C245,15,2))&lt;=59,FALSE)), OR(MID(metadata!C245,17,1)="", AND(AND(MID(metadata!C245,17,1)=":",IFERROR(INT(MID(metadata!C245,18,1))&gt;=0,FALSE),IFERROR(INT(MID(metadata!C245,18,1))&lt;=5,FALSE),NOT(MID(metadata!C245,19,1)=""),IFERROR(INT(MID(metadata!C245,18,2))&gt;=0,FALSE),IFERROR(INT(MID(metadata!C245,18,2))&lt;=59,FALSE)), LEN(metadata!C245)&lt;=19)))))))))))))</f>
        <v>0</v>
      </c>
      <c r="AD245">
        <f>IF(metadata!D245="",FALSE,TRUE)</f>
        <v>0</v>
      </c>
      <c r="AE245">
        <f>OR(AND(IF(metadata!E245="",FALSE,TRUE),OR(exact(metadata!E245,"missing: not collected"),exact(metadata!E245,"missing: not provided"))),AND(IF(metadata!E245="",FALSE,TRUE),OR(exact(metadata!E245,"TRUE"),exact(metadata!E245,"FALSE"))))</f>
        <v>0</v>
      </c>
      <c r="AF245">
        <f>IF(metadata!F245="",FALSE,TRUE)</f>
        <v>0</v>
      </c>
      <c r="AG245">
        <f>IF(metadata!G245="",FALSE,TRUE)</f>
        <v>0</v>
      </c>
      <c r="AH245">
        <f>IF(metadata!H245="",FALSE,TRUE)</f>
        <v>0</v>
      </c>
      <c r="AI245">
        <f>OR(AND(IF(metadata!I245="",FALSE,TRUE),OR(exact(metadata!I245,"missing: not collected"),exact(metadata!I245,"missing: not provided"),exact(metadata!I245,"missing: restricted access"))),AND(IF(metadata!I245="",FALSE,TRUE),OR(exact(metadata!I245,"air"),exact(metadata!I245,"built environment"),exact(metadata!I245,"host-associated"),exact(metadata!I245,"human-associated"),exact(metadata!I245,"human-skin"),exact(metadata!I245,"human-oral"),exact(metadata!I245,"human-gut"),exact(metadata!I245,"human-vaginal"),exact(metadata!I245,"microbial mat/biofilm"),exact(metadata!I245,"misc environment"),exact(metadata!I245,"plant-associated"),exact(metadata!I245,"sediment"),exact(metadata!I245,"soil"),exact(metadata!I245,"wastewater/sludge"),exact(metadata!I245,"water"))))</f>
        <v>0</v>
      </c>
      <c r="AJ245">
        <f>IF(metadata!J245="",FALSE,TRUE)</f>
        <v>0</v>
      </c>
      <c r="AK245">
        <f>OR(AND(IF(metadata!K245="",FALSE,TRUE),OR(exact(metadata!K245,"missing: not collected"),exact(metadata!K245,"missing: not provided"),exact(metadata!K245,"missing: restricted access"))),AND(IF(metadata!K245="",FALSE,ISNUMBER(VALUE(metadata!K245))),metadata!K245&gt;=-90.00,metadata!K245&lt;=90.00))</f>
        <v>0</v>
      </c>
      <c r="AL245">
        <f>OR(AND(IF(metadata!L245="",FALSE,TRUE),OR(exact(metadata!L245,"missing: not collected"),exact(metadata!L245,"missing: not provided"),exact(metadata!L245,"missing: restricted access"))),AND(IF(metadata!L245="",FALSE,ISNUMBER(VALUE(metadata!L245))),metadata!L245&gt;=-180.00,metadata!L245&lt;=180.00))</f>
        <v>0</v>
      </c>
      <c r="AM245">
        <f>IF(metadata!M245="",FALSE,TRUE)</f>
        <v>0</v>
      </c>
      <c r="AN245">
        <f>OR(AND(IF(metadata!N245="",FALSE,TRUE),OR(exact(metadata!N245,"missing: not collected"),exact(metadata!N245,"missing: not provided"),exact(metadata!N245,"missing: restricted access"))),AND(IF(metadata!N245="",FALSE,TRUE),OR(exact(metadata!N245,"TRUE"),exact(metadata!N245,"FALSE"))))</f>
        <v>0</v>
      </c>
      <c r="AO245">
        <f>IF(metadata!O245="",FALSE,TRUE)</f>
        <v>0</v>
      </c>
      <c r="AP245">
        <f>OR(AND(IF(metadata!P245="",FALSE,TRUE),OR(exact(metadata!P245,"missing: not collected"),exact(metadata!P245,"missing: not provided"))),AND(IF(metadata!P245="",FALSE,IF(ISERROR(INT(metadata!P245)),FALSE,INT(metadata!P245)=metadata!P245)),metadata!P245&gt;0))</f>
        <v>0</v>
      </c>
      <c r="AQ245">
        <f>IF(metadata!Q245="",FALSE,TRUE)</f>
        <v>0</v>
      </c>
    </row>
    <row r="246" spans="1:43">
      <c r="A246" s="5">
        <f>IF(B246=" "," ",HYPERLINK(CONCATENATE("#metadata!",ADDRESS(INDEX($W$2:$W$1001,MATCH(ROWS($U$2:U246),$U$2:$U$1001,0),0),1)),INDEX($Z$2:$Z$1001,MATCH(ROWS($U$2:U246),$U$2:$U$1001,0),0)))</f>
        <v>0</v>
      </c>
      <c r="B246" s="4">
        <f>IF(OR(INDEX($V$2:$V$1001,MATCH(ROWS($U$2:U246),$U$2:$U$1001,0),1)&gt;=100000,INDEX($AB$1005:$AQ$1005,1,MATCH(COLUMNS($AB$1006:AB1006),$AB$1006:$AQ$1006,0))&gt;=100000), " ",IF(INDEX($AB$2:$AQ$1001,MATCH(ROWS($U$2:U246),$U$2:$U$1001,0),MATCH(COLUMNS($AB$1006:AB1006),$AB$1006:$AQ$1006,0)), HYPERLINK("#",""), HYPERLINK(CONCATENATE("#metadata!", ADDRESS(INDEX($W$2:$W$1001,MATCH(ROWS($U$2:U246),$U$2:$U$1001,0),0), INDEX($AB$1004:$AQ$1004,1,MATCH(COLUMNS($AB$1006:AB1006),$AB$1006:$AQ$1006,0)))),"Fix")))</f>
        <v>0</v>
      </c>
      <c r="C246" s="4">
        <f>IF(OR(INDEX($V$2:$V$1001,MATCH(ROWS($U$2:U246),$U$2:$U$1001,0),1)&gt;=100000,INDEX($AB$1005:$AQ$1005,1,MATCH(COLUMNS($AB$1006:AC1006),$AB$1006:$AQ$1006,0))&gt;=100000), " ",IF(INDEX($AB$2:$AQ$1001,MATCH(ROWS($U$2:U246),$U$2:$U$1001,0),MATCH(COLUMNS($AB$1006:AC1006),$AB$1006:$AQ$1006,0)), HYPERLINK("#",""), HYPERLINK(CONCATENATE("#metadata!", ADDRESS(INDEX($W$2:$W$1001,MATCH(ROWS($U$2:U246),$U$2:$U$1001,0),0), INDEX($AB$1004:$AQ$1004,1,MATCH(COLUMNS($AB$1006:AC1006),$AB$1006:$AQ$1006,0)))),"Fix")))</f>
        <v>0</v>
      </c>
      <c r="D246" s="4">
        <f>IF(OR(INDEX($V$2:$V$1001,MATCH(ROWS($U$2:U246),$U$2:$U$1001,0),1)&gt;=100000,INDEX($AB$1005:$AQ$1005,1,MATCH(COLUMNS($AB$1006:AD1006),$AB$1006:$AQ$1006,0))&gt;=100000), " ",IF(INDEX($AB$2:$AQ$1001,MATCH(ROWS($U$2:U246),$U$2:$U$1001,0),MATCH(COLUMNS($AB$1006:AD1006),$AB$1006:$AQ$1006,0)), HYPERLINK("#",""), HYPERLINK(CONCATENATE("#metadata!", ADDRESS(INDEX($W$2:$W$1001,MATCH(ROWS($U$2:U246),$U$2:$U$1001,0),0), INDEX($AB$1004:$AQ$1004,1,MATCH(COLUMNS($AB$1006:AD1006),$AB$1006:$AQ$1006,0)))),"Fix")))</f>
        <v>0</v>
      </c>
      <c r="E246" s="4">
        <f>IF(OR(INDEX($V$2:$V$1001,MATCH(ROWS($U$2:U246),$U$2:$U$1001,0),1)&gt;=100000,INDEX($AB$1005:$AQ$1005,1,MATCH(COLUMNS($AB$1006:AE1006),$AB$1006:$AQ$1006,0))&gt;=100000), " ",IF(INDEX($AB$2:$AQ$1001,MATCH(ROWS($U$2:U246),$U$2:$U$1001,0),MATCH(COLUMNS($AB$1006:AE1006),$AB$1006:$AQ$1006,0)), HYPERLINK("#",""), HYPERLINK(CONCATENATE("#metadata!", ADDRESS(INDEX($W$2:$W$1001,MATCH(ROWS($U$2:U246),$U$2:$U$1001,0),0), INDEX($AB$1004:$AQ$1004,1,MATCH(COLUMNS($AB$1006:AE1006),$AB$1006:$AQ$1006,0)))),"Fix")))</f>
        <v>0</v>
      </c>
      <c r="F246" s="4">
        <f>IF(OR(INDEX($V$2:$V$1001,MATCH(ROWS($U$2:U246),$U$2:$U$1001,0),1)&gt;=100000,INDEX($AB$1005:$AQ$1005,1,MATCH(COLUMNS($AB$1006:AF1006),$AB$1006:$AQ$1006,0))&gt;=100000), " ",IF(INDEX($AB$2:$AQ$1001,MATCH(ROWS($U$2:U246),$U$2:$U$1001,0),MATCH(COLUMNS($AB$1006:AF1006),$AB$1006:$AQ$1006,0)), HYPERLINK("#",""), HYPERLINK(CONCATENATE("#metadata!", ADDRESS(INDEX($W$2:$W$1001,MATCH(ROWS($U$2:U246),$U$2:$U$1001,0),0), INDEX($AB$1004:$AQ$1004,1,MATCH(COLUMNS($AB$1006:AF1006),$AB$1006:$AQ$1006,0)))),"Fix")))</f>
        <v>0</v>
      </c>
      <c r="G246" s="4">
        <f>IF(OR(INDEX($V$2:$V$1001,MATCH(ROWS($U$2:U246),$U$2:$U$1001,0),1)&gt;=100000,INDEX($AB$1005:$AQ$1005,1,MATCH(COLUMNS($AB$1006:AG1006),$AB$1006:$AQ$1006,0))&gt;=100000), " ",IF(INDEX($AB$2:$AQ$1001,MATCH(ROWS($U$2:U246),$U$2:$U$1001,0),MATCH(COLUMNS($AB$1006:AG1006),$AB$1006:$AQ$1006,0)), HYPERLINK("#",""), HYPERLINK(CONCATENATE("#metadata!", ADDRESS(INDEX($W$2:$W$1001,MATCH(ROWS($U$2:U246),$U$2:$U$1001,0),0), INDEX($AB$1004:$AQ$1004,1,MATCH(COLUMNS($AB$1006:AG1006),$AB$1006:$AQ$1006,0)))),"Fix")))</f>
        <v>0</v>
      </c>
      <c r="H246" s="4">
        <f>IF(OR(INDEX($V$2:$V$1001,MATCH(ROWS($U$2:U246),$U$2:$U$1001,0),1)&gt;=100000,INDEX($AB$1005:$AQ$1005,1,MATCH(COLUMNS($AB$1006:AH1006),$AB$1006:$AQ$1006,0))&gt;=100000), " ",IF(INDEX($AB$2:$AQ$1001,MATCH(ROWS($U$2:U246),$U$2:$U$1001,0),MATCH(COLUMNS($AB$1006:AH1006),$AB$1006:$AQ$1006,0)), HYPERLINK("#",""), HYPERLINK(CONCATENATE("#metadata!", ADDRESS(INDEX($W$2:$W$1001,MATCH(ROWS($U$2:U246),$U$2:$U$1001,0),0), INDEX($AB$1004:$AQ$1004,1,MATCH(COLUMNS($AB$1006:AH1006),$AB$1006:$AQ$1006,0)))),"Fix")))</f>
        <v>0</v>
      </c>
      <c r="I246" s="4">
        <f>IF(OR(INDEX($V$2:$V$1001,MATCH(ROWS($U$2:U246),$U$2:$U$1001,0),1)&gt;=100000,INDEX($AB$1005:$AQ$1005,1,MATCH(COLUMNS($AB$1006:AI1006),$AB$1006:$AQ$1006,0))&gt;=100000), " ",IF(INDEX($AB$2:$AQ$1001,MATCH(ROWS($U$2:U246),$U$2:$U$1001,0),MATCH(COLUMNS($AB$1006:AI1006),$AB$1006:$AQ$1006,0)), HYPERLINK("#",""), HYPERLINK(CONCATENATE("#metadata!", ADDRESS(INDEX($W$2:$W$1001,MATCH(ROWS($U$2:U246),$U$2:$U$1001,0),0), INDEX($AB$1004:$AQ$1004,1,MATCH(COLUMNS($AB$1006:AI1006),$AB$1006:$AQ$1006,0)))),"Fix")))</f>
        <v>0</v>
      </c>
      <c r="J246" s="4">
        <f>IF(OR(INDEX($V$2:$V$1001,MATCH(ROWS($U$2:U246),$U$2:$U$1001,0),1)&gt;=100000,INDEX($AB$1005:$AQ$1005,1,MATCH(COLUMNS($AB$1006:AJ1006),$AB$1006:$AQ$1006,0))&gt;=100000), " ",IF(INDEX($AB$2:$AQ$1001,MATCH(ROWS($U$2:U246),$U$2:$U$1001,0),MATCH(COLUMNS($AB$1006:AJ1006),$AB$1006:$AQ$1006,0)), HYPERLINK("#",""), HYPERLINK(CONCATENATE("#metadata!", ADDRESS(INDEX($W$2:$W$1001,MATCH(ROWS($U$2:U246),$U$2:$U$1001,0),0), INDEX($AB$1004:$AQ$1004,1,MATCH(COLUMNS($AB$1006:AJ1006),$AB$1006:$AQ$1006,0)))),"Fix")))</f>
        <v>0</v>
      </c>
      <c r="K246" s="4">
        <f>IF(OR(INDEX($V$2:$V$1001,MATCH(ROWS($U$2:U246),$U$2:$U$1001,0),1)&gt;=100000,INDEX($AB$1005:$AQ$1005,1,MATCH(COLUMNS($AB$1006:AK1006),$AB$1006:$AQ$1006,0))&gt;=100000), " ",IF(INDEX($AB$2:$AQ$1001,MATCH(ROWS($U$2:U246),$U$2:$U$1001,0),MATCH(COLUMNS($AB$1006:AK1006),$AB$1006:$AQ$1006,0)), HYPERLINK("#",""), HYPERLINK(CONCATENATE("#metadata!", ADDRESS(INDEX($W$2:$W$1001,MATCH(ROWS($U$2:U246),$U$2:$U$1001,0),0), INDEX($AB$1004:$AQ$1004,1,MATCH(COLUMNS($AB$1006:AK1006),$AB$1006:$AQ$1006,0)))),"Fix")))</f>
        <v>0</v>
      </c>
      <c r="L246" s="4">
        <f>IF(OR(INDEX($V$2:$V$1001,MATCH(ROWS($U$2:U246),$U$2:$U$1001,0),1)&gt;=100000,INDEX($AB$1005:$AQ$1005,1,MATCH(COLUMNS($AB$1006:AL1006),$AB$1006:$AQ$1006,0))&gt;=100000), " ",IF(INDEX($AB$2:$AQ$1001,MATCH(ROWS($U$2:U246),$U$2:$U$1001,0),MATCH(COLUMNS($AB$1006:AL1006),$AB$1006:$AQ$1006,0)), HYPERLINK("#",""), HYPERLINK(CONCATENATE("#metadata!", ADDRESS(INDEX($W$2:$W$1001,MATCH(ROWS($U$2:U246),$U$2:$U$1001,0),0), INDEX($AB$1004:$AQ$1004,1,MATCH(COLUMNS($AB$1006:AL1006),$AB$1006:$AQ$1006,0)))),"Fix")))</f>
        <v>0</v>
      </c>
      <c r="M246" s="4">
        <f>IF(OR(INDEX($V$2:$V$1001,MATCH(ROWS($U$2:U246),$U$2:$U$1001,0),1)&gt;=100000,INDEX($AB$1005:$AQ$1005,1,MATCH(COLUMNS($AB$1006:AM1006),$AB$1006:$AQ$1006,0))&gt;=100000), " ",IF(INDEX($AB$2:$AQ$1001,MATCH(ROWS($U$2:U246),$U$2:$U$1001,0),MATCH(COLUMNS($AB$1006:AM1006),$AB$1006:$AQ$1006,0)), HYPERLINK("#",""), HYPERLINK(CONCATENATE("#metadata!", ADDRESS(INDEX($W$2:$W$1001,MATCH(ROWS($U$2:U246),$U$2:$U$1001,0),0), INDEX($AB$1004:$AQ$1004,1,MATCH(COLUMNS($AB$1006:AM1006),$AB$1006:$AQ$1006,0)))),"Fix")))</f>
        <v>0</v>
      </c>
      <c r="N246" s="4">
        <f>IF(OR(INDEX($V$2:$V$1001,MATCH(ROWS($U$2:U246),$U$2:$U$1001,0),1)&gt;=100000,INDEX($AB$1005:$AQ$1005,1,MATCH(COLUMNS($AB$1006:AN1006),$AB$1006:$AQ$1006,0))&gt;=100000), " ",IF(INDEX($AB$2:$AQ$1001,MATCH(ROWS($U$2:U246),$U$2:$U$1001,0),MATCH(COLUMNS($AB$1006:AN1006),$AB$1006:$AQ$1006,0)), HYPERLINK("#",""), HYPERLINK(CONCATENATE("#metadata!", ADDRESS(INDEX($W$2:$W$1001,MATCH(ROWS($U$2:U246),$U$2:$U$1001,0),0), INDEX($AB$1004:$AQ$1004,1,MATCH(COLUMNS($AB$1006:AN1006),$AB$1006:$AQ$1006,0)))),"Fix")))</f>
        <v>0</v>
      </c>
      <c r="O246" s="4">
        <f>IF(OR(INDEX($V$2:$V$1001,MATCH(ROWS($U$2:U246),$U$2:$U$1001,0),1)&gt;=100000,INDEX($AB$1005:$AQ$1005,1,MATCH(COLUMNS($AB$1006:AO1006),$AB$1006:$AQ$1006,0))&gt;=100000), " ",IF(INDEX($AB$2:$AQ$1001,MATCH(ROWS($U$2:U246),$U$2:$U$1001,0),MATCH(COLUMNS($AB$1006:AO1006),$AB$1006:$AQ$1006,0)), HYPERLINK("#",""), HYPERLINK(CONCATENATE("#metadata!", ADDRESS(INDEX($W$2:$W$1001,MATCH(ROWS($U$2:U246),$U$2:$U$1001,0),0), INDEX($AB$1004:$AQ$1004,1,MATCH(COLUMNS($AB$1006:AO1006),$AB$1006:$AQ$1006,0)))),"Fix")))</f>
        <v>0</v>
      </c>
      <c r="P246" s="4">
        <f>IF(OR(INDEX($V$2:$V$1001,MATCH(ROWS($U$2:U246),$U$2:$U$1001,0),1)&gt;=100000,INDEX($AB$1005:$AQ$1005,1,MATCH(COLUMNS($AB$1006:AP1006),$AB$1006:$AQ$1006,0))&gt;=100000), " ",IF(INDEX($AB$2:$AQ$1001,MATCH(ROWS($U$2:U246),$U$2:$U$1001,0),MATCH(COLUMNS($AB$1006:AP1006),$AB$1006:$AQ$1006,0)), HYPERLINK("#",""), HYPERLINK(CONCATENATE("#metadata!", ADDRESS(INDEX($W$2:$W$1001,MATCH(ROWS($U$2:U246),$U$2:$U$1001,0),0), INDEX($AB$1004:$AQ$1004,1,MATCH(COLUMNS($AB$1006:AP1006),$AB$1006:$AQ$1006,0)))),"Fix")))</f>
        <v>0</v>
      </c>
      <c r="Q246" s="4">
        <f>IF(OR(INDEX($V$2:$V$1001,MATCH(ROWS($U$2:U246),$U$2:$U$1001,0),1)&gt;=100000,INDEX($AB$1005:$AQ$1005,1,MATCH(COLUMNS($AB$1006:AQ1006),$AB$1006:$AQ$1006,0))&gt;=100000), " ",IF(INDEX($AB$2:$AQ$1001,MATCH(ROWS($U$2:U246),$U$2:$U$1001,0),MATCH(COLUMNS($AB$1006:AQ1006),$AB$1006:$AQ$1006,0)), HYPERLINK("#",""), HYPERLINK(CONCATENATE("#metadata!", ADDRESS(INDEX($W$2:$W$1001,MATCH(ROWS($U$2:U246),$U$2:$U$1001,0),0), INDEX($AB$1004:$AQ$1004,1,MATCH(COLUMNS($AB$1006:AQ1006),$AB$1006:$AQ$1006,0)))),"Fix")))</f>
        <v>0</v>
      </c>
      <c r="U246">
        <v>0</v>
      </c>
      <c r="V246">
        <v>0</v>
      </c>
      <c r="W246">
        <v>0</v>
      </c>
      <c r="X246">
        <f>IF(Y246,TRUE,AND(AB246:AQ246))</f>
        <v>0</v>
      </c>
      <c r="Y246">
        <f>COUNTBLANK(metadata!B246:Q246)=COLUMNS(metadata!B246:Q246)</f>
        <v>0</v>
      </c>
      <c r="Z246">
        <v>0</v>
      </c>
      <c r="AB246">
        <f>AND(IF(metadata!B246="",FALSE,TRUE),COUNTIF(metadata!B:B, metadata!B246) = 1,NOT(ISERROR(SUMPRODUCT(SEARCH(MID(metadata!B246,ROW(INDIRECT("1:"&amp;LEN(metadata!B246))), 1),"0123456789abcdefghijklmnopqrstuvwxyzABCDEFGHIJKLMNOPQRSTUVWXYZ.")))))</f>
        <v>0</v>
      </c>
      <c r="AC246">
        <f>OR(AND(IF(metadata!C246="",FALSE,TRUE),OR(exact(metadata!C246,"missing: not collected"),exact(metadata!C246,"missing: not provided"),exact(metadata!C246,"missing: restricted access"))),AND(IF(metadata!C246="",FALSE,TRUE),AND(AND(IFERROR(INT(LEFT(metadata!C246,4))&gt;1900,FALSE),IFERROR(INT(LEFT(metadata!C246,4))&lt;=YEAR(NOW()),FALSE)), OR(MID(metadata!C246,5,1)="", AND(AND(MID(metadata!C246,5,1)="-",IFERROR(INT(MID(metadata!C246,6,1))&gt;=0,FALSE),IFERROR(INT(MID(metadata!C246,6,1))&lt;=1,FALSE),NOT(MID(metadata!C246,7,1)=""),IFERROR(INT(MID(metadata!C246,6,2))&gt;=1,FALSE),IFERROR(INT(MID(metadata!C246,6,2))&lt;=12,FALSE)), OR(MID(metadata!C246,8,1)="", AND(AND(MID(metadata!C246,8,1)="-",IFERROR(INT(MID(metadata!C246,9,1))&gt;=0,FALSE),IFERROR(INT(MID(metadata!C246,9,1))&lt;=3,FALSE),NOT(MID(metadata!C246,10,1)=""),IFERROR(INT(MID(metadata!C246,9,2))&gt;=1,FALSE),IFERROR(INT(MID(metadata!C246,9,2))&lt;=31,FALSE)), OR(MID(metadata!C246,11,1)="", AND(AND(MID(metadata!C246,11,1)=" ",IFERROR(INT(MID(metadata!C246,12,1))&gt;=0,FALSE),IFERROR(INT(MID(metadata!C246,12,1))&lt;=2,FALSE),NOT(MID(metadata!C246,13,1)=""),IFERROR(INT(MID(metadata!C246,12,2))&gt;=0,FALSE),IFERROR(INT(MID(metadata!C246,12,2))&lt;=23,FALSE)), OR(MID(metadata!C246,14,1)="", AND(AND(MID(metadata!C246,14,1)=":",IFERROR(INT(MID(metadata!C246,15,1))&gt;=0,FALSE),IFERROR(INT(MID(metadata!C246,15,1))&lt;=5,FALSE),NOT(MID(metadata!C246,16,1)=""),IFERROR(INT(MID(metadata!C246,15,2))&gt;=0,FALSE),IFERROR(INT(MID(metadata!C246,15,2))&lt;=59,FALSE)), OR(MID(metadata!C246,17,1)="", AND(AND(MID(metadata!C246,17,1)=":",IFERROR(INT(MID(metadata!C246,18,1))&gt;=0,FALSE),IFERROR(INT(MID(metadata!C246,18,1))&lt;=5,FALSE),NOT(MID(metadata!C246,19,1)=""),IFERROR(INT(MID(metadata!C246,18,2))&gt;=0,FALSE),IFERROR(INT(MID(metadata!C246,18,2))&lt;=59,FALSE)), LEN(metadata!C246)&lt;=19)))))))))))))</f>
        <v>0</v>
      </c>
      <c r="AD246">
        <f>IF(metadata!D246="",FALSE,TRUE)</f>
        <v>0</v>
      </c>
      <c r="AE246">
        <f>OR(AND(IF(metadata!E246="",FALSE,TRUE),OR(exact(metadata!E246,"missing: not collected"),exact(metadata!E246,"missing: not provided"))),AND(IF(metadata!E246="",FALSE,TRUE),OR(exact(metadata!E246,"TRUE"),exact(metadata!E246,"FALSE"))))</f>
        <v>0</v>
      </c>
      <c r="AF246">
        <f>IF(metadata!F246="",FALSE,TRUE)</f>
        <v>0</v>
      </c>
      <c r="AG246">
        <f>IF(metadata!G246="",FALSE,TRUE)</f>
        <v>0</v>
      </c>
      <c r="AH246">
        <f>IF(metadata!H246="",FALSE,TRUE)</f>
        <v>0</v>
      </c>
      <c r="AI246">
        <f>OR(AND(IF(metadata!I246="",FALSE,TRUE),OR(exact(metadata!I246,"missing: not collected"),exact(metadata!I246,"missing: not provided"),exact(metadata!I246,"missing: restricted access"))),AND(IF(metadata!I246="",FALSE,TRUE),OR(exact(metadata!I246,"air"),exact(metadata!I246,"built environment"),exact(metadata!I246,"host-associated"),exact(metadata!I246,"human-associated"),exact(metadata!I246,"human-skin"),exact(metadata!I246,"human-oral"),exact(metadata!I246,"human-gut"),exact(metadata!I246,"human-vaginal"),exact(metadata!I246,"microbial mat/biofilm"),exact(metadata!I246,"misc environment"),exact(metadata!I246,"plant-associated"),exact(metadata!I246,"sediment"),exact(metadata!I246,"soil"),exact(metadata!I246,"wastewater/sludge"),exact(metadata!I246,"water"))))</f>
        <v>0</v>
      </c>
      <c r="AJ246">
        <f>IF(metadata!J246="",FALSE,TRUE)</f>
        <v>0</v>
      </c>
      <c r="AK246">
        <f>OR(AND(IF(metadata!K246="",FALSE,TRUE),OR(exact(metadata!K246,"missing: not collected"),exact(metadata!K246,"missing: not provided"),exact(metadata!K246,"missing: restricted access"))),AND(IF(metadata!K246="",FALSE,ISNUMBER(VALUE(metadata!K246))),metadata!K246&gt;=-90.00,metadata!K246&lt;=90.00))</f>
        <v>0</v>
      </c>
      <c r="AL246">
        <f>OR(AND(IF(metadata!L246="",FALSE,TRUE),OR(exact(metadata!L246,"missing: not collected"),exact(metadata!L246,"missing: not provided"),exact(metadata!L246,"missing: restricted access"))),AND(IF(metadata!L246="",FALSE,ISNUMBER(VALUE(metadata!L246))),metadata!L246&gt;=-180.00,metadata!L246&lt;=180.00))</f>
        <v>0</v>
      </c>
      <c r="AM246">
        <f>IF(metadata!M246="",FALSE,TRUE)</f>
        <v>0</v>
      </c>
      <c r="AN246">
        <f>OR(AND(IF(metadata!N246="",FALSE,TRUE),OR(exact(metadata!N246,"missing: not collected"),exact(metadata!N246,"missing: not provided"),exact(metadata!N246,"missing: restricted access"))),AND(IF(metadata!N246="",FALSE,TRUE),OR(exact(metadata!N246,"TRUE"),exact(metadata!N246,"FALSE"))))</f>
        <v>0</v>
      </c>
      <c r="AO246">
        <f>IF(metadata!O246="",FALSE,TRUE)</f>
        <v>0</v>
      </c>
      <c r="AP246">
        <f>OR(AND(IF(metadata!P246="",FALSE,TRUE),OR(exact(metadata!P246,"missing: not collected"),exact(metadata!P246,"missing: not provided"))),AND(IF(metadata!P246="",FALSE,IF(ISERROR(INT(metadata!P246)),FALSE,INT(metadata!P246)=metadata!P246)),metadata!P246&gt;0))</f>
        <v>0</v>
      </c>
      <c r="AQ246">
        <f>IF(metadata!Q246="",FALSE,TRUE)</f>
        <v>0</v>
      </c>
    </row>
    <row r="247" spans="1:43">
      <c r="A247" s="5">
        <f>IF(B247=" "," ",HYPERLINK(CONCATENATE("#metadata!",ADDRESS(INDEX($W$2:$W$1001,MATCH(ROWS($U$2:U247),$U$2:$U$1001,0),0),1)),INDEX($Z$2:$Z$1001,MATCH(ROWS($U$2:U247),$U$2:$U$1001,0),0)))</f>
        <v>0</v>
      </c>
      <c r="B247" s="4">
        <f>IF(OR(INDEX($V$2:$V$1001,MATCH(ROWS($U$2:U247),$U$2:$U$1001,0),1)&gt;=100000,INDEX($AB$1005:$AQ$1005,1,MATCH(COLUMNS($AB$1006:AB1006),$AB$1006:$AQ$1006,0))&gt;=100000), " ",IF(INDEX($AB$2:$AQ$1001,MATCH(ROWS($U$2:U247),$U$2:$U$1001,0),MATCH(COLUMNS($AB$1006:AB1006),$AB$1006:$AQ$1006,0)), HYPERLINK("#",""), HYPERLINK(CONCATENATE("#metadata!", ADDRESS(INDEX($W$2:$W$1001,MATCH(ROWS($U$2:U247),$U$2:$U$1001,0),0), INDEX($AB$1004:$AQ$1004,1,MATCH(COLUMNS($AB$1006:AB1006),$AB$1006:$AQ$1006,0)))),"Fix")))</f>
        <v>0</v>
      </c>
      <c r="C247" s="4">
        <f>IF(OR(INDEX($V$2:$V$1001,MATCH(ROWS($U$2:U247),$U$2:$U$1001,0),1)&gt;=100000,INDEX($AB$1005:$AQ$1005,1,MATCH(COLUMNS($AB$1006:AC1006),$AB$1006:$AQ$1006,0))&gt;=100000), " ",IF(INDEX($AB$2:$AQ$1001,MATCH(ROWS($U$2:U247),$U$2:$U$1001,0),MATCH(COLUMNS($AB$1006:AC1006),$AB$1006:$AQ$1006,0)), HYPERLINK("#",""), HYPERLINK(CONCATENATE("#metadata!", ADDRESS(INDEX($W$2:$W$1001,MATCH(ROWS($U$2:U247),$U$2:$U$1001,0),0), INDEX($AB$1004:$AQ$1004,1,MATCH(COLUMNS($AB$1006:AC1006),$AB$1006:$AQ$1006,0)))),"Fix")))</f>
        <v>0</v>
      </c>
      <c r="D247" s="4">
        <f>IF(OR(INDEX($V$2:$V$1001,MATCH(ROWS($U$2:U247),$U$2:$U$1001,0),1)&gt;=100000,INDEX($AB$1005:$AQ$1005,1,MATCH(COLUMNS($AB$1006:AD1006),$AB$1006:$AQ$1006,0))&gt;=100000), " ",IF(INDEX($AB$2:$AQ$1001,MATCH(ROWS($U$2:U247),$U$2:$U$1001,0),MATCH(COLUMNS($AB$1006:AD1006),$AB$1006:$AQ$1006,0)), HYPERLINK("#",""), HYPERLINK(CONCATENATE("#metadata!", ADDRESS(INDEX($W$2:$W$1001,MATCH(ROWS($U$2:U247),$U$2:$U$1001,0),0), INDEX($AB$1004:$AQ$1004,1,MATCH(COLUMNS($AB$1006:AD1006),$AB$1006:$AQ$1006,0)))),"Fix")))</f>
        <v>0</v>
      </c>
      <c r="E247" s="4">
        <f>IF(OR(INDEX($V$2:$V$1001,MATCH(ROWS($U$2:U247),$U$2:$U$1001,0),1)&gt;=100000,INDEX($AB$1005:$AQ$1005,1,MATCH(COLUMNS($AB$1006:AE1006),$AB$1006:$AQ$1006,0))&gt;=100000), " ",IF(INDEX($AB$2:$AQ$1001,MATCH(ROWS($U$2:U247),$U$2:$U$1001,0),MATCH(COLUMNS($AB$1006:AE1006),$AB$1006:$AQ$1006,0)), HYPERLINK("#",""), HYPERLINK(CONCATENATE("#metadata!", ADDRESS(INDEX($W$2:$W$1001,MATCH(ROWS($U$2:U247),$U$2:$U$1001,0),0), INDEX($AB$1004:$AQ$1004,1,MATCH(COLUMNS($AB$1006:AE1006),$AB$1006:$AQ$1006,0)))),"Fix")))</f>
        <v>0</v>
      </c>
      <c r="F247" s="4">
        <f>IF(OR(INDEX($V$2:$V$1001,MATCH(ROWS($U$2:U247),$U$2:$U$1001,0),1)&gt;=100000,INDEX($AB$1005:$AQ$1005,1,MATCH(COLUMNS($AB$1006:AF1006),$AB$1006:$AQ$1006,0))&gt;=100000), " ",IF(INDEX($AB$2:$AQ$1001,MATCH(ROWS($U$2:U247),$U$2:$U$1001,0),MATCH(COLUMNS($AB$1006:AF1006),$AB$1006:$AQ$1006,0)), HYPERLINK("#",""), HYPERLINK(CONCATENATE("#metadata!", ADDRESS(INDEX($W$2:$W$1001,MATCH(ROWS($U$2:U247),$U$2:$U$1001,0),0), INDEX($AB$1004:$AQ$1004,1,MATCH(COLUMNS($AB$1006:AF1006),$AB$1006:$AQ$1006,0)))),"Fix")))</f>
        <v>0</v>
      </c>
      <c r="G247" s="4">
        <f>IF(OR(INDEX($V$2:$V$1001,MATCH(ROWS($U$2:U247),$U$2:$U$1001,0),1)&gt;=100000,INDEX($AB$1005:$AQ$1005,1,MATCH(COLUMNS($AB$1006:AG1006),$AB$1006:$AQ$1006,0))&gt;=100000), " ",IF(INDEX($AB$2:$AQ$1001,MATCH(ROWS($U$2:U247),$U$2:$U$1001,0),MATCH(COLUMNS($AB$1006:AG1006),$AB$1006:$AQ$1006,0)), HYPERLINK("#",""), HYPERLINK(CONCATENATE("#metadata!", ADDRESS(INDEX($W$2:$W$1001,MATCH(ROWS($U$2:U247),$U$2:$U$1001,0),0), INDEX($AB$1004:$AQ$1004,1,MATCH(COLUMNS($AB$1006:AG1006),$AB$1006:$AQ$1006,0)))),"Fix")))</f>
        <v>0</v>
      </c>
      <c r="H247" s="4">
        <f>IF(OR(INDEX($V$2:$V$1001,MATCH(ROWS($U$2:U247),$U$2:$U$1001,0),1)&gt;=100000,INDEX($AB$1005:$AQ$1005,1,MATCH(COLUMNS($AB$1006:AH1006),$AB$1006:$AQ$1006,0))&gt;=100000), " ",IF(INDEX($AB$2:$AQ$1001,MATCH(ROWS($U$2:U247),$U$2:$U$1001,0),MATCH(COLUMNS($AB$1006:AH1006),$AB$1006:$AQ$1006,0)), HYPERLINK("#",""), HYPERLINK(CONCATENATE("#metadata!", ADDRESS(INDEX($W$2:$W$1001,MATCH(ROWS($U$2:U247),$U$2:$U$1001,0),0), INDEX($AB$1004:$AQ$1004,1,MATCH(COLUMNS($AB$1006:AH1006),$AB$1006:$AQ$1006,0)))),"Fix")))</f>
        <v>0</v>
      </c>
      <c r="I247" s="4">
        <f>IF(OR(INDEX($V$2:$V$1001,MATCH(ROWS($U$2:U247),$U$2:$U$1001,0),1)&gt;=100000,INDEX($AB$1005:$AQ$1005,1,MATCH(COLUMNS($AB$1006:AI1006),$AB$1006:$AQ$1006,0))&gt;=100000), " ",IF(INDEX($AB$2:$AQ$1001,MATCH(ROWS($U$2:U247),$U$2:$U$1001,0),MATCH(COLUMNS($AB$1006:AI1006),$AB$1006:$AQ$1006,0)), HYPERLINK("#",""), HYPERLINK(CONCATENATE("#metadata!", ADDRESS(INDEX($W$2:$W$1001,MATCH(ROWS($U$2:U247),$U$2:$U$1001,0),0), INDEX($AB$1004:$AQ$1004,1,MATCH(COLUMNS($AB$1006:AI1006),$AB$1006:$AQ$1006,0)))),"Fix")))</f>
        <v>0</v>
      </c>
      <c r="J247" s="4">
        <f>IF(OR(INDEX($V$2:$V$1001,MATCH(ROWS($U$2:U247),$U$2:$U$1001,0),1)&gt;=100000,INDEX($AB$1005:$AQ$1005,1,MATCH(COLUMNS($AB$1006:AJ1006),$AB$1006:$AQ$1006,0))&gt;=100000), " ",IF(INDEX($AB$2:$AQ$1001,MATCH(ROWS($U$2:U247),$U$2:$U$1001,0),MATCH(COLUMNS($AB$1006:AJ1006),$AB$1006:$AQ$1006,0)), HYPERLINK("#",""), HYPERLINK(CONCATENATE("#metadata!", ADDRESS(INDEX($W$2:$W$1001,MATCH(ROWS($U$2:U247),$U$2:$U$1001,0),0), INDEX($AB$1004:$AQ$1004,1,MATCH(COLUMNS($AB$1006:AJ1006),$AB$1006:$AQ$1006,0)))),"Fix")))</f>
        <v>0</v>
      </c>
      <c r="K247" s="4">
        <f>IF(OR(INDEX($V$2:$V$1001,MATCH(ROWS($U$2:U247),$U$2:$U$1001,0),1)&gt;=100000,INDEX($AB$1005:$AQ$1005,1,MATCH(COLUMNS($AB$1006:AK1006),$AB$1006:$AQ$1006,0))&gt;=100000), " ",IF(INDEX($AB$2:$AQ$1001,MATCH(ROWS($U$2:U247),$U$2:$U$1001,0),MATCH(COLUMNS($AB$1006:AK1006),$AB$1006:$AQ$1006,0)), HYPERLINK("#",""), HYPERLINK(CONCATENATE("#metadata!", ADDRESS(INDEX($W$2:$W$1001,MATCH(ROWS($U$2:U247),$U$2:$U$1001,0),0), INDEX($AB$1004:$AQ$1004,1,MATCH(COLUMNS($AB$1006:AK1006),$AB$1006:$AQ$1006,0)))),"Fix")))</f>
        <v>0</v>
      </c>
      <c r="L247" s="4">
        <f>IF(OR(INDEX($V$2:$V$1001,MATCH(ROWS($U$2:U247),$U$2:$U$1001,0),1)&gt;=100000,INDEX($AB$1005:$AQ$1005,1,MATCH(COLUMNS($AB$1006:AL1006),$AB$1006:$AQ$1006,0))&gt;=100000), " ",IF(INDEX($AB$2:$AQ$1001,MATCH(ROWS($U$2:U247),$U$2:$U$1001,0),MATCH(COLUMNS($AB$1006:AL1006),$AB$1006:$AQ$1006,0)), HYPERLINK("#",""), HYPERLINK(CONCATENATE("#metadata!", ADDRESS(INDEX($W$2:$W$1001,MATCH(ROWS($U$2:U247),$U$2:$U$1001,0),0), INDEX($AB$1004:$AQ$1004,1,MATCH(COLUMNS($AB$1006:AL1006),$AB$1006:$AQ$1006,0)))),"Fix")))</f>
        <v>0</v>
      </c>
      <c r="M247" s="4">
        <f>IF(OR(INDEX($V$2:$V$1001,MATCH(ROWS($U$2:U247),$U$2:$U$1001,0),1)&gt;=100000,INDEX($AB$1005:$AQ$1005,1,MATCH(COLUMNS($AB$1006:AM1006),$AB$1006:$AQ$1006,0))&gt;=100000), " ",IF(INDEX($AB$2:$AQ$1001,MATCH(ROWS($U$2:U247),$U$2:$U$1001,0),MATCH(COLUMNS($AB$1006:AM1006),$AB$1006:$AQ$1006,0)), HYPERLINK("#",""), HYPERLINK(CONCATENATE("#metadata!", ADDRESS(INDEX($W$2:$W$1001,MATCH(ROWS($U$2:U247),$U$2:$U$1001,0),0), INDEX($AB$1004:$AQ$1004,1,MATCH(COLUMNS($AB$1006:AM1006),$AB$1006:$AQ$1006,0)))),"Fix")))</f>
        <v>0</v>
      </c>
      <c r="N247" s="4">
        <f>IF(OR(INDEX($V$2:$V$1001,MATCH(ROWS($U$2:U247),$U$2:$U$1001,0),1)&gt;=100000,INDEX($AB$1005:$AQ$1005,1,MATCH(COLUMNS($AB$1006:AN1006),$AB$1006:$AQ$1006,0))&gt;=100000), " ",IF(INDEX($AB$2:$AQ$1001,MATCH(ROWS($U$2:U247),$U$2:$U$1001,0),MATCH(COLUMNS($AB$1006:AN1006),$AB$1006:$AQ$1006,0)), HYPERLINK("#",""), HYPERLINK(CONCATENATE("#metadata!", ADDRESS(INDEX($W$2:$W$1001,MATCH(ROWS($U$2:U247),$U$2:$U$1001,0),0), INDEX($AB$1004:$AQ$1004,1,MATCH(COLUMNS($AB$1006:AN1006),$AB$1006:$AQ$1006,0)))),"Fix")))</f>
        <v>0</v>
      </c>
      <c r="O247" s="4">
        <f>IF(OR(INDEX($V$2:$V$1001,MATCH(ROWS($U$2:U247),$U$2:$U$1001,0),1)&gt;=100000,INDEX($AB$1005:$AQ$1005,1,MATCH(COLUMNS($AB$1006:AO1006),$AB$1006:$AQ$1006,0))&gt;=100000), " ",IF(INDEX($AB$2:$AQ$1001,MATCH(ROWS($U$2:U247),$U$2:$U$1001,0),MATCH(COLUMNS($AB$1006:AO1006),$AB$1006:$AQ$1006,0)), HYPERLINK("#",""), HYPERLINK(CONCATENATE("#metadata!", ADDRESS(INDEX($W$2:$W$1001,MATCH(ROWS($U$2:U247),$U$2:$U$1001,0),0), INDEX($AB$1004:$AQ$1004,1,MATCH(COLUMNS($AB$1006:AO1006),$AB$1006:$AQ$1006,0)))),"Fix")))</f>
        <v>0</v>
      </c>
      <c r="P247" s="4">
        <f>IF(OR(INDEX($V$2:$V$1001,MATCH(ROWS($U$2:U247),$U$2:$U$1001,0),1)&gt;=100000,INDEX($AB$1005:$AQ$1005,1,MATCH(COLUMNS($AB$1006:AP1006),$AB$1006:$AQ$1006,0))&gt;=100000), " ",IF(INDEX($AB$2:$AQ$1001,MATCH(ROWS($U$2:U247),$U$2:$U$1001,0),MATCH(COLUMNS($AB$1006:AP1006),$AB$1006:$AQ$1006,0)), HYPERLINK("#",""), HYPERLINK(CONCATENATE("#metadata!", ADDRESS(INDEX($W$2:$W$1001,MATCH(ROWS($U$2:U247),$U$2:$U$1001,0),0), INDEX($AB$1004:$AQ$1004,1,MATCH(COLUMNS($AB$1006:AP1006),$AB$1006:$AQ$1006,0)))),"Fix")))</f>
        <v>0</v>
      </c>
      <c r="Q247" s="4">
        <f>IF(OR(INDEX($V$2:$V$1001,MATCH(ROWS($U$2:U247),$U$2:$U$1001,0),1)&gt;=100000,INDEX($AB$1005:$AQ$1005,1,MATCH(COLUMNS($AB$1006:AQ1006),$AB$1006:$AQ$1006,0))&gt;=100000), " ",IF(INDEX($AB$2:$AQ$1001,MATCH(ROWS($U$2:U247),$U$2:$U$1001,0),MATCH(COLUMNS($AB$1006:AQ1006),$AB$1006:$AQ$1006,0)), HYPERLINK("#",""), HYPERLINK(CONCATENATE("#metadata!", ADDRESS(INDEX($W$2:$W$1001,MATCH(ROWS($U$2:U247),$U$2:$U$1001,0),0), INDEX($AB$1004:$AQ$1004,1,MATCH(COLUMNS($AB$1006:AQ1006),$AB$1006:$AQ$1006,0)))),"Fix")))</f>
        <v>0</v>
      </c>
      <c r="U247">
        <v>0</v>
      </c>
      <c r="V247">
        <v>0</v>
      </c>
      <c r="W247">
        <v>0</v>
      </c>
      <c r="X247">
        <f>IF(Y247,TRUE,AND(AB247:AQ247))</f>
        <v>0</v>
      </c>
      <c r="Y247">
        <f>COUNTBLANK(metadata!B247:Q247)=COLUMNS(metadata!B247:Q247)</f>
        <v>0</v>
      </c>
      <c r="Z247">
        <v>0</v>
      </c>
      <c r="AB247">
        <f>AND(IF(metadata!B247="",FALSE,TRUE),COUNTIF(metadata!B:B, metadata!B247) = 1,NOT(ISERROR(SUMPRODUCT(SEARCH(MID(metadata!B247,ROW(INDIRECT("1:"&amp;LEN(metadata!B247))), 1),"0123456789abcdefghijklmnopqrstuvwxyzABCDEFGHIJKLMNOPQRSTUVWXYZ.")))))</f>
        <v>0</v>
      </c>
      <c r="AC247">
        <f>OR(AND(IF(metadata!C247="",FALSE,TRUE),OR(exact(metadata!C247,"missing: not collected"),exact(metadata!C247,"missing: not provided"),exact(metadata!C247,"missing: restricted access"))),AND(IF(metadata!C247="",FALSE,TRUE),AND(AND(IFERROR(INT(LEFT(metadata!C247,4))&gt;1900,FALSE),IFERROR(INT(LEFT(metadata!C247,4))&lt;=YEAR(NOW()),FALSE)), OR(MID(metadata!C247,5,1)="", AND(AND(MID(metadata!C247,5,1)="-",IFERROR(INT(MID(metadata!C247,6,1))&gt;=0,FALSE),IFERROR(INT(MID(metadata!C247,6,1))&lt;=1,FALSE),NOT(MID(metadata!C247,7,1)=""),IFERROR(INT(MID(metadata!C247,6,2))&gt;=1,FALSE),IFERROR(INT(MID(metadata!C247,6,2))&lt;=12,FALSE)), OR(MID(metadata!C247,8,1)="", AND(AND(MID(metadata!C247,8,1)="-",IFERROR(INT(MID(metadata!C247,9,1))&gt;=0,FALSE),IFERROR(INT(MID(metadata!C247,9,1))&lt;=3,FALSE),NOT(MID(metadata!C247,10,1)=""),IFERROR(INT(MID(metadata!C247,9,2))&gt;=1,FALSE),IFERROR(INT(MID(metadata!C247,9,2))&lt;=31,FALSE)), OR(MID(metadata!C247,11,1)="", AND(AND(MID(metadata!C247,11,1)=" ",IFERROR(INT(MID(metadata!C247,12,1))&gt;=0,FALSE),IFERROR(INT(MID(metadata!C247,12,1))&lt;=2,FALSE),NOT(MID(metadata!C247,13,1)=""),IFERROR(INT(MID(metadata!C247,12,2))&gt;=0,FALSE),IFERROR(INT(MID(metadata!C247,12,2))&lt;=23,FALSE)), OR(MID(metadata!C247,14,1)="", AND(AND(MID(metadata!C247,14,1)=":",IFERROR(INT(MID(metadata!C247,15,1))&gt;=0,FALSE),IFERROR(INT(MID(metadata!C247,15,1))&lt;=5,FALSE),NOT(MID(metadata!C247,16,1)=""),IFERROR(INT(MID(metadata!C247,15,2))&gt;=0,FALSE),IFERROR(INT(MID(metadata!C247,15,2))&lt;=59,FALSE)), OR(MID(metadata!C247,17,1)="", AND(AND(MID(metadata!C247,17,1)=":",IFERROR(INT(MID(metadata!C247,18,1))&gt;=0,FALSE),IFERROR(INT(MID(metadata!C247,18,1))&lt;=5,FALSE),NOT(MID(metadata!C247,19,1)=""),IFERROR(INT(MID(metadata!C247,18,2))&gt;=0,FALSE),IFERROR(INT(MID(metadata!C247,18,2))&lt;=59,FALSE)), LEN(metadata!C247)&lt;=19)))))))))))))</f>
        <v>0</v>
      </c>
      <c r="AD247">
        <f>IF(metadata!D247="",FALSE,TRUE)</f>
        <v>0</v>
      </c>
      <c r="AE247">
        <f>OR(AND(IF(metadata!E247="",FALSE,TRUE),OR(exact(metadata!E247,"missing: not collected"),exact(metadata!E247,"missing: not provided"))),AND(IF(metadata!E247="",FALSE,TRUE),OR(exact(metadata!E247,"TRUE"),exact(metadata!E247,"FALSE"))))</f>
        <v>0</v>
      </c>
      <c r="AF247">
        <f>IF(metadata!F247="",FALSE,TRUE)</f>
        <v>0</v>
      </c>
      <c r="AG247">
        <f>IF(metadata!G247="",FALSE,TRUE)</f>
        <v>0</v>
      </c>
      <c r="AH247">
        <f>IF(metadata!H247="",FALSE,TRUE)</f>
        <v>0</v>
      </c>
      <c r="AI247">
        <f>OR(AND(IF(metadata!I247="",FALSE,TRUE),OR(exact(metadata!I247,"missing: not collected"),exact(metadata!I247,"missing: not provided"),exact(metadata!I247,"missing: restricted access"))),AND(IF(metadata!I247="",FALSE,TRUE),OR(exact(metadata!I247,"air"),exact(metadata!I247,"built environment"),exact(metadata!I247,"host-associated"),exact(metadata!I247,"human-associated"),exact(metadata!I247,"human-skin"),exact(metadata!I247,"human-oral"),exact(metadata!I247,"human-gut"),exact(metadata!I247,"human-vaginal"),exact(metadata!I247,"microbial mat/biofilm"),exact(metadata!I247,"misc environment"),exact(metadata!I247,"plant-associated"),exact(metadata!I247,"sediment"),exact(metadata!I247,"soil"),exact(metadata!I247,"wastewater/sludge"),exact(metadata!I247,"water"))))</f>
        <v>0</v>
      </c>
      <c r="AJ247">
        <f>IF(metadata!J247="",FALSE,TRUE)</f>
        <v>0</v>
      </c>
      <c r="AK247">
        <f>OR(AND(IF(metadata!K247="",FALSE,TRUE),OR(exact(metadata!K247,"missing: not collected"),exact(metadata!K247,"missing: not provided"),exact(metadata!K247,"missing: restricted access"))),AND(IF(metadata!K247="",FALSE,ISNUMBER(VALUE(metadata!K247))),metadata!K247&gt;=-90.00,metadata!K247&lt;=90.00))</f>
        <v>0</v>
      </c>
      <c r="AL247">
        <f>OR(AND(IF(metadata!L247="",FALSE,TRUE),OR(exact(metadata!L247,"missing: not collected"),exact(metadata!L247,"missing: not provided"),exact(metadata!L247,"missing: restricted access"))),AND(IF(metadata!L247="",FALSE,ISNUMBER(VALUE(metadata!L247))),metadata!L247&gt;=-180.00,metadata!L247&lt;=180.00))</f>
        <v>0</v>
      </c>
      <c r="AM247">
        <f>IF(metadata!M247="",FALSE,TRUE)</f>
        <v>0</v>
      </c>
      <c r="AN247">
        <f>OR(AND(IF(metadata!N247="",FALSE,TRUE),OR(exact(metadata!N247,"missing: not collected"),exact(metadata!N247,"missing: not provided"),exact(metadata!N247,"missing: restricted access"))),AND(IF(metadata!N247="",FALSE,TRUE),OR(exact(metadata!N247,"TRUE"),exact(metadata!N247,"FALSE"))))</f>
        <v>0</v>
      </c>
      <c r="AO247">
        <f>IF(metadata!O247="",FALSE,TRUE)</f>
        <v>0</v>
      </c>
      <c r="AP247">
        <f>OR(AND(IF(metadata!P247="",FALSE,TRUE),OR(exact(metadata!P247,"missing: not collected"),exact(metadata!P247,"missing: not provided"))),AND(IF(metadata!P247="",FALSE,IF(ISERROR(INT(metadata!P247)),FALSE,INT(metadata!P247)=metadata!P247)),metadata!P247&gt;0))</f>
        <v>0</v>
      </c>
      <c r="AQ247">
        <f>IF(metadata!Q247="",FALSE,TRUE)</f>
        <v>0</v>
      </c>
    </row>
    <row r="248" spans="1:43">
      <c r="A248" s="5">
        <f>IF(B248=" "," ",HYPERLINK(CONCATENATE("#metadata!",ADDRESS(INDEX($W$2:$W$1001,MATCH(ROWS($U$2:U248),$U$2:$U$1001,0),0),1)),INDEX($Z$2:$Z$1001,MATCH(ROWS($U$2:U248),$U$2:$U$1001,0),0)))</f>
        <v>0</v>
      </c>
      <c r="B248" s="4">
        <f>IF(OR(INDEX($V$2:$V$1001,MATCH(ROWS($U$2:U248),$U$2:$U$1001,0),1)&gt;=100000,INDEX($AB$1005:$AQ$1005,1,MATCH(COLUMNS($AB$1006:AB1006),$AB$1006:$AQ$1006,0))&gt;=100000), " ",IF(INDEX($AB$2:$AQ$1001,MATCH(ROWS($U$2:U248),$U$2:$U$1001,0),MATCH(COLUMNS($AB$1006:AB1006),$AB$1006:$AQ$1006,0)), HYPERLINK("#",""), HYPERLINK(CONCATENATE("#metadata!", ADDRESS(INDEX($W$2:$W$1001,MATCH(ROWS($U$2:U248),$U$2:$U$1001,0),0), INDEX($AB$1004:$AQ$1004,1,MATCH(COLUMNS($AB$1006:AB1006),$AB$1006:$AQ$1006,0)))),"Fix")))</f>
        <v>0</v>
      </c>
      <c r="C248" s="4">
        <f>IF(OR(INDEX($V$2:$V$1001,MATCH(ROWS($U$2:U248),$U$2:$U$1001,0),1)&gt;=100000,INDEX($AB$1005:$AQ$1005,1,MATCH(COLUMNS($AB$1006:AC1006),$AB$1006:$AQ$1006,0))&gt;=100000), " ",IF(INDEX($AB$2:$AQ$1001,MATCH(ROWS($U$2:U248),$U$2:$U$1001,0),MATCH(COLUMNS($AB$1006:AC1006),$AB$1006:$AQ$1006,0)), HYPERLINK("#",""), HYPERLINK(CONCATENATE("#metadata!", ADDRESS(INDEX($W$2:$W$1001,MATCH(ROWS($U$2:U248),$U$2:$U$1001,0),0), INDEX($AB$1004:$AQ$1004,1,MATCH(COLUMNS($AB$1006:AC1006),$AB$1006:$AQ$1006,0)))),"Fix")))</f>
        <v>0</v>
      </c>
      <c r="D248" s="4">
        <f>IF(OR(INDEX($V$2:$V$1001,MATCH(ROWS($U$2:U248),$U$2:$U$1001,0),1)&gt;=100000,INDEX($AB$1005:$AQ$1005,1,MATCH(COLUMNS($AB$1006:AD1006),$AB$1006:$AQ$1006,0))&gt;=100000), " ",IF(INDEX($AB$2:$AQ$1001,MATCH(ROWS($U$2:U248),$U$2:$U$1001,0),MATCH(COLUMNS($AB$1006:AD1006),$AB$1006:$AQ$1006,0)), HYPERLINK("#",""), HYPERLINK(CONCATENATE("#metadata!", ADDRESS(INDEX($W$2:$W$1001,MATCH(ROWS($U$2:U248),$U$2:$U$1001,0),0), INDEX($AB$1004:$AQ$1004,1,MATCH(COLUMNS($AB$1006:AD1006),$AB$1006:$AQ$1006,0)))),"Fix")))</f>
        <v>0</v>
      </c>
      <c r="E248" s="4">
        <f>IF(OR(INDEX($V$2:$V$1001,MATCH(ROWS($U$2:U248),$U$2:$U$1001,0),1)&gt;=100000,INDEX($AB$1005:$AQ$1005,1,MATCH(COLUMNS($AB$1006:AE1006),$AB$1006:$AQ$1006,0))&gt;=100000), " ",IF(INDEX($AB$2:$AQ$1001,MATCH(ROWS($U$2:U248),$U$2:$U$1001,0),MATCH(COLUMNS($AB$1006:AE1006),$AB$1006:$AQ$1006,0)), HYPERLINK("#",""), HYPERLINK(CONCATENATE("#metadata!", ADDRESS(INDEX($W$2:$W$1001,MATCH(ROWS($U$2:U248),$U$2:$U$1001,0),0), INDEX($AB$1004:$AQ$1004,1,MATCH(COLUMNS($AB$1006:AE1006),$AB$1006:$AQ$1006,0)))),"Fix")))</f>
        <v>0</v>
      </c>
      <c r="F248" s="4">
        <f>IF(OR(INDEX($V$2:$V$1001,MATCH(ROWS($U$2:U248),$U$2:$U$1001,0),1)&gt;=100000,INDEX($AB$1005:$AQ$1005,1,MATCH(COLUMNS($AB$1006:AF1006),$AB$1006:$AQ$1006,0))&gt;=100000), " ",IF(INDEX($AB$2:$AQ$1001,MATCH(ROWS($U$2:U248),$U$2:$U$1001,0),MATCH(COLUMNS($AB$1006:AF1006),$AB$1006:$AQ$1006,0)), HYPERLINK("#",""), HYPERLINK(CONCATENATE("#metadata!", ADDRESS(INDEX($W$2:$W$1001,MATCH(ROWS($U$2:U248),$U$2:$U$1001,0),0), INDEX($AB$1004:$AQ$1004,1,MATCH(COLUMNS($AB$1006:AF1006),$AB$1006:$AQ$1006,0)))),"Fix")))</f>
        <v>0</v>
      </c>
      <c r="G248" s="4">
        <f>IF(OR(INDEX($V$2:$V$1001,MATCH(ROWS($U$2:U248),$U$2:$U$1001,0),1)&gt;=100000,INDEX($AB$1005:$AQ$1005,1,MATCH(COLUMNS($AB$1006:AG1006),$AB$1006:$AQ$1006,0))&gt;=100000), " ",IF(INDEX($AB$2:$AQ$1001,MATCH(ROWS($U$2:U248),$U$2:$U$1001,0),MATCH(COLUMNS($AB$1006:AG1006),$AB$1006:$AQ$1006,0)), HYPERLINK("#",""), HYPERLINK(CONCATENATE("#metadata!", ADDRESS(INDEX($W$2:$W$1001,MATCH(ROWS($U$2:U248),$U$2:$U$1001,0),0), INDEX($AB$1004:$AQ$1004,1,MATCH(COLUMNS($AB$1006:AG1006),$AB$1006:$AQ$1006,0)))),"Fix")))</f>
        <v>0</v>
      </c>
      <c r="H248" s="4">
        <f>IF(OR(INDEX($V$2:$V$1001,MATCH(ROWS($U$2:U248),$U$2:$U$1001,0),1)&gt;=100000,INDEX($AB$1005:$AQ$1005,1,MATCH(COLUMNS($AB$1006:AH1006),$AB$1006:$AQ$1006,0))&gt;=100000), " ",IF(INDEX($AB$2:$AQ$1001,MATCH(ROWS($U$2:U248),$U$2:$U$1001,0),MATCH(COLUMNS($AB$1006:AH1006),$AB$1006:$AQ$1006,0)), HYPERLINK("#",""), HYPERLINK(CONCATENATE("#metadata!", ADDRESS(INDEX($W$2:$W$1001,MATCH(ROWS($U$2:U248),$U$2:$U$1001,0),0), INDEX($AB$1004:$AQ$1004,1,MATCH(COLUMNS($AB$1006:AH1006),$AB$1006:$AQ$1006,0)))),"Fix")))</f>
        <v>0</v>
      </c>
      <c r="I248" s="4">
        <f>IF(OR(INDEX($V$2:$V$1001,MATCH(ROWS($U$2:U248),$U$2:$U$1001,0),1)&gt;=100000,INDEX($AB$1005:$AQ$1005,1,MATCH(COLUMNS($AB$1006:AI1006),$AB$1006:$AQ$1006,0))&gt;=100000), " ",IF(INDEX($AB$2:$AQ$1001,MATCH(ROWS($U$2:U248),$U$2:$U$1001,0),MATCH(COLUMNS($AB$1006:AI1006),$AB$1006:$AQ$1006,0)), HYPERLINK("#",""), HYPERLINK(CONCATENATE("#metadata!", ADDRESS(INDEX($W$2:$W$1001,MATCH(ROWS($U$2:U248),$U$2:$U$1001,0),0), INDEX($AB$1004:$AQ$1004,1,MATCH(COLUMNS($AB$1006:AI1006),$AB$1006:$AQ$1006,0)))),"Fix")))</f>
        <v>0</v>
      </c>
      <c r="J248" s="4">
        <f>IF(OR(INDEX($V$2:$V$1001,MATCH(ROWS($U$2:U248),$U$2:$U$1001,0),1)&gt;=100000,INDEX($AB$1005:$AQ$1005,1,MATCH(COLUMNS($AB$1006:AJ1006),$AB$1006:$AQ$1006,0))&gt;=100000), " ",IF(INDEX($AB$2:$AQ$1001,MATCH(ROWS($U$2:U248),$U$2:$U$1001,0),MATCH(COLUMNS($AB$1006:AJ1006),$AB$1006:$AQ$1006,0)), HYPERLINK("#",""), HYPERLINK(CONCATENATE("#metadata!", ADDRESS(INDEX($W$2:$W$1001,MATCH(ROWS($U$2:U248),$U$2:$U$1001,0),0), INDEX($AB$1004:$AQ$1004,1,MATCH(COLUMNS($AB$1006:AJ1006),$AB$1006:$AQ$1006,0)))),"Fix")))</f>
        <v>0</v>
      </c>
      <c r="K248" s="4">
        <f>IF(OR(INDEX($V$2:$V$1001,MATCH(ROWS($U$2:U248),$U$2:$U$1001,0),1)&gt;=100000,INDEX($AB$1005:$AQ$1005,1,MATCH(COLUMNS($AB$1006:AK1006),$AB$1006:$AQ$1006,0))&gt;=100000), " ",IF(INDEX($AB$2:$AQ$1001,MATCH(ROWS($U$2:U248),$U$2:$U$1001,0),MATCH(COLUMNS($AB$1006:AK1006),$AB$1006:$AQ$1006,0)), HYPERLINK("#",""), HYPERLINK(CONCATENATE("#metadata!", ADDRESS(INDEX($W$2:$W$1001,MATCH(ROWS($U$2:U248),$U$2:$U$1001,0),0), INDEX($AB$1004:$AQ$1004,1,MATCH(COLUMNS($AB$1006:AK1006),$AB$1006:$AQ$1006,0)))),"Fix")))</f>
        <v>0</v>
      </c>
      <c r="L248" s="4">
        <f>IF(OR(INDEX($V$2:$V$1001,MATCH(ROWS($U$2:U248),$U$2:$U$1001,0),1)&gt;=100000,INDEX($AB$1005:$AQ$1005,1,MATCH(COLUMNS($AB$1006:AL1006),$AB$1006:$AQ$1006,0))&gt;=100000), " ",IF(INDEX($AB$2:$AQ$1001,MATCH(ROWS($U$2:U248),$U$2:$U$1001,0),MATCH(COLUMNS($AB$1006:AL1006),$AB$1006:$AQ$1006,0)), HYPERLINK("#",""), HYPERLINK(CONCATENATE("#metadata!", ADDRESS(INDEX($W$2:$W$1001,MATCH(ROWS($U$2:U248),$U$2:$U$1001,0),0), INDEX($AB$1004:$AQ$1004,1,MATCH(COLUMNS($AB$1006:AL1006),$AB$1006:$AQ$1006,0)))),"Fix")))</f>
        <v>0</v>
      </c>
      <c r="M248" s="4">
        <f>IF(OR(INDEX($V$2:$V$1001,MATCH(ROWS($U$2:U248),$U$2:$U$1001,0),1)&gt;=100000,INDEX($AB$1005:$AQ$1005,1,MATCH(COLUMNS($AB$1006:AM1006),$AB$1006:$AQ$1006,0))&gt;=100000), " ",IF(INDEX($AB$2:$AQ$1001,MATCH(ROWS($U$2:U248),$U$2:$U$1001,0),MATCH(COLUMNS($AB$1006:AM1006),$AB$1006:$AQ$1006,0)), HYPERLINK("#",""), HYPERLINK(CONCATENATE("#metadata!", ADDRESS(INDEX($W$2:$W$1001,MATCH(ROWS($U$2:U248),$U$2:$U$1001,0),0), INDEX($AB$1004:$AQ$1004,1,MATCH(COLUMNS($AB$1006:AM1006),$AB$1006:$AQ$1006,0)))),"Fix")))</f>
        <v>0</v>
      </c>
      <c r="N248" s="4">
        <f>IF(OR(INDEX($V$2:$V$1001,MATCH(ROWS($U$2:U248),$U$2:$U$1001,0),1)&gt;=100000,INDEX($AB$1005:$AQ$1005,1,MATCH(COLUMNS($AB$1006:AN1006),$AB$1006:$AQ$1006,0))&gt;=100000), " ",IF(INDEX($AB$2:$AQ$1001,MATCH(ROWS($U$2:U248),$U$2:$U$1001,0),MATCH(COLUMNS($AB$1006:AN1006),$AB$1006:$AQ$1006,0)), HYPERLINK("#",""), HYPERLINK(CONCATENATE("#metadata!", ADDRESS(INDEX($W$2:$W$1001,MATCH(ROWS($U$2:U248),$U$2:$U$1001,0),0), INDEX($AB$1004:$AQ$1004,1,MATCH(COLUMNS($AB$1006:AN1006),$AB$1006:$AQ$1006,0)))),"Fix")))</f>
        <v>0</v>
      </c>
      <c r="O248" s="4">
        <f>IF(OR(INDEX($V$2:$V$1001,MATCH(ROWS($U$2:U248),$U$2:$U$1001,0),1)&gt;=100000,INDEX($AB$1005:$AQ$1005,1,MATCH(COLUMNS($AB$1006:AO1006),$AB$1006:$AQ$1006,0))&gt;=100000), " ",IF(INDEX($AB$2:$AQ$1001,MATCH(ROWS($U$2:U248),$U$2:$U$1001,0),MATCH(COLUMNS($AB$1006:AO1006),$AB$1006:$AQ$1006,0)), HYPERLINK("#",""), HYPERLINK(CONCATENATE("#metadata!", ADDRESS(INDEX($W$2:$W$1001,MATCH(ROWS($U$2:U248),$U$2:$U$1001,0),0), INDEX($AB$1004:$AQ$1004,1,MATCH(COLUMNS($AB$1006:AO1006),$AB$1006:$AQ$1006,0)))),"Fix")))</f>
        <v>0</v>
      </c>
      <c r="P248" s="4">
        <f>IF(OR(INDEX($V$2:$V$1001,MATCH(ROWS($U$2:U248),$U$2:$U$1001,0),1)&gt;=100000,INDEX($AB$1005:$AQ$1005,1,MATCH(COLUMNS($AB$1006:AP1006),$AB$1006:$AQ$1006,0))&gt;=100000), " ",IF(INDEX($AB$2:$AQ$1001,MATCH(ROWS($U$2:U248),$U$2:$U$1001,0),MATCH(COLUMNS($AB$1006:AP1006),$AB$1006:$AQ$1006,0)), HYPERLINK("#",""), HYPERLINK(CONCATENATE("#metadata!", ADDRESS(INDEX($W$2:$W$1001,MATCH(ROWS($U$2:U248),$U$2:$U$1001,0),0), INDEX($AB$1004:$AQ$1004,1,MATCH(COLUMNS($AB$1006:AP1006),$AB$1006:$AQ$1006,0)))),"Fix")))</f>
        <v>0</v>
      </c>
      <c r="Q248" s="4">
        <f>IF(OR(INDEX($V$2:$V$1001,MATCH(ROWS($U$2:U248),$U$2:$U$1001,0),1)&gt;=100000,INDEX($AB$1005:$AQ$1005,1,MATCH(COLUMNS($AB$1006:AQ1006),$AB$1006:$AQ$1006,0))&gt;=100000), " ",IF(INDEX($AB$2:$AQ$1001,MATCH(ROWS($U$2:U248),$U$2:$U$1001,0),MATCH(COLUMNS($AB$1006:AQ1006),$AB$1006:$AQ$1006,0)), HYPERLINK("#",""), HYPERLINK(CONCATENATE("#metadata!", ADDRESS(INDEX($W$2:$W$1001,MATCH(ROWS($U$2:U248),$U$2:$U$1001,0),0), INDEX($AB$1004:$AQ$1004,1,MATCH(COLUMNS($AB$1006:AQ1006),$AB$1006:$AQ$1006,0)))),"Fix")))</f>
        <v>0</v>
      </c>
      <c r="U248">
        <v>0</v>
      </c>
      <c r="V248">
        <v>0</v>
      </c>
      <c r="W248">
        <v>0</v>
      </c>
      <c r="X248">
        <f>IF(Y248,TRUE,AND(AB248:AQ248))</f>
        <v>0</v>
      </c>
      <c r="Y248">
        <f>COUNTBLANK(metadata!B248:Q248)=COLUMNS(metadata!B248:Q248)</f>
        <v>0</v>
      </c>
      <c r="Z248">
        <v>0</v>
      </c>
      <c r="AB248">
        <f>AND(IF(metadata!B248="",FALSE,TRUE),COUNTIF(metadata!B:B, metadata!B248) = 1,NOT(ISERROR(SUMPRODUCT(SEARCH(MID(metadata!B248,ROW(INDIRECT("1:"&amp;LEN(metadata!B248))), 1),"0123456789abcdefghijklmnopqrstuvwxyzABCDEFGHIJKLMNOPQRSTUVWXYZ.")))))</f>
        <v>0</v>
      </c>
      <c r="AC248">
        <f>OR(AND(IF(metadata!C248="",FALSE,TRUE),OR(exact(metadata!C248,"missing: not collected"),exact(metadata!C248,"missing: not provided"),exact(metadata!C248,"missing: restricted access"))),AND(IF(metadata!C248="",FALSE,TRUE),AND(AND(IFERROR(INT(LEFT(metadata!C248,4))&gt;1900,FALSE),IFERROR(INT(LEFT(metadata!C248,4))&lt;=YEAR(NOW()),FALSE)), OR(MID(metadata!C248,5,1)="", AND(AND(MID(metadata!C248,5,1)="-",IFERROR(INT(MID(metadata!C248,6,1))&gt;=0,FALSE),IFERROR(INT(MID(metadata!C248,6,1))&lt;=1,FALSE),NOT(MID(metadata!C248,7,1)=""),IFERROR(INT(MID(metadata!C248,6,2))&gt;=1,FALSE),IFERROR(INT(MID(metadata!C248,6,2))&lt;=12,FALSE)), OR(MID(metadata!C248,8,1)="", AND(AND(MID(metadata!C248,8,1)="-",IFERROR(INT(MID(metadata!C248,9,1))&gt;=0,FALSE),IFERROR(INT(MID(metadata!C248,9,1))&lt;=3,FALSE),NOT(MID(metadata!C248,10,1)=""),IFERROR(INT(MID(metadata!C248,9,2))&gt;=1,FALSE),IFERROR(INT(MID(metadata!C248,9,2))&lt;=31,FALSE)), OR(MID(metadata!C248,11,1)="", AND(AND(MID(metadata!C248,11,1)=" ",IFERROR(INT(MID(metadata!C248,12,1))&gt;=0,FALSE),IFERROR(INT(MID(metadata!C248,12,1))&lt;=2,FALSE),NOT(MID(metadata!C248,13,1)=""),IFERROR(INT(MID(metadata!C248,12,2))&gt;=0,FALSE),IFERROR(INT(MID(metadata!C248,12,2))&lt;=23,FALSE)), OR(MID(metadata!C248,14,1)="", AND(AND(MID(metadata!C248,14,1)=":",IFERROR(INT(MID(metadata!C248,15,1))&gt;=0,FALSE),IFERROR(INT(MID(metadata!C248,15,1))&lt;=5,FALSE),NOT(MID(metadata!C248,16,1)=""),IFERROR(INT(MID(metadata!C248,15,2))&gt;=0,FALSE),IFERROR(INT(MID(metadata!C248,15,2))&lt;=59,FALSE)), OR(MID(metadata!C248,17,1)="", AND(AND(MID(metadata!C248,17,1)=":",IFERROR(INT(MID(metadata!C248,18,1))&gt;=0,FALSE),IFERROR(INT(MID(metadata!C248,18,1))&lt;=5,FALSE),NOT(MID(metadata!C248,19,1)=""),IFERROR(INT(MID(metadata!C248,18,2))&gt;=0,FALSE),IFERROR(INT(MID(metadata!C248,18,2))&lt;=59,FALSE)), LEN(metadata!C248)&lt;=19)))))))))))))</f>
        <v>0</v>
      </c>
      <c r="AD248">
        <f>IF(metadata!D248="",FALSE,TRUE)</f>
        <v>0</v>
      </c>
      <c r="AE248">
        <f>OR(AND(IF(metadata!E248="",FALSE,TRUE),OR(exact(metadata!E248,"missing: not collected"),exact(metadata!E248,"missing: not provided"))),AND(IF(metadata!E248="",FALSE,TRUE),OR(exact(metadata!E248,"TRUE"),exact(metadata!E248,"FALSE"))))</f>
        <v>0</v>
      </c>
      <c r="AF248">
        <f>IF(metadata!F248="",FALSE,TRUE)</f>
        <v>0</v>
      </c>
      <c r="AG248">
        <f>IF(metadata!G248="",FALSE,TRUE)</f>
        <v>0</v>
      </c>
      <c r="AH248">
        <f>IF(metadata!H248="",FALSE,TRUE)</f>
        <v>0</v>
      </c>
      <c r="AI248">
        <f>OR(AND(IF(metadata!I248="",FALSE,TRUE),OR(exact(metadata!I248,"missing: not collected"),exact(metadata!I248,"missing: not provided"),exact(metadata!I248,"missing: restricted access"))),AND(IF(metadata!I248="",FALSE,TRUE),OR(exact(metadata!I248,"air"),exact(metadata!I248,"built environment"),exact(metadata!I248,"host-associated"),exact(metadata!I248,"human-associated"),exact(metadata!I248,"human-skin"),exact(metadata!I248,"human-oral"),exact(metadata!I248,"human-gut"),exact(metadata!I248,"human-vaginal"),exact(metadata!I248,"microbial mat/biofilm"),exact(metadata!I248,"misc environment"),exact(metadata!I248,"plant-associated"),exact(metadata!I248,"sediment"),exact(metadata!I248,"soil"),exact(metadata!I248,"wastewater/sludge"),exact(metadata!I248,"water"))))</f>
        <v>0</v>
      </c>
      <c r="AJ248">
        <f>IF(metadata!J248="",FALSE,TRUE)</f>
        <v>0</v>
      </c>
      <c r="AK248">
        <f>OR(AND(IF(metadata!K248="",FALSE,TRUE),OR(exact(metadata!K248,"missing: not collected"),exact(metadata!K248,"missing: not provided"),exact(metadata!K248,"missing: restricted access"))),AND(IF(metadata!K248="",FALSE,ISNUMBER(VALUE(metadata!K248))),metadata!K248&gt;=-90.00,metadata!K248&lt;=90.00))</f>
        <v>0</v>
      </c>
      <c r="AL248">
        <f>OR(AND(IF(metadata!L248="",FALSE,TRUE),OR(exact(metadata!L248,"missing: not collected"),exact(metadata!L248,"missing: not provided"),exact(metadata!L248,"missing: restricted access"))),AND(IF(metadata!L248="",FALSE,ISNUMBER(VALUE(metadata!L248))),metadata!L248&gt;=-180.00,metadata!L248&lt;=180.00))</f>
        <v>0</v>
      </c>
      <c r="AM248">
        <f>IF(metadata!M248="",FALSE,TRUE)</f>
        <v>0</v>
      </c>
      <c r="AN248">
        <f>OR(AND(IF(metadata!N248="",FALSE,TRUE),OR(exact(metadata!N248,"missing: not collected"),exact(metadata!N248,"missing: not provided"),exact(metadata!N248,"missing: restricted access"))),AND(IF(metadata!N248="",FALSE,TRUE),OR(exact(metadata!N248,"TRUE"),exact(metadata!N248,"FALSE"))))</f>
        <v>0</v>
      </c>
      <c r="AO248">
        <f>IF(metadata!O248="",FALSE,TRUE)</f>
        <v>0</v>
      </c>
      <c r="AP248">
        <f>OR(AND(IF(metadata!P248="",FALSE,TRUE),OR(exact(metadata!P248,"missing: not collected"),exact(metadata!P248,"missing: not provided"))),AND(IF(metadata!P248="",FALSE,IF(ISERROR(INT(metadata!P248)),FALSE,INT(metadata!P248)=metadata!P248)),metadata!P248&gt;0))</f>
        <v>0</v>
      </c>
      <c r="AQ248">
        <f>IF(metadata!Q248="",FALSE,TRUE)</f>
        <v>0</v>
      </c>
    </row>
    <row r="249" spans="1:43">
      <c r="A249" s="5">
        <f>IF(B249=" "," ",HYPERLINK(CONCATENATE("#metadata!",ADDRESS(INDEX($W$2:$W$1001,MATCH(ROWS($U$2:U249),$U$2:$U$1001,0),0),1)),INDEX($Z$2:$Z$1001,MATCH(ROWS($U$2:U249),$U$2:$U$1001,0),0)))</f>
        <v>0</v>
      </c>
      <c r="B249" s="4">
        <f>IF(OR(INDEX($V$2:$V$1001,MATCH(ROWS($U$2:U249),$U$2:$U$1001,0),1)&gt;=100000,INDEX($AB$1005:$AQ$1005,1,MATCH(COLUMNS($AB$1006:AB1006),$AB$1006:$AQ$1006,0))&gt;=100000), " ",IF(INDEX($AB$2:$AQ$1001,MATCH(ROWS($U$2:U249),$U$2:$U$1001,0),MATCH(COLUMNS($AB$1006:AB1006),$AB$1006:$AQ$1006,0)), HYPERLINK("#",""), HYPERLINK(CONCATENATE("#metadata!", ADDRESS(INDEX($W$2:$W$1001,MATCH(ROWS($U$2:U249),$U$2:$U$1001,0),0), INDEX($AB$1004:$AQ$1004,1,MATCH(COLUMNS($AB$1006:AB1006),$AB$1006:$AQ$1006,0)))),"Fix")))</f>
        <v>0</v>
      </c>
      <c r="C249" s="4">
        <f>IF(OR(INDEX($V$2:$V$1001,MATCH(ROWS($U$2:U249),$U$2:$U$1001,0),1)&gt;=100000,INDEX($AB$1005:$AQ$1005,1,MATCH(COLUMNS($AB$1006:AC1006),$AB$1006:$AQ$1006,0))&gt;=100000), " ",IF(INDEX($AB$2:$AQ$1001,MATCH(ROWS($U$2:U249),$U$2:$U$1001,0),MATCH(COLUMNS($AB$1006:AC1006),$AB$1006:$AQ$1006,0)), HYPERLINK("#",""), HYPERLINK(CONCATENATE("#metadata!", ADDRESS(INDEX($W$2:$W$1001,MATCH(ROWS($U$2:U249),$U$2:$U$1001,0),0), INDEX($AB$1004:$AQ$1004,1,MATCH(COLUMNS($AB$1006:AC1006),$AB$1006:$AQ$1006,0)))),"Fix")))</f>
        <v>0</v>
      </c>
      <c r="D249" s="4">
        <f>IF(OR(INDEX($V$2:$V$1001,MATCH(ROWS($U$2:U249),$U$2:$U$1001,0),1)&gt;=100000,INDEX($AB$1005:$AQ$1005,1,MATCH(COLUMNS($AB$1006:AD1006),$AB$1006:$AQ$1006,0))&gt;=100000), " ",IF(INDEX($AB$2:$AQ$1001,MATCH(ROWS($U$2:U249),$U$2:$U$1001,0),MATCH(COLUMNS($AB$1006:AD1006),$AB$1006:$AQ$1006,0)), HYPERLINK("#",""), HYPERLINK(CONCATENATE("#metadata!", ADDRESS(INDEX($W$2:$W$1001,MATCH(ROWS($U$2:U249),$U$2:$U$1001,0),0), INDEX($AB$1004:$AQ$1004,1,MATCH(COLUMNS($AB$1006:AD1006),$AB$1006:$AQ$1006,0)))),"Fix")))</f>
        <v>0</v>
      </c>
      <c r="E249" s="4">
        <f>IF(OR(INDEX($V$2:$V$1001,MATCH(ROWS($U$2:U249),$U$2:$U$1001,0),1)&gt;=100000,INDEX($AB$1005:$AQ$1005,1,MATCH(COLUMNS($AB$1006:AE1006),$AB$1006:$AQ$1006,0))&gt;=100000), " ",IF(INDEX($AB$2:$AQ$1001,MATCH(ROWS($U$2:U249),$U$2:$U$1001,0),MATCH(COLUMNS($AB$1006:AE1006),$AB$1006:$AQ$1006,0)), HYPERLINK("#",""), HYPERLINK(CONCATENATE("#metadata!", ADDRESS(INDEX($W$2:$W$1001,MATCH(ROWS($U$2:U249),$U$2:$U$1001,0),0), INDEX($AB$1004:$AQ$1004,1,MATCH(COLUMNS($AB$1006:AE1006),$AB$1006:$AQ$1006,0)))),"Fix")))</f>
        <v>0</v>
      </c>
      <c r="F249" s="4">
        <f>IF(OR(INDEX($V$2:$V$1001,MATCH(ROWS($U$2:U249),$U$2:$U$1001,0),1)&gt;=100000,INDEX($AB$1005:$AQ$1005,1,MATCH(COLUMNS($AB$1006:AF1006),$AB$1006:$AQ$1006,0))&gt;=100000), " ",IF(INDEX($AB$2:$AQ$1001,MATCH(ROWS($U$2:U249),$U$2:$U$1001,0),MATCH(COLUMNS($AB$1006:AF1006),$AB$1006:$AQ$1006,0)), HYPERLINK("#",""), HYPERLINK(CONCATENATE("#metadata!", ADDRESS(INDEX($W$2:$W$1001,MATCH(ROWS($U$2:U249),$U$2:$U$1001,0),0), INDEX($AB$1004:$AQ$1004,1,MATCH(COLUMNS($AB$1006:AF1006),$AB$1006:$AQ$1006,0)))),"Fix")))</f>
        <v>0</v>
      </c>
      <c r="G249" s="4">
        <f>IF(OR(INDEX($V$2:$V$1001,MATCH(ROWS($U$2:U249),$U$2:$U$1001,0),1)&gt;=100000,INDEX($AB$1005:$AQ$1005,1,MATCH(COLUMNS($AB$1006:AG1006),$AB$1006:$AQ$1006,0))&gt;=100000), " ",IF(INDEX($AB$2:$AQ$1001,MATCH(ROWS($U$2:U249),$U$2:$U$1001,0),MATCH(COLUMNS($AB$1006:AG1006),$AB$1006:$AQ$1006,0)), HYPERLINK("#",""), HYPERLINK(CONCATENATE("#metadata!", ADDRESS(INDEX($W$2:$W$1001,MATCH(ROWS($U$2:U249),$U$2:$U$1001,0),0), INDEX($AB$1004:$AQ$1004,1,MATCH(COLUMNS($AB$1006:AG1006),$AB$1006:$AQ$1006,0)))),"Fix")))</f>
        <v>0</v>
      </c>
      <c r="H249" s="4">
        <f>IF(OR(INDEX($V$2:$V$1001,MATCH(ROWS($U$2:U249),$U$2:$U$1001,0),1)&gt;=100000,INDEX($AB$1005:$AQ$1005,1,MATCH(COLUMNS($AB$1006:AH1006),$AB$1006:$AQ$1006,0))&gt;=100000), " ",IF(INDEX($AB$2:$AQ$1001,MATCH(ROWS($U$2:U249),$U$2:$U$1001,0),MATCH(COLUMNS($AB$1006:AH1006),$AB$1006:$AQ$1006,0)), HYPERLINK("#",""), HYPERLINK(CONCATENATE("#metadata!", ADDRESS(INDEX($W$2:$W$1001,MATCH(ROWS($U$2:U249),$U$2:$U$1001,0),0), INDEX($AB$1004:$AQ$1004,1,MATCH(COLUMNS($AB$1006:AH1006),$AB$1006:$AQ$1006,0)))),"Fix")))</f>
        <v>0</v>
      </c>
      <c r="I249" s="4">
        <f>IF(OR(INDEX($V$2:$V$1001,MATCH(ROWS($U$2:U249),$U$2:$U$1001,0),1)&gt;=100000,INDEX($AB$1005:$AQ$1005,1,MATCH(COLUMNS($AB$1006:AI1006),$AB$1006:$AQ$1006,0))&gt;=100000), " ",IF(INDEX($AB$2:$AQ$1001,MATCH(ROWS($U$2:U249),$U$2:$U$1001,0),MATCH(COLUMNS($AB$1006:AI1006),$AB$1006:$AQ$1006,0)), HYPERLINK("#",""), HYPERLINK(CONCATENATE("#metadata!", ADDRESS(INDEX($W$2:$W$1001,MATCH(ROWS($U$2:U249),$U$2:$U$1001,0),0), INDEX($AB$1004:$AQ$1004,1,MATCH(COLUMNS($AB$1006:AI1006),$AB$1006:$AQ$1006,0)))),"Fix")))</f>
        <v>0</v>
      </c>
      <c r="J249" s="4">
        <f>IF(OR(INDEX($V$2:$V$1001,MATCH(ROWS($U$2:U249),$U$2:$U$1001,0),1)&gt;=100000,INDEX($AB$1005:$AQ$1005,1,MATCH(COLUMNS($AB$1006:AJ1006),$AB$1006:$AQ$1006,0))&gt;=100000), " ",IF(INDEX($AB$2:$AQ$1001,MATCH(ROWS($U$2:U249),$U$2:$U$1001,0),MATCH(COLUMNS($AB$1006:AJ1006),$AB$1006:$AQ$1006,0)), HYPERLINK("#",""), HYPERLINK(CONCATENATE("#metadata!", ADDRESS(INDEX($W$2:$W$1001,MATCH(ROWS($U$2:U249),$U$2:$U$1001,0),0), INDEX($AB$1004:$AQ$1004,1,MATCH(COLUMNS($AB$1006:AJ1006),$AB$1006:$AQ$1006,0)))),"Fix")))</f>
        <v>0</v>
      </c>
      <c r="K249" s="4">
        <f>IF(OR(INDEX($V$2:$V$1001,MATCH(ROWS($U$2:U249),$U$2:$U$1001,0),1)&gt;=100000,INDEX($AB$1005:$AQ$1005,1,MATCH(COLUMNS($AB$1006:AK1006),$AB$1006:$AQ$1006,0))&gt;=100000), " ",IF(INDEX($AB$2:$AQ$1001,MATCH(ROWS($U$2:U249),$U$2:$U$1001,0),MATCH(COLUMNS($AB$1006:AK1006),$AB$1006:$AQ$1006,0)), HYPERLINK("#",""), HYPERLINK(CONCATENATE("#metadata!", ADDRESS(INDEX($W$2:$W$1001,MATCH(ROWS($U$2:U249),$U$2:$U$1001,0),0), INDEX($AB$1004:$AQ$1004,1,MATCH(COLUMNS($AB$1006:AK1006),$AB$1006:$AQ$1006,0)))),"Fix")))</f>
        <v>0</v>
      </c>
      <c r="L249" s="4">
        <f>IF(OR(INDEX($V$2:$V$1001,MATCH(ROWS($U$2:U249),$U$2:$U$1001,0),1)&gt;=100000,INDEX($AB$1005:$AQ$1005,1,MATCH(COLUMNS($AB$1006:AL1006),$AB$1006:$AQ$1006,0))&gt;=100000), " ",IF(INDEX($AB$2:$AQ$1001,MATCH(ROWS($U$2:U249),$U$2:$U$1001,0),MATCH(COLUMNS($AB$1006:AL1006),$AB$1006:$AQ$1006,0)), HYPERLINK("#",""), HYPERLINK(CONCATENATE("#metadata!", ADDRESS(INDEX($W$2:$W$1001,MATCH(ROWS($U$2:U249),$U$2:$U$1001,0),0), INDEX($AB$1004:$AQ$1004,1,MATCH(COLUMNS($AB$1006:AL1006),$AB$1006:$AQ$1006,0)))),"Fix")))</f>
        <v>0</v>
      </c>
      <c r="M249" s="4">
        <f>IF(OR(INDEX($V$2:$V$1001,MATCH(ROWS($U$2:U249),$U$2:$U$1001,0),1)&gt;=100000,INDEX($AB$1005:$AQ$1005,1,MATCH(COLUMNS($AB$1006:AM1006),$AB$1006:$AQ$1006,0))&gt;=100000), " ",IF(INDEX($AB$2:$AQ$1001,MATCH(ROWS($U$2:U249),$U$2:$U$1001,0),MATCH(COLUMNS($AB$1006:AM1006),$AB$1006:$AQ$1006,0)), HYPERLINK("#",""), HYPERLINK(CONCATENATE("#metadata!", ADDRESS(INDEX($W$2:$W$1001,MATCH(ROWS($U$2:U249),$U$2:$U$1001,0),0), INDEX($AB$1004:$AQ$1004,1,MATCH(COLUMNS($AB$1006:AM1006),$AB$1006:$AQ$1006,0)))),"Fix")))</f>
        <v>0</v>
      </c>
      <c r="N249" s="4">
        <f>IF(OR(INDEX($V$2:$V$1001,MATCH(ROWS($U$2:U249),$U$2:$U$1001,0),1)&gt;=100000,INDEX($AB$1005:$AQ$1005,1,MATCH(COLUMNS($AB$1006:AN1006),$AB$1006:$AQ$1006,0))&gt;=100000), " ",IF(INDEX($AB$2:$AQ$1001,MATCH(ROWS($U$2:U249),$U$2:$U$1001,0),MATCH(COLUMNS($AB$1006:AN1006),$AB$1006:$AQ$1006,0)), HYPERLINK("#",""), HYPERLINK(CONCATENATE("#metadata!", ADDRESS(INDEX($W$2:$W$1001,MATCH(ROWS($U$2:U249),$U$2:$U$1001,0),0), INDEX($AB$1004:$AQ$1004,1,MATCH(COLUMNS($AB$1006:AN1006),$AB$1006:$AQ$1006,0)))),"Fix")))</f>
        <v>0</v>
      </c>
      <c r="O249" s="4">
        <f>IF(OR(INDEX($V$2:$V$1001,MATCH(ROWS($U$2:U249),$U$2:$U$1001,0),1)&gt;=100000,INDEX($AB$1005:$AQ$1005,1,MATCH(COLUMNS($AB$1006:AO1006),$AB$1006:$AQ$1006,0))&gt;=100000), " ",IF(INDEX($AB$2:$AQ$1001,MATCH(ROWS($U$2:U249),$U$2:$U$1001,0),MATCH(COLUMNS($AB$1006:AO1006),$AB$1006:$AQ$1006,0)), HYPERLINK("#",""), HYPERLINK(CONCATENATE("#metadata!", ADDRESS(INDEX($W$2:$W$1001,MATCH(ROWS($U$2:U249),$U$2:$U$1001,0),0), INDEX($AB$1004:$AQ$1004,1,MATCH(COLUMNS($AB$1006:AO1006),$AB$1006:$AQ$1006,0)))),"Fix")))</f>
        <v>0</v>
      </c>
      <c r="P249" s="4">
        <f>IF(OR(INDEX($V$2:$V$1001,MATCH(ROWS($U$2:U249),$U$2:$U$1001,0),1)&gt;=100000,INDEX($AB$1005:$AQ$1005,1,MATCH(COLUMNS($AB$1006:AP1006),$AB$1006:$AQ$1006,0))&gt;=100000), " ",IF(INDEX($AB$2:$AQ$1001,MATCH(ROWS($U$2:U249),$U$2:$U$1001,0),MATCH(COLUMNS($AB$1006:AP1006),$AB$1006:$AQ$1006,0)), HYPERLINK("#",""), HYPERLINK(CONCATENATE("#metadata!", ADDRESS(INDEX($W$2:$W$1001,MATCH(ROWS($U$2:U249),$U$2:$U$1001,0),0), INDEX($AB$1004:$AQ$1004,1,MATCH(COLUMNS($AB$1006:AP1006),$AB$1006:$AQ$1006,0)))),"Fix")))</f>
        <v>0</v>
      </c>
      <c r="Q249" s="4">
        <f>IF(OR(INDEX($V$2:$V$1001,MATCH(ROWS($U$2:U249),$U$2:$U$1001,0),1)&gt;=100000,INDEX($AB$1005:$AQ$1005,1,MATCH(COLUMNS($AB$1006:AQ1006),$AB$1006:$AQ$1006,0))&gt;=100000), " ",IF(INDEX($AB$2:$AQ$1001,MATCH(ROWS($U$2:U249),$U$2:$U$1001,0),MATCH(COLUMNS($AB$1006:AQ1006),$AB$1006:$AQ$1006,0)), HYPERLINK("#",""), HYPERLINK(CONCATENATE("#metadata!", ADDRESS(INDEX($W$2:$W$1001,MATCH(ROWS($U$2:U249),$U$2:$U$1001,0),0), INDEX($AB$1004:$AQ$1004,1,MATCH(COLUMNS($AB$1006:AQ1006),$AB$1006:$AQ$1006,0)))),"Fix")))</f>
        <v>0</v>
      </c>
      <c r="U249">
        <v>0</v>
      </c>
      <c r="V249">
        <v>0</v>
      </c>
      <c r="W249">
        <v>0</v>
      </c>
      <c r="X249">
        <f>IF(Y249,TRUE,AND(AB249:AQ249))</f>
        <v>0</v>
      </c>
      <c r="Y249">
        <f>COUNTBLANK(metadata!B249:Q249)=COLUMNS(metadata!B249:Q249)</f>
        <v>0</v>
      </c>
      <c r="Z249">
        <v>0</v>
      </c>
      <c r="AB249">
        <f>AND(IF(metadata!B249="",FALSE,TRUE),COUNTIF(metadata!B:B, metadata!B249) = 1,NOT(ISERROR(SUMPRODUCT(SEARCH(MID(metadata!B249,ROW(INDIRECT("1:"&amp;LEN(metadata!B249))), 1),"0123456789abcdefghijklmnopqrstuvwxyzABCDEFGHIJKLMNOPQRSTUVWXYZ.")))))</f>
        <v>0</v>
      </c>
      <c r="AC249">
        <f>OR(AND(IF(metadata!C249="",FALSE,TRUE),OR(exact(metadata!C249,"missing: not collected"),exact(metadata!C249,"missing: not provided"),exact(metadata!C249,"missing: restricted access"))),AND(IF(metadata!C249="",FALSE,TRUE),AND(AND(IFERROR(INT(LEFT(metadata!C249,4))&gt;1900,FALSE),IFERROR(INT(LEFT(metadata!C249,4))&lt;=YEAR(NOW()),FALSE)), OR(MID(metadata!C249,5,1)="", AND(AND(MID(metadata!C249,5,1)="-",IFERROR(INT(MID(metadata!C249,6,1))&gt;=0,FALSE),IFERROR(INT(MID(metadata!C249,6,1))&lt;=1,FALSE),NOT(MID(metadata!C249,7,1)=""),IFERROR(INT(MID(metadata!C249,6,2))&gt;=1,FALSE),IFERROR(INT(MID(metadata!C249,6,2))&lt;=12,FALSE)), OR(MID(metadata!C249,8,1)="", AND(AND(MID(metadata!C249,8,1)="-",IFERROR(INT(MID(metadata!C249,9,1))&gt;=0,FALSE),IFERROR(INT(MID(metadata!C249,9,1))&lt;=3,FALSE),NOT(MID(metadata!C249,10,1)=""),IFERROR(INT(MID(metadata!C249,9,2))&gt;=1,FALSE),IFERROR(INT(MID(metadata!C249,9,2))&lt;=31,FALSE)), OR(MID(metadata!C249,11,1)="", AND(AND(MID(metadata!C249,11,1)=" ",IFERROR(INT(MID(metadata!C249,12,1))&gt;=0,FALSE),IFERROR(INT(MID(metadata!C249,12,1))&lt;=2,FALSE),NOT(MID(metadata!C249,13,1)=""),IFERROR(INT(MID(metadata!C249,12,2))&gt;=0,FALSE),IFERROR(INT(MID(metadata!C249,12,2))&lt;=23,FALSE)), OR(MID(metadata!C249,14,1)="", AND(AND(MID(metadata!C249,14,1)=":",IFERROR(INT(MID(metadata!C249,15,1))&gt;=0,FALSE),IFERROR(INT(MID(metadata!C249,15,1))&lt;=5,FALSE),NOT(MID(metadata!C249,16,1)=""),IFERROR(INT(MID(metadata!C249,15,2))&gt;=0,FALSE),IFERROR(INT(MID(metadata!C249,15,2))&lt;=59,FALSE)), OR(MID(metadata!C249,17,1)="", AND(AND(MID(metadata!C249,17,1)=":",IFERROR(INT(MID(metadata!C249,18,1))&gt;=0,FALSE),IFERROR(INT(MID(metadata!C249,18,1))&lt;=5,FALSE),NOT(MID(metadata!C249,19,1)=""),IFERROR(INT(MID(metadata!C249,18,2))&gt;=0,FALSE),IFERROR(INT(MID(metadata!C249,18,2))&lt;=59,FALSE)), LEN(metadata!C249)&lt;=19)))))))))))))</f>
        <v>0</v>
      </c>
      <c r="AD249">
        <f>IF(metadata!D249="",FALSE,TRUE)</f>
        <v>0</v>
      </c>
      <c r="AE249">
        <f>OR(AND(IF(metadata!E249="",FALSE,TRUE),OR(exact(metadata!E249,"missing: not collected"),exact(metadata!E249,"missing: not provided"))),AND(IF(metadata!E249="",FALSE,TRUE),OR(exact(metadata!E249,"TRUE"),exact(metadata!E249,"FALSE"))))</f>
        <v>0</v>
      </c>
      <c r="AF249">
        <f>IF(metadata!F249="",FALSE,TRUE)</f>
        <v>0</v>
      </c>
      <c r="AG249">
        <f>IF(metadata!G249="",FALSE,TRUE)</f>
        <v>0</v>
      </c>
      <c r="AH249">
        <f>IF(metadata!H249="",FALSE,TRUE)</f>
        <v>0</v>
      </c>
      <c r="AI249">
        <f>OR(AND(IF(metadata!I249="",FALSE,TRUE),OR(exact(metadata!I249,"missing: not collected"),exact(metadata!I249,"missing: not provided"),exact(metadata!I249,"missing: restricted access"))),AND(IF(metadata!I249="",FALSE,TRUE),OR(exact(metadata!I249,"air"),exact(metadata!I249,"built environment"),exact(metadata!I249,"host-associated"),exact(metadata!I249,"human-associated"),exact(metadata!I249,"human-skin"),exact(metadata!I249,"human-oral"),exact(metadata!I249,"human-gut"),exact(metadata!I249,"human-vaginal"),exact(metadata!I249,"microbial mat/biofilm"),exact(metadata!I249,"misc environment"),exact(metadata!I249,"plant-associated"),exact(metadata!I249,"sediment"),exact(metadata!I249,"soil"),exact(metadata!I249,"wastewater/sludge"),exact(metadata!I249,"water"))))</f>
        <v>0</v>
      </c>
      <c r="AJ249">
        <f>IF(metadata!J249="",FALSE,TRUE)</f>
        <v>0</v>
      </c>
      <c r="AK249">
        <f>OR(AND(IF(metadata!K249="",FALSE,TRUE),OR(exact(metadata!K249,"missing: not collected"),exact(metadata!K249,"missing: not provided"),exact(metadata!K249,"missing: restricted access"))),AND(IF(metadata!K249="",FALSE,ISNUMBER(VALUE(metadata!K249))),metadata!K249&gt;=-90.00,metadata!K249&lt;=90.00))</f>
        <v>0</v>
      </c>
      <c r="AL249">
        <f>OR(AND(IF(metadata!L249="",FALSE,TRUE),OR(exact(metadata!L249,"missing: not collected"),exact(metadata!L249,"missing: not provided"),exact(metadata!L249,"missing: restricted access"))),AND(IF(metadata!L249="",FALSE,ISNUMBER(VALUE(metadata!L249))),metadata!L249&gt;=-180.00,metadata!L249&lt;=180.00))</f>
        <v>0</v>
      </c>
      <c r="AM249">
        <f>IF(metadata!M249="",FALSE,TRUE)</f>
        <v>0</v>
      </c>
      <c r="AN249">
        <f>OR(AND(IF(metadata!N249="",FALSE,TRUE),OR(exact(metadata!N249,"missing: not collected"),exact(metadata!N249,"missing: not provided"),exact(metadata!N249,"missing: restricted access"))),AND(IF(metadata!N249="",FALSE,TRUE),OR(exact(metadata!N249,"TRUE"),exact(metadata!N249,"FALSE"))))</f>
        <v>0</v>
      </c>
      <c r="AO249">
        <f>IF(metadata!O249="",FALSE,TRUE)</f>
        <v>0</v>
      </c>
      <c r="AP249">
        <f>OR(AND(IF(metadata!P249="",FALSE,TRUE),OR(exact(metadata!P249,"missing: not collected"),exact(metadata!P249,"missing: not provided"))),AND(IF(metadata!P249="",FALSE,IF(ISERROR(INT(metadata!P249)),FALSE,INT(metadata!P249)=metadata!P249)),metadata!P249&gt;0))</f>
        <v>0</v>
      </c>
      <c r="AQ249">
        <f>IF(metadata!Q249="",FALSE,TRUE)</f>
        <v>0</v>
      </c>
    </row>
    <row r="250" spans="1:43">
      <c r="A250" s="5">
        <f>IF(B250=" "," ",HYPERLINK(CONCATENATE("#metadata!",ADDRESS(INDEX($W$2:$W$1001,MATCH(ROWS($U$2:U250),$U$2:$U$1001,0),0),1)),INDEX($Z$2:$Z$1001,MATCH(ROWS($U$2:U250),$U$2:$U$1001,0),0)))</f>
        <v>0</v>
      </c>
      <c r="B250" s="4">
        <f>IF(OR(INDEX($V$2:$V$1001,MATCH(ROWS($U$2:U250),$U$2:$U$1001,0),1)&gt;=100000,INDEX($AB$1005:$AQ$1005,1,MATCH(COLUMNS($AB$1006:AB1006),$AB$1006:$AQ$1006,0))&gt;=100000), " ",IF(INDEX($AB$2:$AQ$1001,MATCH(ROWS($U$2:U250),$U$2:$U$1001,0),MATCH(COLUMNS($AB$1006:AB1006),$AB$1006:$AQ$1006,0)), HYPERLINK("#",""), HYPERLINK(CONCATENATE("#metadata!", ADDRESS(INDEX($W$2:$W$1001,MATCH(ROWS($U$2:U250),$U$2:$U$1001,0),0), INDEX($AB$1004:$AQ$1004,1,MATCH(COLUMNS($AB$1006:AB1006),$AB$1006:$AQ$1006,0)))),"Fix")))</f>
        <v>0</v>
      </c>
      <c r="C250" s="4">
        <f>IF(OR(INDEX($V$2:$V$1001,MATCH(ROWS($U$2:U250),$U$2:$U$1001,0),1)&gt;=100000,INDEX($AB$1005:$AQ$1005,1,MATCH(COLUMNS($AB$1006:AC1006),$AB$1006:$AQ$1006,0))&gt;=100000), " ",IF(INDEX($AB$2:$AQ$1001,MATCH(ROWS($U$2:U250),$U$2:$U$1001,0),MATCH(COLUMNS($AB$1006:AC1006),$AB$1006:$AQ$1006,0)), HYPERLINK("#",""), HYPERLINK(CONCATENATE("#metadata!", ADDRESS(INDEX($W$2:$W$1001,MATCH(ROWS($U$2:U250),$U$2:$U$1001,0),0), INDEX($AB$1004:$AQ$1004,1,MATCH(COLUMNS($AB$1006:AC1006),$AB$1006:$AQ$1006,0)))),"Fix")))</f>
        <v>0</v>
      </c>
      <c r="D250" s="4">
        <f>IF(OR(INDEX($V$2:$V$1001,MATCH(ROWS($U$2:U250),$U$2:$U$1001,0),1)&gt;=100000,INDEX($AB$1005:$AQ$1005,1,MATCH(COLUMNS($AB$1006:AD1006),$AB$1006:$AQ$1006,0))&gt;=100000), " ",IF(INDEX($AB$2:$AQ$1001,MATCH(ROWS($U$2:U250),$U$2:$U$1001,0),MATCH(COLUMNS($AB$1006:AD1006),$AB$1006:$AQ$1006,0)), HYPERLINK("#",""), HYPERLINK(CONCATENATE("#metadata!", ADDRESS(INDEX($W$2:$W$1001,MATCH(ROWS($U$2:U250),$U$2:$U$1001,0),0), INDEX($AB$1004:$AQ$1004,1,MATCH(COLUMNS($AB$1006:AD1006),$AB$1006:$AQ$1006,0)))),"Fix")))</f>
        <v>0</v>
      </c>
      <c r="E250" s="4">
        <f>IF(OR(INDEX($V$2:$V$1001,MATCH(ROWS($U$2:U250),$U$2:$U$1001,0),1)&gt;=100000,INDEX($AB$1005:$AQ$1005,1,MATCH(COLUMNS($AB$1006:AE1006),$AB$1006:$AQ$1006,0))&gt;=100000), " ",IF(INDEX($AB$2:$AQ$1001,MATCH(ROWS($U$2:U250),$U$2:$U$1001,0),MATCH(COLUMNS($AB$1006:AE1006),$AB$1006:$AQ$1006,0)), HYPERLINK("#",""), HYPERLINK(CONCATENATE("#metadata!", ADDRESS(INDEX($W$2:$W$1001,MATCH(ROWS($U$2:U250),$U$2:$U$1001,0),0), INDEX($AB$1004:$AQ$1004,1,MATCH(COLUMNS($AB$1006:AE1006),$AB$1006:$AQ$1006,0)))),"Fix")))</f>
        <v>0</v>
      </c>
      <c r="F250" s="4">
        <f>IF(OR(INDEX($V$2:$V$1001,MATCH(ROWS($U$2:U250),$U$2:$U$1001,0),1)&gt;=100000,INDEX($AB$1005:$AQ$1005,1,MATCH(COLUMNS($AB$1006:AF1006),$AB$1006:$AQ$1006,0))&gt;=100000), " ",IF(INDEX($AB$2:$AQ$1001,MATCH(ROWS($U$2:U250),$U$2:$U$1001,0),MATCH(COLUMNS($AB$1006:AF1006),$AB$1006:$AQ$1006,0)), HYPERLINK("#",""), HYPERLINK(CONCATENATE("#metadata!", ADDRESS(INDEX($W$2:$W$1001,MATCH(ROWS($U$2:U250),$U$2:$U$1001,0),0), INDEX($AB$1004:$AQ$1004,1,MATCH(COLUMNS($AB$1006:AF1006),$AB$1006:$AQ$1006,0)))),"Fix")))</f>
        <v>0</v>
      </c>
      <c r="G250" s="4">
        <f>IF(OR(INDEX($V$2:$V$1001,MATCH(ROWS($U$2:U250),$U$2:$U$1001,0),1)&gt;=100000,INDEX($AB$1005:$AQ$1005,1,MATCH(COLUMNS($AB$1006:AG1006),$AB$1006:$AQ$1006,0))&gt;=100000), " ",IF(INDEX($AB$2:$AQ$1001,MATCH(ROWS($U$2:U250),$U$2:$U$1001,0),MATCH(COLUMNS($AB$1006:AG1006),$AB$1006:$AQ$1006,0)), HYPERLINK("#",""), HYPERLINK(CONCATENATE("#metadata!", ADDRESS(INDEX($W$2:$W$1001,MATCH(ROWS($U$2:U250),$U$2:$U$1001,0),0), INDEX($AB$1004:$AQ$1004,1,MATCH(COLUMNS($AB$1006:AG1006),$AB$1006:$AQ$1006,0)))),"Fix")))</f>
        <v>0</v>
      </c>
      <c r="H250" s="4">
        <f>IF(OR(INDEX($V$2:$V$1001,MATCH(ROWS($U$2:U250),$U$2:$U$1001,0),1)&gt;=100000,INDEX($AB$1005:$AQ$1005,1,MATCH(COLUMNS($AB$1006:AH1006),$AB$1006:$AQ$1006,0))&gt;=100000), " ",IF(INDEX($AB$2:$AQ$1001,MATCH(ROWS($U$2:U250),$U$2:$U$1001,0),MATCH(COLUMNS($AB$1006:AH1006),$AB$1006:$AQ$1006,0)), HYPERLINK("#",""), HYPERLINK(CONCATENATE("#metadata!", ADDRESS(INDEX($W$2:$W$1001,MATCH(ROWS($U$2:U250),$U$2:$U$1001,0),0), INDEX($AB$1004:$AQ$1004,1,MATCH(COLUMNS($AB$1006:AH1006),$AB$1006:$AQ$1006,0)))),"Fix")))</f>
        <v>0</v>
      </c>
      <c r="I250" s="4">
        <f>IF(OR(INDEX($V$2:$V$1001,MATCH(ROWS($U$2:U250),$U$2:$U$1001,0),1)&gt;=100000,INDEX($AB$1005:$AQ$1005,1,MATCH(COLUMNS($AB$1006:AI1006),$AB$1006:$AQ$1006,0))&gt;=100000), " ",IF(INDEX($AB$2:$AQ$1001,MATCH(ROWS($U$2:U250),$U$2:$U$1001,0),MATCH(COLUMNS($AB$1006:AI1006),$AB$1006:$AQ$1006,0)), HYPERLINK("#",""), HYPERLINK(CONCATENATE("#metadata!", ADDRESS(INDEX($W$2:$W$1001,MATCH(ROWS($U$2:U250),$U$2:$U$1001,0),0), INDEX($AB$1004:$AQ$1004,1,MATCH(COLUMNS($AB$1006:AI1006),$AB$1006:$AQ$1006,0)))),"Fix")))</f>
        <v>0</v>
      </c>
      <c r="J250" s="4">
        <f>IF(OR(INDEX($V$2:$V$1001,MATCH(ROWS($U$2:U250),$U$2:$U$1001,0),1)&gt;=100000,INDEX($AB$1005:$AQ$1005,1,MATCH(COLUMNS($AB$1006:AJ1006),$AB$1006:$AQ$1006,0))&gt;=100000), " ",IF(INDEX($AB$2:$AQ$1001,MATCH(ROWS($U$2:U250),$U$2:$U$1001,0),MATCH(COLUMNS($AB$1006:AJ1006),$AB$1006:$AQ$1006,0)), HYPERLINK("#",""), HYPERLINK(CONCATENATE("#metadata!", ADDRESS(INDEX($W$2:$W$1001,MATCH(ROWS($U$2:U250),$U$2:$U$1001,0),0), INDEX($AB$1004:$AQ$1004,1,MATCH(COLUMNS($AB$1006:AJ1006),$AB$1006:$AQ$1006,0)))),"Fix")))</f>
        <v>0</v>
      </c>
      <c r="K250" s="4">
        <f>IF(OR(INDEX($V$2:$V$1001,MATCH(ROWS($U$2:U250),$U$2:$U$1001,0),1)&gt;=100000,INDEX($AB$1005:$AQ$1005,1,MATCH(COLUMNS($AB$1006:AK1006),$AB$1006:$AQ$1006,0))&gt;=100000), " ",IF(INDEX($AB$2:$AQ$1001,MATCH(ROWS($U$2:U250),$U$2:$U$1001,0),MATCH(COLUMNS($AB$1006:AK1006),$AB$1006:$AQ$1006,0)), HYPERLINK("#",""), HYPERLINK(CONCATENATE("#metadata!", ADDRESS(INDEX($W$2:$W$1001,MATCH(ROWS($U$2:U250),$U$2:$U$1001,0),0), INDEX($AB$1004:$AQ$1004,1,MATCH(COLUMNS($AB$1006:AK1006),$AB$1006:$AQ$1006,0)))),"Fix")))</f>
        <v>0</v>
      </c>
      <c r="L250" s="4">
        <f>IF(OR(INDEX($V$2:$V$1001,MATCH(ROWS($U$2:U250),$U$2:$U$1001,0),1)&gt;=100000,INDEX($AB$1005:$AQ$1005,1,MATCH(COLUMNS($AB$1006:AL1006),$AB$1006:$AQ$1006,0))&gt;=100000), " ",IF(INDEX($AB$2:$AQ$1001,MATCH(ROWS($U$2:U250),$U$2:$U$1001,0),MATCH(COLUMNS($AB$1006:AL1006),$AB$1006:$AQ$1006,0)), HYPERLINK("#",""), HYPERLINK(CONCATENATE("#metadata!", ADDRESS(INDEX($W$2:$W$1001,MATCH(ROWS($U$2:U250),$U$2:$U$1001,0),0), INDEX($AB$1004:$AQ$1004,1,MATCH(COLUMNS($AB$1006:AL1006),$AB$1006:$AQ$1006,0)))),"Fix")))</f>
        <v>0</v>
      </c>
      <c r="M250" s="4">
        <f>IF(OR(INDEX($V$2:$V$1001,MATCH(ROWS($U$2:U250),$U$2:$U$1001,0),1)&gt;=100000,INDEX($AB$1005:$AQ$1005,1,MATCH(COLUMNS($AB$1006:AM1006),$AB$1006:$AQ$1006,0))&gt;=100000), " ",IF(INDEX($AB$2:$AQ$1001,MATCH(ROWS($U$2:U250),$U$2:$U$1001,0),MATCH(COLUMNS($AB$1006:AM1006),$AB$1006:$AQ$1006,0)), HYPERLINK("#",""), HYPERLINK(CONCATENATE("#metadata!", ADDRESS(INDEX($W$2:$W$1001,MATCH(ROWS($U$2:U250),$U$2:$U$1001,0),0), INDEX($AB$1004:$AQ$1004,1,MATCH(COLUMNS($AB$1006:AM1006),$AB$1006:$AQ$1006,0)))),"Fix")))</f>
        <v>0</v>
      </c>
      <c r="N250" s="4">
        <f>IF(OR(INDEX($V$2:$V$1001,MATCH(ROWS($U$2:U250),$U$2:$U$1001,0),1)&gt;=100000,INDEX($AB$1005:$AQ$1005,1,MATCH(COLUMNS($AB$1006:AN1006),$AB$1006:$AQ$1006,0))&gt;=100000), " ",IF(INDEX($AB$2:$AQ$1001,MATCH(ROWS($U$2:U250),$U$2:$U$1001,0),MATCH(COLUMNS($AB$1006:AN1006),$AB$1006:$AQ$1006,0)), HYPERLINK("#",""), HYPERLINK(CONCATENATE("#metadata!", ADDRESS(INDEX($W$2:$W$1001,MATCH(ROWS($U$2:U250),$U$2:$U$1001,0),0), INDEX($AB$1004:$AQ$1004,1,MATCH(COLUMNS($AB$1006:AN1006),$AB$1006:$AQ$1006,0)))),"Fix")))</f>
        <v>0</v>
      </c>
      <c r="O250" s="4">
        <f>IF(OR(INDEX($V$2:$V$1001,MATCH(ROWS($U$2:U250),$U$2:$U$1001,0),1)&gt;=100000,INDEX($AB$1005:$AQ$1005,1,MATCH(COLUMNS($AB$1006:AO1006),$AB$1006:$AQ$1006,0))&gt;=100000), " ",IF(INDEX($AB$2:$AQ$1001,MATCH(ROWS($U$2:U250),$U$2:$U$1001,0),MATCH(COLUMNS($AB$1006:AO1006),$AB$1006:$AQ$1006,0)), HYPERLINK("#",""), HYPERLINK(CONCATENATE("#metadata!", ADDRESS(INDEX($W$2:$W$1001,MATCH(ROWS($U$2:U250),$U$2:$U$1001,0),0), INDEX($AB$1004:$AQ$1004,1,MATCH(COLUMNS($AB$1006:AO1006),$AB$1006:$AQ$1006,0)))),"Fix")))</f>
        <v>0</v>
      </c>
      <c r="P250" s="4">
        <f>IF(OR(INDEX($V$2:$V$1001,MATCH(ROWS($U$2:U250),$U$2:$U$1001,0),1)&gt;=100000,INDEX($AB$1005:$AQ$1005,1,MATCH(COLUMNS($AB$1006:AP1006),$AB$1006:$AQ$1006,0))&gt;=100000), " ",IF(INDEX($AB$2:$AQ$1001,MATCH(ROWS($U$2:U250),$U$2:$U$1001,0),MATCH(COLUMNS($AB$1006:AP1006),$AB$1006:$AQ$1006,0)), HYPERLINK("#",""), HYPERLINK(CONCATENATE("#metadata!", ADDRESS(INDEX($W$2:$W$1001,MATCH(ROWS($U$2:U250),$U$2:$U$1001,0),0), INDEX($AB$1004:$AQ$1004,1,MATCH(COLUMNS($AB$1006:AP1006),$AB$1006:$AQ$1006,0)))),"Fix")))</f>
        <v>0</v>
      </c>
      <c r="Q250" s="4">
        <f>IF(OR(INDEX($V$2:$V$1001,MATCH(ROWS($U$2:U250),$U$2:$U$1001,0),1)&gt;=100000,INDEX($AB$1005:$AQ$1005,1,MATCH(COLUMNS($AB$1006:AQ1006),$AB$1006:$AQ$1006,0))&gt;=100000), " ",IF(INDEX($AB$2:$AQ$1001,MATCH(ROWS($U$2:U250),$U$2:$U$1001,0),MATCH(COLUMNS($AB$1006:AQ1006),$AB$1006:$AQ$1006,0)), HYPERLINK("#",""), HYPERLINK(CONCATENATE("#metadata!", ADDRESS(INDEX($W$2:$W$1001,MATCH(ROWS($U$2:U250),$U$2:$U$1001,0),0), INDEX($AB$1004:$AQ$1004,1,MATCH(COLUMNS($AB$1006:AQ1006),$AB$1006:$AQ$1006,0)))),"Fix")))</f>
        <v>0</v>
      </c>
      <c r="U250">
        <v>0</v>
      </c>
      <c r="V250">
        <v>0</v>
      </c>
      <c r="W250">
        <v>0</v>
      </c>
      <c r="X250">
        <f>IF(Y250,TRUE,AND(AB250:AQ250))</f>
        <v>0</v>
      </c>
      <c r="Y250">
        <f>COUNTBLANK(metadata!B250:Q250)=COLUMNS(metadata!B250:Q250)</f>
        <v>0</v>
      </c>
      <c r="Z250">
        <v>0</v>
      </c>
      <c r="AB250">
        <f>AND(IF(metadata!B250="",FALSE,TRUE),COUNTIF(metadata!B:B, metadata!B250) = 1,NOT(ISERROR(SUMPRODUCT(SEARCH(MID(metadata!B250,ROW(INDIRECT("1:"&amp;LEN(metadata!B250))), 1),"0123456789abcdefghijklmnopqrstuvwxyzABCDEFGHIJKLMNOPQRSTUVWXYZ.")))))</f>
        <v>0</v>
      </c>
      <c r="AC250">
        <f>OR(AND(IF(metadata!C250="",FALSE,TRUE),OR(exact(metadata!C250,"missing: not collected"),exact(metadata!C250,"missing: not provided"),exact(metadata!C250,"missing: restricted access"))),AND(IF(metadata!C250="",FALSE,TRUE),AND(AND(IFERROR(INT(LEFT(metadata!C250,4))&gt;1900,FALSE),IFERROR(INT(LEFT(metadata!C250,4))&lt;=YEAR(NOW()),FALSE)), OR(MID(metadata!C250,5,1)="", AND(AND(MID(metadata!C250,5,1)="-",IFERROR(INT(MID(metadata!C250,6,1))&gt;=0,FALSE),IFERROR(INT(MID(metadata!C250,6,1))&lt;=1,FALSE),NOT(MID(metadata!C250,7,1)=""),IFERROR(INT(MID(metadata!C250,6,2))&gt;=1,FALSE),IFERROR(INT(MID(metadata!C250,6,2))&lt;=12,FALSE)), OR(MID(metadata!C250,8,1)="", AND(AND(MID(metadata!C250,8,1)="-",IFERROR(INT(MID(metadata!C250,9,1))&gt;=0,FALSE),IFERROR(INT(MID(metadata!C250,9,1))&lt;=3,FALSE),NOT(MID(metadata!C250,10,1)=""),IFERROR(INT(MID(metadata!C250,9,2))&gt;=1,FALSE),IFERROR(INT(MID(metadata!C250,9,2))&lt;=31,FALSE)), OR(MID(metadata!C250,11,1)="", AND(AND(MID(metadata!C250,11,1)=" ",IFERROR(INT(MID(metadata!C250,12,1))&gt;=0,FALSE),IFERROR(INT(MID(metadata!C250,12,1))&lt;=2,FALSE),NOT(MID(metadata!C250,13,1)=""),IFERROR(INT(MID(metadata!C250,12,2))&gt;=0,FALSE),IFERROR(INT(MID(metadata!C250,12,2))&lt;=23,FALSE)), OR(MID(metadata!C250,14,1)="", AND(AND(MID(metadata!C250,14,1)=":",IFERROR(INT(MID(metadata!C250,15,1))&gt;=0,FALSE),IFERROR(INT(MID(metadata!C250,15,1))&lt;=5,FALSE),NOT(MID(metadata!C250,16,1)=""),IFERROR(INT(MID(metadata!C250,15,2))&gt;=0,FALSE),IFERROR(INT(MID(metadata!C250,15,2))&lt;=59,FALSE)), OR(MID(metadata!C250,17,1)="", AND(AND(MID(metadata!C250,17,1)=":",IFERROR(INT(MID(metadata!C250,18,1))&gt;=0,FALSE),IFERROR(INT(MID(metadata!C250,18,1))&lt;=5,FALSE),NOT(MID(metadata!C250,19,1)=""),IFERROR(INT(MID(metadata!C250,18,2))&gt;=0,FALSE),IFERROR(INT(MID(metadata!C250,18,2))&lt;=59,FALSE)), LEN(metadata!C250)&lt;=19)))))))))))))</f>
        <v>0</v>
      </c>
      <c r="AD250">
        <f>IF(metadata!D250="",FALSE,TRUE)</f>
        <v>0</v>
      </c>
      <c r="AE250">
        <f>OR(AND(IF(metadata!E250="",FALSE,TRUE),OR(exact(metadata!E250,"missing: not collected"),exact(metadata!E250,"missing: not provided"))),AND(IF(metadata!E250="",FALSE,TRUE),OR(exact(metadata!E250,"TRUE"),exact(metadata!E250,"FALSE"))))</f>
        <v>0</v>
      </c>
      <c r="AF250">
        <f>IF(metadata!F250="",FALSE,TRUE)</f>
        <v>0</v>
      </c>
      <c r="AG250">
        <f>IF(metadata!G250="",FALSE,TRUE)</f>
        <v>0</v>
      </c>
      <c r="AH250">
        <f>IF(metadata!H250="",FALSE,TRUE)</f>
        <v>0</v>
      </c>
      <c r="AI250">
        <f>OR(AND(IF(metadata!I250="",FALSE,TRUE),OR(exact(metadata!I250,"missing: not collected"),exact(metadata!I250,"missing: not provided"),exact(metadata!I250,"missing: restricted access"))),AND(IF(metadata!I250="",FALSE,TRUE),OR(exact(metadata!I250,"air"),exact(metadata!I250,"built environment"),exact(metadata!I250,"host-associated"),exact(metadata!I250,"human-associated"),exact(metadata!I250,"human-skin"),exact(metadata!I250,"human-oral"),exact(metadata!I250,"human-gut"),exact(metadata!I250,"human-vaginal"),exact(metadata!I250,"microbial mat/biofilm"),exact(metadata!I250,"misc environment"),exact(metadata!I250,"plant-associated"),exact(metadata!I250,"sediment"),exact(metadata!I250,"soil"),exact(metadata!I250,"wastewater/sludge"),exact(metadata!I250,"water"))))</f>
        <v>0</v>
      </c>
      <c r="AJ250">
        <f>IF(metadata!J250="",FALSE,TRUE)</f>
        <v>0</v>
      </c>
      <c r="AK250">
        <f>OR(AND(IF(metadata!K250="",FALSE,TRUE),OR(exact(metadata!K250,"missing: not collected"),exact(metadata!K250,"missing: not provided"),exact(metadata!K250,"missing: restricted access"))),AND(IF(metadata!K250="",FALSE,ISNUMBER(VALUE(metadata!K250))),metadata!K250&gt;=-90.00,metadata!K250&lt;=90.00))</f>
        <v>0</v>
      </c>
      <c r="AL250">
        <f>OR(AND(IF(metadata!L250="",FALSE,TRUE),OR(exact(metadata!L250,"missing: not collected"),exact(metadata!L250,"missing: not provided"),exact(metadata!L250,"missing: restricted access"))),AND(IF(metadata!L250="",FALSE,ISNUMBER(VALUE(metadata!L250))),metadata!L250&gt;=-180.00,metadata!L250&lt;=180.00))</f>
        <v>0</v>
      </c>
      <c r="AM250">
        <f>IF(metadata!M250="",FALSE,TRUE)</f>
        <v>0</v>
      </c>
      <c r="AN250">
        <f>OR(AND(IF(metadata!N250="",FALSE,TRUE),OR(exact(metadata!N250,"missing: not collected"),exact(metadata!N250,"missing: not provided"),exact(metadata!N250,"missing: restricted access"))),AND(IF(metadata!N250="",FALSE,TRUE),OR(exact(metadata!N250,"TRUE"),exact(metadata!N250,"FALSE"))))</f>
        <v>0</v>
      </c>
      <c r="AO250">
        <f>IF(metadata!O250="",FALSE,TRUE)</f>
        <v>0</v>
      </c>
      <c r="AP250">
        <f>OR(AND(IF(metadata!P250="",FALSE,TRUE),OR(exact(metadata!P250,"missing: not collected"),exact(metadata!P250,"missing: not provided"))),AND(IF(metadata!P250="",FALSE,IF(ISERROR(INT(metadata!P250)),FALSE,INT(metadata!P250)=metadata!P250)),metadata!P250&gt;0))</f>
        <v>0</v>
      </c>
      <c r="AQ250">
        <f>IF(metadata!Q250="",FALSE,TRUE)</f>
        <v>0</v>
      </c>
    </row>
    <row r="251" spans="1:43">
      <c r="A251" s="5">
        <f>IF(B251=" "," ",HYPERLINK(CONCATENATE("#metadata!",ADDRESS(INDEX($W$2:$W$1001,MATCH(ROWS($U$2:U251),$U$2:$U$1001,0),0),1)),INDEX($Z$2:$Z$1001,MATCH(ROWS($U$2:U251),$U$2:$U$1001,0),0)))</f>
        <v>0</v>
      </c>
      <c r="B251" s="4">
        <f>IF(OR(INDEX($V$2:$V$1001,MATCH(ROWS($U$2:U251),$U$2:$U$1001,0),1)&gt;=100000,INDEX($AB$1005:$AQ$1005,1,MATCH(COLUMNS($AB$1006:AB1006),$AB$1006:$AQ$1006,0))&gt;=100000), " ",IF(INDEX($AB$2:$AQ$1001,MATCH(ROWS($U$2:U251),$U$2:$U$1001,0),MATCH(COLUMNS($AB$1006:AB1006),$AB$1006:$AQ$1006,0)), HYPERLINK("#",""), HYPERLINK(CONCATENATE("#metadata!", ADDRESS(INDEX($W$2:$W$1001,MATCH(ROWS($U$2:U251),$U$2:$U$1001,0),0), INDEX($AB$1004:$AQ$1004,1,MATCH(COLUMNS($AB$1006:AB1006),$AB$1006:$AQ$1006,0)))),"Fix")))</f>
        <v>0</v>
      </c>
      <c r="C251" s="4">
        <f>IF(OR(INDEX($V$2:$V$1001,MATCH(ROWS($U$2:U251),$U$2:$U$1001,0),1)&gt;=100000,INDEX($AB$1005:$AQ$1005,1,MATCH(COLUMNS($AB$1006:AC1006),$AB$1006:$AQ$1006,0))&gt;=100000), " ",IF(INDEX($AB$2:$AQ$1001,MATCH(ROWS($U$2:U251),$U$2:$U$1001,0),MATCH(COLUMNS($AB$1006:AC1006),$AB$1006:$AQ$1006,0)), HYPERLINK("#",""), HYPERLINK(CONCATENATE("#metadata!", ADDRESS(INDEX($W$2:$W$1001,MATCH(ROWS($U$2:U251),$U$2:$U$1001,0),0), INDEX($AB$1004:$AQ$1004,1,MATCH(COLUMNS($AB$1006:AC1006),$AB$1006:$AQ$1006,0)))),"Fix")))</f>
        <v>0</v>
      </c>
      <c r="D251" s="4">
        <f>IF(OR(INDEX($V$2:$V$1001,MATCH(ROWS($U$2:U251),$U$2:$U$1001,0),1)&gt;=100000,INDEX($AB$1005:$AQ$1005,1,MATCH(COLUMNS($AB$1006:AD1006),$AB$1006:$AQ$1006,0))&gt;=100000), " ",IF(INDEX($AB$2:$AQ$1001,MATCH(ROWS($U$2:U251),$U$2:$U$1001,0),MATCH(COLUMNS($AB$1006:AD1006),$AB$1006:$AQ$1006,0)), HYPERLINK("#",""), HYPERLINK(CONCATENATE("#metadata!", ADDRESS(INDEX($W$2:$W$1001,MATCH(ROWS($U$2:U251),$U$2:$U$1001,0),0), INDEX($AB$1004:$AQ$1004,1,MATCH(COLUMNS($AB$1006:AD1006),$AB$1006:$AQ$1006,0)))),"Fix")))</f>
        <v>0</v>
      </c>
      <c r="E251" s="4">
        <f>IF(OR(INDEX($V$2:$V$1001,MATCH(ROWS($U$2:U251),$U$2:$U$1001,0),1)&gt;=100000,INDEX($AB$1005:$AQ$1005,1,MATCH(COLUMNS($AB$1006:AE1006),$AB$1006:$AQ$1006,0))&gt;=100000), " ",IF(INDEX($AB$2:$AQ$1001,MATCH(ROWS($U$2:U251),$U$2:$U$1001,0),MATCH(COLUMNS($AB$1006:AE1006),$AB$1006:$AQ$1006,0)), HYPERLINK("#",""), HYPERLINK(CONCATENATE("#metadata!", ADDRESS(INDEX($W$2:$W$1001,MATCH(ROWS($U$2:U251),$U$2:$U$1001,0),0), INDEX($AB$1004:$AQ$1004,1,MATCH(COLUMNS($AB$1006:AE1006),$AB$1006:$AQ$1006,0)))),"Fix")))</f>
        <v>0</v>
      </c>
      <c r="F251" s="4">
        <f>IF(OR(INDEX($V$2:$V$1001,MATCH(ROWS($U$2:U251),$U$2:$U$1001,0),1)&gt;=100000,INDEX($AB$1005:$AQ$1005,1,MATCH(COLUMNS($AB$1006:AF1006),$AB$1006:$AQ$1006,0))&gt;=100000), " ",IF(INDEX($AB$2:$AQ$1001,MATCH(ROWS($U$2:U251),$U$2:$U$1001,0),MATCH(COLUMNS($AB$1006:AF1006),$AB$1006:$AQ$1006,0)), HYPERLINK("#",""), HYPERLINK(CONCATENATE("#metadata!", ADDRESS(INDEX($W$2:$W$1001,MATCH(ROWS($U$2:U251),$U$2:$U$1001,0),0), INDEX($AB$1004:$AQ$1004,1,MATCH(COLUMNS($AB$1006:AF1006),$AB$1006:$AQ$1006,0)))),"Fix")))</f>
        <v>0</v>
      </c>
      <c r="G251" s="4">
        <f>IF(OR(INDEX($V$2:$V$1001,MATCH(ROWS($U$2:U251),$U$2:$U$1001,0),1)&gt;=100000,INDEX($AB$1005:$AQ$1005,1,MATCH(COLUMNS($AB$1006:AG1006),$AB$1006:$AQ$1006,0))&gt;=100000), " ",IF(INDEX($AB$2:$AQ$1001,MATCH(ROWS($U$2:U251),$U$2:$U$1001,0),MATCH(COLUMNS($AB$1006:AG1006),$AB$1006:$AQ$1006,0)), HYPERLINK("#",""), HYPERLINK(CONCATENATE("#metadata!", ADDRESS(INDEX($W$2:$W$1001,MATCH(ROWS($U$2:U251),$U$2:$U$1001,0),0), INDEX($AB$1004:$AQ$1004,1,MATCH(COLUMNS($AB$1006:AG1006),$AB$1006:$AQ$1006,0)))),"Fix")))</f>
        <v>0</v>
      </c>
      <c r="H251" s="4">
        <f>IF(OR(INDEX($V$2:$V$1001,MATCH(ROWS($U$2:U251),$U$2:$U$1001,0),1)&gt;=100000,INDEX($AB$1005:$AQ$1005,1,MATCH(COLUMNS($AB$1006:AH1006),$AB$1006:$AQ$1006,0))&gt;=100000), " ",IF(INDEX($AB$2:$AQ$1001,MATCH(ROWS($U$2:U251),$U$2:$U$1001,0),MATCH(COLUMNS($AB$1006:AH1006),$AB$1006:$AQ$1006,0)), HYPERLINK("#",""), HYPERLINK(CONCATENATE("#metadata!", ADDRESS(INDEX($W$2:$W$1001,MATCH(ROWS($U$2:U251),$U$2:$U$1001,0),0), INDEX($AB$1004:$AQ$1004,1,MATCH(COLUMNS($AB$1006:AH1006),$AB$1006:$AQ$1006,0)))),"Fix")))</f>
        <v>0</v>
      </c>
      <c r="I251" s="4">
        <f>IF(OR(INDEX($V$2:$V$1001,MATCH(ROWS($U$2:U251),$U$2:$U$1001,0),1)&gt;=100000,INDEX($AB$1005:$AQ$1005,1,MATCH(COLUMNS($AB$1006:AI1006),$AB$1006:$AQ$1006,0))&gt;=100000), " ",IF(INDEX($AB$2:$AQ$1001,MATCH(ROWS($U$2:U251),$U$2:$U$1001,0),MATCH(COLUMNS($AB$1006:AI1006),$AB$1006:$AQ$1006,0)), HYPERLINK("#",""), HYPERLINK(CONCATENATE("#metadata!", ADDRESS(INDEX($W$2:$W$1001,MATCH(ROWS($U$2:U251),$U$2:$U$1001,0),0), INDEX($AB$1004:$AQ$1004,1,MATCH(COLUMNS($AB$1006:AI1006),$AB$1006:$AQ$1006,0)))),"Fix")))</f>
        <v>0</v>
      </c>
      <c r="J251" s="4">
        <f>IF(OR(INDEX($V$2:$V$1001,MATCH(ROWS($U$2:U251),$U$2:$U$1001,0),1)&gt;=100000,INDEX($AB$1005:$AQ$1005,1,MATCH(COLUMNS($AB$1006:AJ1006),$AB$1006:$AQ$1006,0))&gt;=100000), " ",IF(INDEX($AB$2:$AQ$1001,MATCH(ROWS($U$2:U251),$U$2:$U$1001,0),MATCH(COLUMNS($AB$1006:AJ1006),$AB$1006:$AQ$1006,0)), HYPERLINK("#",""), HYPERLINK(CONCATENATE("#metadata!", ADDRESS(INDEX($W$2:$W$1001,MATCH(ROWS($U$2:U251),$U$2:$U$1001,0),0), INDEX($AB$1004:$AQ$1004,1,MATCH(COLUMNS($AB$1006:AJ1006),$AB$1006:$AQ$1006,0)))),"Fix")))</f>
        <v>0</v>
      </c>
      <c r="K251" s="4">
        <f>IF(OR(INDEX($V$2:$V$1001,MATCH(ROWS($U$2:U251),$U$2:$U$1001,0),1)&gt;=100000,INDEX($AB$1005:$AQ$1005,1,MATCH(COLUMNS($AB$1006:AK1006),$AB$1006:$AQ$1006,0))&gt;=100000), " ",IF(INDEX($AB$2:$AQ$1001,MATCH(ROWS($U$2:U251),$U$2:$U$1001,0),MATCH(COLUMNS($AB$1006:AK1006),$AB$1006:$AQ$1006,0)), HYPERLINK("#",""), HYPERLINK(CONCATENATE("#metadata!", ADDRESS(INDEX($W$2:$W$1001,MATCH(ROWS($U$2:U251),$U$2:$U$1001,0),0), INDEX($AB$1004:$AQ$1004,1,MATCH(COLUMNS($AB$1006:AK1006),$AB$1006:$AQ$1006,0)))),"Fix")))</f>
        <v>0</v>
      </c>
      <c r="L251" s="4">
        <f>IF(OR(INDEX($V$2:$V$1001,MATCH(ROWS($U$2:U251),$U$2:$U$1001,0),1)&gt;=100000,INDEX($AB$1005:$AQ$1005,1,MATCH(COLUMNS($AB$1006:AL1006),$AB$1006:$AQ$1006,0))&gt;=100000), " ",IF(INDEX($AB$2:$AQ$1001,MATCH(ROWS($U$2:U251),$U$2:$U$1001,0),MATCH(COLUMNS($AB$1006:AL1006),$AB$1006:$AQ$1006,0)), HYPERLINK("#",""), HYPERLINK(CONCATENATE("#metadata!", ADDRESS(INDEX($W$2:$W$1001,MATCH(ROWS($U$2:U251),$U$2:$U$1001,0),0), INDEX($AB$1004:$AQ$1004,1,MATCH(COLUMNS($AB$1006:AL1006),$AB$1006:$AQ$1006,0)))),"Fix")))</f>
        <v>0</v>
      </c>
      <c r="M251" s="4">
        <f>IF(OR(INDEX($V$2:$V$1001,MATCH(ROWS($U$2:U251),$U$2:$U$1001,0),1)&gt;=100000,INDEX($AB$1005:$AQ$1005,1,MATCH(COLUMNS($AB$1006:AM1006),$AB$1006:$AQ$1006,0))&gt;=100000), " ",IF(INDEX($AB$2:$AQ$1001,MATCH(ROWS($U$2:U251),$U$2:$U$1001,0),MATCH(COLUMNS($AB$1006:AM1006),$AB$1006:$AQ$1006,0)), HYPERLINK("#",""), HYPERLINK(CONCATENATE("#metadata!", ADDRESS(INDEX($W$2:$W$1001,MATCH(ROWS($U$2:U251),$U$2:$U$1001,0),0), INDEX($AB$1004:$AQ$1004,1,MATCH(COLUMNS($AB$1006:AM1006),$AB$1006:$AQ$1006,0)))),"Fix")))</f>
        <v>0</v>
      </c>
      <c r="N251" s="4">
        <f>IF(OR(INDEX($V$2:$V$1001,MATCH(ROWS($U$2:U251),$U$2:$U$1001,0),1)&gt;=100000,INDEX($AB$1005:$AQ$1005,1,MATCH(COLUMNS($AB$1006:AN1006),$AB$1006:$AQ$1006,0))&gt;=100000), " ",IF(INDEX($AB$2:$AQ$1001,MATCH(ROWS($U$2:U251),$U$2:$U$1001,0),MATCH(COLUMNS($AB$1006:AN1006),$AB$1006:$AQ$1006,0)), HYPERLINK("#",""), HYPERLINK(CONCATENATE("#metadata!", ADDRESS(INDEX($W$2:$W$1001,MATCH(ROWS($U$2:U251),$U$2:$U$1001,0),0), INDEX($AB$1004:$AQ$1004,1,MATCH(COLUMNS($AB$1006:AN1006),$AB$1006:$AQ$1006,0)))),"Fix")))</f>
        <v>0</v>
      </c>
      <c r="O251" s="4">
        <f>IF(OR(INDEX($V$2:$V$1001,MATCH(ROWS($U$2:U251),$U$2:$U$1001,0),1)&gt;=100000,INDEX($AB$1005:$AQ$1005,1,MATCH(COLUMNS($AB$1006:AO1006),$AB$1006:$AQ$1006,0))&gt;=100000), " ",IF(INDEX($AB$2:$AQ$1001,MATCH(ROWS($U$2:U251),$U$2:$U$1001,0),MATCH(COLUMNS($AB$1006:AO1006),$AB$1006:$AQ$1006,0)), HYPERLINK("#",""), HYPERLINK(CONCATENATE("#metadata!", ADDRESS(INDEX($W$2:$W$1001,MATCH(ROWS($U$2:U251),$U$2:$U$1001,0),0), INDEX($AB$1004:$AQ$1004,1,MATCH(COLUMNS($AB$1006:AO1006),$AB$1006:$AQ$1006,0)))),"Fix")))</f>
        <v>0</v>
      </c>
      <c r="P251" s="4">
        <f>IF(OR(INDEX($V$2:$V$1001,MATCH(ROWS($U$2:U251),$U$2:$U$1001,0),1)&gt;=100000,INDEX($AB$1005:$AQ$1005,1,MATCH(COLUMNS($AB$1006:AP1006),$AB$1006:$AQ$1006,0))&gt;=100000), " ",IF(INDEX($AB$2:$AQ$1001,MATCH(ROWS($U$2:U251),$U$2:$U$1001,0),MATCH(COLUMNS($AB$1006:AP1006),$AB$1006:$AQ$1006,0)), HYPERLINK("#",""), HYPERLINK(CONCATENATE("#metadata!", ADDRESS(INDEX($W$2:$W$1001,MATCH(ROWS($U$2:U251),$U$2:$U$1001,0),0), INDEX($AB$1004:$AQ$1004,1,MATCH(COLUMNS($AB$1006:AP1006),$AB$1006:$AQ$1006,0)))),"Fix")))</f>
        <v>0</v>
      </c>
      <c r="Q251" s="4">
        <f>IF(OR(INDEX($V$2:$V$1001,MATCH(ROWS($U$2:U251),$U$2:$U$1001,0),1)&gt;=100000,INDEX($AB$1005:$AQ$1005,1,MATCH(COLUMNS($AB$1006:AQ1006),$AB$1006:$AQ$1006,0))&gt;=100000), " ",IF(INDEX($AB$2:$AQ$1001,MATCH(ROWS($U$2:U251),$U$2:$U$1001,0),MATCH(COLUMNS($AB$1006:AQ1006),$AB$1006:$AQ$1006,0)), HYPERLINK("#",""), HYPERLINK(CONCATENATE("#metadata!", ADDRESS(INDEX($W$2:$W$1001,MATCH(ROWS($U$2:U251),$U$2:$U$1001,0),0), INDEX($AB$1004:$AQ$1004,1,MATCH(COLUMNS($AB$1006:AQ1006),$AB$1006:$AQ$1006,0)))),"Fix")))</f>
        <v>0</v>
      </c>
      <c r="U251">
        <v>0</v>
      </c>
      <c r="V251">
        <v>0</v>
      </c>
      <c r="W251">
        <v>0</v>
      </c>
      <c r="X251">
        <f>IF(Y251,TRUE,AND(AB251:AQ251))</f>
        <v>0</v>
      </c>
      <c r="Y251">
        <f>COUNTBLANK(metadata!B251:Q251)=COLUMNS(metadata!B251:Q251)</f>
        <v>0</v>
      </c>
      <c r="Z251">
        <v>0</v>
      </c>
      <c r="AB251">
        <f>AND(IF(metadata!B251="",FALSE,TRUE),COUNTIF(metadata!B:B, metadata!B251) = 1,NOT(ISERROR(SUMPRODUCT(SEARCH(MID(metadata!B251,ROW(INDIRECT("1:"&amp;LEN(metadata!B251))), 1),"0123456789abcdefghijklmnopqrstuvwxyzABCDEFGHIJKLMNOPQRSTUVWXYZ.")))))</f>
        <v>0</v>
      </c>
      <c r="AC251">
        <f>OR(AND(IF(metadata!C251="",FALSE,TRUE),OR(exact(metadata!C251,"missing: not collected"),exact(metadata!C251,"missing: not provided"),exact(metadata!C251,"missing: restricted access"))),AND(IF(metadata!C251="",FALSE,TRUE),AND(AND(IFERROR(INT(LEFT(metadata!C251,4))&gt;1900,FALSE),IFERROR(INT(LEFT(metadata!C251,4))&lt;=YEAR(NOW()),FALSE)), OR(MID(metadata!C251,5,1)="", AND(AND(MID(metadata!C251,5,1)="-",IFERROR(INT(MID(metadata!C251,6,1))&gt;=0,FALSE),IFERROR(INT(MID(metadata!C251,6,1))&lt;=1,FALSE),NOT(MID(metadata!C251,7,1)=""),IFERROR(INT(MID(metadata!C251,6,2))&gt;=1,FALSE),IFERROR(INT(MID(metadata!C251,6,2))&lt;=12,FALSE)), OR(MID(metadata!C251,8,1)="", AND(AND(MID(metadata!C251,8,1)="-",IFERROR(INT(MID(metadata!C251,9,1))&gt;=0,FALSE),IFERROR(INT(MID(metadata!C251,9,1))&lt;=3,FALSE),NOT(MID(metadata!C251,10,1)=""),IFERROR(INT(MID(metadata!C251,9,2))&gt;=1,FALSE),IFERROR(INT(MID(metadata!C251,9,2))&lt;=31,FALSE)), OR(MID(metadata!C251,11,1)="", AND(AND(MID(metadata!C251,11,1)=" ",IFERROR(INT(MID(metadata!C251,12,1))&gt;=0,FALSE),IFERROR(INT(MID(metadata!C251,12,1))&lt;=2,FALSE),NOT(MID(metadata!C251,13,1)=""),IFERROR(INT(MID(metadata!C251,12,2))&gt;=0,FALSE),IFERROR(INT(MID(metadata!C251,12,2))&lt;=23,FALSE)), OR(MID(metadata!C251,14,1)="", AND(AND(MID(metadata!C251,14,1)=":",IFERROR(INT(MID(metadata!C251,15,1))&gt;=0,FALSE),IFERROR(INT(MID(metadata!C251,15,1))&lt;=5,FALSE),NOT(MID(metadata!C251,16,1)=""),IFERROR(INT(MID(metadata!C251,15,2))&gt;=0,FALSE),IFERROR(INT(MID(metadata!C251,15,2))&lt;=59,FALSE)), OR(MID(metadata!C251,17,1)="", AND(AND(MID(metadata!C251,17,1)=":",IFERROR(INT(MID(metadata!C251,18,1))&gt;=0,FALSE),IFERROR(INT(MID(metadata!C251,18,1))&lt;=5,FALSE),NOT(MID(metadata!C251,19,1)=""),IFERROR(INT(MID(metadata!C251,18,2))&gt;=0,FALSE),IFERROR(INT(MID(metadata!C251,18,2))&lt;=59,FALSE)), LEN(metadata!C251)&lt;=19)))))))))))))</f>
        <v>0</v>
      </c>
      <c r="AD251">
        <f>IF(metadata!D251="",FALSE,TRUE)</f>
        <v>0</v>
      </c>
      <c r="AE251">
        <f>OR(AND(IF(metadata!E251="",FALSE,TRUE),OR(exact(metadata!E251,"missing: not collected"),exact(metadata!E251,"missing: not provided"))),AND(IF(metadata!E251="",FALSE,TRUE),OR(exact(metadata!E251,"TRUE"),exact(metadata!E251,"FALSE"))))</f>
        <v>0</v>
      </c>
      <c r="AF251">
        <f>IF(metadata!F251="",FALSE,TRUE)</f>
        <v>0</v>
      </c>
      <c r="AG251">
        <f>IF(metadata!G251="",FALSE,TRUE)</f>
        <v>0</v>
      </c>
      <c r="AH251">
        <f>IF(metadata!H251="",FALSE,TRUE)</f>
        <v>0</v>
      </c>
      <c r="AI251">
        <f>OR(AND(IF(metadata!I251="",FALSE,TRUE),OR(exact(metadata!I251,"missing: not collected"),exact(metadata!I251,"missing: not provided"),exact(metadata!I251,"missing: restricted access"))),AND(IF(metadata!I251="",FALSE,TRUE),OR(exact(metadata!I251,"air"),exact(metadata!I251,"built environment"),exact(metadata!I251,"host-associated"),exact(metadata!I251,"human-associated"),exact(metadata!I251,"human-skin"),exact(metadata!I251,"human-oral"),exact(metadata!I251,"human-gut"),exact(metadata!I251,"human-vaginal"),exact(metadata!I251,"microbial mat/biofilm"),exact(metadata!I251,"misc environment"),exact(metadata!I251,"plant-associated"),exact(metadata!I251,"sediment"),exact(metadata!I251,"soil"),exact(metadata!I251,"wastewater/sludge"),exact(metadata!I251,"water"))))</f>
        <v>0</v>
      </c>
      <c r="AJ251">
        <f>IF(metadata!J251="",FALSE,TRUE)</f>
        <v>0</v>
      </c>
      <c r="AK251">
        <f>OR(AND(IF(metadata!K251="",FALSE,TRUE),OR(exact(metadata!K251,"missing: not collected"),exact(metadata!K251,"missing: not provided"),exact(metadata!K251,"missing: restricted access"))),AND(IF(metadata!K251="",FALSE,ISNUMBER(VALUE(metadata!K251))),metadata!K251&gt;=-90.00,metadata!K251&lt;=90.00))</f>
        <v>0</v>
      </c>
      <c r="AL251">
        <f>OR(AND(IF(metadata!L251="",FALSE,TRUE),OR(exact(metadata!L251,"missing: not collected"),exact(metadata!L251,"missing: not provided"),exact(metadata!L251,"missing: restricted access"))),AND(IF(metadata!L251="",FALSE,ISNUMBER(VALUE(metadata!L251))),metadata!L251&gt;=-180.00,metadata!L251&lt;=180.00))</f>
        <v>0</v>
      </c>
      <c r="AM251">
        <f>IF(metadata!M251="",FALSE,TRUE)</f>
        <v>0</v>
      </c>
      <c r="AN251">
        <f>OR(AND(IF(metadata!N251="",FALSE,TRUE),OR(exact(metadata!N251,"missing: not collected"),exact(metadata!N251,"missing: not provided"),exact(metadata!N251,"missing: restricted access"))),AND(IF(metadata!N251="",FALSE,TRUE),OR(exact(metadata!N251,"TRUE"),exact(metadata!N251,"FALSE"))))</f>
        <v>0</v>
      </c>
      <c r="AO251">
        <f>IF(metadata!O251="",FALSE,TRUE)</f>
        <v>0</v>
      </c>
      <c r="AP251">
        <f>OR(AND(IF(metadata!P251="",FALSE,TRUE),OR(exact(metadata!P251,"missing: not collected"),exact(metadata!P251,"missing: not provided"))),AND(IF(metadata!P251="",FALSE,IF(ISERROR(INT(metadata!P251)),FALSE,INT(metadata!P251)=metadata!P251)),metadata!P251&gt;0))</f>
        <v>0</v>
      </c>
      <c r="AQ251">
        <f>IF(metadata!Q251="",FALSE,TRUE)</f>
        <v>0</v>
      </c>
    </row>
    <row r="252" spans="1:43">
      <c r="A252" s="5">
        <f>IF(B252=" "," ",HYPERLINK(CONCATENATE("#metadata!",ADDRESS(INDEX($W$2:$W$1001,MATCH(ROWS($U$2:U252),$U$2:$U$1001,0),0),1)),INDEX($Z$2:$Z$1001,MATCH(ROWS($U$2:U252),$U$2:$U$1001,0),0)))</f>
        <v>0</v>
      </c>
      <c r="B252" s="4">
        <f>IF(OR(INDEX($V$2:$V$1001,MATCH(ROWS($U$2:U252),$U$2:$U$1001,0),1)&gt;=100000,INDEX($AB$1005:$AQ$1005,1,MATCH(COLUMNS($AB$1006:AB1006),$AB$1006:$AQ$1006,0))&gt;=100000), " ",IF(INDEX($AB$2:$AQ$1001,MATCH(ROWS($U$2:U252),$U$2:$U$1001,0),MATCH(COLUMNS($AB$1006:AB1006),$AB$1006:$AQ$1006,0)), HYPERLINK("#",""), HYPERLINK(CONCATENATE("#metadata!", ADDRESS(INDEX($W$2:$W$1001,MATCH(ROWS($U$2:U252),$U$2:$U$1001,0),0), INDEX($AB$1004:$AQ$1004,1,MATCH(COLUMNS($AB$1006:AB1006),$AB$1006:$AQ$1006,0)))),"Fix")))</f>
        <v>0</v>
      </c>
      <c r="C252" s="4">
        <f>IF(OR(INDEX($V$2:$V$1001,MATCH(ROWS($U$2:U252),$U$2:$U$1001,0),1)&gt;=100000,INDEX($AB$1005:$AQ$1005,1,MATCH(COLUMNS($AB$1006:AC1006),$AB$1006:$AQ$1006,0))&gt;=100000), " ",IF(INDEX($AB$2:$AQ$1001,MATCH(ROWS($U$2:U252),$U$2:$U$1001,0),MATCH(COLUMNS($AB$1006:AC1006),$AB$1006:$AQ$1006,0)), HYPERLINK("#",""), HYPERLINK(CONCATENATE("#metadata!", ADDRESS(INDEX($W$2:$W$1001,MATCH(ROWS($U$2:U252),$U$2:$U$1001,0),0), INDEX($AB$1004:$AQ$1004,1,MATCH(COLUMNS($AB$1006:AC1006),$AB$1006:$AQ$1006,0)))),"Fix")))</f>
        <v>0</v>
      </c>
      <c r="D252" s="4">
        <f>IF(OR(INDEX($V$2:$V$1001,MATCH(ROWS($U$2:U252),$U$2:$U$1001,0),1)&gt;=100000,INDEX($AB$1005:$AQ$1005,1,MATCH(COLUMNS($AB$1006:AD1006),$AB$1006:$AQ$1006,0))&gt;=100000), " ",IF(INDEX($AB$2:$AQ$1001,MATCH(ROWS($U$2:U252),$U$2:$U$1001,0),MATCH(COLUMNS($AB$1006:AD1006),$AB$1006:$AQ$1006,0)), HYPERLINK("#",""), HYPERLINK(CONCATENATE("#metadata!", ADDRESS(INDEX($W$2:$W$1001,MATCH(ROWS($U$2:U252),$U$2:$U$1001,0),0), INDEX($AB$1004:$AQ$1004,1,MATCH(COLUMNS($AB$1006:AD1006),$AB$1006:$AQ$1006,0)))),"Fix")))</f>
        <v>0</v>
      </c>
      <c r="E252" s="4">
        <f>IF(OR(INDEX($V$2:$V$1001,MATCH(ROWS($U$2:U252),$U$2:$U$1001,0),1)&gt;=100000,INDEX($AB$1005:$AQ$1005,1,MATCH(COLUMNS($AB$1006:AE1006),$AB$1006:$AQ$1006,0))&gt;=100000), " ",IF(INDEX($AB$2:$AQ$1001,MATCH(ROWS($U$2:U252),$U$2:$U$1001,0),MATCH(COLUMNS($AB$1006:AE1006),$AB$1006:$AQ$1006,0)), HYPERLINK("#",""), HYPERLINK(CONCATENATE("#metadata!", ADDRESS(INDEX($W$2:$W$1001,MATCH(ROWS($U$2:U252),$U$2:$U$1001,0),0), INDEX($AB$1004:$AQ$1004,1,MATCH(COLUMNS($AB$1006:AE1006),$AB$1006:$AQ$1006,0)))),"Fix")))</f>
        <v>0</v>
      </c>
      <c r="F252" s="4">
        <f>IF(OR(INDEX($V$2:$V$1001,MATCH(ROWS($U$2:U252),$U$2:$U$1001,0),1)&gt;=100000,INDEX($AB$1005:$AQ$1005,1,MATCH(COLUMNS($AB$1006:AF1006),$AB$1006:$AQ$1006,0))&gt;=100000), " ",IF(INDEX($AB$2:$AQ$1001,MATCH(ROWS($U$2:U252),$U$2:$U$1001,0),MATCH(COLUMNS($AB$1006:AF1006),$AB$1006:$AQ$1006,0)), HYPERLINK("#",""), HYPERLINK(CONCATENATE("#metadata!", ADDRESS(INDEX($W$2:$W$1001,MATCH(ROWS($U$2:U252),$U$2:$U$1001,0),0), INDEX($AB$1004:$AQ$1004,1,MATCH(COLUMNS($AB$1006:AF1006),$AB$1006:$AQ$1006,0)))),"Fix")))</f>
        <v>0</v>
      </c>
      <c r="G252" s="4">
        <f>IF(OR(INDEX($V$2:$V$1001,MATCH(ROWS($U$2:U252),$U$2:$U$1001,0),1)&gt;=100000,INDEX($AB$1005:$AQ$1005,1,MATCH(COLUMNS($AB$1006:AG1006),$AB$1006:$AQ$1006,0))&gt;=100000), " ",IF(INDEX($AB$2:$AQ$1001,MATCH(ROWS($U$2:U252),$U$2:$U$1001,0),MATCH(COLUMNS($AB$1006:AG1006),$AB$1006:$AQ$1006,0)), HYPERLINK("#",""), HYPERLINK(CONCATENATE("#metadata!", ADDRESS(INDEX($W$2:$W$1001,MATCH(ROWS($U$2:U252),$U$2:$U$1001,0),0), INDEX($AB$1004:$AQ$1004,1,MATCH(COLUMNS($AB$1006:AG1006),$AB$1006:$AQ$1006,0)))),"Fix")))</f>
        <v>0</v>
      </c>
      <c r="H252" s="4">
        <f>IF(OR(INDEX($V$2:$V$1001,MATCH(ROWS($U$2:U252),$U$2:$U$1001,0),1)&gt;=100000,INDEX($AB$1005:$AQ$1005,1,MATCH(COLUMNS($AB$1006:AH1006),$AB$1006:$AQ$1006,0))&gt;=100000), " ",IF(INDEX($AB$2:$AQ$1001,MATCH(ROWS($U$2:U252),$U$2:$U$1001,0),MATCH(COLUMNS($AB$1006:AH1006),$AB$1006:$AQ$1006,0)), HYPERLINK("#",""), HYPERLINK(CONCATENATE("#metadata!", ADDRESS(INDEX($W$2:$W$1001,MATCH(ROWS($U$2:U252),$U$2:$U$1001,0),0), INDEX($AB$1004:$AQ$1004,1,MATCH(COLUMNS($AB$1006:AH1006),$AB$1006:$AQ$1006,0)))),"Fix")))</f>
        <v>0</v>
      </c>
      <c r="I252" s="4">
        <f>IF(OR(INDEX($V$2:$V$1001,MATCH(ROWS($U$2:U252),$U$2:$U$1001,0),1)&gt;=100000,INDEX($AB$1005:$AQ$1005,1,MATCH(COLUMNS($AB$1006:AI1006),$AB$1006:$AQ$1006,0))&gt;=100000), " ",IF(INDEX($AB$2:$AQ$1001,MATCH(ROWS($U$2:U252),$U$2:$U$1001,0),MATCH(COLUMNS($AB$1006:AI1006),$AB$1006:$AQ$1006,0)), HYPERLINK("#",""), HYPERLINK(CONCATENATE("#metadata!", ADDRESS(INDEX($W$2:$W$1001,MATCH(ROWS($U$2:U252),$U$2:$U$1001,0),0), INDEX($AB$1004:$AQ$1004,1,MATCH(COLUMNS($AB$1006:AI1006),$AB$1006:$AQ$1006,0)))),"Fix")))</f>
        <v>0</v>
      </c>
      <c r="J252" s="4">
        <f>IF(OR(INDEX($V$2:$V$1001,MATCH(ROWS($U$2:U252),$U$2:$U$1001,0),1)&gt;=100000,INDEX($AB$1005:$AQ$1005,1,MATCH(COLUMNS($AB$1006:AJ1006),$AB$1006:$AQ$1006,0))&gt;=100000), " ",IF(INDEX($AB$2:$AQ$1001,MATCH(ROWS($U$2:U252),$U$2:$U$1001,0),MATCH(COLUMNS($AB$1006:AJ1006),$AB$1006:$AQ$1006,0)), HYPERLINK("#",""), HYPERLINK(CONCATENATE("#metadata!", ADDRESS(INDEX($W$2:$W$1001,MATCH(ROWS($U$2:U252),$U$2:$U$1001,0),0), INDEX($AB$1004:$AQ$1004,1,MATCH(COLUMNS($AB$1006:AJ1006),$AB$1006:$AQ$1006,0)))),"Fix")))</f>
        <v>0</v>
      </c>
      <c r="K252" s="4">
        <f>IF(OR(INDEX($V$2:$V$1001,MATCH(ROWS($U$2:U252),$U$2:$U$1001,0),1)&gt;=100000,INDEX($AB$1005:$AQ$1005,1,MATCH(COLUMNS($AB$1006:AK1006),$AB$1006:$AQ$1006,0))&gt;=100000), " ",IF(INDEX($AB$2:$AQ$1001,MATCH(ROWS($U$2:U252),$U$2:$U$1001,0),MATCH(COLUMNS($AB$1006:AK1006),$AB$1006:$AQ$1006,0)), HYPERLINK("#",""), HYPERLINK(CONCATENATE("#metadata!", ADDRESS(INDEX($W$2:$W$1001,MATCH(ROWS($U$2:U252),$U$2:$U$1001,0),0), INDEX($AB$1004:$AQ$1004,1,MATCH(COLUMNS($AB$1006:AK1006),$AB$1006:$AQ$1006,0)))),"Fix")))</f>
        <v>0</v>
      </c>
      <c r="L252" s="4">
        <f>IF(OR(INDEX($V$2:$V$1001,MATCH(ROWS($U$2:U252),$U$2:$U$1001,0),1)&gt;=100000,INDEX($AB$1005:$AQ$1005,1,MATCH(COLUMNS($AB$1006:AL1006),$AB$1006:$AQ$1006,0))&gt;=100000), " ",IF(INDEX($AB$2:$AQ$1001,MATCH(ROWS($U$2:U252),$U$2:$U$1001,0),MATCH(COLUMNS($AB$1006:AL1006),$AB$1006:$AQ$1006,0)), HYPERLINK("#",""), HYPERLINK(CONCATENATE("#metadata!", ADDRESS(INDEX($W$2:$W$1001,MATCH(ROWS($U$2:U252),$U$2:$U$1001,0),0), INDEX($AB$1004:$AQ$1004,1,MATCH(COLUMNS($AB$1006:AL1006),$AB$1006:$AQ$1006,0)))),"Fix")))</f>
        <v>0</v>
      </c>
      <c r="M252" s="4">
        <f>IF(OR(INDEX($V$2:$V$1001,MATCH(ROWS($U$2:U252),$U$2:$U$1001,0),1)&gt;=100000,INDEX($AB$1005:$AQ$1005,1,MATCH(COLUMNS($AB$1006:AM1006),$AB$1006:$AQ$1006,0))&gt;=100000), " ",IF(INDEX($AB$2:$AQ$1001,MATCH(ROWS($U$2:U252),$U$2:$U$1001,0),MATCH(COLUMNS($AB$1006:AM1006),$AB$1006:$AQ$1006,0)), HYPERLINK("#",""), HYPERLINK(CONCATENATE("#metadata!", ADDRESS(INDEX($W$2:$W$1001,MATCH(ROWS($U$2:U252),$U$2:$U$1001,0),0), INDEX($AB$1004:$AQ$1004,1,MATCH(COLUMNS($AB$1006:AM1006),$AB$1006:$AQ$1006,0)))),"Fix")))</f>
        <v>0</v>
      </c>
      <c r="N252" s="4">
        <f>IF(OR(INDEX($V$2:$V$1001,MATCH(ROWS($U$2:U252),$U$2:$U$1001,0),1)&gt;=100000,INDEX($AB$1005:$AQ$1005,1,MATCH(COLUMNS($AB$1006:AN1006),$AB$1006:$AQ$1006,0))&gt;=100000), " ",IF(INDEX($AB$2:$AQ$1001,MATCH(ROWS($U$2:U252),$U$2:$U$1001,0),MATCH(COLUMNS($AB$1006:AN1006),$AB$1006:$AQ$1006,0)), HYPERLINK("#",""), HYPERLINK(CONCATENATE("#metadata!", ADDRESS(INDEX($W$2:$W$1001,MATCH(ROWS($U$2:U252),$U$2:$U$1001,0),0), INDEX($AB$1004:$AQ$1004,1,MATCH(COLUMNS($AB$1006:AN1006),$AB$1006:$AQ$1006,0)))),"Fix")))</f>
        <v>0</v>
      </c>
      <c r="O252" s="4">
        <f>IF(OR(INDEX($V$2:$V$1001,MATCH(ROWS($U$2:U252),$U$2:$U$1001,0),1)&gt;=100000,INDEX($AB$1005:$AQ$1005,1,MATCH(COLUMNS($AB$1006:AO1006),$AB$1006:$AQ$1006,0))&gt;=100000), " ",IF(INDEX($AB$2:$AQ$1001,MATCH(ROWS($U$2:U252),$U$2:$U$1001,0),MATCH(COLUMNS($AB$1006:AO1006),$AB$1006:$AQ$1006,0)), HYPERLINK("#",""), HYPERLINK(CONCATENATE("#metadata!", ADDRESS(INDEX($W$2:$W$1001,MATCH(ROWS($U$2:U252),$U$2:$U$1001,0),0), INDEX($AB$1004:$AQ$1004,1,MATCH(COLUMNS($AB$1006:AO1006),$AB$1006:$AQ$1006,0)))),"Fix")))</f>
        <v>0</v>
      </c>
      <c r="P252" s="4">
        <f>IF(OR(INDEX($V$2:$V$1001,MATCH(ROWS($U$2:U252),$U$2:$U$1001,0),1)&gt;=100000,INDEX($AB$1005:$AQ$1005,1,MATCH(COLUMNS($AB$1006:AP1006),$AB$1006:$AQ$1006,0))&gt;=100000), " ",IF(INDEX($AB$2:$AQ$1001,MATCH(ROWS($U$2:U252),$U$2:$U$1001,0),MATCH(COLUMNS($AB$1006:AP1006),$AB$1006:$AQ$1006,0)), HYPERLINK("#",""), HYPERLINK(CONCATENATE("#metadata!", ADDRESS(INDEX($W$2:$W$1001,MATCH(ROWS($U$2:U252),$U$2:$U$1001,0),0), INDEX($AB$1004:$AQ$1004,1,MATCH(COLUMNS($AB$1006:AP1006),$AB$1006:$AQ$1006,0)))),"Fix")))</f>
        <v>0</v>
      </c>
      <c r="Q252" s="4">
        <f>IF(OR(INDEX($V$2:$V$1001,MATCH(ROWS($U$2:U252),$U$2:$U$1001,0),1)&gt;=100000,INDEX($AB$1005:$AQ$1005,1,MATCH(COLUMNS($AB$1006:AQ1006),$AB$1006:$AQ$1006,0))&gt;=100000), " ",IF(INDEX($AB$2:$AQ$1001,MATCH(ROWS($U$2:U252),$U$2:$U$1001,0),MATCH(COLUMNS($AB$1006:AQ1006),$AB$1006:$AQ$1006,0)), HYPERLINK("#",""), HYPERLINK(CONCATENATE("#metadata!", ADDRESS(INDEX($W$2:$W$1001,MATCH(ROWS($U$2:U252),$U$2:$U$1001,0),0), INDEX($AB$1004:$AQ$1004,1,MATCH(COLUMNS($AB$1006:AQ1006),$AB$1006:$AQ$1006,0)))),"Fix")))</f>
        <v>0</v>
      </c>
      <c r="U252">
        <v>0</v>
      </c>
      <c r="V252">
        <v>0</v>
      </c>
      <c r="W252">
        <v>0</v>
      </c>
      <c r="X252">
        <f>IF(Y252,TRUE,AND(AB252:AQ252))</f>
        <v>0</v>
      </c>
      <c r="Y252">
        <f>COUNTBLANK(metadata!B252:Q252)=COLUMNS(metadata!B252:Q252)</f>
        <v>0</v>
      </c>
      <c r="Z252">
        <v>0</v>
      </c>
      <c r="AB252">
        <f>AND(IF(metadata!B252="",FALSE,TRUE),COUNTIF(metadata!B:B, metadata!B252) = 1,NOT(ISERROR(SUMPRODUCT(SEARCH(MID(metadata!B252,ROW(INDIRECT("1:"&amp;LEN(metadata!B252))), 1),"0123456789abcdefghijklmnopqrstuvwxyzABCDEFGHIJKLMNOPQRSTUVWXYZ.")))))</f>
        <v>0</v>
      </c>
      <c r="AC252">
        <f>OR(AND(IF(metadata!C252="",FALSE,TRUE),OR(exact(metadata!C252,"missing: not collected"),exact(metadata!C252,"missing: not provided"),exact(metadata!C252,"missing: restricted access"))),AND(IF(metadata!C252="",FALSE,TRUE),AND(AND(IFERROR(INT(LEFT(metadata!C252,4))&gt;1900,FALSE),IFERROR(INT(LEFT(metadata!C252,4))&lt;=YEAR(NOW()),FALSE)), OR(MID(metadata!C252,5,1)="", AND(AND(MID(metadata!C252,5,1)="-",IFERROR(INT(MID(metadata!C252,6,1))&gt;=0,FALSE),IFERROR(INT(MID(metadata!C252,6,1))&lt;=1,FALSE),NOT(MID(metadata!C252,7,1)=""),IFERROR(INT(MID(metadata!C252,6,2))&gt;=1,FALSE),IFERROR(INT(MID(metadata!C252,6,2))&lt;=12,FALSE)), OR(MID(metadata!C252,8,1)="", AND(AND(MID(metadata!C252,8,1)="-",IFERROR(INT(MID(metadata!C252,9,1))&gt;=0,FALSE),IFERROR(INT(MID(metadata!C252,9,1))&lt;=3,FALSE),NOT(MID(metadata!C252,10,1)=""),IFERROR(INT(MID(metadata!C252,9,2))&gt;=1,FALSE),IFERROR(INT(MID(metadata!C252,9,2))&lt;=31,FALSE)), OR(MID(metadata!C252,11,1)="", AND(AND(MID(metadata!C252,11,1)=" ",IFERROR(INT(MID(metadata!C252,12,1))&gt;=0,FALSE),IFERROR(INT(MID(metadata!C252,12,1))&lt;=2,FALSE),NOT(MID(metadata!C252,13,1)=""),IFERROR(INT(MID(metadata!C252,12,2))&gt;=0,FALSE),IFERROR(INT(MID(metadata!C252,12,2))&lt;=23,FALSE)), OR(MID(metadata!C252,14,1)="", AND(AND(MID(metadata!C252,14,1)=":",IFERROR(INT(MID(metadata!C252,15,1))&gt;=0,FALSE),IFERROR(INT(MID(metadata!C252,15,1))&lt;=5,FALSE),NOT(MID(metadata!C252,16,1)=""),IFERROR(INT(MID(metadata!C252,15,2))&gt;=0,FALSE),IFERROR(INT(MID(metadata!C252,15,2))&lt;=59,FALSE)), OR(MID(metadata!C252,17,1)="", AND(AND(MID(metadata!C252,17,1)=":",IFERROR(INT(MID(metadata!C252,18,1))&gt;=0,FALSE),IFERROR(INT(MID(metadata!C252,18,1))&lt;=5,FALSE),NOT(MID(metadata!C252,19,1)=""),IFERROR(INT(MID(metadata!C252,18,2))&gt;=0,FALSE),IFERROR(INT(MID(metadata!C252,18,2))&lt;=59,FALSE)), LEN(metadata!C252)&lt;=19)))))))))))))</f>
        <v>0</v>
      </c>
      <c r="AD252">
        <f>IF(metadata!D252="",FALSE,TRUE)</f>
        <v>0</v>
      </c>
      <c r="AE252">
        <f>OR(AND(IF(metadata!E252="",FALSE,TRUE),OR(exact(metadata!E252,"missing: not collected"),exact(metadata!E252,"missing: not provided"))),AND(IF(metadata!E252="",FALSE,TRUE),OR(exact(metadata!E252,"TRUE"),exact(metadata!E252,"FALSE"))))</f>
        <v>0</v>
      </c>
      <c r="AF252">
        <f>IF(metadata!F252="",FALSE,TRUE)</f>
        <v>0</v>
      </c>
      <c r="AG252">
        <f>IF(metadata!G252="",FALSE,TRUE)</f>
        <v>0</v>
      </c>
      <c r="AH252">
        <f>IF(metadata!H252="",FALSE,TRUE)</f>
        <v>0</v>
      </c>
      <c r="AI252">
        <f>OR(AND(IF(metadata!I252="",FALSE,TRUE),OR(exact(metadata!I252,"missing: not collected"),exact(metadata!I252,"missing: not provided"),exact(metadata!I252,"missing: restricted access"))),AND(IF(metadata!I252="",FALSE,TRUE),OR(exact(metadata!I252,"air"),exact(metadata!I252,"built environment"),exact(metadata!I252,"host-associated"),exact(metadata!I252,"human-associated"),exact(metadata!I252,"human-skin"),exact(metadata!I252,"human-oral"),exact(metadata!I252,"human-gut"),exact(metadata!I252,"human-vaginal"),exact(metadata!I252,"microbial mat/biofilm"),exact(metadata!I252,"misc environment"),exact(metadata!I252,"plant-associated"),exact(metadata!I252,"sediment"),exact(metadata!I252,"soil"),exact(metadata!I252,"wastewater/sludge"),exact(metadata!I252,"water"))))</f>
        <v>0</v>
      </c>
      <c r="AJ252">
        <f>IF(metadata!J252="",FALSE,TRUE)</f>
        <v>0</v>
      </c>
      <c r="AK252">
        <f>OR(AND(IF(metadata!K252="",FALSE,TRUE),OR(exact(metadata!K252,"missing: not collected"),exact(metadata!K252,"missing: not provided"),exact(metadata!K252,"missing: restricted access"))),AND(IF(metadata!K252="",FALSE,ISNUMBER(VALUE(metadata!K252))),metadata!K252&gt;=-90.00,metadata!K252&lt;=90.00))</f>
        <v>0</v>
      </c>
      <c r="AL252">
        <f>OR(AND(IF(metadata!L252="",FALSE,TRUE),OR(exact(metadata!L252,"missing: not collected"),exact(metadata!L252,"missing: not provided"),exact(metadata!L252,"missing: restricted access"))),AND(IF(metadata!L252="",FALSE,ISNUMBER(VALUE(metadata!L252))),metadata!L252&gt;=-180.00,metadata!L252&lt;=180.00))</f>
        <v>0</v>
      </c>
      <c r="AM252">
        <f>IF(metadata!M252="",FALSE,TRUE)</f>
        <v>0</v>
      </c>
      <c r="AN252">
        <f>OR(AND(IF(metadata!N252="",FALSE,TRUE),OR(exact(metadata!N252,"missing: not collected"),exact(metadata!N252,"missing: not provided"),exact(metadata!N252,"missing: restricted access"))),AND(IF(metadata!N252="",FALSE,TRUE),OR(exact(metadata!N252,"TRUE"),exact(metadata!N252,"FALSE"))))</f>
        <v>0</v>
      </c>
      <c r="AO252">
        <f>IF(metadata!O252="",FALSE,TRUE)</f>
        <v>0</v>
      </c>
      <c r="AP252">
        <f>OR(AND(IF(metadata!P252="",FALSE,TRUE),OR(exact(metadata!P252,"missing: not collected"),exact(metadata!P252,"missing: not provided"))),AND(IF(metadata!P252="",FALSE,IF(ISERROR(INT(metadata!P252)),FALSE,INT(metadata!P252)=metadata!P252)),metadata!P252&gt;0))</f>
        <v>0</v>
      </c>
      <c r="AQ252">
        <f>IF(metadata!Q252="",FALSE,TRUE)</f>
        <v>0</v>
      </c>
    </row>
    <row r="253" spans="1:43">
      <c r="A253" s="5">
        <f>IF(B253=" "," ",HYPERLINK(CONCATENATE("#metadata!",ADDRESS(INDEX($W$2:$W$1001,MATCH(ROWS($U$2:U253),$U$2:$U$1001,0),0),1)),INDEX($Z$2:$Z$1001,MATCH(ROWS($U$2:U253),$U$2:$U$1001,0),0)))</f>
        <v>0</v>
      </c>
      <c r="B253" s="4">
        <f>IF(OR(INDEX($V$2:$V$1001,MATCH(ROWS($U$2:U253),$U$2:$U$1001,0),1)&gt;=100000,INDEX($AB$1005:$AQ$1005,1,MATCH(COLUMNS($AB$1006:AB1006),$AB$1006:$AQ$1006,0))&gt;=100000), " ",IF(INDEX($AB$2:$AQ$1001,MATCH(ROWS($U$2:U253),$U$2:$U$1001,0),MATCH(COLUMNS($AB$1006:AB1006),$AB$1006:$AQ$1006,0)), HYPERLINK("#",""), HYPERLINK(CONCATENATE("#metadata!", ADDRESS(INDEX($W$2:$W$1001,MATCH(ROWS($U$2:U253),$U$2:$U$1001,0),0), INDEX($AB$1004:$AQ$1004,1,MATCH(COLUMNS($AB$1006:AB1006),$AB$1006:$AQ$1006,0)))),"Fix")))</f>
        <v>0</v>
      </c>
      <c r="C253" s="4">
        <f>IF(OR(INDEX($V$2:$V$1001,MATCH(ROWS($U$2:U253),$U$2:$U$1001,0),1)&gt;=100000,INDEX($AB$1005:$AQ$1005,1,MATCH(COLUMNS($AB$1006:AC1006),$AB$1006:$AQ$1006,0))&gt;=100000), " ",IF(INDEX($AB$2:$AQ$1001,MATCH(ROWS($U$2:U253),$U$2:$U$1001,0),MATCH(COLUMNS($AB$1006:AC1006),$AB$1006:$AQ$1006,0)), HYPERLINK("#",""), HYPERLINK(CONCATENATE("#metadata!", ADDRESS(INDEX($W$2:$W$1001,MATCH(ROWS($U$2:U253),$U$2:$U$1001,0),0), INDEX($AB$1004:$AQ$1004,1,MATCH(COLUMNS($AB$1006:AC1006),$AB$1006:$AQ$1006,0)))),"Fix")))</f>
        <v>0</v>
      </c>
      <c r="D253" s="4">
        <f>IF(OR(INDEX($V$2:$V$1001,MATCH(ROWS($U$2:U253),$U$2:$U$1001,0),1)&gt;=100000,INDEX($AB$1005:$AQ$1005,1,MATCH(COLUMNS($AB$1006:AD1006),$AB$1006:$AQ$1006,0))&gt;=100000), " ",IF(INDEX($AB$2:$AQ$1001,MATCH(ROWS($U$2:U253),$U$2:$U$1001,0),MATCH(COLUMNS($AB$1006:AD1006),$AB$1006:$AQ$1006,0)), HYPERLINK("#",""), HYPERLINK(CONCATENATE("#metadata!", ADDRESS(INDEX($W$2:$W$1001,MATCH(ROWS($U$2:U253),$U$2:$U$1001,0),0), INDEX($AB$1004:$AQ$1004,1,MATCH(COLUMNS($AB$1006:AD1006),$AB$1006:$AQ$1006,0)))),"Fix")))</f>
        <v>0</v>
      </c>
      <c r="E253" s="4">
        <f>IF(OR(INDEX($V$2:$V$1001,MATCH(ROWS($U$2:U253),$U$2:$U$1001,0),1)&gt;=100000,INDEX($AB$1005:$AQ$1005,1,MATCH(COLUMNS($AB$1006:AE1006),$AB$1006:$AQ$1006,0))&gt;=100000), " ",IF(INDEX($AB$2:$AQ$1001,MATCH(ROWS($U$2:U253),$U$2:$U$1001,0),MATCH(COLUMNS($AB$1006:AE1006),$AB$1006:$AQ$1006,0)), HYPERLINK("#",""), HYPERLINK(CONCATENATE("#metadata!", ADDRESS(INDEX($W$2:$W$1001,MATCH(ROWS($U$2:U253),$U$2:$U$1001,0),0), INDEX($AB$1004:$AQ$1004,1,MATCH(COLUMNS($AB$1006:AE1006),$AB$1006:$AQ$1006,0)))),"Fix")))</f>
        <v>0</v>
      </c>
      <c r="F253" s="4">
        <f>IF(OR(INDEX($V$2:$V$1001,MATCH(ROWS($U$2:U253),$U$2:$U$1001,0),1)&gt;=100000,INDEX($AB$1005:$AQ$1005,1,MATCH(COLUMNS($AB$1006:AF1006),$AB$1006:$AQ$1006,0))&gt;=100000), " ",IF(INDEX($AB$2:$AQ$1001,MATCH(ROWS($U$2:U253),$U$2:$U$1001,0),MATCH(COLUMNS($AB$1006:AF1006),$AB$1006:$AQ$1006,0)), HYPERLINK("#",""), HYPERLINK(CONCATENATE("#metadata!", ADDRESS(INDEX($W$2:$W$1001,MATCH(ROWS($U$2:U253),$U$2:$U$1001,0),0), INDEX($AB$1004:$AQ$1004,1,MATCH(COLUMNS($AB$1006:AF1006),$AB$1006:$AQ$1006,0)))),"Fix")))</f>
        <v>0</v>
      </c>
      <c r="G253" s="4">
        <f>IF(OR(INDEX($V$2:$V$1001,MATCH(ROWS($U$2:U253),$U$2:$U$1001,0),1)&gt;=100000,INDEX($AB$1005:$AQ$1005,1,MATCH(COLUMNS($AB$1006:AG1006),$AB$1006:$AQ$1006,0))&gt;=100000), " ",IF(INDEX($AB$2:$AQ$1001,MATCH(ROWS($U$2:U253),$U$2:$U$1001,0),MATCH(COLUMNS($AB$1006:AG1006),$AB$1006:$AQ$1006,0)), HYPERLINK("#",""), HYPERLINK(CONCATENATE("#metadata!", ADDRESS(INDEX($W$2:$W$1001,MATCH(ROWS($U$2:U253),$U$2:$U$1001,0),0), INDEX($AB$1004:$AQ$1004,1,MATCH(COLUMNS($AB$1006:AG1006),$AB$1006:$AQ$1006,0)))),"Fix")))</f>
        <v>0</v>
      </c>
      <c r="H253" s="4">
        <f>IF(OR(INDEX($V$2:$V$1001,MATCH(ROWS($U$2:U253),$U$2:$U$1001,0),1)&gt;=100000,INDEX($AB$1005:$AQ$1005,1,MATCH(COLUMNS($AB$1006:AH1006),$AB$1006:$AQ$1006,0))&gt;=100000), " ",IF(INDEX($AB$2:$AQ$1001,MATCH(ROWS($U$2:U253),$U$2:$U$1001,0),MATCH(COLUMNS($AB$1006:AH1006),$AB$1006:$AQ$1006,0)), HYPERLINK("#",""), HYPERLINK(CONCATENATE("#metadata!", ADDRESS(INDEX($W$2:$W$1001,MATCH(ROWS($U$2:U253),$U$2:$U$1001,0),0), INDEX($AB$1004:$AQ$1004,1,MATCH(COLUMNS($AB$1006:AH1006),$AB$1006:$AQ$1006,0)))),"Fix")))</f>
        <v>0</v>
      </c>
      <c r="I253" s="4">
        <f>IF(OR(INDEX($V$2:$V$1001,MATCH(ROWS($U$2:U253),$U$2:$U$1001,0),1)&gt;=100000,INDEX($AB$1005:$AQ$1005,1,MATCH(COLUMNS($AB$1006:AI1006),$AB$1006:$AQ$1006,0))&gt;=100000), " ",IF(INDEX($AB$2:$AQ$1001,MATCH(ROWS($U$2:U253),$U$2:$U$1001,0),MATCH(COLUMNS($AB$1006:AI1006),$AB$1006:$AQ$1006,0)), HYPERLINK("#",""), HYPERLINK(CONCATENATE("#metadata!", ADDRESS(INDEX($W$2:$W$1001,MATCH(ROWS($U$2:U253),$U$2:$U$1001,0),0), INDEX($AB$1004:$AQ$1004,1,MATCH(COLUMNS($AB$1006:AI1006),$AB$1006:$AQ$1006,0)))),"Fix")))</f>
        <v>0</v>
      </c>
      <c r="J253" s="4">
        <f>IF(OR(INDEX($V$2:$V$1001,MATCH(ROWS($U$2:U253),$U$2:$U$1001,0),1)&gt;=100000,INDEX($AB$1005:$AQ$1005,1,MATCH(COLUMNS($AB$1006:AJ1006),$AB$1006:$AQ$1006,0))&gt;=100000), " ",IF(INDEX($AB$2:$AQ$1001,MATCH(ROWS($U$2:U253),$U$2:$U$1001,0),MATCH(COLUMNS($AB$1006:AJ1006),$AB$1006:$AQ$1006,0)), HYPERLINK("#",""), HYPERLINK(CONCATENATE("#metadata!", ADDRESS(INDEX($W$2:$W$1001,MATCH(ROWS($U$2:U253),$U$2:$U$1001,0),0), INDEX($AB$1004:$AQ$1004,1,MATCH(COLUMNS($AB$1006:AJ1006),$AB$1006:$AQ$1006,0)))),"Fix")))</f>
        <v>0</v>
      </c>
      <c r="K253" s="4">
        <f>IF(OR(INDEX($V$2:$V$1001,MATCH(ROWS($U$2:U253),$U$2:$U$1001,0),1)&gt;=100000,INDEX($AB$1005:$AQ$1005,1,MATCH(COLUMNS($AB$1006:AK1006),$AB$1006:$AQ$1006,0))&gt;=100000), " ",IF(INDEX($AB$2:$AQ$1001,MATCH(ROWS($U$2:U253),$U$2:$U$1001,0),MATCH(COLUMNS($AB$1006:AK1006),$AB$1006:$AQ$1006,0)), HYPERLINK("#",""), HYPERLINK(CONCATENATE("#metadata!", ADDRESS(INDEX($W$2:$W$1001,MATCH(ROWS($U$2:U253),$U$2:$U$1001,0),0), INDEX($AB$1004:$AQ$1004,1,MATCH(COLUMNS($AB$1006:AK1006),$AB$1006:$AQ$1006,0)))),"Fix")))</f>
        <v>0</v>
      </c>
      <c r="L253" s="4">
        <f>IF(OR(INDEX($V$2:$V$1001,MATCH(ROWS($U$2:U253),$U$2:$U$1001,0),1)&gt;=100000,INDEX($AB$1005:$AQ$1005,1,MATCH(COLUMNS($AB$1006:AL1006),$AB$1006:$AQ$1006,0))&gt;=100000), " ",IF(INDEX($AB$2:$AQ$1001,MATCH(ROWS($U$2:U253),$U$2:$U$1001,0),MATCH(COLUMNS($AB$1006:AL1006),$AB$1006:$AQ$1006,0)), HYPERLINK("#",""), HYPERLINK(CONCATENATE("#metadata!", ADDRESS(INDEX($W$2:$W$1001,MATCH(ROWS($U$2:U253),$U$2:$U$1001,0),0), INDEX($AB$1004:$AQ$1004,1,MATCH(COLUMNS($AB$1006:AL1006),$AB$1006:$AQ$1006,0)))),"Fix")))</f>
        <v>0</v>
      </c>
      <c r="M253" s="4">
        <f>IF(OR(INDEX($V$2:$V$1001,MATCH(ROWS($U$2:U253),$U$2:$U$1001,0),1)&gt;=100000,INDEX($AB$1005:$AQ$1005,1,MATCH(COLUMNS($AB$1006:AM1006),$AB$1006:$AQ$1006,0))&gt;=100000), " ",IF(INDEX($AB$2:$AQ$1001,MATCH(ROWS($U$2:U253),$U$2:$U$1001,0),MATCH(COLUMNS($AB$1006:AM1006),$AB$1006:$AQ$1006,0)), HYPERLINK("#",""), HYPERLINK(CONCATENATE("#metadata!", ADDRESS(INDEX($W$2:$W$1001,MATCH(ROWS($U$2:U253),$U$2:$U$1001,0),0), INDEX($AB$1004:$AQ$1004,1,MATCH(COLUMNS($AB$1006:AM1006),$AB$1006:$AQ$1006,0)))),"Fix")))</f>
        <v>0</v>
      </c>
      <c r="N253" s="4">
        <f>IF(OR(INDEX($V$2:$V$1001,MATCH(ROWS($U$2:U253),$U$2:$U$1001,0),1)&gt;=100000,INDEX($AB$1005:$AQ$1005,1,MATCH(COLUMNS($AB$1006:AN1006),$AB$1006:$AQ$1006,0))&gt;=100000), " ",IF(INDEX($AB$2:$AQ$1001,MATCH(ROWS($U$2:U253),$U$2:$U$1001,0),MATCH(COLUMNS($AB$1006:AN1006),$AB$1006:$AQ$1006,0)), HYPERLINK("#",""), HYPERLINK(CONCATENATE("#metadata!", ADDRESS(INDEX($W$2:$W$1001,MATCH(ROWS($U$2:U253),$U$2:$U$1001,0),0), INDEX($AB$1004:$AQ$1004,1,MATCH(COLUMNS($AB$1006:AN1006),$AB$1006:$AQ$1006,0)))),"Fix")))</f>
        <v>0</v>
      </c>
      <c r="O253" s="4">
        <f>IF(OR(INDEX($V$2:$V$1001,MATCH(ROWS($U$2:U253),$U$2:$U$1001,0),1)&gt;=100000,INDEX($AB$1005:$AQ$1005,1,MATCH(COLUMNS($AB$1006:AO1006),$AB$1006:$AQ$1006,0))&gt;=100000), " ",IF(INDEX($AB$2:$AQ$1001,MATCH(ROWS($U$2:U253),$U$2:$U$1001,0),MATCH(COLUMNS($AB$1006:AO1006),$AB$1006:$AQ$1006,0)), HYPERLINK("#",""), HYPERLINK(CONCATENATE("#metadata!", ADDRESS(INDEX($W$2:$W$1001,MATCH(ROWS($U$2:U253),$U$2:$U$1001,0),0), INDEX($AB$1004:$AQ$1004,1,MATCH(COLUMNS($AB$1006:AO1006),$AB$1006:$AQ$1006,0)))),"Fix")))</f>
        <v>0</v>
      </c>
      <c r="P253" s="4">
        <f>IF(OR(INDEX($V$2:$V$1001,MATCH(ROWS($U$2:U253),$U$2:$U$1001,0),1)&gt;=100000,INDEX($AB$1005:$AQ$1005,1,MATCH(COLUMNS($AB$1006:AP1006),$AB$1006:$AQ$1006,0))&gt;=100000), " ",IF(INDEX($AB$2:$AQ$1001,MATCH(ROWS($U$2:U253),$U$2:$U$1001,0),MATCH(COLUMNS($AB$1006:AP1006),$AB$1006:$AQ$1006,0)), HYPERLINK("#",""), HYPERLINK(CONCATENATE("#metadata!", ADDRESS(INDEX($W$2:$W$1001,MATCH(ROWS($U$2:U253),$U$2:$U$1001,0),0), INDEX($AB$1004:$AQ$1004,1,MATCH(COLUMNS($AB$1006:AP1006),$AB$1006:$AQ$1006,0)))),"Fix")))</f>
        <v>0</v>
      </c>
      <c r="Q253" s="4">
        <f>IF(OR(INDEX($V$2:$V$1001,MATCH(ROWS($U$2:U253),$U$2:$U$1001,0),1)&gt;=100000,INDEX($AB$1005:$AQ$1005,1,MATCH(COLUMNS($AB$1006:AQ1006),$AB$1006:$AQ$1006,0))&gt;=100000), " ",IF(INDEX($AB$2:$AQ$1001,MATCH(ROWS($U$2:U253),$U$2:$U$1001,0),MATCH(COLUMNS($AB$1006:AQ1006),$AB$1006:$AQ$1006,0)), HYPERLINK("#",""), HYPERLINK(CONCATENATE("#metadata!", ADDRESS(INDEX($W$2:$W$1001,MATCH(ROWS($U$2:U253),$U$2:$U$1001,0),0), INDEX($AB$1004:$AQ$1004,1,MATCH(COLUMNS($AB$1006:AQ1006),$AB$1006:$AQ$1006,0)))),"Fix")))</f>
        <v>0</v>
      </c>
      <c r="U253">
        <v>0</v>
      </c>
      <c r="V253">
        <v>0</v>
      </c>
      <c r="W253">
        <v>0</v>
      </c>
      <c r="X253">
        <f>IF(Y253,TRUE,AND(AB253:AQ253))</f>
        <v>0</v>
      </c>
      <c r="Y253">
        <f>COUNTBLANK(metadata!B253:Q253)=COLUMNS(metadata!B253:Q253)</f>
        <v>0</v>
      </c>
      <c r="Z253">
        <v>0</v>
      </c>
      <c r="AB253">
        <f>AND(IF(metadata!B253="",FALSE,TRUE),COUNTIF(metadata!B:B, metadata!B253) = 1,NOT(ISERROR(SUMPRODUCT(SEARCH(MID(metadata!B253,ROW(INDIRECT("1:"&amp;LEN(metadata!B253))), 1),"0123456789abcdefghijklmnopqrstuvwxyzABCDEFGHIJKLMNOPQRSTUVWXYZ.")))))</f>
        <v>0</v>
      </c>
      <c r="AC253">
        <f>OR(AND(IF(metadata!C253="",FALSE,TRUE),OR(exact(metadata!C253,"missing: not collected"),exact(metadata!C253,"missing: not provided"),exact(metadata!C253,"missing: restricted access"))),AND(IF(metadata!C253="",FALSE,TRUE),AND(AND(IFERROR(INT(LEFT(metadata!C253,4))&gt;1900,FALSE),IFERROR(INT(LEFT(metadata!C253,4))&lt;=YEAR(NOW()),FALSE)), OR(MID(metadata!C253,5,1)="", AND(AND(MID(metadata!C253,5,1)="-",IFERROR(INT(MID(metadata!C253,6,1))&gt;=0,FALSE),IFERROR(INT(MID(metadata!C253,6,1))&lt;=1,FALSE),NOT(MID(metadata!C253,7,1)=""),IFERROR(INT(MID(metadata!C253,6,2))&gt;=1,FALSE),IFERROR(INT(MID(metadata!C253,6,2))&lt;=12,FALSE)), OR(MID(metadata!C253,8,1)="", AND(AND(MID(metadata!C253,8,1)="-",IFERROR(INT(MID(metadata!C253,9,1))&gt;=0,FALSE),IFERROR(INT(MID(metadata!C253,9,1))&lt;=3,FALSE),NOT(MID(metadata!C253,10,1)=""),IFERROR(INT(MID(metadata!C253,9,2))&gt;=1,FALSE),IFERROR(INT(MID(metadata!C253,9,2))&lt;=31,FALSE)), OR(MID(metadata!C253,11,1)="", AND(AND(MID(metadata!C253,11,1)=" ",IFERROR(INT(MID(metadata!C253,12,1))&gt;=0,FALSE),IFERROR(INT(MID(metadata!C253,12,1))&lt;=2,FALSE),NOT(MID(metadata!C253,13,1)=""),IFERROR(INT(MID(metadata!C253,12,2))&gt;=0,FALSE),IFERROR(INT(MID(metadata!C253,12,2))&lt;=23,FALSE)), OR(MID(metadata!C253,14,1)="", AND(AND(MID(metadata!C253,14,1)=":",IFERROR(INT(MID(metadata!C253,15,1))&gt;=0,FALSE),IFERROR(INT(MID(metadata!C253,15,1))&lt;=5,FALSE),NOT(MID(metadata!C253,16,1)=""),IFERROR(INT(MID(metadata!C253,15,2))&gt;=0,FALSE),IFERROR(INT(MID(metadata!C253,15,2))&lt;=59,FALSE)), OR(MID(metadata!C253,17,1)="", AND(AND(MID(metadata!C253,17,1)=":",IFERROR(INT(MID(metadata!C253,18,1))&gt;=0,FALSE),IFERROR(INT(MID(metadata!C253,18,1))&lt;=5,FALSE),NOT(MID(metadata!C253,19,1)=""),IFERROR(INT(MID(metadata!C253,18,2))&gt;=0,FALSE),IFERROR(INT(MID(metadata!C253,18,2))&lt;=59,FALSE)), LEN(metadata!C253)&lt;=19)))))))))))))</f>
        <v>0</v>
      </c>
      <c r="AD253">
        <f>IF(metadata!D253="",FALSE,TRUE)</f>
        <v>0</v>
      </c>
      <c r="AE253">
        <f>OR(AND(IF(metadata!E253="",FALSE,TRUE),OR(exact(metadata!E253,"missing: not collected"),exact(metadata!E253,"missing: not provided"))),AND(IF(metadata!E253="",FALSE,TRUE),OR(exact(metadata!E253,"TRUE"),exact(metadata!E253,"FALSE"))))</f>
        <v>0</v>
      </c>
      <c r="AF253">
        <f>IF(metadata!F253="",FALSE,TRUE)</f>
        <v>0</v>
      </c>
      <c r="AG253">
        <f>IF(metadata!G253="",FALSE,TRUE)</f>
        <v>0</v>
      </c>
      <c r="AH253">
        <f>IF(metadata!H253="",FALSE,TRUE)</f>
        <v>0</v>
      </c>
      <c r="AI253">
        <f>OR(AND(IF(metadata!I253="",FALSE,TRUE),OR(exact(metadata!I253,"missing: not collected"),exact(metadata!I253,"missing: not provided"),exact(metadata!I253,"missing: restricted access"))),AND(IF(metadata!I253="",FALSE,TRUE),OR(exact(metadata!I253,"air"),exact(metadata!I253,"built environment"),exact(metadata!I253,"host-associated"),exact(metadata!I253,"human-associated"),exact(metadata!I253,"human-skin"),exact(metadata!I253,"human-oral"),exact(metadata!I253,"human-gut"),exact(metadata!I253,"human-vaginal"),exact(metadata!I253,"microbial mat/biofilm"),exact(metadata!I253,"misc environment"),exact(metadata!I253,"plant-associated"),exact(metadata!I253,"sediment"),exact(metadata!I253,"soil"),exact(metadata!I253,"wastewater/sludge"),exact(metadata!I253,"water"))))</f>
        <v>0</v>
      </c>
      <c r="AJ253">
        <f>IF(metadata!J253="",FALSE,TRUE)</f>
        <v>0</v>
      </c>
      <c r="AK253">
        <f>OR(AND(IF(metadata!K253="",FALSE,TRUE),OR(exact(metadata!K253,"missing: not collected"),exact(metadata!K253,"missing: not provided"),exact(metadata!K253,"missing: restricted access"))),AND(IF(metadata!K253="",FALSE,ISNUMBER(VALUE(metadata!K253))),metadata!K253&gt;=-90.00,metadata!K253&lt;=90.00))</f>
        <v>0</v>
      </c>
      <c r="AL253">
        <f>OR(AND(IF(metadata!L253="",FALSE,TRUE),OR(exact(metadata!L253,"missing: not collected"),exact(metadata!L253,"missing: not provided"),exact(metadata!L253,"missing: restricted access"))),AND(IF(metadata!L253="",FALSE,ISNUMBER(VALUE(metadata!L253))),metadata!L253&gt;=-180.00,metadata!L253&lt;=180.00))</f>
        <v>0</v>
      </c>
      <c r="AM253">
        <f>IF(metadata!M253="",FALSE,TRUE)</f>
        <v>0</v>
      </c>
      <c r="AN253">
        <f>OR(AND(IF(metadata!N253="",FALSE,TRUE),OR(exact(metadata!N253,"missing: not collected"),exact(metadata!N253,"missing: not provided"),exact(metadata!N253,"missing: restricted access"))),AND(IF(metadata!N253="",FALSE,TRUE),OR(exact(metadata!N253,"TRUE"),exact(metadata!N253,"FALSE"))))</f>
        <v>0</v>
      </c>
      <c r="AO253">
        <f>IF(metadata!O253="",FALSE,TRUE)</f>
        <v>0</v>
      </c>
      <c r="AP253">
        <f>OR(AND(IF(metadata!P253="",FALSE,TRUE),OR(exact(metadata!P253,"missing: not collected"),exact(metadata!P253,"missing: not provided"))),AND(IF(metadata!P253="",FALSE,IF(ISERROR(INT(metadata!P253)),FALSE,INT(metadata!P253)=metadata!P253)),metadata!P253&gt;0))</f>
        <v>0</v>
      </c>
      <c r="AQ253">
        <f>IF(metadata!Q253="",FALSE,TRUE)</f>
        <v>0</v>
      </c>
    </row>
    <row r="254" spans="1:43">
      <c r="A254" s="5">
        <f>IF(B254=" "," ",HYPERLINK(CONCATENATE("#metadata!",ADDRESS(INDEX($W$2:$W$1001,MATCH(ROWS($U$2:U254),$U$2:$U$1001,0),0),1)),INDEX($Z$2:$Z$1001,MATCH(ROWS($U$2:U254),$U$2:$U$1001,0),0)))</f>
        <v>0</v>
      </c>
      <c r="B254" s="4">
        <f>IF(OR(INDEX($V$2:$V$1001,MATCH(ROWS($U$2:U254),$U$2:$U$1001,0),1)&gt;=100000,INDEX($AB$1005:$AQ$1005,1,MATCH(COLUMNS($AB$1006:AB1006),$AB$1006:$AQ$1006,0))&gt;=100000), " ",IF(INDEX($AB$2:$AQ$1001,MATCH(ROWS($U$2:U254),$U$2:$U$1001,0),MATCH(COLUMNS($AB$1006:AB1006),$AB$1006:$AQ$1006,0)), HYPERLINK("#",""), HYPERLINK(CONCATENATE("#metadata!", ADDRESS(INDEX($W$2:$W$1001,MATCH(ROWS($U$2:U254),$U$2:$U$1001,0),0), INDEX($AB$1004:$AQ$1004,1,MATCH(COLUMNS($AB$1006:AB1006),$AB$1006:$AQ$1006,0)))),"Fix")))</f>
        <v>0</v>
      </c>
      <c r="C254" s="4">
        <f>IF(OR(INDEX($V$2:$V$1001,MATCH(ROWS($U$2:U254),$U$2:$U$1001,0),1)&gt;=100000,INDEX($AB$1005:$AQ$1005,1,MATCH(COLUMNS($AB$1006:AC1006),$AB$1006:$AQ$1006,0))&gt;=100000), " ",IF(INDEX($AB$2:$AQ$1001,MATCH(ROWS($U$2:U254),$U$2:$U$1001,0),MATCH(COLUMNS($AB$1006:AC1006),$AB$1006:$AQ$1006,0)), HYPERLINK("#",""), HYPERLINK(CONCATENATE("#metadata!", ADDRESS(INDEX($W$2:$W$1001,MATCH(ROWS($U$2:U254),$U$2:$U$1001,0),0), INDEX($AB$1004:$AQ$1004,1,MATCH(COLUMNS($AB$1006:AC1006),$AB$1006:$AQ$1006,0)))),"Fix")))</f>
        <v>0</v>
      </c>
      <c r="D254" s="4">
        <f>IF(OR(INDEX($V$2:$V$1001,MATCH(ROWS($U$2:U254),$U$2:$U$1001,0),1)&gt;=100000,INDEX($AB$1005:$AQ$1005,1,MATCH(COLUMNS($AB$1006:AD1006),$AB$1006:$AQ$1006,0))&gt;=100000), " ",IF(INDEX($AB$2:$AQ$1001,MATCH(ROWS($U$2:U254),$U$2:$U$1001,0),MATCH(COLUMNS($AB$1006:AD1006),$AB$1006:$AQ$1006,0)), HYPERLINK("#",""), HYPERLINK(CONCATENATE("#metadata!", ADDRESS(INDEX($W$2:$W$1001,MATCH(ROWS($U$2:U254),$U$2:$U$1001,0),0), INDEX($AB$1004:$AQ$1004,1,MATCH(COLUMNS($AB$1006:AD1006),$AB$1006:$AQ$1006,0)))),"Fix")))</f>
        <v>0</v>
      </c>
      <c r="E254" s="4">
        <f>IF(OR(INDEX($V$2:$V$1001,MATCH(ROWS($U$2:U254),$U$2:$U$1001,0),1)&gt;=100000,INDEX($AB$1005:$AQ$1005,1,MATCH(COLUMNS($AB$1006:AE1006),$AB$1006:$AQ$1006,0))&gt;=100000), " ",IF(INDEX($AB$2:$AQ$1001,MATCH(ROWS($U$2:U254),$U$2:$U$1001,0),MATCH(COLUMNS($AB$1006:AE1006),$AB$1006:$AQ$1006,0)), HYPERLINK("#",""), HYPERLINK(CONCATENATE("#metadata!", ADDRESS(INDEX($W$2:$W$1001,MATCH(ROWS($U$2:U254),$U$2:$U$1001,0),0), INDEX($AB$1004:$AQ$1004,1,MATCH(COLUMNS($AB$1006:AE1006),$AB$1006:$AQ$1006,0)))),"Fix")))</f>
        <v>0</v>
      </c>
      <c r="F254" s="4">
        <f>IF(OR(INDEX($V$2:$V$1001,MATCH(ROWS($U$2:U254),$U$2:$U$1001,0),1)&gt;=100000,INDEX($AB$1005:$AQ$1005,1,MATCH(COLUMNS($AB$1006:AF1006),$AB$1006:$AQ$1006,0))&gt;=100000), " ",IF(INDEX($AB$2:$AQ$1001,MATCH(ROWS($U$2:U254),$U$2:$U$1001,0),MATCH(COLUMNS($AB$1006:AF1006),$AB$1006:$AQ$1006,0)), HYPERLINK("#",""), HYPERLINK(CONCATENATE("#metadata!", ADDRESS(INDEX($W$2:$W$1001,MATCH(ROWS($U$2:U254),$U$2:$U$1001,0),0), INDEX($AB$1004:$AQ$1004,1,MATCH(COLUMNS($AB$1006:AF1006),$AB$1006:$AQ$1006,0)))),"Fix")))</f>
        <v>0</v>
      </c>
      <c r="G254" s="4">
        <f>IF(OR(INDEX($V$2:$V$1001,MATCH(ROWS($U$2:U254),$U$2:$U$1001,0),1)&gt;=100000,INDEX($AB$1005:$AQ$1005,1,MATCH(COLUMNS($AB$1006:AG1006),$AB$1006:$AQ$1006,0))&gt;=100000), " ",IF(INDEX($AB$2:$AQ$1001,MATCH(ROWS($U$2:U254),$U$2:$U$1001,0),MATCH(COLUMNS($AB$1006:AG1006),$AB$1006:$AQ$1006,0)), HYPERLINK("#",""), HYPERLINK(CONCATENATE("#metadata!", ADDRESS(INDEX($W$2:$W$1001,MATCH(ROWS($U$2:U254),$U$2:$U$1001,0),0), INDEX($AB$1004:$AQ$1004,1,MATCH(COLUMNS($AB$1006:AG1006),$AB$1006:$AQ$1006,0)))),"Fix")))</f>
        <v>0</v>
      </c>
      <c r="H254" s="4">
        <f>IF(OR(INDEX($V$2:$V$1001,MATCH(ROWS($U$2:U254),$U$2:$U$1001,0),1)&gt;=100000,INDEX($AB$1005:$AQ$1005,1,MATCH(COLUMNS($AB$1006:AH1006),$AB$1006:$AQ$1006,0))&gt;=100000), " ",IF(INDEX($AB$2:$AQ$1001,MATCH(ROWS($U$2:U254),$U$2:$U$1001,0),MATCH(COLUMNS($AB$1006:AH1006),$AB$1006:$AQ$1006,0)), HYPERLINK("#",""), HYPERLINK(CONCATENATE("#metadata!", ADDRESS(INDEX($W$2:$W$1001,MATCH(ROWS($U$2:U254),$U$2:$U$1001,0),0), INDEX($AB$1004:$AQ$1004,1,MATCH(COLUMNS($AB$1006:AH1006),$AB$1006:$AQ$1006,0)))),"Fix")))</f>
        <v>0</v>
      </c>
      <c r="I254" s="4">
        <f>IF(OR(INDEX($V$2:$V$1001,MATCH(ROWS($U$2:U254),$U$2:$U$1001,0),1)&gt;=100000,INDEX($AB$1005:$AQ$1005,1,MATCH(COLUMNS($AB$1006:AI1006),$AB$1006:$AQ$1006,0))&gt;=100000), " ",IF(INDEX($AB$2:$AQ$1001,MATCH(ROWS($U$2:U254),$U$2:$U$1001,0),MATCH(COLUMNS($AB$1006:AI1006),$AB$1006:$AQ$1006,0)), HYPERLINK("#",""), HYPERLINK(CONCATENATE("#metadata!", ADDRESS(INDEX($W$2:$W$1001,MATCH(ROWS($U$2:U254),$U$2:$U$1001,0),0), INDEX($AB$1004:$AQ$1004,1,MATCH(COLUMNS($AB$1006:AI1006),$AB$1006:$AQ$1006,0)))),"Fix")))</f>
        <v>0</v>
      </c>
      <c r="J254" s="4">
        <f>IF(OR(INDEX($V$2:$V$1001,MATCH(ROWS($U$2:U254),$U$2:$U$1001,0),1)&gt;=100000,INDEX($AB$1005:$AQ$1005,1,MATCH(COLUMNS($AB$1006:AJ1006),$AB$1006:$AQ$1006,0))&gt;=100000), " ",IF(INDEX($AB$2:$AQ$1001,MATCH(ROWS($U$2:U254),$U$2:$U$1001,0),MATCH(COLUMNS($AB$1006:AJ1006),$AB$1006:$AQ$1006,0)), HYPERLINK("#",""), HYPERLINK(CONCATENATE("#metadata!", ADDRESS(INDEX($W$2:$W$1001,MATCH(ROWS($U$2:U254),$U$2:$U$1001,0),0), INDEX($AB$1004:$AQ$1004,1,MATCH(COLUMNS($AB$1006:AJ1006),$AB$1006:$AQ$1006,0)))),"Fix")))</f>
        <v>0</v>
      </c>
      <c r="K254" s="4">
        <f>IF(OR(INDEX($V$2:$V$1001,MATCH(ROWS($U$2:U254),$U$2:$U$1001,0),1)&gt;=100000,INDEX($AB$1005:$AQ$1005,1,MATCH(COLUMNS($AB$1006:AK1006),$AB$1006:$AQ$1006,0))&gt;=100000), " ",IF(INDEX($AB$2:$AQ$1001,MATCH(ROWS($U$2:U254),$U$2:$U$1001,0),MATCH(COLUMNS($AB$1006:AK1006),$AB$1006:$AQ$1006,0)), HYPERLINK("#",""), HYPERLINK(CONCATENATE("#metadata!", ADDRESS(INDEX($W$2:$W$1001,MATCH(ROWS($U$2:U254),$U$2:$U$1001,0),0), INDEX($AB$1004:$AQ$1004,1,MATCH(COLUMNS($AB$1006:AK1006),$AB$1006:$AQ$1006,0)))),"Fix")))</f>
        <v>0</v>
      </c>
      <c r="L254" s="4">
        <f>IF(OR(INDEX($V$2:$V$1001,MATCH(ROWS($U$2:U254),$U$2:$U$1001,0),1)&gt;=100000,INDEX($AB$1005:$AQ$1005,1,MATCH(COLUMNS($AB$1006:AL1006),$AB$1006:$AQ$1006,0))&gt;=100000), " ",IF(INDEX($AB$2:$AQ$1001,MATCH(ROWS($U$2:U254),$U$2:$U$1001,0),MATCH(COLUMNS($AB$1006:AL1006),$AB$1006:$AQ$1006,0)), HYPERLINK("#",""), HYPERLINK(CONCATENATE("#metadata!", ADDRESS(INDEX($W$2:$W$1001,MATCH(ROWS($U$2:U254),$U$2:$U$1001,0),0), INDEX($AB$1004:$AQ$1004,1,MATCH(COLUMNS($AB$1006:AL1006),$AB$1006:$AQ$1006,0)))),"Fix")))</f>
        <v>0</v>
      </c>
      <c r="M254" s="4">
        <f>IF(OR(INDEX($V$2:$V$1001,MATCH(ROWS($U$2:U254),$U$2:$U$1001,0),1)&gt;=100000,INDEX($AB$1005:$AQ$1005,1,MATCH(COLUMNS($AB$1006:AM1006),$AB$1006:$AQ$1006,0))&gt;=100000), " ",IF(INDEX($AB$2:$AQ$1001,MATCH(ROWS($U$2:U254),$U$2:$U$1001,0),MATCH(COLUMNS($AB$1006:AM1006),$AB$1006:$AQ$1006,0)), HYPERLINK("#",""), HYPERLINK(CONCATENATE("#metadata!", ADDRESS(INDEX($W$2:$W$1001,MATCH(ROWS($U$2:U254),$U$2:$U$1001,0),0), INDEX($AB$1004:$AQ$1004,1,MATCH(COLUMNS($AB$1006:AM1006),$AB$1006:$AQ$1006,0)))),"Fix")))</f>
        <v>0</v>
      </c>
      <c r="N254" s="4">
        <f>IF(OR(INDEX($V$2:$V$1001,MATCH(ROWS($U$2:U254),$U$2:$U$1001,0),1)&gt;=100000,INDEX($AB$1005:$AQ$1005,1,MATCH(COLUMNS($AB$1006:AN1006),$AB$1006:$AQ$1006,0))&gt;=100000), " ",IF(INDEX($AB$2:$AQ$1001,MATCH(ROWS($U$2:U254),$U$2:$U$1001,0),MATCH(COLUMNS($AB$1006:AN1006),$AB$1006:$AQ$1006,0)), HYPERLINK("#",""), HYPERLINK(CONCATENATE("#metadata!", ADDRESS(INDEX($W$2:$W$1001,MATCH(ROWS($U$2:U254),$U$2:$U$1001,0),0), INDEX($AB$1004:$AQ$1004,1,MATCH(COLUMNS($AB$1006:AN1006),$AB$1006:$AQ$1006,0)))),"Fix")))</f>
        <v>0</v>
      </c>
      <c r="O254" s="4">
        <f>IF(OR(INDEX($V$2:$V$1001,MATCH(ROWS($U$2:U254),$U$2:$U$1001,0),1)&gt;=100000,INDEX($AB$1005:$AQ$1005,1,MATCH(COLUMNS($AB$1006:AO1006),$AB$1006:$AQ$1006,0))&gt;=100000), " ",IF(INDEX($AB$2:$AQ$1001,MATCH(ROWS($U$2:U254),$U$2:$U$1001,0),MATCH(COLUMNS($AB$1006:AO1006),$AB$1006:$AQ$1006,0)), HYPERLINK("#",""), HYPERLINK(CONCATENATE("#metadata!", ADDRESS(INDEX($W$2:$W$1001,MATCH(ROWS($U$2:U254),$U$2:$U$1001,0),0), INDEX($AB$1004:$AQ$1004,1,MATCH(COLUMNS($AB$1006:AO1006),$AB$1006:$AQ$1006,0)))),"Fix")))</f>
        <v>0</v>
      </c>
      <c r="P254" s="4">
        <f>IF(OR(INDEX($V$2:$V$1001,MATCH(ROWS($U$2:U254),$U$2:$U$1001,0),1)&gt;=100000,INDEX($AB$1005:$AQ$1005,1,MATCH(COLUMNS($AB$1006:AP1006),$AB$1006:$AQ$1006,0))&gt;=100000), " ",IF(INDEX($AB$2:$AQ$1001,MATCH(ROWS($U$2:U254),$U$2:$U$1001,0),MATCH(COLUMNS($AB$1006:AP1006),$AB$1006:$AQ$1006,0)), HYPERLINK("#",""), HYPERLINK(CONCATENATE("#metadata!", ADDRESS(INDEX($W$2:$W$1001,MATCH(ROWS($U$2:U254),$U$2:$U$1001,0),0), INDEX($AB$1004:$AQ$1004,1,MATCH(COLUMNS($AB$1006:AP1006),$AB$1006:$AQ$1006,0)))),"Fix")))</f>
        <v>0</v>
      </c>
      <c r="Q254" s="4">
        <f>IF(OR(INDEX($V$2:$V$1001,MATCH(ROWS($U$2:U254),$U$2:$U$1001,0),1)&gt;=100000,INDEX($AB$1005:$AQ$1005,1,MATCH(COLUMNS($AB$1006:AQ1006),$AB$1006:$AQ$1006,0))&gt;=100000), " ",IF(INDEX($AB$2:$AQ$1001,MATCH(ROWS($U$2:U254),$U$2:$U$1001,0),MATCH(COLUMNS($AB$1006:AQ1006),$AB$1006:$AQ$1006,0)), HYPERLINK("#",""), HYPERLINK(CONCATENATE("#metadata!", ADDRESS(INDEX($W$2:$W$1001,MATCH(ROWS($U$2:U254),$U$2:$U$1001,0),0), INDEX($AB$1004:$AQ$1004,1,MATCH(COLUMNS($AB$1006:AQ1006),$AB$1006:$AQ$1006,0)))),"Fix")))</f>
        <v>0</v>
      </c>
      <c r="U254">
        <v>0</v>
      </c>
      <c r="V254">
        <v>0</v>
      </c>
      <c r="W254">
        <v>0</v>
      </c>
      <c r="X254">
        <f>IF(Y254,TRUE,AND(AB254:AQ254))</f>
        <v>0</v>
      </c>
      <c r="Y254">
        <f>COUNTBLANK(metadata!B254:Q254)=COLUMNS(metadata!B254:Q254)</f>
        <v>0</v>
      </c>
      <c r="Z254">
        <v>0</v>
      </c>
      <c r="AB254">
        <f>AND(IF(metadata!B254="",FALSE,TRUE),COUNTIF(metadata!B:B, metadata!B254) = 1,NOT(ISERROR(SUMPRODUCT(SEARCH(MID(metadata!B254,ROW(INDIRECT("1:"&amp;LEN(metadata!B254))), 1),"0123456789abcdefghijklmnopqrstuvwxyzABCDEFGHIJKLMNOPQRSTUVWXYZ.")))))</f>
        <v>0</v>
      </c>
      <c r="AC254">
        <f>OR(AND(IF(metadata!C254="",FALSE,TRUE),OR(exact(metadata!C254,"missing: not collected"),exact(metadata!C254,"missing: not provided"),exact(metadata!C254,"missing: restricted access"))),AND(IF(metadata!C254="",FALSE,TRUE),AND(AND(IFERROR(INT(LEFT(metadata!C254,4))&gt;1900,FALSE),IFERROR(INT(LEFT(metadata!C254,4))&lt;=YEAR(NOW()),FALSE)), OR(MID(metadata!C254,5,1)="", AND(AND(MID(metadata!C254,5,1)="-",IFERROR(INT(MID(metadata!C254,6,1))&gt;=0,FALSE),IFERROR(INT(MID(metadata!C254,6,1))&lt;=1,FALSE),NOT(MID(metadata!C254,7,1)=""),IFERROR(INT(MID(metadata!C254,6,2))&gt;=1,FALSE),IFERROR(INT(MID(metadata!C254,6,2))&lt;=12,FALSE)), OR(MID(metadata!C254,8,1)="", AND(AND(MID(metadata!C254,8,1)="-",IFERROR(INT(MID(metadata!C254,9,1))&gt;=0,FALSE),IFERROR(INT(MID(metadata!C254,9,1))&lt;=3,FALSE),NOT(MID(metadata!C254,10,1)=""),IFERROR(INT(MID(metadata!C254,9,2))&gt;=1,FALSE),IFERROR(INT(MID(metadata!C254,9,2))&lt;=31,FALSE)), OR(MID(metadata!C254,11,1)="", AND(AND(MID(metadata!C254,11,1)=" ",IFERROR(INT(MID(metadata!C254,12,1))&gt;=0,FALSE),IFERROR(INT(MID(metadata!C254,12,1))&lt;=2,FALSE),NOT(MID(metadata!C254,13,1)=""),IFERROR(INT(MID(metadata!C254,12,2))&gt;=0,FALSE),IFERROR(INT(MID(metadata!C254,12,2))&lt;=23,FALSE)), OR(MID(metadata!C254,14,1)="", AND(AND(MID(metadata!C254,14,1)=":",IFERROR(INT(MID(metadata!C254,15,1))&gt;=0,FALSE),IFERROR(INT(MID(metadata!C254,15,1))&lt;=5,FALSE),NOT(MID(metadata!C254,16,1)=""),IFERROR(INT(MID(metadata!C254,15,2))&gt;=0,FALSE),IFERROR(INT(MID(metadata!C254,15,2))&lt;=59,FALSE)), OR(MID(metadata!C254,17,1)="", AND(AND(MID(metadata!C254,17,1)=":",IFERROR(INT(MID(metadata!C254,18,1))&gt;=0,FALSE),IFERROR(INT(MID(metadata!C254,18,1))&lt;=5,FALSE),NOT(MID(metadata!C254,19,1)=""),IFERROR(INT(MID(metadata!C254,18,2))&gt;=0,FALSE),IFERROR(INT(MID(metadata!C254,18,2))&lt;=59,FALSE)), LEN(metadata!C254)&lt;=19)))))))))))))</f>
        <v>0</v>
      </c>
      <c r="AD254">
        <f>IF(metadata!D254="",FALSE,TRUE)</f>
        <v>0</v>
      </c>
      <c r="AE254">
        <f>OR(AND(IF(metadata!E254="",FALSE,TRUE),OR(exact(metadata!E254,"missing: not collected"),exact(metadata!E254,"missing: not provided"))),AND(IF(metadata!E254="",FALSE,TRUE),OR(exact(metadata!E254,"TRUE"),exact(metadata!E254,"FALSE"))))</f>
        <v>0</v>
      </c>
      <c r="AF254">
        <f>IF(metadata!F254="",FALSE,TRUE)</f>
        <v>0</v>
      </c>
      <c r="AG254">
        <f>IF(metadata!G254="",FALSE,TRUE)</f>
        <v>0</v>
      </c>
      <c r="AH254">
        <f>IF(metadata!H254="",FALSE,TRUE)</f>
        <v>0</v>
      </c>
      <c r="AI254">
        <f>OR(AND(IF(metadata!I254="",FALSE,TRUE),OR(exact(metadata!I254,"missing: not collected"),exact(metadata!I254,"missing: not provided"),exact(metadata!I254,"missing: restricted access"))),AND(IF(metadata!I254="",FALSE,TRUE),OR(exact(metadata!I254,"air"),exact(metadata!I254,"built environment"),exact(metadata!I254,"host-associated"),exact(metadata!I254,"human-associated"),exact(metadata!I254,"human-skin"),exact(metadata!I254,"human-oral"),exact(metadata!I254,"human-gut"),exact(metadata!I254,"human-vaginal"),exact(metadata!I254,"microbial mat/biofilm"),exact(metadata!I254,"misc environment"),exact(metadata!I254,"plant-associated"),exact(metadata!I254,"sediment"),exact(metadata!I254,"soil"),exact(metadata!I254,"wastewater/sludge"),exact(metadata!I254,"water"))))</f>
        <v>0</v>
      </c>
      <c r="AJ254">
        <f>IF(metadata!J254="",FALSE,TRUE)</f>
        <v>0</v>
      </c>
      <c r="AK254">
        <f>OR(AND(IF(metadata!K254="",FALSE,TRUE),OR(exact(metadata!K254,"missing: not collected"),exact(metadata!K254,"missing: not provided"),exact(metadata!K254,"missing: restricted access"))),AND(IF(metadata!K254="",FALSE,ISNUMBER(VALUE(metadata!K254))),metadata!K254&gt;=-90.00,metadata!K254&lt;=90.00))</f>
        <v>0</v>
      </c>
      <c r="AL254">
        <f>OR(AND(IF(metadata!L254="",FALSE,TRUE),OR(exact(metadata!L254,"missing: not collected"),exact(metadata!L254,"missing: not provided"),exact(metadata!L254,"missing: restricted access"))),AND(IF(metadata!L254="",FALSE,ISNUMBER(VALUE(metadata!L254))),metadata!L254&gt;=-180.00,metadata!L254&lt;=180.00))</f>
        <v>0</v>
      </c>
      <c r="AM254">
        <f>IF(metadata!M254="",FALSE,TRUE)</f>
        <v>0</v>
      </c>
      <c r="AN254">
        <f>OR(AND(IF(metadata!N254="",FALSE,TRUE),OR(exact(metadata!N254,"missing: not collected"),exact(metadata!N254,"missing: not provided"),exact(metadata!N254,"missing: restricted access"))),AND(IF(metadata!N254="",FALSE,TRUE),OR(exact(metadata!N254,"TRUE"),exact(metadata!N254,"FALSE"))))</f>
        <v>0</v>
      </c>
      <c r="AO254">
        <f>IF(metadata!O254="",FALSE,TRUE)</f>
        <v>0</v>
      </c>
      <c r="AP254">
        <f>OR(AND(IF(metadata!P254="",FALSE,TRUE),OR(exact(metadata!P254,"missing: not collected"),exact(metadata!P254,"missing: not provided"))),AND(IF(metadata!P254="",FALSE,IF(ISERROR(INT(metadata!P254)),FALSE,INT(metadata!P254)=metadata!P254)),metadata!P254&gt;0))</f>
        <v>0</v>
      </c>
      <c r="AQ254">
        <f>IF(metadata!Q254="",FALSE,TRUE)</f>
        <v>0</v>
      </c>
    </row>
    <row r="255" spans="1:43">
      <c r="A255" s="5">
        <f>IF(B255=" "," ",HYPERLINK(CONCATENATE("#metadata!",ADDRESS(INDEX($W$2:$W$1001,MATCH(ROWS($U$2:U255),$U$2:$U$1001,0),0),1)),INDEX($Z$2:$Z$1001,MATCH(ROWS($U$2:U255),$U$2:$U$1001,0),0)))</f>
        <v>0</v>
      </c>
      <c r="B255" s="4">
        <f>IF(OR(INDEX($V$2:$V$1001,MATCH(ROWS($U$2:U255),$U$2:$U$1001,0),1)&gt;=100000,INDEX($AB$1005:$AQ$1005,1,MATCH(COLUMNS($AB$1006:AB1006),$AB$1006:$AQ$1006,0))&gt;=100000), " ",IF(INDEX($AB$2:$AQ$1001,MATCH(ROWS($U$2:U255),$U$2:$U$1001,0),MATCH(COLUMNS($AB$1006:AB1006),$AB$1006:$AQ$1006,0)), HYPERLINK("#",""), HYPERLINK(CONCATENATE("#metadata!", ADDRESS(INDEX($W$2:$W$1001,MATCH(ROWS($U$2:U255),$U$2:$U$1001,0),0), INDEX($AB$1004:$AQ$1004,1,MATCH(COLUMNS($AB$1006:AB1006),$AB$1006:$AQ$1006,0)))),"Fix")))</f>
        <v>0</v>
      </c>
      <c r="C255" s="4">
        <f>IF(OR(INDEX($V$2:$V$1001,MATCH(ROWS($U$2:U255),$U$2:$U$1001,0),1)&gt;=100000,INDEX($AB$1005:$AQ$1005,1,MATCH(COLUMNS($AB$1006:AC1006),$AB$1006:$AQ$1006,0))&gt;=100000), " ",IF(INDEX($AB$2:$AQ$1001,MATCH(ROWS($U$2:U255),$U$2:$U$1001,0),MATCH(COLUMNS($AB$1006:AC1006),$AB$1006:$AQ$1006,0)), HYPERLINK("#",""), HYPERLINK(CONCATENATE("#metadata!", ADDRESS(INDEX($W$2:$W$1001,MATCH(ROWS($U$2:U255),$U$2:$U$1001,0),0), INDEX($AB$1004:$AQ$1004,1,MATCH(COLUMNS($AB$1006:AC1006),$AB$1006:$AQ$1006,0)))),"Fix")))</f>
        <v>0</v>
      </c>
      <c r="D255" s="4">
        <f>IF(OR(INDEX($V$2:$V$1001,MATCH(ROWS($U$2:U255),$U$2:$U$1001,0),1)&gt;=100000,INDEX($AB$1005:$AQ$1005,1,MATCH(COLUMNS($AB$1006:AD1006),$AB$1006:$AQ$1006,0))&gt;=100000), " ",IF(INDEX($AB$2:$AQ$1001,MATCH(ROWS($U$2:U255),$U$2:$U$1001,0),MATCH(COLUMNS($AB$1006:AD1006),$AB$1006:$AQ$1006,0)), HYPERLINK("#",""), HYPERLINK(CONCATENATE("#metadata!", ADDRESS(INDEX($W$2:$W$1001,MATCH(ROWS($U$2:U255),$U$2:$U$1001,0),0), INDEX($AB$1004:$AQ$1004,1,MATCH(COLUMNS($AB$1006:AD1006),$AB$1006:$AQ$1006,0)))),"Fix")))</f>
        <v>0</v>
      </c>
      <c r="E255" s="4">
        <f>IF(OR(INDEX($V$2:$V$1001,MATCH(ROWS($U$2:U255),$U$2:$U$1001,0),1)&gt;=100000,INDEX($AB$1005:$AQ$1005,1,MATCH(COLUMNS($AB$1006:AE1006),$AB$1006:$AQ$1006,0))&gt;=100000), " ",IF(INDEX($AB$2:$AQ$1001,MATCH(ROWS($U$2:U255),$U$2:$U$1001,0),MATCH(COLUMNS($AB$1006:AE1006),$AB$1006:$AQ$1006,0)), HYPERLINK("#",""), HYPERLINK(CONCATENATE("#metadata!", ADDRESS(INDEX($W$2:$W$1001,MATCH(ROWS($U$2:U255),$U$2:$U$1001,0),0), INDEX($AB$1004:$AQ$1004,1,MATCH(COLUMNS($AB$1006:AE1006),$AB$1006:$AQ$1006,0)))),"Fix")))</f>
        <v>0</v>
      </c>
      <c r="F255" s="4">
        <f>IF(OR(INDEX($V$2:$V$1001,MATCH(ROWS($U$2:U255),$U$2:$U$1001,0),1)&gt;=100000,INDEX($AB$1005:$AQ$1005,1,MATCH(COLUMNS($AB$1006:AF1006),$AB$1006:$AQ$1006,0))&gt;=100000), " ",IF(INDEX($AB$2:$AQ$1001,MATCH(ROWS($U$2:U255),$U$2:$U$1001,0),MATCH(COLUMNS($AB$1006:AF1006),$AB$1006:$AQ$1006,0)), HYPERLINK("#",""), HYPERLINK(CONCATENATE("#metadata!", ADDRESS(INDEX($W$2:$W$1001,MATCH(ROWS($U$2:U255),$U$2:$U$1001,0),0), INDEX($AB$1004:$AQ$1004,1,MATCH(COLUMNS($AB$1006:AF1006),$AB$1006:$AQ$1006,0)))),"Fix")))</f>
        <v>0</v>
      </c>
      <c r="G255" s="4">
        <f>IF(OR(INDEX($V$2:$V$1001,MATCH(ROWS($U$2:U255),$U$2:$U$1001,0),1)&gt;=100000,INDEX($AB$1005:$AQ$1005,1,MATCH(COLUMNS($AB$1006:AG1006),$AB$1006:$AQ$1006,0))&gt;=100000), " ",IF(INDEX($AB$2:$AQ$1001,MATCH(ROWS($U$2:U255),$U$2:$U$1001,0),MATCH(COLUMNS($AB$1006:AG1006),$AB$1006:$AQ$1006,0)), HYPERLINK("#",""), HYPERLINK(CONCATENATE("#metadata!", ADDRESS(INDEX($W$2:$W$1001,MATCH(ROWS($U$2:U255),$U$2:$U$1001,0),0), INDEX($AB$1004:$AQ$1004,1,MATCH(COLUMNS($AB$1006:AG1006),$AB$1006:$AQ$1006,0)))),"Fix")))</f>
        <v>0</v>
      </c>
      <c r="H255" s="4">
        <f>IF(OR(INDEX($V$2:$V$1001,MATCH(ROWS($U$2:U255),$U$2:$U$1001,0),1)&gt;=100000,INDEX($AB$1005:$AQ$1005,1,MATCH(COLUMNS($AB$1006:AH1006),$AB$1006:$AQ$1006,0))&gt;=100000), " ",IF(INDEX($AB$2:$AQ$1001,MATCH(ROWS($U$2:U255),$U$2:$U$1001,0),MATCH(COLUMNS($AB$1006:AH1006),$AB$1006:$AQ$1006,0)), HYPERLINK("#",""), HYPERLINK(CONCATENATE("#metadata!", ADDRESS(INDEX($W$2:$W$1001,MATCH(ROWS($U$2:U255),$U$2:$U$1001,0),0), INDEX($AB$1004:$AQ$1004,1,MATCH(COLUMNS($AB$1006:AH1006),$AB$1006:$AQ$1006,0)))),"Fix")))</f>
        <v>0</v>
      </c>
      <c r="I255" s="4">
        <f>IF(OR(INDEX($V$2:$V$1001,MATCH(ROWS($U$2:U255),$U$2:$U$1001,0),1)&gt;=100000,INDEX($AB$1005:$AQ$1005,1,MATCH(COLUMNS($AB$1006:AI1006),$AB$1006:$AQ$1006,0))&gt;=100000), " ",IF(INDEX($AB$2:$AQ$1001,MATCH(ROWS($U$2:U255),$U$2:$U$1001,0),MATCH(COLUMNS($AB$1006:AI1006),$AB$1006:$AQ$1006,0)), HYPERLINK("#",""), HYPERLINK(CONCATENATE("#metadata!", ADDRESS(INDEX($W$2:$W$1001,MATCH(ROWS($U$2:U255),$U$2:$U$1001,0),0), INDEX($AB$1004:$AQ$1004,1,MATCH(COLUMNS($AB$1006:AI1006),$AB$1006:$AQ$1006,0)))),"Fix")))</f>
        <v>0</v>
      </c>
      <c r="J255" s="4">
        <f>IF(OR(INDEX($V$2:$V$1001,MATCH(ROWS($U$2:U255),$U$2:$U$1001,0),1)&gt;=100000,INDEX($AB$1005:$AQ$1005,1,MATCH(COLUMNS($AB$1006:AJ1006),$AB$1006:$AQ$1006,0))&gt;=100000), " ",IF(INDEX($AB$2:$AQ$1001,MATCH(ROWS($U$2:U255),$U$2:$U$1001,0),MATCH(COLUMNS($AB$1006:AJ1006),$AB$1006:$AQ$1006,0)), HYPERLINK("#",""), HYPERLINK(CONCATENATE("#metadata!", ADDRESS(INDEX($W$2:$W$1001,MATCH(ROWS($U$2:U255),$U$2:$U$1001,0),0), INDEX($AB$1004:$AQ$1004,1,MATCH(COLUMNS($AB$1006:AJ1006),$AB$1006:$AQ$1006,0)))),"Fix")))</f>
        <v>0</v>
      </c>
      <c r="K255" s="4">
        <f>IF(OR(INDEX($V$2:$V$1001,MATCH(ROWS($U$2:U255),$U$2:$U$1001,0),1)&gt;=100000,INDEX($AB$1005:$AQ$1005,1,MATCH(COLUMNS($AB$1006:AK1006),$AB$1006:$AQ$1006,0))&gt;=100000), " ",IF(INDEX($AB$2:$AQ$1001,MATCH(ROWS($U$2:U255),$U$2:$U$1001,0),MATCH(COLUMNS($AB$1006:AK1006),$AB$1006:$AQ$1006,0)), HYPERLINK("#",""), HYPERLINK(CONCATENATE("#metadata!", ADDRESS(INDEX($W$2:$W$1001,MATCH(ROWS($U$2:U255),$U$2:$U$1001,0),0), INDEX($AB$1004:$AQ$1004,1,MATCH(COLUMNS($AB$1006:AK1006),$AB$1006:$AQ$1006,0)))),"Fix")))</f>
        <v>0</v>
      </c>
      <c r="L255" s="4">
        <f>IF(OR(INDEX($V$2:$V$1001,MATCH(ROWS($U$2:U255),$U$2:$U$1001,0),1)&gt;=100000,INDEX($AB$1005:$AQ$1005,1,MATCH(COLUMNS($AB$1006:AL1006),$AB$1006:$AQ$1006,0))&gt;=100000), " ",IF(INDEX($AB$2:$AQ$1001,MATCH(ROWS($U$2:U255),$U$2:$U$1001,0),MATCH(COLUMNS($AB$1006:AL1006),$AB$1006:$AQ$1006,0)), HYPERLINK("#",""), HYPERLINK(CONCATENATE("#metadata!", ADDRESS(INDEX($W$2:$W$1001,MATCH(ROWS($U$2:U255),$U$2:$U$1001,0),0), INDEX($AB$1004:$AQ$1004,1,MATCH(COLUMNS($AB$1006:AL1006),$AB$1006:$AQ$1006,0)))),"Fix")))</f>
        <v>0</v>
      </c>
      <c r="M255" s="4">
        <f>IF(OR(INDEX($V$2:$V$1001,MATCH(ROWS($U$2:U255),$U$2:$U$1001,0),1)&gt;=100000,INDEX($AB$1005:$AQ$1005,1,MATCH(COLUMNS($AB$1006:AM1006),$AB$1006:$AQ$1006,0))&gt;=100000), " ",IF(INDEX($AB$2:$AQ$1001,MATCH(ROWS($U$2:U255),$U$2:$U$1001,0),MATCH(COLUMNS($AB$1006:AM1006),$AB$1006:$AQ$1006,0)), HYPERLINK("#",""), HYPERLINK(CONCATENATE("#metadata!", ADDRESS(INDEX($W$2:$W$1001,MATCH(ROWS($U$2:U255),$U$2:$U$1001,0),0), INDEX($AB$1004:$AQ$1004,1,MATCH(COLUMNS($AB$1006:AM1006),$AB$1006:$AQ$1006,0)))),"Fix")))</f>
        <v>0</v>
      </c>
      <c r="N255" s="4">
        <f>IF(OR(INDEX($V$2:$V$1001,MATCH(ROWS($U$2:U255),$U$2:$U$1001,0),1)&gt;=100000,INDEX($AB$1005:$AQ$1005,1,MATCH(COLUMNS($AB$1006:AN1006),$AB$1006:$AQ$1006,0))&gt;=100000), " ",IF(INDEX($AB$2:$AQ$1001,MATCH(ROWS($U$2:U255),$U$2:$U$1001,0),MATCH(COLUMNS($AB$1006:AN1006),$AB$1006:$AQ$1006,0)), HYPERLINK("#",""), HYPERLINK(CONCATENATE("#metadata!", ADDRESS(INDEX($W$2:$W$1001,MATCH(ROWS($U$2:U255),$U$2:$U$1001,0),0), INDEX($AB$1004:$AQ$1004,1,MATCH(COLUMNS($AB$1006:AN1006),$AB$1006:$AQ$1006,0)))),"Fix")))</f>
        <v>0</v>
      </c>
      <c r="O255" s="4">
        <f>IF(OR(INDEX($V$2:$V$1001,MATCH(ROWS($U$2:U255),$U$2:$U$1001,0),1)&gt;=100000,INDEX($AB$1005:$AQ$1005,1,MATCH(COLUMNS($AB$1006:AO1006),$AB$1006:$AQ$1006,0))&gt;=100000), " ",IF(INDEX($AB$2:$AQ$1001,MATCH(ROWS($U$2:U255),$U$2:$U$1001,0),MATCH(COLUMNS($AB$1006:AO1006),$AB$1006:$AQ$1006,0)), HYPERLINK("#",""), HYPERLINK(CONCATENATE("#metadata!", ADDRESS(INDEX($W$2:$W$1001,MATCH(ROWS($U$2:U255),$U$2:$U$1001,0),0), INDEX($AB$1004:$AQ$1004,1,MATCH(COLUMNS($AB$1006:AO1006),$AB$1006:$AQ$1006,0)))),"Fix")))</f>
        <v>0</v>
      </c>
      <c r="P255" s="4">
        <f>IF(OR(INDEX($V$2:$V$1001,MATCH(ROWS($U$2:U255),$U$2:$U$1001,0),1)&gt;=100000,INDEX($AB$1005:$AQ$1005,1,MATCH(COLUMNS($AB$1006:AP1006),$AB$1006:$AQ$1006,0))&gt;=100000), " ",IF(INDEX($AB$2:$AQ$1001,MATCH(ROWS($U$2:U255),$U$2:$U$1001,0),MATCH(COLUMNS($AB$1006:AP1006),$AB$1006:$AQ$1006,0)), HYPERLINK("#",""), HYPERLINK(CONCATENATE("#metadata!", ADDRESS(INDEX($W$2:$W$1001,MATCH(ROWS($U$2:U255),$U$2:$U$1001,0),0), INDEX($AB$1004:$AQ$1004,1,MATCH(COLUMNS($AB$1006:AP1006),$AB$1006:$AQ$1006,0)))),"Fix")))</f>
        <v>0</v>
      </c>
      <c r="Q255" s="4">
        <f>IF(OR(INDEX($V$2:$V$1001,MATCH(ROWS($U$2:U255),$U$2:$U$1001,0),1)&gt;=100000,INDEX($AB$1005:$AQ$1005,1,MATCH(COLUMNS($AB$1006:AQ1006),$AB$1006:$AQ$1006,0))&gt;=100000), " ",IF(INDEX($AB$2:$AQ$1001,MATCH(ROWS($U$2:U255),$U$2:$U$1001,0),MATCH(COLUMNS($AB$1006:AQ1006),$AB$1006:$AQ$1006,0)), HYPERLINK("#",""), HYPERLINK(CONCATENATE("#metadata!", ADDRESS(INDEX($W$2:$W$1001,MATCH(ROWS($U$2:U255),$U$2:$U$1001,0),0), INDEX($AB$1004:$AQ$1004,1,MATCH(COLUMNS($AB$1006:AQ1006),$AB$1006:$AQ$1006,0)))),"Fix")))</f>
        <v>0</v>
      </c>
      <c r="U255">
        <v>0</v>
      </c>
      <c r="V255">
        <v>0</v>
      </c>
      <c r="W255">
        <v>0</v>
      </c>
      <c r="X255">
        <f>IF(Y255,TRUE,AND(AB255:AQ255))</f>
        <v>0</v>
      </c>
      <c r="Y255">
        <f>COUNTBLANK(metadata!B255:Q255)=COLUMNS(metadata!B255:Q255)</f>
        <v>0</v>
      </c>
      <c r="Z255">
        <v>0</v>
      </c>
      <c r="AB255">
        <f>AND(IF(metadata!B255="",FALSE,TRUE),COUNTIF(metadata!B:B, metadata!B255) = 1,NOT(ISERROR(SUMPRODUCT(SEARCH(MID(metadata!B255,ROW(INDIRECT("1:"&amp;LEN(metadata!B255))), 1),"0123456789abcdefghijklmnopqrstuvwxyzABCDEFGHIJKLMNOPQRSTUVWXYZ.")))))</f>
        <v>0</v>
      </c>
      <c r="AC255">
        <f>OR(AND(IF(metadata!C255="",FALSE,TRUE),OR(exact(metadata!C255,"missing: not collected"),exact(metadata!C255,"missing: not provided"),exact(metadata!C255,"missing: restricted access"))),AND(IF(metadata!C255="",FALSE,TRUE),AND(AND(IFERROR(INT(LEFT(metadata!C255,4))&gt;1900,FALSE),IFERROR(INT(LEFT(metadata!C255,4))&lt;=YEAR(NOW()),FALSE)), OR(MID(metadata!C255,5,1)="", AND(AND(MID(metadata!C255,5,1)="-",IFERROR(INT(MID(metadata!C255,6,1))&gt;=0,FALSE),IFERROR(INT(MID(metadata!C255,6,1))&lt;=1,FALSE),NOT(MID(metadata!C255,7,1)=""),IFERROR(INT(MID(metadata!C255,6,2))&gt;=1,FALSE),IFERROR(INT(MID(metadata!C255,6,2))&lt;=12,FALSE)), OR(MID(metadata!C255,8,1)="", AND(AND(MID(metadata!C255,8,1)="-",IFERROR(INT(MID(metadata!C255,9,1))&gt;=0,FALSE),IFERROR(INT(MID(metadata!C255,9,1))&lt;=3,FALSE),NOT(MID(metadata!C255,10,1)=""),IFERROR(INT(MID(metadata!C255,9,2))&gt;=1,FALSE),IFERROR(INT(MID(metadata!C255,9,2))&lt;=31,FALSE)), OR(MID(metadata!C255,11,1)="", AND(AND(MID(metadata!C255,11,1)=" ",IFERROR(INT(MID(metadata!C255,12,1))&gt;=0,FALSE),IFERROR(INT(MID(metadata!C255,12,1))&lt;=2,FALSE),NOT(MID(metadata!C255,13,1)=""),IFERROR(INT(MID(metadata!C255,12,2))&gt;=0,FALSE),IFERROR(INT(MID(metadata!C255,12,2))&lt;=23,FALSE)), OR(MID(metadata!C255,14,1)="", AND(AND(MID(metadata!C255,14,1)=":",IFERROR(INT(MID(metadata!C255,15,1))&gt;=0,FALSE),IFERROR(INT(MID(metadata!C255,15,1))&lt;=5,FALSE),NOT(MID(metadata!C255,16,1)=""),IFERROR(INT(MID(metadata!C255,15,2))&gt;=0,FALSE),IFERROR(INT(MID(metadata!C255,15,2))&lt;=59,FALSE)), OR(MID(metadata!C255,17,1)="", AND(AND(MID(metadata!C255,17,1)=":",IFERROR(INT(MID(metadata!C255,18,1))&gt;=0,FALSE),IFERROR(INT(MID(metadata!C255,18,1))&lt;=5,FALSE),NOT(MID(metadata!C255,19,1)=""),IFERROR(INT(MID(metadata!C255,18,2))&gt;=0,FALSE),IFERROR(INT(MID(metadata!C255,18,2))&lt;=59,FALSE)), LEN(metadata!C255)&lt;=19)))))))))))))</f>
        <v>0</v>
      </c>
      <c r="AD255">
        <f>IF(metadata!D255="",FALSE,TRUE)</f>
        <v>0</v>
      </c>
      <c r="AE255">
        <f>OR(AND(IF(metadata!E255="",FALSE,TRUE),OR(exact(metadata!E255,"missing: not collected"),exact(metadata!E255,"missing: not provided"))),AND(IF(metadata!E255="",FALSE,TRUE),OR(exact(metadata!E255,"TRUE"),exact(metadata!E255,"FALSE"))))</f>
        <v>0</v>
      </c>
      <c r="AF255">
        <f>IF(metadata!F255="",FALSE,TRUE)</f>
        <v>0</v>
      </c>
      <c r="AG255">
        <f>IF(metadata!G255="",FALSE,TRUE)</f>
        <v>0</v>
      </c>
      <c r="AH255">
        <f>IF(metadata!H255="",FALSE,TRUE)</f>
        <v>0</v>
      </c>
      <c r="AI255">
        <f>OR(AND(IF(metadata!I255="",FALSE,TRUE),OR(exact(metadata!I255,"missing: not collected"),exact(metadata!I255,"missing: not provided"),exact(metadata!I255,"missing: restricted access"))),AND(IF(metadata!I255="",FALSE,TRUE),OR(exact(metadata!I255,"air"),exact(metadata!I255,"built environment"),exact(metadata!I255,"host-associated"),exact(metadata!I255,"human-associated"),exact(metadata!I255,"human-skin"),exact(metadata!I255,"human-oral"),exact(metadata!I255,"human-gut"),exact(metadata!I255,"human-vaginal"),exact(metadata!I255,"microbial mat/biofilm"),exact(metadata!I255,"misc environment"),exact(metadata!I255,"plant-associated"),exact(metadata!I255,"sediment"),exact(metadata!I255,"soil"),exact(metadata!I255,"wastewater/sludge"),exact(metadata!I255,"water"))))</f>
        <v>0</v>
      </c>
      <c r="AJ255">
        <f>IF(metadata!J255="",FALSE,TRUE)</f>
        <v>0</v>
      </c>
      <c r="AK255">
        <f>OR(AND(IF(metadata!K255="",FALSE,TRUE),OR(exact(metadata!K255,"missing: not collected"),exact(metadata!K255,"missing: not provided"),exact(metadata!K255,"missing: restricted access"))),AND(IF(metadata!K255="",FALSE,ISNUMBER(VALUE(metadata!K255))),metadata!K255&gt;=-90.00,metadata!K255&lt;=90.00))</f>
        <v>0</v>
      </c>
      <c r="AL255">
        <f>OR(AND(IF(metadata!L255="",FALSE,TRUE),OR(exact(metadata!L255,"missing: not collected"),exact(metadata!L255,"missing: not provided"),exact(metadata!L255,"missing: restricted access"))),AND(IF(metadata!L255="",FALSE,ISNUMBER(VALUE(metadata!L255))),metadata!L255&gt;=-180.00,metadata!L255&lt;=180.00))</f>
        <v>0</v>
      </c>
      <c r="AM255">
        <f>IF(metadata!M255="",FALSE,TRUE)</f>
        <v>0</v>
      </c>
      <c r="AN255">
        <f>OR(AND(IF(metadata!N255="",FALSE,TRUE),OR(exact(metadata!N255,"missing: not collected"),exact(metadata!N255,"missing: not provided"),exact(metadata!N255,"missing: restricted access"))),AND(IF(metadata!N255="",FALSE,TRUE),OR(exact(metadata!N255,"TRUE"),exact(metadata!N255,"FALSE"))))</f>
        <v>0</v>
      </c>
      <c r="AO255">
        <f>IF(metadata!O255="",FALSE,TRUE)</f>
        <v>0</v>
      </c>
      <c r="AP255">
        <f>OR(AND(IF(metadata!P255="",FALSE,TRUE),OR(exact(metadata!P255,"missing: not collected"),exact(metadata!P255,"missing: not provided"))),AND(IF(metadata!P255="",FALSE,IF(ISERROR(INT(metadata!P255)),FALSE,INT(metadata!P255)=metadata!P255)),metadata!P255&gt;0))</f>
        <v>0</v>
      </c>
      <c r="AQ255">
        <f>IF(metadata!Q255="",FALSE,TRUE)</f>
        <v>0</v>
      </c>
    </row>
    <row r="256" spans="1:43">
      <c r="A256" s="5">
        <f>IF(B256=" "," ",HYPERLINK(CONCATENATE("#metadata!",ADDRESS(INDEX($W$2:$W$1001,MATCH(ROWS($U$2:U256),$U$2:$U$1001,0),0),1)),INDEX($Z$2:$Z$1001,MATCH(ROWS($U$2:U256),$U$2:$U$1001,0),0)))</f>
        <v>0</v>
      </c>
      <c r="B256" s="4">
        <f>IF(OR(INDEX($V$2:$V$1001,MATCH(ROWS($U$2:U256),$U$2:$U$1001,0),1)&gt;=100000,INDEX($AB$1005:$AQ$1005,1,MATCH(COLUMNS($AB$1006:AB1006),$AB$1006:$AQ$1006,0))&gt;=100000), " ",IF(INDEX($AB$2:$AQ$1001,MATCH(ROWS($U$2:U256),$U$2:$U$1001,0),MATCH(COLUMNS($AB$1006:AB1006),$AB$1006:$AQ$1006,0)), HYPERLINK("#",""), HYPERLINK(CONCATENATE("#metadata!", ADDRESS(INDEX($W$2:$W$1001,MATCH(ROWS($U$2:U256),$U$2:$U$1001,0),0), INDEX($AB$1004:$AQ$1004,1,MATCH(COLUMNS($AB$1006:AB1006),$AB$1006:$AQ$1006,0)))),"Fix")))</f>
        <v>0</v>
      </c>
      <c r="C256" s="4">
        <f>IF(OR(INDEX($V$2:$V$1001,MATCH(ROWS($U$2:U256),$U$2:$U$1001,0),1)&gt;=100000,INDEX($AB$1005:$AQ$1005,1,MATCH(COLUMNS($AB$1006:AC1006),$AB$1006:$AQ$1006,0))&gt;=100000), " ",IF(INDEX($AB$2:$AQ$1001,MATCH(ROWS($U$2:U256),$U$2:$U$1001,0),MATCH(COLUMNS($AB$1006:AC1006),$AB$1006:$AQ$1006,0)), HYPERLINK("#",""), HYPERLINK(CONCATENATE("#metadata!", ADDRESS(INDEX($W$2:$W$1001,MATCH(ROWS($U$2:U256),$U$2:$U$1001,0),0), INDEX($AB$1004:$AQ$1004,1,MATCH(COLUMNS($AB$1006:AC1006),$AB$1006:$AQ$1006,0)))),"Fix")))</f>
        <v>0</v>
      </c>
      <c r="D256" s="4">
        <f>IF(OR(INDEX($V$2:$V$1001,MATCH(ROWS($U$2:U256),$U$2:$U$1001,0),1)&gt;=100000,INDEX($AB$1005:$AQ$1005,1,MATCH(COLUMNS($AB$1006:AD1006),$AB$1006:$AQ$1006,0))&gt;=100000), " ",IF(INDEX($AB$2:$AQ$1001,MATCH(ROWS($U$2:U256),$U$2:$U$1001,0),MATCH(COLUMNS($AB$1006:AD1006),$AB$1006:$AQ$1006,0)), HYPERLINK("#",""), HYPERLINK(CONCATENATE("#metadata!", ADDRESS(INDEX($W$2:$W$1001,MATCH(ROWS($U$2:U256),$U$2:$U$1001,0),0), INDEX($AB$1004:$AQ$1004,1,MATCH(COLUMNS($AB$1006:AD1006),$AB$1006:$AQ$1006,0)))),"Fix")))</f>
        <v>0</v>
      </c>
      <c r="E256" s="4">
        <f>IF(OR(INDEX($V$2:$V$1001,MATCH(ROWS($U$2:U256),$U$2:$U$1001,0),1)&gt;=100000,INDEX($AB$1005:$AQ$1005,1,MATCH(COLUMNS($AB$1006:AE1006),$AB$1006:$AQ$1006,0))&gt;=100000), " ",IF(INDEX($AB$2:$AQ$1001,MATCH(ROWS($U$2:U256),$U$2:$U$1001,0),MATCH(COLUMNS($AB$1006:AE1006),$AB$1006:$AQ$1006,0)), HYPERLINK("#",""), HYPERLINK(CONCATENATE("#metadata!", ADDRESS(INDEX($W$2:$W$1001,MATCH(ROWS($U$2:U256),$U$2:$U$1001,0),0), INDEX($AB$1004:$AQ$1004,1,MATCH(COLUMNS($AB$1006:AE1006),$AB$1006:$AQ$1006,0)))),"Fix")))</f>
        <v>0</v>
      </c>
      <c r="F256" s="4">
        <f>IF(OR(INDEX($V$2:$V$1001,MATCH(ROWS($U$2:U256),$U$2:$U$1001,0),1)&gt;=100000,INDEX($AB$1005:$AQ$1005,1,MATCH(COLUMNS($AB$1006:AF1006),$AB$1006:$AQ$1006,0))&gt;=100000), " ",IF(INDEX($AB$2:$AQ$1001,MATCH(ROWS($U$2:U256),$U$2:$U$1001,0),MATCH(COLUMNS($AB$1006:AF1006),$AB$1006:$AQ$1006,0)), HYPERLINK("#",""), HYPERLINK(CONCATENATE("#metadata!", ADDRESS(INDEX($W$2:$W$1001,MATCH(ROWS($U$2:U256),$U$2:$U$1001,0),0), INDEX($AB$1004:$AQ$1004,1,MATCH(COLUMNS($AB$1006:AF1006),$AB$1006:$AQ$1006,0)))),"Fix")))</f>
        <v>0</v>
      </c>
      <c r="G256" s="4">
        <f>IF(OR(INDEX($V$2:$V$1001,MATCH(ROWS($U$2:U256),$U$2:$U$1001,0),1)&gt;=100000,INDEX($AB$1005:$AQ$1005,1,MATCH(COLUMNS($AB$1006:AG1006),$AB$1006:$AQ$1006,0))&gt;=100000), " ",IF(INDEX($AB$2:$AQ$1001,MATCH(ROWS($U$2:U256),$U$2:$U$1001,0),MATCH(COLUMNS($AB$1006:AG1006),$AB$1006:$AQ$1006,0)), HYPERLINK("#",""), HYPERLINK(CONCATENATE("#metadata!", ADDRESS(INDEX($W$2:$W$1001,MATCH(ROWS($U$2:U256),$U$2:$U$1001,0),0), INDEX($AB$1004:$AQ$1004,1,MATCH(COLUMNS($AB$1006:AG1006),$AB$1006:$AQ$1006,0)))),"Fix")))</f>
        <v>0</v>
      </c>
      <c r="H256" s="4">
        <f>IF(OR(INDEX($V$2:$V$1001,MATCH(ROWS($U$2:U256),$U$2:$U$1001,0),1)&gt;=100000,INDEX($AB$1005:$AQ$1005,1,MATCH(COLUMNS($AB$1006:AH1006),$AB$1006:$AQ$1006,0))&gt;=100000), " ",IF(INDEX($AB$2:$AQ$1001,MATCH(ROWS($U$2:U256),$U$2:$U$1001,0),MATCH(COLUMNS($AB$1006:AH1006),$AB$1006:$AQ$1006,0)), HYPERLINK("#",""), HYPERLINK(CONCATENATE("#metadata!", ADDRESS(INDEX($W$2:$W$1001,MATCH(ROWS($U$2:U256),$U$2:$U$1001,0),0), INDEX($AB$1004:$AQ$1004,1,MATCH(COLUMNS($AB$1006:AH1006),$AB$1006:$AQ$1006,0)))),"Fix")))</f>
        <v>0</v>
      </c>
      <c r="I256" s="4">
        <f>IF(OR(INDEX($V$2:$V$1001,MATCH(ROWS($U$2:U256),$U$2:$U$1001,0),1)&gt;=100000,INDEX($AB$1005:$AQ$1005,1,MATCH(COLUMNS($AB$1006:AI1006),$AB$1006:$AQ$1006,0))&gt;=100000), " ",IF(INDEX($AB$2:$AQ$1001,MATCH(ROWS($U$2:U256),$U$2:$U$1001,0),MATCH(COLUMNS($AB$1006:AI1006),$AB$1006:$AQ$1006,0)), HYPERLINK("#",""), HYPERLINK(CONCATENATE("#metadata!", ADDRESS(INDEX($W$2:$W$1001,MATCH(ROWS($U$2:U256),$U$2:$U$1001,0),0), INDEX($AB$1004:$AQ$1004,1,MATCH(COLUMNS($AB$1006:AI1006),$AB$1006:$AQ$1006,0)))),"Fix")))</f>
        <v>0</v>
      </c>
      <c r="J256" s="4">
        <f>IF(OR(INDEX($V$2:$V$1001,MATCH(ROWS($U$2:U256),$U$2:$U$1001,0),1)&gt;=100000,INDEX($AB$1005:$AQ$1005,1,MATCH(COLUMNS($AB$1006:AJ1006),$AB$1006:$AQ$1006,0))&gt;=100000), " ",IF(INDEX($AB$2:$AQ$1001,MATCH(ROWS($U$2:U256),$U$2:$U$1001,0),MATCH(COLUMNS($AB$1006:AJ1006),$AB$1006:$AQ$1006,0)), HYPERLINK("#",""), HYPERLINK(CONCATENATE("#metadata!", ADDRESS(INDEX($W$2:$W$1001,MATCH(ROWS($U$2:U256),$U$2:$U$1001,0),0), INDEX($AB$1004:$AQ$1004,1,MATCH(COLUMNS($AB$1006:AJ1006),$AB$1006:$AQ$1006,0)))),"Fix")))</f>
        <v>0</v>
      </c>
      <c r="K256" s="4">
        <f>IF(OR(INDEX($V$2:$V$1001,MATCH(ROWS($U$2:U256),$U$2:$U$1001,0),1)&gt;=100000,INDEX($AB$1005:$AQ$1005,1,MATCH(COLUMNS($AB$1006:AK1006),$AB$1006:$AQ$1006,0))&gt;=100000), " ",IF(INDEX($AB$2:$AQ$1001,MATCH(ROWS($U$2:U256),$U$2:$U$1001,0),MATCH(COLUMNS($AB$1006:AK1006),$AB$1006:$AQ$1006,0)), HYPERLINK("#",""), HYPERLINK(CONCATENATE("#metadata!", ADDRESS(INDEX($W$2:$W$1001,MATCH(ROWS($U$2:U256),$U$2:$U$1001,0),0), INDEX($AB$1004:$AQ$1004,1,MATCH(COLUMNS($AB$1006:AK1006),$AB$1006:$AQ$1006,0)))),"Fix")))</f>
        <v>0</v>
      </c>
      <c r="L256" s="4">
        <f>IF(OR(INDEX($V$2:$V$1001,MATCH(ROWS($U$2:U256),$U$2:$U$1001,0),1)&gt;=100000,INDEX($AB$1005:$AQ$1005,1,MATCH(COLUMNS($AB$1006:AL1006),$AB$1006:$AQ$1006,0))&gt;=100000), " ",IF(INDEX($AB$2:$AQ$1001,MATCH(ROWS($U$2:U256),$U$2:$U$1001,0),MATCH(COLUMNS($AB$1006:AL1006),$AB$1006:$AQ$1006,0)), HYPERLINK("#",""), HYPERLINK(CONCATENATE("#metadata!", ADDRESS(INDEX($W$2:$W$1001,MATCH(ROWS($U$2:U256),$U$2:$U$1001,0),0), INDEX($AB$1004:$AQ$1004,1,MATCH(COLUMNS($AB$1006:AL1006),$AB$1006:$AQ$1006,0)))),"Fix")))</f>
        <v>0</v>
      </c>
      <c r="M256" s="4">
        <f>IF(OR(INDEX($V$2:$V$1001,MATCH(ROWS($U$2:U256),$U$2:$U$1001,0),1)&gt;=100000,INDEX($AB$1005:$AQ$1005,1,MATCH(COLUMNS($AB$1006:AM1006),$AB$1006:$AQ$1006,0))&gt;=100000), " ",IF(INDEX($AB$2:$AQ$1001,MATCH(ROWS($U$2:U256),$U$2:$U$1001,0),MATCH(COLUMNS($AB$1006:AM1006),$AB$1006:$AQ$1006,0)), HYPERLINK("#",""), HYPERLINK(CONCATENATE("#metadata!", ADDRESS(INDEX($W$2:$W$1001,MATCH(ROWS($U$2:U256),$U$2:$U$1001,0),0), INDEX($AB$1004:$AQ$1004,1,MATCH(COLUMNS($AB$1006:AM1006),$AB$1006:$AQ$1006,0)))),"Fix")))</f>
        <v>0</v>
      </c>
      <c r="N256" s="4">
        <f>IF(OR(INDEX($V$2:$V$1001,MATCH(ROWS($U$2:U256),$U$2:$U$1001,0),1)&gt;=100000,INDEX($AB$1005:$AQ$1005,1,MATCH(COLUMNS($AB$1006:AN1006),$AB$1006:$AQ$1006,0))&gt;=100000), " ",IF(INDEX($AB$2:$AQ$1001,MATCH(ROWS($U$2:U256),$U$2:$U$1001,0),MATCH(COLUMNS($AB$1006:AN1006),$AB$1006:$AQ$1006,0)), HYPERLINK("#",""), HYPERLINK(CONCATENATE("#metadata!", ADDRESS(INDEX($W$2:$W$1001,MATCH(ROWS($U$2:U256),$U$2:$U$1001,0),0), INDEX($AB$1004:$AQ$1004,1,MATCH(COLUMNS($AB$1006:AN1006),$AB$1006:$AQ$1006,0)))),"Fix")))</f>
        <v>0</v>
      </c>
      <c r="O256" s="4">
        <f>IF(OR(INDEX($V$2:$V$1001,MATCH(ROWS($U$2:U256),$U$2:$U$1001,0),1)&gt;=100000,INDEX($AB$1005:$AQ$1005,1,MATCH(COLUMNS($AB$1006:AO1006),$AB$1006:$AQ$1006,0))&gt;=100000), " ",IF(INDEX($AB$2:$AQ$1001,MATCH(ROWS($U$2:U256),$U$2:$U$1001,0),MATCH(COLUMNS($AB$1006:AO1006),$AB$1006:$AQ$1006,0)), HYPERLINK("#",""), HYPERLINK(CONCATENATE("#metadata!", ADDRESS(INDEX($W$2:$W$1001,MATCH(ROWS($U$2:U256),$U$2:$U$1001,0),0), INDEX($AB$1004:$AQ$1004,1,MATCH(COLUMNS($AB$1006:AO1006),$AB$1006:$AQ$1006,0)))),"Fix")))</f>
        <v>0</v>
      </c>
      <c r="P256" s="4">
        <f>IF(OR(INDEX($V$2:$V$1001,MATCH(ROWS($U$2:U256),$U$2:$U$1001,0),1)&gt;=100000,INDEX($AB$1005:$AQ$1005,1,MATCH(COLUMNS($AB$1006:AP1006),$AB$1006:$AQ$1006,0))&gt;=100000), " ",IF(INDEX($AB$2:$AQ$1001,MATCH(ROWS($U$2:U256),$U$2:$U$1001,0),MATCH(COLUMNS($AB$1006:AP1006),$AB$1006:$AQ$1006,0)), HYPERLINK("#",""), HYPERLINK(CONCATENATE("#metadata!", ADDRESS(INDEX($W$2:$W$1001,MATCH(ROWS($U$2:U256),$U$2:$U$1001,0),0), INDEX($AB$1004:$AQ$1004,1,MATCH(COLUMNS($AB$1006:AP1006),$AB$1006:$AQ$1006,0)))),"Fix")))</f>
        <v>0</v>
      </c>
      <c r="Q256" s="4">
        <f>IF(OR(INDEX($V$2:$V$1001,MATCH(ROWS($U$2:U256),$U$2:$U$1001,0),1)&gt;=100000,INDEX($AB$1005:$AQ$1005,1,MATCH(COLUMNS($AB$1006:AQ1006),$AB$1006:$AQ$1006,0))&gt;=100000), " ",IF(INDEX($AB$2:$AQ$1001,MATCH(ROWS($U$2:U256),$U$2:$U$1001,0),MATCH(COLUMNS($AB$1006:AQ1006),$AB$1006:$AQ$1006,0)), HYPERLINK("#",""), HYPERLINK(CONCATENATE("#metadata!", ADDRESS(INDEX($W$2:$W$1001,MATCH(ROWS($U$2:U256),$U$2:$U$1001,0),0), INDEX($AB$1004:$AQ$1004,1,MATCH(COLUMNS($AB$1006:AQ1006),$AB$1006:$AQ$1006,0)))),"Fix")))</f>
        <v>0</v>
      </c>
      <c r="U256">
        <v>0</v>
      </c>
      <c r="V256">
        <v>0</v>
      </c>
      <c r="W256">
        <v>0</v>
      </c>
      <c r="X256">
        <f>IF(Y256,TRUE,AND(AB256:AQ256))</f>
        <v>0</v>
      </c>
      <c r="Y256">
        <f>COUNTBLANK(metadata!B256:Q256)=COLUMNS(metadata!B256:Q256)</f>
        <v>0</v>
      </c>
      <c r="Z256">
        <v>0</v>
      </c>
      <c r="AB256">
        <f>AND(IF(metadata!B256="",FALSE,TRUE),COUNTIF(metadata!B:B, metadata!B256) = 1,NOT(ISERROR(SUMPRODUCT(SEARCH(MID(metadata!B256,ROW(INDIRECT("1:"&amp;LEN(metadata!B256))), 1),"0123456789abcdefghijklmnopqrstuvwxyzABCDEFGHIJKLMNOPQRSTUVWXYZ.")))))</f>
        <v>0</v>
      </c>
      <c r="AC256">
        <f>OR(AND(IF(metadata!C256="",FALSE,TRUE),OR(exact(metadata!C256,"missing: not collected"),exact(metadata!C256,"missing: not provided"),exact(metadata!C256,"missing: restricted access"))),AND(IF(metadata!C256="",FALSE,TRUE),AND(AND(IFERROR(INT(LEFT(metadata!C256,4))&gt;1900,FALSE),IFERROR(INT(LEFT(metadata!C256,4))&lt;=YEAR(NOW()),FALSE)), OR(MID(metadata!C256,5,1)="", AND(AND(MID(metadata!C256,5,1)="-",IFERROR(INT(MID(metadata!C256,6,1))&gt;=0,FALSE),IFERROR(INT(MID(metadata!C256,6,1))&lt;=1,FALSE),NOT(MID(metadata!C256,7,1)=""),IFERROR(INT(MID(metadata!C256,6,2))&gt;=1,FALSE),IFERROR(INT(MID(metadata!C256,6,2))&lt;=12,FALSE)), OR(MID(metadata!C256,8,1)="", AND(AND(MID(metadata!C256,8,1)="-",IFERROR(INT(MID(metadata!C256,9,1))&gt;=0,FALSE),IFERROR(INT(MID(metadata!C256,9,1))&lt;=3,FALSE),NOT(MID(metadata!C256,10,1)=""),IFERROR(INT(MID(metadata!C256,9,2))&gt;=1,FALSE),IFERROR(INT(MID(metadata!C256,9,2))&lt;=31,FALSE)), OR(MID(metadata!C256,11,1)="", AND(AND(MID(metadata!C256,11,1)=" ",IFERROR(INT(MID(metadata!C256,12,1))&gt;=0,FALSE),IFERROR(INT(MID(metadata!C256,12,1))&lt;=2,FALSE),NOT(MID(metadata!C256,13,1)=""),IFERROR(INT(MID(metadata!C256,12,2))&gt;=0,FALSE),IFERROR(INT(MID(metadata!C256,12,2))&lt;=23,FALSE)), OR(MID(metadata!C256,14,1)="", AND(AND(MID(metadata!C256,14,1)=":",IFERROR(INT(MID(metadata!C256,15,1))&gt;=0,FALSE),IFERROR(INT(MID(metadata!C256,15,1))&lt;=5,FALSE),NOT(MID(metadata!C256,16,1)=""),IFERROR(INT(MID(metadata!C256,15,2))&gt;=0,FALSE),IFERROR(INT(MID(metadata!C256,15,2))&lt;=59,FALSE)), OR(MID(metadata!C256,17,1)="", AND(AND(MID(metadata!C256,17,1)=":",IFERROR(INT(MID(metadata!C256,18,1))&gt;=0,FALSE),IFERROR(INT(MID(metadata!C256,18,1))&lt;=5,FALSE),NOT(MID(metadata!C256,19,1)=""),IFERROR(INT(MID(metadata!C256,18,2))&gt;=0,FALSE),IFERROR(INT(MID(metadata!C256,18,2))&lt;=59,FALSE)), LEN(metadata!C256)&lt;=19)))))))))))))</f>
        <v>0</v>
      </c>
      <c r="AD256">
        <f>IF(metadata!D256="",FALSE,TRUE)</f>
        <v>0</v>
      </c>
      <c r="AE256">
        <f>OR(AND(IF(metadata!E256="",FALSE,TRUE),OR(exact(metadata!E256,"missing: not collected"),exact(metadata!E256,"missing: not provided"))),AND(IF(metadata!E256="",FALSE,TRUE),OR(exact(metadata!E256,"TRUE"),exact(metadata!E256,"FALSE"))))</f>
        <v>0</v>
      </c>
      <c r="AF256">
        <f>IF(metadata!F256="",FALSE,TRUE)</f>
        <v>0</v>
      </c>
      <c r="AG256">
        <f>IF(metadata!G256="",FALSE,TRUE)</f>
        <v>0</v>
      </c>
      <c r="AH256">
        <f>IF(metadata!H256="",FALSE,TRUE)</f>
        <v>0</v>
      </c>
      <c r="AI256">
        <f>OR(AND(IF(metadata!I256="",FALSE,TRUE),OR(exact(metadata!I256,"missing: not collected"),exact(metadata!I256,"missing: not provided"),exact(metadata!I256,"missing: restricted access"))),AND(IF(metadata!I256="",FALSE,TRUE),OR(exact(metadata!I256,"air"),exact(metadata!I256,"built environment"),exact(metadata!I256,"host-associated"),exact(metadata!I256,"human-associated"),exact(metadata!I256,"human-skin"),exact(metadata!I256,"human-oral"),exact(metadata!I256,"human-gut"),exact(metadata!I256,"human-vaginal"),exact(metadata!I256,"microbial mat/biofilm"),exact(metadata!I256,"misc environment"),exact(metadata!I256,"plant-associated"),exact(metadata!I256,"sediment"),exact(metadata!I256,"soil"),exact(metadata!I256,"wastewater/sludge"),exact(metadata!I256,"water"))))</f>
        <v>0</v>
      </c>
      <c r="AJ256">
        <f>IF(metadata!J256="",FALSE,TRUE)</f>
        <v>0</v>
      </c>
      <c r="AK256">
        <f>OR(AND(IF(metadata!K256="",FALSE,TRUE),OR(exact(metadata!K256,"missing: not collected"),exact(metadata!K256,"missing: not provided"),exact(metadata!K256,"missing: restricted access"))),AND(IF(metadata!K256="",FALSE,ISNUMBER(VALUE(metadata!K256))),metadata!K256&gt;=-90.00,metadata!K256&lt;=90.00))</f>
        <v>0</v>
      </c>
      <c r="AL256">
        <f>OR(AND(IF(metadata!L256="",FALSE,TRUE),OR(exact(metadata!L256,"missing: not collected"),exact(metadata!L256,"missing: not provided"),exact(metadata!L256,"missing: restricted access"))),AND(IF(metadata!L256="",FALSE,ISNUMBER(VALUE(metadata!L256))),metadata!L256&gt;=-180.00,metadata!L256&lt;=180.00))</f>
        <v>0</v>
      </c>
      <c r="AM256">
        <f>IF(metadata!M256="",FALSE,TRUE)</f>
        <v>0</v>
      </c>
      <c r="AN256">
        <f>OR(AND(IF(metadata!N256="",FALSE,TRUE),OR(exact(metadata!N256,"missing: not collected"),exact(metadata!N256,"missing: not provided"),exact(metadata!N256,"missing: restricted access"))),AND(IF(metadata!N256="",FALSE,TRUE),OR(exact(metadata!N256,"TRUE"),exact(metadata!N256,"FALSE"))))</f>
        <v>0</v>
      </c>
      <c r="AO256">
        <f>IF(metadata!O256="",FALSE,TRUE)</f>
        <v>0</v>
      </c>
      <c r="AP256">
        <f>OR(AND(IF(metadata!P256="",FALSE,TRUE),OR(exact(metadata!P256,"missing: not collected"),exact(metadata!P256,"missing: not provided"))),AND(IF(metadata!P256="",FALSE,IF(ISERROR(INT(metadata!P256)),FALSE,INT(metadata!P256)=metadata!P256)),metadata!P256&gt;0))</f>
        <v>0</v>
      </c>
      <c r="AQ256">
        <f>IF(metadata!Q256="",FALSE,TRUE)</f>
        <v>0</v>
      </c>
    </row>
    <row r="257" spans="1:43">
      <c r="A257" s="5">
        <f>IF(B257=" "," ",HYPERLINK(CONCATENATE("#metadata!",ADDRESS(INDEX($W$2:$W$1001,MATCH(ROWS($U$2:U257),$U$2:$U$1001,0),0),1)),INDEX($Z$2:$Z$1001,MATCH(ROWS($U$2:U257),$U$2:$U$1001,0),0)))</f>
        <v>0</v>
      </c>
      <c r="B257" s="4">
        <f>IF(OR(INDEX($V$2:$V$1001,MATCH(ROWS($U$2:U257),$U$2:$U$1001,0),1)&gt;=100000,INDEX($AB$1005:$AQ$1005,1,MATCH(COLUMNS($AB$1006:AB1006),$AB$1006:$AQ$1006,0))&gt;=100000), " ",IF(INDEX($AB$2:$AQ$1001,MATCH(ROWS($U$2:U257),$U$2:$U$1001,0),MATCH(COLUMNS($AB$1006:AB1006),$AB$1006:$AQ$1006,0)), HYPERLINK("#",""), HYPERLINK(CONCATENATE("#metadata!", ADDRESS(INDEX($W$2:$W$1001,MATCH(ROWS($U$2:U257),$U$2:$U$1001,0),0), INDEX($AB$1004:$AQ$1004,1,MATCH(COLUMNS($AB$1006:AB1006),$AB$1006:$AQ$1006,0)))),"Fix")))</f>
        <v>0</v>
      </c>
      <c r="C257" s="4">
        <f>IF(OR(INDEX($V$2:$V$1001,MATCH(ROWS($U$2:U257),$U$2:$U$1001,0),1)&gt;=100000,INDEX($AB$1005:$AQ$1005,1,MATCH(COLUMNS($AB$1006:AC1006),$AB$1006:$AQ$1006,0))&gt;=100000), " ",IF(INDEX($AB$2:$AQ$1001,MATCH(ROWS($U$2:U257),$U$2:$U$1001,0),MATCH(COLUMNS($AB$1006:AC1006),$AB$1006:$AQ$1006,0)), HYPERLINK("#",""), HYPERLINK(CONCATENATE("#metadata!", ADDRESS(INDEX($W$2:$W$1001,MATCH(ROWS($U$2:U257),$U$2:$U$1001,0),0), INDEX($AB$1004:$AQ$1004,1,MATCH(COLUMNS($AB$1006:AC1006),$AB$1006:$AQ$1006,0)))),"Fix")))</f>
        <v>0</v>
      </c>
      <c r="D257" s="4">
        <f>IF(OR(INDEX($V$2:$V$1001,MATCH(ROWS($U$2:U257),$U$2:$U$1001,0),1)&gt;=100000,INDEX($AB$1005:$AQ$1005,1,MATCH(COLUMNS($AB$1006:AD1006),$AB$1006:$AQ$1006,0))&gt;=100000), " ",IF(INDEX($AB$2:$AQ$1001,MATCH(ROWS($U$2:U257),$U$2:$U$1001,0),MATCH(COLUMNS($AB$1006:AD1006),$AB$1006:$AQ$1006,0)), HYPERLINK("#",""), HYPERLINK(CONCATENATE("#metadata!", ADDRESS(INDEX($W$2:$W$1001,MATCH(ROWS($U$2:U257),$U$2:$U$1001,0),0), INDEX($AB$1004:$AQ$1004,1,MATCH(COLUMNS($AB$1006:AD1006),$AB$1006:$AQ$1006,0)))),"Fix")))</f>
        <v>0</v>
      </c>
      <c r="E257" s="4">
        <f>IF(OR(INDEX($V$2:$V$1001,MATCH(ROWS($U$2:U257),$U$2:$U$1001,0),1)&gt;=100000,INDEX($AB$1005:$AQ$1005,1,MATCH(COLUMNS($AB$1006:AE1006),$AB$1006:$AQ$1006,0))&gt;=100000), " ",IF(INDEX($AB$2:$AQ$1001,MATCH(ROWS($U$2:U257),$U$2:$U$1001,0),MATCH(COLUMNS($AB$1006:AE1006),$AB$1006:$AQ$1006,0)), HYPERLINK("#",""), HYPERLINK(CONCATENATE("#metadata!", ADDRESS(INDEX($W$2:$W$1001,MATCH(ROWS($U$2:U257),$U$2:$U$1001,0),0), INDEX($AB$1004:$AQ$1004,1,MATCH(COLUMNS($AB$1006:AE1006),$AB$1006:$AQ$1006,0)))),"Fix")))</f>
        <v>0</v>
      </c>
      <c r="F257" s="4">
        <f>IF(OR(INDEX($V$2:$V$1001,MATCH(ROWS($U$2:U257),$U$2:$U$1001,0),1)&gt;=100000,INDEX($AB$1005:$AQ$1005,1,MATCH(COLUMNS($AB$1006:AF1006),$AB$1006:$AQ$1006,0))&gt;=100000), " ",IF(INDEX($AB$2:$AQ$1001,MATCH(ROWS($U$2:U257),$U$2:$U$1001,0),MATCH(COLUMNS($AB$1006:AF1006),$AB$1006:$AQ$1006,0)), HYPERLINK("#",""), HYPERLINK(CONCATENATE("#metadata!", ADDRESS(INDEX($W$2:$W$1001,MATCH(ROWS($U$2:U257),$U$2:$U$1001,0),0), INDEX($AB$1004:$AQ$1004,1,MATCH(COLUMNS($AB$1006:AF1006),$AB$1006:$AQ$1006,0)))),"Fix")))</f>
        <v>0</v>
      </c>
      <c r="G257" s="4">
        <f>IF(OR(INDEX($V$2:$V$1001,MATCH(ROWS($U$2:U257),$U$2:$U$1001,0),1)&gt;=100000,INDEX($AB$1005:$AQ$1005,1,MATCH(COLUMNS($AB$1006:AG1006),$AB$1006:$AQ$1006,0))&gt;=100000), " ",IF(INDEX($AB$2:$AQ$1001,MATCH(ROWS($U$2:U257),$U$2:$U$1001,0),MATCH(COLUMNS($AB$1006:AG1006),$AB$1006:$AQ$1006,0)), HYPERLINK("#",""), HYPERLINK(CONCATENATE("#metadata!", ADDRESS(INDEX($W$2:$W$1001,MATCH(ROWS($U$2:U257),$U$2:$U$1001,0),0), INDEX($AB$1004:$AQ$1004,1,MATCH(COLUMNS($AB$1006:AG1006),$AB$1006:$AQ$1006,0)))),"Fix")))</f>
        <v>0</v>
      </c>
      <c r="H257" s="4">
        <f>IF(OR(INDEX($V$2:$V$1001,MATCH(ROWS($U$2:U257),$U$2:$U$1001,0),1)&gt;=100000,INDEX($AB$1005:$AQ$1005,1,MATCH(COLUMNS($AB$1006:AH1006),$AB$1006:$AQ$1006,0))&gt;=100000), " ",IF(INDEX($AB$2:$AQ$1001,MATCH(ROWS($U$2:U257),$U$2:$U$1001,0),MATCH(COLUMNS($AB$1006:AH1006),$AB$1006:$AQ$1006,0)), HYPERLINK("#",""), HYPERLINK(CONCATENATE("#metadata!", ADDRESS(INDEX($W$2:$W$1001,MATCH(ROWS($U$2:U257),$U$2:$U$1001,0),0), INDEX($AB$1004:$AQ$1004,1,MATCH(COLUMNS($AB$1006:AH1006),$AB$1006:$AQ$1006,0)))),"Fix")))</f>
        <v>0</v>
      </c>
      <c r="I257" s="4">
        <f>IF(OR(INDEX($V$2:$V$1001,MATCH(ROWS($U$2:U257),$U$2:$U$1001,0),1)&gt;=100000,INDEX($AB$1005:$AQ$1005,1,MATCH(COLUMNS($AB$1006:AI1006),$AB$1006:$AQ$1006,0))&gt;=100000), " ",IF(INDEX($AB$2:$AQ$1001,MATCH(ROWS($U$2:U257),$U$2:$U$1001,0),MATCH(COLUMNS($AB$1006:AI1006),$AB$1006:$AQ$1006,0)), HYPERLINK("#",""), HYPERLINK(CONCATENATE("#metadata!", ADDRESS(INDEX($W$2:$W$1001,MATCH(ROWS($U$2:U257),$U$2:$U$1001,0),0), INDEX($AB$1004:$AQ$1004,1,MATCH(COLUMNS($AB$1006:AI1006),$AB$1006:$AQ$1006,0)))),"Fix")))</f>
        <v>0</v>
      </c>
      <c r="J257" s="4">
        <f>IF(OR(INDEX($V$2:$V$1001,MATCH(ROWS($U$2:U257),$U$2:$U$1001,0),1)&gt;=100000,INDEX($AB$1005:$AQ$1005,1,MATCH(COLUMNS($AB$1006:AJ1006),$AB$1006:$AQ$1006,0))&gt;=100000), " ",IF(INDEX($AB$2:$AQ$1001,MATCH(ROWS($U$2:U257),$U$2:$U$1001,0),MATCH(COLUMNS($AB$1006:AJ1006),$AB$1006:$AQ$1006,0)), HYPERLINK("#",""), HYPERLINK(CONCATENATE("#metadata!", ADDRESS(INDEX($W$2:$W$1001,MATCH(ROWS($U$2:U257),$U$2:$U$1001,0),0), INDEX($AB$1004:$AQ$1004,1,MATCH(COLUMNS($AB$1006:AJ1006),$AB$1006:$AQ$1006,0)))),"Fix")))</f>
        <v>0</v>
      </c>
      <c r="K257" s="4">
        <f>IF(OR(INDEX($V$2:$V$1001,MATCH(ROWS($U$2:U257),$U$2:$U$1001,0),1)&gt;=100000,INDEX($AB$1005:$AQ$1005,1,MATCH(COLUMNS($AB$1006:AK1006),$AB$1006:$AQ$1006,0))&gt;=100000), " ",IF(INDEX($AB$2:$AQ$1001,MATCH(ROWS($U$2:U257),$U$2:$U$1001,0),MATCH(COLUMNS($AB$1006:AK1006),$AB$1006:$AQ$1006,0)), HYPERLINK("#",""), HYPERLINK(CONCATENATE("#metadata!", ADDRESS(INDEX($W$2:$W$1001,MATCH(ROWS($U$2:U257),$U$2:$U$1001,0),0), INDEX($AB$1004:$AQ$1004,1,MATCH(COLUMNS($AB$1006:AK1006),$AB$1006:$AQ$1006,0)))),"Fix")))</f>
        <v>0</v>
      </c>
      <c r="L257" s="4">
        <f>IF(OR(INDEX($V$2:$V$1001,MATCH(ROWS($U$2:U257),$U$2:$U$1001,0),1)&gt;=100000,INDEX($AB$1005:$AQ$1005,1,MATCH(COLUMNS($AB$1006:AL1006),$AB$1006:$AQ$1006,0))&gt;=100000), " ",IF(INDEX($AB$2:$AQ$1001,MATCH(ROWS($U$2:U257),$U$2:$U$1001,0),MATCH(COLUMNS($AB$1006:AL1006),$AB$1006:$AQ$1006,0)), HYPERLINK("#",""), HYPERLINK(CONCATENATE("#metadata!", ADDRESS(INDEX($W$2:$W$1001,MATCH(ROWS($U$2:U257),$U$2:$U$1001,0),0), INDEX($AB$1004:$AQ$1004,1,MATCH(COLUMNS($AB$1006:AL1006),$AB$1006:$AQ$1006,0)))),"Fix")))</f>
        <v>0</v>
      </c>
      <c r="M257" s="4">
        <f>IF(OR(INDEX($V$2:$V$1001,MATCH(ROWS($U$2:U257),$U$2:$U$1001,0),1)&gt;=100000,INDEX($AB$1005:$AQ$1005,1,MATCH(COLUMNS($AB$1006:AM1006),$AB$1006:$AQ$1006,0))&gt;=100000), " ",IF(INDEX($AB$2:$AQ$1001,MATCH(ROWS($U$2:U257),$U$2:$U$1001,0),MATCH(COLUMNS($AB$1006:AM1006),$AB$1006:$AQ$1006,0)), HYPERLINK("#",""), HYPERLINK(CONCATENATE("#metadata!", ADDRESS(INDEX($W$2:$W$1001,MATCH(ROWS($U$2:U257),$U$2:$U$1001,0),0), INDEX($AB$1004:$AQ$1004,1,MATCH(COLUMNS($AB$1006:AM1006),$AB$1006:$AQ$1006,0)))),"Fix")))</f>
        <v>0</v>
      </c>
      <c r="N257" s="4">
        <f>IF(OR(INDEX($V$2:$V$1001,MATCH(ROWS($U$2:U257),$U$2:$U$1001,0),1)&gt;=100000,INDEX($AB$1005:$AQ$1005,1,MATCH(COLUMNS($AB$1006:AN1006),$AB$1006:$AQ$1006,0))&gt;=100000), " ",IF(INDEX($AB$2:$AQ$1001,MATCH(ROWS($U$2:U257),$U$2:$U$1001,0),MATCH(COLUMNS($AB$1006:AN1006),$AB$1006:$AQ$1006,0)), HYPERLINK("#",""), HYPERLINK(CONCATENATE("#metadata!", ADDRESS(INDEX($W$2:$W$1001,MATCH(ROWS($U$2:U257),$U$2:$U$1001,0),0), INDEX($AB$1004:$AQ$1004,1,MATCH(COLUMNS($AB$1006:AN1006),$AB$1006:$AQ$1006,0)))),"Fix")))</f>
        <v>0</v>
      </c>
      <c r="O257" s="4">
        <f>IF(OR(INDEX($V$2:$V$1001,MATCH(ROWS($U$2:U257),$U$2:$U$1001,0),1)&gt;=100000,INDEX($AB$1005:$AQ$1005,1,MATCH(COLUMNS($AB$1006:AO1006),$AB$1006:$AQ$1006,0))&gt;=100000), " ",IF(INDEX($AB$2:$AQ$1001,MATCH(ROWS($U$2:U257),$U$2:$U$1001,0),MATCH(COLUMNS($AB$1006:AO1006),$AB$1006:$AQ$1006,0)), HYPERLINK("#",""), HYPERLINK(CONCATENATE("#metadata!", ADDRESS(INDEX($W$2:$W$1001,MATCH(ROWS($U$2:U257),$U$2:$U$1001,0),0), INDEX($AB$1004:$AQ$1004,1,MATCH(COLUMNS($AB$1006:AO1006),$AB$1006:$AQ$1006,0)))),"Fix")))</f>
        <v>0</v>
      </c>
      <c r="P257" s="4">
        <f>IF(OR(INDEX($V$2:$V$1001,MATCH(ROWS($U$2:U257),$U$2:$U$1001,0),1)&gt;=100000,INDEX($AB$1005:$AQ$1005,1,MATCH(COLUMNS($AB$1006:AP1006),$AB$1006:$AQ$1006,0))&gt;=100000), " ",IF(INDEX($AB$2:$AQ$1001,MATCH(ROWS($U$2:U257),$U$2:$U$1001,0),MATCH(COLUMNS($AB$1006:AP1006),$AB$1006:$AQ$1006,0)), HYPERLINK("#",""), HYPERLINK(CONCATENATE("#metadata!", ADDRESS(INDEX($W$2:$W$1001,MATCH(ROWS($U$2:U257),$U$2:$U$1001,0),0), INDEX($AB$1004:$AQ$1004,1,MATCH(COLUMNS($AB$1006:AP1006),$AB$1006:$AQ$1006,0)))),"Fix")))</f>
        <v>0</v>
      </c>
      <c r="Q257" s="4">
        <f>IF(OR(INDEX($V$2:$V$1001,MATCH(ROWS($U$2:U257),$U$2:$U$1001,0),1)&gt;=100000,INDEX($AB$1005:$AQ$1005,1,MATCH(COLUMNS($AB$1006:AQ1006),$AB$1006:$AQ$1006,0))&gt;=100000), " ",IF(INDEX($AB$2:$AQ$1001,MATCH(ROWS($U$2:U257),$U$2:$U$1001,0),MATCH(COLUMNS($AB$1006:AQ1006),$AB$1006:$AQ$1006,0)), HYPERLINK("#",""), HYPERLINK(CONCATENATE("#metadata!", ADDRESS(INDEX($W$2:$W$1001,MATCH(ROWS($U$2:U257),$U$2:$U$1001,0),0), INDEX($AB$1004:$AQ$1004,1,MATCH(COLUMNS($AB$1006:AQ1006),$AB$1006:$AQ$1006,0)))),"Fix")))</f>
        <v>0</v>
      </c>
      <c r="U257">
        <v>0</v>
      </c>
      <c r="V257">
        <v>0</v>
      </c>
      <c r="W257">
        <v>0</v>
      </c>
      <c r="X257">
        <f>IF(Y257,TRUE,AND(AB257:AQ257))</f>
        <v>0</v>
      </c>
      <c r="Y257">
        <f>COUNTBLANK(metadata!B257:Q257)=COLUMNS(metadata!B257:Q257)</f>
        <v>0</v>
      </c>
      <c r="Z257">
        <v>0</v>
      </c>
      <c r="AB257">
        <f>AND(IF(metadata!B257="",FALSE,TRUE),COUNTIF(metadata!B:B, metadata!B257) = 1,NOT(ISERROR(SUMPRODUCT(SEARCH(MID(metadata!B257,ROW(INDIRECT("1:"&amp;LEN(metadata!B257))), 1),"0123456789abcdefghijklmnopqrstuvwxyzABCDEFGHIJKLMNOPQRSTUVWXYZ.")))))</f>
        <v>0</v>
      </c>
      <c r="AC257">
        <f>OR(AND(IF(metadata!C257="",FALSE,TRUE),OR(exact(metadata!C257,"missing: not collected"),exact(metadata!C257,"missing: not provided"),exact(metadata!C257,"missing: restricted access"))),AND(IF(metadata!C257="",FALSE,TRUE),AND(AND(IFERROR(INT(LEFT(metadata!C257,4))&gt;1900,FALSE),IFERROR(INT(LEFT(metadata!C257,4))&lt;=YEAR(NOW()),FALSE)), OR(MID(metadata!C257,5,1)="", AND(AND(MID(metadata!C257,5,1)="-",IFERROR(INT(MID(metadata!C257,6,1))&gt;=0,FALSE),IFERROR(INT(MID(metadata!C257,6,1))&lt;=1,FALSE),NOT(MID(metadata!C257,7,1)=""),IFERROR(INT(MID(metadata!C257,6,2))&gt;=1,FALSE),IFERROR(INT(MID(metadata!C257,6,2))&lt;=12,FALSE)), OR(MID(metadata!C257,8,1)="", AND(AND(MID(metadata!C257,8,1)="-",IFERROR(INT(MID(metadata!C257,9,1))&gt;=0,FALSE),IFERROR(INT(MID(metadata!C257,9,1))&lt;=3,FALSE),NOT(MID(metadata!C257,10,1)=""),IFERROR(INT(MID(metadata!C257,9,2))&gt;=1,FALSE),IFERROR(INT(MID(metadata!C257,9,2))&lt;=31,FALSE)), OR(MID(metadata!C257,11,1)="", AND(AND(MID(metadata!C257,11,1)=" ",IFERROR(INT(MID(metadata!C257,12,1))&gt;=0,FALSE),IFERROR(INT(MID(metadata!C257,12,1))&lt;=2,FALSE),NOT(MID(metadata!C257,13,1)=""),IFERROR(INT(MID(metadata!C257,12,2))&gt;=0,FALSE),IFERROR(INT(MID(metadata!C257,12,2))&lt;=23,FALSE)), OR(MID(metadata!C257,14,1)="", AND(AND(MID(metadata!C257,14,1)=":",IFERROR(INT(MID(metadata!C257,15,1))&gt;=0,FALSE),IFERROR(INT(MID(metadata!C257,15,1))&lt;=5,FALSE),NOT(MID(metadata!C257,16,1)=""),IFERROR(INT(MID(metadata!C257,15,2))&gt;=0,FALSE),IFERROR(INT(MID(metadata!C257,15,2))&lt;=59,FALSE)), OR(MID(metadata!C257,17,1)="", AND(AND(MID(metadata!C257,17,1)=":",IFERROR(INT(MID(metadata!C257,18,1))&gt;=0,FALSE),IFERROR(INT(MID(metadata!C257,18,1))&lt;=5,FALSE),NOT(MID(metadata!C257,19,1)=""),IFERROR(INT(MID(metadata!C257,18,2))&gt;=0,FALSE),IFERROR(INT(MID(metadata!C257,18,2))&lt;=59,FALSE)), LEN(metadata!C257)&lt;=19)))))))))))))</f>
        <v>0</v>
      </c>
      <c r="AD257">
        <f>IF(metadata!D257="",FALSE,TRUE)</f>
        <v>0</v>
      </c>
      <c r="AE257">
        <f>OR(AND(IF(metadata!E257="",FALSE,TRUE),OR(exact(metadata!E257,"missing: not collected"),exact(metadata!E257,"missing: not provided"))),AND(IF(metadata!E257="",FALSE,TRUE),OR(exact(metadata!E257,"TRUE"),exact(metadata!E257,"FALSE"))))</f>
        <v>0</v>
      </c>
      <c r="AF257">
        <f>IF(metadata!F257="",FALSE,TRUE)</f>
        <v>0</v>
      </c>
      <c r="AG257">
        <f>IF(metadata!G257="",FALSE,TRUE)</f>
        <v>0</v>
      </c>
      <c r="AH257">
        <f>IF(metadata!H257="",FALSE,TRUE)</f>
        <v>0</v>
      </c>
      <c r="AI257">
        <f>OR(AND(IF(metadata!I257="",FALSE,TRUE),OR(exact(metadata!I257,"missing: not collected"),exact(metadata!I257,"missing: not provided"),exact(metadata!I257,"missing: restricted access"))),AND(IF(metadata!I257="",FALSE,TRUE),OR(exact(metadata!I257,"air"),exact(metadata!I257,"built environment"),exact(metadata!I257,"host-associated"),exact(metadata!I257,"human-associated"),exact(metadata!I257,"human-skin"),exact(metadata!I257,"human-oral"),exact(metadata!I257,"human-gut"),exact(metadata!I257,"human-vaginal"),exact(metadata!I257,"microbial mat/biofilm"),exact(metadata!I257,"misc environment"),exact(metadata!I257,"plant-associated"),exact(metadata!I257,"sediment"),exact(metadata!I257,"soil"),exact(metadata!I257,"wastewater/sludge"),exact(metadata!I257,"water"))))</f>
        <v>0</v>
      </c>
      <c r="AJ257">
        <f>IF(metadata!J257="",FALSE,TRUE)</f>
        <v>0</v>
      </c>
      <c r="AK257">
        <f>OR(AND(IF(metadata!K257="",FALSE,TRUE),OR(exact(metadata!K257,"missing: not collected"),exact(metadata!K257,"missing: not provided"),exact(metadata!K257,"missing: restricted access"))),AND(IF(metadata!K257="",FALSE,ISNUMBER(VALUE(metadata!K257))),metadata!K257&gt;=-90.00,metadata!K257&lt;=90.00))</f>
        <v>0</v>
      </c>
      <c r="AL257">
        <f>OR(AND(IF(metadata!L257="",FALSE,TRUE),OR(exact(metadata!L257,"missing: not collected"),exact(metadata!L257,"missing: not provided"),exact(metadata!L257,"missing: restricted access"))),AND(IF(metadata!L257="",FALSE,ISNUMBER(VALUE(metadata!L257))),metadata!L257&gt;=-180.00,metadata!L257&lt;=180.00))</f>
        <v>0</v>
      </c>
      <c r="AM257">
        <f>IF(metadata!M257="",FALSE,TRUE)</f>
        <v>0</v>
      </c>
      <c r="AN257">
        <f>OR(AND(IF(metadata!N257="",FALSE,TRUE),OR(exact(metadata!N257,"missing: not collected"),exact(metadata!N257,"missing: not provided"),exact(metadata!N257,"missing: restricted access"))),AND(IF(metadata!N257="",FALSE,TRUE),OR(exact(metadata!N257,"TRUE"),exact(metadata!N257,"FALSE"))))</f>
        <v>0</v>
      </c>
      <c r="AO257">
        <f>IF(metadata!O257="",FALSE,TRUE)</f>
        <v>0</v>
      </c>
      <c r="AP257">
        <f>OR(AND(IF(metadata!P257="",FALSE,TRUE),OR(exact(metadata!P257,"missing: not collected"),exact(metadata!P257,"missing: not provided"))),AND(IF(metadata!P257="",FALSE,IF(ISERROR(INT(metadata!P257)),FALSE,INT(metadata!P257)=metadata!P257)),metadata!P257&gt;0))</f>
        <v>0</v>
      </c>
      <c r="AQ257">
        <f>IF(metadata!Q257="",FALSE,TRUE)</f>
        <v>0</v>
      </c>
    </row>
    <row r="258" spans="1:43">
      <c r="A258" s="5">
        <f>IF(B258=" "," ",HYPERLINK(CONCATENATE("#metadata!",ADDRESS(INDEX($W$2:$W$1001,MATCH(ROWS($U$2:U258),$U$2:$U$1001,0),0),1)),INDEX($Z$2:$Z$1001,MATCH(ROWS($U$2:U258),$U$2:$U$1001,0),0)))</f>
        <v>0</v>
      </c>
      <c r="B258" s="4">
        <f>IF(OR(INDEX($V$2:$V$1001,MATCH(ROWS($U$2:U258),$U$2:$U$1001,0),1)&gt;=100000,INDEX($AB$1005:$AQ$1005,1,MATCH(COLUMNS($AB$1006:AB1006),$AB$1006:$AQ$1006,0))&gt;=100000), " ",IF(INDEX($AB$2:$AQ$1001,MATCH(ROWS($U$2:U258),$U$2:$U$1001,0),MATCH(COLUMNS($AB$1006:AB1006),$AB$1006:$AQ$1006,0)), HYPERLINK("#",""), HYPERLINK(CONCATENATE("#metadata!", ADDRESS(INDEX($W$2:$W$1001,MATCH(ROWS($U$2:U258),$U$2:$U$1001,0),0), INDEX($AB$1004:$AQ$1004,1,MATCH(COLUMNS($AB$1006:AB1006),$AB$1006:$AQ$1006,0)))),"Fix")))</f>
        <v>0</v>
      </c>
      <c r="C258" s="4">
        <f>IF(OR(INDEX($V$2:$V$1001,MATCH(ROWS($U$2:U258),$U$2:$U$1001,0),1)&gt;=100000,INDEX($AB$1005:$AQ$1005,1,MATCH(COLUMNS($AB$1006:AC1006),$AB$1006:$AQ$1006,0))&gt;=100000), " ",IF(INDEX($AB$2:$AQ$1001,MATCH(ROWS($U$2:U258),$U$2:$U$1001,0),MATCH(COLUMNS($AB$1006:AC1006),$AB$1006:$AQ$1006,0)), HYPERLINK("#",""), HYPERLINK(CONCATENATE("#metadata!", ADDRESS(INDEX($W$2:$W$1001,MATCH(ROWS($U$2:U258),$U$2:$U$1001,0),0), INDEX($AB$1004:$AQ$1004,1,MATCH(COLUMNS($AB$1006:AC1006),$AB$1006:$AQ$1006,0)))),"Fix")))</f>
        <v>0</v>
      </c>
      <c r="D258" s="4">
        <f>IF(OR(INDEX($V$2:$V$1001,MATCH(ROWS($U$2:U258),$U$2:$U$1001,0),1)&gt;=100000,INDEX($AB$1005:$AQ$1005,1,MATCH(COLUMNS($AB$1006:AD1006),$AB$1006:$AQ$1006,0))&gt;=100000), " ",IF(INDEX($AB$2:$AQ$1001,MATCH(ROWS($U$2:U258),$U$2:$U$1001,0),MATCH(COLUMNS($AB$1006:AD1006),$AB$1006:$AQ$1006,0)), HYPERLINK("#",""), HYPERLINK(CONCATENATE("#metadata!", ADDRESS(INDEX($W$2:$W$1001,MATCH(ROWS($U$2:U258),$U$2:$U$1001,0),0), INDEX($AB$1004:$AQ$1004,1,MATCH(COLUMNS($AB$1006:AD1006),$AB$1006:$AQ$1006,0)))),"Fix")))</f>
        <v>0</v>
      </c>
      <c r="E258" s="4">
        <f>IF(OR(INDEX($V$2:$V$1001,MATCH(ROWS($U$2:U258),$U$2:$U$1001,0),1)&gt;=100000,INDEX($AB$1005:$AQ$1005,1,MATCH(COLUMNS($AB$1006:AE1006),$AB$1006:$AQ$1006,0))&gt;=100000), " ",IF(INDEX($AB$2:$AQ$1001,MATCH(ROWS($U$2:U258),$U$2:$U$1001,0),MATCH(COLUMNS($AB$1006:AE1006),$AB$1006:$AQ$1006,0)), HYPERLINK("#",""), HYPERLINK(CONCATENATE("#metadata!", ADDRESS(INDEX($W$2:$W$1001,MATCH(ROWS($U$2:U258),$U$2:$U$1001,0),0), INDEX($AB$1004:$AQ$1004,1,MATCH(COLUMNS($AB$1006:AE1006),$AB$1006:$AQ$1006,0)))),"Fix")))</f>
        <v>0</v>
      </c>
      <c r="F258" s="4">
        <f>IF(OR(INDEX($V$2:$V$1001,MATCH(ROWS($U$2:U258),$U$2:$U$1001,0),1)&gt;=100000,INDEX($AB$1005:$AQ$1005,1,MATCH(COLUMNS($AB$1006:AF1006),$AB$1006:$AQ$1006,0))&gt;=100000), " ",IF(INDEX($AB$2:$AQ$1001,MATCH(ROWS($U$2:U258),$U$2:$U$1001,0),MATCH(COLUMNS($AB$1006:AF1006),$AB$1006:$AQ$1006,0)), HYPERLINK("#",""), HYPERLINK(CONCATENATE("#metadata!", ADDRESS(INDEX($W$2:$W$1001,MATCH(ROWS($U$2:U258),$U$2:$U$1001,0),0), INDEX($AB$1004:$AQ$1004,1,MATCH(COLUMNS($AB$1006:AF1006),$AB$1006:$AQ$1006,0)))),"Fix")))</f>
        <v>0</v>
      </c>
      <c r="G258" s="4">
        <f>IF(OR(INDEX($V$2:$V$1001,MATCH(ROWS($U$2:U258),$U$2:$U$1001,0),1)&gt;=100000,INDEX($AB$1005:$AQ$1005,1,MATCH(COLUMNS($AB$1006:AG1006),$AB$1006:$AQ$1006,0))&gt;=100000), " ",IF(INDEX($AB$2:$AQ$1001,MATCH(ROWS($U$2:U258),$U$2:$U$1001,0),MATCH(COLUMNS($AB$1006:AG1006),$AB$1006:$AQ$1006,0)), HYPERLINK("#",""), HYPERLINK(CONCATENATE("#metadata!", ADDRESS(INDEX($W$2:$W$1001,MATCH(ROWS($U$2:U258),$U$2:$U$1001,0),0), INDEX($AB$1004:$AQ$1004,1,MATCH(COLUMNS($AB$1006:AG1006),$AB$1006:$AQ$1006,0)))),"Fix")))</f>
        <v>0</v>
      </c>
      <c r="H258" s="4">
        <f>IF(OR(INDEX($V$2:$V$1001,MATCH(ROWS($U$2:U258),$U$2:$U$1001,0),1)&gt;=100000,INDEX($AB$1005:$AQ$1005,1,MATCH(COLUMNS($AB$1006:AH1006),$AB$1006:$AQ$1006,0))&gt;=100000), " ",IF(INDEX($AB$2:$AQ$1001,MATCH(ROWS($U$2:U258),$U$2:$U$1001,0),MATCH(COLUMNS($AB$1006:AH1006),$AB$1006:$AQ$1006,0)), HYPERLINK("#",""), HYPERLINK(CONCATENATE("#metadata!", ADDRESS(INDEX($W$2:$W$1001,MATCH(ROWS($U$2:U258),$U$2:$U$1001,0),0), INDEX($AB$1004:$AQ$1004,1,MATCH(COLUMNS($AB$1006:AH1006),$AB$1006:$AQ$1006,0)))),"Fix")))</f>
        <v>0</v>
      </c>
      <c r="I258" s="4">
        <f>IF(OR(INDEX($V$2:$V$1001,MATCH(ROWS($U$2:U258),$U$2:$U$1001,0),1)&gt;=100000,INDEX($AB$1005:$AQ$1005,1,MATCH(COLUMNS($AB$1006:AI1006),$AB$1006:$AQ$1006,0))&gt;=100000), " ",IF(INDEX($AB$2:$AQ$1001,MATCH(ROWS($U$2:U258),$U$2:$U$1001,0),MATCH(COLUMNS($AB$1006:AI1006),$AB$1006:$AQ$1006,0)), HYPERLINK("#",""), HYPERLINK(CONCATENATE("#metadata!", ADDRESS(INDEX($W$2:$W$1001,MATCH(ROWS($U$2:U258),$U$2:$U$1001,0),0), INDEX($AB$1004:$AQ$1004,1,MATCH(COLUMNS($AB$1006:AI1006),$AB$1006:$AQ$1006,0)))),"Fix")))</f>
        <v>0</v>
      </c>
      <c r="J258" s="4">
        <f>IF(OR(INDEX($V$2:$V$1001,MATCH(ROWS($U$2:U258),$U$2:$U$1001,0),1)&gt;=100000,INDEX($AB$1005:$AQ$1005,1,MATCH(COLUMNS($AB$1006:AJ1006),$AB$1006:$AQ$1006,0))&gt;=100000), " ",IF(INDEX($AB$2:$AQ$1001,MATCH(ROWS($U$2:U258),$U$2:$U$1001,0),MATCH(COLUMNS($AB$1006:AJ1006),$AB$1006:$AQ$1006,0)), HYPERLINK("#",""), HYPERLINK(CONCATENATE("#metadata!", ADDRESS(INDEX($W$2:$W$1001,MATCH(ROWS($U$2:U258),$U$2:$U$1001,0),0), INDEX($AB$1004:$AQ$1004,1,MATCH(COLUMNS($AB$1006:AJ1006),$AB$1006:$AQ$1006,0)))),"Fix")))</f>
        <v>0</v>
      </c>
      <c r="K258" s="4">
        <f>IF(OR(INDEX($V$2:$V$1001,MATCH(ROWS($U$2:U258),$U$2:$U$1001,0),1)&gt;=100000,INDEX($AB$1005:$AQ$1005,1,MATCH(COLUMNS($AB$1006:AK1006),$AB$1006:$AQ$1006,0))&gt;=100000), " ",IF(INDEX($AB$2:$AQ$1001,MATCH(ROWS($U$2:U258),$U$2:$U$1001,0),MATCH(COLUMNS($AB$1006:AK1006),$AB$1006:$AQ$1006,0)), HYPERLINK("#",""), HYPERLINK(CONCATENATE("#metadata!", ADDRESS(INDEX($W$2:$W$1001,MATCH(ROWS($U$2:U258),$U$2:$U$1001,0),0), INDEX($AB$1004:$AQ$1004,1,MATCH(COLUMNS($AB$1006:AK1006),$AB$1006:$AQ$1006,0)))),"Fix")))</f>
        <v>0</v>
      </c>
      <c r="L258" s="4">
        <f>IF(OR(INDEX($V$2:$V$1001,MATCH(ROWS($U$2:U258),$U$2:$U$1001,0),1)&gt;=100000,INDEX($AB$1005:$AQ$1005,1,MATCH(COLUMNS($AB$1006:AL1006),$AB$1006:$AQ$1006,0))&gt;=100000), " ",IF(INDEX($AB$2:$AQ$1001,MATCH(ROWS($U$2:U258),$U$2:$U$1001,0),MATCH(COLUMNS($AB$1006:AL1006),$AB$1006:$AQ$1006,0)), HYPERLINK("#",""), HYPERLINK(CONCATENATE("#metadata!", ADDRESS(INDEX($W$2:$W$1001,MATCH(ROWS($U$2:U258),$U$2:$U$1001,0),0), INDEX($AB$1004:$AQ$1004,1,MATCH(COLUMNS($AB$1006:AL1006),$AB$1006:$AQ$1006,0)))),"Fix")))</f>
        <v>0</v>
      </c>
      <c r="M258" s="4">
        <f>IF(OR(INDEX($V$2:$V$1001,MATCH(ROWS($U$2:U258),$U$2:$U$1001,0),1)&gt;=100000,INDEX($AB$1005:$AQ$1005,1,MATCH(COLUMNS($AB$1006:AM1006),$AB$1006:$AQ$1006,0))&gt;=100000), " ",IF(INDEX($AB$2:$AQ$1001,MATCH(ROWS($U$2:U258),$U$2:$U$1001,0),MATCH(COLUMNS($AB$1006:AM1006),$AB$1006:$AQ$1006,0)), HYPERLINK("#",""), HYPERLINK(CONCATENATE("#metadata!", ADDRESS(INDEX($W$2:$W$1001,MATCH(ROWS($U$2:U258),$U$2:$U$1001,0),0), INDEX($AB$1004:$AQ$1004,1,MATCH(COLUMNS($AB$1006:AM1006),$AB$1006:$AQ$1006,0)))),"Fix")))</f>
        <v>0</v>
      </c>
      <c r="N258" s="4">
        <f>IF(OR(INDEX($V$2:$V$1001,MATCH(ROWS($U$2:U258),$U$2:$U$1001,0),1)&gt;=100000,INDEX($AB$1005:$AQ$1005,1,MATCH(COLUMNS($AB$1006:AN1006),$AB$1006:$AQ$1006,0))&gt;=100000), " ",IF(INDEX($AB$2:$AQ$1001,MATCH(ROWS($U$2:U258),$U$2:$U$1001,0),MATCH(COLUMNS($AB$1006:AN1006),$AB$1006:$AQ$1006,0)), HYPERLINK("#",""), HYPERLINK(CONCATENATE("#metadata!", ADDRESS(INDEX($W$2:$W$1001,MATCH(ROWS($U$2:U258),$U$2:$U$1001,0),0), INDEX($AB$1004:$AQ$1004,1,MATCH(COLUMNS($AB$1006:AN1006),$AB$1006:$AQ$1006,0)))),"Fix")))</f>
        <v>0</v>
      </c>
      <c r="O258" s="4">
        <f>IF(OR(INDEX($V$2:$V$1001,MATCH(ROWS($U$2:U258),$U$2:$U$1001,0),1)&gt;=100000,INDEX($AB$1005:$AQ$1005,1,MATCH(COLUMNS($AB$1006:AO1006),$AB$1006:$AQ$1006,0))&gt;=100000), " ",IF(INDEX($AB$2:$AQ$1001,MATCH(ROWS($U$2:U258),$U$2:$U$1001,0),MATCH(COLUMNS($AB$1006:AO1006),$AB$1006:$AQ$1006,0)), HYPERLINK("#",""), HYPERLINK(CONCATENATE("#metadata!", ADDRESS(INDEX($W$2:$W$1001,MATCH(ROWS($U$2:U258),$U$2:$U$1001,0),0), INDEX($AB$1004:$AQ$1004,1,MATCH(COLUMNS($AB$1006:AO1006),$AB$1006:$AQ$1006,0)))),"Fix")))</f>
        <v>0</v>
      </c>
      <c r="P258" s="4">
        <f>IF(OR(INDEX($V$2:$V$1001,MATCH(ROWS($U$2:U258),$U$2:$U$1001,0),1)&gt;=100000,INDEX($AB$1005:$AQ$1005,1,MATCH(COLUMNS($AB$1006:AP1006),$AB$1006:$AQ$1006,0))&gt;=100000), " ",IF(INDEX($AB$2:$AQ$1001,MATCH(ROWS($U$2:U258),$U$2:$U$1001,0),MATCH(COLUMNS($AB$1006:AP1006),$AB$1006:$AQ$1006,0)), HYPERLINK("#",""), HYPERLINK(CONCATENATE("#metadata!", ADDRESS(INDEX($W$2:$W$1001,MATCH(ROWS($U$2:U258),$U$2:$U$1001,0),0), INDEX($AB$1004:$AQ$1004,1,MATCH(COLUMNS($AB$1006:AP1006),$AB$1006:$AQ$1006,0)))),"Fix")))</f>
        <v>0</v>
      </c>
      <c r="Q258" s="4">
        <f>IF(OR(INDEX($V$2:$V$1001,MATCH(ROWS($U$2:U258),$U$2:$U$1001,0),1)&gt;=100000,INDEX($AB$1005:$AQ$1005,1,MATCH(COLUMNS($AB$1006:AQ1006),$AB$1006:$AQ$1006,0))&gt;=100000), " ",IF(INDEX($AB$2:$AQ$1001,MATCH(ROWS($U$2:U258),$U$2:$U$1001,0),MATCH(COLUMNS($AB$1006:AQ1006),$AB$1006:$AQ$1006,0)), HYPERLINK("#",""), HYPERLINK(CONCATENATE("#metadata!", ADDRESS(INDEX($W$2:$W$1001,MATCH(ROWS($U$2:U258),$U$2:$U$1001,0),0), INDEX($AB$1004:$AQ$1004,1,MATCH(COLUMNS($AB$1006:AQ1006),$AB$1006:$AQ$1006,0)))),"Fix")))</f>
        <v>0</v>
      </c>
      <c r="U258">
        <v>0</v>
      </c>
      <c r="V258">
        <v>0</v>
      </c>
      <c r="W258">
        <v>0</v>
      </c>
      <c r="X258">
        <f>IF(Y258,TRUE,AND(AB258:AQ258))</f>
        <v>0</v>
      </c>
      <c r="Y258">
        <f>COUNTBLANK(metadata!B258:Q258)=COLUMNS(metadata!B258:Q258)</f>
        <v>0</v>
      </c>
      <c r="Z258">
        <v>0</v>
      </c>
      <c r="AB258">
        <f>AND(IF(metadata!B258="",FALSE,TRUE),COUNTIF(metadata!B:B, metadata!B258) = 1,NOT(ISERROR(SUMPRODUCT(SEARCH(MID(metadata!B258,ROW(INDIRECT("1:"&amp;LEN(metadata!B258))), 1),"0123456789abcdefghijklmnopqrstuvwxyzABCDEFGHIJKLMNOPQRSTUVWXYZ.")))))</f>
        <v>0</v>
      </c>
      <c r="AC258">
        <f>OR(AND(IF(metadata!C258="",FALSE,TRUE),OR(exact(metadata!C258,"missing: not collected"),exact(metadata!C258,"missing: not provided"),exact(metadata!C258,"missing: restricted access"))),AND(IF(metadata!C258="",FALSE,TRUE),AND(AND(IFERROR(INT(LEFT(metadata!C258,4))&gt;1900,FALSE),IFERROR(INT(LEFT(metadata!C258,4))&lt;=YEAR(NOW()),FALSE)), OR(MID(metadata!C258,5,1)="", AND(AND(MID(metadata!C258,5,1)="-",IFERROR(INT(MID(metadata!C258,6,1))&gt;=0,FALSE),IFERROR(INT(MID(metadata!C258,6,1))&lt;=1,FALSE),NOT(MID(metadata!C258,7,1)=""),IFERROR(INT(MID(metadata!C258,6,2))&gt;=1,FALSE),IFERROR(INT(MID(metadata!C258,6,2))&lt;=12,FALSE)), OR(MID(metadata!C258,8,1)="", AND(AND(MID(metadata!C258,8,1)="-",IFERROR(INT(MID(metadata!C258,9,1))&gt;=0,FALSE),IFERROR(INT(MID(metadata!C258,9,1))&lt;=3,FALSE),NOT(MID(metadata!C258,10,1)=""),IFERROR(INT(MID(metadata!C258,9,2))&gt;=1,FALSE),IFERROR(INT(MID(metadata!C258,9,2))&lt;=31,FALSE)), OR(MID(metadata!C258,11,1)="", AND(AND(MID(metadata!C258,11,1)=" ",IFERROR(INT(MID(metadata!C258,12,1))&gt;=0,FALSE),IFERROR(INT(MID(metadata!C258,12,1))&lt;=2,FALSE),NOT(MID(metadata!C258,13,1)=""),IFERROR(INT(MID(metadata!C258,12,2))&gt;=0,FALSE),IFERROR(INT(MID(metadata!C258,12,2))&lt;=23,FALSE)), OR(MID(metadata!C258,14,1)="", AND(AND(MID(metadata!C258,14,1)=":",IFERROR(INT(MID(metadata!C258,15,1))&gt;=0,FALSE),IFERROR(INT(MID(metadata!C258,15,1))&lt;=5,FALSE),NOT(MID(metadata!C258,16,1)=""),IFERROR(INT(MID(metadata!C258,15,2))&gt;=0,FALSE),IFERROR(INT(MID(metadata!C258,15,2))&lt;=59,FALSE)), OR(MID(metadata!C258,17,1)="", AND(AND(MID(metadata!C258,17,1)=":",IFERROR(INT(MID(metadata!C258,18,1))&gt;=0,FALSE),IFERROR(INT(MID(metadata!C258,18,1))&lt;=5,FALSE),NOT(MID(metadata!C258,19,1)=""),IFERROR(INT(MID(metadata!C258,18,2))&gt;=0,FALSE),IFERROR(INT(MID(metadata!C258,18,2))&lt;=59,FALSE)), LEN(metadata!C258)&lt;=19)))))))))))))</f>
        <v>0</v>
      </c>
      <c r="AD258">
        <f>IF(metadata!D258="",FALSE,TRUE)</f>
        <v>0</v>
      </c>
      <c r="AE258">
        <f>OR(AND(IF(metadata!E258="",FALSE,TRUE),OR(exact(metadata!E258,"missing: not collected"),exact(metadata!E258,"missing: not provided"))),AND(IF(metadata!E258="",FALSE,TRUE),OR(exact(metadata!E258,"TRUE"),exact(metadata!E258,"FALSE"))))</f>
        <v>0</v>
      </c>
      <c r="AF258">
        <f>IF(metadata!F258="",FALSE,TRUE)</f>
        <v>0</v>
      </c>
      <c r="AG258">
        <f>IF(metadata!G258="",FALSE,TRUE)</f>
        <v>0</v>
      </c>
      <c r="AH258">
        <f>IF(metadata!H258="",FALSE,TRUE)</f>
        <v>0</v>
      </c>
      <c r="AI258">
        <f>OR(AND(IF(metadata!I258="",FALSE,TRUE),OR(exact(metadata!I258,"missing: not collected"),exact(metadata!I258,"missing: not provided"),exact(metadata!I258,"missing: restricted access"))),AND(IF(metadata!I258="",FALSE,TRUE),OR(exact(metadata!I258,"air"),exact(metadata!I258,"built environment"),exact(metadata!I258,"host-associated"),exact(metadata!I258,"human-associated"),exact(metadata!I258,"human-skin"),exact(metadata!I258,"human-oral"),exact(metadata!I258,"human-gut"),exact(metadata!I258,"human-vaginal"),exact(metadata!I258,"microbial mat/biofilm"),exact(metadata!I258,"misc environment"),exact(metadata!I258,"plant-associated"),exact(metadata!I258,"sediment"),exact(metadata!I258,"soil"),exact(metadata!I258,"wastewater/sludge"),exact(metadata!I258,"water"))))</f>
        <v>0</v>
      </c>
      <c r="AJ258">
        <f>IF(metadata!J258="",FALSE,TRUE)</f>
        <v>0</v>
      </c>
      <c r="AK258">
        <f>OR(AND(IF(metadata!K258="",FALSE,TRUE),OR(exact(metadata!K258,"missing: not collected"),exact(metadata!K258,"missing: not provided"),exact(metadata!K258,"missing: restricted access"))),AND(IF(metadata!K258="",FALSE,ISNUMBER(VALUE(metadata!K258))),metadata!K258&gt;=-90.00,metadata!K258&lt;=90.00))</f>
        <v>0</v>
      </c>
      <c r="AL258">
        <f>OR(AND(IF(metadata!L258="",FALSE,TRUE),OR(exact(metadata!L258,"missing: not collected"),exact(metadata!L258,"missing: not provided"),exact(metadata!L258,"missing: restricted access"))),AND(IF(metadata!L258="",FALSE,ISNUMBER(VALUE(metadata!L258))),metadata!L258&gt;=-180.00,metadata!L258&lt;=180.00))</f>
        <v>0</v>
      </c>
      <c r="AM258">
        <f>IF(metadata!M258="",FALSE,TRUE)</f>
        <v>0</v>
      </c>
      <c r="AN258">
        <f>OR(AND(IF(metadata!N258="",FALSE,TRUE),OR(exact(metadata!N258,"missing: not collected"),exact(metadata!N258,"missing: not provided"),exact(metadata!N258,"missing: restricted access"))),AND(IF(metadata!N258="",FALSE,TRUE),OR(exact(metadata!N258,"TRUE"),exact(metadata!N258,"FALSE"))))</f>
        <v>0</v>
      </c>
      <c r="AO258">
        <f>IF(metadata!O258="",FALSE,TRUE)</f>
        <v>0</v>
      </c>
      <c r="AP258">
        <f>OR(AND(IF(metadata!P258="",FALSE,TRUE),OR(exact(metadata!P258,"missing: not collected"),exact(metadata!P258,"missing: not provided"))),AND(IF(metadata!P258="",FALSE,IF(ISERROR(INT(metadata!P258)),FALSE,INT(metadata!P258)=metadata!P258)),metadata!P258&gt;0))</f>
        <v>0</v>
      </c>
      <c r="AQ258">
        <f>IF(metadata!Q258="",FALSE,TRUE)</f>
        <v>0</v>
      </c>
    </row>
    <row r="259" spans="1:43">
      <c r="A259" s="5">
        <f>IF(B259=" "," ",HYPERLINK(CONCATENATE("#metadata!",ADDRESS(INDEX($W$2:$W$1001,MATCH(ROWS($U$2:U259),$U$2:$U$1001,0),0),1)),INDEX($Z$2:$Z$1001,MATCH(ROWS($U$2:U259),$U$2:$U$1001,0),0)))</f>
        <v>0</v>
      </c>
      <c r="B259" s="4">
        <f>IF(OR(INDEX($V$2:$V$1001,MATCH(ROWS($U$2:U259),$U$2:$U$1001,0),1)&gt;=100000,INDEX($AB$1005:$AQ$1005,1,MATCH(COLUMNS($AB$1006:AB1006),$AB$1006:$AQ$1006,0))&gt;=100000), " ",IF(INDEX($AB$2:$AQ$1001,MATCH(ROWS($U$2:U259),$U$2:$U$1001,0),MATCH(COLUMNS($AB$1006:AB1006),$AB$1006:$AQ$1006,0)), HYPERLINK("#",""), HYPERLINK(CONCATENATE("#metadata!", ADDRESS(INDEX($W$2:$W$1001,MATCH(ROWS($U$2:U259),$U$2:$U$1001,0),0), INDEX($AB$1004:$AQ$1004,1,MATCH(COLUMNS($AB$1006:AB1006),$AB$1006:$AQ$1006,0)))),"Fix")))</f>
        <v>0</v>
      </c>
      <c r="C259" s="4">
        <f>IF(OR(INDEX($V$2:$V$1001,MATCH(ROWS($U$2:U259),$U$2:$U$1001,0),1)&gt;=100000,INDEX($AB$1005:$AQ$1005,1,MATCH(COLUMNS($AB$1006:AC1006),$AB$1006:$AQ$1006,0))&gt;=100000), " ",IF(INDEX($AB$2:$AQ$1001,MATCH(ROWS($U$2:U259),$U$2:$U$1001,0),MATCH(COLUMNS($AB$1006:AC1006),$AB$1006:$AQ$1006,0)), HYPERLINK("#",""), HYPERLINK(CONCATENATE("#metadata!", ADDRESS(INDEX($W$2:$W$1001,MATCH(ROWS($U$2:U259),$U$2:$U$1001,0),0), INDEX($AB$1004:$AQ$1004,1,MATCH(COLUMNS($AB$1006:AC1006),$AB$1006:$AQ$1006,0)))),"Fix")))</f>
        <v>0</v>
      </c>
      <c r="D259" s="4">
        <f>IF(OR(INDEX($V$2:$V$1001,MATCH(ROWS($U$2:U259),$U$2:$U$1001,0),1)&gt;=100000,INDEX($AB$1005:$AQ$1005,1,MATCH(COLUMNS($AB$1006:AD1006),$AB$1006:$AQ$1006,0))&gt;=100000), " ",IF(INDEX($AB$2:$AQ$1001,MATCH(ROWS($U$2:U259),$U$2:$U$1001,0),MATCH(COLUMNS($AB$1006:AD1006),$AB$1006:$AQ$1006,0)), HYPERLINK("#",""), HYPERLINK(CONCATENATE("#metadata!", ADDRESS(INDEX($W$2:$W$1001,MATCH(ROWS($U$2:U259),$U$2:$U$1001,0),0), INDEX($AB$1004:$AQ$1004,1,MATCH(COLUMNS($AB$1006:AD1006),$AB$1006:$AQ$1006,0)))),"Fix")))</f>
        <v>0</v>
      </c>
      <c r="E259" s="4">
        <f>IF(OR(INDEX($V$2:$V$1001,MATCH(ROWS($U$2:U259),$U$2:$U$1001,0),1)&gt;=100000,INDEX($AB$1005:$AQ$1005,1,MATCH(COLUMNS($AB$1006:AE1006),$AB$1006:$AQ$1006,0))&gt;=100000), " ",IF(INDEX($AB$2:$AQ$1001,MATCH(ROWS($U$2:U259),$U$2:$U$1001,0),MATCH(COLUMNS($AB$1006:AE1006),$AB$1006:$AQ$1006,0)), HYPERLINK("#",""), HYPERLINK(CONCATENATE("#metadata!", ADDRESS(INDEX($W$2:$W$1001,MATCH(ROWS($U$2:U259),$U$2:$U$1001,0),0), INDEX($AB$1004:$AQ$1004,1,MATCH(COLUMNS($AB$1006:AE1006),$AB$1006:$AQ$1006,0)))),"Fix")))</f>
        <v>0</v>
      </c>
      <c r="F259" s="4">
        <f>IF(OR(INDEX($V$2:$V$1001,MATCH(ROWS($U$2:U259),$U$2:$U$1001,0),1)&gt;=100000,INDEX($AB$1005:$AQ$1005,1,MATCH(COLUMNS($AB$1006:AF1006),$AB$1006:$AQ$1006,0))&gt;=100000), " ",IF(INDEX($AB$2:$AQ$1001,MATCH(ROWS($U$2:U259),$U$2:$U$1001,0),MATCH(COLUMNS($AB$1006:AF1006),$AB$1006:$AQ$1006,0)), HYPERLINK("#",""), HYPERLINK(CONCATENATE("#metadata!", ADDRESS(INDEX($W$2:$W$1001,MATCH(ROWS($U$2:U259),$U$2:$U$1001,0),0), INDEX($AB$1004:$AQ$1004,1,MATCH(COLUMNS($AB$1006:AF1006),$AB$1006:$AQ$1006,0)))),"Fix")))</f>
        <v>0</v>
      </c>
      <c r="G259" s="4">
        <f>IF(OR(INDEX($V$2:$V$1001,MATCH(ROWS($U$2:U259),$U$2:$U$1001,0),1)&gt;=100000,INDEX($AB$1005:$AQ$1005,1,MATCH(COLUMNS($AB$1006:AG1006),$AB$1006:$AQ$1006,0))&gt;=100000), " ",IF(INDEX($AB$2:$AQ$1001,MATCH(ROWS($U$2:U259),$U$2:$U$1001,0),MATCH(COLUMNS($AB$1006:AG1006),$AB$1006:$AQ$1006,0)), HYPERLINK("#",""), HYPERLINK(CONCATENATE("#metadata!", ADDRESS(INDEX($W$2:$W$1001,MATCH(ROWS($U$2:U259),$U$2:$U$1001,0),0), INDEX($AB$1004:$AQ$1004,1,MATCH(COLUMNS($AB$1006:AG1006),$AB$1006:$AQ$1006,0)))),"Fix")))</f>
        <v>0</v>
      </c>
      <c r="H259" s="4">
        <f>IF(OR(INDEX($V$2:$V$1001,MATCH(ROWS($U$2:U259),$U$2:$U$1001,0),1)&gt;=100000,INDEX($AB$1005:$AQ$1005,1,MATCH(COLUMNS($AB$1006:AH1006),$AB$1006:$AQ$1006,0))&gt;=100000), " ",IF(INDEX($AB$2:$AQ$1001,MATCH(ROWS($U$2:U259),$U$2:$U$1001,0),MATCH(COLUMNS($AB$1006:AH1006),$AB$1006:$AQ$1006,0)), HYPERLINK("#",""), HYPERLINK(CONCATENATE("#metadata!", ADDRESS(INDEX($W$2:$W$1001,MATCH(ROWS($U$2:U259),$U$2:$U$1001,0),0), INDEX($AB$1004:$AQ$1004,1,MATCH(COLUMNS($AB$1006:AH1006),$AB$1006:$AQ$1006,0)))),"Fix")))</f>
        <v>0</v>
      </c>
      <c r="I259" s="4">
        <f>IF(OR(INDEX($V$2:$V$1001,MATCH(ROWS($U$2:U259),$U$2:$U$1001,0),1)&gt;=100000,INDEX($AB$1005:$AQ$1005,1,MATCH(COLUMNS($AB$1006:AI1006),$AB$1006:$AQ$1006,0))&gt;=100000), " ",IF(INDEX($AB$2:$AQ$1001,MATCH(ROWS($U$2:U259),$U$2:$U$1001,0),MATCH(COLUMNS($AB$1006:AI1006),$AB$1006:$AQ$1006,0)), HYPERLINK("#",""), HYPERLINK(CONCATENATE("#metadata!", ADDRESS(INDEX($W$2:$W$1001,MATCH(ROWS($U$2:U259),$U$2:$U$1001,0),0), INDEX($AB$1004:$AQ$1004,1,MATCH(COLUMNS($AB$1006:AI1006),$AB$1006:$AQ$1006,0)))),"Fix")))</f>
        <v>0</v>
      </c>
      <c r="J259" s="4">
        <f>IF(OR(INDEX($V$2:$V$1001,MATCH(ROWS($U$2:U259),$U$2:$U$1001,0),1)&gt;=100000,INDEX($AB$1005:$AQ$1005,1,MATCH(COLUMNS($AB$1006:AJ1006),$AB$1006:$AQ$1006,0))&gt;=100000), " ",IF(INDEX($AB$2:$AQ$1001,MATCH(ROWS($U$2:U259),$U$2:$U$1001,0),MATCH(COLUMNS($AB$1006:AJ1006),$AB$1006:$AQ$1006,0)), HYPERLINK("#",""), HYPERLINK(CONCATENATE("#metadata!", ADDRESS(INDEX($W$2:$W$1001,MATCH(ROWS($U$2:U259),$U$2:$U$1001,0),0), INDEX($AB$1004:$AQ$1004,1,MATCH(COLUMNS($AB$1006:AJ1006),$AB$1006:$AQ$1006,0)))),"Fix")))</f>
        <v>0</v>
      </c>
      <c r="K259" s="4">
        <f>IF(OR(INDEX($V$2:$V$1001,MATCH(ROWS($U$2:U259),$U$2:$U$1001,0),1)&gt;=100000,INDEX($AB$1005:$AQ$1005,1,MATCH(COLUMNS($AB$1006:AK1006),$AB$1006:$AQ$1006,0))&gt;=100000), " ",IF(INDEX($AB$2:$AQ$1001,MATCH(ROWS($U$2:U259),$U$2:$U$1001,0),MATCH(COLUMNS($AB$1006:AK1006),$AB$1006:$AQ$1006,0)), HYPERLINK("#",""), HYPERLINK(CONCATENATE("#metadata!", ADDRESS(INDEX($W$2:$W$1001,MATCH(ROWS($U$2:U259),$U$2:$U$1001,0),0), INDEX($AB$1004:$AQ$1004,1,MATCH(COLUMNS($AB$1006:AK1006),$AB$1006:$AQ$1006,0)))),"Fix")))</f>
        <v>0</v>
      </c>
      <c r="L259" s="4">
        <f>IF(OR(INDEX($V$2:$V$1001,MATCH(ROWS($U$2:U259),$U$2:$U$1001,0),1)&gt;=100000,INDEX($AB$1005:$AQ$1005,1,MATCH(COLUMNS($AB$1006:AL1006),$AB$1006:$AQ$1006,0))&gt;=100000), " ",IF(INDEX($AB$2:$AQ$1001,MATCH(ROWS($U$2:U259),$U$2:$U$1001,0),MATCH(COLUMNS($AB$1006:AL1006),$AB$1006:$AQ$1006,0)), HYPERLINK("#",""), HYPERLINK(CONCATENATE("#metadata!", ADDRESS(INDEX($W$2:$W$1001,MATCH(ROWS($U$2:U259),$U$2:$U$1001,0),0), INDEX($AB$1004:$AQ$1004,1,MATCH(COLUMNS($AB$1006:AL1006),$AB$1006:$AQ$1006,0)))),"Fix")))</f>
        <v>0</v>
      </c>
      <c r="M259" s="4">
        <f>IF(OR(INDEX($V$2:$V$1001,MATCH(ROWS($U$2:U259),$U$2:$U$1001,0),1)&gt;=100000,INDEX($AB$1005:$AQ$1005,1,MATCH(COLUMNS($AB$1006:AM1006),$AB$1006:$AQ$1006,0))&gt;=100000), " ",IF(INDEX($AB$2:$AQ$1001,MATCH(ROWS($U$2:U259),$U$2:$U$1001,0),MATCH(COLUMNS($AB$1006:AM1006),$AB$1006:$AQ$1006,0)), HYPERLINK("#",""), HYPERLINK(CONCATENATE("#metadata!", ADDRESS(INDEX($W$2:$W$1001,MATCH(ROWS($U$2:U259),$U$2:$U$1001,0),0), INDEX($AB$1004:$AQ$1004,1,MATCH(COLUMNS($AB$1006:AM1006),$AB$1006:$AQ$1006,0)))),"Fix")))</f>
        <v>0</v>
      </c>
      <c r="N259" s="4">
        <f>IF(OR(INDEX($V$2:$V$1001,MATCH(ROWS($U$2:U259),$U$2:$U$1001,0),1)&gt;=100000,INDEX($AB$1005:$AQ$1005,1,MATCH(COLUMNS($AB$1006:AN1006),$AB$1006:$AQ$1006,0))&gt;=100000), " ",IF(INDEX($AB$2:$AQ$1001,MATCH(ROWS($U$2:U259),$U$2:$U$1001,0),MATCH(COLUMNS($AB$1006:AN1006),$AB$1006:$AQ$1006,0)), HYPERLINK("#",""), HYPERLINK(CONCATENATE("#metadata!", ADDRESS(INDEX($W$2:$W$1001,MATCH(ROWS($U$2:U259),$U$2:$U$1001,0),0), INDEX($AB$1004:$AQ$1004,1,MATCH(COLUMNS($AB$1006:AN1006),$AB$1006:$AQ$1006,0)))),"Fix")))</f>
        <v>0</v>
      </c>
      <c r="O259" s="4">
        <f>IF(OR(INDEX($V$2:$V$1001,MATCH(ROWS($U$2:U259),$U$2:$U$1001,0),1)&gt;=100000,INDEX($AB$1005:$AQ$1005,1,MATCH(COLUMNS($AB$1006:AO1006),$AB$1006:$AQ$1006,0))&gt;=100000), " ",IF(INDEX($AB$2:$AQ$1001,MATCH(ROWS($U$2:U259),$U$2:$U$1001,0),MATCH(COLUMNS($AB$1006:AO1006),$AB$1006:$AQ$1006,0)), HYPERLINK("#",""), HYPERLINK(CONCATENATE("#metadata!", ADDRESS(INDEX($W$2:$W$1001,MATCH(ROWS($U$2:U259),$U$2:$U$1001,0),0), INDEX($AB$1004:$AQ$1004,1,MATCH(COLUMNS($AB$1006:AO1006),$AB$1006:$AQ$1006,0)))),"Fix")))</f>
        <v>0</v>
      </c>
      <c r="P259" s="4">
        <f>IF(OR(INDEX($V$2:$V$1001,MATCH(ROWS($U$2:U259),$U$2:$U$1001,0),1)&gt;=100000,INDEX($AB$1005:$AQ$1005,1,MATCH(COLUMNS($AB$1006:AP1006),$AB$1006:$AQ$1006,0))&gt;=100000), " ",IF(INDEX($AB$2:$AQ$1001,MATCH(ROWS($U$2:U259),$U$2:$U$1001,0),MATCH(COLUMNS($AB$1006:AP1006),$AB$1006:$AQ$1006,0)), HYPERLINK("#",""), HYPERLINK(CONCATENATE("#metadata!", ADDRESS(INDEX($W$2:$W$1001,MATCH(ROWS($U$2:U259),$U$2:$U$1001,0),0), INDEX($AB$1004:$AQ$1004,1,MATCH(COLUMNS($AB$1006:AP1006),$AB$1006:$AQ$1006,0)))),"Fix")))</f>
        <v>0</v>
      </c>
      <c r="Q259" s="4">
        <f>IF(OR(INDEX($V$2:$V$1001,MATCH(ROWS($U$2:U259),$U$2:$U$1001,0),1)&gt;=100000,INDEX($AB$1005:$AQ$1005,1,MATCH(COLUMNS($AB$1006:AQ1006),$AB$1006:$AQ$1006,0))&gt;=100000), " ",IF(INDEX($AB$2:$AQ$1001,MATCH(ROWS($U$2:U259),$U$2:$U$1001,0),MATCH(COLUMNS($AB$1006:AQ1006),$AB$1006:$AQ$1006,0)), HYPERLINK("#",""), HYPERLINK(CONCATENATE("#metadata!", ADDRESS(INDEX($W$2:$W$1001,MATCH(ROWS($U$2:U259),$U$2:$U$1001,0),0), INDEX($AB$1004:$AQ$1004,1,MATCH(COLUMNS($AB$1006:AQ1006),$AB$1006:$AQ$1006,0)))),"Fix")))</f>
        <v>0</v>
      </c>
      <c r="U259">
        <v>0</v>
      </c>
      <c r="V259">
        <v>0</v>
      </c>
      <c r="W259">
        <v>0</v>
      </c>
      <c r="X259">
        <f>IF(Y259,TRUE,AND(AB259:AQ259))</f>
        <v>0</v>
      </c>
      <c r="Y259">
        <f>COUNTBLANK(metadata!B259:Q259)=COLUMNS(metadata!B259:Q259)</f>
        <v>0</v>
      </c>
      <c r="Z259">
        <v>0</v>
      </c>
      <c r="AB259">
        <f>AND(IF(metadata!B259="",FALSE,TRUE),COUNTIF(metadata!B:B, metadata!B259) = 1,NOT(ISERROR(SUMPRODUCT(SEARCH(MID(metadata!B259,ROW(INDIRECT("1:"&amp;LEN(metadata!B259))), 1),"0123456789abcdefghijklmnopqrstuvwxyzABCDEFGHIJKLMNOPQRSTUVWXYZ.")))))</f>
        <v>0</v>
      </c>
      <c r="AC259">
        <f>OR(AND(IF(metadata!C259="",FALSE,TRUE),OR(exact(metadata!C259,"missing: not collected"),exact(metadata!C259,"missing: not provided"),exact(metadata!C259,"missing: restricted access"))),AND(IF(metadata!C259="",FALSE,TRUE),AND(AND(IFERROR(INT(LEFT(metadata!C259,4))&gt;1900,FALSE),IFERROR(INT(LEFT(metadata!C259,4))&lt;=YEAR(NOW()),FALSE)), OR(MID(metadata!C259,5,1)="", AND(AND(MID(metadata!C259,5,1)="-",IFERROR(INT(MID(metadata!C259,6,1))&gt;=0,FALSE),IFERROR(INT(MID(metadata!C259,6,1))&lt;=1,FALSE),NOT(MID(metadata!C259,7,1)=""),IFERROR(INT(MID(metadata!C259,6,2))&gt;=1,FALSE),IFERROR(INT(MID(metadata!C259,6,2))&lt;=12,FALSE)), OR(MID(metadata!C259,8,1)="", AND(AND(MID(metadata!C259,8,1)="-",IFERROR(INT(MID(metadata!C259,9,1))&gt;=0,FALSE),IFERROR(INT(MID(metadata!C259,9,1))&lt;=3,FALSE),NOT(MID(metadata!C259,10,1)=""),IFERROR(INT(MID(metadata!C259,9,2))&gt;=1,FALSE),IFERROR(INT(MID(metadata!C259,9,2))&lt;=31,FALSE)), OR(MID(metadata!C259,11,1)="", AND(AND(MID(metadata!C259,11,1)=" ",IFERROR(INT(MID(metadata!C259,12,1))&gt;=0,FALSE),IFERROR(INT(MID(metadata!C259,12,1))&lt;=2,FALSE),NOT(MID(metadata!C259,13,1)=""),IFERROR(INT(MID(metadata!C259,12,2))&gt;=0,FALSE),IFERROR(INT(MID(metadata!C259,12,2))&lt;=23,FALSE)), OR(MID(metadata!C259,14,1)="", AND(AND(MID(metadata!C259,14,1)=":",IFERROR(INT(MID(metadata!C259,15,1))&gt;=0,FALSE),IFERROR(INT(MID(metadata!C259,15,1))&lt;=5,FALSE),NOT(MID(metadata!C259,16,1)=""),IFERROR(INT(MID(metadata!C259,15,2))&gt;=0,FALSE),IFERROR(INT(MID(metadata!C259,15,2))&lt;=59,FALSE)), OR(MID(metadata!C259,17,1)="", AND(AND(MID(metadata!C259,17,1)=":",IFERROR(INT(MID(metadata!C259,18,1))&gt;=0,FALSE),IFERROR(INT(MID(metadata!C259,18,1))&lt;=5,FALSE),NOT(MID(metadata!C259,19,1)=""),IFERROR(INT(MID(metadata!C259,18,2))&gt;=0,FALSE),IFERROR(INT(MID(metadata!C259,18,2))&lt;=59,FALSE)), LEN(metadata!C259)&lt;=19)))))))))))))</f>
        <v>0</v>
      </c>
      <c r="AD259">
        <f>IF(metadata!D259="",FALSE,TRUE)</f>
        <v>0</v>
      </c>
      <c r="AE259">
        <f>OR(AND(IF(metadata!E259="",FALSE,TRUE),OR(exact(metadata!E259,"missing: not collected"),exact(metadata!E259,"missing: not provided"))),AND(IF(metadata!E259="",FALSE,TRUE),OR(exact(metadata!E259,"TRUE"),exact(metadata!E259,"FALSE"))))</f>
        <v>0</v>
      </c>
      <c r="AF259">
        <f>IF(metadata!F259="",FALSE,TRUE)</f>
        <v>0</v>
      </c>
      <c r="AG259">
        <f>IF(metadata!G259="",FALSE,TRUE)</f>
        <v>0</v>
      </c>
      <c r="AH259">
        <f>IF(metadata!H259="",FALSE,TRUE)</f>
        <v>0</v>
      </c>
      <c r="AI259">
        <f>OR(AND(IF(metadata!I259="",FALSE,TRUE),OR(exact(metadata!I259,"missing: not collected"),exact(metadata!I259,"missing: not provided"),exact(metadata!I259,"missing: restricted access"))),AND(IF(metadata!I259="",FALSE,TRUE),OR(exact(metadata!I259,"air"),exact(metadata!I259,"built environment"),exact(metadata!I259,"host-associated"),exact(metadata!I259,"human-associated"),exact(metadata!I259,"human-skin"),exact(metadata!I259,"human-oral"),exact(metadata!I259,"human-gut"),exact(metadata!I259,"human-vaginal"),exact(metadata!I259,"microbial mat/biofilm"),exact(metadata!I259,"misc environment"),exact(metadata!I259,"plant-associated"),exact(metadata!I259,"sediment"),exact(metadata!I259,"soil"),exact(metadata!I259,"wastewater/sludge"),exact(metadata!I259,"water"))))</f>
        <v>0</v>
      </c>
      <c r="AJ259">
        <f>IF(metadata!J259="",FALSE,TRUE)</f>
        <v>0</v>
      </c>
      <c r="AK259">
        <f>OR(AND(IF(metadata!K259="",FALSE,TRUE),OR(exact(metadata!K259,"missing: not collected"),exact(metadata!K259,"missing: not provided"),exact(metadata!K259,"missing: restricted access"))),AND(IF(metadata!K259="",FALSE,ISNUMBER(VALUE(metadata!K259))),metadata!K259&gt;=-90.00,metadata!K259&lt;=90.00))</f>
        <v>0</v>
      </c>
      <c r="AL259">
        <f>OR(AND(IF(metadata!L259="",FALSE,TRUE),OR(exact(metadata!L259,"missing: not collected"),exact(metadata!L259,"missing: not provided"),exact(metadata!L259,"missing: restricted access"))),AND(IF(metadata!L259="",FALSE,ISNUMBER(VALUE(metadata!L259))),metadata!L259&gt;=-180.00,metadata!L259&lt;=180.00))</f>
        <v>0</v>
      </c>
      <c r="AM259">
        <f>IF(metadata!M259="",FALSE,TRUE)</f>
        <v>0</v>
      </c>
      <c r="AN259">
        <f>OR(AND(IF(metadata!N259="",FALSE,TRUE),OR(exact(metadata!N259,"missing: not collected"),exact(metadata!N259,"missing: not provided"),exact(metadata!N259,"missing: restricted access"))),AND(IF(metadata!N259="",FALSE,TRUE),OR(exact(metadata!N259,"TRUE"),exact(metadata!N259,"FALSE"))))</f>
        <v>0</v>
      </c>
      <c r="AO259">
        <f>IF(metadata!O259="",FALSE,TRUE)</f>
        <v>0</v>
      </c>
      <c r="AP259">
        <f>OR(AND(IF(metadata!P259="",FALSE,TRUE),OR(exact(metadata!P259,"missing: not collected"),exact(metadata!P259,"missing: not provided"))),AND(IF(metadata!P259="",FALSE,IF(ISERROR(INT(metadata!P259)),FALSE,INT(metadata!P259)=metadata!P259)),metadata!P259&gt;0))</f>
        <v>0</v>
      </c>
      <c r="AQ259">
        <f>IF(metadata!Q259="",FALSE,TRUE)</f>
        <v>0</v>
      </c>
    </row>
    <row r="260" spans="1:43">
      <c r="A260" s="5">
        <f>IF(B260=" "," ",HYPERLINK(CONCATENATE("#metadata!",ADDRESS(INDEX($W$2:$W$1001,MATCH(ROWS($U$2:U260),$U$2:$U$1001,0),0),1)),INDEX($Z$2:$Z$1001,MATCH(ROWS($U$2:U260),$U$2:$U$1001,0),0)))</f>
        <v>0</v>
      </c>
      <c r="B260" s="4">
        <f>IF(OR(INDEX($V$2:$V$1001,MATCH(ROWS($U$2:U260),$U$2:$U$1001,0),1)&gt;=100000,INDEX($AB$1005:$AQ$1005,1,MATCH(COLUMNS($AB$1006:AB1006),$AB$1006:$AQ$1006,0))&gt;=100000), " ",IF(INDEX($AB$2:$AQ$1001,MATCH(ROWS($U$2:U260),$U$2:$U$1001,0),MATCH(COLUMNS($AB$1006:AB1006),$AB$1006:$AQ$1006,0)), HYPERLINK("#",""), HYPERLINK(CONCATENATE("#metadata!", ADDRESS(INDEX($W$2:$W$1001,MATCH(ROWS($U$2:U260),$U$2:$U$1001,0),0), INDEX($AB$1004:$AQ$1004,1,MATCH(COLUMNS($AB$1006:AB1006),$AB$1006:$AQ$1006,0)))),"Fix")))</f>
        <v>0</v>
      </c>
      <c r="C260" s="4">
        <f>IF(OR(INDEX($V$2:$V$1001,MATCH(ROWS($U$2:U260),$U$2:$U$1001,0),1)&gt;=100000,INDEX($AB$1005:$AQ$1005,1,MATCH(COLUMNS($AB$1006:AC1006),$AB$1006:$AQ$1006,0))&gt;=100000), " ",IF(INDEX($AB$2:$AQ$1001,MATCH(ROWS($U$2:U260),$U$2:$U$1001,0),MATCH(COLUMNS($AB$1006:AC1006),$AB$1006:$AQ$1006,0)), HYPERLINK("#",""), HYPERLINK(CONCATENATE("#metadata!", ADDRESS(INDEX($W$2:$W$1001,MATCH(ROWS($U$2:U260),$U$2:$U$1001,0),0), INDEX($AB$1004:$AQ$1004,1,MATCH(COLUMNS($AB$1006:AC1006),$AB$1006:$AQ$1006,0)))),"Fix")))</f>
        <v>0</v>
      </c>
      <c r="D260" s="4">
        <f>IF(OR(INDEX($V$2:$V$1001,MATCH(ROWS($U$2:U260),$U$2:$U$1001,0),1)&gt;=100000,INDEX($AB$1005:$AQ$1005,1,MATCH(COLUMNS($AB$1006:AD1006),$AB$1006:$AQ$1006,0))&gt;=100000), " ",IF(INDEX($AB$2:$AQ$1001,MATCH(ROWS($U$2:U260),$U$2:$U$1001,0),MATCH(COLUMNS($AB$1006:AD1006),$AB$1006:$AQ$1006,0)), HYPERLINK("#",""), HYPERLINK(CONCATENATE("#metadata!", ADDRESS(INDEX($W$2:$W$1001,MATCH(ROWS($U$2:U260),$U$2:$U$1001,0),0), INDEX($AB$1004:$AQ$1004,1,MATCH(COLUMNS($AB$1006:AD1006),$AB$1006:$AQ$1006,0)))),"Fix")))</f>
        <v>0</v>
      </c>
      <c r="E260" s="4">
        <f>IF(OR(INDEX($V$2:$V$1001,MATCH(ROWS($U$2:U260),$U$2:$U$1001,0),1)&gt;=100000,INDEX($AB$1005:$AQ$1005,1,MATCH(COLUMNS($AB$1006:AE1006),$AB$1006:$AQ$1006,0))&gt;=100000), " ",IF(INDEX($AB$2:$AQ$1001,MATCH(ROWS($U$2:U260),$U$2:$U$1001,0),MATCH(COLUMNS($AB$1006:AE1006),$AB$1006:$AQ$1006,0)), HYPERLINK("#",""), HYPERLINK(CONCATENATE("#metadata!", ADDRESS(INDEX($W$2:$W$1001,MATCH(ROWS($U$2:U260),$U$2:$U$1001,0),0), INDEX($AB$1004:$AQ$1004,1,MATCH(COLUMNS($AB$1006:AE1006),$AB$1006:$AQ$1006,0)))),"Fix")))</f>
        <v>0</v>
      </c>
      <c r="F260" s="4">
        <f>IF(OR(INDEX($V$2:$V$1001,MATCH(ROWS($U$2:U260),$U$2:$U$1001,0),1)&gt;=100000,INDEX($AB$1005:$AQ$1005,1,MATCH(COLUMNS($AB$1006:AF1006),$AB$1006:$AQ$1006,0))&gt;=100000), " ",IF(INDEX($AB$2:$AQ$1001,MATCH(ROWS($U$2:U260),$U$2:$U$1001,0),MATCH(COLUMNS($AB$1006:AF1006),$AB$1006:$AQ$1006,0)), HYPERLINK("#",""), HYPERLINK(CONCATENATE("#metadata!", ADDRESS(INDEX($W$2:$W$1001,MATCH(ROWS($U$2:U260),$U$2:$U$1001,0),0), INDEX($AB$1004:$AQ$1004,1,MATCH(COLUMNS($AB$1006:AF1006),$AB$1006:$AQ$1006,0)))),"Fix")))</f>
        <v>0</v>
      </c>
      <c r="G260" s="4">
        <f>IF(OR(INDEX($V$2:$V$1001,MATCH(ROWS($U$2:U260),$U$2:$U$1001,0),1)&gt;=100000,INDEX($AB$1005:$AQ$1005,1,MATCH(COLUMNS($AB$1006:AG1006),$AB$1006:$AQ$1006,0))&gt;=100000), " ",IF(INDEX($AB$2:$AQ$1001,MATCH(ROWS($U$2:U260),$U$2:$U$1001,0),MATCH(COLUMNS($AB$1006:AG1006),$AB$1006:$AQ$1006,0)), HYPERLINK("#",""), HYPERLINK(CONCATENATE("#metadata!", ADDRESS(INDEX($W$2:$W$1001,MATCH(ROWS($U$2:U260),$U$2:$U$1001,0),0), INDEX($AB$1004:$AQ$1004,1,MATCH(COLUMNS($AB$1006:AG1006),$AB$1006:$AQ$1006,0)))),"Fix")))</f>
        <v>0</v>
      </c>
      <c r="H260" s="4">
        <f>IF(OR(INDEX($V$2:$V$1001,MATCH(ROWS($U$2:U260),$U$2:$U$1001,0),1)&gt;=100000,INDEX($AB$1005:$AQ$1005,1,MATCH(COLUMNS($AB$1006:AH1006),$AB$1006:$AQ$1006,0))&gt;=100000), " ",IF(INDEX($AB$2:$AQ$1001,MATCH(ROWS($U$2:U260),$U$2:$U$1001,0),MATCH(COLUMNS($AB$1006:AH1006),$AB$1006:$AQ$1006,0)), HYPERLINK("#",""), HYPERLINK(CONCATENATE("#metadata!", ADDRESS(INDEX($W$2:$W$1001,MATCH(ROWS($U$2:U260),$U$2:$U$1001,0),0), INDEX($AB$1004:$AQ$1004,1,MATCH(COLUMNS($AB$1006:AH1006),$AB$1006:$AQ$1006,0)))),"Fix")))</f>
        <v>0</v>
      </c>
      <c r="I260" s="4">
        <f>IF(OR(INDEX($V$2:$V$1001,MATCH(ROWS($U$2:U260),$U$2:$U$1001,0),1)&gt;=100000,INDEX($AB$1005:$AQ$1005,1,MATCH(COLUMNS($AB$1006:AI1006),$AB$1006:$AQ$1006,0))&gt;=100000), " ",IF(INDEX($AB$2:$AQ$1001,MATCH(ROWS($U$2:U260),$U$2:$U$1001,0),MATCH(COLUMNS($AB$1006:AI1006),$AB$1006:$AQ$1006,0)), HYPERLINK("#",""), HYPERLINK(CONCATENATE("#metadata!", ADDRESS(INDEX($W$2:$W$1001,MATCH(ROWS($U$2:U260),$U$2:$U$1001,0),0), INDEX($AB$1004:$AQ$1004,1,MATCH(COLUMNS($AB$1006:AI1006),$AB$1006:$AQ$1006,0)))),"Fix")))</f>
        <v>0</v>
      </c>
      <c r="J260" s="4">
        <f>IF(OR(INDEX($V$2:$V$1001,MATCH(ROWS($U$2:U260),$U$2:$U$1001,0),1)&gt;=100000,INDEX($AB$1005:$AQ$1005,1,MATCH(COLUMNS($AB$1006:AJ1006),$AB$1006:$AQ$1006,0))&gt;=100000), " ",IF(INDEX($AB$2:$AQ$1001,MATCH(ROWS($U$2:U260),$U$2:$U$1001,0),MATCH(COLUMNS($AB$1006:AJ1006),$AB$1006:$AQ$1006,0)), HYPERLINK("#",""), HYPERLINK(CONCATENATE("#metadata!", ADDRESS(INDEX($W$2:$W$1001,MATCH(ROWS($U$2:U260),$U$2:$U$1001,0),0), INDEX($AB$1004:$AQ$1004,1,MATCH(COLUMNS($AB$1006:AJ1006),$AB$1006:$AQ$1006,0)))),"Fix")))</f>
        <v>0</v>
      </c>
      <c r="K260" s="4">
        <f>IF(OR(INDEX($V$2:$V$1001,MATCH(ROWS($U$2:U260),$U$2:$U$1001,0),1)&gt;=100000,INDEX($AB$1005:$AQ$1005,1,MATCH(COLUMNS($AB$1006:AK1006),$AB$1006:$AQ$1006,0))&gt;=100000), " ",IF(INDEX($AB$2:$AQ$1001,MATCH(ROWS($U$2:U260),$U$2:$U$1001,0),MATCH(COLUMNS($AB$1006:AK1006),$AB$1006:$AQ$1006,0)), HYPERLINK("#",""), HYPERLINK(CONCATENATE("#metadata!", ADDRESS(INDEX($W$2:$W$1001,MATCH(ROWS($U$2:U260),$U$2:$U$1001,0),0), INDEX($AB$1004:$AQ$1004,1,MATCH(COLUMNS($AB$1006:AK1006),$AB$1006:$AQ$1006,0)))),"Fix")))</f>
        <v>0</v>
      </c>
      <c r="L260" s="4">
        <f>IF(OR(INDEX($V$2:$V$1001,MATCH(ROWS($U$2:U260),$U$2:$U$1001,0),1)&gt;=100000,INDEX($AB$1005:$AQ$1005,1,MATCH(COLUMNS($AB$1006:AL1006),$AB$1006:$AQ$1006,0))&gt;=100000), " ",IF(INDEX($AB$2:$AQ$1001,MATCH(ROWS($U$2:U260),$U$2:$U$1001,0),MATCH(COLUMNS($AB$1006:AL1006),$AB$1006:$AQ$1006,0)), HYPERLINK("#",""), HYPERLINK(CONCATENATE("#metadata!", ADDRESS(INDEX($W$2:$W$1001,MATCH(ROWS($U$2:U260),$U$2:$U$1001,0),0), INDEX($AB$1004:$AQ$1004,1,MATCH(COLUMNS($AB$1006:AL1006),$AB$1006:$AQ$1006,0)))),"Fix")))</f>
        <v>0</v>
      </c>
      <c r="M260" s="4">
        <f>IF(OR(INDEX($V$2:$V$1001,MATCH(ROWS($U$2:U260),$U$2:$U$1001,0),1)&gt;=100000,INDEX($AB$1005:$AQ$1005,1,MATCH(COLUMNS($AB$1006:AM1006),$AB$1006:$AQ$1006,0))&gt;=100000), " ",IF(INDEX($AB$2:$AQ$1001,MATCH(ROWS($U$2:U260),$U$2:$U$1001,0),MATCH(COLUMNS($AB$1006:AM1006),$AB$1006:$AQ$1006,0)), HYPERLINK("#",""), HYPERLINK(CONCATENATE("#metadata!", ADDRESS(INDEX($W$2:$W$1001,MATCH(ROWS($U$2:U260),$U$2:$U$1001,0),0), INDEX($AB$1004:$AQ$1004,1,MATCH(COLUMNS($AB$1006:AM1006),$AB$1006:$AQ$1006,0)))),"Fix")))</f>
        <v>0</v>
      </c>
      <c r="N260" s="4">
        <f>IF(OR(INDEX($V$2:$V$1001,MATCH(ROWS($U$2:U260),$U$2:$U$1001,0),1)&gt;=100000,INDEX($AB$1005:$AQ$1005,1,MATCH(COLUMNS($AB$1006:AN1006),$AB$1006:$AQ$1006,0))&gt;=100000), " ",IF(INDEX($AB$2:$AQ$1001,MATCH(ROWS($U$2:U260),$U$2:$U$1001,0),MATCH(COLUMNS($AB$1006:AN1006),$AB$1006:$AQ$1006,0)), HYPERLINK("#",""), HYPERLINK(CONCATENATE("#metadata!", ADDRESS(INDEX($W$2:$W$1001,MATCH(ROWS($U$2:U260),$U$2:$U$1001,0),0), INDEX($AB$1004:$AQ$1004,1,MATCH(COLUMNS($AB$1006:AN1006),$AB$1006:$AQ$1006,0)))),"Fix")))</f>
        <v>0</v>
      </c>
      <c r="O260" s="4">
        <f>IF(OR(INDEX($V$2:$V$1001,MATCH(ROWS($U$2:U260),$U$2:$U$1001,0),1)&gt;=100000,INDEX($AB$1005:$AQ$1005,1,MATCH(COLUMNS($AB$1006:AO1006),$AB$1006:$AQ$1006,0))&gt;=100000), " ",IF(INDEX($AB$2:$AQ$1001,MATCH(ROWS($U$2:U260),$U$2:$U$1001,0),MATCH(COLUMNS($AB$1006:AO1006),$AB$1006:$AQ$1006,0)), HYPERLINK("#",""), HYPERLINK(CONCATENATE("#metadata!", ADDRESS(INDEX($W$2:$W$1001,MATCH(ROWS($U$2:U260),$U$2:$U$1001,0),0), INDEX($AB$1004:$AQ$1004,1,MATCH(COLUMNS($AB$1006:AO1006),$AB$1006:$AQ$1006,0)))),"Fix")))</f>
        <v>0</v>
      </c>
      <c r="P260" s="4">
        <f>IF(OR(INDEX($V$2:$V$1001,MATCH(ROWS($U$2:U260),$U$2:$U$1001,0),1)&gt;=100000,INDEX($AB$1005:$AQ$1005,1,MATCH(COLUMNS($AB$1006:AP1006),$AB$1006:$AQ$1006,0))&gt;=100000), " ",IF(INDEX($AB$2:$AQ$1001,MATCH(ROWS($U$2:U260),$U$2:$U$1001,0),MATCH(COLUMNS($AB$1006:AP1006),$AB$1006:$AQ$1006,0)), HYPERLINK("#",""), HYPERLINK(CONCATENATE("#metadata!", ADDRESS(INDEX($W$2:$W$1001,MATCH(ROWS($U$2:U260),$U$2:$U$1001,0),0), INDEX($AB$1004:$AQ$1004,1,MATCH(COLUMNS($AB$1006:AP1006),$AB$1006:$AQ$1006,0)))),"Fix")))</f>
        <v>0</v>
      </c>
      <c r="Q260" s="4">
        <f>IF(OR(INDEX($V$2:$V$1001,MATCH(ROWS($U$2:U260),$U$2:$U$1001,0),1)&gt;=100000,INDEX($AB$1005:$AQ$1005,1,MATCH(COLUMNS($AB$1006:AQ1006),$AB$1006:$AQ$1006,0))&gt;=100000), " ",IF(INDEX($AB$2:$AQ$1001,MATCH(ROWS($U$2:U260),$U$2:$U$1001,0),MATCH(COLUMNS($AB$1006:AQ1006),$AB$1006:$AQ$1006,0)), HYPERLINK("#",""), HYPERLINK(CONCATENATE("#metadata!", ADDRESS(INDEX($W$2:$W$1001,MATCH(ROWS($U$2:U260),$U$2:$U$1001,0),0), INDEX($AB$1004:$AQ$1004,1,MATCH(COLUMNS($AB$1006:AQ1006),$AB$1006:$AQ$1006,0)))),"Fix")))</f>
        <v>0</v>
      </c>
      <c r="U260">
        <v>0</v>
      </c>
      <c r="V260">
        <v>0</v>
      </c>
      <c r="W260">
        <v>0</v>
      </c>
      <c r="X260">
        <f>IF(Y260,TRUE,AND(AB260:AQ260))</f>
        <v>0</v>
      </c>
      <c r="Y260">
        <f>COUNTBLANK(metadata!B260:Q260)=COLUMNS(metadata!B260:Q260)</f>
        <v>0</v>
      </c>
      <c r="Z260">
        <v>0</v>
      </c>
      <c r="AB260">
        <f>AND(IF(metadata!B260="",FALSE,TRUE),COUNTIF(metadata!B:B, metadata!B260) = 1,NOT(ISERROR(SUMPRODUCT(SEARCH(MID(metadata!B260,ROW(INDIRECT("1:"&amp;LEN(metadata!B260))), 1),"0123456789abcdefghijklmnopqrstuvwxyzABCDEFGHIJKLMNOPQRSTUVWXYZ.")))))</f>
        <v>0</v>
      </c>
      <c r="AC260">
        <f>OR(AND(IF(metadata!C260="",FALSE,TRUE),OR(exact(metadata!C260,"missing: not collected"),exact(metadata!C260,"missing: not provided"),exact(metadata!C260,"missing: restricted access"))),AND(IF(metadata!C260="",FALSE,TRUE),AND(AND(IFERROR(INT(LEFT(metadata!C260,4))&gt;1900,FALSE),IFERROR(INT(LEFT(metadata!C260,4))&lt;=YEAR(NOW()),FALSE)), OR(MID(metadata!C260,5,1)="", AND(AND(MID(metadata!C260,5,1)="-",IFERROR(INT(MID(metadata!C260,6,1))&gt;=0,FALSE),IFERROR(INT(MID(metadata!C260,6,1))&lt;=1,FALSE),NOT(MID(metadata!C260,7,1)=""),IFERROR(INT(MID(metadata!C260,6,2))&gt;=1,FALSE),IFERROR(INT(MID(metadata!C260,6,2))&lt;=12,FALSE)), OR(MID(metadata!C260,8,1)="", AND(AND(MID(metadata!C260,8,1)="-",IFERROR(INT(MID(metadata!C260,9,1))&gt;=0,FALSE),IFERROR(INT(MID(metadata!C260,9,1))&lt;=3,FALSE),NOT(MID(metadata!C260,10,1)=""),IFERROR(INT(MID(metadata!C260,9,2))&gt;=1,FALSE),IFERROR(INT(MID(metadata!C260,9,2))&lt;=31,FALSE)), OR(MID(metadata!C260,11,1)="", AND(AND(MID(metadata!C260,11,1)=" ",IFERROR(INT(MID(metadata!C260,12,1))&gt;=0,FALSE),IFERROR(INT(MID(metadata!C260,12,1))&lt;=2,FALSE),NOT(MID(metadata!C260,13,1)=""),IFERROR(INT(MID(metadata!C260,12,2))&gt;=0,FALSE),IFERROR(INT(MID(metadata!C260,12,2))&lt;=23,FALSE)), OR(MID(metadata!C260,14,1)="", AND(AND(MID(metadata!C260,14,1)=":",IFERROR(INT(MID(metadata!C260,15,1))&gt;=0,FALSE),IFERROR(INT(MID(metadata!C260,15,1))&lt;=5,FALSE),NOT(MID(metadata!C260,16,1)=""),IFERROR(INT(MID(metadata!C260,15,2))&gt;=0,FALSE),IFERROR(INT(MID(metadata!C260,15,2))&lt;=59,FALSE)), OR(MID(metadata!C260,17,1)="", AND(AND(MID(metadata!C260,17,1)=":",IFERROR(INT(MID(metadata!C260,18,1))&gt;=0,FALSE),IFERROR(INT(MID(metadata!C260,18,1))&lt;=5,FALSE),NOT(MID(metadata!C260,19,1)=""),IFERROR(INT(MID(metadata!C260,18,2))&gt;=0,FALSE),IFERROR(INT(MID(metadata!C260,18,2))&lt;=59,FALSE)), LEN(metadata!C260)&lt;=19)))))))))))))</f>
        <v>0</v>
      </c>
      <c r="AD260">
        <f>IF(metadata!D260="",FALSE,TRUE)</f>
        <v>0</v>
      </c>
      <c r="AE260">
        <f>OR(AND(IF(metadata!E260="",FALSE,TRUE),OR(exact(metadata!E260,"missing: not collected"),exact(metadata!E260,"missing: not provided"))),AND(IF(metadata!E260="",FALSE,TRUE),OR(exact(metadata!E260,"TRUE"),exact(metadata!E260,"FALSE"))))</f>
        <v>0</v>
      </c>
      <c r="AF260">
        <f>IF(metadata!F260="",FALSE,TRUE)</f>
        <v>0</v>
      </c>
      <c r="AG260">
        <f>IF(metadata!G260="",FALSE,TRUE)</f>
        <v>0</v>
      </c>
      <c r="AH260">
        <f>IF(metadata!H260="",FALSE,TRUE)</f>
        <v>0</v>
      </c>
      <c r="AI260">
        <f>OR(AND(IF(metadata!I260="",FALSE,TRUE),OR(exact(metadata!I260,"missing: not collected"),exact(metadata!I260,"missing: not provided"),exact(metadata!I260,"missing: restricted access"))),AND(IF(metadata!I260="",FALSE,TRUE),OR(exact(metadata!I260,"air"),exact(metadata!I260,"built environment"),exact(metadata!I260,"host-associated"),exact(metadata!I260,"human-associated"),exact(metadata!I260,"human-skin"),exact(metadata!I260,"human-oral"),exact(metadata!I260,"human-gut"),exact(metadata!I260,"human-vaginal"),exact(metadata!I260,"microbial mat/biofilm"),exact(metadata!I260,"misc environment"),exact(metadata!I260,"plant-associated"),exact(metadata!I260,"sediment"),exact(metadata!I260,"soil"),exact(metadata!I260,"wastewater/sludge"),exact(metadata!I260,"water"))))</f>
        <v>0</v>
      </c>
      <c r="AJ260">
        <f>IF(metadata!J260="",FALSE,TRUE)</f>
        <v>0</v>
      </c>
      <c r="AK260">
        <f>OR(AND(IF(metadata!K260="",FALSE,TRUE),OR(exact(metadata!K260,"missing: not collected"),exact(metadata!K260,"missing: not provided"),exact(metadata!K260,"missing: restricted access"))),AND(IF(metadata!K260="",FALSE,ISNUMBER(VALUE(metadata!K260))),metadata!K260&gt;=-90.00,metadata!K260&lt;=90.00))</f>
        <v>0</v>
      </c>
      <c r="AL260">
        <f>OR(AND(IF(metadata!L260="",FALSE,TRUE),OR(exact(metadata!L260,"missing: not collected"),exact(metadata!L260,"missing: not provided"),exact(metadata!L260,"missing: restricted access"))),AND(IF(metadata!L260="",FALSE,ISNUMBER(VALUE(metadata!L260))),metadata!L260&gt;=-180.00,metadata!L260&lt;=180.00))</f>
        <v>0</v>
      </c>
      <c r="AM260">
        <f>IF(metadata!M260="",FALSE,TRUE)</f>
        <v>0</v>
      </c>
      <c r="AN260">
        <f>OR(AND(IF(metadata!N260="",FALSE,TRUE),OR(exact(metadata!N260,"missing: not collected"),exact(metadata!N260,"missing: not provided"),exact(metadata!N260,"missing: restricted access"))),AND(IF(metadata!N260="",FALSE,TRUE),OR(exact(metadata!N260,"TRUE"),exact(metadata!N260,"FALSE"))))</f>
        <v>0</v>
      </c>
      <c r="AO260">
        <f>IF(metadata!O260="",FALSE,TRUE)</f>
        <v>0</v>
      </c>
      <c r="AP260">
        <f>OR(AND(IF(metadata!P260="",FALSE,TRUE),OR(exact(metadata!P260,"missing: not collected"),exact(metadata!P260,"missing: not provided"))),AND(IF(metadata!P260="",FALSE,IF(ISERROR(INT(metadata!P260)),FALSE,INT(metadata!P260)=metadata!P260)),metadata!P260&gt;0))</f>
        <v>0</v>
      </c>
      <c r="AQ260">
        <f>IF(metadata!Q260="",FALSE,TRUE)</f>
        <v>0</v>
      </c>
    </row>
    <row r="261" spans="1:43">
      <c r="A261" s="5">
        <f>IF(B261=" "," ",HYPERLINK(CONCATENATE("#metadata!",ADDRESS(INDEX($W$2:$W$1001,MATCH(ROWS($U$2:U261),$U$2:$U$1001,0),0),1)),INDEX($Z$2:$Z$1001,MATCH(ROWS($U$2:U261),$U$2:$U$1001,0),0)))</f>
        <v>0</v>
      </c>
      <c r="B261" s="4">
        <f>IF(OR(INDEX($V$2:$V$1001,MATCH(ROWS($U$2:U261),$U$2:$U$1001,0),1)&gt;=100000,INDEX($AB$1005:$AQ$1005,1,MATCH(COLUMNS($AB$1006:AB1006),$AB$1006:$AQ$1006,0))&gt;=100000), " ",IF(INDEX($AB$2:$AQ$1001,MATCH(ROWS($U$2:U261),$U$2:$U$1001,0),MATCH(COLUMNS($AB$1006:AB1006),$AB$1006:$AQ$1006,0)), HYPERLINK("#",""), HYPERLINK(CONCATENATE("#metadata!", ADDRESS(INDEX($W$2:$W$1001,MATCH(ROWS($U$2:U261),$U$2:$U$1001,0),0), INDEX($AB$1004:$AQ$1004,1,MATCH(COLUMNS($AB$1006:AB1006),$AB$1006:$AQ$1006,0)))),"Fix")))</f>
        <v>0</v>
      </c>
      <c r="C261" s="4">
        <f>IF(OR(INDEX($V$2:$V$1001,MATCH(ROWS($U$2:U261),$U$2:$U$1001,0),1)&gt;=100000,INDEX($AB$1005:$AQ$1005,1,MATCH(COLUMNS($AB$1006:AC1006),$AB$1006:$AQ$1006,0))&gt;=100000), " ",IF(INDEX($AB$2:$AQ$1001,MATCH(ROWS($U$2:U261),$U$2:$U$1001,0),MATCH(COLUMNS($AB$1006:AC1006),$AB$1006:$AQ$1006,0)), HYPERLINK("#",""), HYPERLINK(CONCATENATE("#metadata!", ADDRESS(INDEX($W$2:$W$1001,MATCH(ROWS($U$2:U261),$U$2:$U$1001,0),0), INDEX($AB$1004:$AQ$1004,1,MATCH(COLUMNS($AB$1006:AC1006),$AB$1006:$AQ$1006,0)))),"Fix")))</f>
        <v>0</v>
      </c>
      <c r="D261" s="4">
        <f>IF(OR(INDEX($V$2:$V$1001,MATCH(ROWS($U$2:U261),$U$2:$U$1001,0),1)&gt;=100000,INDEX($AB$1005:$AQ$1005,1,MATCH(COLUMNS($AB$1006:AD1006),$AB$1006:$AQ$1006,0))&gt;=100000), " ",IF(INDEX($AB$2:$AQ$1001,MATCH(ROWS($U$2:U261),$U$2:$U$1001,0),MATCH(COLUMNS($AB$1006:AD1006),$AB$1006:$AQ$1006,0)), HYPERLINK("#",""), HYPERLINK(CONCATENATE("#metadata!", ADDRESS(INDEX($W$2:$W$1001,MATCH(ROWS($U$2:U261),$U$2:$U$1001,0),0), INDEX($AB$1004:$AQ$1004,1,MATCH(COLUMNS($AB$1006:AD1006),$AB$1006:$AQ$1006,0)))),"Fix")))</f>
        <v>0</v>
      </c>
      <c r="E261" s="4">
        <f>IF(OR(INDEX($V$2:$V$1001,MATCH(ROWS($U$2:U261),$U$2:$U$1001,0),1)&gt;=100000,INDEX($AB$1005:$AQ$1005,1,MATCH(COLUMNS($AB$1006:AE1006),$AB$1006:$AQ$1006,0))&gt;=100000), " ",IF(INDEX($AB$2:$AQ$1001,MATCH(ROWS($U$2:U261),$U$2:$U$1001,0),MATCH(COLUMNS($AB$1006:AE1006),$AB$1006:$AQ$1006,0)), HYPERLINK("#",""), HYPERLINK(CONCATENATE("#metadata!", ADDRESS(INDEX($W$2:$W$1001,MATCH(ROWS($U$2:U261),$U$2:$U$1001,0),0), INDEX($AB$1004:$AQ$1004,1,MATCH(COLUMNS($AB$1006:AE1006),$AB$1006:$AQ$1006,0)))),"Fix")))</f>
        <v>0</v>
      </c>
      <c r="F261" s="4">
        <f>IF(OR(INDEX($V$2:$V$1001,MATCH(ROWS($U$2:U261),$U$2:$U$1001,0),1)&gt;=100000,INDEX($AB$1005:$AQ$1005,1,MATCH(COLUMNS($AB$1006:AF1006),$AB$1006:$AQ$1006,0))&gt;=100000), " ",IF(INDEX($AB$2:$AQ$1001,MATCH(ROWS($U$2:U261),$U$2:$U$1001,0),MATCH(COLUMNS($AB$1006:AF1006),$AB$1006:$AQ$1006,0)), HYPERLINK("#",""), HYPERLINK(CONCATENATE("#metadata!", ADDRESS(INDEX($W$2:$W$1001,MATCH(ROWS($U$2:U261),$U$2:$U$1001,0),0), INDEX($AB$1004:$AQ$1004,1,MATCH(COLUMNS($AB$1006:AF1006),$AB$1006:$AQ$1006,0)))),"Fix")))</f>
        <v>0</v>
      </c>
      <c r="G261" s="4">
        <f>IF(OR(INDEX($V$2:$V$1001,MATCH(ROWS($U$2:U261),$U$2:$U$1001,0),1)&gt;=100000,INDEX($AB$1005:$AQ$1005,1,MATCH(COLUMNS($AB$1006:AG1006),$AB$1006:$AQ$1006,0))&gt;=100000), " ",IF(INDEX($AB$2:$AQ$1001,MATCH(ROWS($U$2:U261),$U$2:$U$1001,0),MATCH(COLUMNS($AB$1006:AG1006),$AB$1006:$AQ$1006,0)), HYPERLINK("#",""), HYPERLINK(CONCATENATE("#metadata!", ADDRESS(INDEX($W$2:$W$1001,MATCH(ROWS($U$2:U261),$U$2:$U$1001,0),0), INDEX($AB$1004:$AQ$1004,1,MATCH(COLUMNS($AB$1006:AG1006),$AB$1006:$AQ$1006,0)))),"Fix")))</f>
        <v>0</v>
      </c>
      <c r="H261" s="4">
        <f>IF(OR(INDEX($V$2:$V$1001,MATCH(ROWS($U$2:U261),$U$2:$U$1001,0),1)&gt;=100000,INDEX($AB$1005:$AQ$1005,1,MATCH(COLUMNS($AB$1006:AH1006),$AB$1006:$AQ$1006,0))&gt;=100000), " ",IF(INDEX($AB$2:$AQ$1001,MATCH(ROWS($U$2:U261),$U$2:$U$1001,0),MATCH(COLUMNS($AB$1006:AH1006),$AB$1006:$AQ$1006,0)), HYPERLINK("#",""), HYPERLINK(CONCATENATE("#metadata!", ADDRESS(INDEX($W$2:$W$1001,MATCH(ROWS($U$2:U261),$U$2:$U$1001,0),0), INDEX($AB$1004:$AQ$1004,1,MATCH(COLUMNS($AB$1006:AH1006),$AB$1006:$AQ$1006,0)))),"Fix")))</f>
        <v>0</v>
      </c>
      <c r="I261" s="4">
        <f>IF(OR(INDEX($V$2:$V$1001,MATCH(ROWS($U$2:U261),$U$2:$U$1001,0),1)&gt;=100000,INDEX($AB$1005:$AQ$1005,1,MATCH(COLUMNS($AB$1006:AI1006),$AB$1006:$AQ$1006,0))&gt;=100000), " ",IF(INDEX($AB$2:$AQ$1001,MATCH(ROWS($U$2:U261),$U$2:$U$1001,0),MATCH(COLUMNS($AB$1006:AI1006),$AB$1006:$AQ$1006,0)), HYPERLINK("#",""), HYPERLINK(CONCATENATE("#metadata!", ADDRESS(INDEX($W$2:$W$1001,MATCH(ROWS($U$2:U261),$U$2:$U$1001,0),0), INDEX($AB$1004:$AQ$1004,1,MATCH(COLUMNS($AB$1006:AI1006),$AB$1006:$AQ$1006,0)))),"Fix")))</f>
        <v>0</v>
      </c>
      <c r="J261" s="4">
        <f>IF(OR(INDEX($V$2:$V$1001,MATCH(ROWS($U$2:U261),$U$2:$U$1001,0),1)&gt;=100000,INDEX($AB$1005:$AQ$1005,1,MATCH(COLUMNS($AB$1006:AJ1006),$AB$1006:$AQ$1006,0))&gt;=100000), " ",IF(INDEX($AB$2:$AQ$1001,MATCH(ROWS($U$2:U261),$U$2:$U$1001,0),MATCH(COLUMNS($AB$1006:AJ1006),$AB$1006:$AQ$1006,0)), HYPERLINK("#",""), HYPERLINK(CONCATENATE("#metadata!", ADDRESS(INDEX($W$2:$W$1001,MATCH(ROWS($U$2:U261),$U$2:$U$1001,0),0), INDEX($AB$1004:$AQ$1004,1,MATCH(COLUMNS($AB$1006:AJ1006),$AB$1006:$AQ$1006,0)))),"Fix")))</f>
        <v>0</v>
      </c>
      <c r="K261" s="4">
        <f>IF(OR(INDEX($V$2:$V$1001,MATCH(ROWS($U$2:U261),$U$2:$U$1001,0),1)&gt;=100000,INDEX($AB$1005:$AQ$1005,1,MATCH(COLUMNS($AB$1006:AK1006),$AB$1006:$AQ$1006,0))&gt;=100000), " ",IF(INDEX($AB$2:$AQ$1001,MATCH(ROWS($U$2:U261),$U$2:$U$1001,0),MATCH(COLUMNS($AB$1006:AK1006),$AB$1006:$AQ$1006,0)), HYPERLINK("#",""), HYPERLINK(CONCATENATE("#metadata!", ADDRESS(INDEX($W$2:$W$1001,MATCH(ROWS($U$2:U261),$U$2:$U$1001,0),0), INDEX($AB$1004:$AQ$1004,1,MATCH(COLUMNS($AB$1006:AK1006),$AB$1006:$AQ$1006,0)))),"Fix")))</f>
        <v>0</v>
      </c>
      <c r="L261" s="4">
        <f>IF(OR(INDEX($V$2:$V$1001,MATCH(ROWS($U$2:U261),$U$2:$U$1001,0),1)&gt;=100000,INDEX($AB$1005:$AQ$1005,1,MATCH(COLUMNS($AB$1006:AL1006),$AB$1006:$AQ$1006,0))&gt;=100000), " ",IF(INDEX($AB$2:$AQ$1001,MATCH(ROWS($U$2:U261),$U$2:$U$1001,0),MATCH(COLUMNS($AB$1006:AL1006),$AB$1006:$AQ$1006,0)), HYPERLINK("#",""), HYPERLINK(CONCATENATE("#metadata!", ADDRESS(INDEX($W$2:$W$1001,MATCH(ROWS($U$2:U261),$U$2:$U$1001,0),0), INDEX($AB$1004:$AQ$1004,1,MATCH(COLUMNS($AB$1006:AL1006),$AB$1006:$AQ$1006,0)))),"Fix")))</f>
        <v>0</v>
      </c>
      <c r="M261" s="4">
        <f>IF(OR(INDEX($V$2:$V$1001,MATCH(ROWS($U$2:U261),$U$2:$U$1001,0),1)&gt;=100000,INDEX($AB$1005:$AQ$1005,1,MATCH(COLUMNS($AB$1006:AM1006),$AB$1006:$AQ$1006,0))&gt;=100000), " ",IF(INDEX($AB$2:$AQ$1001,MATCH(ROWS($U$2:U261),$U$2:$U$1001,0),MATCH(COLUMNS($AB$1006:AM1006),$AB$1006:$AQ$1006,0)), HYPERLINK("#",""), HYPERLINK(CONCATENATE("#metadata!", ADDRESS(INDEX($W$2:$W$1001,MATCH(ROWS($U$2:U261),$U$2:$U$1001,0),0), INDEX($AB$1004:$AQ$1004,1,MATCH(COLUMNS($AB$1006:AM1006),$AB$1006:$AQ$1006,0)))),"Fix")))</f>
        <v>0</v>
      </c>
      <c r="N261" s="4">
        <f>IF(OR(INDEX($V$2:$V$1001,MATCH(ROWS($U$2:U261),$U$2:$U$1001,0),1)&gt;=100000,INDEX($AB$1005:$AQ$1005,1,MATCH(COLUMNS($AB$1006:AN1006),$AB$1006:$AQ$1006,0))&gt;=100000), " ",IF(INDEX($AB$2:$AQ$1001,MATCH(ROWS($U$2:U261),$U$2:$U$1001,0),MATCH(COLUMNS($AB$1006:AN1006),$AB$1006:$AQ$1006,0)), HYPERLINK("#",""), HYPERLINK(CONCATENATE("#metadata!", ADDRESS(INDEX($W$2:$W$1001,MATCH(ROWS($U$2:U261),$U$2:$U$1001,0),0), INDEX($AB$1004:$AQ$1004,1,MATCH(COLUMNS($AB$1006:AN1006),$AB$1006:$AQ$1006,0)))),"Fix")))</f>
        <v>0</v>
      </c>
      <c r="O261" s="4">
        <f>IF(OR(INDEX($V$2:$V$1001,MATCH(ROWS($U$2:U261),$U$2:$U$1001,0),1)&gt;=100000,INDEX($AB$1005:$AQ$1005,1,MATCH(COLUMNS($AB$1006:AO1006),$AB$1006:$AQ$1006,0))&gt;=100000), " ",IF(INDEX($AB$2:$AQ$1001,MATCH(ROWS($U$2:U261),$U$2:$U$1001,0),MATCH(COLUMNS($AB$1006:AO1006),$AB$1006:$AQ$1006,0)), HYPERLINK("#",""), HYPERLINK(CONCATENATE("#metadata!", ADDRESS(INDEX($W$2:$W$1001,MATCH(ROWS($U$2:U261),$U$2:$U$1001,0),0), INDEX($AB$1004:$AQ$1004,1,MATCH(COLUMNS($AB$1006:AO1006),$AB$1006:$AQ$1006,0)))),"Fix")))</f>
        <v>0</v>
      </c>
      <c r="P261" s="4">
        <f>IF(OR(INDEX($V$2:$V$1001,MATCH(ROWS($U$2:U261),$U$2:$U$1001,0),1)&gt;=100000,INDEX($AB$1005:$AQ$1005,1,MATCH(COLUMNS($AB$1006:AP1006),$AB$1006:$AQ$1006,0))&gt;=100000), " ",IF(INDEX($AB$2:$AQ$1001,MATCH(ROWS($U$2:U261),$U$2:$U$1001,0),MATCH(COLUMNS($AB$1006:AP1006),$AB$1006:$AQ$1006,0)), HYPERLINK("#",""), HYPERLINK(CONCATENATE("#metadata!", ADDRESS(INDEX($W$2:$W$1001,MATCH(ROWS($U$2:U261),$U$2:$U$1001,0),0), INDEX($AB$1004:$AQ$1004,1,MATCH(COLUMNS($AB$1006:AP1006),$AB$1006:$AQ$1006,0)))),"Fix")))</f>
        <v>0</v>
      </c>
      <c r="Q261" s="4">
        <f>IF(OR(INDEX($V$2:$V$1001,MATCH(ROWS($U$2:U261),$U$2:$U$1001,0),1)&gt;=100000,INDEX($AB$1005:$AQ$1005,1,MATCH(COLUMNS($AB$1006:AQ1006),$AB$1006:$AQ$1006,0))&gt;=100000), " ",IF(INDEX($AB$2:$AQ$1001,MATCH(ROWS($U$2:U261),$U$2:$U$1001,0),MATCH(COLUMNS($AB$1006:AQ1006),$AB$1006:$AQ$1006,0)), HYPERLINK("#",""), HYPERLINK(CONCATENATE("#metadata!", ADDRESS(INDEX($W$2:$W$1001,MATCH(ROWS($U$2:U261),$U$2:$U$1001,0),0), INDEX($AB$1004:$AQ$1004,1,MATCH(COLUMNS($AB$1006:AQ1006),$AB$1006:$AQ$1006,0)))),"Fix")))</f>
        <v>0</v>
      </c>
      <c r="U261">
        <v>0</v>
      </c>
      <c r="V261">
        <v>0</v>
      </c>
      <c r="W261">
        <v>0</v>
      </c>
      <c r="X261">
        <f>IF(Y261,TRUE,AND(AB261:AQ261))</f>
        <v>0</v>
      </c>
      <c r="Y261">
        <f>COUNTBLANK(metadata!B261:Q261)=COLUMNS(metadata!B261:Q261)</f>
        <v>0</v>
      </c>
      <c r="Z261">
        <v>0</v>
      </c>
      <c r="AB261">
        <f>AND(IF(metadata!B261="",FALSE,TRUE),COUNTIF(metadata!B:B, metadata!B261) = 1,NOT(ISERROR(SUMPRODUCT(SEARCH(MID(metadata!B261,ROW(INDIRECT("1:"&amp;LEN(metadata!B261))), 1),"0123456789abcdefghijklmnopqrstuvwxyzABCDEFGHIJKLMNOPQRSTUVWXYZ.")))))</f>
        <v>0</v>
      </c>
      <c r="AC261">
        <f>OR(AND(IF(metadata!C261="",FALSE,TRUE),OR(exact(metadata!C261,"missing: not collected"),exact(metadata!C261,"missing: not provided"),exact(metadata!C261,"missing: restricted access"))),AND(IF(metadata!C261="",FALSE,TRUE),AND(AND(IFERROR(INT(LEFT(metadata!C261,4))&gt;1900,FALSE),IFERROR(INT(LEFT(metadata!C261,4))&lt;=YEAR(NOW()),FALSE)), OR(MID(metadata!C261,5,1)="", AND(AND(MID(metadata!C261,5,1)="-",IFERROR(INT(MID(metadata!C261,6,1))&gt;=0,FALSE),IFERROR(INT(MID(metadata!C261,6,1))&lt;=1,FALSE),NOT(MID(metadata!C261,7,1)=""),IFERROR(INT(MID(metadata!C261,6,2))&gt;=1,FALSE),IFERROR(INT(MID(metadata!C261,6,2))&lt;=12,FALSE)), OR(MID(metadata!C261,8,1)="", AND(AND(MID(metadata!C261,8,1)="-",IFERROR(INT(MID(metadata!C261,9,1))&gt;=0,FALSE),IFERROR(INT(MID(metadata!C261,9,1))&lt;=3,FALSE),NOT(MID(metadata!C261,10,1)=""),IFERROR(INT(MID(metadata!C261,9,2))&gt;=1,FALSE),IFERROR(INT(MID(metadata!C261,9,2))&lt;=31,FALSE)), OR(MID(metadata!C261,11,1)="", AND(AND(MID(metadata!C261,11,1)=" ",IFERROR(INT(MID(metadata!C261,12,1))&gt;=0,FALSE),IFERROR(INT(MID(metadata!C261,12,1))&lt;=2,FALSE),NOT(MID(metadata!C261,13,1)=""),IFERROR(INT(MID(metadata!C261,12,2))&gt;=0,FALSE),IFERROR(INT(MID(metadata!C261,12,2))&lt;=23,FALSE)), OR(MID(metadata!C261,14,1)="", AND(AND(MID(metadata!C261,14,1)=":",IFERROR(INT(MID(metadata!C261,15,1))&gt;=0,FALSE),IFERROR(INT(MID(metadata!C261,15,1))&lt;=5,FALSE),NOT(MID(metadata!C261,16,1)=""),IFERROR(INT(MID(metadata!C261,15,2))&gt;=0,FALSE),IFERROR(INT(MID(metadata!C261,15,2))&lt;=59,FALSE)), OR(MID(metadata!C261,17,1)="", AND(AND(MID(metadata!C261,17,1)=":",IFERROR(INT(MID(metadata!C261,18,1))&gt;=0,FALSE),IFERROR(INT(MID(metadata!C261,18,1))&lt;=5,FALSE),NOT(MID(metadata!C261,19,1)=""),IFERROR(INT(MID(metadata!C261,18,2))&gt;=0,FALSE),IFERROR(INT(MID(metadata!C261,18,2))&lt;=59,FALSE)), LEN(metadata!C261)&lt;=19)))))))))))))</f>
        <v>0</v>
      </c>
      <c r="AD261">
        <f>IF(metadata!D261="",FALSE,TRUE)</f>
        <v>0</v>
      </c>
      <c r="AE261">
        <f>OR(AND(IF(metadata!E261="",FALSE,TRUE),OR(exact(metadata!E261,"missing: not collected"),exact(metadata!E261,"missing: not provided"))),AND(IF(metadata!E261="",FALSE,TRUE),OR(exact(metadata!E261,"TRUE"),exact(metadata!E261,"FALSE"))))</f>
        <v>0</v>
      </c>
      <c r="AF261">
        <f>IF(metadata!F261="",FALSE,TRUE)</f>
        <v>0</v>
      </c>
      <c r="AG261">
        <f>IF(metadata!G261="",FALSE,TRUE)</f>
        <v>0</v>
      </c>
      <c r="AH261">
        <f>IF(metadata!H261="",FALSE,TRUE)</f>
        <v>0</v>
      </c>
      <c r="AI261">
        <f>OR(AND(IF(metadata!I261="",FALSE,TRUE),OR(exact(metadata!I261,"missing: not collected"),exact(metadata!I261,"missing: not provided"),exact(metadata!I261,"missing: restricted access"))),AND(IF(metadata!I261="",FALSE,TRUE),OR(exact(metadata!I261,"air"),exact(metadata!I261,"built environment"),exact(metadata!I261,"host-associated"),exact(metadata!I261,"human-associated"),exact(metadata!I261,"human-skin"),exact(metadata!I261,"human-oral"),exact(metadata!I261,"human-gut"),exact(metadata!I261,"human-vaginal"),exact(metadata!I261,"microbial mat/biofilm"),exact(metadata!I261,"misc environment"),exact(metadata!I261,"plant-associated"),exact(metadata!I261,"sediment"),exact(metadata!I261,"soil"),exact(metadata!I261,"wastewater/sludge"),exact(metadata!I261,"water"))))</f>
        <v>0</v>
      </c>
      <c r="AJ261">
        <f>IF(metadata!J261="",FALSE,TRUE)</f>
        <v>0</v>
      </c>
      <c r="AK261">
        <f>OR(AND(IF(metadata!K261="",FALSE,TRUE),OR(exact(metadata!K261,"missing: not collected"),exact(metadata!K261,"missing: not provided"),exact(metadata!K261,"missing: restricted access"))),AND(IF(metadata!K261="",FALSE,ISNUMBER(VALUE(metadata!K261))),metadata!K261&gt;=-90.00,metadata!K261&lt;=90.00))</f>
        <v>0</v>
      </c>
      <c r="AL261">
        <f>OR(AND(IF(metadata!L261="",FALSE,TRUE),OR(exact(metadata!L261,"missing: not collected"),exact(metadata!L261,"missing: not provided"),exact(metadata!L261,"missing: restricted access"))),AND(IF(metadata!L261="",FALSE,ISNUMBER(VALUE(metadata!L261))),metadata!L261&gt;=-180.00,metadata!L261&lt;=180.00))</f>
        <v>0</v>
      </c>
      <c r="AM261">
        <f>IF(metadata!M261="",FALSE,TRUE)</f>
        <v>0</v>
      </c>
      <c r="AN261">
        <f>OR(AND(IF(metadata!N261="",FALSE,TRUE),OR(exact(metadata!N261,"missing: not collected"),exact(metadata!N261,"missing: not provided"),exact(metadata!N261,"missing: restricted access"))),AND(IF(metadata!N261="",FALSE,TRUE),OR(exact(metadata!N261,"TRUE"),exact(metadata!N261,"FALSE"))))</f>
        <v>0</v>
      </c>
      <c r="AO261">
        <f>IF(metadata!O261="",FALSE,TRUE)</f>
        <v>0</v>
      </c>
      <c r="AP261">
        <f>OR(AND(IF(metadata!P261="",FALSE,TRUE),OR(exact(metadata!P261,"missing: not collected"),exact(metadata!P261,"missing: not provided"))),AND(IF(metadata!P261="",FALSE,IF(ISERROR(INT(metadata!P261)),FALSE,INT(metadata!P261)=metadata!P261)),metadata!P261&gt;0))</f>
        <v>0</v>
      </c>
      <c r="AQ261">
        <f>IF(metadata!Q261="",FALSE,TRUE)</f>
        <v>0</v>
      </c>
    </row>
    <row r="262" spans="1:43">
      <c r="A262" s="5">
        <f>IF(B262=" "," ",HYPERLINK(CONCATENATE("#metadata!",ADDRESS(INDEX($W$2:$W$1001,MATCH(ROWS($U$2:U262),$U$2:$U$1001,0),0),1)),INDEX($Z$2:$Z$1001,MATCH(ROWS($U$2:U262),$U$2:$U$1001,0),0)))</f>
        <v>0</v>
      </c>
      <c r="B262" s="4">
        <f>IF(OR(INDEX($V$2:$V$1001,MATCH(ROWS($U$2:U262),$U$2:$U$1001,0),1)&gt;=100000,INDEX($AB$1005:$AQ$1005,1,MATCH(COLUMNS($AB$1006:AB1006),$AB$1006:$AQ$1006,0))&gt;=100000), " ",IF(INDEX($AB$2:$AQ$1001,MATCH(ROWS($U$2:U262),$U$2:$U$1001,0),MATCH(COLUMNS($AB$1006:AB1006),$AB$1006:$AQ$1006,0)), HYPERLINK("#",""), HYPERLINK(CONCATENATE("#metadata!", ADDRESS(INDEX($W$2:$W$1001,MATCH(ROWS($U$2:U262),$U$2:$U$1001,0),0), INDEX($AB$1004:$AQ$1004,1,MATCH(COLUMNS($AB$1006:AB1006),$AB$1006:$AQ$1006,0)))),"Fix")))</f>
        <v>0</v>
      </c>
      <c r="C262" s="4">
        <f>IF(OR(INDEX($V$2:$V$1001,MATCH(ROWS($U$2:U262),$U$2:$U$1001,0),1)&gt;=100000,INDEX($AB$1005:$AQ$1005,1,MATCH(COLUMNS($AB$1006:AC1006),$AB$1006:$AQ$1006,0))&gt;=100000), " ",IF(INDEX($AB$2:$AQ$1001,MATCH(ROWS($U$2:U262),$U$2:$U$1001,0),MATCH(COLUMNS($AB$1006:AC1006),$AB$1006:$AQ$1006,0)), HYPERLINK("#",""), HYPERLINK(CONCATENATE("#metadata!", ADDRESS(INDEX($W$2:$W$1001,MATCH(ROWS($U$2:U262),$U$2:$U$1001,0),0), INDEX($AB$1004:$AQ$1004,1,MATCH(COLUMNS($AB$1006:AC1006),$AB$1006:$AQ$1006,0)))),"Fix")))</f>
        <v>0</v>
      </c>
      <c r="D262" s="4">
        <f>IF(OR(INDEX($V$2:$V$1001,MATCH(ROWS($U$2:U262),$U$2:$U$1001,0),1)&gt;=100000,INDEX($AB$1005:$AQ$1005,1,MATCH(COLUMNS($AB$1006:AD1006),$AB$1006:$AQ$1006,0))&gt;=100000), " ",IF(INDEX($AB$2:$AQ$1001,MATCH(ROWS($U$2:U262),$U$2:$U$1001,0),MATCH(COLUMNS($AB$1006:AD1006),$AB$1006:$AQ$1006,0)), HYPERLINK("#",""), HYPERLINK(CONCATENATE("#metadata!", ADDRESS(INDEX($W$2:$W$1001,MATCH(ROWS($U$2:U262),$U$2:$U$1001,0),0), INDEX($AB$1004:$AQ$1004,1,MATCH(COLUMNS($AB$1006:AD1006),$AB$1006:$AQ$1006,0)))),"Fix")))</f>
        <v>0</v>
      </c>
      <c r="E262" s="4">
        <f>IF(OR(INDEX($V$2:$V$1001,MATCH(ROWS($U$2:U262),$U$2:$U$1001,0),1)&gt;=100000,INDEX($AB$1005:$AQ$1005,1,MATCH(COLUMNS($AB$1006:AE1006),$AB$1006:$AQ$1006,0))&gt;=100000), " ",IF(INDEX($AB$2:$AQ$1001,MATCH(ROWS($U$2:U262),$U$2:$U$1001,0),MATCH(COLUMNS($AB$1006:AE1006),$AB$1006:$AQ$1006,0)), HYPERLINK("#",""), HYPERLINK(CONCATENATE("#metadata!", ADDRESS(INDEX($W$2:$W$1001,MATCH(ROWS($U$2:U262),$U$2:$U$1001,0),0), INDEX($AB$1004:$AQ$1004,1,MATCH(COLUMNS($AB$1006:AE1006),$AB$1006:$AQ$1006,0)))),"Fix")))</f>
        <v>0</v>
      </c>
      <c r="F262" s="4">
        <f>IF(OR(INDEX($V$2:$V$1001,MATCH(ROWS($U$2:U262),$U$2:$U$1001,0),1)&gt;=100000,INDEX($AB$1005:$AQ$1005,1,MATCH(COLUMNS($AB$1006:AF1006),$AB$1006:$AQ$1006,0))&gt;=100000), " ",IF(INDEX($AB$2:$AQ$1001,MATCH(ROWS($U$2:U262),$U$2:$U$1001,0),MATCH(COLUMNS($AB$1006:AF1006),$AB$1006:$AQ$1006,0)), HYPERLINK("#",""), HYPERLINK(CONCATENATE("#metadata!", ADDRESS(INDEX($W$2:$W$1001,MATCH(ROWS($U$2:U262),$U$2:$U$1001,0),0), INDEX($AB$1004:$AQ$1004,1,MATCH(COLUMNS($AB$1006:AF1006),$AB$1006:$AQ$1006,0)))),"Fix")))</f>
        <v>0</v>
      </c>
      <c r="G262" s="4">
        <f>IF(OR(INDEX($V$2:$V$1001,MATCH(ROWS($U$2:U262),$U$2:$U$1001,0),1)&gt;=100000,INDEX($AB$1005:$AQ$1005,1,MATCH(COLUMNS($AB$1006:AG1006),$AB$1006:$AQ$1006,0))&gt;=100000), " ",IF(INDEX($AB$2:$AQ$1001,MATCH(ROWS($U$2:U262),$U$2:$U$1001,0),MATCH(COLUMNS($AB$1006:AG1006),$AB$1006:$AQ$1006,0)), HYPERLINK("#",""), HYPERLINK(CONCATENATE("#metadata!", ADDRESS(INDEX($W$2:$W$1001,MATCH(ROWS($U$2:U262),$U$2:$U$1001,0),0), INDEX($AB$1004:$AQ$1004,1,MATCH(COLUMNS($AB$1006:AG1006),$AB$1006:$AQ$1006,0)))),"Fix")))</f>
        <v>0</v>
      </c>
      <c r="H262" s="4">
        <f>IF(OR(INDEX($V$2:$V$1001,MATCH(ROWS($U$2:U262),$U$2:$U$1001,0),1)&gt;=100000,INDEX($AB$1005:$AQ$1005,1,MATCH(COLUMNS($AB$1006:AH1006),$AB$1006:$AQ$1006,0))&gt;=100000), " ",IF(INDEX($AB$2:$AQ$1001,MATCH(ROWS($U$2:U262),$U$2:$U$1001,0),MATCH(COLUMNS($AB$1006:AH1006),$AB$1006:$AQ$1006,0)), HYPERLINK("#",""), HYPERLINK(CONCATENATE("#metadata!", ADDRESS(INDEX($W$2:$W$1001,MATCH(ROWS($U$2:U262),$U$2:$U$1001,0),0), INDEX($AB$1004:$AQ$1004,1,MATCH(COLUMNS($AB$1006:AH1006),$AB$1006:$AQ$1006,0)))),"Fix")))</f>
        <v>0</v>
      </c>
      <c r="I262" s="4">
        <f>IF(OR(INDEX($V$2:$V$1001,MATCH(ROWS($U$2:U262),$U$2:$U$1001,0),1)&gt;=100000,INDEX($AB$1005:$AQ$1005,1,MATCH(COLUMNS($AB$1006:AI1006),$AB$1006:$AQ$1006,0))&gt;=100000), " ",IF(INDEX($AB$2:$AQ$1001,MATCH(ROWS($U$2:U262),$U$2:$U$1001,0),MATCH(COLUMNS($AB$1006:AI1006),$AB$1006:$AQ$1006,0)), HYPERLINK("#",""), HYPERLINK(CONCATENATE("#metadata!", ADDRESS(INDEX($W$2:$W$1001,MATCH(ROWS($U$2:U262),$U$2:$U$1001,0),0), INDEX($AB$1004:$AQ$1004,1,MATCH(COLUMNS($AB$1006:AI1006),$AB$1006:$AQ$1006,0)))),"Fix")))</f>
        <v>0</v>
      </c>
      <c r="J262" s="4">
        <f>IF(OR(INDEX($V$2:$V$1001,MATCH(ROWS($U$2:U262),$U$2:$U$1001,0),1)&gt;=100000,INDEX($AB$1005:$AQ$1005,1,MATCH(COLUMNS($AB$1006:AJ1006),$AB$1006:$AQ$1006,0))&gt;=100000), " ",IF(INDEX($AB$2:$AQ$1001,MATCH(ROWS($U$2:U262),$U$2:$U$1001,0),MATCH(COLUMNS($AB$1006:AJ1006),$AB$1006:$AQ$1006,0)), HYPERLINK("#",""), HYPERLINK(CONCATENATE("#metadata!", ADDRESS(INDEX($W$2:$W$1001,MATCH(ROWS($U$2:U262),$U$2:$U$1001,0),0), INDEX($AB$1004:$AQ$1004,1,MATCH(COLUMNS($AB$1006:AJ1006),$AB$1006:$AQ$1006,0)))),"Fix")))</f>
        <v>0</v>
      </c>
      <c r="K262" s="4">
        <f>IF(OR(INDEX($V$2:$V$1001,MATCH(ROWS($U$2:U262),$U$2:$U$1001,0),1)&gt;=100000,INDEX($AB$1005:$AQ$1005,1,MATCH(COLUMNS($AB$1006:AK1006),$AB$1006:$AQ$1006,0))&gt;=100000), " ",IF(INDEX($AB$2:$AQ$1001,MATCH(ROWS($U$2:U262),$U$2:$U$1001,0),MATCH(COLUMNS($AB$1006:AK1006),$AB$1006:$AQ$1006,0)), HYPERLINK("#",""), HYPERLINK(CONCATENATE("#metadata!", ADDRESS(INDEX($W$2:$W$1001,MATCH(ROWS($U$2:U262),$U$2:$U$1001,0),0), INDEX($AB$1004:$AQ$1004,1,MATCH(COLUMNS($AB$1006:AK1006),$AB$1006:$AQ$1006,0)))),"Fix")))</f>
        <v>0</v>
      </c>
      <c r="L262" s="4">
        <f>IF(OR(INDEX($V$2:$V$1001,MATCH(ROWS($U$2:U262),$U$2:$U$1001,0),1)&gt;=100000,INDEX($AB$1005:$AQ$1005,1,MATCH(COLUMNS($AB$1006:AL1006),$AB$1006:$AQ$1006,0))&gt;=100000), " ",IF(INDEX($AB$2:$AQ$1001,MATCH(ROWS($U$2:U262),$U$2:$U$1001,0),MATCH(COLUMNS($AB$1006:AL1006),$AB$1006:$AQ$1006,0)), HYPERLINK("#",""), HYPERLINK(CONCATENATE("#metadata!", ADDRESS(INDEX($W$2:$W$1001,MATCH(ROWS($U$2:U262),$U$2:$U$1001,0),0), INDEX($AB$1004:$AQ$1004,1,MATCH(COLUMNS($AB$1006:AL1006),$AB$1006:$AQ$1006,0)))),"Fix")))</f>
        <v>0</v>
      </c>
      <c r="M262" s="4">
        <f>IF(OR(INDEX($V$2:$V$1001,MATCH(ROWS($U$2:U262),$U$2:$U$1001,0),1)&gt;=100000,INDEX($AB$1005:$AQ$1005,1,MATCH(COLUMNS($AB$1006:AM1006),$AB$1006:$AQ$1006,0))&gt;=100000), " ",IF(INDEX($AB$2:$AQ$1001,MATCH(ROWS($U$2:U262),$U$2:$U$1001,0),MATCH(COLUMNS($AB$1006:AM1006),$AB$1006:$AQ$1006,0)), HYPERLINK("#",""), HYPERLINK(CONCATENATE("#metadata!", ADDRESS(INDEX($W$2:$W$1001,MATCH(ROWS($U$2:U262),$U$2:$U$1001,0),0), INDEX($AB$1004:$AQ$1004,1,MATCH(COLUMNS($AB$1006:AM1006),$AB$1006:$AQ$1006,0)))),"Fix")))</f>
        <v>0</v>
      </c>
      <c r="N262" s="4">
        <f>IF(OR(INDEX($V$2:$V$1001,MATCH(ROWS($U$2:U262),$U$2:$U$1001,0),1)&gt;=100000,INDEX($AB$1005:$AQ$1005,1,MATCH(COLUMNS($AB$1006:AN1006),$AB$1006:$AQ$1006,0))&gt;=100000), " ",IF(INDEX($AB$2:$AQ$1001,MATCH(ROWS($U$2:U262),$U$2:$U$1001,0),MATCH(COLUMNS($AB$1006:AN1006),$AB$1006:$AQ$1006,0)), HYPERLINK("#",""), HYPERLINK(CONCATENATE("#metadata!", ADDRESS(INDEX($W$2:$W$1001,MATCH(ROWS($U$2:U262),$U$2:$U$1001,0),0), INDEX($AB$1004:$AQ$1004,1,MATCH(COLUMNS($AB$1006:AN1006),$AB$1006:$AQ$1006,0)))),"Fix")))</f>
        <v>0</v>
      </c>
      <c r="O262" s="4">
        <f>IF(OR(INDEX($V$2:$V$1001,MATCH(ROWS($U$2:U262),$U$2:$U$1001,0),1)&gt;=100000,INDEX($AB$1005:$AQ$1005,1,MATCH(COLUMNS($AB$1006:AO1006),$AB$1006:$AQ$1006,0))&gt;=100000), " ",IF(INDEX($AB$2:$AQ$1001,MATCH(ROWS($U$2:U262),$U$2:$U$1001,0),MATCH(COLUMNS($AB$1006:AO1006),$AB$1006:$AQ$1006,0)), HYPERLINK("#",""), HYPERLINK(CONCATENATE("#metadata!", ADDRESS(INDEX($W$2:$W$1001,MATCH(ROWS($U$2:U262),$U$2:$U$1001,0),0), INDEX($AB$1004:$AQ$1004,1,MATCH(COLUMNS($AB$1006:AO1006),$AB$1006:$AQ$1006,0)))),"Fix")))</f>
        <v>0</v>
      </c>
      <c r="P262" s="4">
        <f>IF(OR(INDEX($V$2:$V$1001,MATCH(ROWS($U$2:U262),$U$2:$U$1001,0),1)&gt;=100000,INDEX($AB$1005:$AQ$1005,1,MATCH(COLUMNS($AB$1006:AP1006),$AB$1006:$AQ$1006,0))&gt;=100000), " ",IF(INDEX($AB$2:$AQ$1001,MATCH(ROWS($U$2:U262),$U$2:$U$1001,0),MATCH(COLUMNS($AB$1006:AP1006),$AB$1006:$AQ$1006,0)), HYPERLINK("#",""), HYPERLINK(CONCATENATE("#metadata!", ADDRESS(INDEX($W$2:$W$1001,MATCH(ROWS($U$2:U262),$U$2:$U$1001,0),0), INDEX($AB$1004:$AQ$1004,1,MATCH(COLUMNS($AB$1006:AP1006),$AB$1006:$AQ$1006,0)))),"Fix")))</f>
        <v>0</v>
      </c>
      <c r="Q262" s="4">
        <f>IF(OR(INDEX($V$2:$V$1001,MATCH(ROWS($U$2:U262),$U$2:$U$1001,0),1)&gt;=100000,INDEX($AB$1005:$AQ$1005,1,MATCH(COLUMNS($AB$1006:AQ1006),$AB$1006:$AQ$1006,0))&gt;=100000), " ",IF(INDEX($AB$2:$AQ$1001,MATCH(ROWS($U$2:U262),$U$2:$U$1001,0),MATCH(COLUMNS($AB$1006:AQ1006),$AB$1006:$AQ$1006,0)), HYPERLINK("#",""), HYPERLINK(CONCATENATE("#metadata!", ADDRESS(INDEX($W$2:$W$1001,MATCH(ROWS($U$2:U262),$U$2:$U$1001,0),0), INDEX($AB$1004:$AQ$1004,1,MATCH(COLUMNS($AB$1006:AQ1006),$AB$1006:$AQ$1006,0)))),"Fix")))</f>
        <v>0</v>
      </c>
      <c r="U262">
        <v>0</v>
      </c>
      <c r="V262">
        <v>0</v>
      </c>
      <c r="W262">
        <v>0</v>
      </c>
      <c r="X262">
        <f>IF(Y262,TRUE,AND(AB262:AQ262))</f>
        <v>0</v>
      </c>
      <c r="Y262">
        <f>COUNTBLANK(metadata!B262:Q262)=COLUMNS(metadata!B262:Q262)</f>
        <v>0</v>
      </c>
      <c r="Z262">
        <v>0</v>
      </c>
      <c r="AB262">
        <f>AND(IF(metadata!B262="",FALSE,TRUE),COUNTIF(metadata!B:B, metadata!B262) = 1,NOT(ISERROR(SUMPRODUCT(SEARCH(MID(metadata!B262,ROW(INDIRECT("1:"&amp;LEN(metadata!B262))), 1),"0123456789abcdefghijklmnopqrstuvwxyzABCDEFGHIJKLMNOPQRSTUVWXYZ.")))))</f>
        <v>0</v>
      </c>
      <c r="AC262">
        <f>OR(AND(IF(metadata!C262="",FALSE,TRUE),OR(exact(metadata!C262,"missing: not collected"),exact(metadata!C262,"missing: not provided"),exact(metadata!C262,"missing: restricted access"))),AND(IF(metadata!C262="",FALSE,TRUE),AND(AND(IFERROR(INT(LEFT(metadata!C262,4))&gt;1900,FALSE),IFERROR(INT(LEFT(metadata!C262,4))&lt;=YEAR(NOW()),FALSE)), OR(MID(metadata!C262,5,1)="", AND(AND(MID(metadata!C262,5,1)="-",IFERROR(INT(MID(metadata!C262,6,1))&gt;=0,FALSE),IFERROR(INT(MID(metadata!C262,6,1))&lt;=1,FALSE),NOT(MID(metadata!C262,7,1)=""),IFERROR(INT(MID(metadata!C262,6,2))&gt;=1,FALSE),IFERROR(INT(MID(metadata!C262,6,2))&lt;=12,FALSE)), OR(MID(metadata!C262,8,1)="", AND(AND(MID(metadata!C262,8,1)="-",IFERROR(INT(MID(metadata!C262,9,1))&gt;=0,FALSE),IFERROR(INT(MID(metadata!C262,9,1))&lt;=3,FALSE),NOT(MID(metadata!C262,10,1)=""),IFERROR(INT(MID(metadata!C262,9,2))&gt;=1,FALSE),IFERROR(INT(MID(metadata!C262,9,2))&lt;=31,FALSE)), OR(MID(metadata!C262,11,1)="", AND(AND(MID(metadata!C262,11,1)=" ",IFERROR(INT(MID(metadata!C262,12,1))&gt;=0,FALSE),IFERROR(INT(MID(metadata!C262,12,1))&lt;=2,FALSE),NOT(MID(metadata!C262,13,1)=""),IFERROR(INT(MID(metadata!C262,12,2))&gt;=0,FALSE),IFERROR(INT(MID(metadata!C262,12,2))&lt;=23,FALSE)), OR(MID(metadata!C262,14,1)="", AND(AND(MID(metadata!C262,14,1)=":",IFERROR(INT(MID(metadata!C262,15,1))&gt;=0,FALSE),IFERROR(INT(MID(metadata!C262,15,1))&lt;=5,FALSE),NOT(MID(metadata!C262,16,1)=""),IFERROR(INT(MID(metadata!C262,15,2))&gt;=0,FALSE),IFERROR(INT(MID(metadata!C262,15,2))&lt;=59,FALSE)), OR(MID(metadata!C262,17,1)="", AND(AND(MID(metadata!C262,17,1)=":",IFERROR(INT(MID(metadata!C262,18,1))&gt;=0,FALSE),IFERROR(INT(MID(metadata!C262,18,1))&lt;=5,FALSE),NOT(MID(metadata!C262,19,1)=""),IFERROR(INT(MID(metadata!C262,18,2))&gt;=0,FALSE),IFERROR(INT(MID(metadata!C262,18,2))&lt;=59,FALSE)), LEN(metadata!C262)&lt;=19)))))))))))))</f>
        <v>0</v>
      </c>
      <c r="AD262">
        <f>IF(metadata!D262="",FALSE,TRUE)</f>
        <v>0</v>
      </c>
      <c r="AE262">
        <f>OR(AND(IF(metadata!E262="",FALSE,TRUE),OR(exact(metadata!E262,"missing: not collected"),exact(metadata!E262,"missing: not provided"))),AND(IF(metadata!E262="",FALSE,TRUE),OR(exact(metadata!E262,"TRUE"),exact(metadata!E262,"FALSE"))))</f>
        <v>0</v>
      </c>
      <c r="AF262">
        <f>IF(metadata!F262="",FALSE,TRUE)</f>
        <v>0</v>
      </c>
      <c r="AG262">
        <f>IF(metadata!G262="",FALSE,TRUE)</f>
        <v>0</v>
      </c>
      <c r="AH262">
        <f>IF(metadata!H262="",FALSE,TRUE)</f>
        <v>0</v>
      </c>
      <c r="AI262">
        <f>OR(AND(IF(metadata!I262="",FALSE,TRUE),OR(exact(metadata!I262,"missing: not collected"),exact(metadata!I262,"missing: not provided"),exact(metadata!I262,"missing: restricted access"))),AND(IF(metadata!I262="",FALSE,TRUE),OR(exact(metadata!I262,"air"),exact(metadata!I262,"built environment"),exact(metadata!I262,"host-associated"),exact(metadata!I262,"human-associated"),exact(metadata!I262,"human-skin"),exact(metadata!I262,"human-oral"),exact(metadata!I262,"human-gut"),exact(metadata!I262,"human-vaginal"),exact(metadata!I262,"microbial mat/biofilm"),exact(metadata!I262,"misc environment"),exact(metadata!I262,"plant-associated"),exact(metadata!I262,"sediment"),exact(metadata!I262,"soil"),exact(metadata!I262,"wastewater/sludge"),exact(metadata!I262,"water"))))</f>
        <v>0</v>
      </c>
      <c r="AJ262">
        <f>IF(metadata!J262="",FALSE,TRUE)</f>
        <v>0</v>
      </c>
      <c r="AK262">
        <f>OR(AND(IF(metadata!K262="",FALSE,TRUE),OR(exact(metadata!K262,"missing: not collected"),exact(metadata!K262,"missing: not provided"),exact(metadata!K262,"missing: restricted access"))),AND(IF(metadata!K262="",FALSE,ISNUMBER(VALUE(metadata!K262))),metadata!K262&gt;=-90.00,metadata!K262&lt;=90.00))</f>
        <v>0</v>
      </c>
      <c r="AL262">
        <f>OR(AND(IF(metadata!L262="",FALSE,TRUE),OR(exact(metadata!L262,"missing: not collected"),exact(metadata!L262,"missing: not provided"),exact(metadata!L262,"missing: restricted access"))),AND(IF(metadata!L262="",FALSE,ISNUMBER(VALUE(metadata!L262))),metadata!L262&gt;=-180.00,metadata!L262&lt;=180.00))</f>
        <v>0</v>
      </c>
      <c r="AM262">
        <f>IF(metadata!M262="",FALSE,TRUE)</f>
        <v>0</v>
      </c>
      <c r="AN262">
        <f>OR(AND(IF(metadata!N262="",FALSE,TRUE),OR(exact(metadata!N262,"missing: not collected"),exact(metadata!N262,"missing: not provided"),exact(metadata!N262,"missing: restricted access"))),AND(IF(metadata!N262="",FALSE,TRUE),OR(exact(metadata!N262,"TRUE"),exact(metadata!N262,"FALSE"))))</f>
        <v>0</v>
      </c>
      <c r="AO262">
        <f>IF(metadata!O262="",FALSE,TRUE)</f>
        <v>0</v>
      </c>
      <c r="AP262">
        <f>OR(AND(IF(metadata!P262="",FALSE,TRUE),OR(exact(metadata!P262,"missing: not collected"),exact(metadata!P262,"missing: not provided"))),AND(IF(metadata!P262="",FALSE,IF(ISERROR(INT(metadata!P262)),FALSE,INT(metadata!P262)=metadata!P262)),metadata!P262&gt;0))</f>
        <v>0</v>
      </c>
      <c r="AQ262">
        <f>IF(metadata!Q262="",FALSE,TRUE)</f>
        <v>0</v>
      </c>
    </row>
    <row r="263" spans="1:43">
      <c r="A263" s="5">
        <f>IF(B263=" "," ",HYPERLINK(CONCATENATE("#metadata!",ADDRESS(INDEX($W$2:$W$1001,MATCH(ROWS($U$2:U263),$U$2:$U$1001,0),0),1)),INDEX($Z$2:$Z$1001,MATCH(ROWS($U$2:U263),$U$2:$U$1001,0),0)))</f>
        <v>0</v>
      </c>
      <c r="B263" s="4">
        <f>IF(OR(INDEX($V$2:$V$1001,MATCH(ROWS($U$2:U263),$U$2:$U$1001,0),1)&gt;=100000,INDEX($AB$1005:$AQ$1005,1,MATCH(COLUMNS($AB$1006:AB1006),$AB$1006:$AQ$1006,0))&gt;=100000), " ",IF(INDEX($AB$2:$AQ$1001,MATCH(ROWS($U$2:U263),$U$2:$U$1001,0),MATCH(COLUMNS($AB$1006:AB1006),$AB$1006:$AQ$1006,0)), HYPERLINK("#",""), HYPERLINK(CONCATENATE("#metadata!", ADDRESS(INDEX($W$2:$W$1001,MATCH(ROWS($U$2:U263),$U$2:$U$1001,0),0), INDEX($AB$1004:$AQ$1004,1,MATCH(COLUMNS($AB$1006:AB1006),$AB$1006:$AQ$1006,0)))),"Fix")))</f>
        <v>0</v>
      </c>
      <c r="C263" s="4">
        <f>IF(OR(INDEX($V$2:$V$1001,MATCH(ROWS($U$2:U263),$U$2:$U$1001,0),1)&gt;=100000,INDEX($AB$1005:$AQ$1005,1,MATCH(COLUMNS($AB$1006:AC1006),$AB$1006:$AQ$1006,0))&gt;=100000), " ",IF(INDEX($AB$2:$AQ$1001,MATCH(ROWS($U$2:U263),$U$2:$U$1001,0),MATCH(COLUMNS($AB$1006:AC1006),$AB$1006:$AQ$1006,0)), HYPERLINK("#",""), HYPERLINK(CONCATENATE("#metadata!", ADDRESS(INDEX($W$2:$W$1001,MATCH(ROWS($U$2:U263),$U$2:$U$1001,0),0), INDEX($AB$1004:$AQ$1004,1,MATCH(COLUMNS($AB$1006:AC1006),$AB$1006:$AQ$1006,0)))),"Fix")))</f>
        <v>0</v>
      </c>
      <c r="D263" s="4">
        <f>IF(OR(INDEX($V$2:$V$1001,MATCH(ROWS($U$2:U263),$U$2:$U$1001,0),1)&gt;=100000,INDEX($AB$1005:$AQ$1005,1,MATCH(COLUMNS($AB$1006:AD1006),$AB$1006:$AQ$1006,0))&gt;=100000), " ",IF(INDEX($AB$2:$AQ$1001,MATCH(ROWS($U$2:U263),$U$2:$U$1001,0),MATCH(COLUMNS($AB$1006:AD1006),$AB$1006:$AQ$1006,0)), HYPERLINK("#",""), HYPERLINK(CONCATENATE("#metadata!", ADDRESS(INDEX($W$2:$W$1001,MATCH(ROWS($U$2:U263),$U$2:$U$1001,0),0), INDEX($AB$1004:$AQ$1004,1,MATCH(COLUMNS($AB$1006:AD1006),$AB$1006:$AQ$1006,0)))),"Fix")))</f>
        <v>0</v>
      </c>
      <c r="E263" s="4">
        <f>IF(OR(INDEX($V$2:$V$1001,MATCH(ROWS($U$2:U263),$U$2:$U$1001,0),1)&gt;=100000,INDEX($AB$1005:$AQ$1005,1,MATCH(COLUMNS($AB$1006:AE1006),$AB$1006:$AQ$1006,0))&gt;=100000), " ",IF(INDEX($AB$2:$AQ$1001,MATCH(ROWS($U$2:U263),$U$2:$U$1001,0),MATCH(COLUMNS($AB$1006:AE1006),$AB$1006:$AQ$1006,0)), HYPERLINK("#",""), HYPERLINK(CONCATENATE("#metadata!", ADDRESS(INDEX($W$2:$W$1001,MATCH(ROWS($U$2:U263),$U$2:$U$1001,0),0), INDEX($AB$1004:$AQ$1004,1,MATCH(COLUMNS($AB$1006:AE1006),$AB$1006:$AQ$1006,0)))),"Fix")))</f>
        <v>0</v>
      </c>
      <c r="F263" s="4">
        <f>IF(OR(INDEX($V$2:$V$1001,MATCH(ROWS($U$2:U263),$U$2:$U$1001,0),1)&gt;=100000,INDEX($AB$1005:$AQ$1005,1,MATCH(COLUMNS($AB$1006:AF1006),$AB$1006:$AQ$1006,0))&gt;=100000), " ",IF(INDEX($AB$2:$AQ$1001,MATCH(ROWS($U$2:U263),$U$2:$U$1001,0),MATCH(COLUMNS($AB$1006:AF1006),$AB$1006:$AQ$1006,0)), HYPERLINK("#",""), HYPERLINK(CONCATENATE("#metadata!", ADDRESS(INDEX($W$2:$W$1001,MATCH(ROWS($U$2:U263),$U$2:$U$1001,0),0), INDEX($AB$1004:$AQ$1004,1,MATCH(COLUMNS($AB$1006:AF1006),$AB$1006:$AQ$1006,0)))),"Fix")))</f>
        <v>0</v>
      </c>
      <c r="G263" s="4">
        <f>IF(OR(INDEX($V$2:$V$1001,MATCH(ROWS($U$2:U263),$U$2:$U$1001,0),1)&gt;=100000,INDEX($AB$1005:$AQ$1005,1,MATCH(COLUMNS($AB$1006:AG1006),$AB$1006:$AQ$1006,0))&gt;=100000), " ",IF(INDEX($AB$2:$AQ$1001,MATCH(ROWS($U$2:U263),$U$2:$U$1001,0),MATCH(COLUMNS($AB$1006:AG1006),$AB$1006:$AQ$1006,0)), HYPERLINK("#",""), HYPERLINK(CONCATENATE("#metadata!", ADDRESS(INDEX($W$2:$W$1001,MATCH(ROWS($U$2:U263),$U$2:$U$1001,0),0), INDEX($AB$1004:$AQ$1004,1,MATCH(COLUMNS($AB$1006:AG1006),$AB$1006:$AQ$1006,0)))),"Fix")))</f>
        <v>0</v>
      </c>
      <c r="H263" s="4">
        <f>IF(OR(INDEX($V$2:$V$1001,MATCH(ROWS($U$2:U263),$U$2:$U$1001,0),1)&gt;=100000,INDEX($AB$1005:$AQ$1005,1,MATCH(COLUMNS($AB$1006:AH1006),$AB$1006:$AQ$1006,0))&gt;=100000), " ",IF(INDEX($AB$2:$AQ$1001,MATCH(ROWS($U$2:U263),$U$2:$U$1001,0),MATCH(COLUMNS($AB$1006:AH1006),$AB$1006:$AQ$1006,0)), HYPERLINK("#",""), HYPERLINK(CONCATENATE("#metadata!", ADDRESS(INDEX($W$2:$W$1001,MATCH(ROWS($U$2:U263),$U$2:$U$1001,0),0), INDEX($AB$1004:$AQ$1004,1,MATCH(COLUMNS($AB$1006:AH1006),$AB$1006:$AQ$1006,0)))),"Fix")))</f>
        <v>0</v>
      </c>
      <c r="I263" s="4">
        <f>IF(OR(INDEX($V$2:$V$1001,MATCH(ROWS($U$2:U263),$U$2:$U$1001,0),1)&gt;=100000,INDEX($AB$1005:$AQ$1005,1,MATCH(COLUMNS($AB$1006:AI1006),$AB$1006:$AQ$1006,0))&gt;=100000), " ",IF(INDEX($AB$2:$AQ$1001,MATCH(ROWS($U$2:U263),$U$2:$U$1001,0),MATCH(COLUMNS($AB$1006:AI1006),$AB$1006:$AQ$1006,0)), HYPERLINK("#",""), HYPERLINK(CONCATENATE("#metadata!", ADDRESS(INDEX($W$2:$W$1001,MATCH(ROWS($U$2:U263),$U$2:$U$1001,0),0), INDEX($AB$1004:$AQ$1004,1,MATCH(COLUMNS($AB$1006:AI1006),$AB$1006:$AQ$1006,0)))),"Fix")))</f>
        <v>0</v>
      </c>
      <c r="J263" s="4">
        <f>IF(OR(INDEX($V$2:$V$1001,MATCH(ROWS($U$2:U263),$U$2:$U$1001,0),1)&gt;=100000,INDEX($AB$1005:$AQ$1005,1,MATCH(COLUMNS($AB$1006:AJ1006),$AB$1006:$AQ$1006,0))&gt;=100000), " ",IF(INDEX($AB$2:$AQ$1001,MATCH(ROWS($U$2:U263),$U$2:$U$1001,0),MATCH(COLUMNS($AB$1006:AJ1006),$AB$1006:$AQ$1006,0)), HYPERLINK("#",""), HYPERLINK(CONCATENATE("#metadata!", ADDRESS(INDEX($W$2:$W$1001,MATCH(ROWS($U$2:U263),$U$2:$U$1001,0),0), INDEX($AB$1004:$AQ$1004,1,MATCH(COLUMNS($AB$1006:AJ1006),$AB$1006:$AQ$1006,0)))),"Fix")))</f>
        <v>0</v>
      </c>
      <c r="K263" s="4">
        <f>IF(OR(INDEX($V$2:$V$1001,MATCH(ROWS($U$2:U263),$U$2:$U$1001,0),1)&gt;=100000,INDEX($AB$1005:$AQ$1005,1,MATCH(COLUMNS($AB$1006:AK1006),$AB$1006:$AQ$1006,0))&gt;=100000), " ",IF(INDEX($AB$2:$AQ$1001,MATCH(ROWS($U$2:U263),$U$2:$U$1001,0),MATCH(COLUMNS($AB$1006:AK1006),$AB$1006:$AQ$1006,0)), HYPERLINK("#",""), HYPERLINK(CONCATENATE("#metadata!", ADDRESS(INDEX($W$2:$W$1001,MATCH(ROWS($U$2:U263),$U$2:$U$1001,0),0), INDEX($AB$1004:$AQ$1004,1,MATCH(COLUMNS($AB$1006:AK1006),$AB$1006:$AQ$1006,0)))),"Fix")))</f>
        <v>0</v>
      </c>
      <c r="L263" s="4">
        <f>IF(OR(INDEX($V$2:$V$1001,MATCH(ROWS($U$2:U263),$U$2:$U$1001,0),1)&gt;=100000,INDEX($AB$1005:$AQ$1005,1,MATCH(COLUMNS($AB$1006:AL1006),$AB$1006:$AQ$1006,0))&gt;=100000), " ",IF(INDEX($AB$2:$AQ$1001,MATCH(ROWS($U$2:U263),$U$2:$U$1001,0),MATCH(COLUMNS($AB$1006:AL1006),$AB$1006:$AQ$1006,0)), HYPERLINK("#",""), HYPERLINK(CONCATENATE("#metadata!", ADDRESS(INDEX($W$2:$W$1001,MATCH(ROWS($U$2:U263),$U$2:$U$1001,0),0), INDEX($AB$1004:$AQ$1004,1,MATCH(COLUMNS($AB$1006:AL1006),$AB$1006:$AQ$1006,0)))),"Fix")))</f>
        <v>0</v>
      </c>
      <c r="M263" s="4">
        <f>IF(OR(INDEX($V$2:$V$1001,MATCH(ROWS($U$2:U263),$U$2:$U$1001,0),1)&gt;=100000,INDEX($AB$1005:$AQ$1005,1,MATCH(COLUMNS($AB$1006:AM1006),$AB$1006:$AQ$1006,0))&gt;=100000), " ",IF(INDEX($AB$2:$AQ$1001,MATCH(ROWS($U$2:U263),$U$2:$U$1001,0),MATCH(COLUMNS($AB$1006:AM1006),$AB$1006:$AQ$1006,0)), HYPERLINK("#",""), HYPERLINK(CONCATENATE("#metadata!", ADDRESS(INDEX($W$2:$W$1001,MATCH(ROWS($U$2:U263),$U$2:$U$1001,0),0), INDEX($AB$1004:$AQ$1004,1,MATCH(COLUMNS($AB$1006:AM1006),$AB$1006:$AQ$1006,0)))),"Fix")))</f>
        <v>0</v>
      </c>
      <c r="N263" s="4">
        <f>IF(OR(INDEX($V$2:$V$1001,MATCH(ROWS($U$2:U263),$U$2:$U$1001,0),1)&gt;=100000,INDEX($AB$1005:$AQ$1005,1,MATCH(COLUMNS($AB$1006:AN1006),$AB$1006:$AQ$1006,0))&gt;=100000), " ",IF(INDEX($AB$2:$AQ$1001,MATCH(ROWS($U$2:U263),$U$2:$U$1001,0),MATCH(COLUMNS($AB$1006:AN1006),$AB$1006:$AQ$1006,0)), HYPERLINK("#",""), HYPERLINK(CONCATENATE("#metadata!", ADDRESS(INDEX($W$2:$W$1001,MATCH(ROWS($U$2:U263),$U$2:$U$1001,0),0), INDEX($AB$1004:$AQ$1004,1,MATCH(COLUMNS($AB$1006:AN1006),$AB$1006:$AQ$1006,0)))),"Fix")))</f>
        <v>0</v>
      </c>
      <c r="O263" s="4">
        <f>IF(OR(INDEX($V$2:$V$1001,MATCH(ROWS($U$2:U263),$U$2:$U$1001,0),1)&gt;=100000,INDEX($AB$1005:$AQ$1005,1,MATCH(COLUMNS($AB$1006:AO1006),$AB$1006:$AQ$1006,0))&gt;=100000), " ",IF(INDEX($AB$2:$AQ$1001,MATCH(ROWS($U$2:U263),$U$2:$U$1001,0),MATCH(COLUMNS($AB$1006:AO1006),$AB$1006:$AQ$1006,0)), HYPERLINK("#",""), HYPERLINK(CONCATENATE("#metadata!", ADDRESS(INDEX($W$2:$W$1001,MATCH(ROWS($U$2:U263),$U$2:$U$1001,0),0), INDEX($AB$1004:$AQ$1004,1,MATCH(COLUMNS($AB$1006:AO1006),$AB$1006:$AQ$1006,0)))),"Fix")))</f>
        <v>0</v>
      </c>
      <c r="P263" s="4">
        <f>IF(OR(INDEX($V$2:$V$1001,MATCH(ROWS($U$2:U263),$U$2:$U$1001,0),1)&gt;=100000,INDEX($AB$1005:$AQ$1005,1,MATCH(COLUMNS($AB$1006:AP1006),$AB$1006:$AQ$1006,0))&gt;=100000), " ",IF(INDEX($AB$2:$AQ$1001,MATCH(ROWS($U$2:U263),$U$2:$U$1001,0),MATCH(COLUMNS($AB$1006:AP1006),$AB$1006:$AQ$1006,0)), HYPERLINK("#",""), HYPERLINK(CONCATENATE("#metadata!", ADDRESS(INDEX($W$2:$W$1001,MATCH(ROWS($U$2:U263),$U$2:$U$1001,0),0), INDEX($AB$1004:$AQ$1004,1,MATCH(COLUMNS($AB$1006:AP1006),$AB$1006:$AQ$1006,0)))),"Fix")))</f>
        <v>0</v>
      </c>
      <c r="Q263" s="4">
        <f>IF(OR(INDEX($V$2:$V$1001,MATCH(ROWS($U$2:U263),$U$2:$U$1001,0),1)&gt;=100000,INDEX($AB$1005:$AQ$1005,1,MATCH(COLUMNS($AB$1006:AQ1006),$AB$1006:$AQ$1006,0))&gt;=100000), " ",IF(INDEX($AB$2:$AQ$1001,MATCH(ROWS($U$2:U263),$U$2:$U$1001,0),MATCH(COLUMNS($AB$1006:AQ1006),$AB$1006:$AQ$1006,0)), HYPERLINK("#",""), HYPERLINK(CONCATENATE("#metadata!", ADDRESS(INDEX($W$2:$W$1001,MATCH(ROWS($U$2:U263),$U$2:$U$1001,0),0), INDEX($AB$1004:$AQ$1004,1,MATCH(COLUMNS($AB$1006:AQ1006),$AB$1006:$AQ$1006,0)))),"Fix")))</f>
        <v>0</v>
      </c>
      <c r="U263">
        <v>0</v>
      </c>
      <c r="V263">
        <v>0</v>
      </c>
      <c r="W263">
        <v>0</v>
      </c>
      <c r="X263">
        <f>IF(Y263,TRUE,AND(AB263:AQ263))</f>
        <v>0</v>
      </c>
      <c r="Y263">
        <f>COUNTBLANK(metadata!B263:Q263)=COLUMNS(metadata!B263:Q263)</f>
        <v>0</v>
      </c>
      <c r="Z263">
        <v>0</v>
      </c>
      <c r="AB263">
        <f>AND(IF(metadata!B263="",FALSE,TRUE),COUNTIF(metadata!B:B, metadata!B263) = 1,NOT(ISERROR(SUMPRODUCT(SEARCH(MID(metadata!B263,ROW(INDIRECT("1:"&amp;LEN(metadata!B263))), 1),"0123456789abcdefghijklmnopqrstuvwxyzABCDEFGHIJKLMNOPQRSTUVWXYZ.")))))</f>
        <v>0</v>
      </c>
      <c r="AC263">
        <f>OR(AND(IF(metadata!C263="",FALSE,TRUE),OR(exact(metadata!C263,"missing: not collected"),exact(metadata!C263,"missing: not provided"),exact(metadata!C263,"missing: restricted access"))),AND(IF(metadata!C263="",FALSE,TRUE),AND(AND(IFERROR(INT(LEFT(metadata!C263,4))&gt;1900,FALSE),IFERROR(INT(LEFT(metadata!C263,4))&lt;=YEAR(NOW()),FALSE)), OR(MID(metadata!C263,5,1)="", AND(AND(MID(metadata!C263,5,1)="-",IFERROR(INT(MID(metadata!C263,6,1))&gt;=0,FALSE),IFERROR(INT(MID(metadata!C263,6,1))&lt;=1,FALSE),NOT(MID(metadata!C263,7,1)=""),IFERROR(INT(MID(metadata!C263,6,2))&gt;=1,FALSE),IFERROR(INT(MID(metadata!C263,6,2))&lt;=12,FALSE)), OR(MID(metadata!C263,8,1)="", AND(AND(MID(metadata!C263,8,1)="-",IFERROR(INT(MID(metadata!C263,9,1))&gt;=0,FALSE),IFERROR(INT(MID(metadata!C263,9,1))&lt;=3,FALSE),NOT(MID(metadata!C263,10,1)=""),IFERROR(INT(MID(metadata!C263,9,2))&gt;=1,FALSE),IFERROR(INT(MID(metadata!C263,9,2))&lt;=31,FALSE)), OR(MID(metadata!C263,11,1)="", AND(AND(MID(metadata!C263,11,1)=" ",IFERROR(INT(MID(metadata!C263,12,1))&gt;=0,FALSE),IFERROR(INT(MID(metadata!C263,12,1))&lt;=2,FALSE),NOT(MID(metadata!C263,13,1)=""),IFERROR(INT(MID(metadata!C263,12,2))&gt;=0,FALSE),IFERROR(INT(MID(metadata!C263,12,2))&lt;=23,FALSE)), OR(MID(metadata!C263,14,1)="", AND(AND(MID(metadata!C263,14,1)=":",IFERROR(INT(MID(metadata!C263,15,1))&gt;=0,FALSE),IFERROR(INT(MID(metadata!C263,15,1))&lt;=5,FALSE),NOT(MID(metadata!C263,16,1)=""),IFERROR(INT(MID(metadata!C263,15,2))&gt;=0,FALSE),IFERROR(INT(MID(metadata!C263,15,2))&lt;=59,FALSE)), OR(MID(metadata!C263,17,1)="", AND(AND(MID(metadata!C263,17,1)=":",IFERROR(INT(MID(metadata!C263,18,1))&gt;=0,FALSE),IFERROR(INT(MID(metadata!C263,18,1))&lt;=5,FALSE),NOT(MID(metadata!C263,19,1)=""),IFERROR(INT(MID(metadata!C263,18,2))&gt;=0,FALSE),IFERROR(INT(MID(metadata!C263,18,2))&lt;=59,FALSE)), LEN(metadata!C263)&lt;=19)))))))))))))</f>
        <v>0</v>
      </c>
      <c r="AD263">
        <f>IF(metadata!D263="",FALSE,TRUE)</f>
        <v>0</v>
      </c>
      <c r="AE263">
        <f>OR(AND(IF(metadata!E263="",FALSE,TRUE),OR(exact(metadata!E263,"missing: not collected"),exact(metadata!E263,"missing: not provided"))),AND(IF(metadata!E263="",FALSE,TRUE),OR(exact(metadata!E263,"TRUE"),exact(metadata!E263,"FALSE"))))</f>
        <v>0</v>
      </c>
      <c r="AF263">
        <f>IF(metadata!F263="",FALSE,TRUE)</f>
        <v>0</v>
      </c>
      <c r="AG263">
        <f>IF(metadata!G263="",FALSE,TRUE)</f>
        <v>0</v>
      </c>
      <c r="AH263">
        <f>IF(metadata!H263="",FALSE,TRUE)</f>
        <v>0</v>
      </c>
      <c r="AI263">
        <f>OR(AND(IF(metadata!I263="",FALSE,TRUE),OR(exact(metadata!I263,"missing: not collected"),exact(metadata!I263,"missing: not provided"),exact(metadata!I263,"missing: restricted access"))),AND(IF(metadata!I263="",FALSE,TRUE),OR(exact(metadata!I263,"air"),exact(metadata!I263,"built environment"),exact(metadata!I263,"host-associated"),exact(metadata!I263,"human-associated"),exact(metadata!I263,"human-skin"),exact(metadata!I263,"human-oral"),exact(metadata!I263,"human-gut"),exact(metadata!I263,"human-vaginal"),exact(metadata!I263,"microbial mat/biofilm"),exact(metadata!I263,"misc environment"),exact(metadata!I263,"plant-associated"),exact(metadata!I263,"sediment"),exact(metadata!I263,"soil"),exact(metadata!I263,"wastewater/sludge"),exact(metadata!I263,"water"))))</f>
        <v>0</v>
      </c>
      <c r="AJ263">
        <f>IF(metadata!J263="",FALSE,TRUE)</f>
        <v>0</v>
      </c>
      <c r="AK263">
        <f>OR(AND(IF(metadata!K263="",FALSE,TRUE),OR(exact(metadata!K263,"missing: not collected"),exact(metadata!K263,"missing: not provided"),exact(metadata!K263,"missing: restricted access"))),AND(IF(metadata!K263="",FALSE,ISNUMBER(VALUE(metadata!K263))),metadata!K263&gt;=-90.00,metadata!K263&lt;=90.00))</f>
        <v>0</v>
      </c>
      <c r="AL263">
        <f>OR(AND(IF(metadata!L263="",FALSE,TRUE),OR(exact(metadata!L263,"missing: not collected"),exact(metadata!L263,"missing: not provided"),exact(metadata!L263,"missing: restricted access"))),AND(IF(metadata!L263="",FALSE,ISNUMBER(VALUE(metadata!L263))),metadata!L263&gt;=-180.00,metadata!L263&lt;=180.00))</f>
        <v>0</v>
      </c>
      <c r="AM263">
        <f>IF(metadata!M263="",FALSE,TRUE)</f>
        <v>0</v>
      </c>
      <c r="AN263">
        <f>OR(AND(IF(metadata!N263="",FALSE,TRUE),OR(exact(metadata!N263,"missing: not collected"),exact(metadata!N263,"missing: not provided"),exact(metadata!N263,"missing: restricted access"))),AND(IF(metadata!N263="",FALSE,TRUE),OR(exact(metadata!N263,"TRUE"),exact(metadata!N263,"FALSE"))))</f>
        <v>0</v>
      </c>
      <c r="AO263">
        <f>IF(metadata!O263="",FALSE,TRUE)</f>
        <v>0</v>
      </c>
      <c r="AP263">
        <f>OR(AND(IF(metadata!P263="",FALSE,TRUE),OR(exact(metadata!P263,"missing: not collected"),exact(metadata!P263,"missing: not provided"))),AND(IF(metadata!P263="",FALSE,IF(ISERROR(INT(metadata!P263)),FALSE,INT(metadata!P263)=metadata!P263)),metadata!P263&gt;0))</f>
        <v>0</v>
      </c>
      <c r="AQ263">
        <f>IF(metadata!Q263="",FALSE,TRUE)</f>
        <v>0</v>
      </c>
    </row>
    <row r="264" spans="1:43">
      <c r="A264" s="5">
        <f>IF(B264=" "," ",HYPERLINK(CONCATENATE("#metadata!",ADDRESS(INDEX($W$2:$W$1001,MATCH(ROWS($U$2:U264),$U$2:$U$1001,0),0),1)),INDEX($Z$2:$Z$1001,MATCH(ROWS($U$2:U264),$U$2:$U$1001,0),0)))</f>
        <v>0</v>
      </c>
      <c r="B264" s="4">
        <f>IF(OR(INDEX($V$2:$V$1001,MATCH(ROWS($U$2:U264),$U$2:$U$1001,0),1)&gt;=100000,INDEX($AB$1005:$AQ$1005,1,MATCH(COLUMNS($AB$1006:AB1006),$AB$1006:$AQ$1006,0))&gt;=100000), " ",IF(INDEX($AB$2:$AQ$1001,MATCH(ROWS($U$2:U264),$U$2:$U$1001,0),MATCH(COLUMNS($AB$1006:AB1006),$AB$1006:$AQ$1006,0)), HYPERLINK("#",""), HYPERLINK(CONCATENATE("#metadata!", ADDRESS(INDEX($W$2:$W$1001,MATCH(ROWS($U$2:U264),$U$2:$U$1001,0),0), INDEX($AB$1004:$AQ$1004,1,MATCH(COLUMNS($AB$1006:AB1006),$AB$1006:$AQ$1006,0)))),"Fix")))</f>
        <v>0</v>
      </c>
      <c r="C264" s="4">
        <f>IF(OR(INDEX($V$2:$V$1001,MATCH(ROWS($U$2:U264),$U$2:$U$1001,0),1)&gt;=100000,INDEX($AB$1005:$AQ$1005,1,MATCH(COLUMNS($AB$1006:AC1006),$AB$1006:$AQ$1006,0))&gt;=100000), " ",IF(INDEX($AB$2:$AQ$1001,MATCH(ROWS($U$2:U264),$U$2:$U$1001,0),MATCH(COLUMNS($AB$1006:AC1006),$AB$1006:$AQ$1006,0)), HYPERLINK("#",""), HYPERLINK(CONCATENATE("#metadata!", ADDRESS(INDEX($W$2:$W$1001,MATCH(ROWS($U$2:U264),$U$2:$U$1001,0),0), INDEX($AB$1004:$AQ$1004,1,MATCH(COLUMNS($AB$1006:AC1006),$AB$1006:$AQ$1006,0)))),"Fix")))</f>
        <v>0</v>
      </c>
      <c r="D264" s="4">
        <f>IF(OR(INDEX($V$2:$V$1001,MATCH(ROWS($U$2:U264),$U$2:$U$1001,0),1)&gt;=100000,INDEX($AB$1005:$AQ$1005,1,MATCH(COLUMNS($AB$1006:AD1006),$AB$1006:$AQ$1006,0))&gt;=100000), " ",IF(INDEX($AB$2:$AQ$1001,MATCH(ROWS($U$2:U264),$U$2:$U$1001,0),MATCH(COLUMNS($AB$1006:AD1006),$AB$1006:$AQ$1006,0)), HYPERLINK("#",""), HYPERLINK(CONCATENATE("#metadata!", ADDRESS(INDEX($W$2:$W$1001,MATCH(ROWS($U$2:U264),$U$2:$U$1001,0),0), INDEX($AB$1004:$AQ$1004,1,MATCH(COLUMNS($AB$1006:AD1006),$AB$1006:$AQ$1006,0)))),"Fix")))</f>
        <v>0</v>
      </c>
      <c r="E264" s="4">
        <f>IF(OR(INDEX($V$2:$V$1001,MATCH(ROWS($U$2:U264),$U$2:$U$1001,0),1)&gt;=100000,INDEX($AB$1005:$AQ$1005,1,MATCH(COLUMNS($AB$1006:AE1006),$AB$1006:$AQ$1006,0))&gt;=100000), " ",IF(INDEX($AB$2:$AQ$1001,MATCH(ROWS($U$2:U264),$U$2:$U$1001,0),MATCH(COLUMNS($AB$1006:AE1006),$AB$1006:$AQ$1006,0)), HYPERLINK("#",""), HYPERLINK(CONCATENATE("#metadata!", ADDRESS(INDEX($W$2:$W$1001,MATCH(ROWS($U$2:U264),$U$2:$U$1001,0),0), INDEX($AB$1004:$AQ$1004,1,MATCH(COLUMNS($AB$1006:AE1006),$AB$1006:$AQ$1006,0)))),"Fix")))</f>
        <v>0</v>
      </c>
      <c r="F264" s="4">
        <f>IF(OR(INDEX($V$2:$V$1001,MATCH(ROWS($U$2:U264),$U$2:$U$1001,0),1)&gt;=100000,INDEX($AB$1005:$AQ$1005,1,MATCH(COLUMNS($AB$1006:AF1006),$AB$1006:$AQ$1006,0))&gt;=100000), " ",IF(INDEX($AB$2:$AQ$1001,MATCH(ROWS($U$2:U264),$U$2:$U$1001,0),MATCH(COLUMNS($AB$1006:AF1006),$AB$1006:$AQ$1006,0)), HYPERLINK("#",""), HYPERLINK(CONCATENATE("#metadata!", ADDRESS(INDEX($W$2:$W$1001,MATCH(ROWS($U$2:U264),$U$2:$U$1001,0),0), INDEX($AB$1004:$AQ$1004,1,MATCH(COLUMNS($AB$1006:AF1006),$AB$1006:$AQ$1006,0)))),"Fix")))</f>
        <v>0</v>
      </c>
      <c r="G264" s="4">
        <f>IF(OR(INDEX($V$2:$V$1001,MATCH(ROWS($U$2:U264),$U$2:$U$1001,0),1)&gt;=100000,INDEX($AB$1005:$AQ$1005,1,MATCH(COLUMNS($AB$1006:AG1006),$AB$1006:$AQ$1006,0))&gt;=100000), " ",IF(INDEX($AB$2:$AQ$1001,MATCH(ROWS($U$2:U264),$U$2:$U$1001,0),MATCH(COLUMNS($AB$1006:AG1006),$AB$1006:$AQ$1006,0)), HYPERLINK("#",""), HYPERLINK(CONCATENATE("#metadata!", ADDRESS(INDEX($W$2:$W$1001,MATCH(ROWS($U$2:U264),$U$2:$U$1001,0),0), INDEX($AB$1004:$AQ$1004,1,MATCH(COLUMNS($AB$1006:AG1006),$AB$1006:$AQ$1006,0)))),"Fix")))</f>
        <v>0</v>
      </c>
      <c r="H264" s="4">
        <f>IF(OR(INDEX($V$2:$V$1001,MATCH(ROWS($U$2:U264),$U$2:$U$1001,0),1)&gt;=100000,INDEX($AB$1005:$AQ$1005,1,MATCH(COLUMNS($AB$1006:AH1006),$AB$1006:$AQ$1006,0))&gt;=100000), " ",IF(INDEX($AB$2:$AQ$1001,MATCH(ROWS($U$2:U264),$U$2:$U$1001,0),MATCH(COLUMNS($AB$1006:AH1006),$AB$1006:$AQ$1006,0)), HYPERLINK("#",""), HYPERLINK(CONCATENATE("#metadata!", ADDRESS(INDEX($W$2:$W$1001,MATCH(ROWS($U$2:U264),$U$2:$U$1001,0),0), INDEX($AB$1004:$AQ$1004,1,MATCH(COLUMNS($AB$1006:AH1006),$AB$1006:$AQ$1006,0)))),"Fix")))</f>
        <v>0</v>
      </c>
      <c r="I264" s="4">
        <f>IF(OR(INDEX($V$2:$V$1001,MATCH(ROWS($U$2:U264),$U$2:$U$1001,0),1)&gt;=100000,INDEX($AB$1005:$AQ$1005,1,MATCH(COLUMNS($AB$1006:AI1006),$AB$1006:$AQ$1006,0))&gt;=100000), " ",IF(INDEX($AB$2:$AQ$1001,MATCH(ROWS($U$2:U264),$U$2:$U$1001,0),MATCH(COLUMNS($AB$1006:AI1006),$AB$1006:$AQ$1006,0)), HYPERLINK("#",""), HYPERLINK(CONCATENATE("#metadata!", ADDRESS(INDEX($W$2:$W$1001,MATCH(ROWS($U$2:U264),$U$2:$U$1001,0),0), INDEX($AB$1004:$AQ$1004,1,MATCH(COLUMNS($AB$1006:AI1006),$AB$1006:$AQ$1006,0)))),"Fix")))</f>
        <v>0</v>
      </c>
      <c r="J264" s="4">
        <f>IF(OR(INDEX($V$2:$V$1001,MATCH(ROWS($U$2:U264),$U$2:$U$1001,0),1)&gt;=100000,INDEX($AB$1005:$AQ$1005,1,MATCH(COLUMNS($AB$1006:AJ1006),$AB$1006:$AQ$1006,0))&gt;=100000), " ",IF(INDEX($AB$2:$AQ$1001,MATCH(ROWS($U$2:U264),$U$2:$U$1001,0),MATCH(COLUMNS($AB$1006:AJ1006),$AB$1006:$AQ$1006,0)), HYPERLINK("#",""), HYPERLINK(CONCATENATE("#metadata!", ADDRESS(INDEX($W$2:$W$1001,MATCH(ROWS($U$2:U264),$U$2:$U$1001,0),0), INDEX($AB$1004:$AQ$1004,1,MATCH(COLUMNS($AB$1006:AJ1006),$AB$1006:$AQ$1006,0)))),"Fix")))</f>
        <v>0</v>
      </c>
      <c r="K264" s="4">
        <f>IF(OR(INDEX($V$2:$V$1001,MATCH(ROWS($U$2:U264),$U$2:$U$1001,0),1)&gt;=100000,INDEX($AB$1005:$AQ$1005,1,MATCH(COLUMNS($AB$1006:AK1006),$AB$1006:$AQ$1006,0))&gt;=100000), " ",IF(INDEX($AB$2:$AQ$1001,MATCH(ROWS($U$2:U264),$U$2:$U$1001,0),MATCH(COLUMNS($AB$1006:AK1006),$AB$1006:$AQ$1006,0)), HYPERLINK("#",""), HYPERLINK(CONCATENATE("#metadata!", ADDRESS(INDEX($W$2:$W$1001,MATCH(ROWS($U$2:U264),$U$2:$U$1001,0),0), INDEX($AB$1004:$AQ$1004,1,MATCH(COLUMNS($AB$1006:AK1006),$AB$1006:$AQ$1006,0)))),"Fix")))</f>
        <v>0</v>
      </c>
      <c r="L264" s="4">
        <f>IF(OR(INDEX($V$2:$V$1001,MATCH(ROWS($U$2:U264),$U$2:$U$1001,0),1)&gt;=100000,INDEX($AB$1005:$AQ$1005,1,MATCH(COLUMNS($AB$1006:AL1006),$AB$1006:$AQ$1006,0))&gt;=100000), " ",IF(INDEX($AB$2:$AQ$1001,MATCH(ROWS($U$2:U264),$U$2:$U$1001,0),MATCH(COLUMNS($AB$1006:AL1006),$AB$1006:$AQ$1006,0)), HYPERLINK("#",""), HYPERLINK(CONCATENATE("#metadata!", ADDRESS(INDEX($W$2:$W$1001,MATCH(ROWS($U$2:U264),$U$2:$U$1001,0),0), INDEX($AB$1004:$AQ$1004,1,MATCH(COLUMNS($AB$1006:AL1006),$AB$1006:$AQ$1006,0)))),"Fix")))</f>
        <v>0</v>
      </c>
      <c r="M264" s="4">
        <f>IF(OR(INDEX($V$2:$V$1001,MATCH(ROWS($U$2:U264),$U$2:$U$1001,0),1)&gt;=100000,INDEX($AB$1005:$AQ$1005,1,MATCH(COLUMNS($AB$1006:AM1006),$AB$1006:$AQ$1006,0))&gt;=100000), " ",IF(INDEX($AB$2:$AQ$1001,MATCH(ROWS($U$2:U264),$U$2:$U$1001,0),MATCH(COLUMNS($AB$1006:AM1006),$AB$1006:$AQ$1006,0)), HYPERLINK("#",""), HYPERLINK(CONCATENATE("#metadata!", ADDRESS(INDEX($W$2:$W$1001,MATCH(ROWS($U$2:U264),$U$2:$U$1001,0),0), INDEX($AB$1004:$AQ$1004,1,MATCH(COLUMNS($AB$1006:AM1006),$AB$1006:$AQ$1006,0)))),"Fix")))</f>
        <v>0</v>
      </c>
      <c r="N264" s="4">
        <f>IF(OR(INDEX($V$2:$V$1001,MATCH(ROWS($U$2:U264),$U$2:$U$1001,0),1)&gt;=100000,INDEX($AB$1005:$AQ$1005,1,MATCH(COLUMNS($AB$1006:AN1006),$AB$1006:$AQ$1006,0))&gt;=100000), " ",IF(INDEX($AB$2:$AQ$1001,MATCH(ROWS($U$2:U264),$U$2:$U$1001,0),MATCH(COLUMNS($AB$1006:AN1006),$AB$1006:$AQ$1006,0)), HYPERLINK("#",""), HYPERLINK(CONCATENATE("#metadata!", ADDRESS(INDEX($W$2:$W$1001,MATCH(ROWS($U$2:U264),$U$2:$U$1001,0),0), INDEX($AB$1004:$AQ$1004,1,MATCH(COLUMNS($AB$1006:AN1006),$AB$1006:$AQ$1006,0)))),"Fix")))</f>
        <v>0</v>
      </c>
      <c r="O264" s="4">
        <f>IF(OR(INDEX($V$2:$V$1001,MATCH(ROWS($U$2:U264),$U$2:$U$1001,0),1)&gt;=100000,INDEX($AB$1005:$AQ$1005,1,MATCH(COLUMNS($AB$1006:AO1006),$AB$1006:$AQ$1006,0))&gt;=100000), " ",IF(INDEX($AB$2:$AQ$1001,MATCH(ROWS($U$2:U264),$U$2:$U$1001,0),MATCH(COLUMNS($AB$1006:AO1006),$AB$1006:$AQ$1006,0)), HYPERLINK("#",""), HYPERLINK(CONCATENATE("#metadata!", ADDRESS(INDEX($W$2:$W$1001,MATCH(ROWS($U$2:U264),$U$2:$U$1001,0),0), INDEX($AB$1004:$AQ$1004,1,MATCH(COLUMNS($AB$1006:AO1006),$AB$1006:$AQ$1006,0)))),"Fix")))</f>
        <v>0</v>
      </c>
      <c r="P264" s="4">
        <f>IF(OR(INDEX($V$2:$V$1001,MATCH(ROWS($U$2:U264),$U$2:$U$1001,0),1)&gt;=100000,INDEX($AB$1005:$AQ$1005,1,MATCH(COLUMNS($AB$1006:AP1006),$AB$1006:$AQ$1006,0))&gt;=100000), " ",IF(INDEX($AB$2:$AQ$1001,MATCH(ROWS($U$2:U264),$U$2:$U$1001,0),MATCH(COLUMNS($AB$1006:AP1006),$AB$1006:$AQ$1006,0)), HYPERLINK("#",""), HYPERLINK(CONCATENATE("#metadata!", ADDRESS(INDEX($W$2:$W$1001,MATCH(ROWS($U$2:U264),$U$2:$U$1001,0),0), INDEX($AB$1004:$AQ$1004,1,MATCH(COLUMNS($AB$1006:AP1006),$AB$1006:$AQ$1006,0)))),"Fix")))</f>
        <v>0</v>
      </c>
      <c r="Q264" s="4">
        <f>IF(OR(INDEX($V$2:$V$1001,MATCH(ROWS($U$2:U264),$U$2:$U$1001,0),1)&gt;=100000,INDEX($AB$1005:$AQ$1005,1,MATCH(COLUMNS($AB$1006:AQ1006),$AB$1006:$AQ$1006,0))&gt;=100000), " ",IF(INDEX($AB$2:$AQ$1001,MATCH(ROWS($U$2:U264),$U$2:$U$1001,0),MATCH(COLUMNS($AB$1006:AQ1006),$AB$1006:$AQ$1006,0)), HYPERLINK("#",""), HYPERLINK(CONCATENATE("#metadata!", ADDRESS(INDEX($W$2:$W$1001,MATCH(ROWS($U$2:U264),$U$2:$U$1001,0),0), INDEX($AB$1004:$AQ$1004,1,MATCH(COLUMNS($AB$1006:AQ1006),$AB$1006:$AQ$1006,0)))),"Fix")))</f>
        <v>0</v>
      </c>
      <c r="U264">
        <v>0</v>
      </c>
      <c r="V264">
        <v>0</v>
      </c>
      <c r="W264">
        <v>0</v>
      </c>
      <c r="X264">
        <f>IF(Y264,TRUE,AND(AB264:AQ264))</f>
        <v>0</v>
      </c>
      <c r="Y264">
        <f>COUNTBLANK(metadata!B264:Q264)=COLUMNS(metadata!B264:Q264)</f>
        <v>0</v>
      </c>
      <c r="Z264">
        <v>0</v>
      </c>
      <c r="AB264">
        <f>AND(IF(metadata!B264="",FALSE,TRUE),COUNTIF(metadata!B:B, metadata!B264) = 1,NOT(ISERROR(SUMPRODUCT(SEARCH(MID(metadata!B264,ROW(INDIRECT("1:"&amp;LEN(metadata!B264))), 1),"0123456789abcdefghijklmnopqrstuvwxyzABCDEFGHIJKLMNOPQRSTUVWXYZ.")))))</f>
        <v>0</v>
      </c>
      <c r="AC264">
        <f>OR(AND(IF(metadata!C264="",FALSE,TRUE),OR(exact(metadata!C264,"missing: not collected"),exact(metadata!C264,"missing: not provided"),exact(metadata!C264,"missing: restricted access"))),AND(IF(metadata!C264="",FALSE,TRUE),AND(AND(IFERROR(INT(LEFT(metadata!C264,4))&gt;1900,FALSE),IFERROR(INT(LEFT(metadata!C264,4))&lt;=YEAR(NOW()),FALSE)), OR(MID(metadata!C264,5,1)="", AND(AND(MID(metadata!C264,5,1)="-",IFERROR(INT(MID(metadata!C264,6,1))&gt;=0,FALSE),IFERROR(INT(MID(metadata!C264,6,1))&lt;=1,FALSE),NOT(MID(metadata!C264,7,1)=""),IFERROR(INT(MID(metadata!C264,6,2))&gt;=1,FALSE),IFERROR(INT(MID(metadata!C264,6,2))&lt;=12,FALSE)), OR(MID(metadata!C264,8,1)="", AND(AND(MID(metadata!C264,8,1)="-",IFERROR(INT(MID(metadata!C264,9,1))&gt;=0,FALSE),IFERROR(INT(MID(metadata!C264,9,1))&lt;=3,FALSE),NOT(MID(metadata!C264,10,1)=""),IFERROR(INT(MID(metadata!C264,9,2))&gt;=1,FALSE),IFERROR(INT(MID(metadata!C264,9,2))&lt;=31,FALSE)), OR(MID(metadata!C264,11,1)="", AND(AND(MID(metadata!C264,11,1)=" ",IFERROR(INT(MID(metadata!C264,12,1))&gt;=0,FALSE),IFERROR(INT(MID(metadata!C264,12,1))&lt;=2,FALSE),NOT(MID(metadata!C264,13,1)=""),IFERROR(INT(MID(metadata!C264,12,2))&gt;=0,FALSE),IFERROR(INT(MID(metadata!C264,12,2))&lt;=23,FALSE)), OR(MID(metadata!C264,14,1)="", AND(AND(MID(metadata!C264,14,1)=":",IFERROR(INT(MID(metadata!C264,15,1))&gt;=0,FALSE),IFERROR(INT(MID(metadata!C264,15,1))&lt;=5,FALSE),NOT(MID(metadata!C264,16,1)=""),IFERROR(INT(MID(metadata!C264,15,2))&gt;=0,FALSE),IFERROR(INT(MID(metadata!C264,15,2))&lt;=59,FALSE)), OR(MID(metadata!C264,17,1)="", AND(AND(MID(metadata!C264,17,1)=":",IFERROR(INT(MID(metadata!C264,18,1))&gt;=0,FALSE),IFERROR(INT(MID(metadata!C264,18,1))&lt;=5,FALSE),NOT(MID(metadata!C264,19,1)=""),IFERROR(INT(MID(metadata!C264,18,2))&gt;=0,FALSE),IFERROR(INT(MID(metadata!C264,18,2))&lt;=59,FALSE)), LEN(metadata!C264)&lt;=19)))))))))))))</f>
        <v>0</v>
      </c>
      <c r="AD264">
        <f>IF(metadata!D264="",FALSE,TRUE)</f>
        <v>0</v>
      </c>
      <c r="AE264">
        <f>OR(AND(IF(metadata!E264="",FALSE,TRUE),OR(exact(metadata!E264,"missing: not collected"),exact(metadata!E264,"missing: not provided"))),AND(IF(metadata!E264="",FALSE,TRUE),OR(exact(metadata!E264,"TRUE"),exact(metadata!E264,"FALSE"))))</f>
        <v>0</v>
      </c>
      <c r="AF264">
        <f>IF(metadata!F264="",FALSE,TRUE)</f>
        <v>0</v>
      </c>
      <c r="AG264">
        <f>IF(metadata!G264="",FALSE,TRUE)</f>
        <v>0</v>
      </c>
      <c r="AH264">
        <f>IF(metadata!H264="",FALSE,TRUE)</f>
        <v>0</v>
      </c>
      <c r="AI264">
        <f>OR(AND(IF(metadata!I264="",FALSE,TRUE),OR(exact(metadata!I264,"missing: not collected"),exact(metadata!I264,"missing: not provided"),exact(metadata!I264,"missing: restricted access"))),AND(IF(metadata!I264="",FALSE,TRUE),OR(exact(metadata!I264,"air"),exact(metadata!I264,"built environment"),exact(metadata!I264,"host-associated"),exact(metadata!I264,"human-associated"),exact(metadata!I264,"human-skin"),exact(metadata!I264,"human-oral"),exact(metadata!I264,"human-gut"),exact(metadata!I264,"human-vaginal"),exact(metadata!I264,"microbial mat/biofilm"),exact(metadata!I264,"misc environment"),exact(metadata!I264,"plant-associated"),exact(metadata!I264,"sediment"),exact(metadata!I264,"soil"),exact(metadata!I264,"wastewater/sludge"),exact(metadata!I264,"water"))))</f>
        <v>0</v>
      </c>
      <c r="AJ264">
        <f>IF(metadata!J264="",FALSE,TRUE)</f>
        <v>0</v>
      </c>
      <c r="AK264">
        <f>OR(AND(IF(metadata!K264="",FALSE,TRUE),OR(exact(metadata!K264,"missing: not collected"),exact(metadata!K264,"missing: not provided"),exact(metadata!K264,"missing: restricted access"))),AND(IF(metadata!K264="",FALSE,ISNUMBER(VALUE(metadata!K264))),metadata!K264&gt;=-90.00,metadata!K264&lt;=90.00))</f>
        <v>0</v>
      </c>
      <c r="AL264">
        <f>OR(AND(IF(metadata!L264="",FALSE,TRUE),OR(exact(metadata!L264,"missing: not collected"),exact(metadata!L264,"missing: not provided"),exact(metadata!L264,"missing: restricted access"))),AND(IF(metadata!L264="",FALSE,ISNUMBER(VALUE(metadata!L264))),metadata!L264&gt;=-180.00,metadata!L264&lt;=180.00))</f>
        <v>0</v>
      </c>
      <c r="AM264">
        <f>IF(metadata!M264="",FALSE,TRUE)</f>
        <v>0</v>
      </c>
      <c r="AN264">
        <f>OR(AND(IF(metadata!N264="",FALSE,TRUE),OR(exact(metadata!N264,"missing: not collected"),exact(metadata!N264,"missing: not provided"),exact(metadata!N264,"missing: restricted access"))),AND(IF(metadata!N264="",FALSE,TRUE),OR(exact(metadata!N264,"TRUE"),exact(metadata!N264,"FALSE"))))</f>
        <v>0</v>
      </c>
      <c r="AO264">
        <f>IF(metadata!O264="",FALSE,TRUE)</f>
        <v>0</v>
      </c>
      <c r="AP264">
        <f>OR(AND(IF(metadata!P264="",FALSE,TRUE),OR(exact(metadata!P264,"missing: not collected"),exact(metadata!P264,"missing: not provided"))),AND(IF(metadata!P264="",FALSE,IF(ISERROR(INT(metadata!P264)),FALSE,INT(metadata!P264)=metadata!P264)),metadata!P264&gt;0))</f>
        <v>0</v>
      </c>
      <c r="AQ264">
        <f>IF(metadata!Q264="",FALSE,TRUE)</f>
        <v>0</v>
      </c>
    </row>
    <row r="265" spans="1:43">
      <c r="A265" s="5">
        <f>IF(B265=" "," ",HYPERLINK(CONCATENATE("#metadata!",ADDRESS(INDEX($W$2:$W$1001,MATCH(ROWS($U$2:U265),$U$2:$U$1001,0),0),1)),INDEX($Z$2:$Z$1001,MATCH(ROWS($U$2:U265),$U$2:$U$1001,0),0)))</f>
        <v>0</v>
      </c>
      <c r="B265" s="4">
        <f>IF(OR(INDEX($V$2:$V$1001,MATCH(ROWS($U$2:U265),$U$2:$U$1001,0),1)&gt;=100000,INDEX($AB$1005:$AQ$1005,1,MATCH(COLUMNS($AB$1006:AB1006),$AB$1006:$AQ$1006,0))&gt;=100000), " ",IF(INDEX($AB$2:$AQ$1001,MATCH(ROWS($U$2:U265),$U$2:$U$1001,0),MATCH(COLUMNS($AB$1006:AB1006),$AB$1006:$AQ$1006,0)), HYPERLINK("#",""), HYPERLINK(CONCATENATE("#metadata!", ADDRESS(INDEX($W$2:$W$1001,MATCH(ROWS($U$2:U265),$U$2:$U$1001,0),0), INDEX($AB$1004:$AQ$1004,1,MATCH(COLUMNS($AB$1006:AB1006),$AB$1006:$AQ$1006,0)))),"Fix")))</f>
        <v>0</v>
      </c>
      <c r="C265" s="4">
        <f>IF(OR(INDEX($V$2:$V$1001,MATCH(ROWS($U$2:U265),$U$2:$U$1001,0),1)&gt;=100000,INDEX($AB$1005:$AQ$1005,1,MATCH(COLUMNS($AB$1006:AC1006),$AB$1006:$AQ$1006,0))&gt;=100000), " ",IF(INDEX($AB$2:$AQ$1001,MATCH(ROWS($U$2:U265),$U$2:$U$1001,0),MATCH(COLUMNS($AB$1006:AC1006),$AB$1006:$AQ$1006,0)), HYPERLINK("#",""), HYPERLINK(CONCATENATE("#metadata!", ADDRESS(INDEX($W$2:$W$1001,MATCH(ROWS($U$2:U265),$U$2:$U$1001,0),0), INDEX($AB$1004:$AQ$1004,1,MATCH(COLUMNS($AB$1006:AC1006),$AB$1006:$AQ$1006,0)))),"Fix")))</f>
        <v>0</v>
      </c>
      <c r="D265" s="4">
        <f>IF(OR(INDEX($V$2:$V$1001,MATCH(ROWS($U$2:U265),$U$2:$U$1001,0),1)&gt;=100000,INDEX($AB$1005:$AQ$1005,1,MATCH(COLUMNS($AB$1006:AD1006),$AB$1006:$AQ$1006,0))&gt;=100000), " ",IF(INDEX($AB$2:$AQ$1001,MATCH(ROWS($U$2:U265),$U$2:$U$1001,0),MATCH(COLUMNS($AB$1006:AD1006),$AB$1006:$AQ$1006,0)), HYPERLINK("#",""), HYPERLINK(CONCATENATE("#metadata!", ADDRESS(INDEX($W$2:$W$1001,MATCH(ROWS($U$2:U265),$U$2:$U$1001,0),0), INDEX($AB$1004:$AQ$1004,1,MATCH(COLUMNS($AB$1006:AD1006),$AB$1006:$AQ$1006,0)))),"Fix")))</f>
        <v>0</v>
      </c>
      <c r="E265" s="4">
        <f>IF(OR(INDEX($V$2:$V$1001,MATCH(ROWS($U$2:U265),$U$2:$U$1001,0),1)&gt;=100000,INDEX($AB$1005:$AQ$1005,1,MATCH(COLUMNS($AB$1006:AE1006),$AB$1006:$AQ$1006,0))&gt;=100000), " ",IF(INDEX($AB$2:$AQ$1001,MATCH(ROWS($U$2:U265),$U$2:$U$1001,0),MATCH(COLUMNS($AB$1006:AE1006),$AB$1006:$AQ$1006,0)), HYPERLINK("#",""), HYPERLINK(CONCATENATE("#metadata!", ADDRESS(INDEX($W$2:$W$1001,MATCH(ROWS($U$2:U265),$U$2:$U$1001,0),0), INDEX($AB$1004:$AQ$1004,1,MATCH(COLUMNS($AB$1006:AE1006),$AB$1006:$AQ$1006,0)))),"Fix")))</f>
        <v>0</v>
      </c>
      <c r="F265" s="4">
        <f>IF(OR(INDEX($V$2:$V$1001,MATCH(ROWS($U$2:U265),$U$2:$U$1001,0),1)&gt;=100000,INDEX($AB$1005:$AQ$1005,1,MATCH(COLUMNS($AB$1006:AF1006),$AB$1006:$AQ$1006,0))&gt;=100000), " ",IF(INDEX($AB$2:$AQ$1001,MATCH(ROWS($U$2:U265),$U$2:$U$1001,0),MATCH(COLUMNS($AB$1006:AF1006),$AB$1006:$AQ$1006,0)), HYPERLINK("#",""), HYPERLINK(CONCATENATE("#metadata!", ADDRESS(INDEX($W$2:$W$1001,MATCH(ROWS($U$2:U265),$U$2:$U$1001,0),0), INDEX($AB$1004:$AQ$1004,1,MATCH(COLUMNS($AB$1006:AF1006),$AB$1006:$AQ$1006,0)))),"Fix")))</f>
        <v>0</v>
      </c>
      <c r="G265" s="4">
        <f>IF(OR(INDEX($V$2:$V$1001,MATCH(ROWS($U$2:U265),$U$2:$U$1001,0),1)&gt;=100000,INDEX($AB$1005:$AQ$1005,1,MATCH(COLUMNS($AB$1006:AG1006),$AB$1006:$AQ$1006,0))&gt;=100000), " ",IF(INDEX($AB$2:$AQ$1001,MATCH(ROWS($U$2:U265),$U$2:$U$1001,0),MATCH(COLUMNS($AB$1006:AG1006),$AB$1006:$AQ$1006,0)), HYPERLINK("#",""), HYPERLINK(CONCATENATE("#metadata!", ADDRESS(INDEX($W$2:$W$1001,MATCH(ROWS($U$2:U265),$U$2:$U$1001,0),0), INDEX($AB$1004:$AQ$1004,1,MATCH(COLUMNS($AB$1006:AG1006),$AB$1006:$AQ$1006,0)))),"Fix")))</f>
        <v>0</v>
      </c>
      <c r="H265" s="4">
        <f>IF(OR(INDEX($V$2:$V$1001,MATCH(ROWS($U$2:U265),$U$2:$U$1001,0),1)&gt;=100000,INDEX($AB$1005:$AQ$1005,1,MATCH(COLUMNS($AB$1006:AH1006),$AB$1006:$AQ$1006,0))&gt;=100000), " ",IF(INDEX($AB$2:$AQ$1001,MATCH(ROWS($U$2:U265),$U$2:$U$1001,0),MATCH(COLUMNS($AB$1006:AH1006),$AB$1006:$AQ$1006,0)), HYPERLINK("#",""), HYPERLINK(CONCATENATE("#metadata!", ADDRESS(INDEX($W$2:$W$1001,MATCH(ROWS($U$2:U265),$U$2:$U$1001,0),0), INDEX($AB$1004:$AQ$1004,1,MATCH(COLUMNS($AB$1006:AH1006),$AB$1006:$AQ$1006,0)))),"Fix")))</f>
        <v>0</v>
      </c>
      <c r="I265" s="4">
        <f>IF(OR(INDEX($V$2:$V$1001,MATCH(ROWS($U$2:U265),$U$2:$U$1001,0),1)&gt;=100000,INDEX($AB$1005:$AQ$1005,1,MATCH(COLUMNS($AB$1006:AI1006),$AB$1006:$AQ$1006,0))&gt;=100000), " ",IF(INDEX($AB$2:$AQ$1001,MATCH(ROWS($U$2:U265),$U$2:$U$1001,0),MATCH(COLUMNS($AB$1006:AI1006),$AB$1006:$AQ$1006,0)), HYPERLINK("#",""), HYPERLINK(CONCATENATE("#metadata!", ADDRESS(INDEX($W$2:$W$1001,MATCH(ROWS($U$2:U265),$U$2:$U$1001,0),0), INDEX($AB$1004:$AQ$1004,1,MATCH(COLUMNS($AB$1006:AI1006),$AB$1006:$AQ$1006,0)))),"Fix")))</f>
        <v>0</v>
      </c>
      <c r="J265" s="4">
        <f>IF(OR(INDEX($V$2:$V$1001,MATCH(ROWS($U$2:U265),$U$2:$U$1001,0),1)&gt;=100000,INDEX($AB$1005:$AQ$1005,1,MATCH(COLUMNS($AB$1006:AJ1006),$AB$1006:$AQ$1006,0))&gt;=100000), " ",IF(INDEX($AB$2:$AQ$1001,MATCH(ROWS($U$2:U265),$U$2:$U$1001,0),MATCH(COLUMNS($AB$1006:AJ1006),$AB$1006:$AQ$1006,0)), HYPERLINK("#",""), HYPERLINK(CONCATENATE("#metadata!", ADDRESS(INDEX($W$2:$W$1001,MATCH(ROWS($U$2:U265),$U$2:$U$1001,0),0), INDEX($AB$1004:$AQ$1004,1,MATCH(COLUMNS($AB$1006:AJ1006),$AB$1006:$AQ$1006,0)))),"Fix")))</f>
        <v>0</v>
      </c>
      <c r="K265" s="4">
        <f>IF(OR(INDEX($V$2:$V$1001,MATCH(ROWS($U$2:U265),$U$2:$U$1001,0),1)&gt;=100000,INDEX($AB$1005:$AQ$1005,1,MATCH(COLUMNS($AB$1006:AK1006),$AB$1006:$AQ$1006,0))&gt;=100000), " ",IF(INDEX($AB$2:$AQ$1001,MATCH(ROWS($U$2:U265),$U$2:$U$1001,0),MATCH(COLUMNS($AB$1006:AK1006),$AB$1006:$AQ$1006,0)), HYPERLINK("#",""), HYPERLINK(CONCATENATE("#metadata!", ADDRESS(INDEX($W$2:$W$1001,MATCH(ROWS($U$2:U265),$U$2:$U$1001,0),0), INDEX($AB$1004:$AQ$1004,1,MATCH(COLUMNS($AB$1006:AK1006),$AB$1006:$AQ$1006,0)))),"Fix")))</f>
        <v>0</v>
      </c>
      <c r="L265" s="4">
        <f>IF(OR(INDEX($V$2:$V$1001,MATCH(ROWS($U$2:U265),$U$2:$U$1001,0),1)&gt;=100000,INDEX($AB$1005:$AQ$1005,1,MATCH(COLUMNS($AB$1006:AL1006),$AB$1006:$AQ$1006,0))&gt;=100000), " ",IF(INDEX($AB$2:$AQ$1001,MATCH(ROWS($U$2:U265),$U$2:$U$1001,0),MATCH(COLUMNS($AB$1006:AL1006),$AB$1006:$AQ$1006,0)), HYPERLINK("#",""), HYPERLINK(CONCATENATE("#metadata!", ADDRESS(INDEX($W$2:$W$1001,MATCH(ROWS($U$2:U265),$U$2:$U$1001,0),0), INDEX($AB$1004:$AQ$1004,1,MATCH(COLUMNS($AB$1006:AL1006),$AB$1006:$AQ$1006,0)))),"Fix")))</f>
        <v>0</v>
      </c>
      <c r="M265" s="4">
        <f>IF(OR(INDEX($V$2:$V$1001,MATCH(ROWS($U$2:U265),$U$2:$U$1001,0),1)&gt;=100000,INDEX($AB$1005:$AQ$1005,1,MATCH(COLUMNS($AB$1006:AM1006),$AB$1006:$AQ$1006,0))&gt;=100000), " ",IF(INDEX($AB$2:$AQ$1001,MATCH(ROWS($U$2:U265),$U$2:$U$1001,0),MATCH(COLUMNS($AB$1006:AM1006),$AB$1006:$AQ$1006,0)), HYPERLINK("#",""), HYPERLINK(CONCATENATE("#metadata!", ADDRESS(INDEX($W$2:$W$1001,MATCH(ROWS($U$2:U265),$U$2:$U$1001,0),0), INDEX($AB$1004:$AQ$1004,1,MATCH(COLUMNS($AB$1006:AM1006),$AB$1006:$AQ$1006,0)))),"Fix")))</f>
        <v>0</v>
      </c>
      <c r="N265" s="4">
        <f>IF(OR(INDEX($V$2:$V$1001,MATCH(ROWS($U$2:U265),$U$2:$U$1001,0),1)&gt;=100000,INDEX($AB$1005:$AQ$1005,1,MATCH(COLUMNS($AB$1006:AN1006),$AB$1006:$AQ$1006,0))&gt;=100000), " ",IF(INDEX($AB$2:$AQ$1001,MATCH(ROWS($U$2:U265),$U$2:$U$1001,0),MATCH(COLUMNS($AB$1006:AN1006),$AB$1006:$AQ$1006,0)), HYPERLINK("#",""), HYPERLINK(CONCATENATE("#metadata!", ADDRESS(INDEX($W$2:$W$1001,MATCH(ROWS($U$2:U265),$U$2:$U$1001,0),0), INDEX($AB$1004:$AQ$1004,1,MATCH(COLUMNS($AB$1006:AN1006),$AB$1006:$AQ$1006,0)))),"Fix")))</f>
        <v>0</v>
      </c>
      <c r="O265" s="4">
        <f>IF(OR(INDEX($V$2:$V$1001,MATCH(ROWS($U$2:U265),$U$2:$U$1001,0),1)&gt;=100000,INDEX($AB$1005:$AQ$1005,1,MATCH(COLUMNS($AB$1006:AO1006),$AB$1006:$AQ$1006,0))&gt;=100000), " ",IF(INDEX($AB$2:$AQ$1001,MATCH(ROWS($U$2:U265),$U$2:$U$1001,0),MATCH(COLUMNS($AB$1006:AO1006),$AB$1006:$AQ$1006,0)), HYPERLINK("#",""), HYPERLINK(CONCATENATE("#metadata!", ADDRESS(INDEX($W$2:$W$1001,MATCH(ROWS($U$2:U265),$U$2:$U$1001,0),0), INDEX($AB$1004:$AQ$1004,1,MATCH(COLUMNS($AB$1006:AO1006),$AB$1006:$AQ$1006,0)))),"Fix")))</f>
        <v>0</v>
      </c>
      <c r="P265" s="4">
        <f>IF(OR(INDEX($V$2:$V$1001,MATCH(ROWS($U$2:U265),$U$2:$U$1001,0),1)&gt;=100000,INDEX($AB$1005:$AQ$1005,1,MATCH(COLUMNS($AB$1006:AP1006),$AB$1006:$AQ$1006,0))&gt;=100000), " ",IF(INDEX($AB$2:$AQ$1001,MATCH(ROWS($U$2:U265),$U$2:$U$1001,0),MATCH(COLUMNS($AB$1006:AP1006),$AB$1006:$AQ$1006,0)), HYPERLINK("#",""), HYPERLINK(CONCATENATE("#metadata!", ADDRESS(INDEX($W$2:$W$1001,MATCH(ROWS($U$2:U265),$U$2:$U$1001,0),0), INDEX($AB$1004:$AQ$1004,1,MATCH(COLUMNS($AB$1006:AP1006),$AB$1006:$AQ$1006,0)))),"Fix")))</f>
        <v>0</v>
      </c>
      <c r="Q265" s="4">
        <f>IF(OR(INDEX($V$2:$V$1001,MATCH(ROWS($U$2:U265),$U$2:$U$1001,0),1)&gt;=100000,INDEX($AB$1005:$AQ$1005,1,MATCH(COLUMNS($AB$1006:AQ1006),$AB$1006:$AQ$1006,0))&gt;=100000), " ",IF(INDEX($AB$2:$AQ$1001,MATCH(ROWS($U$2:U265),$U$2:$U$1001,0),MATCH(COLUMNS($AB$1006:AQ1006),$AB$1006:$AQ$1006,0)), HYPERLINK("#",""), HYPERLINK(CONCATENATE("#metadata!", ADDRESS(INDEX($W$2:$W$1001,MATCH(ROWS($U$2:U265),$U$2:$U$1001,0),0), INDEX($AB$1004:$AQ$1004,1,MATCH(COLUMNS($AB$1006:AQ1006),$AB$1006:$AQ$1006,0)))),"Fix")))</f>
        <v>0</v>
      </c>
      <c r="U265">
        <v>0</v>
      </c>
      <c r="V265">
        <v>0</v>
      </c>
      <c r="W265">
        <v>0</v>
      </c>
      <c r="X265">
        <f>IF(Y265,TRUE,AND(AB265:AQ265))</f>
        <v>0</v>
      </c>
      <c r="Y265">
        <f>COUNTBLANK(metadata!B265:Q265)=COLUMNS(metadata!B265:Q265)</f>
        <v>0</v>
      </c>
      <c r="Z265">
        <v>0</v>
      </c>
      <c r="AB265">
        <f>AND(IF(metadata!B265="",FALSE,TRUE),COUNTIF(metadata!B:B, metadata!B265) = 1,NOT(ISERROR(SUMPRODUCT(SEARCH(MID(metadata!B265,ROW(INDIRECT("1:"&amp;LEN(metadata!B265))), 1),"0123456789abcdefghijklmnopqrstuvwxyzABCDEFGHIJKLMNOPQRSTUVWXYZ.")))))</f>
        <v>0</v>
      </c>
      <c r="AC265">
        <f>OR(AND(IF(metadata!C265="",FALSE,TRUE),OR(exact(metadata!C265,"missing: not collected"),exact(metadata!C265,"missing: not provided"),exact(metadata!C265,"missing: restricted access"))),AND(IF(metadata!C265="",FALSE,TRUE),AND(AND(IFERROR(INT(LEFT(metadata!C265,4))&gt;1900,FALSE),IFERROR(INT(LEFT(metadata!C265,4))&lt;=YEAR(NOW()),FALSE)), OR(MID(metadata!C265,5,1)="", AND(AND(MID(metadata!C265,5,1)="-",IFERROR(INT(MID(metadata!C265,6,1))&gt;=0,FALSE),IFERROR(INT(MID(metadata!C265,6,1))&lt;=1,FALSE),NOT(MID(metadata!C265,7,1)=""),IFERROR(INT(MID(metadata!C265,6,2))&gt;=1,FALSE),IFERROR(INT(MID(metadata!C265,6,2))&lt;=12,FALSE)), OR(MID(metadata!C265,8,1)="", AND(AND(MID(metadata!C265,8,1)="-",IFERROR(INT(MID(metadata!C265,9,1))&gt;=0,FALSE),IFERROR(INT(MID(metadata!C265,9,1))&lt;=3,FALSE),NOT(MID(metadata!C265,10,1)=""),IFERROR(INT(MID(metadata!C265,9,2))&gt;=1,FALSE),IFERROR(INT(MID(metadata!C265,9,2))&lt;=31,FALSE)), OR(MID(metadata!C265,11,1)="", AND(AND(MID(metadata!C265,11,1)=" ",IFERROR(INT(MID(metadata!C265,12,1))&gt;=0,FALSE),IFERROR(INT(MID(metadata!C265,12,1))&lt;=2,FALSE),NOT(MID(metadata!C265,13,1)=""),IFERROR(INT(MID(metadata!C265,12,2))&gt;=0,FALSE),IFERROR(INT(MID(metadata!C265,12,2))&lt;=23,FALSE)), OR(MID(metadata!C265,14,1)="", AND(AND(MID(metadata!C265,14,1)=":",IFERROR(INT(MID(metadata!C265,15,1))&gt;=0,FALSE),IFERROR(INT(MID(metadata!C265,15,1))&lt;=5,FALSE),NOT(MID(metadata!C265,16,1)=""),IFERROR(INT(MID(metadata!C265,15,2))&gt;=0,FALSE),IFERROR(INT(MID(metadata!C265,15,2))&lt;=59,FALSE)), OR(MID(metadata!C265,17,1)="", AND(AND(MID(metadata!C265,17,1)=":",IFERROR(INT(MID(metadata!C265,18,1))&gt;=0,FALSE),IFERROR(INT(MID(metadata!C265,18,1))&lt;=5,FALSE),NOT(MID(metadata!C265,19,1)=""),IFERROR(INT(MID(metadata!C265,18,2))&gt;=0,FALSE),IFERROR(INT(MID(metadata!C265,18,2))&lt;=59,FALSE)), LEN(metadata!C265)&lt;=19)))))))))))))</f>
        <v>0</v>
      </c>
      <c r="AD265">
        <f>IF(metadata!D265="",FALSE,TRUE)</f>
        <v>0</v>
      </c>
      <c r="AE265">
        <f>OR(AND(IF(metadata!E265="",FALSE,TRUE),OR(exact(metadata!E265,"missing: not collected"),exact(metadata!E265,"missing: not provided"))),AND(IF(metadata!E265="",FALSE,TRUE),OR(exact(metadata!E265,"TRUE"),exact(metadata!E265,"FALSE"))))</f>
        <v>0</v>
      </c>
      <c r="AF265">
        <f>IF(metadata!F265="",FALSE,TRUE)</f>
        <v>0</v>
      </c>
      <c r="AG265">
        <f>IF(metadata!G265="",FALSE,TRUE)</f>
        <v>0</v>
      </c>
      <c r="AH265">
        <f>IF(metadata!H265="",FALSE,TRUE)</f>
        <v>0</v>
      </c>
      <c r="AI265">
        <f>OR(AND(IF(metadata!I265="",FALSE,TRUE),OR(exact(metadata!I265,"missing: not collected"),exact(metadata!I265,"missing: not provided"),exact(metadata!I265,"missing: restricted access"))),AND(IF(metadata!I265="",FALSE,TRUE),OR(exact(metadata!I265,"air"),exact(metadata!I265,"built environment"),exact(metadata!I265,"host-associated"),exact(metadata!I265,"human-associated"),exact(metadata!I265,"human-skin"),exact(metadata!I265,"human-oral"),exact(metadata!I265,"human-gut"),exact(metadata!I265,"human-vaginal"),exact(metadata!I265,"microbial mat/biofilm"),exact(metadata!I265,"misc environment"),exact(metadata!I265,"plant-associated"),exact(metadata!I265,"sediment"),exact(metadata!I265,"soil"),exact(metadata!I265,"wastewater/sludge"),exact(metadata!I265,"water"))))</f>
        <v>0</v>
      </c>
      <c r="AJ265">
        <f>IF(metadata!J265="",FALSE,TRUE)</f>
        <v>0</v>
      </c>
      <c r="AK265">
        <f>OR(AND(IF(metadata!K265="",FALSE,TRUE),OR(exact(metadata!K265,"missing: not collected"),exact(metadata!K265,"missing: not provided"),exact(metadata!K265,"missing: restricted access"))),AND(IF(metadata!K265="",FALSE,ISNUMBER(VALUE(metadata!K265))),metadata!K265&gt;=-90.00,metadata!K265&lt;=90.00))</f>
        <v>0</v>
      </c>
      <c r="AL265">
        <f>OR(AND(IF(metadata!L265="",FALSE,TRUE),OR(exact(metadata!L265,"missing: not collected"),exact(metadata!L265,"missing: not provided"),exact(metadata!L265,"missing: restricted access"))),AND(IF(metadata!L265="",FALSE,ISNUMBER(VALUE(metadata!L265))),metadata!L265&gt;=-180.00,metadata!L265&lt;=180.00))</f>
        <v>0</v>
      </c>
      <c r="AM265">
        <f>IF(metadata!M265="",FALSE,TRUE)</f>
        <v>0</v>
      </c>
      <c r="AN265">
        <f>OR(AND(IF(metadata!N265="",FALSE,TRUE),OR(exact(metadata!N265,"missing: not collected"),exact(metadata!N265,"missing: not provided"),exact(metadata!N265,"missing: restricted access"))),AND(IF(metadata!N265="",FALSE,TRUE),OR(exact(metadata!N265,"TRUE"),exact(metadata!N265,"FALSE"))))</f>
        <v>0</v>
      </c>
      <c r="AO265">
        <f>IF(metadata!O265="",FALSE,TRUE)</f>
        <v>0</v>
      </c>
      <c r="AP265">
        <f>OR(AND(IF(metadata!P265="",FALSE,TRUE),OR(exact(metadata!P265,"missing: not collected"),exact(metadata!P265,"missing: not provided"))),AND(IF(metadata!P265="",FALSE,IF(ISERROR(INT(metadata!P265)),FALSE,INT(metadata!P265)=metadata!P265)),metadata!P265&gt;0))</f>
        <v>0</v>
      </c>
      <c r="AQ265">
        <f>IF(metadata!Q265="",FALSE,TRUE)</f>
        <v>0</v>
      </c>
    </row>
    <row r="266" spans="1:43">
      <c r="A266" s="5">
        <f>IF(B266=" "," ",HYPERLINK(CONCATENATE("#metadata!",ADDRESS(INDEX($W$2:$W$1001,MATCH(ROWS($U$2:U266),$U$2:$U$1001,0),0),1)),INDEX($Z$2:$Z$1001,MATCH(ROWS($U$2:U266),$U$2:$U$1001,0),0)))</f>
        <v>0</v>
      </c>
      <c r="B266" s="4">
        <f>IF(OR(INDEX($V$2:$V$1001,MATCH(ROWS($U$2:U266),$U$2:$U$1001,0),1)&gt;=100000,INDEX($AB$1005:$AQ$1005,1,MATCH(COLUMNS($AB$1006:AB1006),$AB$1006:$AQ$1006,0))&gt;=100000), " ",IF(INDEX($AB$2:$AQ$1001,MATCH(ROWS($U$2:U266),$U$2:$U$1001,0),MATCH(COLUMNS($AB$1006:AB1006),$AB$1006:$AQ$1006,0)), HYPERLINK("#",""), HYPERLINK(CONCATENATE("#metadata!", ADDRESS(INDEX($W$2:$W$1001,MATCH(ROWS($U$2:U266),$U$2:$U$1001,0),0), INDEX($AB$1004:$AQ$1004,1,MATCH(COLUMNS($AB$1006:AB1006),$AB$1006:$AQ$1006,0)))),"Fix")))</f>
        <v>0</v>
      </c>
      <c r="C266" s="4">
        <f>IF(OR(INDEX($V$2:$V$1001,MATCH(ROWS($U$2:U266),$U$2:$U$1001,0),1)&gt;=100000,INDEX($AB$1005:$AQ$1005,1,MATCH(COLUMNS($AB$1006:AC1006),$AB$1006:$AQ$1006,0))&gt;=100000), " ",IF(INDEX($AB$2:$AQ$1001,MATCH(ROWS($U$2:U266),$U$2:$U$1001,0),MATCH(COLUMNS($AB$1006:AC1006),$AB$1006:$AQ$1006,0)), HYPERLINK("#",""), HYPERLINK(CONCATENATE("#metadata!", ADDRESS(INDEX($W$2:$W$1001,MATCH(ROWS($U$2:U266),$U$2:$U$1001,0),0), INDEX($AB$1004:$AQ$1004,1,MATCH(COLUMNS($AB$1006:AC1006),$AB$1006:$AQ$1006,0)))),"Fix")))</f>
        <v>0</v>
      </c>
      <c r="D266" s="4">
        <f>IF(OR(INDEX($V$2:$V$1001,MATCH(ROWS($U$2:U266),$U$2:$U$1001,0),1)&gt;=100000,INDEX($AB$1005:$AQ$1005,1,MATCH(COLUMNS($AB$1006:AD1006),$AB$1006:$AQ$1006,0))&gt;=100000), " ",IF(INDEX($AB$2:$AQ$1001,MATCH(ROWS($U$2:U266),$U$2:$U$1001,0),MATCH(COLUMNS($AB$1006:AD1006),$AB$1006:$AQ$1006,0)), HYPERLINK("#",""), HYPERLINK(CONCATENATE("#metadata!", ADDRESS(INDEX($W$2:$W$1001,MATCH(ROWS($U$2:U266),$U$2:$U$1001,0),0), INDEX($AB$1004:$AQ$1004,1,MATCH(COLUMNS($AB$1006:AD1006),$AB$1006:$AQ$1006,0)))),"Fix")))</f>
        <v>0</v>
      </c>
      <c r="E266" s="4">
        <f>IF(OR(INDEX($V$2:$V$1001,MATCH(ROWS($U$2:U266),$U$2:$U$1001,0),1)&gt;=100000,INDEX($AB$1005:$AQ$1005,1,MATCH(COLUMNS($AB$1006:AE1006),$AB$1006:$AQ$1006,0))&gt;=100000), " ",IF(INDEX($AB$2:$AQ$1001,MATCH(ROWS($U$2:U266),$U$2:$U$1001,0),MATCH(COLUMNS($AB$1006:AE1006),$AB$1006:$AQ$1006,0)), HYPERLINK("#",""), HYPERLINK(CONCATENATE("#metadata!", ADDRESS(INDEX($W$2:$W$1001,MATCH(ROWS($U$2:U266),$U$2:$U$1001,0),0), INDEX($AB$1004:$AQ$1004,1,MATCH(COLUMNS($AB$1006:AE1006),$AB$1006:$AQ$1006,0)))),"Fix")))</f>
        <v>0</v>
      </c>
      <c r="F266" s="4">
        <f>IF(OR(INDEX($V$2:$V$1001,MATCH(ROWS($U$2:U266),$U$2:$U$1001,0),1)&gt;=100000,INDEX($AB$1005:$AQ$1005,1,MATCH(COLUMNS($AB$1006:AF1006),$AB$1006:$AQ$1006,0))&gt;=100000), " ",IF(INDEX($AB$2:$AQ$1001,MATCH(ROWS($U$2:U266),$U$2:$U$1001,0),MATCH(COLUMNS($AB$1006:AF1006),$AB$1006:$AQ$1006,0)), HYPERLINK("#",""), HYPERLINK(CONCATENATE("#metadata!", ADDRESS(INDEX($W$2:$W$1001,MATCH(ROWS($U$2:U266),$U$2:$U$1001,0),0), INDEX($AB$1004:$AQ$1004,1,MATCH(COLUMNS($AB$1006:AF1006),$AB$1006:$AQ$1006,0)))),"Fix")))</f>
        <v>0</v>
      </c>
      <c r="G266" s="4">
        <f>IF(OR(INDEX($V$2:$V$1001,MATCH(ROWS($U$2:U266),$U$2:$U$1001,0),1)&gt;=100000,INDEX($AB$1005:$AQ$1005,1,MATCH(COLUMNS($AB$1006:AG1006),$AB$1006:$AQ$1006,0))&gt;=100000), " ",IF(INDEX($AB$2:$AQ$1001,MATCH(ROWS($U$2:U266),$U$2:$U$1001,0),MATCH(COLUMNS($AB$1006:AG1006),$AB$1006:$AQ$1006,0)), HYPERLINK("#",""), HYPERLINK(CONCATENATE("#metadata!", ADDRESS(INDEX($W$2:$W$1001,MATCH(ROWS($U$2:U266),$U$2:$U$1001,0),0), INDEX($AB$1004:$AQ$1004,1,MATCH(COLUMNS($AB$1006:AG1006),$AB$1006:$AQ$1006,0)))),"Fix")))</f>
        <v>0</v>
      </c>
      <c r="H266" s="4">
        <f>IF(OR(INDEX($V$2:$V$1001,MATCH(ROWS($U$2:U266),$U$2:$U$1001,0),1)&gt;=100000,INDEX($AB$1005:$AQ$1005,1,MATCH(COLUMNS($AB$1006:AH1006),$AB$1006:$AQ$1006,0))&gt;=100000), " ",IF(INDEX($AB$2:$AQ$1001,MATCH(ROWS($U$2:U266),$U$2:$U$1001,0),MATCH(COLUMNS($AB$1006:AH1006),$AB$1006:$AQ$1006,0)), HYPERLINK("#",""), HYPERLINK(CONCATENATE("#metadata!", ADDRESS(INDEX($W$2:$W$1001,MATCH(ROWS($U$2:U266),$U$2:$U$1001,0),0), INDEX($AB$1004:$AQ$1004,1,MATCH(COLUMNS($AB$1006:AH1006),$AB$1006:$AQ$1006,0)))),"Fix")))</f>
        <v>0</v>
      </c>
      <c r="I266" s="4">
        <f>IF(OR(INDEX($V$2:$V$1001,MATCH(ROWS($U$2:U266),$U$2:$U$1001,0),1)&gt;=100000,INDEX($AB$1005:$AQ$1005,1,MATCH(COLUMNS($AB$1006:AI1006),$AB$1006:$AQ$1006,0))&gt;=100000), " ",IF(INDEX($AB$2:$AQ$1001,MATCH(ROWS($U$2:U266),$U$2:$U$1001,0),MATCH(COLUMNS($AB$1006:AI1006),$AB$1006:$AQ$1006,0)), HYPERLINK("#",""), HYPERLINK(CONCATENATE("#metadata!", ADDRESS(INDEX($W$2:$W$1001,MATCH(ROWS($U$2:U266),$U$2:$U$1001,0),0), INDEX($AB$1004:$AQ$1004,1,MATCH(COLUMNS($AB$1006:AI1006),$AB$1006:$AQ$1006,0)))),"Fix")))</f>
        <v>0</v>
      </c>
      <c r="J266" s="4">
        <f>IF(OR(INDEX($V$2:$V$1001,MATCH(ROWS($U$2:U266),$U$2:$U$1001,0),1)&gt;=100000,INDEX($AB$1005:$AQ$1005,1,MATCH(COLUMNS($AB$1006:AJ1006),$AB$1006:$AQ$1006,0))&gt;=100000), " ",IF(INDEX($AB$2:$AQ$1001,MATCH(ROWS($U$2:U266),$U$2:$U$1001,0),MATCH(COLUMNS($AB$1006:AJ1006),$AB$1006:$AQ$1006,0)), HYPERLINK("#",""), HYPERLINK(CONCATENATE("#metadata!", ADDRESS(INDEX($W$2:$W$1001,MATCH(ROWS($U$2:U266),$U$2:$U$1001,0),0), INDEX($AB$1004:$AQ$1004,1,MATCH(COLUMNS($AB$1006:AJ1006),$AB$1006:$AQ$1006,0)))),"Fix")))</f>
        <v>0</v>
      </c>
      <c r="K266" s="4">
        <f>IF(OR(INDEX($V$2:$V$1001,MATCH(ROWS($U$2:U266),$U$2:$U$1001,0),1)&gt;=100000,INDEX($AB$1005:$AQ$1005,1,MATCH(COLUMNS($AB$1006:AK1006),$AB$1006:$AQ$1006,0))&gt;=100000), " ",IF(INDEX($AB$2:$AQ$1001,MATCH(ROWS($U$2:U266),$U$2:$U$1001,0),MATCH(COLUMNS($AB$1006:AK1006),$AB$1006:$AQ$1006,0)), HYPERLINK("#",""), HYPERLINK(CONCATENATE("#metadata!", ADDRESS(INDEX($W$2:$W$1001,MATCH(ROWS($U$2:U266),$U$2:$U$1001,0),0), INDEX($AB$1004:$AQ$1004,1,MATCH(COLUMNS($AB$1006:AK1006),$AB$1006:$AQ$1006,0)))),"Fix")))</f>
        <v>0</v>
      </c>
      <c r="L266" s="4">
        <f>IF(OR(INDEX($V$2:$V$1001,MATCH(ROWS($U$2:U266),$U$2:$U$1001,0),1)&gt;=100000,INDEX($AB$1005:$AQ$1005,1,MATCH(COLUMNS($AB$1006:AL1006),$AB$1006:$AQ$1006,0))&gt;=100000), " ",IF(INDEX($AB$2:$AQ$1001,MATCH(ROWS($U$2:U266),$U$2:$U$1001,0),MATCH(COLUMNS($AB$1006:AL1006),$AB$1006:$AQ$1006,0)), HYPERLINK("#",""), HYPERLINK(CONCATENATE("#metadata!", ADDRESS(INDEX($W$2:$W$1001,MATCH(ROWS($U$2:U266),$U$2:$U$1001,0),0), INDEX($AB$1004:$AQ$1004,1,MATCH(COLUMNS($AB$1006:AL1006),$AB$1006:$AQ$1006,0)))),"Fix")))</f>
        <v>0</v>
      </c>
      <c r="M266" s="4">
        <f>IF(OR(INDEX($V$2:$V$1001,MATCH(ROWS($U$2:U266),$U$2:$U$1001,0),1)&gt;=100000,INDEX($AB$1005:$AQ$1005,1,MATCH(COLUMNS($AB$1006:AM1006),$AB$1006:$AQ$1006,0))&gt;=100000), " ",IF(INDEX($AB$2:$AQ$1001,MATCH(ROWS($U$2:U266),$U$2:$U$1001,0),MATCH(COLUMNS($AB$1006:AM1006),$AB$1006:$AQ$1006,0)), HYPERLINK("#",""), HYPERLINK(CONCATENATE("#metadata!", ADDRESS(INDEX($W$2:$W$1001,MATCH(ROWS($U$2:U266),$U$2:$U$1001,0),0), INDEX($AB$1004:$AQ$1004,1,MATCH(COLUMNS($AB$1006:AM1006),$AB$1006:$AQ$1006,0)))),"Fix")))</f>
        <v>0</v>
      </c>
      <c r="N266" s="4">
        <f>IF(OR(INDEX($V$2:$V$1001,MATCH(ROWS($U$2:U266),$U$2:$U$1001,0),1)&gt;=100000,INDEX($AB$1005:$AQ$1005,1,MATCH(COLUMNS($AB$1006:AN1006),$AB$1006:$AQ$1006,0))&gt;=100000), " ",IF(INDEX($AB$2:$AQ$1001,MATCH(ROWS($U$2:U266),$U$2:$U$1001,0),MATCH(COLUMNS($AB$1006:AN1006),$AB$1006:$AQ$1006,0)), HYPERLINK("#",""), HYPERLINK(CONCATENATE("#metadata!", ADDRESS(INDEX($W$2:$W$1001,MATCH(ROWS($U$2:U266),$U$2:$U$1001,0),0), INDEX($AB$1004:$AQ$1004,1,MATCH(COLUMNS($AB$1006:AN1006),$AB$1006:$AQ$1006,0)))),"Fix")))</f>
        <v>0</v>
      </c>
      <c r="O266" s="4">
        <f>IF(OR(INDEX($V$2:$V$1001,MATCH(ROWS($U$2:U266),$U$2:$U$1001,0),1)&gt;=100000,INDEX($AB$1005:$AQ$1005,1,MATCH(COLUMNS($AB$1006:AO1006),$AB$1006:$AQ$1006,0))&gt;=100000), " ",IF(INDEX($AB$2:$AQ$1001,MATCH(ROWS($U$2:U266),$U$2:$U$1001,0),MATCH(COLUMNS($AB$1006:AO1006),$AB$1006:$AQ$1006,0)), HYPERLINK("#",""), HYPERLINK(CONCATENATE("#metadata!", ADDRESS(INDEX($W$2:$W$1001,MATCH(ROWS($U$2:U266),$U$2:$U$1001,0),0), INDEX($AB$1004:$AQ$1004,1,MATCH(COLUMNS($AB$1006:AO1006),$AB$1006:$AQ$1006,0)))),"Fix")))</f>
        <v>0</v>
      </c>
      <c r="P266" s="4">
        <f>IF(OR(INDEX($V$2:$V$1001,MATCH(ROWS($U$2:U266),$U$2:$U$1001,0),1)&gt;=100000,INDEX($AB$1005:$AQ$1005,1,MATCH(COLUMNS($AB$1006:AP1006),$AB$1006:$AQ$1006,0))&gt;=100000), " ",IF(INDEX($AB$2:$AQ$1001,MATCH(ROWS($U$2:U266),$U$2:$U$1001,0),MATCH(COLUMNS($AB$1006:AP1006),$AB$1006:$AQ$1006,0)), HYPERLINK("#",""), HYPERLINK(CONCATENATE("#metadata!", ADDRESS(INDEX($W$2:$W$1001,MATCH(ROWS($U$2:U266),$U$2:$U$1001,0),0), INDEX($AB$1004:$AQ$1004,1,MATCH(COLUMNS($AB$1006:AP1006),$AB$1006:$AQ$1006,0)))),"Fix")))</f>
        <v>0</v>
      </c>
      <c r="Q266" s="4">
        <f>IF(OR(INDEX($V$2:$V$1001,MATCH(ROWS($U$2:U266),$U$2:$U$1001,0),1)&gt;=100000,INDEX($AB$1005:$AQ$1005,1,MATCH(COLUMNS($AB$1006:AQ1006),$AB$1006:$AQ$1006,0))&gt;=100000), " ",IF(INDEX($AB$2:$AQ$1001,MATCH(ROWS($U$2:U266),$U$2:$U$1001,0),MATCH(COLUMNS($AB$1006:AQ1006),$AB$1006:$AQ$1006,0)), HYPERLINK("#",""), HYPERLINK(CONCATENATE("#metadata!", ADDRESS(INDEX($W$2:$W$1001,MATCH(ROWS($U$2:U266),$U$2:$U$1001,0),0), INDEX($AB$1004:$AQ$1004,1,MATCH(COLUMNS($AB$1006:AQ1006),$AB$1006:$AQ$1006,0)))),"Fix")))</f>
        <v>0</v>
      </c>
      <c r="U266">
        <v>0</v>
      </c>
      <c r="V266">
        <v>0</v>
      </c>
      <c r="W266">
        <v>0</v>
      </c>
      <c r="X266">
        <f>IF(Y266,TRUE,AND(AB266:AQ266))</f>
        <v>0</v>
      </c>
      <c r="Y266">
        <f>COUNTBLANK(metadata!B266:Q266)=COLUMNS(metadata!B266:Q266)</f>
        <v>0</v>
      </c>
      <c r="Z266">
        <v>0</v>
      </c>
      <c r="AB266">
        <f>AND(IF(metadata!B266="",FALSE,TRUE),COUNTIF(metadata!B:B, metadata!B266) = 1,NOT(ISERROR(SUMPRODUCT(SEARCH(MID(metadata!B266,ROW(INDIRECT("1:"&amp;LEN(metadata!B266))), 1),"0123456789abcdefghijklmnopqrstuvwxyzABCDEFGHIJKLMNOPQRSTUVWXYZ.")))))</f>
        <v>0</v>
      </c>
      <c r="AC266">
        <f>OR(AND(IF(metadata!C266="",FALSE,TRUE),OR(exact(metadata!C266,"missing: not collected"),exact(metadata!C266,"missing: not provided"),exact(metadata!C266,"missing: restricted access"))),AND(IF(metadata!C266="",FALSE,TRUE),AND(AND(IFERROR(INT(LEFT(metadata!C266,4))&gt;1900,FALSE),IFERROR(INT(LEFT(metadata!C266,4))&lt;=YEAR(NOW()),FALSE)), OR(MID(metadata!C266,5,1)="", AND(AND(MID(metadata!C266,5,1)="-",IFERROR(INT(MID(metadata!C266,6,1))&gt;=0,FALSE),IFERROR(INT(MID(metadata!C266,6,1))&lt;=1,FALSE),NOT(MID(metadata!C266,7,1)=""),IFERROR(INT(MID(metadata!C266,6,2))&gt;=1,FALSE),IFERROR(INT(MID(metadata!C266,6,2))&lt;=12,FALSE)), OR(MID(metadata!C266,8,1)="", AND(AND(MID(metadata!C266,8,1)="-",IFERROR(INT(MID(metadata!C266,9,1))&gt;=0,FALSE),IFERROR(INT(MID(metadata!C266,9,1))&lt;=3,FALSE),NOT(MID(metadata!C266,10,1)=""),IFERROR(INT(MID(metadata!C266,9,2))&gt;=1,FALSE),IFERROR(INT(MID(metadata!C266,9,2))&lt;=31,FALSE)), OR(MID(metadata!C266,11,1)="", AND(AND(MID(metadata!C266,11,1)=" ",IFERROR(INT(MID(metadata!C266,12,1))&gt;=0,FALSE),IFERROR(INT(MID(metadata!C266,12,1))&lt;=2,FALSE),NOT(MID(metadata!C266,13,1)=""),IFERROR(INT(MID(metadata!C266,12,2))&gt;=0,FALSE),IFERROR(INT(MID(metadata!C266,12,2))&lt;=23,FALSE)), OR(MID(metadata!C266,14,1)="", AND(AND(MID(metadata!C266,14,1)=":",IFERROR(INT(MID(metadata!C266,15,1))&gt;=0,FALSE),IFERROR(INT(MID(metadata!C266,15,1))&lt;=5,FALSE),NOT(MID(metadata!C266,16,1)=""),IFERROR(INT(MID(metadata!C266,15,2))&gt;=0,FALSE),IFERROR(INT(MID(metadata!C266,15,2))&lt;=59,FALSE)), OR(MID(metadata!C266,17,1)="", AND(AND(MID(metadata!C266,17,1)=":",IFERROR(INT(MID(metadata!C266,18,1))&gt;=0,FALSE),IFERROR(INT(MID(metadata!C266,18,1))&lt;=5,FALSE),NOT(MID(metadata!C266,19,1)=""),IFERROR(INT(MID(metadata!C266,18,2))&gt;=0,FALSE),IFERROR(INT(MID(metadata!C266,18,2))&lt;=59,FALSE)), LEN(metadata!C266)&lt;=19)))))))))))))</f>
        <v>0</v>
      </c>
      <c r="AD266">
        <f>IF(metadata!D266="",FALSE,TRUE)</f>
        <v>0</v>
      </c>
      <c r="AE266">
        <f>OR(AND(IF(metadata!E266="",FALSE,TRUE),OR(exact(metadata!E266,"missing: not collected"),exact(metadata!E266,"missing: not provided"))),AND(IF(metadata!E266="",FALSE,TRUE),OR(exact(metadata!E266,"TRUE"),exact(metadata!E266,"FALSE"))))</f>
        <v>0</v>
      </c>
      <c r="AF266">
        <f>IF(metadata!F266="",FALSE,TRUE)</f>
        <v>0</v>
      </c>
      <c r="AG266">
        <f>IF(metadata!G266="",FALSE,TRUE)</f>
        <v>0</v>
      </c>
      <c r="AH266">
        <f>IF(metadata!H266="",FALSE,TRUE)</f>
        <v>0</v>
      </c>
      <c r="AI266">
        <f>OR(AND(IF(metadata!I266="",FALSE,TRUE),OR(exact(metadata!I266,"missing: not collected"),exact(metadata!I266,"missing: not provided"),exact(metadata!I266,"missing: restricted access"))),AND(IF(metadata!I266="",FALSE,TRUE),OR(exact(metadata!I266,"air"),exact(metadata!I266,"built environment"),exact(metadata!I266,"host-associated"),exact(metadata!I266,"human-associated"),exact(metadata!I266,"human-skin"),exact(metadata!I266,"human-oral"),exact(metadata!I266,"human-gut"),exact(metadata!I266,"human-vaginal"),exact(metadata!I266,"microbial mat/biofilm"),exact(metadata!I266,"misc environment"),exact(metadata!I266,"plant-associated"),exact(metadata!I266,"sediment"),exact(metadata!I266,"soil"),exact(metadata!I266,"wastewater/sludge"),exact(metadata!I266,"water"))))</f>
        <v>0</v>
      </c>
      <c r="AJ266">
        <f>IF(metadata!J266="",FALSE,TRUE)</f>
        <v>0</v>
      </c>
      <c r="AK266">
        <f>OR(AND(IF(metadata!K266="",FALSE,TRUE),OR(exact(metadata!K266,"missing: not collected"),exact(metadata!K266,"missing: not provided"),exact(metadata!K266,"missing: restricted access"))),AND(IF(metadata!K266="",FALSE,ISNUMBER(VALUE(metadata!K266))),metadata!K266&gt;=-90.00,metadata!K266&lt;=90.00))</f>
        <v>0</v>
      </c>
      <c r="AL266">
        <f>OR(AND(IF(metadata!L266="",FALSE,TRUE),OR(exact(metadata!L266,"missing: not collected"),exact(metadata!L266,"missing: not provided"),exact(metadata!L266,"missing: restricted access"))),AND(IF(metadata!L266="",FALSE,ISNUMBER(VALUE(metadata!L266))),metadata!L266&gt;=-180.00,metadata!L266&lt;=180.00))</f>
        <v>0</v>
      </c>
      <c r="AM266">
        <f>IF(metadata!M266="",FALSE,TRUE)</f>
        <v>0</v>
      </c>
      <c r="AN266">
        <f>OR(AND(IF(metadata!N266="",FALSE,TRUE),OR(exact(metadata!N266,"missing: not collected"),exact(metadata!N266,"missing: not provided"),exact(metadata!N266,"missing: restricted access"))),AND(IF(metadata!N266="",FALSE,TRUE),OR(exact(metadata!N266,"TRUE"),exact(metadata!N266,"FALSE"))))</f>
        <v>0</v>
      </c>
      <c r="AO266">
        <f>IF(metadata!O266="",FALSE,TRUE)</f>
        <v>0</v>
      </c>
      <c r="AP266">
        <f>OR(AND(IF(metadata!P266="",FALSE,TRUE),OR(exact(metadata!P266,"missing: not collected"),exact(metadata!P266,"missing: not provided"))),AND(IF(metadata!P266="",FALSE,IF(ISERROR(INT(metadata!P266)),FALSE,INT(metadata!P266)=metadata!P266)),metadata!P266&gt;0))</f>
        <v>0</v>
      </c>
      <c r="AQ266">
        <f>IF(metadata!Q266="",FALSE,TRUE)</f>
        <v>0</v>
      </c>
    </row>
    <row r="267" spans="1:43">
      <c r="A267" s="5">
        <f>IF(B267=" "," ",HYPERLINK(CONCATENATE("#metadata!",ADDRESS(INDEX($W$2:$W$1001,MATCH(ROWS($U$2:U267),$U$2:$U$1001,0),0),1)),INDEX($Z$2:$Z$1001,MATCH(ROWS($U$2:U267),$U$2:$U$1001,0),0)))</f>
        <v>0</v>
      </c>
      <c r="B267" s="4">
        <f>IF(OR(INDEX($V$2:$V$1001,MATCH(ROWS($U$2:U267),$U$2:$U$1001,0),1)&gt;=100000,INDEX($AB$1005:$AQ$1005,1,MATCH(COLUMNS($AB$1006:AB1006),$AB$1006:$AQ$1006,0))&gt;=100000), " ",IF(INDEX($AB$2:$AQ$1001,MATCH(ROWS($U$2:U267),$U$2:$U$1001,0),MATCH(COLUMNS($AB$1006:AB1006),$AB$1006:$AQ$1006,0)), HYPERLINK("#",""), HYPERLINK(CONCATENATE("#metadata!", ADDRESS(INDEX($W$2:$W$1001,MATCH(ROWS($U$2:U267),$U$2:$U$1001,0),0), INDEX($AB$1004:$AQ$1004,1,MATCH(COLUMNS($AB$1006:AB1006),$AB$1006:$AQ$1006,0)))),"Fix")))</f>
        <v>0</v>
      </c>
      <c r="C267" s="4">
        <f>IF(OR(INDEX($V$2:$V$1001,MATCH(ROWS($U$2:U267),$U$2:$U$1001,0),1)&gt;=100000,INDEX($AB$1005:$AQ$1005,1,MATCH(COLUMNS($AB$1006:AC1006),$AB$1006:$AQ$1006,0))&gt;=100000), " ",IF(INDEX($AB$2:$AQ$1001,MATCH(ROWS($U$2:U267),$U$2:$U$1001,0),MATCH(COLUMNS($AB$1006:AC1006),$AB$1006:$AQ$1006,0)), HYPERLINK("#",""), HYPERLINK(CONCATENATE("#metadata!", ADDRESS(INDEX($W$2:$W$1001,MATCH(ROWS($U$2:U267),$U$2:$U$1001,0),0), INDEX($AB$1004:$AQ$1004,1,MATCH(COLUMNS($AB$1006:AC1006),$AB$1006:$AQ$1006,0)))),"Fix")))</f>
        <v>0</v>
      </c>
      <c r="D267" s="4">
        <f>IF(OR(INDEX($V$2:$V$1001,MATCH(ROWS($U$2:U267),$U$2:$U$1001,0),1)&gt;=100000,INDEX($AB$1005:$AQ$1005,1,MATCH(COLUMNS($AB$1006:AD1006),$AB$1006:$AQ$1006,0))&gt;=100000), " ",IF(INDEX($AB$2:$AQ$1001,MATCH(ROWS($U$2:U267),$U$2:$U$1001,0),MATCH(COLUMNS($AB$1006:AD1006),$AB$1006:$AQ$1006,0)), HYPERLINK("#",""), HYPERLINK(CONCATENATE("#metadata!", ADDRESS(INDEX($W$2:$W$1001,MATCH(ROWS($U$2:U267),$U$2:$U$1001,0),0), INDEX($AB$1004:$AQ$1004,1,MATCH(COLUMNS($AB$1006:AD1006),$AB$1006:$AQ$1006,0)))),"Fix")))</f>
        <v>0</v>
      </c>
      <c r="E267" s="4">
        <f>IF(OR(INDEX($V$2:$V$1001,MATCH(ROWS($U$2:U267),$U$2:$U$1001,0),1)&gt;=100000,INDEX($AB$1005:$AQ$1005,1,MATCH(COLUMNS($AB$1006:AE1006),$AB$1006:$AQ$1006,0))&gt;=100000), " ",IF(INDEX($AB$2:$AQ$1001,MATCH(ROWS($U$2:U267),$U$2:$U$1001,0),MATCH(COLUMNS($AB$1006:AE1006),$AB$1006:$AQ$1006,0)), HYPERLINK("#",""), HYPERLINK(CONCATENATE("#metadata!", ADDRESS(INDEX($W$2:$W$1001,MATCH(ROWS($U$2:U267),$U$2:$U$1001,0),0), INDEX($AB$1004:$AQ$1004,1,MATCH(COLUMNS($AB$1006:AE1006),$AB$1006:$AQ$1006,0)))),"Fix")))</f>
        <v>0</v>
      </c>
      <c r="F267" s="4">
        <f>IF(OR(INDEX($V$2:$V$1001,MATCH(ROWS($U$2:U267),$U$2:$U$1001,0),1)&gt;=100000,INDEX($AB$1005:$AQ$1005,1,MATCH(COLUMNS($AB$1006:AF1006),$AB$1006:$AQ$1006,0))&gt;=100000), " ",IF(INDEX($AB$2:$AQ$1001,MATCH(ROWS($U$2:U267),$U$2:$U$1001,0),MATCH(COLUMNS($AB$1006:AF1006),$AB$1006:$AQ$1006,0)), HYPERLINK("#",""), HYPERLINK(CONCATENATE("#metadata!", ADDRESS(INDEX($W$2:$W$1001,MATCH(ROWS($U$2:U267),$U$2:$U$1001,0),0), INDEX($AB$1004:$AQ$1004,1,MATCH(COLUMNS($AB$1006:AF1006),$AB$1006:$AQ$1006,0)))),"Fix")))</f>
        <v>0</v>
      </c>
      <c r="G267" s="4">
        <f>IF(OR(INDEX($V$2:$V$1001,MATCH(ROWS($U$2:U267),$U$2:$U$1001,0),1)&gt;=100000,INDEX($AB$1005:$AQ$1005,1,MATCH(COLUMNS($AB$1006:AG1006),$AB$1006:$AQ$1006,0))&gt;=100000), " ",IF(INDEX($AB$2:$AQ$1001,MATCH(ROWS($U$2:U267),$U$2:$U$1001,0),MATCH(COLUMNS($AB$1006:AG1006),$AB$1006:$AQ$1006,0)), HYPERLINK("#",""), HYPERLINK(CONCATENATE("#metadata!", ADDRESS(INDEX($W$2:$W$1001,MATCH(ROWS($U$2:U267),$U$2:$U$1001,0),0), INDEX($AB$1004:$AQ$1004,1,MATCH(COLUMNS($AB$1006:AG1006),$AB$1006:$AQ$1006,0)))),"Fix")))</f>
        <v>0</v>
      </c>
      <c r="H267" s="4">
        <f>IF(OR(INDEX($V$2:$V$1001,MATCH(ROWS($U$2:U267),$U$2:$U$1001,0),1)&gt;=100000,INDEX($AB$1005:$AQ$1005,1,MATCH(COLUMNS($AB$1006:AH1006),$AB$1006:$AQ$1006,0))&gt;=100000), " ",IF(INDEX($AB$2:$AQ$1001,MATCH(ROWS($U$2:U267),$U$2:$U$1001,0),MATCH(COLUMNS($AB$1006:AH1006),$AB$1006:$AQ$1006,0)), HYPERLINK("#",""), HYPERLINK(CONCATENATE("#metadata!", ADDRESS(INDEX($W$2:$W$1001,MATCH(ROWS($U$2:U267),$U$2:$U$1001,0),0), INDEX($AB$1004:$AQ$1004,1,MATCH(COLUMNS($AB$1006:AH1006),$AB$1006:$AQ$1006,0)))),"Fix")))</f>
        <v>0</v>
      </c>
      <c r="I267" s="4">
        <f>IF(OR(INDEX($V$2:$V$1001,MATCH(ROWS($U$2:U267),$U$2:$U$1001,0),1)&gt;=100000,INDEX($AB$1005:$AQ$1005,1,MATCH(COLUMNS($AB$1006:AI1006),$AB$1006:$AQ$1006,0))&gt;=100000), " ",IF(INDEX($AB$2:$AQ$1001,MATCH(ROWS($U$2:U267),$U$2:$U$1001,0),MATCH(COLUMNS($AB$1006:AI1006),$AB$1006:$AQ$1006,0)), HYPERLINK("#",""), HYPERLINK(CONCATENATE("#metadata!", ADDRESS(INDEX($W$2:$W$1001,MATCH(ROWS($U$2:U267),$U$2:$U$1001,0),0), INDEX($AB$1004:$AQ$1004,1,MATCH(COLUMNS($AB$1006:AI1006),$AB$1006:$AQ$1006,0)))),"Fix")))</f>
        <v>0</v>
      </c>
      <c r="J267" s="4">
        <f>IF(OR(INDEX($V$2:$V$1001,MATCH(ROWS($U$2:U267),$U$2:$U$1001,0),1)&gt;=100000,INDEX($AB$1005:$AQ$1005,1,MATCH(COLUMNS($AB$1006:AJ1006),$AB$1006:$AQ$1006,0))&gt;=100000), " ",IF(INDEX($AB$2:$AQ$1001,MATCH(ROWS($U$2:U267),$U$2:$U$1001,0),MATCH(COLUMNS($AB$1006:AJ1006),$AB$1006:$AQ$1006,0)), HYPERLINK("#",""), HYPERLINK(CONCATENATE("#metadata!", ADDRESS(INDEX($W$2:$W$1001,MATCH(ROWS($U$2:U267),$U$2:$U$1001,0),0), INDEX($AB$1004:$AQ$1004,1,MATCH(COLUMNS($AB$1006:AJ1006),$AB$1006:$AQ$1006,0)))),"Fix")))</f>
        <v>0</v>
      </c>
      <c r="K267" s="4">
        <f>IF(OR(INDEX($V$2:$V$1001,MATCH(ROWS($U$2:U267),$U$2:$U$1001,0),1)&gt;=100000,INDEX($AB$1005:$AQ$1005,1,MATCH(COLUMNS($AB$1006:AK1006),$AB$1006:$AQ$1006,0))&gt;=100000), " ",IF(INDEX($AB$2:$AQ$1001,MATCH(ROWS($U$2:U267),$U$2:$U$1001,0),MATCH(COLUMNS($AB$1006:AK1006),$AB$1006:$AQ$1006,0)), HYPERLINK("#",""), HYPERLINK(CONCATENATE("#metadata!", ADDRESS(INDEX($W$2:$W$1001,MATCH(ROWS($U$2:U267),$U$2:$U$1001,0),0), INDEX($AB$1004:$AQ$1004,1,MATCH(COLUMNS($AB$1006:AK1006),$AB$1006:$AQ$1006,0)))),"Fix")))</f>
        <v>0</v>
      </c>
      <c r="L267" s="4">
        <f>IF(OR(INDEX($V$2:$V$1001,MATCH(ROWS($U$2:U267),$U$2:$U$1001,0),1)&gt;=100000,INDEX($AB$1005:$AQ$1005,1,MATCH(COLUMNS($AB$1006:AL1006),$AB$1006:$AQ$1006,0))&gt;=100000), " ",IF(INDEX($AB$2:$AQ$1001,MATCH(ROWS($U$2:U267),$U$2:$U$1001,0),MATCH(COLUMNS($AB$1006:AL1006),$AB$1006:$AQ$1006,0)), HYPERLINK("#",""), HYPERLINK(CONCATENATE("#metadata!", ADDRESS(INDEX($W$2:$W$1001,MATCH(ROWS($U$2:U267),$U$2:$U$1001,0),0), INDEX($AB$1004:$AQ$1004,1,MATCH(COLUMNS($AB$1006:AL1006),$AB$1006:$AQ$1006,0)))),"Fix")))</f>
        <v>0</v>
      </c>
      <c r="M267" s="4">
        <f>IF(OR(INDEX($V$2:$V$1001,MATCH(ROWS($U$2:U267),$U$2:$U$1001,0),1)&gt;=100000,INDEX($AB$1005:$AQ$1005,1,MATCH(COLUMNS($AB$1006:AM1006),$AB$1006:$AQ$1006,0))&gt;=100000), " ",IF(INDEX($AB$2:$AQ$1001,MATCH(ROWS($U$2:U267),$U$2:$U$1001,0),MATCH(COLUMNS($AB$1006:AM1006),$AB$1006:$AQ$1006,0)), HYPERLINK("#",""), HYPERLINK(CONCATENATE("#metadata!", ADDRESS(INDEX($W$2:$W$1001,MATCH(ROWS($U$2:U267),$U$2:$U$1001,0),0), INDEX($AB$1004:$AQ$1004,1,MATCH(COLUMNS($AB$1006:AM1006),$AB$1006:$AQ$1006,0)))),"Fix")))</f>
        <v>0</v>
      </c>
      <c r="N267" s="4">
        <f>IF(OR(INDEX($V$2:$V$1001,MATCH(ROWS($U$2:U267),$U$2:$U$1001,0),1)&gt;=100000,INDEX($AB$1005:$AQ$1005,1,MATCH(COLUMNS($AB$1006:AN1006),$AB$1006:$AQ$1006,0))&gt;=100000), " ",IF(INDEX($AB$2:$AQ$1001,MATCH(ROWS($U$2:U267),$U$2:$U$1001,0),MATCH(COLUMNS($AB$1006:AN1006),$AB$1006:$AQ$1006,0)), HYPERLINK("#",""), HYPERLINK(CONCATENATE("#metadata!", ADDRESS(INDEX($W$2:$W$1001,MATCH(ROWS($U$2:U267),$U$2:$U$1001,0),0), INDEX($AB$1004:$AQ$1004,1,MATCH(COLUMNS($AB$1006:AN1006),$AB$1006:$AQ$1006,0)))),"Fix")))</f>
        <v>0</v>
      </c>
      <c r="O267" s="4">
        <f>IF(OR(INDEX($V$2:$V$1001,MATCH(ROWS($U$2:U267),$U$2:$U$1001,0),1)&gt;=100000,INDEX($AB$1005:$AQ$1005,1,MATCH(COLUMNS($AB$1006:AO1006),$AB$1006:$AQ$1006,0))&gt;=100000), " ",IF(INDEX($AB$2:$AQ$1001,MATCH(ROWS($U$2:U267),$U$2:$U$1001,0),MATCH(COLUMNS($AB$1006:AO1006),$AB$1006:$AQ$1006,0)), HYPERLINK("#",""), HYPERLINK(CONCATENATE("#metadata!", ADDRESS(INDEX($W$2:$W$1001,MATCH(ROWS($U$2:U267),$U$2:$U$1001,0),0), INDEX($AB$1004:$AQ$1004,1,MATCH(COLUMNS($AB$1006:AO1006),$AB$1006:$AQ$1006,0)))),"Fix")))</f>
        <v>0</v>
      </c>
      <c r="P267" s="4">
        <f>IF(OR(INDEX($V$2:$V$1001,MATCH(ROWS($U$2:U267),$U$2:$U$1001,0),1)&gt;=100000,INDEX($AB$1005:$AQ$1005,1,MATCH(COLUMNS($AB$1006:AP1006),$AB$1006:$AQ$1006,0))&gt;=100000), " ",IF(INDEX($AB$2:$AQ$1001,MATCH(ROWS($U$2:U267),$U$2:$U$1001,0),MATCH(COLUMNS($AB$1006:AP1006),$AB$1006:$AQ$1006,0)), HYPERLINK("#",""), HYPERLINK(CONCATENATE("#metadata!", ADDRESS(INDEX($W$2:$W$1001,MATCH(ROWS($U$2:U267),$U$2:$U$1001,0),0), INDEX($AB$1004:$AQ$1004,1,MATCH(COLUMNS($AB$1006:AP1006),$AB$1006:$AQ$1006,0)))),"Fix")))</f>
        <v>0</v>
      </c>
      <c r="Q267" s="4">
        <f>IF(OR(INDEX($V$2:$V$1001,MATCH(ROWS($U$2:U267),$U$2:$U$1001,0),1)&gt;=100000,INDEX($AB$1005:$AQ$1005,1,MATCH(COLUMNS($AB$1006:AQ1006),$AB$1006:$AQ$1006,0))&gt;=100000), " ",IF(INDEX($AB$2:$AQ$1001,MATCH(ROWS($U$2:U267),$U$2:$U$1001,0),MATCH(COLUMNS($AB$1006:AQ1006),$AB$1006:$AQ$1006,0)), HYPERLINK("#",""), HYPERLINK(CONCATENATE("#metadata!", ADDRESS(INDEX($W$2:$W$1001,MATCH(ROWS($U$2:U267),$U$2:$U$1001,0),0), INDEX($AB$1004:$AQ$1004,1,MATCH(COLUMNS($AB$1006:AQ1006),$AB$1006:$AQ$1006,0)))),"Fix")))</f>
        <v>0</v>
      </c>
      <c r="U267">
        <v>0</v>
      </c>
      <c r="V267">
        <v>0</v>
      </c>
      <c r="W267">
        <v>0</v>
      </c>
      <c r="X267">
        <f>IF(Y267,TRUE,AND(AB267:AQ267))</f>
        <v>0</v>
      </c>
      <c r="Y267">
        <f>COUNTBLANK(metadata!B267:Q267)=COLUMNS(metadata!B267:Q267)</f>
        <v>0</v>
      </c>
      <c r="Z267">
        <v>0</v>
      </c>
      <c r="AB267">
        <f>AND(IF(metadata!B267="",FALSE,TRUE),COUNTIF(metadata!B:B, metadata!B267) = 1,NOT(ISERROR(SUMPRODUCT(SEARCH(MID(metadata!B267,ROW(INDIRECT("1:"&amp;LEN(metadata!B267))), 1),"0123456789abcdefghijklmnopqrstuvwxyzABCDEFGHIJKLMNOPQRSTUVWXYZ.")))))</f>
        <v>0</v>
      </c>
      <c r="AC267">
        <f>OR(AND(IF(metadata!C267="",FALSE,TRUE),OR(exact(metadata!C267,"missing: not collected"),exact(metadata!C267,"missing: not provided"),exact(metadata!C267,"missing: restricted access"))),AND(IF(metadata!C267="",FALSE,TRUE),AND(AND(IFERROR(INT(LEFT(metadata!C267,4))&gt;1900,FALSE),IFERROR(INT(LEFT(metadata!C267,4))&lt;=YEAR(NOW()),FALSE)), OR(MID(metadata!C267,5,1)="", AND(AND(MID(metadata!C267,5,1)="-",IFERROR(INT(MID(metadata!C267,6,1))&gt;=0,FALSE),IFERROR(INT(MID(metadata!C267,6,1))&lt;=1,FALSE),NOT(MID(metadata!C267,7,1)=""),IFERROR(INT(MID(metadata!C267,6,2))&gt;=1,FALSE),IFERROR(INT(MID(metadata!C267,6,2))&lt;=12,FALSE)), OR(MID(metadata!C267,8,1)="", AND(AND(MID(metadata!C267,8,1)="-",IFERROR(INT(MID(metadata!C267,9,1))&gt;=0,FALSE),IFERROR(INT(MID(metadata!C267,9,1))&lt;=3,FALSE),NOT(MID(metadata!C267,10,1)=""),IFERROR(INT(MID(metadata!C267,9,2))&gt;=1,FALSE),IFERROR(INT(MID(metadata!C267,9,2))&lt;=31,FALSE)), OR(MID(metadata!C267,11,1)="", AND(AND(MID(metadata!C267,11,1)=" ",IFERROR(INT(MID(metadata!C267,12,1))&gt;=0,FALSE),IFERROR(INT(MID(metadata!C267,12,1))&lt;=2,FALSE),NOT(MID(metadata!C267,13,1)=""),IFERROR(INT(MID(metadata!C267,12,2))&gt;=0,FALSE),IFERROR(INT(MID(metadata!C267,12,2))&lt;=23,FALSE)), OR(MID(metadata!C267,14,1)="", AND(AND(MID(metadata!C267,14,1)=":",IFERROR(INT(MID(metadata!C267,15,1))&gt;=0,FALSE),IFERROR(INT(MID(metadata!C267,15,1))&lt;=5,FALSE),NOT(MID(metadata!C267,16,1)=""),IFERROR(INT(MID(metadata!C267,15,2))&gt;=0,FALSE),IFERROR(INT(MID(metadata!C267,15,2))&lt;=59,FALSE)), OR(MID(metadata!C267,17,1)="", AND(AND(MID(metadata!C267,17,1)=":",IFERROR(INT(MID(metadata!C267,18,1))&gt;=0,FALSE),IFERROR(INT(MID(metadata!C267,18,1))&lt;=5,FALSE),NOT(MID(metadata!C267,19,1)=""),IFERROR(INT(MID(metadata!C267,18,2))&gt;=0,FALSE),IFERROR(INT(MID(metadata!C267,18,2))&lt;=59,FALSE)), LEN(metadata!C267)&lt;=19)))))))))))))</f>
        <v>0</v>
      </c>
      <c r="AD267">
        <f>IF(metadata!D267="",FALSE,TRUE)</f>
        <v>0</v>
      </c>
      <c r="AE267">
        <f>OR(AND(IF(metadata!E267="",FALSE,TRUE),OR(exact(metadata!E267,"missing: not collected"),exact(metadata!E267,"missing: not provided"))),AND(IF(metadata!E267="",FALSE,TRUE),OR(exact(metadata!E267,"TRUE"),exact(metadata!E267,"FALSE"))))</f>
        <v>0</v>
      </c>
      <c r="AF267">
        <f>IF(metadata!F267="",FALSE,TRUE)</f>
        <v>0</v>
      </c>
      <c r="AG267">
        <f>IF(metadata!G267="",FALSE,TRUE)</f>
        <v>0</v>
      </c>
      <c r="AH267">
        <f>IF(metadata!H267="",FALSE,TRUE)</f>
        <v>0</v>
      </c>
      <c r="AI267">
        <f>OR(AND(IF(metadata!I267="",FALSE,TRUE),OR(exact(metadata!I267,"missing: not collected"),exact(metadata!I267,"missing: not provided"),exact(metadata!I267,"missing: restricted access"))),AND(IF(metadata!I267="",FALSE,TRUE),OR(exact(metadata!I267,"air"),exact(metadata!I267,"built environment"),exact(metadata!I267,"host-associated"),exact(metadata!I267,"human-associated"),exact(metadata!I267,"human-skin"),exact(metadata!I267,"human-oral"),exact(metadata!I267,"human-gut"),exact(metadata!I267,"human-vaginal"),exact(metadata!I267,"microbial mat/biofilm"),exact(metadata!I267,"misc environment"),exact(metadata!I267,"plant-associated"),exact(metadata!I267,"sediment"),exact(metadata!I267,"soil"),exact(metadata!I267,"wastewater/sludge"),exact(metadata!I267,"water"))))</f>
        <v>0</v>
      </c>
      <c r="AJ267">
        <f>IF(metadata!J267="",FALSE,TRUE)</f>
        <v>0</v>
      </c>
      <c r="AK267">
        <f>OR(AND(IF(metadata!K267="",FALSE,TRUE),OR(exact(metadata!K267,"missing: not collected"),exact(metadata!K267,"missing: not provided"),exact(metadata!K267,"missing: restricted access"))),AND(IF(metadata!K267="",FALSE,ISNUMBER(VALUE(metadata!K267))),metadata!K267&gt;=-90.00,metadata!K267&lt;=90.00))</f>
        <v>0</v>
      </c>
      <c r="AL267">
        <f>OR(AND(IF(metadata!L267="",FALSE,TRUE),OR(exact(metadata!L267,"missing: not collected"),exact(metadata!L267,"missing: not provided"),exact(metadata!L267,"missing: restricted access"))),AND(IF(metadata!L267="",FALSE,ISNUMBER(VALUE(metadata!L267))),metadata!L267&gt;=-180.00,metadata!L267&lt;=180.00))</f>
        <v>0</v>
      </c>
      <c r="AM267">
        <f>IF(metadata!M267="",FALSE,TRUE)</f>
        <v>0</v>
      </c>
      <c r="AN267">
        <f>OR(AND(IF(metadata!N267="",FALSE,TRUE),OR(exact(metadata!N267,"missing: not collected"),exact(metadata!N267,"missing: not provided"),exact(metadata!N267,"missing: restricted access"))),AND(IF(metadata!N267="",FALSE,TRUE),OR(exact(metadata!N267,"TRUE"),exact(metadata!N267,"FALSE"))))</f>
        <v>0</v>
      </c>
      <c r="AO267">
        <f>IF(metadata!O267="",FALSE,TRUE)</f>
        <v>0</v>
      </c>
      <c r="AP267">
        <f>OR(AND(IF(metadata!P267="",FALSE,TRUE),OR(exact(metadata!P267,"missing: not collected"),exact(metadata!P267,"missing: not provided"))),AND(IF(metadata!P267="",FALSE,IF(ISERROR(INT(metadata!P267)),FALSE,INT(metadata!P267)=metadata!P267)),metadata!P267&gt;0))</f>
        <v>0</v>
      </c>
      <c r="AQ267">
        <f>IF(metadata!Q267="",FALSE,TRUE)</f>
        <v>0</v>
      </c>
    </row>
    <row r="268" spans="1:43">
      <c r="A268" s="5">
        <f>IF(B268=" "," ",HYPERLINK(CONCATENATE("#metadata!",ADDRESS(INDEX($W$2:$W$1001,MATCH(ROWS($U$2:U268),$U$2:$U$1001,0),0),1)),INDEX($Z$2:$Z$1001,MATCH(ROWS($U$2:U268),$U$2:$U$1001,0),0)))</f>
        <v>0</v>
      </c>
      <c r="B268" s="4">
        <f>IF(OR(INDEX($V$2:$V$1001,MATCH(ROWS($U$2:U268),$U$2:$U$1001,0),1)&gt;=100000,INDEX($AB$1005:$AQ$1005,1,MATCH(COLUMNS($AB$1006:AB1006),$AB$1006:$AQ$1006,0))&gt;=100000), " ",IF(INDEX($AB$2:$AQ$1001,MATCH(ROWS($U$2:U268),$U$2:$U$1001,0),MATCH(COLUMNS($AB$1006:AB1006),$AB$1006:$AQ$1006,0)), HYPERLINK("#",""), HYPERLINK(CONCATENATE("#metadata!", ADDRESS(INDEX($W$2:$W$1001,MATCH(ROWS($U$2:U268),$U$2:$U$1001,0),0), INDEX($AB$1004:$AQ$1004,1,MATCH(COLUMNS($AB$1006:AB1006),$AB$1006:$AQ$1006,0)))),"Fix")))</f>
        <v>0</v>
      </c>
      <c r="C268" s="4">
        <f>IF(OR(INDEX($V$2:$V$1001,MATCH(ROWS($U$2:U268),$U$2:$U$1001,0),1)&gt;=100000,INDEX($AB$1005:$AQ$1005,1,MATCH(COLUMNS($AB$1006:AC1006),$AB$1006:$AQ$1006,0))&gt;=100000), " ",IF(INDEX($AB$2:$AQ$1001,MATCH(ROWS($U$2:U268),$U$2:$U$1001,0),MATCH(COLUMNS($AB$1006:AC1006),$AB$1006:$AQ$1006,0)), HYPERLINK("#",""), HYPERLINK(CONCATENATE("#metadata!", ADDRESS(INDEX($W$2:$W$1001,MATCH(ROWS($U$2:U268),$U$2:$U$1001,0),0), INDEX($AB$1004:$AQ$1004,1,MATCH(COLUMNS($AB$1006:AC1006),$AB$1006:$AQ$1006,0)))),"Fix")))</f>
        <v>0</v>
      </c>
      <c r="D268" s="4">
        <f>IF(OR(INDEX($V$2:$V$1001,MATCH(ROWS($U$2:U268),$U$2:$U$1001,0),1)&gt;=100000,INDEX($AB$1005:$AQ$1005,1,MATCH(COLUMNS($AB$1006:AD1006),$AB$1006:$AQ$1006,0))&gt;=100000), " ",IF(INDEX($AB$2:$AQ$1001,MATCH(ROWS($U$2:U268),$U$2:$U$1001,0),MATCH(COLUMNS($AB$1006:AD1006),$AB$1006:$AQ$1006,0)), HYPERLINK("#",""), HYPERLINK(CONCATENATE("#metadata!", ADDRESS(INDEX($W$2:$W$1001,MATCH(ROWS($U$2:U268),$U$2:$U$1001,0),0), INDEX($AB$1004:$AQ$1004,1,MATCH(COLUMNS($AB$1006:AD1006),$AB$1006:$AQ$1006,0)))),"Fix")))</f>
        <v>0</v>
      </c>
      <c r="E268" s="4">
        <f>IF(OR(INDEX($V$2:$V$1001,MATCH(ROWS($U$2:U268),$U$2:$U$1001,0),1)&gt;=100000,INDEX($AB$1005:$AQ$1005,1,MATCH(COLUMNS($AB$1006:AE1006),$AB$1006:$AQ$1006,0))&gt;=100000), " ",IF(INDEX($AB$2:$AQ$1001,MATCH(ROWS($U$2:U268),$U$2:$U$1001,0),MATCH(COLUMNS($AB$1006:AE1006),$AB$1006:$AQ$1006,0)), HYPERLINK("#",""), HYPERLINK(CONCATENATE("#metadata!", ADDRESS(INDEX($W$2:$W$1001,MATCH(ROWS($U$2:U268),$U$2:$U$1001,0),0), INDEX($AB$1004:$AQ$1004,1,MATCH(COLUMNS($AB$1006:AE1006),$AB$1006:$AQ$1006,0)))),"Fix")))</f>
        <v>0</v>
      </c>
      <c r="F268" s="4">
        <f>IF(OR(INDEX($V$2:$V$1001,MATCH(ROWS($U$2:U268),$U$2:$U$1001,0),1)&gt;=100000,INDEX($AB$1005:$AQ$1005,1,MATCH(COLUMNS($AB$1006:AF1006),$AB$1006:$AQ$1006,0))&gt;=100000), " ",IF(INDEX($AB$2:$AQ$1001,MATCH(ROWS($U$2:U268),$U$2:$U$1001,0),MATCH(COLUMNS($AB$1006:AF1006),$AB$1006:$AQ$1006,0)), HYPERLINK("#",""), HYPERLINK(CONCATENATE("#metadata!", ADDRESS(INDEX($W$2:$W$1001,MATCH(ROWS($U$2:U268),$U$2:$U$1001,0),0), INDEX($AB$1004:$AQ$1004,1,MATCH(COLUMNS($AB$1006:AF1006),$AB$1006:$AQ$1006,0)))),"Fix")))</f>
        <v>0</v>
      </c>
      <c r="G268" s="4">
        <f>IF(OR(INDEX($V$2:$V$1001,MATCH(ROWS($U$2:U268),$U$2:$U$1001,0),1)&gt;=100000,INDEX($AB$1005:$AQ$1005,1,MATCH(COLUMNS($AB$1006:AG1006),$AB$1006:$AQ$1006,0))&gt;=100000), " ",IF(INDEX($AB$2:$AQ$1001,MATCH(ROWS($U$2:U268),$U$2:$U$1001,0),MATCH(COLUMNS($AB$1006:AG1006),$AB$1006:$AQ$1006,0)), HYPERLINK("#",""), HYPERLINK(CONCATENATE("#metadata!", ADDRESS(INDEX($W$2:$W$1001,MATCH(ROWS($U$2:U268),$U$2:$U$1001,0),0), INDEX($AB$1004:$AQ$1004,1,MATCH(COLUMNS($AB$1006:AG1006),$AB$1006:$AQ$1006,0)))),"Fix")))</f>
        <v>0</v>
      </c>
      <c r="H268" s="4">
        <f>IF(OR(INDEX($V$2:$V$1001,MATCH(ROWS($U$2:U268),$U$2:$U$1001,0),1)&gt;=100000,INDEX($AB$1005:$AQ$1005,1,MATCH(COLUMNS($AB$1006:AH1006),$AB$1006:$AQ$1006,0))&gt;=100000), " ",IF(INDEX($AB$2:$AQ$1001,MATCH(ROWS($U$2:U268),$U$2:$U$1001,0),MATCH(COLUMNS($AB$1006:AH1006),$AB$1006:$AQ$1006,0)), HYPERLINK("#",""), HYPERLINK(CONCATENATE("#metadata!", ADDRESS(INDEX($W$2:$W$1001,MATCH(ROWS($U$2:U268),$U$2:$U$1001,0),0), INDEX($AB$1004:$AQ$1004,1,MATCH(COLUMNS($AB$1006:AH1006),$AB$1006:$AQ$1006,0)))),"Fix")))</f>
        <v>0</v>
      </c>
      <c r="I268" s="4">
        <f>IF(OR(INDEX($V$2:$V$1001,MATCH(ROWS($U$2:U268),$U$2:$U$1001,0),1)&gt;=100000,INDEX($AB$1005:$AQ$1005,1,MATCH(COLUMNS($AB$1006:AI1006),$AB$1006:$AQ$1006,0))&gt;=100000), " ",IF(INDEX($AB$2:$AQ$1001,MATCH(ROWS($U$2:U268),$U$2:$U$1001,0),MATCH(COLUMNS($AB$1006:AI1006),$AB$1006:$AQ$1006,0)), HYPERLINK("#",""), HYPERLINK(CONCATENATE("#metadata!", ADDRESS(INDEX($W$2:$W$1001,MATCH(ROWS($U$2:U268),$U$2:$U$1001,0),0), INDEX($AB$1004:$AQ$1004,1,MATCH(COLUMNS($AB$1006:AI1006),$AB$1006:$AQ$1006,0)))),"Fix")))</f>
        <v>0</v>
      </c>
      <c r="J268" s="4">
        <f>IF(OR(INDEX($V$2:$V$1001,MATCH(ROWS($U$2:U268),$U$2:$U$1001,0),1)&gt;=100000,INDEX($AB$1005:$AQ$1005,1,MATCH(COLUMNS($AB$1006:AJ1006),$AB$1006:$AQ$1006,0))&gt;=100000), " ",IF(INDEX($AB$2:$AQ$1001,MATCH(ROWS($U$2:U268),$U$2:$U$1001,0),MATCH(COLUMNS($AB$1006:AJ1006),$AB$1006:$AQ$1006,0)), HYPERLINK("#",""), HYPERLINK(CONCATENATE("#metadata!", ADDRESS(INDEX($W$2:$W$1001,MATCH(ROWS($U$2:U268),$U$2:$U$1001,0),0), INDEX($AB$1004:$AQ$1004,1,MATCH(COLUMNS($AB$1006:AJ1006),$AB$1006:$AQ$1006,0)))),"Fix")))</f>
        <v>0</v>
      </c>
      <c r="K268" s="4">
        <f>IF(OR(INDEX($V$2:$V$1001,MATCH(ROWS($U$2:U268),$U$2:$U$1001,0),1)&gt;=100000,INDEX($AB$1005:$AQ$1005,1,MATCH(COLUMNS($AB$1006:AK1006),$AB$1006:$AQ$1006,0))&gt;=100000), " ",IF(INDEX($AB$2:$AQ$1001,MATCH(ROWS($U$2:U268),$U$2:$U$1001,0),MATCH(COLUMNS($AB$1006:AK1006),$AB$1006:$AQ$1006,0)), HYPERLINK("#",""), HYPERLINK(CONCATENATE("#metadata!", ADDRESS(INDEX($W$2:$W$1001,MATCH(ROWS($U$2:U268),$U$2:$U$1001,0),0), INDEX($AB$1004:$AQ$1004,1,MATCH(COLUMNS($AB$1006:AK1006),$AB$1006:$AQ$1006,0)))),"Fix")))</f>
        <v>0</v>
      </c>
      <c r="L268" s="4">
        <f>IF(OR(INDEX($V$2:$V$1001,MATCH(ROWS($U$2:U268),$U$2:$U$1001,0),1)&gt;=100000,INDEX($AB$1005:$AQ$1005,1,MATCH(COLUMNS($AB$1006:AL1006),$AB$1006:$AQ$1006,0))&gt;=100000), " ",IF(INDEX($AB$2:$AQ$1001,MATCH(ROWS($U$2:U268),$U$2:$U$1001,0),MATCH(COLUMNS($AB$1006:AL1006),$AB$1006:$AQ$1006,0)), HYPERLINK("#",""), HYPERLINK(CONCATENATE("#metadata!", ADDRESS(INDEX($W$2:$W$1001,MATCH(ROWS($U$2:U268),$U$2:$U$1001,0),0), INDEX($AB$1004:$AQ$1004,1,MATCH(COLUMNS($AB$1006:AL1006),$AB$1006:$AQ$1006,0)))),"Fix")))</f>
        <v>0</v>
      </c>
      <c r="M268" s="4">
        <f>IF(OR(INDEX($V$2:$V$1001,MATCH(ROWS($U$2:U268),$U$2:$U$1001,0),1)&gt;=100000,INDEX($AB$1005:$AQ$1005,1,MATCH(COLUMNS($AB$1006:AM1006),$AB$1006:$AQ$1006,0))&gt;=100000), " ",IF(INDEX($AB$2:$AQ$1001,MATCH(ROWS($U$2:U268),$U$2:$U$1001,0),MATCH(COLUMNS($AB$1006:AM1006),$AB$1006:$AQ$1006,0)), HYPERLINK("#",""), HYPERLINK(CONCATENATE("#metadata!", ADDRESS(INDEX($W$2:$W$1001,MATCH(ROWS($U$2:U268),$U$2:$U$1001,0),0), INDEX($AB$1004:$AQ$1004,1,MATCH(COLUMNS($AB$1006:AM1006),$AB$1006:$AQ$1006,0)))),"Fix")))</f>
        <v>0</v>
      </c>
      <c r="N268" s="4">
        <f>IF(OR(INDEX($V$2:$V$1001,MATCH(ROWS($U$2:U268),$U$2:$U$1001,0),1)&gt;=100000,INDEX($AB$1005:$AQ$1005,1,MATCH(COLUMNS($AB$1006:AN1006),$AB$1006:$AQ$1006,0))&gt;=100000), " ",IF(INDEX($AB$2:$AQ$1001,MATCH(ROWS($U$2:U268),$U$2:$U$1001,0),MATCH(COLUMNS($AB$1006:AN1006),$AB$1006:$AQ$1006,0)), HYPERLINK("#",""), HYPERLINK(CONCATENATE("#metadata!", ADDRESS(INDEX($W$2:$W$1001,MATCH(ROWS($U$2:U268),$U$2:$U$1001,0),0), INDEX($AB$1004:$AQ$1004,1,MATCH(COLUMNS($AB$1006:AN1006),$AB$1006:$AQ$1006,0)))),"Fix")))</f>
        <v>0</v>
      </c>
      <c r="O268" s="4">
        <f>IF(OR(INDEX($V$2:$V$1001,MATCH(ROWS($U$2:U268),$U$2:$U$1001,0),1)&gt;=100000,INDEX($AB$1005:$AQ$1005,1,MATCH(COLUMNS($AB$1006:AO1006),$AB$1006:$AQ$1006,0))&gt;=100000), " ",IF(INDEX($AB$2:$AQ$1001,MATCH(ROWS($U$2:U268),$U$2:$U$1001,0),MATCH(COLUMNS($AB$1006:AO1006),$AB$1006:$AQ$1006,0)), HYPERLINK("#",""), HYPERLINK(CONCATENATE("#metadata!", ADDRESS(INDEX($W$2:$W$1001,MATCH(ROWS($U$2:U268),$U$2:$U$1001,0),0), INDEX($AB$1004:$AQ$1004,1,MATCH(COLUMNS($AB$1006:AO1006),$AB$1006:$AQ$1006,0)))),"Fix")))</f>
        <v>0</v>
      </c>
      <c r="P268" s="4">
        <f>IF(OR(INDEX($V$2:$V$1001,MATCH(ROWS($U$2:U268),$U$2:$U$1001,0),1)&gt;=100000,INDEX($AB$1005:$AQ$1005,1,MATCH(COLUMNS($AB$1006:AP1006),$AB$1006:$AQ$1006,0))&gt;=100000), " ",IF(INDEX($AB$2:$AQ$1001,MATCH(ROWS($U$2:U268),$U$2:$U$1001,0),MATCH(COLUMNS($AB$1006:AP1006),$AB$1006:$AQ$1006,0)), HYPERLINK("#",""), HYPERLINK(CONCATENATE("#metadata!", ADDRESS(INDEX($W$2:$W$1001,MATCH(ROWS($U$2:U268),$U$2:$U$1001,0),0), INDEX($AB$1004:$AQ$1004,1,MATCH(COLUMNS($AB$1006:AP1006),$AB$1006:$AQ$1006,0)))),"Fix")))</f>
        <v>0</v>
      </c>
      <c r="Q268" s="4">
        <f>IF(OR(INDEX($V$2:$V$1001,MATCH(ROWS($U$2:U268),$U$2:$U$1001,0),1)&gt;=100000,INDEX($AB$1005:$AQ$1005,1,MATCH(COLUMNS($AB$1006:AQ1006),$AB$1006:$AQ$1006,0))&gt;=100000), " ",IF(INDEX($AB$2:$AQ$1001,MATCH(ROWS($U$2:U268),$U$2:$U$1001,0),MATCH(COLUMNS($AB$1006:AQ1006),$AB$1006:$AQ$1006,0)), HYPERLINK("#",""), HYPERLINK(CONCATENATE("#metadata!", ADDRESS(INDEX($W$2:$W$1001,MATCH(ROWS($U$2:U268),$U$2:$U$1001,0),0), INDEX($AB$1004:$AQ$1004,1,MATCH(COLUMNS($AB$1006:AQ1006),$AB$1006:$AQ$1006,0)))),"Fix")))</f>
        <v>0</v>
      </c>
      <c r="U268">
        <v>0</v>
      </c>
      <c r="V268">
        <v>0</v>
      </c>
      <c r="W268">
        <v>0</v>
      </c>
      <c r="X268">
        <f>IF(Y268,TRUE,AND(AB268:AQ268))</f>
        <v>0</v>
      </c>
      <c r="Y268">
        <f>COUNTBLANK(metadata!B268:Q268)=COLUMNS(metadata!B268:Q268)</f>
        <v>0</v>
      </c>
      <c r="Z268">
        <v>0</v>
      </c>
      <c r="AB268">
        <f>AND(IF(metadata!B268="",FALSE,TRUE),COUNTIF(metadata!B:B, metadata!B268) = 1,NOT(ISERROR(SUMPRODUCT(SEARCH(MID(metadata!B268,ROW(INDIRECT("1:"&amp;LEN(metadata!B268))), 1),"0123456789abcdefghijklmnopqrstuvwxyzABCDEFGHIJKLMNOPQRSTUVWXYZ.")))))</f>
        <v>0</v>
      </c>
      <c r="AC268">
        <f>OR(AND(IF(metadata!C268="",FALSE,TRUE),OR(exact(metadata!C268,"missing: not collected"),exact(metadata!C268,"missing: not provided"),exact(metadata!C268,"missing: restricted access"))),AND(IF(metadata!C268="",FALSE,TRUE),AND(AND(IFERROR(INT(LEFT(metadata!C268,4))&gt;1900,FALSE),IFERROR(INT(LEFT(metadata!C268,4))&lt;=YEAR(NOW()),FALSE)), OR(MID(metadata!C268,5,1)="", AND(AND(MID(metadata!C268,5,1)="-",IFERROR(INT(MID(metadata!C268,6,1))&gt;=0,FALSE),IFERROR(INT(MID(metadata!C268,6,1))&lt;=1,FALSE),NOT(MID(metadata!C268,7,1)=""),IFERROR(INT(MID(metadata!C268,6,2))&gt;=1,FALSE),IFERROR(INT(MID(metadata!C268,6,2))&lt;=12,FALSE)), OR(MID(metadata!C268,8,1)="", AND(AND(MID(metadata!C268,8,1)="-",IFERROR(INT(MID(metadata!C268,9,1))&gt;=0,FALSE),IFERROR(INT(MID(metadata!C268,9,1))&lt;=3,FALSE),NOT(MID(metadata!C268,10,1)=""),IFERROR(INT(MID(metadata!C268,9,2))&gt;=1,FALSE),IFERROR(INT(MID(metadata!C268,9,2))&lt;=31,FALSE)), OR(MID(metadata!C268,11,1)="", AND(AND(MID(metadata!C268,11,1)=" ",IFERROR(INT(MID(metadata!C268,12,1))&gt;=0,FALSE),IFERROR(INT(MID(metadata!C268,12,1))&lt;=2,FALSE),NOT(MID(metadata!C268,13,1)=""),IFERROR(INT(MID(metadata!C268,12,2))&gt;=0,FALSE),IFERROR(INT(MID(metadata!C268,12,2))&lt;=23,FALSE)), OR(MID(metadata!C268,14,1)="", AND(AND(MID(metadata!C268,14,1)=":",IFERROR(INT(MID(metadata!C268,15,1))&gt;=0,FALSE),IFERROR(INT(MID(metadata!C268,15,1))&lt;=5,FALSE),NOT(MID(metadata!C268,16,1)=""),IFERROR(INT(MID(metadata!C268,15,2))&gt;=0,FALSE),IFERROR(INT(MID(metadata!C268,15,2))&lt;=59,FALSE)), OR(MID(metadata!C268,17,1)="", AND(AND(MID(metadata!C268,17,1)=":",IFERROR(INT(MID(metadata!C268,18,1))&gt;=0,FALSE),IFERROR(INT(MID(metadata!C268,18,1))&lt;=5,FALSE),NOT(MID(metadata!C268,19,1)=""),IFERROR(INT(MID(metadata!C268,18,2))&gt;=0,FALSE),IFERROR(INT(MID(metadata!C268,18,2))&lt;=59,FALSE)), LEN(metadata!C268)&lt;=19)))))))))))))</f>
        <v>0</v>
      </c>
      <c r="AD268">
        <f>IF(metadata!D268="",FALSE,TRUE)</f>
        <v>0</v>
      </c>
      <c r="AE268">
        <f>OR(AND(IF(metadata!E268="",FALSE,TRUE),OR(exact(metadata!E268,"missing: not collected"),exact(metadata!E268,"missing: not provided"))),AND(IF(metadata!E268="",FALSE,TRUE),OR(exact(metadata!E268,"TRUE"),exact(metadata!E268,"FALSE"))))</f>
        <v>0</v>
      </c>
      <c r="AF268">
        <f>IF(metadata!F268="",FALSE,TRUE)</f>
        <v>0</v>
      </c>
      <c r="AG268">
        <f>IF(metadata!G268="",FALSE,TRUE)</f>
        <v>0</v>
      </c>
      <c r="AH268">
        <f>IF(metadata!H268="",FALSE,TRUE)</f>
        <v>0</v>
      </c>
      <c r="AI268">
        <f>OR(AND(IF(metadata!I268="",FALSE,TRUE),OR(exact(metadata!I268,"missing: not collected"),exact(metadata!I268,"missing: not provided"),exact(metadata!I268,"missing: restricted access"))),AND(IF(metadata!I268="",FALSE,TRUE),OR(exact(metadata!I268,"air"),exact(metadata!I268,"built environment"),exact(metadata!I268,"host-associated"),exact(metadata!I268,"human-associated"),exact(metadata!I268,"human-skin"),exact(metadata!I268,"human-oral"),exact(metadata!I268,"human-gut"),exact(metadata!I268,"human-vaginal"),exact(metadata!I268,"microbial mat/biofilm"),exact(metadata!I268,"misc environment"),exact(metadata!I268,"plant-associated"),exact(metadata!I268,"sediment"),exact(metadata!I268,"soil"),exact(metadata!I268,"wastewater/sludge"),exact(metadata!I268,"water"))))</f>
        <v>0</v>
      </c>
      <c r="AJ268">
        <f>IF(metadata!J268="",FALSE,TRUE)</f>
        <v>0</v>
      </c>
      <c r="AK268">
        <f>OR(AND(IF(metadata!K268="",FALSE,TRUE),OR(exact(metadata!K268,"missing: not collected"),exact(metadata!K268,"missing: not provided"),exact(metadata!K268,"missing: restricted access"))),AND(IF(metadata!K268="",FALSE,ISNUMBER(VALUE(metadata!K268))),metadata!K268&gt;=-90.00,metadata!K268&lt;=90.00))</f>
        <v>0</v>
      </c>
      <c r="AL268">
        <f>OR(AND(IF(metadata!L268="",FALSE,TRUE),OR(exact(metadata!L268,"missing: not collected"),exact(metadata!L268,"missing: not provided"),exact(metadata!L268,"missing: restricted access"))),AND(IF(metadata!L268="",FALSE,ISNUMBER(VALUE(metadata!L268))),metadata!L268&gt;=-180.00,metadata!L268&lt;=180.00))</f>
        <v>0</v>
      </c>
      <c r="AM268">
        <f>IF(metadata!M268="",FALSE,TRUE)</f>
        <v>0</v>
      </c>
      <c r="AN268">
        <f>OR(AND(IF(metadata!N268="",FALSE,TRUE),OR(exact(metadata!N268,"missing: not collected"),exact(metadata!N268,"missing: not provided"),exact(metadata!N268,"missing: restricted access"))),AND(IF(metadata!N268="",FALSE,TRUE),OR(exact(metadata!N268,"TRUE"),exact(metadata!N268,"FALSE"))))</f>
        <v>0</v>
      </c>
      <c r="AO268">
        <f>IF(metadata!O268="",FALSE,TRUE)</f>
        <v>0</v>
      </c>
      <c r="AP268">
        <f>OR(AND(IF(metadata!P268="",FALSE,TRUE),OR(exact(metadata!P268,"missing: not collected"),exact(metadata!P268,"missing: not provided"))),AND(IF(metadata!P268="",FALSE,IF(ISERROR(INT(metadata!P268)),FALSE,INT(metadata!P268)=metadata!P268)),metadata!P268&gt;0))</f>
        <v>0</v>
      </c>
      <c r="AQ268">
        <f>IF(metadata!Q268="",FALSE,TRUE)</f>
        <v>0</v>
      </c>
    </row>
    <row r="269" spans="1:43">
      <c r="A269" s="5">
        <f>IF(B269=" "," ",HYPERLINK(CONCATENATE("#metadata!",ADDRESS(INDEX($W$2:$W$1001,MATCH(ROWS($U$2:U269),$U$2:$U$1001,0),0),1)),INDEX($Z$2:$Z$1001,MATCH(ROWS($U$2:U269),$U$2:$U$1001,0),0)))</f>
        <v>0</v>
      </c>
      <c r="B269" s="4">
        <f>IF(OR(INDEX($V$2:$V$1001,MATCH(ROWS($U$2:U269),$U$2:$U$1001,0),1)&gt;=100000,INDEX($AB$1005:$AQ$1005,1,MATCH(COLUMNS($AB$1006:AB1006),$AB$1006:$AQ$1006,0))&gt;=100000), " ",IF(INDEX($AB$2:$AQ$1001,MATCH(ROWS($U$2:U269),$U$2:$U$1001,0),MATCH(COLUMNS($AB$1006:AB1006),$AB$1006:$AQ$1006,0)), HYPERLINK("#",""), HYPERLINK(CONCATENATE("#metadata!", ADDRESS(INDEX($W$2:$W$1001,MATCH(ROWS($U$2:U269),$U$2:$U$1001,0),0), INDEX($AB$1004:$AQ$1004,1,MATCH(COLUMNS($AB$1006:AB1006),$AB$1006:$AQ$1006,0)))),"Fix")))</f>
        <v>0</v>
      </c>
      <c r="C269" s="4">
        <f>IF(OR(INDEX($V$2:$V$1001,MATCH(ROWS($U$2:U269),$U$2:$U$1001,0),1)&gt;=100000,INDEX($AB$1005:$AQ$1005,1,MATCH(COLUMNS($AB$1006:AC1006),$AB$1006:$AQ$1006,0))&gt;=100000), " ",IF(INDEX($AB$2:$AQ$1001,MATCH(ROWS($U$2:U269),$U$2:$U$1001,0),MATCH(COLUMNS($AB$1006:AC1006),$AB$1006:$AQ$1006,0)), HYPERLINK("#",""), HYPERLINK(CONCATENATE("#metadata!", ADDRESS(INDEX($W$2:$W$1001,MATCH(ROWS($U$2:U269),$U$2:$U$1001,0),0), INDEX($AB$1004:$AQ$1004,1,MATCH(COLUMNS($AB$1006:AC1006),$AB$1006:$AQ$1006,0)))),"Fix")))</f>
        <v>0</v>
      </c>
      <c r="D269" s="4">
        <f>IF(OR(INDEX($V$2:$V$1001,MATCH(ROWS($U$2:U269),$U$2:$U$1001,0),1)&gt;=100000,INDEX($AB$1005:$AQ$1005,1,MATCH(COLUMNS($AB$1006:AD1006),$AB$1006:$AQ$1006,0))&gt;=100000), " ",IF(INDEX($AB$2:$AQ$1001,MATCH(ROWS($U$2:U269),$U$2:$U$1001,0),MATCH(COLUMNS($AB$1006:AD1006),$AB$1006:$AQ$1006,0)), HYPERLINK("#",""), HYPERLINK(CONCATENATE("#metadata!", ADDRESS(INDEX($W$2:$W$1001,MATCH(ROWS($U$2:U269),$U$2:$U$1001,0),0), INDEX($AB$1004:$AQ$1004,1,MATCH(COLUMNS($AB$1006:AD1006),$AB$1006:$AQ$1006,0)))),"Fix")))</f>
        <v>0</v>
      </c>
      <c r="E269" s="4">
        <f>IF(OR(INDEX($V$2:$V$1001,MATCH(ROWS($U$2:U269),$U$2:$U$1001,0),1)&gt;=100000,INDEX($AB$1005:$AQ$1005,1,MATCH(COLUMNS($AB$1006:AE1006),$AB$1006:$AQ$1006,0))&gt;=100000), " ",IF(INDEX($AB$2:$AQ$1001,MATCH(ROWS($U$2:U269),$U$2:$U$1001,0),MATCH(COLUMNS($AB$1006:AE1006),$AB$1006:$AQ$1006,0)), HYPERLINK("#",""), HYPERLINK(CONCATENATE("#metadata!", ADDRESS(INDEX($W$2:$W$1001,MATCH(ROWS($U$2:U269),$U$2:$U$1001,0),0), INDEX($AB$1004:$AQ$1004,1,MATCH(COLUMNS($AB$1006:AE1006),$AB$1006:$AQ$1006,0)))),"Fix")))</f>
        <v>0</v>
      </c>
      <c r="F269" s="4">
        <f>IF(OR(INDEX($V$2:$V$1001,MATCH(ROWS($U$2:U269),$U$2:$U$1001,0),1)&gt;=100000,INDEX($AB$1005:$AQ$1005,1,MATCH(COLUMNS($AB$1006:AF1006),$AB$1006:$AQ$1006,0))&gt;=100000), " ",IF(INDEX($AB$2:$AQ$1001,MATCH(ROWS($U$2:U269),$U$2:$U$1001,0),MATCH(COLUMNS($AB$1006:AF1006),$AB$1006:$AQ$1006,0)), HYPERLINK("#",""), HYPERLINK(CONCATENATE("#metadata!", ADDRESS(INDEX($W$2:$W$1001,MATCH(ROWS($U$2:U269),$U$2:$U$1001,0),0), INDEX($AB$1004:$AQ$1004,1,MATCH(COLUMNS($AB$1006:AF1006),$AB$1006:$AQ$1006,0)))),"Fix")))</f>
        <v>0</v>
      </c>
      <c r="G269" s="4">
        <f>IF(OR(INDEX($V$2:$V$1001,MATCH(ROWS($U$2:U269),$U$2:$U$1001,0),1)&gt;=100000,INDEX($AB$1005:$AQ$1005,1,MATCH(COLUMNS($AB$1006:AG1006),$AB$1006:$AQ$1006,0))&gt;=100000), " ",IF(INDEX($AB$2:$AQ$1001,MATCH(ROWS($U$2:U269),$U$2:$U$1001,0),MATCH(COLUMNS($AB$1006:AG1006),$AB$1006:$AQ$1006,0)), HYPERLINK("#",""), HYPERLINK(CONCATENATE("#metadata!", ADDRESS(INDEX($W$2:$W$1001,MATCH(ROWS($U$2:U269),$U$2:$U$1001,0),0), INDEX($AB$1004:$AQ$1004,1,MATCH(COLUMNS($AB$1006:AG1006),$AB$1006:$AQ$1006,0)))),"Fix")))</f>
        <v>0</v>
      </c>
      <c r="H269" s="4">
        <f>IF(OR(INDEX($V$2:$V$1001,MATCH(ROWS($U$2:U269),$U$2:$U$1001,0),1)&gt;=100000,INDEX($AB$1005:$AQ$1005,1,MATCH(COLUMNS($AB$1006:AH1006),$AB$1006:$AQ$1006,0))&gt;=100000), " ",IF(INDEX($AB$2:$AQ$1001,MATCH(ROWS($U$2:U269),$U$2:$U$1001,0),MATCH(COLUMNS($AB$1006:AH1006),$AB$1006:$AQ$1006,0)), HYPERLINK("#",""), HYPERLINK(CONCATENATE("#metadata!", ADDRESS(INDEX($W$2:$W$1001,MATCH(ROWS($U$2:U269),$U$2:$U$1001,0),0), INDEX($AB$1004:$AQ$1004,1,MATCH(COLUMNS($AB$1006:AH1006),$AB$1006:$AQ$1006,0)))),"Fix")))</f>
        <v>0</v>
      </c>
      <c r="I269" s="4">
        <f>IF(OR(INDEX($V$2:$V$1001,MATCH(ROWS($U$2:U269),$U$2:$U$1001,0),1)&gt;=100000,INDEX($AB$1005:$AQ$1005,1,MATCH(COLUMNS($AB$1006:AI1006),$AB$1006:$AQ$1006,0))&gt;=100000), " ",IF(INDEX($AB$2:$AQ$1001,MATCH(ROWS($U$2:U269),$U$2:$U$1001,0),MATCH(COLUMNS($AB$1006:AI1006),$AB$1006:$AQ$1006,0)), HYPERLINK("#",""), HYPERLINK(CONCATENATE("#metadata!", ADDRESS(INDEX($W$2:$W$1001,MATCH(ROWS($U$2:U269),$U$2:$U$1001,0),0), INDEX($AB$1004:$AQ$1004,1,MATCH(COLUMNS($AB$1006:AI1006),$AB$1006:$AQ$1006,0)))),"Fix")))</f>
        <v>0</v>
      </c>
      <c r="J269" s="4">
        <f>IF(OR(INDEX($V$2:$V$1001,MATCH(ROWS($U$2:U269),$U$2:$U$1001,0),1)&gt;=100000,INDEX($AB$1005:$AQ$1005,1,MATCH(COLUMNS($AB$1006:AJ1006),$AB$1006:$AQ$1006,0))&gt;=100000), " ",IF(INDEX($AB$2:$AQ$1001,MATCH(ROWS($U$2:U269),$U$2:$U$1001,0),MATCH(COLUMNS($AB$1006:AJ1006),$AB$1006:$AQ$1006,0)), HYPERLINK("#",""), HYPERLINK(CONCATENATE("#metadata!", ADDRESS(INDEX($W$2:$W$1001,MATCH(ROWS($U$2:U269),$U$2:$U$1001,0),0), INDEX($AB$1004:$AQ$1004,1,MATCH(COLUMNS($AB$1006:AJ1006),$AB$1006:$AQ$1006,0)))),"Fix")))</f>
        <v>0</v>
      </c>
      <c r="K269" s="4">
        <f>IF(OR(INDEX($V$2:$V$1001,MATCH(ROWS($U$2:U269),$U$2:$U$1001,0),1)&gt;=100000,INDEX($AB$1005:$AQ$1005,1,MATCH(COLUMNS($AB$1006:AK1006),$AB$1006:$AQ$1006,0))&gt;=100000), " ",IF(INDEX($AB$2:$AQ$1001,MATCH(ROWS($U$2:U269),$U$2:$U$1001,0),MATCH(COLUMNS($AB$1006:AK1006),$AB$1006:$AQ$1006,0)), HYPERLINK("#",""), HYPERLINK(CONCATENATE("#metadata!", ADDRESS(INDEX($W$2:$W$1001,MATCH(ROWS($U$2:U269),$U$2:$U$1001,0),0), INDEX($AB$1004:$AQ$1004,1,MATCH(COLUMNS($AB$1006:AK1006),$AB$1006:$AQ$1006,0)))),"Fix")))</f>
        <v>0</v>
      </c>
      <c r="L269" s="4">
        <f>IF(OR(INDEX($V$2:$V$1001,MATCH(ROWS($U$2:U269),$U$2:$U$1001,0),1)&gt;=100000,INDEX($AB$1005:$AQ$1005,1,MATCH(COLUMNS($AB$1006:AL1006),$AB$1006:$AQ$1006,0))&gt;=100000), " ",IF(INDEX($AB$2:$AQ$1001,MATCH(ROWS($U$2:U269),$U$2:$U$1001,0),MATCH(COLUMNS($AB$1006:AL1006),$AB$1006:$AQ$1006,0)), HYPERLINK("#",""), HYPERLINK(CONCATENATE("#metadata!", ADDRESS(INDEX($W$2:$W$1001,MATCH(ROWS($U$2:U269),$U$2:$U$1001,0),0), INDEX($AB$1004:$AQ$1004,1,MATCH(COLUMNS($AB$1006:AL1006),$AB$1006:$AQ$1006,0)))),"Fix")))</f>
        <v>0</v>
      </c>
      <c r="M269" s="4">
        <f>IF(OR(INDEX($V$2:$V$1001,MATCH(ROWS($U$2:U269),$U$2:$U$1001,0),1)&gt;=100000,INDEX($AB$1005:$AQ$1005,1,MATCH(COLUMNS($AB$1006:AM1006),$AB$1006:$AQ$1006,0))&gt;=100000), " ",IF(INDEX($AB$2:$AQ$1001,MATCH(ROWS($U$2:U269),$U$2:$U$1001,0),MATCH(COLUMNS($AB$1006:AM1006),$AB$1006:$AQ$1006,0)), HYPERLINK("#",""), HYPERLINK(CONCATENATE("#metadata!", ADDRESS(INDEX($W$2:$W$1001,MATCH(ROWS($U$2:U269),$U$2:$U$1001,0),0), INDEX($AB$1004:$AQ$1004,1,MATCH(COLUMNS($AB$1006:AM1006),$AB$1006:$AQ$1006,0)))),"Fix")))</f>
        <v>0</v>
      </c>
      <c r="N269" s="4">
        <f>IF(OR(INDEX($V$2:$V$1001,MATCH(ROWS($U$2:U269),$U$2:$U$1001,0),1)&gt;=100000,INDEX($AB$1005:$AQ$1005,1,MATCH(COLUMNS($AB$1006:AN1006),$AB$1006:$AQ$1006,0))&gt;=100000), " ",IF(INDEX($AB$2:$AQ$1001,MATCH(ROWS($U$2:U269),$U$2:$U$1001,0),MATCH(COLUMNS($AB$1006:AN1006),$AB$1006:$AQ$1006,0)), HYPERLINK("#",""), HYPERLINK(CONCATENATE("#metadata!", ADDRESS(INDEX($W$2:$W$1001,MATCH(ROWS($U$2:U269),$U$2:$U$1001,0),0), INDEX($AB$1004:$AQ$1004,1,MATCH(COLUMNS($AB$1006:AN1006),$AB$1006:$AQ$1006,0)))),"Fix")))</f>
        <v>0</v>
      </c>
      <c r="O269" s="4">
        <f>IF(OR(INDEX($V$2:$V$1001,MATCH(ROWS($U$2:U269),$U$2:$U$1001,0),1)&gt;=100000,INDEX($AB$1005:$AQ$1005,1,MATCH(COLUMNS($AB$1006:AO1006),$AB$1006:$AQ$1006,0))&gt;=100000), " ",IF(INDEX($AB$2:$AQ$1001,MATCH(ROWS($U$2:U269),$U$2:$U$1001,0),MATCH(COLUMNS($AB$1006:AO1006),$AB$1006:$AQ$1006,0)), HYPERLINK("#",""), HYPERLINK(CONCATENATE("#metadata!", ADDRESS(INDEX($W$2:$W$1001,MATCH(ROWS($U$2:U269),$U$2:$U$1001,0),0), INDEX($AB$1004:$AQ$1004,1,MATCH(COLUMNS($AB$1006:AO1006),$AB$1006:$AQ$1006,0)))),"Fix")))</f>
        <v>0</v>
      </c>
      <c r="P269" s="4">
        <f>IF(OR(INDEX($V$2:$V$1001,MATCH(ROWS($U$2:U269),$U$2:$U$1001,0),1)&gt;=100000,INDEX($AB$1005:$AQ$1005,1,MATCH(COLUMNS($AB$1006:AP1006),$AB$1006:$AQ$1006,0))&gt;=100000), " ",IF(INDEX($AB$2:$AQ$1001,MATCH(ROWS($U$2:U269),$U$2:$U$1001,0),MATCH(COLUMNS($AB$1006:AP1006),$AB$1006:$AQ$1006,0)), HYPERLINK("#",""), HYPERLINK(CONCATENATE("#metadata!", ADDRESS(INDEX($W$2:$W$1001,MATCH(ROWS($U$2:U269),$U$2:$U$1001,0),0), INDEX($AB$1004:$AQ$1004,1,MATCH(COLUMNS($AB$1006:AP1006),$AB$1006:$AQ$1006,0)))),"Fix")))</f>
        <v>0</v>
      </c>
      <c r="Q269" s="4">
        <f>IF(OR(INDEX($V$2:$V$1001,MATCH(ROWS($U$2:U269),$U$2:$U$1001,0),1)&gt;=100000,INDEX($AB$1005:$AQ$1005,1,MATCH(COLUMNS($AB$1006:AQ1006),$AB$1006:$AQ$1006,0))&gt;=100000), " ",IF(INDEX($AB$2:$AQ$1001,MATCH(ROWS($U$2:U269),$U$2:$U$1001,0),MATCH(COLUMNS($AB$1006:AQ1006),$AB$1006:$AQ$1006,0)), HYPERLINK("#",""), HYPERLINK(CONCATENATE("#metadata!", ADDRESS(INDEX($W$2:$W$1001,MATCH(ROWS($U$2:U269),$U$2:$U$1001,0),0), INDEX($AB$1004:$AQ$1004,1,MATCH(COLUMNS($AB$1006:AQ1006),$AB$1006:$AQ$1006,0)))),"Fix")))</f>
        <v>0</v>
      </c>
      <c r="U269">
        <v>0</v>
      </c>
      <c r="V269">
        <v>0</v>
      </c>
      <c r="W269">
        <v>0</v>
      </c>
      <c r="X269">
        <f>IF(Y269,TRUE,AND(AB269:AQ269))</f>
        <v>0</v>
      </c>
      <c r="Y269">
        <f>COUNTBLANK(metadata!B269:Q269)=COLUMNS(metadata!B269:Q269)</f>
        <v>0</v>
      </c>
      <c r="Z269">
        <v>0</v>
      </c>
      <c r="AB269">
        <f>AND(IF(metadata!B269="",FALSE,TRUE),COUNTIF(metadata!B:B, metadata!B269) = 1,NOT(ISERROR(SUMPRODUCT(SEARCH(MID(metadata!B269,ROW(INDIRECT("1:"&amp;LEN(metadata!B269))), 1),"0123456789abcdefghijklmnopqrstuvwxyzABCDEFGHIJKLMNOPQRSTUVWXYZ.")))))</f>
        <v>0</v>
      </c>
      <c r="AC269">
        <f>OR(AND(IF(metadata!C269="",FALSE,TRUE),OR(exact(metadata!C269,"missing: not collected"),exact(metadata!C269,"missing: not provided"),exact(metadata!C269,"missing: restricted access"))),AND(IF(metadata!C269="",FALSE,TRUE),AND(AND(IFERROR(INT(LEFT(metadata!C269,4))&gt;1900,FALSE),IFERROR(INT(LEFT(metadata!C269,4))&lt;=YEAR(NOW()),FALSE)), OR(MID(metadata!C269,5,1)="", AND(AND(MID(metadata!C269,5,1)="-",IFERROR(INT(MID(metadata!C269,6,1))&gt;=0,FALSE),IFERROR(INT(MID(metadata!C269,6,1))&lt;=1,FALSE),NOT(MID(metadata!C269,7,1)=""),IFERROR(INT(MID(metadata!C269,6,2))&gt;=1,FALSE),IFERROR(INT(MID(metadata!C269,6,2))&lt;=12,FALSE)), OR(MID(metadata!C269,8,1)="", AND(AND(MID(metadata!C269,8,1)="-",IFERROR(INT(MID(metadata!C269,9,1))&gt;=0,FALSE),IFERROR(INT(MID(metadata!C269,9,1))&lt;=3,FALSE),NOT(MID(metadata!C269,10,1)=""),IFERROR(INT(MID(metadata!C269,9,2))&gt;=1,FALSE),IFERROR(INT(MID(metadata!C269,9,2))&lt;=31,FALSE)), OR(MID(metadata!C269,11,1)="", AND(AND(MID(metadata!C269,11,1)=" ",IFERROR(INT(MID(metadata!C269,12,1))&gt;=0,FALSE),IFERROR(INT(MID(metadata!C269,12,1))&lt;=2,FALSE),NOT(MID(metadata!C269,13,1)=""),IFERROR(INT(MID(metadata!C269,12,2))&gt;=0,FALSE),IFERROR(INT(MID(metadata!C269,12,2))&lt;=23,FALSE)), OR(MID(metadata!C269,14,1)="", AND(AND(MID(metadata!C269,14,1)=":",IFERROR(INT(MID(metadata!C269,15,1))&gt;=0,FALSE),IFERROR(INT(MID(metadata!C269,15,1))&lt;=5,FALSE),NOT(MID(metadata!C269,16,1)=""),IFERROR(INT(MID(metadata!C269,15,2))&gt;=0,FALSE),IFERROR(INT(MID(metadata!C269,15,2))&lt;=59,FALSE)), OR(MID(metadata!C269,17,1)="", AND(AND(MID(metadata!C269,17,1)=":",IFERROR(INT(MID(metadata!C269,18,1))&gt;=0,FALSE),IFERROR(INT(MID(metadata!C269,18,1))&lt;=5,FALSE),NOT(MID(metadata!C269,19,1)=""),IFERROR(INT(MID(metadata!C269,18,2))&gt;=0,FALSE),IFERROR(INT(MID(metadata!C269,18,2))&lt;=59,FALSE)), LEN(metadata!C269)&lt;=19)))))))))))))</f>
        <v>0</v>
      </c>
      <c r="AD269">
        <f>IF(metadata!D269="",FALSE,TRUE)</f>
        <v>0</v>
      </c>
      <c r="AE269">
        <f>OR(AND(IF(metadata!E269="",FALSE,TRUE),OR(exact(metadata!E269,"missing: not collected"),exact(metadata!E269,"missing: not provided"))),AND(IF(metadata!E269="",FALSE,TRUE),OR(exact(metadata!E269,"TRUE"),exact(metadata!E269,"FALSE"))))</f>
        <v>0</v>
      </c>
      <c r="AF269">
        <f>IF(metadata!F269="",FALSE,TRUE)</f>
        <v>0</v>
      </c>
      <c r="AG269">
        <f>IF(metadata!G269="",FALSE,TRUE)</f>
        <v>0</v>
      </c>
      <c r="AH269">
        <f>IF(metadata!H269="",FALSE,TRUE)</f>
        <v>0</v>
      </c>
      <c r="AI269">
        <f>OR(AND(IF(metadata!I269="",FALSE,TRUE),OR(exact(metadata!I269,"missing: not collected"),exact(metadata!I269,"missing: not provided"),exact(metadata!I269,"missing: restricted access"))),AND(IF(metadata!I269="",FALSE,TRUE),OR(exact(metadata!I269,"air"),exact(metadata!I269,"built environment"),exact(metadata!I269,"host-associated"),exact(metadata!I269,"human-associated"),exact(metadata!I269,"human-skin"),exact(metadata!I269,"human-oral"),exact(metadata!I269,"human-gut"),exact(metadata!I269,"human-vaginal"),exact(metadata!I269,"microbial mat/biofilm"),exact(metadata!I269,"misc environment"),exact(metadata!I269,"plant-associated"),exact(metadata!I269,"sediment"),exact(metadata!I269,"soil"),exact(metadata!I269,"wastewater/sludge"),exact(metadata!I269,"water"))))</f>
        <v>0</v>
      </c>
      <c r="AJ269">
        <f>IF(metadata!J269="",FALSE,TRUE)</f>
        <v>0</v>
      </c>
      <c r="AK269">
        <f>OR(AND(IF(metadata!K269="",FALSE,TRUE),OR(exact(metadata!K269,"missing: not collected"),exact(metadata!K269,"missing: not provided"),exact(metadata!K269,"missing: restricted access"))),AND(IF(metadata!K269="",FALSE,ISNUMBER(VALUE(metadata!K269))),metadata!K269&gt;=-90.00,metadata!K269&lt;=90.00))</f>
        <v>0</v>
      </c>
      <c r="AL269">
        <f>OR(AND(IF(metadata!L269="",FALSE,TRUE),OR(exact(metadata!L269,"missing: not collected"),exact(metadata!L269,"missing: not provided"),exact(metadata!L269,"missing: restricted access"))),AND(IF(metadata!L269="",FALSE,ISNUMBER(VALUE(metadata!L269))),metadata!L269&gt;=-180.00,metadata!L269&lt;=180.00))</f>
        <v>0</v>
      </c>
      <c r="AM269">
        <f>IF(metadata!M269="",FALSE,TRUE)</f>
        <v>0</v>
      </c>
      <c r="AN269">
        <f>OR(AND(IF(metadata!N269="",FALSE,TRUE),OR(exact(metadata!N269,"missing: not collected"),exact(metadata!N269,"missing: not provided"),exact(metadata!N269,"missing: restricted access"))),AND(IF(metadata!N269="",FALSE,TRUE),OR(exact(metadata!N269,"TRUE"),exact(metadata!N269,"FALSE"))))</f>
        <v>0</v>
      </c>
      <c r="AO269">
        <f>IF(metadata!O269="",FALSE,TRUE)</f>
        <v>0</v>
      </c>
      <c r="AP269">
        <f>OR(AND(IF(metadata!P269="",FALSE,TRUE),OR(exact(metadata!P269,"missing: not collected"),exact(metadata!P269,"missing: not provided"))),AND(IF(metadata!P269="",FALSE,IF(ISERROR(INT(metadata!P269)),FALSE,INT(metadata!P269)=metadata!P269)),metadata!P269&gt;0))</f>
        <v>0</v>
      </c>
      <c r="AQ269">
        <f>IF(metadata!Q269="",FALSE,TRUE)</f>
        <v>0</v>
      </c>
    </row>
    <row r="270" spans="1:43">
      <c r="A270" s="5">
        <f>IF(B270=" "," ",HYPERLINK(CONCATENATE("#metadata!",ADDRESS(INDEX($W$2:$W$1001,MATCH(ROWS($U$2:U270),$U$2:$U$1001,0),0),1)),INDEX($Z$2:$Z$1001,MATCH(ROWS($U$2:U270),$U$2:$U$1001,0),0)))</f>
        <v>0</v>
      </c>
      <c r="B270" s="4">
        <f>IF(OR(INDEX($V$2:$V$1001,MATCH(ROWS($U$2:U270),$U$2:$U$1001,0),1)&gt;=100000,INDEX($AB$1005:$AQ$1005,1,MATCH(COLUMNS($AB$1006:AB1006),$AB$1006:$AQ$1006,0))&gt;=100000), " ",IF(INDEX($AB$2:$AQ$1001,MATCH(ROWS($U$2:U270),$U$2:$U$1001,0),MATCH(COLUMNS($AB$1006:AB1006),$AB$1006:$AQ$1006,0)), HYPERLINK("#",""), HYPERLINK(CONCATENATE("#metadata!", ADDRESS(INDEX($W$2:$W$1001,MATCH(ROWS($U$2:U270),$U$2:$U$1001,0),0), INDEX($AB$1004:$AQ$1004,1,MATCH(COLUMNS($AB$1006:AB1006),$AB$1006:$AQ$1006,0)))),"Fix")))</f>
        <v>0</v>
      </c>
      <c r="C270" s="4">
        <f>IF(OR(INDEX($V$2:$V$1001,MATCH(ROWS($U$2:U270),$U$2:$U$1001,0),1)&gt;=100000,INDEX($AB$1005:$AQ$1005,1,MATCH(COLUMNS($AB$1006:AC1006),$AB$1006:$AQ$1006,0))&gt;=100000), " ",IF(INDEX($AB$2:$AQ$1001,MATCH(ROWS($U$2:U270),$U$2:$U$1001,0),MATCH(COLUMNS($AB$1006:AC1006),$AB$1006:$AQ$1006,0)), HYPERLINK("#",""), HYPERLINK(CONCATENATE("#metadata!", ADDRESS(INDEX($W$2:$W$1001,MATCH(ROWS($U$2:U270),$U$2:$U$1001,0),0), INDEX($AB$1004:$AQ$1004,1,MATCH(COLUMNS($AB$1006:AC1006),$AB$1006:$AQ$1006,0)))),"Fix")))</f>
        <v>0</v>
      </c>
      <c r="D270" s="4">
        <f>IF(OR(INDEX($V$2:$V$1001,MATCH(ROWS($U$2:U270),$U$2:$U$1001,0),1)&gt;=100000,INDEX($AB$1005:$AQ$1005,1,MATCH(COLUMNS($AB$1006:AD1006),$AB$1006:$AQ$1006,0))&gt;=100000), " ",IF(INDEX($AB$2:$AQ$1001,MATCH(ROWS($U$2:U270),$U$2:$U$1001,0),MATCH(COLUMNS($AB$1006:AD1006),$AB$1006:$AQ$1006,0)), HYPERLINK("#",""), HYPERLINK(CONCATENATE("#metadata!", ADDRESS(INDEX($W$2:$W$1001,MATCH(ROWS($U$2:U270),$U$2:$U$1001,0),0), INDEX($AB$1004:$AQ$1004,1,MATCH(COLUMNS($AB$1006:AD1006),$AB$1006:$AQ$1006,0)))),"Fix")))</f>
        <v>0</v>
      </c>
      <c r="E270" s="4">
        <f>IF(OR(INDEX($V$2:$V$1001,MATCH(ROWS($U$2:U270),$U$2:$U$1001,0),1)&gt;=100000,INDEX($AB$1005:$AQ$1005,1,MATCH(COLUMNS($AB$1006:AE1006),$AB$1006:$AQ$1006,0))&gt;=100000), " ",IF(INDEX($AB$2:$AQ$1001,MATCH(ROWS($U$2:U270),$U$2:$U$1001,0),MATCH(COLUMNS($AB$1006:AE1006),$AB$1006:$AQ$1006,0)), HYPERLINK("#",""), HYPERLINK(CONCATENATE("#metadata!", ADDRESS(INDEX($W$2:$W$1001,MATCH(ROWS($U$2:U270),$U$2:$U$1001,0),0), INDEX($AB$1004:$AQ$1004,1,MATCH(COLUMNS($AB$1006:AE1006),$AB$1006:$AQ$1006,0)))),"Fix")))</f>
        <v>0</v>
      </c>
      <c r="F270" s="4">
        <f>IF(OR(INDEX($V$2:$V$1001,MATCH(ROWS($U$2:U270),$U$2:$U$1001,0),1)&gt;=100000,INDEX($AB$1005:$AQ$1005,1,MATCH(COLUMNS($AB$1006:AF1006),$AB$1006:$AQ$1006,0))&gt;=100000), " ",IF(INDEX($AB$2:$AQ$1001,MATCH(ROWS($U$2:U270),$U$2:$U$1001,0),MATCH(COLUMNS($AB$1006:AF1006),$AB$1006:$AQ$1006,0)), HYPERLINK("#",""), HYPERLINK(CONCATENATE("#metadata!", ADDRESS(INDEX($W$2:$W$1001,MATCH(ROWS($U$2:U270),$U$2:$U$1001,0),0), INDEX($AB$1004:$AQ$1004,1,MATCH(COLUMNS($AB$1006:AF1006),$AB$1006:$AQ$1006,0)))),"Fix")))</f>
        <v>0</v>
      </c>
      <c r="G270" s="4">
        <f>IF(OR(INDEX($V$2:$V$1001,MATCH(ROWS($U$2:U270),$U$2:$U$1001,0),1)&gt;=100000,INDEX($AB$1005:$AQ$1005,1,MATCH(COLUMNS($AB$1006:AG1006),$AB$1006:$AQ$1006,0))&gt;=100000), " ",IF(INDEX($AB$2:$AQ$1001,MATCH(ROWS($U$2:U270),$U$2:$U$1001,0),MATCH(COLUMNS($AB$1006:AG1006),$AB$1006:$AQ$1006,0)), HYPERLINK("#",""), HYPERLINK(CONCATENATE("#metadata!", ADDRESS(INDEX($W$2:$W$1001,MATCH(ROWS($U$2:U270),$U$2:$U$1001,0),0), INDEX($AB$1004:$AQ$1004,1,MATCH(COLUMNS($AB$1006:AG1006),$AB$1006:$AQ$1006,0)))),"Fix")))</f>
        <v>0</v>
      </c>
      <c r="H270" s="4">
        <f>IF(OR(INDEX($V$2:$V$1001,MATCH(ROWS($U$2:U270),$U$2:$U$1001,0),1)&gt;=100000,INDEX($AB$1005:$AQ$1005,1,MATCH(COLUMNS($AB$1006:AH1006),$AB$1006:$AQ$1006,0))&gt;=100000), " ",IF(INDEX($AB$2:$AQ$1001,MATCH(ROWS($U$2:U270),$U$2:$U$1001,0),MATCH(COLUMNS($AB$1006:AH1006),$AB$1006:$AQ$1006,0)), HYPERLINK("#",""), HYPERLINK(CONCATENATE("#metadata!", ADDRESS(INDEX($W$2:$W$1001,MATCH(ROWS($U$2:U270),$U$2:$U$1001,0),0), INDEX($AB$1004:$AQ$1004,1,MATCH(COLUMNS($AB$1006:AH1006),$AB$1006:$AQ$1006,0)))),"Fix")))</f>
        <v>0</v>
      </c>
      <c r="I270" s="4">
        <f>IF(OR(INDEX($V$2:$V$1001,MATCH(ROWS($U$2:U270),$U$2:$U$1001,0),1)&gt;=100000,INDEX($AB$1005:$AQ$1005,1,MATCH(COLUMNS($AB$1006:AI1006),$AB$1006:$AQ$1006,0))&gt;=100000), " ",IF(INDEX($AB$2:$AQ$1001,MATCH(ROWS($U$2:U270),$U$2:$U$1001,0),MATCH(COLUMNS($AB$1006:AI1006),$AB$1006:$AQ$1006,0)), HYPERLINK("#",""), HYPERLINK(CONCATENATE("#metadata!", ADDRESS(INDEX($W$2:$W$1001,MATCH(ROWS($U$2:U270),$U$2:$U$1001,0),0), INDEX($AB$1004:$AQ$1004,1,MATCH(COLUMNS($AB$1006:AI1006),$AB$1006:$AQ$1006,0)))),"Fix")))</f>
        <v>0</v>
      </c>
      <c r="J270" s="4">
        <f>IF(OR(INDEX($V$2:$V$1001,MATCH(ROWS($U$2:U270),$U$2:$U$1001,0),1)&gt;=100000,INDEX($AB$1005:$AQ$1005,1,MATCH(COLUMNS($AB$1006:AJ1006),$AB$1006:$AQ$1006,0))&gt;=100000), " ",IF(INDEX($AB$2:$AQ$1001,MATCH(ROWS($U$2:U270),$U$2:$U$1001,0),MATCH(COLUMNS($AB$1006:AJ1006),$AB$1006:$AQ$1006,0)), HYPERLINK("#",""), HYPERLINK(CONCATENATE("#metadata!", ADDRESS(INDEX($W$2:$W$1001,MATCH(ROWS($U$2:U270),$U$2:$U$1001,0),0), INDEX($AB$1004:$AQ$1004,1,MATCH(COLUMNS($AB$1006:AJ1006),$AB$1006:$AQ$1006,0)))),"Fix")))</f>
        <v>0</v>
      </c>
      <c r="K270" s="4">
        <f>IF(OR(INDEX($V$2:$V$1001,MATCH(ROWS($U$2:U270),$U$2:$U$1001,0),1)&gt;=100000,INDEX($AB$1005:$AQ$1005,1,MATCH(COLUMNS($AB$1006:AK1006),$AB$1006:$AQ$1006,0))&gt;=100000), " ",IF(INDEX($AB$2:$AQ$1001,MATCH(ROWS($U$2:U270),$U$2:$U$1001,0),MATCH(COLUMNS($AB$1006:AK1006),$AB$1006:$AQ$1006,0)), HYPERLINK("#",""), HYPERLINK(CONCATENATE("#metadata!", ADDRESS(INDEX($W$2:$W$1001,MATCH(ROWS($U$2:U270),$U$2:$U$1001,0),0), INDEX($AB$1004:$AQ$1004,1,MATCH(COLUMNS($AB$1006:AK1006),$AB$1006:$AQ$1006,0)))),"Fix")))</f>
        <v>0</v>
      </c>
      <c r="L270" s="4">
        <f>IF(OR(INDEX($V$2:$V$1001,MATCH(ROWS($U$2:U270),$U$2:$U$1001,0),1)&gt;=100000,INDEX($AB$1005:$AQ$1005,1,MATCH(COLUMNS($AB$1006:AL1006),$AB$1006:$AQ$1006,0))&gt;=100000), " ",IF(INDEX($AB$2:$AQ$1001,MATCH(ROWS($U$2:U270),$U$2:$U$1001,0),MATCH(COLUMNS($AB$1006:AL1006),$AB$1006:$AQ$1006,0)), HYPERLINK("#",""), HYPERLINK(CONCATENATE("#metadata!", ADDRESS(INDEX($W$2:$W$1001,MATCH(ROWS($U$2:U270),$U$2:$U$1001,0),0), INDEX($AB$1004:$AQ$1004,1,MATCH(COLUMNS($AB$1006:AL1006),$AB$1006:$AQ$1006,0)))),"Fix")))</f>
        <v>0</v>
      </c>
      <c r="M270" s="4">
        <f>IF(OR(INDEX($V$2:$V$1001,MATCH(ROWS($U$2:U270),$U$2:$U$1001,0),1)&gt;=100000,INDEX($AB$1005:$AQ$1005,1,MATCH(COLUMNS($AB$1006:AM1006),$AB$1006:$AQ$1006,0))&gt;=100000), " ",IF(INDEX($AB$2:$AQ$1001,MATCH(ROWS($U$2:U270),$U$2:$U$1001,0),MATCH(COLUMNS($AB$1006:AM1006),$AB$1006:$AQ$1006,0)), HYPERLINK("#",""), HYPERLINK(CONCATENATE("#metadata!", ADDRESS(INDEX($W$2:$W$1001,MATCH(ROWS($U$2:U270),$U$2:$U$1001,0),0), INDEX($AB$1004:$AQ$1004,1,MATCH(COLUMNS($AB$1006:AM1006),$AB$1006:$AQ$1006,0)))),"Fix")))</f>
        <v>0</v>
      </c>
      <c r="N270" s="4">
        <f>IF(OR(INDEX($V$2:$V$1001,MATCH(ROWS($U$2:U270),$U$2:$U$1001,0),1)&gt;=100000,INDEX($AB$1005:$AQ$1005,1,MATCH(COLUMNS($AB$1006:AN1006),$AB$1006:$AQ$1006,0))&gt;=100000), " ",IF(INDEX($AB$2:$AQ$1001,MATCH(ROWS($U$2:U270),$U$2:$U$1001,0),MATCH(COLUMNS($AB$1006:AN1006),$AB$1006:$AQ$1006,0)), HYPERLINK("#",""), HYPERLINK(CONCATENATE("#metadata!", ADDRESS(INDEX($W$2:$W$1001,MATCH(ROWS($U$2:U270),$U$2:$U$1001,0),0), INDEX($AB$1004:$AQ$1004,1,MATCH(COLUMNS($AB$1006:AN1006),$AB$1006:$AQ$1006,0)))),"Fix")))</f>
        <v>0</v>
      </c>
      <c r="O270" s="4">
        <f>IF(OR(INDEX($V$2:$V$1001,MATCH(ROWS($U$2:U270),$U$2:$U$1001,0),1)&gt;=100000,INDEX($AB$1005:$AQ$1005,1,MATCH(COLUMNS($AB$1006:AO1006),$AB$1006:$AQ$1006,0))&gt;=100000), " ",IF(INDEX($AB$2:$AQ$1001,MATCH(ROWS($U$2:U270),$U$2:$U$1001,0),MATCH(COLUMNS($AB$1006:AO1006),$AB$1006:$AQ$1006,0)), HYPERLINK("#",""), HYPERLINK(CONCATENATE("#metadata!", ADDRESS(INDEX($W$2:$W$1001,MATCH(ROWS($U$2:U270),$U$2:$U$1001,0),0), INDEX($AB$1004:$AQ$1004,1,MATCH(COLUMNS($AB$1006:AO1006),$AB$1006:$AQ$1006,0)))),"Fix")))</f>
        <v>0</v>
      </c>
      <c r="P270" s="4">
        <f>IF(OR(INDEX($V$2:$V$1001,MATCH(ROWS($U$2:U270),$U$2:$U$1001,0),1)&gt;=100000,INDEX($AB$1005:$AQ$1005,1,MATCH(COLUMNS($AB$1006:AP1006),$AB$1006:$AQ$1006,0))&gt;=100000), " ",IF(INDEX($AB$2:$AQ$1001,MATCH(ROWS($U$2:U270),$U$2:$U$1001,0),MATCH(COLUMNS($AB$1006:AP1006),$AB$1006:$AQ$1006,0)), HYPERLINK("#",""), HYPERLINK(CONCATENATE("#metadata!", ADDRESS(INDEX($W$2:$W$1001,MATCH(ROWS($U$2:U270),$U$2:$U$1001,0),0), INDEX($AB$1004:$AQ$1004,1,MATCH(COLUMNS($AB$1006:AP1006),$AB$1006:$AQ$1006,0)))),"Fix")))</f>
        <v>0</v>
      </c>
      <c r="Q270" s="4">
        <f>IF(OR(INDEX($V$2:$V$1001,MATCH(ROWS($U$2:U270),$U$2:$U$1001,0),1)&gt;=100000,INDEX($AB$1005:$AQ$1005,1,MATCH(COLUMNS($AB$1006:AQ1006),$AB$1006:$AQ$1006,0))&gt;=100000), " ",IF(INDEX($AB$2:$AQ$1001,MATCH(ROWS($U$2:U270),$U$2:$U$1001,0),MATCH(COLUMNS($AB$1006:AQ1006),$AB$1006:$AQ$1006,0)), HYPERLINK("#",""), HYPERLINK(CONCATENATE("#metadata!", ADDRESS(INDEX($W$2:$W$1001,MATCH(ROWS($U$2:U270),$U$2:$U$1001,0),0), INDEX($AB$1004:$AQ$1004,1,MATCH(COLUMNS($AB$1006:AQ1006),$AB$1006:$AQ$1006,0)))),"Fix")))</f>
        <v>0</v>
      </c>
      <c r="U270">
        <v>0</v>
      </c>
      <c r="V270">
        <v>0</v>
      </c>
      <c r="W270">
        <v>0</v>
      </c>
      <c r="X270">
        <f>IF(Y270,TRUE,AND(AB270:AQ270))</f>
        <v>0</v>
      </c>
      <c r="Y270">
        <f>COUNTBLANK(metadata!B270:Q270)=COLUMNS(metadata!B270:Q270)</f>
        <v>0</v>
      </c>
      <c r="Z270">
        <v>0</v>
      </c>
      <c r="AB270">
        <f>AND(IF(metadata!B270="",FALSE,TRUE),COUNTIF(metadata!B:B, metadata!B270) = 1,NOT(ISERROR(SUMPRODUCT(SEARCH(MID(metadata!B270,ROW(INDIRECT("1:"&amp;LEN(metadata!B270))), 1),"0123456789abcdefghijklmnopqrstuvwxyzABCDEFGHIJKLMNOPQRSTUVWXYZ.")))))</f>
        <v>0</v>
      </c>
      <c r="AC270">
        <f>OR(AND(IF(metadata!C270="",FALSE,TRUE),OR(exact(metadata!C270,"missing: not collected"),exact(metadata!C270,"missing: not provided"),exact(metadata!C270,"missing: restricted access"))),AND(IF(metadata!C270="",FALSE,TRUE),AND(AND(IFERROR(INT(LEFT(metadata!C270,4))&gt;1900,FALSE),IFERROR(INT(LEFT(metadata!C270,4))&lt;=YEAR(NOW()),FALSE)), OR(MID(metadata!C270,5,1)="", AND(AND(MID(metadata!C270,5,1)="-",IFERROR(INT(MID(metadata!C270,6,1))&gt;=0,FALSE),IFERROR(INT(MID(metadata!C270,6,1))&lt;=1,FALSE),NOT(MID(metadata!C270,7,1)=""),IFERROR(INT(MID(metadata!C270,6,2))&gt;=1,FALSE),IFERROR(INT(MID(metadata!C270,6,2))&lt;=12,FALSE)), OR(MID(metadata!C270,8,1)="", AND(AND(MID(metadata!C270,8,1)="-",IFERROR(INT(MID(metadata!C270,9,1))&gt;=0,FALSE),IFERROR(INT(MID(metadata!C270,9,1))&lt;=3,FALSE),NOT(MID(metadata!C270,10,1)=""),IFERROR(INT(MID(metadata!C270,9,2))&gt;=1,FALSE),IFERROR(INT(MID(metadata!C270,9,2))&lt;=31,FALSE)), OR(MID(metadata!C270,11,1)="", AND(AND(MID(metadata!C270,11,1)=" ",IFERROR(INT(MID(metadata!C270,12,1))&gt;=0,FALSE),IFERROR(INT(MID(metadata!C270,12,1))&lt;=2,FALSE),NOT(MID(metadata!C270,13,1)=""),IFERROR(INT(MID(metadata!C270,12,2))&gt;=0,FALSE),IFERROR(INT(MID(metadata!C270,12,2))&lt;=23,FALSE)), OR(MID(metadata!C270,14,1)="", AND(AND(MID(metadata!C270,14,1)=":",IFERROR(INT(MID(metadata!C270,15,1))&gt;=0,FALSE),IFERROR(INT(MID(metadata!C270,15,1))&lt;=5,FALSE),NOT(MID(metadata!C270,16,1)=""),IFERROR(INT(MID(metadata!C270,15,2))&gt;=0,FALSE),IFERROR(INT(MID(metadata!C270,15,2))&lt;=59,FALSE)), OR(MID(metadata!C270,17,1)="", AND(AND(MID(metadata!C270,17,1)=":",IFERROR(INT(MID(metadata!C270,18,1))&gt;=0,FALSE),IFERROR(INT(MID(metadata!C270,18,1))&lt;=5,FALSE),NOT(MID(metadata!C270,19,1)=""),IFERROR(INT(MID(metadata!C270,18,2))&gt;=0,FALSE),IFERROR(INT(MID(metadata!C270,18,2))&lt;=59,FALSE)), LEN(metadata!C270)&lt;=19)))))))))))))</f>
        <v>0</v>
      </c>
      <c r="AD270">
        <f>IF(metadata!D270="",FALSE,TRUE)</f>
        <v>0</v>
      </c>
      <c r="AE270">
        <f>OR(AND(IF(metadata!E270="",FALSE,TRUE),OR(exact(metadata!E270,"missing: not collected"),exact(metadata!E270,"missing: not provided"))),AND(IF(metadata!E270="",FALSE,TRUE),OR(exact(metadata!E270,"TRUE"),exact(metadata!E270,"FALSE"))))</f>
        <v>0</v>
      </c>
      <c r="AF270">
        <f>IF(metadata!F270="",FALSE,TRUE)</f>
        <v>0</v>
      </c>
      <c r="AG270">
        <f>IF(metadata!G270="",FALSE,TRUE)</f>
        <v>0</v>
      </c>
      <c r="AH270">
        <f>IF(metadata!H270="",FALSE,TRUE)</f>
        <v>0</v>
      </c>
      <c r="AI270">
        <f>OR(AND(IF(metadata!I270="",FALSE,TRUE),OR(exact(metadata!I270,"missing: not collected"),exact(metadata!I270,"missing: not provided"),exact(metadata!I270,"missing: restricted access"))),AND(IF(metadata!I270="",FALSE,TRUE),OR(exact(metadata!I270,"air"),exact(metadata!I270,"built environment"),exact(metadata!I270,"host-associated"),exact(metadata!I270,"human-associated"),exact(metadata!I270,"human-skin"),exact(metadata!I270,"human-oral"),exact(metadata!I270,"human-gut"),exact(metadata!I270,"human-vaginal"),exact(metadata!I270,"microbial mat/biofilm"),exact(metadata!I270,"misc environment"),exact(metadata!I270,"plant-associated"),exact(metadata!I270,"sediment"),exact(metadata!I270,"soil"),exact(metadata!I270,"wastewater/sludge"),exact(metadata!I270,"water"))))</f>
        <v>0</v>
      </c>
      <c r="AJ270">
        <f>IF(metadata!J270="",FALSE,TRUE)</f>
        <v>0</v>
      </c>
      <c r="AK270">
        <f>OR(AND(IF(metadata!K270="",FALSE,TRUE),OR(exact(metadata!K270,"missing: not collected"),exact(metadata!K270,"missing: not provided"),exact(metadata!K270,"missing: restricted access"))),AND(IF(metadata!K270="",FALSE,ISNUMBER(VALUE(metadata!K270))),metadata!K270&gt;=-90.00,metadata!K270&lt;=90.00))</f>
        <v>0</v>
      </c>
      <c r="AL270">
        <f>OR(AND(IF(metadata!L270="",FALSE,TRUE),OR(exact(metadata!L270,"missing: not collected"),exact(metadata!L270,"missing: not provided"),exact(metadata!L270,"missing: restricted access"))),AND(IF(metadata!L270="",FALSE,ISNUMBER(VALUE(metadata!L270))),metadata!L270&gt;=-180.00,metadata!L270&lt;=180.00))</f>
        <v>0</v>
      </c>
      <c r="AM270">
        <f>IF(metadata!M270="",FALSE,TRUE)</f>
        <v>0</v>
      </c>
      <c r="AN270">
        <f>OR(AND(IF(metadata!N270="",FALSE,TRUE),OR(exact(metadata!N270,"missing: not collected"),exact(metadata!N270,"missing: not provided"),exact(metadata!N270,"missing: restricted access"))),AND(IF(metadata!N270="",FALSE,TRUE),OR(exact(metadata!N270,"TRUE"),exact(metadata!N270,"FALSE"))))</f>
        <v>0</v>
      </c>
      <c r="AO270">
        <f>IF(metadata!O270="",FALSE,TRUE)</f>
        <v>0</v>
      </c>
      <c r="AP270">
        <f>OR(AND(IF(metadata!P270="",FALSE,TRUE),OR(exact(metadata!P270,"missing: not collected"),exact(metadata!P270,"missing: not provided"))),AND(IF(metadata!P270="",FALSE,IF(ISERROR(INT(metadata!P270)),FALSE,INT(metadata!P270)=metadata!P270)),metadata!P270&gt;0))</f>
        <v>0</v>
      </c>
      <c r="AQ270">
        <f>IF(metadata!Q270="",FALSE,TRUE)</f>
        <v>0</v>
      </c>
    </row>
    <row r="271" spans="1:43">
      <c r="A271" s="5">
        <f>IF(B271=" "," ",HYPERLINK(CONCATENATE("#metadata!",ADDRESS(INDEX($W$2:$W$1001,MATCH(ROWS($U$2:U271),$U$2:$U$1001,0),0),1)),INDEX($Z$2:$Z$1001,MATCH(ROWS($U$2:U271),$U$2:$U$1001,0),0)))</f>
        <v>0</v>
      </c>
      <c r="B271" s="4">
        <f>IF(OR(INDEX($V$2:$V$1001,MATCH(ROWS($U$2:U271),$U$2:$U$1001,0),1)&gt;=100000,INDEX($AB$1005:$AQ$1005,1,MATCH(COLUMNS($AB$1006:AB1006),$AB$1006:$AQ$1006,0))&gt;=100000), " ",IF(INDEX($AB$2:$AQ$1001,MATCH(ROWS($U$2:U271),$U$2:$U$1001,0),MATCH(COLUMNS($AB$1006:AB1006),$AB$1006:$AQ$1006,0)), HYPERLINK("#",""), HYPERLINK(CONCATENATE("#metadata!", ADDRESS(INDEX($W$2:$W$1001,MATCH(ROWS($U$2:U271),$U$2:$U$1001,0),0), INDEX($AB$1004:$AQ$1004,1,MATCH(COLUMNS($AB$1006:AB1006),$AB$1006:$AQ$1006,0)))),"Fix")))</f>
        <v>0</v>
      </c>
      <c r="C271" s="4">
        <f>IF(OR(INDEX($V$2:$V$1001,MATCH(ROWS($U$2:U271),$U$2:$U$1001,0),1)&gt;=100000,INDEX($AB$1005:$AQ$1005,1,MATCH(COLUMNS($AB$1006:AC1006),$AB$1006:$AQ$1006,0))&gt;=100000), " ",IF(INDEX($AB$2:$AQ$1001,MATCH(ROWS($U$2:U271),$U$2:$U$1001,0),MATCH(COLUMNS($AB$1006:AC1006),$AB$1006:$AQ$1006,0)), HYPERLINK("#",""), HYPERLINK(CONCATENATE("#metadata!", ADDRESS(INDEX($W$2:$W$1001,MATCH(ROWS($U$2:U271),$U$2:$U$1001,0),0), INDEX($AB$1004:$AQ$1004,1,MATCH(COLUMNS($AB$1006:AC1006),$AB$1006:$AQ$1006,0)))),"Fix")))</f>
        <v>0</v>
      </c>
      <c r="D271" s="4">
        <f>IF(OR(INDEX($V$2:$V$1001,MATCH(ROWS($U$2:U271),$U$2:$U$1001,0),1)&gt;=100000,INDEX($AB$1005:$AQ$1005,1,MATCH(COLUMNS($AB$1006:AD1006),$AB$1006:$AQ$1006,0))&gt;=100000), " ",IF(INDEX($AB$2:$AQ$1001,MATCH(ROWS($U$2:U271),$U$2:$U$1001,0),MATCH(COLUMNS($AB$1006:AD1006),$AB$1006:$AQ$1006,0)), HYPERLINK("#",""), HYPERLINK(CONCATENATE("#metadata!", ADDRESS(INDEX($W$2:$W$1001,MATCH(ROWS($U$2:U271),$U$2:$U$1001,0),0), INDEX($AB$1004:$AQ$1004,1,MATCH(COLUMNS($AB$1006:AD1006),$AB$1006:$AQ$1006,0)))),"Fix")))</f>
        <v>0</v>
      </c>
      <c r="E271" s="4">
        <f>IF(OR(INDEX($V$2:$V$1001,MATCH(ROWS($U$2:U271),$U$2:$U$1001,0),1)&gt;=100000,INDEX($AB$1005:$AQ$1005,1,MATCH(COLUMNS($AB$1006:AE1006),$AB$1006:$AQ$1006,0))&gt;=100000), " ",IF(INDEX($AB$2:$AQ$1001,MATCH(ROWS($U$2:U271),$U$2:$U$1001,0),MATCH(COLUMNS($AB$1006:AE1006),$AB$1006:$AQ$1006,0)), HYPERLINK("#",""), HYPERLINK(CONCATENATE("#metadata!", ADDRESS(INDEX($W$2:$W$1001,MATCH(ROWS($U$2:U271),$U$2:$U$1001,0),0), INDEX($AB$1004:$AQ$1004,1,MATCH(COLUMNS($AB$1006:AE1006),$AB$1006:$AQ$1006,0)))),"Fix")))</f>
        <v>0</v>
      </c>
      <c r="F271" s="4">
        <f>IF(OR(INDEX($V$2:$V$1001,MATCH(ROWS($U$2:U271),$U$2:$U$1001,0),1)&gt;=100000,INDEX($AB$1005:$AQ$1005,1,MATCH(COLUMNS($AB$1006:AF1006),$AB$1006:$AQ$1006,0))&gt;=100000), " ",IF(INDEX($AB$2:$AQ$1001,MATCH(ROWS($U$2:U271),$U$2:$U$1001,0),MATCH(COLUMNS($AB$1006:AF1006),$AB$1006:$AQ$1006,0)), HYPERLINK("#",""), HYPERLINK(CONCATENATE("#metadata!", ADDRESS(INDEX($W$2:$W$1001,MATCH(ROWS($U$2:U271),$U$2:$U$1001,0),0), INDEX($AB$1004:$AQ$1004,1,MATCH(COLUMNS($AB$1006:AF1006),$AB$1006:$AQ$1006,0)))),"Fix")))</f>
        <v>0</v>
      </c>
      <c r="G271" s="4">
        <f>IF(OR(INDEX($V$2:$V$1001,MATCH(ROWS($U$2:U271),$U$2:$U$1001,0),1)&gt;=100000,INDEX($AB$1005:$AQ$1005,1,MATCH(COLUMNS($AB$1006:AG1006),$AB$1006:$AQ$1006,0))&gt;=100000), " ",IF(INDEX($AB$2:$AQ$1001,MATCH(ROWS($U$2:U271),$U$2:$U$1001,0),MATCH(COLUMNS($AB$1006:AG1006),$AB$1006:$AQ$1006,0)), HYPERLINK("#",""), HYPERLINK(CONCATENATE("#metadata!", ADDRESS(INDEX($W$2:$W$1001,MATCH(ROWS($U$2:U271),$U$2:$U$1001,0),0), INDEX($AB$1004:$AQ$1004,1,MATCH(COLUMNS($AB$1006:AG1006),$AB$1006:$AQ$1006,0)))),"Fix")))</f>
        <v>0</v>
      </c>
      <c r="H271" s="4">
        <f>IF(OR(INDEX($V$2:$V$1001,MATCH(ROWS($U$2:U271),$U$2:$U$1001,0),1)&gt;=100000,INDEX($AB$1005:$AQ$1005,1,MATCH(COLUMNS($AB$1006:AH1006),$AB$1006:$AQ$1006,0))&gt;=100000), " ",IF(INDEX($AB$2:$AQ$1001,MATCH(ROWS($U$2:U271),$U$2:$U$1001,0),MATCH(COLUMNS($AB$1006:AH1006),$AB$1006:$AQ$1006,0)), HYPERLINK("#",""), HYPERLINK(CONCATENATE("#metadata!", ADDRESS(INDEX($W$2:$W$1001,MATCH(ROWS($U$2:U271),$U$2:$U$1001,0),0), INDEX($AB$1004:$AQ$1004,1,MATCH(COLUMNS($AB$1006:AH1006),$AB$1006:$AQ$1006,0)))),"Fix")))</f>
        <v>0</v>
      </c>
      <c r="I271" s="4">
        <f>IF(OR(INDEX($V$2:$V$1001,MATCH(ROWS($U$2:U271),$U$2:$U$1001,0),1)&gt;=100000,INDEX($AB$1005:$AQ$1005,1,MATCH(COLUMNS($AB$1006:AI1006),$AB$1006:$AQ$1006,0))&gt;=100000), " ",IF(INDEX($AB$2:$AQ$1001,MATCH(ROWS($U$2:U271),$U$2:$U$1001,0),MATCH(COLUMNS($AB$1006:AI1006),$AB$1006:$AQ$1006,0)), HYPERLINK("#",""), HYPERLINK(CONCATENATE("#metadata!", ADDRESS(INDEX($W$2:$W$1001,MATCH(ROWS($U$2:U271),$U$2:$U$1001,0),0), INDEX($AB$1004:$AQ$1004,1,MATCH(COLUMNS($AB$1006:AI1006),$AB$1006:$AQ$1006,0)))),"Fix")))</f>
        <v>0</v>
      </c>
      <c r="J271" s="4">
        <f>IF(OR(INDEX($V$2:$V$1001,MATCH(ROWS($U$2:U271),$U$2:$U$1001,0),1)&gt;=100000,INDEX($AB$1005:$AQ$1005,1,MATCH(COLUMNS($AB$1006:AJ1006),$AB$1006:$AQ$1006,0))&gt;=100000), " ",IF(INDEX($AB$2:$AQ$1001,MATCH(ROWS($U$2:U271),$U$2:$U$1001,0),MATCH(COLUMNS($AB$1006:AJ1006),$AB$1006:$AQ$1006,0)), HYPERLINK("#",""), HYPERLINK(CONCATENATE("#metadata!", ADDRESS(INDEX($W$2:$W$1001,MATCH(ROWS($U$2:U271),$U$2:$U$1001,0),0), INDEX($AB$1004:$AQ$1004,1,MATCH(COLUMNS($AB$1006:AJ1006),$AB$1006:$AQ$1006,0)))),"Fix")))</f>
        <v>0</v>
      </c>
      <c r="K271" s="4">
        <f>IF(OR(INDEX($V$2:$V$1001,MATCH(ROWS($U$2:U271),$U$2:$U$1001,0),1)&gt;=100000,INDEX($AB$1005:$AQ$1005,1,MATCH(COLUMNS($AB$1006:AK1006),$AB$1006:$AQ$1006,0))&gt;=100000), " ",IF(INDEX($AB$2:$AQ$1001,MATCH(ROWS($U$2:U271),$U$2:$U$1001,0),MATCH(COLUMNS($AB$1006:AK1006),$AB$1006:$AQ$1006,0)), HYPERLINK("#",""), HYPERLINK(CONCATENATE("#metadata!", ADDRESS(INDEX($W$2:$W$1001,MATCH(ROWS($U$2:U271),$U$2:$U$1001,0),0), INDEX($AB$1004:$AQ$1004,1,MATCH(COLUMNS($AB$1006:AK1006),$AB$1006:$AQ$1006,0)))),"Fix")))</f>
        <v>0</v>
      </c>
      <c r="L271" s="4">
        <f>IF(OR(INDEX($V$2:$V$1001,MATCH(ROWS($U$2:U271),$U$2:$U$1001,0),1)&gt;=100000,INDEX($AB$1005:$AQ$1005,1,MATCH(COLUMNS($AB$1006:AL1006),$AB$1006:$AQ$1006,0))&gt;=100000), " ",IF(INDEX($AB$2:$AQ$1001,MATCH(ROWS($U$2:U271),$U$2:$U$1001,0),MATCH(COLUMNS($AB$1006:AL1006),$AB$1006:$AQ$1006,0)), HYPERLINK("#",""), HYPERLINK(CONCATENATE("#metadata!", ADDRESS(INDEX($W$2:$W$1001,MATCH(ROWS($U$2:U271),$U$2:$U$1001,0),0), INDEX($AB$1004:$AQ$1004,1,MATCH(COLUMNS($AB$1006:AL1006),$AB$1006:$AQ$1006,0)))),"Fix")))</f>
        <v>0</v>
      </c>
      <c r="M271" s="4">
        <f>IF(OR(INDEX($V$2:$V$1001,MATCH(ROWS($U$2:U271),$U$2:$U$1001,0),1)&gt;=100000,INDEX($AB$1005:$AQ$1005,1,MATCH(COLUMNS($AB$1006:AM1006),$AB$1006:$AQ$1006,0))&gt;=100000), " ",IF(INDEX($AB$2:$AQ$1001,MATCH(ROWS($U$2:U271),$U$2:$U$1001,0),MATCH(COLUMNS($AB$1006:AM1006),$AB$1006:$AQ$1006,0)), HYPERLINK("#",""), HYPERLINK(CONCATENATE("#metadata!", ADDRESS(INDEX($W$2:$W$1001,MATCH(ROWS($U$2:U271),$U$2:$U$1001,0),0), INDEX($AB$1004:$AQ$1004,1,MATCH(COLUMNS($AB$1006:AM1006),$AB$1006:$AQ$1006,0)))),"Fix")))</f>
        <v>0</v>
      </c>
      <c r="N271" s="4">
        <f>IF(OR(INDEX($V$2:$V$1001,MATCH(ROWS($U$2:U271),$U$2:$U$1001,0),1)&gt;=100000,INDEX($AB$1005:$AQ$1005,1,MATCH(COLUMNS($AB$1006:AN1006),$AB$1006:$AQ$1006,0))&gt;=100000), " ",IF(INDEX($AB$2:$AQ$1001,MATCH(ROWS($U$2:U271),$U$2:$U$1001,0),MATCH(COLUMNS($AB$1006:AN1006),$AB$1006:$AQ$1006,0)), HYPERLINK("#",""), HYPERLINK(CONCATENATE("#metadata!", ADDRESS(INDEX($W$2:$W$1001,MATCH(ROWS($U$2:U271),$U$2:$U$1001,0),0), INDEX($AB$1004:$AQ$1004,1,MATCH(COLUMNS($AB$1006:AN1006),$AB$1006:$AQ$1006,0)))),"Fix")))</f>
        <v>0</v>
      </c>
      <c r="O271" s="4">
        <f>IF(OR(INDEX($V$2:$V$1001,MATCH(ROWS($U$2:U271),$U$2:$U$1001,0),1)&gt;=100000,INDEX($AB$1005:$AQ$1005,1,MATCH(COLUMNS($AB$1006:AO1006),$AB$1006:$AQ$1006,0))&gt;=100000), " ",IF(INDEX($AB$2:$AQ$1001,MATCH(ROWS($U$2:U271),$U$2:$U$1001,0),MATCH(COLUMNS($AB$1006:AO1006),$AB$1006:$AQ$1006,0)), HYPERLINK("#",""), HYPERLINK(CONCATENATE("#metadata!", ADDRESS(INDEX($W$2:$W$1001,MATCH(ROWS($U$2:U271),$U$2:$U$1001,0),0), INDEX($AB$1004:$AQ$1004,1,MATCH(COLUMNS($AB$1006:AO1006),$AB$1006:$AQ$1006,0)))),"Fix")))</f>
        <v>0</v>
      </c>
      <c r="P271" s="4">
        <f>IF(OR(INDEX($V$2:$V$1001,MATCH(ROWS($U$2:U271),$U$2:$U$1001,0),1)&gt;=100000,INDEX($AB$1005:$AQ$1005,1,MATCH(COLUMNS($AB$1006:AP1006),$AB$1006:$AQ$1006,0))&gt;=100000), " ",IF(INDEX($AB$2:$AQ$1001,MATCH(ROWS($U$2:U271),$U$2:$U$1001,0),MATCH(COLUMNS($AB$1006:AP1006),$AB$1006:$AQ$1006,0)), HYPERLINK("#",""), HYPERLINK(CONCATENATE("#metadata!", ADDRESS(INDEX($W$2:$W$1001,MATCH(ROWS($U$2:U271),$U$2:$U$1001,0),0), INDEX($AB$1004:$AQ$1004,1,MATCH(COLUMNS($AB$1006:AP1006),$AB$1006:$AQ$1006,0)))),"Fix")))</f>
        <v>0</v>
      </c>
      <c r="Q271" s="4">
        <f>IF(OR(INDEX($V$2:$V$1001,MATCH(ROWS($U$2:U271),$U$2:$U$1001,0),1)&gt;=100000,INDEX($AB$1005:$AQ$1005,1,MATCH(COLUMNS($AB$1006:AQ1006),$AB$1006:$AQ$1006,0))&gt;=100000), " ",IF(INDEX($AB$2:$AQ$1001,MATCH(ROWS($U$2:U271),$U$2:$U$1001,0),MATCH(COLUMNS($AB$1006:AQ1006),$AB$1006:$AQ$1006,0)), HYPERLINK("#",""), HYPERLINK(CONCATENATE("#metadata!", ADDRESS(INDEX($W$2:$W$1001,MATCH(ROWS($U$2:U271),$U$2:$U$1001,0),0), INDEX($AB$1004:$AQ$1004,1,MATCH(COLUMNS($AB$1006:AQ1006),$AB$1006:$AQ$1006,0)))),"Fix")))</f>
        <v>0</v>
      </c>
      <c r="U271">
        <v>0</v>
      </c>
      <c r="V271">
        <v>0</v>
      </c>
      <c r="W271">
        <v>0</v>
      </c>
      <c r="X271">
        <f>IF(Y271,TRUE,AND(AB271:AQ271))</f>
        <v>0</v>
      </c>
      <c r="Y271">
        <f>COUNTBLANK(metadata!B271:Q271)=COLUMNS(metadata!B271:Q271)</f>
        <v>0</v>
      </c>
      <c r="Z271">
        <v>0</v>
      </c>
      <c r="AB271">
        <f>AND(IF(metadata!B271="",FALSE,TRUE),COUNTIF(metadata!B:B, metadata!B271) = 1,NOT(ISERROR(SUMPRODUCT(SEARCH(MID(metadata!B271,ROW(INDIRECT("1:"&amp;LEN(metadata!B271))), 1),"0123456789abcdefghijklmnopqrstuvwxyzABCDEFGHIJKLMNOPQRSTUVWXYZ.")))))</f>
        <v>0</v>
      </c>
      <c r="AC271">
        <f>OR(AND(IF(metadata!C271="",FALSE,TRUE),OR(exact(metadata!C271,"missing: not collected"),exact(metadata!C271,"missing: not provided"),exact(metadata!C271,"missing: restricted access"))),AND(IF(metadata!C271="",FALSE,TRUE),AND(AND(IFERROR(INT(LEFT(metadata!C271,4))&gt;1900,FALSE),IFERROR(INT(LEFT(metadata!C271,4))&lt;=YEAR(NOW()),FALSE)), OR(MID(metadata!C271,5,1)="", AND(AND(MID(metadata!C271,5,1)="-",IFERROR(INT(MID(metadata!C271,6,1))&gt;=0,FALSE),IFERROR(INT(MID(metadata!C271,6,1))&lt;=1,FALSE),NOT(MID(metadata!C271,7,1)=""),IFERROR(INT(MID(metadata!C271,6,2))&gt;=1,FALSE),IFERROR(INT(MID(metadata!C271,6,2))&lt;=12,FALSE)), OR(MID(metadata!C271,8,1)="", AND(AND(MID(metadata!C271,8,1)="-",IFERROR(INT(MID(metadata!C271,9,1))&gt;=0,FALSE),IFERROR(INT(MID(metadata!C271,9,1))&lt;=3,FALSE),NOT(MID(metadata!C271,10,1)=""),IFERROR(INT(MID(metadata!C271,9,2))&gt;=1,FALSE),IFERROR(INT(MID(metadata!C271,9,2))&lt;=31,FALSE)), OR(MID(metadata!C271,11,1)="", AND(AND(MID(metadata!C271,11,1)=" ",IFERROR(INT(MID(metadata!C271,12,1))&gt;=0,FALSE),IFERROR(INT(MID(metadata!C271,12,1))&lt;=2,FALSE),NOT(MID(metadata!C271,13,1)=""),IFERROR(INT(MID(metadata!C271,12,2))&gt;=0,FALSE),IFERROR(INT(MID(metadata!C271,12,2))&lt;=23,FALSE)), OR(MID(metadata!C271,14,1)="", AND(AND(MID(metadata!C271,14,1)=":",IFERROR(INT(MID(metadata!C271,15,1))&gt;=0,FALSE),IFERROR(INT(MID(metadata!C271,15,1))&lt;=5,FALSE),NOT(MID(metadata!C271,16,1)=""),IFERROR(INT(MID(metadata!C271,15,2))&gt;=0,FALSE),IFERROR(INT(MID(metadata!C271,15,2))&lt;=59,FALSE)), OR(MID(metadata!C271,17,1)="", AND(AND(MID(metadata!C271,17,1)=":",IFERROR(INT(MID(metadata!C271,18,1))&gt;=0,FALSE),IFERROR(INT(MID(metadata!C271,18,1))&lt;=5,FALSE),NOT(MID(metadata!C271,19,1)=""),IFERROR(INT(MID(metadata!C271,18,2))&gt;=0,FALSE),IFERROR(INT(MID(metadata!C271,18,2))&lt;=59,FALSE)), LEN(metadata!C271)&lt;=19)))))))))))))</f>
        <v>0</v>
      </c>
      <c r="AD271">
        <f>IF(metadata!D271="",FALSE,TRUE)</f>
        <v>0</v>
      </c>
      <c r="AE271">
        <f>OR(AND(IF(metadata!E271="",FALSE,TRUE),OR(exact(metadata!E271,"missing: not collected"),exact(metadata!E271,"missing: not provided"))),AND(IF(metadata!E271="",FALSE,TRUE),OR(exact(metadata!E271,"TRUE"),exact(metadata!E271,"FALSE"))))</f>
        <v>0</v>
      </c>
      <c r="AF271">
        <f>IF(metadata!F271="",FALSE,TRUE)</f>
        <v>0</v>
      </c>
      <c r="AG271">
        <f>IF(metadata!G271="",FALSE,TRUE)</f>
        <v>0</v>
      </c>
      <c r="AH271">
        <f>IF(metadata!H271="",FALSE,TRUE)</f>
        <v>0</v>
      </c>
      <c r="AI271">
        <f>OR(AND(IF(metadata!I271="",FALSE,TRUE),OR(exact(metadata!I271,"missing: not collected"),exact(metadata!I271,"missing: not provided"),exact(metadata!I271,"missing: restricted access"))),AND(IF(metadata!I271="",FALSE,TRUE),OR(exact(metadata!I271,"air"),exact(metadata!I271,"built environment"),exact(metadata!I271,"host-associated"),exact(metadata!I271,"human-associated"),exact(metadata!I271,"human-skin"),exact(metadata!I271,"human-oral"),exact(metadata!I271,"human-gut"),exact(metadata!I271,"human-vaginal"),exact(metadata!I271,"microbial mat/biofilm"),exact(metadata!I271,"misc environment"),exact(metadata!I271,"plant-associated"),exact(metadata!I271,"sediment"),exact(metadata!I271,"soil"),exact(metadata!I271,"wastewater/sludge"),exact(metadata!I271,"water"))))</f>
        <v>0</v>
      </c>
      <c r="AJ271">
        <f>IF(metadata!J271="",FALSE,TRUE)</f>
        <v>0</v>
      </c>
      <c r="AK271">
        <f>OR(AND(IF(metadata!K271="",FALSE,TRUE),OR(exact(metadata!K271,"missing: not collected"),exact(metadata!K271,"missing: not provided"),exact(metadata!K271,"missing: restricted access"))),AND(IF(metadata!K271="",FALSE,ISNUMBER(VALUE(metadata!K271))),metadata!K271&gt;=-90.00,metadata!K271&lt;=90.00))</f>
        <v>0</v>
      </c>
      <c r="AL271">
        <f>OR(AND(IF(metadata!L271="",FALSE,TRUE),OR(exact(metadata!L271,"missing: not collected"),exact(metadata!L271,"missing: not provided"),exact(metadata!L271,"missing: restricted access"))),AND(IF(metadata!L271="",FALSE,ISNUMBER(VALUE(metadata!L271))),metadata!L271&gt;=-180.00,metadata!L271&lt;=180.00))</f>
        <v>0</v>
      </c>
      <c r="AM271">
        <f>IF(metadata!M271="",FALSE,TRUE)</f>
        <v>0</v>
      </c>
      <c r="AN271">
        <f>OR(AND(IF(metadata!N271="",FALSE,TRUE),OR(exact(metadata!N271,"missing: not collected"),exact(metadata!N271,"missing: not provided"),exact(metadata!N271,"missing: restricted access"))),AND(IF(metadata!N271="",FALSE,TRUE),OR(exact(metadata!N271,"TRUE"),exact(metadata!N271,"FALSE"))))</f>
        <v>0</v>
      </c>
      <c r="AO271">
        <f>IF(metadata!O271="",FALSE,TRUE)</f>
        <v>0</v>
      </c>
      <c r="AP271">
        <f>OR(AND(IF(metadata!P271="",FALSE,TRUE),OR(exact(metadata!P271,"missing: not collected"),exact(metadata!P271,"missing: not provided"))),AND(IF(metadata!P271="",FALSE,IF(ISERROR(INT(metadata!P271)),FALSE,INT(metadata!P271)=metadata!P271)),metadata!P271&gt;0))</f>
        <v>0</v>
      </c>
      <c r="AQ271">
        <f>IF(metadata!Q271="",FALSE,TRUE)</f>
        <v>0</v>
      </c>
    </row>
    <row r="272" spans="1:43">
      <c r="A272" s="5">
        <f>IF(B272=" "," ",HYPERLINK(CONCATENATE("#metadata!",ADDRESS(INDEX($W$2:$W$1001,MATCH(ROWS($U$2:U272),$U$2:$U$1001,0),0),1)),INDEX($Z$2:$Z$1001,MATCH(ROWS($U$2:U272),$U$2:$U$1001,0),0)))</f>
        <v>0</v>
      </c>
      <c r="B272" s="4">
        <f>IF(OR(INDEX($V$2:$V$1001,MATCH(ROWS($U$2:U272),$U$2:$U$1001,0),1)&gt;=100000,INDEX($AB$1005:$AQ$1005,1,MATCH(COLUMNS($AB$1006:AB1006),$AB$1006:$AQ$1006,0))&gt;=100000), " ",IF(INDEX($AB$2:$AQ$1001,MATCH(ROWS($U$2:U272),$U$2:$U$1001,0),MATCH(COLUMNS($AB$1006:AB1006),$AB$1006:$AQ$1006,0)), HYPERLINK("#",""), HYPERLINK(CONCATENATE("#metadata!", ADDRESS(INDEX($W$2:$W$1001,MATCH(ROWS($U$2:U272),$U$2:$U$1001,0),0), INDEX($AB$1004:$AQ$1004,1,MATCH(COLUMNS($AB$1006:AB1006),$AB$1006:$AQ$1006,0)))),"Fix")))</f>
        <v>0</v>
      </c>
      <c r="C272" s="4">
        <f>IF(OR(INDEX($V$2:$V$1001,MATCH(ROWS($U$2:U272),$U$2:$U$1001,0),1)&gt;=100000,INDEX($AB$1005:$AQ$1005,1,MATCH(COLUMNS($AB$1006:AC1006),$AB$1006:$AQ$1006,0))&gt;=100000), " ",IF(INDEX($AB$2:$AQ$1001,MATCH(ROWS($U$2:U272),$U$2:$U$1001,0),MATCH(COLUMNS($AB$1006:AC1006),$AB$1006:$AQ$1006,0)), HYPERLINK("#",""), HYPERLINK(CONCATENATE("#metadata!", ADDRESS(INDEX($W$2:$W$1001,MATCH(ROWS($U$2:U272),$U$2:$U$1001,0),0), INDEX($AB$1004:$AQ$1004,1,MATCH(COLUMNS($AB$1006:AC1006),$AB$1006:$AQ$1006,0)))),"Fix")))</f>
        <v>0</v>
      </c>
      <c r="D272" s="4">
        <f>IF(OR(INDEX($V$2:$V$1001,MATCH(ROWS($U$2:U272),$U$2:$U$1001,0),1)&gt;=100000,INDEX($AB$1005:$AQ$1005,1,MATCH(COLUMNS($AB$1006:AD1006),$AB$1006:$AQ$1006,0))&gt;=100000), " ",IF(INDEX($AB$2:$AQ$1001,MATCH(ROWS($U$2:U272),$U$2:$U$1001,0),MATCH(COLUMNS($AB$1006:AD1006),$AB$1006:$AQ$1006,0)), HYPERLINK("#",""), HYPERLINK(CONCATENATE("#metadata!", ADDRESS(INDEX($W$2:$W$1001,MATCH(ROWS($U$2:U272),$U$2:$U$1001,0),0), INDEX($AB$1004:$AQ$1004,1,MATCH(COLUMNS($AB$1006:AD1006),$AB$1006:$AQ$1006,0)))),"Fix")))</f>
        <v>0</v>
      </c>
      <c r="E272" s="4">
        <f>IF(OR(INDEX($V$2:$V$1001,MATCH(ROWS($U$2:U272),$U$2:$U$1001,0),1)&gt;=100000,INDEX($AB$1005:$AQ$1005,1,MATCH(COLUMNS($AB$1006:AE1006),$AB$1006:$AQ$1006,0))&gt;=100000), " ",IF(INDEX($AB$2:$AQ$1001,MATCH(ROWS($U$2:U272),$U$2:$U$1001,0),MATCH(COLUMNS($AB$1006:AE1006),$AB$1006:$AQ$1006,0)), HYPERLINK("#",""), HYPERLINK(CONCATENATE("#metadata!", ADDRESS(INDEX($W$2:$W$1001,MATCH(ROWS($U$2:U272),$U$2:$U$1001,0),0), INDEX($AB$1004:$AQ$1004,1,MATCH(COLUMNS($AB$1006:AE1006),$AB$1006:$AQ$1006,0)))),"Fix")))</f>
        <v>0</v>
      </c>
      <c r="F272" s="4">
        <f>IF(OR(INDEX($V$2:$V$1001,MATCH(ROWS($U$2:U272),$U$2:$U$1001,0),1)&gt;=100000,INDEX($AB$1005:$AQ$1005,1,MATCH(COLUMNS($AB$1006:AF1006),$AB$1006:$AQ$1006,0))&gt;=100000), " ",IF(INDEX($AB$2:$AQ$1001,MATCH(ROWS($U$2:U272),$U$2:$U$1001,0),MATCH(COLUMNS($AB$1006:AF1006),$AB$1006:$AQ$1006,0)), HYPERLINK("#",""), HYPERLINK(CONCATENATE("#metadata!", ADDRESS(INDEX($W$2:$W$1001,MATCH(ROWS($U$2:U272),$U$2:$U$1001,0),0), INDEX($AB$1004:$AQ$1004,1,MATCH(COLUMNS($AB$1006:AF1006),$AB$1006:$AQ$1006,0)))),"Fix")))</f>
        <v>0</v>
      </c>
      <c r="G272" s="4">
        <f>IF(OR(INDEX($V$2:$V$1001,MATCH(ROWS($U$2:U272),$U$2:$U$1001,0),1)&gt;=100000,INDEX($AB$1005:$AQ$1005,1,MATCH(COLUMNS($AB$1006:AG1006),$AB$1006:$AQ$1006,0))&gt;=100000), " ",IF(INDEX($AB$2:$AQ$1001,MATCH(ROWS($U$2:U272),$U$2:$U$1001,0),MATCH(COLUMNS($AB$1006:AG1006),$AB$1006:$AQ$1006,0)), HYPERLINK("#",""), HYPERLINK(CONCATENATE("#metadata!", ADDRESS(INDEX($W$2:$W$1001,MATCH(ROWS($U$2:U272),$U$2:$U$1001,0),0), INDEX($AB$1004:$AQ$1004,1,MATCH(COLUMNS($AB$1006:AG1006),$AB$1006:$AQ$1006,0)))),"Fix")))</f>
        <v>0</v>
      </c>
      <c r="H272" s="4">
        <f>IF(OR(INDEX($V$2:$V$1001,MATCH(ROWS($U$2:U272),$U$2:$U$1001,0),1)&gt;=100000,INDEX($AB$1005:$AQ$1005,1,MATCH(COLUMNS($AB$1006:AH1006),$AB$1006:$AQ$1006,0))&gt;=100000), " ",IF(INDEX($AB$2:$AQ$1001,MATCH(ROWS($U$2:U272),$U$2:$U$1001,0),MATCH(COLUMNS($AB$1006:AH1006),$AB$1006:$AQ$1006,0)), HYPERLINK("#",""), HYPERLINK(CONCATENATE("#metadata!", ADDRESS(INDEX($W$2:$W$1001,MATCH(ROWS($U$2:U272),$U$2:$U$1001,0),0), INDEX($AB$1004:$AQ$1004,1,MATCH(COLUMNS($AB$1006:AH1006),$AB$1006:$AQ$1006,0)))),"Fix")))</f>
        <v>0</v>
      </c>
      <c r="I272" s="4">
        <f>IF(OR(INDEX($V$2:$V$1001,MATCH(ROWS($U$2:U272),$U$2:$U$1001,0),1)&gt;=100000,INDEX($AB$1005:$AQ$1005,1,MATCH(COLUMNS($AB$1006:AI1006),$AB$1006:$AQ$1006,0))&gt;=100000), " ",IF(INDEX($AB$2:$AQ$1001,MATCH(ROWS($U$2:U272),$U$2:$U$1001,0),MATCH(COLUMNS($AB$1006:AI1006),$AB$1006:$AQ$1006,0)), HYPERLINK("#",""), HYPERLINK(CONCATENATE("#metadata!", ADDRESS(INDEX($W$2:$W$1001,MATCH(ROWS($U$2:U272),$U$2:$U$1001,0),0), INDEX($AB$1004:$AQ$1004,1,MATCH(COLUMNS($AB$1006:AI1006),$AB$1006:$AQ$1006,0)))),"Fix")))</f>
        <v>0</v>
      </c>
      <c r="J272" s="4">
        <f>IF(OR(INDEX($V$2:$V$1001,MATCH(ROWS($U$2:U272),$U$2:$U$1001,0),1)&gt;=100000,INDEX($AB$1005:$AQ$1005,1,MATCH(COLUMNS($AB$1006:AJ1006),$AB$1006:$AQ$1006,0))&gt;=100000), " ",IF(INDEX($AB$2:$AQ$1001,MATCH(ROWS($U$2:U272),$U$2:$U$1001,0),MATCH(COLUMNS($AB$1006:AJ1006),$AB$1006:$AQ$1006,0)), HYPERLINK("#",""), HYPERLINK(CONCATENATE("#metadata!", ADDRESS(INDEX($W$2:$W$1001,MATCH(ROWS($U$2:U272),$U$2:$U$1001,0),0), INDEX($AB$1004:$AQ$1004,1,MATCH(COLUMNS($AB$1006:AJ1006),$AB$1006:$AQ$1006,0)))),"Fix")))</f>
        <v>0</v>
      </c>
      <c r="K272" s="4">
        <f>IF(OR(INDEX($V$2:$V$1001,MATCH(ROWS($U$2:U272),$U$2:$U$1001,0),1)&gt;=100000,INDEX($AB$1005:$AQ$1005,1,MATCH(COLUMNS($AB$1006:AK1006),$AB$1006:$AQ$1006,0))&gt;=100000), " ",IF(INDEX($AB$2:$AQ$1001,MATCH(ROWS($U$2:U272),$U$2:$U$1001,0),MATCH(COLUMNS($AB$1006:AK1006),$AB$1006:$AQ$1006,0)), HYPERLINK("#",""), HYPERLINK(CONCATENATE("#metadata!", ADDRESS(INDEX($W$2:$W$1001,MATCH(ROWS($U$2:U272),$U$2:$U$1001,0),0), INDEX($AB$1004:$AQ$1004,1,MATCH(COLUMNS($AB$1006:AK1006),$AB$1006:$AQ$1006,0)))),"Fix")))</f>
        <v>0</v>
      </c>
      <c r="L272" s="4">
        <f>IF(OR(INDEX($V$2:$V$1001,MATCH(ROWS($U$2:U272),$U$2:$U$1001,0),1)&gt;=100000,INDEX($AB$1005:$AQ$1005,1,MATCH(COLUMNS($AB$1006:AL1006),$AB$1006:$AQ$1006,0))&gt;=100000), " ",IF(INDEX($AB$2:$AQ$1001,MATCH(ROWS($U$2:U272),$U$2:$U$1001,0),MATCH(COLUMNS($AB$1006:AL1006),$AB$1006:$AQ$1006,0)), HYPERLINK("#",""), HYPERLINK(CONCATENATE("#metadata!", ADDRESS(INDEX($W$2:$W$1001,MATCH(ROWS($U$2:U272),$U$2:$U$1001,0),0), INDEX($AB$1004:$AQ$1004,1,MATCH(COLUMNS($AB$1006:AL1006),$AB$1006:$AQ$1006,0)))),"Fix")))</f>
        <v>0</v>
      </c>
      <c r="M272" s="4">
        <f>IF(OR(INDEX($V$2:$V$1001,MATCH(ROWS($U$2:U272),$U$2:$U$1001,0),1)&gt;=100000,INDEX($AB$1005:$AQ$1005,1,MATCH(COLUMNS($AB$1006:AM1006),$AB$1006:$AQ$1006,0))&gt;=100000), " ",IF(INDEX($AB$2:$AQ$1001,MATCH(ROWS($U$2:U272),$U$2:$U$1001,0),MATCH(COLUMNS($AB$1006:AM1006),$AB$1006:$AQ$1006,0)), HYPERLINK("#",""), HYPERLINK(CONCATENATE("#metadata!", ADDRESS(INDEX($W$2:$W$1001,MATCH(ROWS($U$2:U272),$U$2:$U$1001,0),0), INDEX($AB$1004:$AQ$1004,1,MATCH(COLUMNS($AB$1006:AM1006),$AB$1006:$AQ$1006,0)))),"Fix")))</f>
        <v>0</v>
      </c>
      <c r="N272" s="4">
        <f>IF(OR(INDEX($V$2:$V$1001,MATCH(ROWS($U$2:U272),$U$2:$U$1001,0),1)&gt;=100000,INDEX($AB$1005:$AQ$1005,1,MATCH(COLUMNS($AB$1006:AN1006),$AB$1006:$AQ$1006,0))&gt;=100000), " ",IF(INDEX($AB$2:$AQ$1001,MATCH(ROWS($U$2:U272),$U$2:$U$1001,0),MATCH(COLUMNS($AB$1006:AN1006),$AB$1006:$AQ$1006,0)), HYPERLINK("#",""), HYPERLINK(CONCATENATE("#metadata!", ADDRESS(INDEX($W$2:$W$1001,MATCH(ROWS($U$2:U272),$U$2:$U$1001,0),0), INDEX($AB$1004:$AQ$1004,1,MATCH(COLUMNS($AB$1006:AN1006),$AB$1006:$AQ$1006,0)))),"Fix")))</f>
        <v>0</v>
      </c>
      <c r="O272" s="4">
        <f>IF(OR(INDEX($V$2:$V$1001,MATCH(ROWS($U$2:U272),$U$2:$U$1001,0),1)&gt;=100000,INDEX($AB$1005:$AQ$1005,1,MATCH(COLUMNS($AB$1006:AO1006),$AB$1006:$AQ$1006,0))&gt;=100000), " ",IF(INDEX($AB$2:$AQ$1001,MATCH(ROWS($U$2:U272),$U$2:$U$1001,0),MATCH(COLUMNS($AB$1006:AO1006),$AB$1006:$AQ$1006,0)), HYPERLINK("#",""), HYPERLINK(CONCATENATE("#metadata!", ADDRESS(INDEX($W$2:$W$1001,MATCH(ROWS($U$2:U272),$U$2:$U$1001,0),0), INDEX($AB$1004:$AQ$1004,1,MATCH(COLUMNS($AB$1006:AO1006),$AB$1006:$AQ$1006,0)))),"Fix")))</f>
        <v>0</v>
      </c>
      <c r="P272" s="4">
        <f>IF(OR(INDEX($V$2:$V$1001,MATCH(ROWS($U$2:U272),$U$2:$U$1001,0),1)&gt;=100000,INDEX($AB$1005:$AQ$1005,1,MATCH(COLUMNS($AB$1006:AP1006),$AB$1006:$AQ$1006,0))&gt;=100000), " ",IF(INDEX($AB$2:$AQ$1001,MATCH(ROWS($U$2:U272),$U$2:$U$1001,0),MATCH(COLUMNS($AB$1006:AP1006),$AB$1006:$AQ$1006,0)), HYPERLINK("#",""), HYPERLINK(CONCATENATE("#metadata!", ADDRESS(INDEX($W$2:$W$1001,MATCH(ROWS($U$2:U272),$U$2:$U$1001,0),0), INDEX($AB$1004:$AQ$1004,1,MATCH(COLUMNS($AB$1006:AP1006),$AB$1006:$AQ$1006,0)))),"Fix")))</f>
        <v>0</v>
      </c>
      <c r="Q272" s="4">
        <f>IF(OR(INDEX($V$2:$V$1001,MATCH(ROWS($U$2:U272),$U$2:$U$1001,0),1)&gt;=100000,INDEX($AB$1005:$AQ$1005,1,MATCH(COLUMNS($AB$1006:AQ1006),$AB$1006:$AQ$1006,0))&gt;=100000), " ",IF(INDEX($AB$2:$AQ$1001,MATCH(ROWS($U$2:U272),$U$2:$U$1001,0),MATCH(COLUMNS($AB$1006:AQ1006),$AB$1006:$AQ$1006,0)), HYPERLINK("#",""), HYPERLINK(CONCATENATE("#metadata!", ADDRESS(INDEX($W$2:$W$1001,MATCH(ROWS($U$2:U272),$U$2:$U$1001,0),0), INDEX($AB$1004:$AQ$1004,1,MATCH(COLUMNS($AB$1006:AQ1006),$AB$1006:$AQ$1006,0)))),"Fix")))</f>
        <v>0</v>
      </c>
      <c r="U272">
        <v>0</v>
      </c>
      <c r="V272">
        <v>0</v>
      </c>
      <c r="W272">
        <v>0</v>
      </c>
      <c r="X272">
        <f>IF(Y272,TRUE,AND(AB272:AQ272))</f>
        <v>0</v>
      </c>
      <c r="Y272">
        <f>COUNTBLANK(metadata!B272:Q272)=COLUMNS(metadata!B272:Q272)</f>
        <v>0</v>
      </c>
      <c r="Z272">
        <v>0</v>
      </c>
      <c r="AB272">
        <f>AND(IF(metadata!B272="",FALSE,TRUE),COUNTIF(metadata!B:B, metadata!B272) = 1,NOT(ISERROR(SUMPRODUCT(SEARCH(MID(metadata!B272,ROW(INDIRECT("1:"&amp;LEN(metadata!B272))), 1),"0123456789abcdefghijklmnopqrstuvwxyzABCDEFGHIJKLMNOPQRSTUVWXYZ.")))))</f>
        <v>0</v>
      </c>
      <c r="AC272">
        <f>OR(AND(IF(metadata!C272="",FALSE,TRUE),OR(exact(metadata!C272,"missing: not collected"),exact(metadata!C272,"missing: not provided"),exact(metadata!C272,"missing: restricted access"))),AND(IF(metadata!C272="",FALSE,TRUE),AND(AND(IFERROR(INT(LEFT(metadata!C272,4))&gt;1900,FALSE),IFERROR(INT(LEFT(metadata!C272,4))&lt;=YEAR(NOW()),FALSE)), OR(MID(metadata!C272,5,1)="", AND(AND(MID(metadata!C272,5,1)="-",IFERROR(INT(MID(metadata!C272,6,1))&gt;=0,FALSE),IFERROR(INT(MID(metadata!C272,6,1))&lt;=1,FALSE),NOT(MID(metadata!C272,7,1)=""),IFERROR(INT(MID(metadata!C272,6,2))&gt;=1,FALSE),IFERROR(INT(MID(metadata!C272,6,2))&lt;=12,FALSE)), OR(MID(metadata!C272,8,1)="", AND(AND(MID(metadata!C272,8,1)="-",IFERROR(INT(MID(metadata!C272,9,1))&gt;=0,FALSE),IFERROR(INT(MID(metadata!C272,9,1))&lt;=3,FALSE),NOT(MID(metadata!C272,10,1)=""),IFERROR(INT(MID(metadata!C272,9,2))&gt;=1,FALSE),IFERROR(INT(MID(metadata!C272,9,2))&lt;=31,FALSE)), OR(MID(metadata!C272,11,1)="", AND(AND(MID(metadata!C272,11,1)=" ",IFERROR(INT(MID(metadata!C272,12,1))&gt;=0,FALSE),IFERROR(INT(MID(metadata!C272,12,1))&lt;=2,FALSE),NOT(MID(metadata!C272,13,1)=""),IFERROR(INT(MID(metadata!C272,12,2))&gt;=0,FALSE),IFERROR(INT(MID(metadata!C272,12,2))&lt;=23,FALSE)), OR(MID(metadata!C272,14,1)="", AND(AND(MID(metadata!C272,14,1)=":",IFERROR(INT(MID(metadata!C272,15,1))&gt;=0,FALSE),IFERROR(INT(MID(metadata!C272,15,1))&lt;=5,FALSE),NOT(MID(metadata!C272,16,1)=""),IFERROR(INT(MID(metadata!C272,15,2))&gt;=0,FALSE),IFERROR(INT(MID(metadata!C272,15,2))&lt;=59,FALSE)), OR(MID(metadata!C272,17,1)="", AND(AND(MID(metadata!C272,17,1)=":",IFERROR(INT(MID(metadata!C272,18,1))&gt;=0,FALSE),IFERROR(INT(MID(metadata!C272,18,1))&lt;=5,FALSE),NOT(MID(metadata!C272,19,1)=""),IFERROR(INT(MID(metadata!C272,18,2))&gt;=0,FALSE),IFERROR(INT(MID(metadata!C272,18,2))&lt;=59,FALSE)), LEN(metadata!C272)&lt;=19)))))))))))))</f>
        <v>0</v>
      </c>
      <c r="AD272">
        <f>IF(metadata!D272="",FALSE,TRUE)</f>
        <v>0</v>
      </c>
      <c r="AE272">
        <f>OR(AND(IF(metadata!E272="",FALSE,TRUE),OR(exact(metadata!E272,"missing: not collected"),exact(metadata!E272,"missing: not provided"))),AND(IF(metadata!E272="",FALSE,TRUE),OR(exact(metadata!E272,"TRUE"),exact(metadata!E272,"FALSE"))))</f>
        <v>0</v>
      </c>
      <c r="AF272">
        <f>IF(metadata!F272="",FALSE,TRUE)</f>
        <v>0</v>
      </c>
      <c r="AG272">
        <f>IF(metadata!G272="",FALSE,TRUE)</f>
        <v>0</v>
      </c>
      <c r="AH272">
        <f>IF(metadata!H272="",FALSE,TRUE)</f>
        <v>0</v>
      </c>
      <c r="AI272">
        <f>OR(AND(IF(metadata!I272="",FALSE,TRUE),OR(exact(metadata!I272,"missing: not collected"),exact(metadata!I272,"missing: not provided"),exact(metadata!I272,"missing: restricted access"))),AND(IF(metadata!I272="",FALSE,TRUE),OR(exact(metadata!I272,"air"),exact(metadata!I272,"built environment"),exact(metadata!I272,"host-associated"),exact(metadata!I272,"human-associated"),exact(metadata!I272,"human-skin"),exact(metadata!I272,"human-oral"),exact(metadata!I272,"human-gut"),exact(metadata!I272,"human-vaginal"),exact(metadata!I272,"microbial mat/biofilm"),exact(metadata!I272,"misc environment"),exact(metadata!I272,"plant-associated"),exact(metadata!I272,"sediment"),exact(metadata!I272,"soil"),exact(metadata!I272,"wastewater/sludge"),exact(metadata!I272,"water"))))</f>
        <v>0</v>
      </c>
      <c r="AJ272">
        <f>IF(metadata!J272="",FALSE,TRUE)</f>
        <v>0</v>
      </c>
      <c r="AK272">
        <f>OR(AND(IF(metadata!K272="",FALSE,TRUE),OR(exact(metadata!K272,"missing: not collected"),exact(metadata!K272,"missing: not provided"),exact(metadata!K272,"missing: restricted access"))),AND(IF(metadata!K272="",FALSE,ISNUMBER(VALUE(metadata!K272))),metadata!K272&gt;=-90.00,metadata!K272&lt;=90.00))</f>
        <v>0</v>
      </c>
      <c r="AL272">
        <f>OR(AND(IF(metadata!L272="",FALSE,TRUE),OR(exact(metadata!L272,"missing: not collected"),exact(metadata!L272,"missing: not provided"),exact(metadata!L272,"missing: restricted access"))),AND(IF(metadata!L272="",FALSE,ISNUMBER(VALUE(metadata!L272))),metadata!L272&gt;=-180.00,metadata!L272&lt;=180.00))</f>
        <v>0</v>
      </c>
      <c r="AM272">
        <f>IF(metadata!M272="",FALSE,TRUE)</f>
        <v>0</v>
      </c>
      <c r="AN272">
        <f>OR(AND(IF(metadata!N272="",FALSE,TRUE),OR(exact(metadata!N272,"missing: not collected"),exact(metadata!N272,"missing: not provided"),exact(metadata!N272,"missing: restricted access"))),AND(IF(metadata!N272="",FALSE,TRUE),OR(exact(metadata!N272,"TRUE"),exact(metadata!N272,"FALSE"))))</f>
        <v>0</v>
      </c>
      <c r="AO272">
        <f>IF(metadata!O272="",FALSE,TRUE)</f>
        <v>0</v>
      </c>
      <c r="AP272">
        <f>OR(AND(IF(metadata!P272="",FALSE,TRUE),OR(exact(metadata!P272,"missing: not collected"),exact(metadata!P272,"missing: not provided"))),AND(IF(metadata!P272="",FALSE,IF(ISERROR(INT(metadata!P272)),FALSE,INT(metadata!P272)=metadata!P272)),metadata!P272&gt;0))</f>
        <v>0</v>
      </c>
      <c r="AQ272">
        <f>IF(metadata!Q272="",FALSE,TRUE)</f>
        <v>0</v>
      </c>
    </row>
    <row r="273" spans="1:43">
      <c r="A273" s="5">
        <f>IF(B273=" "," ",HYPERLINK(CONCATENATE("#metadata!",ADDRESS(INDEX($W$2:$W$1001,MATCH(ROWS($U$2:U273),$U$2:$U$1001,0),0),1)),INDEX($Z$2:$Z$1001,MATCH(ROWS($U$2:U273),$U$2:$U$1001,0),0)))</f>
        <v>0</v>
      </c>
      <c r="B273" s="4">
        <f>IF(OR(INDEX($V$2:$V$1001,MATCH(ROWS($U$2:U273),$U$2:$U$1001,0),1)&gt;=100000,INDEX($AB$1005:$AQ$1005,1,MATCH(COLUMNS($AB$1006:AB1006),$AB$1006:$AQ$1006,0))&gt;=100000), " ",IF(INDEX($AB$2:$AQ$1001,MATCH(ROWS($U$2:U273),$U$2:$U$1001,0),MATCH(COLUMNS($AB$1006:AB1006),$AB$1006:$AQ$1006,0)), HYPERLINK("#",""), HYPERLINK(CONCATENATE("#metadata!", ADDRESS(INDEX($W$2:$W$1001,MATCH(ROWS($U$2:U273),$U$2:$U$1001,0),0), INDEX($AB$1004:$AQ$1004,1,MATCH(COLUMNS($AB$1006:AB1006),$AB$1006:$AQ$1006,0)))),"Fix")))</f>
        <v>0</v>
      </c>
      <c r="C273" s="4">
        <f>IF(OR(INDEX($V$2:$V$1001,MATCH(ROWS($U$2:U273),$U$2:$U$1001,0),1)&gt;=100000,INDEX($AB$1005:$AQ$1005,1,MATCH(COLUMNS($AB$1006:AC1006),$AB$1006:$AQ$1006,0))&gt;=100000), " ",IF(INDEX($AB$2:$AQ$1001,MATCH(ROWS($U$2:U273),$U$2:$U$1001,0),MATCH(COLUMNS($AB$1006:AC1006),$AB$1006:$AQ$1006,0)), HYPERLINK("#",""), HYPERLINK(CONCATENATE("#metadata!", ADDRESS(INDEX($W$2:$W$1001,MATCH(ROWS($U$2:U273),$U$2:$U$1001,0),0), INDEX($AB$1004:$AQ$1004,1,MATCH(COLUMNS($AB$1006:AC1006),$AB$1006:$AQ$1006,0)))),"Fix")))</f>
        <v>0</v>
      </c>
      <c r="D273" s="4">
        <f>IF(OR(INDEX($V$2:$V$1001,MATCH(ROWS($U$2:U273),$U$2:$U$1001,0),1)&gt;=100000,INDEX($AB$1005:$AQ$1005,1,MATCH(COLUMNS($AB$1006:AD1006),$AB$1006:$AQ$1006,0))&gt;=100000), " ",IF(INDEX($AB$2:$AQ$1001,MATCH(ROWS($U$2:U273),$U$2:$U$1001,0),MATCH(COLUMNS($AB$1006:AD1006),$AB$1006:$AQ$1006,0)), HYPERLINK("#",""), HYPERLINK(CONCATENATE("#metadata!", ADDRESS(INDEX($W$2:$W$1001,MATCH(ROWS($U$2:U273),$U$2:$U$1001,0),0), INDEX($AB$1004:$AQ$1004,1,MATCH(COLUMNS($AB$1006:AD1006),$AB$1006:$AQ$1006,0)))),"Fix")))</f>
        <v>0</v>
      </c>
      <c r="E273" s="4">
        <f>IF(OR(INDEX($V$2:$V$1001,MATCH(ROWS($U$2:U273),$U$2:$U$1001,0),1)&gt;=100000,INDEX($AB$1005:$AQ$1005,1,MATCH(COLUMNS($AB$1006:AE1006),$AB$1006:$AQ$1006,0))&gt;=100000), " ",IF(INDEX($AB$2:$AQ$1001,MATCH(ROWS($U$2:U273),$U$2:$U$1001,0),MATCH(COLUMNS($AB$1006:AE1006),$AB$1006:$AQ$1006,0)), HYPERLINK("#",""), HYPERLINK(CONCATENATE("#metadata!", ADDRESS(INDEX($W$2:$W$1001,MATCH(ROWS($U$2:U273),$U$2:$U$1001,0),0), INDEX($AB$1004:$AQ$1004,1,MATCH(COLUMNS($AB$1006:AE1006),$AB$1006:$AQ$1006,0)))),"Fix")))</f>
        <v>0</v>
      </c>
      <c r="F273" s="4">
        <f>IF(OR(INDEX($V$2:$V$1001,MATCH(ROWS($U$2:U273),$U$2:$U$1001,0),1)&gt;=100000,INDEX($AB$1005:$AQ$1005,1,MATCH(COLUMNS($AB$1006:AF1006),$AB$1006:$AQ$1006,0))&gt;=100000), " ",IF(INDEX($AB$2:$AQ$1001,MATCH(ROWS($U$2:U273),$U$2:$U$1001,0),MATCH(COLUMNS($AB$1006:AF1006),$AB$1006:$AQ$1006,0)), HYPERLINK("#",""), HYPERLINK(CONCATENATE("#metadata!", ADDRESS(INDEX($W$2:$W$1001,MATCH(ROWS($U$2:U273),$U$2:$U$1001,0),0), INDEX($AB$1004:$AQ$1004,1,MATCH(COLUMNS($AB$1006:AF1006),$AB$1006:$AQ$1006,0)))),"Fix")))</f>
        <v>0</v>
      </c>
      <c r="G273" s="4">
        <f>IF(OR(INDEX($V$2:$V$1001,MATCH(ROWS($U$2:U273),$U$2:$U$1001,0),1)&gt;=100000,INDEX($AB$1005:$AQ$1005,1,MATCH(COLUMNS($AB$1006:AG1006),$AB$1006:$AQ$1006,0))&gt;=100000), " ",IF(INDEX($AB$2:$AQ$1001,MATCH(ROWS($U$2:U273),$U$2:$U$1001,0),MATCH(COLUMNS($AB$1006:AG1006),$AB$1006:$AQ$1006,0)), HYPERLINK("#",""), HYPERLINK(CONCATENATE("#metadata!", ADDRESS(INDEX($W$2:$W$1001,MATCH(ROWS($U$2:U273),$U$2:$U$1001,0),0), INDEX($AB$1004:$AQ$1004,1,MATCH(COLUMNS($AB$1006:AG1006),$AB$1006:$AQ$1006,0)))),"Fix")))</f>
        <v>0</v>
      </c>
      <c r="H273" s="4">
        <f>IF(OR(INDEX($V$2:$V$1001,MATCH(ROWS($U$2:U273),$U$2:$U$1001,0),1)&gt;=100000,INDEX($AB$1005:$AQ$1005,1,MATCH(COLUMNS($AB$1006:AH1006),$AB$1006:$AQ$1006,0))&gt;=100000), " ",IF(INDEX($AB$2:$AQ$1001,MATCH(ROWS($U$2:U273),$U$2:$U$1001,0),MATCH(COLUMNS($AB$1006:AH1006),$AB$1006:$AQ$1006,0)), HYPERLINK("#",""), HYPERLINK(CONCATENATE("#metadata!", ADDRESS(INDEX($W$2:$W$1001,MATCH(ROWS($U$2:U273),$U$2:$U$1001,0),0), INDEX($AB$1004:$AQ$1004,1,MATCH(COLUMNS($AB$1006:AH1006),$AB$1006:$AQ$1006,0)))),"Fix")))</f>
        <v>0</v>
      </c>
      <c r="I273" s="4">
        <f>IF(OR(INDEX($V$2:$V$1001,MATCH(ROWS($U$2:U273),$U$2:$U$1001,0),1)&gt;=100000,INDEX($AB$1005:$AQ$1005,1,MATCH(COLUMNS($AB$1006:AI1006),$AB$1006:$AQ$1006,0))&gt;=100000), " ",IF(INDEX($AB$2:$AQ$1001,MATCH(ROWS($U$2:U273),$U$2:$U$1001,0),MATCH(COLUMNS($AB$1006:AI1006),$AB$1006:$AQ$1006,0)), HYPERLINK("#",""), HYPERLINK(CONCATENATE("#metadata!", ADDRESS(INDEX($W$2:$W$1001,MATCH(ROWS($U$2:U273),$U$2:$U$1001,0),0), INDEX($AB$1004:$AQ$1004,1,MATCH(COLUMNS($AB$1006:AI1006),$AB$1006:$AQ$1006,0)))),"Fix")))</f>
        <v>0</v>
      </c>
      <c r="J273" s="4">
        <f>IF(OR(INDEX($V$2:$V$1001,MATCH(ROWS($U$2:U273),$U$2:$U$1001,0),1)&gt;=100000,INDEX($AB$1005:$AQ$1005,1,MATCH(COLUMNS($AB$1006:AJ1006),$AB$1006:$AQ$1006,0))&gt;=100000), " ",IF(INDEX($AB$2:$AQ$1001,MATCH(ROWS($U$2:U273),$U$2:$U$1001,0),MATCH(COLUMNS($AB$1006:AJ1006),$AB$1006:$AQ$1006,0)), HYPERLINK("#",""), HYPERLINK(CONCATENATE("#metadata!", ADDRESS(INDEX($W$2:$W$1001,MATCH(ROWS($U$2:U273),$U$2:$U$1001,0),0), INDEX($AB$1004:$AQ$1004,1,MATCH(COLUMNS($AB$1006:AJ1006),$AB$1006:$AQ$1006,0)))),"Fix")))</f>
        <v>0</v>
      </c>
      <c r="K273" s="4">
        <f>IF(OR(INDEX($V$2:$V$1001,MATCH(ROWS($U$2:U273),$U$2:$U$1001,0),1)&gt;=100000,INDEX($AB$1005:$AQ$1005,1,MATCH(COLUMNS($AB$1006:AK1006),$AB$1006:$AQ$1006,0))&gt;=100000), " ",IF(INDEX($AB$2:$AQ$1001,MATCH(ROWS($U$2:U273),$U$2:$U$1001,0),MATCH(COLUMNS($AB$1006:AK1006),$AB$1006:$AQ$1006,0)), HYPERLINK("#",""), HYPERLINK(CONCATENATE("#metadata!", ADDRESS(INDEX($W$2:$W$1001,MATCH(ROWS($U$2:U273),$U$2:$U$1001,0),0), INDEX($AB$1004:$AQ$1004,1,MATCH(COLUMNS($AB$1006:AK1006),$AB$1006:$AQ$1006,0)))),"Fix")))</f>
        <v>0</v>
      </c>
      <c r="L273" s="4">
        <f>IF(OR(INDEX($V$2:$V$1001,MATCH(ROWS($U$2:U273),$U$2:$U$1001,0),1)&gt;=100000,INDEX($AB$1005:$AQ$1005,1,MATCH(COLUMNS($AB$1006:AL1006),$AB$1006:$AQ$1006,0))&gt;=100000), " ",IF(INDEX($AB$2:$AQ$1001,MATCH(ROWS($U$2:U273),$U$2:$U$1001,0),MATCH(COLUMNS($AB$1006:AL1006),$AB$1006:$AQ$1006,0)), HYPERLINK("#",""), HYPERLINK(CONCATENATE("#metadata!", ADDRESS(INDEX($W$2:$W$1001,MATCH(ROWS($U$2:U273),$U$2:$U$1001,0),0), INDEX($AB$1004:$AQ$1004,1,MATCH(COLUMNS($AB$1006:AL1006),$AB$1006:$AQ$1006,0)))),"Fix")))</f>
        <v>0</v>
      </c>
      <c r="M273" s="4">
        <f>IF(OR(INDEX($V$2:$V$1001,MATCH(ROWS($U$2:U273),$U$2:$U$1001,0),1)&gt;=100000,INDEX($AB$1005:$AQ$1005,1,MATCH(COLUMNS($AB$1006:AM1006),$AB$1006:$AQ$1006,0))&gt;=100000), " ",IF(INDEX($AB$2:$AQ$1001,MATCH(ROWS($U$2:U273),$U$2:$U$1001,0),MATCH(COLUMNS($AB$1006:AM1006),$AB$1006:$AQ$1006,0)), HYPERLINK("#",""), HYPERLINK(CONCATENATE("#metadata!", ADDRESS(INDEX($W$2:$W$1001,MATCH(ROWS($U$2:U273),$U$2:$U$1001,0),0), INDEX($AB$1004:$AQ$1004,1,MATCH(COLUMNS($AB$1006:AM1006),$AB$1006:$AQ$1006,0)))),"Fix")))</f>
        <v>0</v>
      </c>
      <c r="N273" s="4">
        <f>IF(OR(INDEX($V$2:$V$1001,MATCH(ROWS($U$2:U273),$U$2:$U$1001,0),1)&gt;=100000,INDEX($AB$1005:$AQ$1005,1,MATCH(COLUMNS($AB$1006:AN1006),$AB$1006:$AQ$1006,0))&gt;=100000), " ",IF(INDEX($AB$2:$AQ$1001,MATCH(ROWS($U$2:U273),$U$2:$U$1001,0),MATCH(COLUMNS($AB$1006:AN1006),$AB$1006:$AQ$1006,0)), HYPERLINK("#",""), HYPERLINK(CONCATENATE("#metadata!", ADDRESS(INDEX($W$2:$W$1001,MATCH(ROWS($U$2:U273),$U$2:$U$1001,0),0), INDEX($AB$1004:$AQ$1004,1,MATCH(COLUMNS($AB$1006:AN1006),$AB$1006:$AQ$1006,0)))),"Fix")))</f>
        <v>0</v>
      </c>
      <c r="O273" s="4">
        <f>IF(OR(INDEX($V$2:$V$1001,MATCH(ROWS($U$2:U273),$U$2:$U$1001,0),1)&gt;=100000,INDEX($AB$1005:$AQ$1005,1,MATCH(COLUMNS($AB$1006:AO1006),$AB$1006:$AQ$1006,0))&gt;=100000), " ",IF(INDEX($AB$2:$AQ$1001,MATCH(ROWS($U$2:U273),$U$2:$U$1001,0),MATCH(COLUMNS($AB$1006:AO1006),$AB$1006:$AQ$1006,0)), HYPERLINK("#",""), HYPERLINK(CONCATENATE("#metadata!", ADDRESS(INDEX($W$2:$W$1001,MATCH(ROWS($U$2:U273),$U$2:$U$1001,0),0), INDEX($AB$1004:$AQ$1004,1,MATCH(COLUMNS($AB$1006:AO1006),$AB$1006:$AQ$1006,0)))),"Fix")))</f>
        <v>0</v>
      </c>
      <c r="P273" s="4">
        <f>IF(OR(INDEX($V$2:$V$1001,MATCH(ROWS($U$2:U273),$U$2:$U$1001,0),1)&gt;=100000,INDEX($AB$1005:$AQ$1005,1,MATCH(COLUMNS($AB$1006:AP1006),$AB$1006:$AQ$1006,0))&gt;=100000), " ",IF(INDEX($AB$2:$AQ$1001,MATCH(ROWS($U$2:U273),$U$2:$U$1001,0),MATCH(COLUMNS($AB$1006:AP1006),$AB$1006:$AQ$1006,0)), HYPERLINK("#",""), HYPERLINK(CONCATENATE("#metadata!", ADDRESS(INDEX($W$2:$W$1001,MATCH(ROWS($U$2:U273),$U$2:$U$1001,0),0), INDEX($AB$1004:$AQ$1004,1,MATCH(COLUMNS($AB$1006:AP1006),$AB$1006:$AQ$1006,0)))),"Fix")))</f>
        <v>0</v>
      </c>
      <c r="Q273" s="4">
        <f>IF(OR(INDEX($V$2:$V$1001,MATCH(ROWS($U$2:U273),$U$2:$U$1001,0),1)&gt;=100000,INDEX($AB$1005:$AQ$1005,1,MATCH(COLUMNS($AB$1006:AQ1006),$AB$1006:$AQ$1006,0))&gt;=100000), " ",IF(INDEX($AB$2:$AQ$1001,MATCH(ROWS($U$2:U273),$U$2:$U$1001,0),MATCH(COLUMNS($AB$1006:AQ1006),$AB$1006:$AQ$1006,0)), HYPERLINK("#",""), HYPERLINK(CONCATENATE("#metadata!", ADDRESS(INDEX($W$2:$W$1001,MATCH(ROWS($U$2:U273),$U$2:$U$1001,0),0), INDEX($AB$1004:$AQ$1004,1,MATCH(COLUMNS($AB$1006:AQ1006),$AB$1006:$AQ$1006,0)))),"Fix")))</f>
        <v>0</v>
      </c>
      <c r="U273">
        <v>0</v>
      </c>
      <c r="V273">
        <v>0</v>
      </c>
      <c r="W273">
        <v>0</v>
      </c>
      <c r="X273">
        <f>IF(Y273,TRUE,AND(AB273:AQ273))</f>
        <v>0</v>
      </c>
      <c r="Y273">
        <f>COUNTBLANK(metadata!B273:Q273)=COLUMNS(metadata!B273:Q273)</f>
        <v>0</v>
      </c>
      <c r="Z273">
        <v>0</v>
      </c>
      <c r="AB273">
        <f>AND(IF(metadata!B273="",FALSE,TRUE),COUNTIF(metadata!B:B, metadata!B273) = 1,NOT(ISERROR(SUMPRODUCT(SEARCH(MID(metadata!B273,ROW(INDIRECT("1:"&amp;LEN(metadata!B273))), 1),"0123456789abcdefghijklmnopqrstuvwxyzABCDEFGHIJKLMNOPQRSTUVWXYZ.")))))</f>
        <v>0</v>
      </c>
      <c r="AC273">
        <f>OR(AND(IF(metadata!C273="",FALSE,TRUE),OR(exact(metadata!C273,"missing: not collected"),exact(metadata!C273,"missing: not provided"),exact(metadata!C273,"missing: restricted access"))),AND(IF(metadata!C273="",FALSE,TRUE),AND(AND(IFERROR(INT(LEFT(metadata!C273,4))&gt;1900,FALSE),IFERROR(INT(LEFT(metadata!C273,4))&lt;=YEAR(NOW()),FALSE)), OR(MID(metadata!C273,5,1)="", AND(AND(MID(metadata!C273,5,1)="-",IFERROR(INT(MID(metadata!C273,6,1))&gt;=0,FALSE),IFERROR(INT(MID(metadata!C273,6,1))&lt;=1,FALSE),NOT(MID(metadata!C273,7,1)=""),IFERROR(INT(MID(metadata!C273,6,2))&gt;=1,FALSE),IFERROR(INT(MID(metadata!C273,6,2))&lt;=12,FALSE)), OR(MID(metadata!C273,8,1)="", AND(AND(MID(metadata!C273,8,1)="-",IFERROR(INT(MID(metadata!C273,9,1))&gt;=0,FALSE),IFERROR(INT(MID(metadata!C273,9,1))&lt;=3,FALSE),NOT(MID(metadata!C273,10,1)=""),IFERROR(INT(MID(metadata!C273,9,2))&gt;=1,FALSE),IFERROR(INT(MID(metadata!C273,9,2))&lt;=31,FALSE)), OR(MID(metadata!C273,11,1)="", AND(AND(MID(metadata!C273,11,1)=" ",IFERROR(INT(MID(metadata!C273,12,1))&gt;=0,FALSE),IFERROR(INT(MID(metadata!C273,12,1))&lt;=2,FALSE),NOT(MID(metadata!C273,13,1)=""),IFERROR(INT(MID(metadata!C273,12,2))&gt;=0,FALSE),IFERROR(INT(MID(metadata!C273,12,2))&lt;=23,FALSE)), OR(MID(metadata!C273,14,1)="", AND(AND(MID(metadata!C273,14,1)=":",IFERROR(INT(MID(metadata!C273,15,1))&gt;=0,FALSE),IFERROR(INT(MID(metadata!C273,15,1))&lt;=5,FALSE),NOT(MID(metadata!C273,16,1)=""),IFERROR(INT(MID(metadata!C273,15,2))&gt;=0,FALSE),IFERROR(INT(MID(metadata!C273,15,2))&lt;=59,FALSE)), OR(MID(metadata!C273,17,1)="", AND(AND(MID(metadata!C273,17,1)=":",IFERROR(INT(MID(metadata!C273,18,1))&gt;=0,FALSE),IFERROR(INT(MID(metadata!C273,18,1))&lt;=5,FALSE),NOT(MID(metadata!C273,19,1)=""),IFERROR(INT(MID(metadata!C273,18,2))&gt;=0,FALSE),IFERROR(INT(MID(metadata!C273,18,2))&lt;=59,FALSE)), LEN(metadata!C273)&lt;=19)))))))))))))</f>
        <v>0</v>
      </c>
      <c r="AD273">
        <f>IF(metadata!D273="",FALSE,TRUE)</f>
        <v>0</v>
      </c>
      <c r="AE273">
        <f>OR(AND(IF(metadata!E273="",FALSE,TRUE),OR(exact(metadata!E273,"missing: not collected"),exact(metadata!E273,"missing: not provided"))),AND(IF(metadata!E273="",FALSE,TRUE),OR(exact(metadata!E273,"TRUE"),exact(metadata!E273,"FALSE"))))</f>
        <v>0</v>
      </c>
      <c r="AF273">
        <f>IF(metadata!F273="",FALSE,TRUE)</f>
        <v>0</v>
      </c>
      <c r="AG273">
        <f>IF(metadata!G273="",FALSE,TRUE)</f>
        <v>0</v>
      </c>
      <c r="AH273">
        <f>IF(metadata!H273="",FALSE,TRUE)</f>
        <v>0</v>
      </c>
      <c r="AI273">
        <f>OR(AND(IF(metadata!I273="",FALSE,TRUE),OR(exact(metadata!I273,"missing: not collected"),exact(metadata!I273,"missing: not provided"),exact(metadata!I273,"missing: restricted access"))),AND(IF(metadata!I273="",FALSE,TRUE),OR(exact(metadata!I273,"air"),exact(metadata!I273,"built environment"),exact(metadata!I273,"host-associated"),exact(metadata!I273,"human-associated"),exact(metadata!I273,"human-skin"),exact(metadata!I273,"human-oral"),exact(metadata!I273,"human-gut"),exact(metadata!I273,"human-vaginal"),exact(metadata!I273,"microbial mat/biofilm"),exact(metadata!I273,"misc environment"),exact(metadata!I273,"plant-associated"),exact(metadata!I273,"sediment"),exact(metadata!I273,"soil"),exact(metadata!I273,"wastewater/sludge"),exact(metadata!I273,"water"))))</f>
        <v>0</v>
      </c>
      <c r="AJ273">
        <f>IF(metadata!J273="",FALSE,TRUE)</f>
        <v>0</v>
      </c>
      <c r="AK273">
        <f>OR(AND(IF(metadata!K273="",FALSE,TRUE),OR(exact(metadata!K273,"missing: not collected"),exact(metadata!K273,"missing: not provided"),exact(metadata!K273,"missing: restricted access"))),AND(IF(metadata!K273="",FALSE,ISNUMBER(VALUE(metadata!K273))),metadata!K273&gt;=-90.00,metadata!K273&lt;=90.00))</f>
        <v>0</v>
      </c>
      <c r="AL273">
        <f>OR(AND(IF(metadata!L273="",FALSE,TRUE),OR(exact(metadata!L273,"missing: not collected"),exact(metadata!L273,"missing: not provided"),exact(metadata!L273,"missing: restricted access"))),AND(IF(metadata!L273="",FALSE,ISNUMBER(VALUE(metadata!L273))),metadata!L273&gt;=-180.00,metadata!L273&lt;=180.00))</f>
        <v>0</v>
      </c>
      <c r="AM273">
        <f>IF(metadata!M273="",FALSE,TRUE)</f>
        <v>0</v>
      </c>
      <c r="AN273">
        <f>OR(AND(IF(metadata!N273="",FALSE,TRUE),OR(exact(metadata!N273,"missing: not collected"),exact(metadata!N273,"missing: not provided"),exact(metadata!N273,"missing: restricted access"))),AND(IF(metadata!N273="",FALSE,TRUE),OR(exact(metadata!N273,"TRUE"),exact(metadata!N273,"FALSE"))))</f>
        <v>0</v>
      </c>
      <c r="AO273">
        <f>IF(metadata!O273="",FALSE,TRUE)</f>
        <v>0</v>
      </c>
      <c r="AP273">
        <f>OR(AND(IF(metadata!P273="",FALSE,TRUE),OR(exact(metadata!P273,"missing: not collected"),exact(metadata!P273,"missing: not provided"))),AND(IF(metadata!P273="",FALSE,IF(ISERROR(INT(metadata!P273)),FALSE,INT(metadata!P273)=metadata!P273)),metadata!P273&gt;0))</f>
        <v>0</v>
      </c>
      <c r="AQ273">
        <f>IF(metadata!Q273="",FALSE,TRUE)</f>
        <v>0</v>
      </c>
    </row>
    <row r="274" spans="1:43">
      <c r="A274" s="5">
        <f>IF(B274=" "," ",HYPERLINK(CONCATENATE("#metadata!",ADDRESS(INDEX($W$2:$W$1001,MATCH(ROWS($U$2:U274),$U$2:$U$1001,0),0),1)),INDEX($Z$2:$Z$1001,MATCH(ROWS($U$2:U274),$U$2:$U$1001,0),0)))</f>
        <v>0</v>
      </c>
      <c r="B274" s="4">
        <f>IF(OR(INDEX($V$2:$V$1001,MATCH(ROWS($U$2:U274),$U$2:$U$1001,0),1)&gt;=100000,INDEX($AB$1005:$AQ$1005,1,MATCH(COLUMNS($AB$1006:AB1006),$AB$1006:$AQ$1006,0))&gt;=100000), " ",IF(INDEX($AB$2:$AQ$1001,MATCH(ROWS($U$2:U274),$U$2:$U$1001,0),MATCH(COLUMNS($AB$1006:AB1006),$AB$1006:$AQ$1006,0)), HYPERLINK("#",""), HYPERLINK(CONCATENATE("#metadata!", ADDRESS(INDEX($W$2:$W$1001,MATCH(ROWS($U$2:U274),$U$2:$U$1001,0),0), INDEX($AB$1004:$AQ$1004,1,MATCH(COLUMNS($AB$1006:AB1006),$AB$1006:$AQ$1006,0)))),"Fix")))</f>
        <v>0</v>
      </c>
      <c r="C274" s="4">
        <f>IF(OR(INDEX($V$2:$V$1001,MATCH(ROWS($U$2:U274),$U$2:$U$1001,0),1)&gt;=100000,INDEX($AB$1005:$AQ$1005,1,MATCH(COLUMNS($AB$1006:AC1006),$AB$1006:$AQ$1006,0))&gt;=100000), " ",IF(INDEX($AB$2:$AQ$1001,MATCH(ROWS($U$2:U274),$U$2:$U$1001,0),MATCH(COLUMNS($AB$1006:AC1006),$AB$1006:$AQ$1006,0)), HYPERLINK("#",""), HYPERLINK(CONCATENATE("#metadata!", ADDRESS(INDEX($W$2:$W$1001,MATCH(ROWS($U$2:U274),$U$2:$U$1001,0),0), INDEX($AB$1004:$AQ$1004,1,MATCH(COLUMNS($AB$1006:AC1006),$AB$1006:$AQ$1006,0)))),"Fix")))</f>
        <v>0</v>
      </c>
      <c r="D274" s="4">
        <f>IF(OR(INDEX($V$2:$V$1001,MATCH(ROWS($U$2:U274),$U$2:$U$1001,0),1)&gt;=100000,INDEX($AB$1005:$AQ$1005,1,MATCH(COLUMNS($AB$1006:AD1006),$AB$1006:$AQ$1006,0))&gt;=100000), " ",IF(INDEX($AB$2:$AQ$1001,MATCH(ROWS($U$2:U274),$U$2:$U$1001,0),MATCH(COLUMNS($AB$1006:AD1006),$AB$1006:$AQ$1006,0)), HYPERLINK("#",""), HYPERLINK(CONCATENATE("#metadata!", ADDRESS(INDEX($W$2:$W$1001,MATCH(ROWS($U$2:U274),$U$2:$U$1001,0),0), INDEX($AB$1004:$AQ$1004,1,MATCH(COLUMNS($AB$1006:AD1006),$AB$1006:$AQ$1006,0)))),"Fix")))</f>
        <v>0</v>
      </c>
      <c r="E274" s="4">
        <f>IF(OR(INDEX($V$2:$V$1001,MATCH(ROWS($U$2:U274),$U$2:$U$1001,0),1)&gt;=100000,INDEX($AB$1005:$AQ$1005,1,MATCH(COLUMNS($AB$1006:AE1006),$AB$1006:$AQ$1006,0))&gt;=100000), " ",IF(INDEX($AB$2:$AQ$1001,MATCH(ROWS($U$2:U274),$U$2:$U$1001,0),MATCH(COLUMNS($AB$1006:AE1006),$AB$1006:$AQ$1006,0)), HYPERLINK("#",""), HYPERLINK(CONCATENATE("#metadata!", ADDRESS(INDEX($W$2:$W$1001,MATCH(ROWS($U$2:U274),$U$2:$U$1001,0),0), INDEX($AB$1004:$AQ$1004,1,MATCH(COLUMNS($AB$1006:AE1006),$AB$1006:$AQ$1006,0)))),"Fix")))</f>
        <v>0</v>
      </c>
      <c r="F274" s="4">
        <f>IF(OR(INDEX($V$2:$V$1001,MATCH(ROWS($U$2:U274),$U$2:$U$1001,0),1)&gt;=100000,INDEX($AB$1005:$AQ$1005,1,MATCH(COLUMNS($AB$1006:AF1006),$AB$1006:$AQ$1006,0))&gt;=100000), " ",IF(INDEX($AB$2:$AQ$1001,MATCH(ROWS($U$2:U274),$U$2:$U$1001,0),MATCH(COLUMNS($AB$1006:AF1006),$AB$1006:$AQ$1006,0)), HYPERLINK("#",""), HYPERLINK(CONCATENATE("#metadata!", ADDRESS(INDEX($W$2:$W$1001,MATCH(ROWS($U$2:U274),$U$2:$U$1001,0),0), INDEX($AB$1004:$AQ$1004,1,MATCH(COLUMNS($AB$1006:AF1006),$AB$1006:$AQ$1006,0)))),"Fix")))</f>
        <v>0</v>
      </c>
      <c r="G274" s="4">
        <f>IF(OR(INDEX($V$2:$V$1001,MATCH(ROWS($U$2:U274),$U$2:$U$1001,0),1)&gt;=100000,INDEX($AB$1005:$AQ$1005,1,MATCH(COLUMNS($AB$1006:AG1006),$AB$1006:$AQ$1006,0))&gt;=100000), " ",IF(INDEX($AB$2:$AQ$1001,MATCH(ROWS($U$2:U274),$U$2:$U$1001,0),MATCH(COLUMNS($AB$1006:AG1006),$AB$1006:$AQ$1006,0)), HYPERLINK("#",""), HYPERLINK(CONCATENATE("#metadata!", ADDRESS(INDEX($W$2:$W$1001,MATCH(ROWS($U$2:U274),$U$2:$U$1001,0),0), INDEX($AB$1004:$AQ$1004,1,MATCH(COLUMNS($AB$1006:AG1006),$AB$1006:$AQ$1006,0)))),"Fix")))</f>
        <v>0</v>
      </c>
      <c r="H274" s="4">
        <f>IF(OR(INDEX($V$2:$V$1001,MATCH(ROWS($U$2:U274),$U$2:$U$1001,0),1)&gt;=100000,INDEX($AB$1005:$AQ$1005,1,MATCH(COLUMNS($AB$1006:AH1006),$AB$1006:$AQ$1006,0))&gt;=100000), " ",IF(INDEX($AB$2:$AQ$1001,MATCH(ROWS($U$2:U274),$U$2:$U$1001,0),MATCH(COLUMNS($AB$1006:AH1006),$AB$1006:$AQ$1006,0)), HYPERLINK("#",""), HYPERLINK(CONCATENATE("#metadata!", ADDRESS(INDEX($W$2:$W$1001,MATCH(ROWS($U$2:U274),$U$2:$U$1001,0),0), INDEX($AB$1004:$AQ$1004,1,MATCH(COLUMNS($AB$1006:AH1006),$AB$1006:$AQ$1006,0)))),"Fix")))</f>
        <v>0</v>
      </c>
      <c r="I274" s="4">
        <f>IF(OR(INDEX($V$2:$V$1001,MATCH(ROWS($U$2:U274),$U$2:$U$1001,0),1)&gt;=100000,INDEX($AB$1005:$AQ$1005,1,MATCH(COLUMNS($AB$1006:AI1006),$AB$1006:$AQ$1006,0))&gt;=100000), " ",IF(INDEX($AB$2:$AQ$1001,MATCH(ROWS($U$2:U274),$U$2:$U$1001,0),MATCH(COLUMNS($AB$1006:AI1006),$AB$1006:$AQ$1006,0)), HYPERLINK("#",""), HYPERLINK(CONCATENATE("#metadata!", ADDRESS(INDEX($W$2:$W$1001,MATCH(ROWS($U$2:U274),$U$2:$U$1001,0),0), INDEX($AB$1004:$AQ$1004,1,MATCH(COLUMNS($AB$1006:AI1006),$AB$1006:$AQ$1006,0)))),"Fix")))</f>
        <v>0</v>
      </c>
      <c r="J274" s="4">
        <f>IF(OR(INDEX($V$2:$V$1001,MATCH(ROWS($U$2:U274),$U$2:$U$1001,0),1)&gt;=100000,INDEX($AB$1005:$AQ$1005,1,MATCH(COLUMNS($AB$1006:AJ1006),$AB$1006:$AQ$1006,0))&gt;=100000), " ",IF(INDEX($AB$2:$AQ$1001,MATCH(ROWS($U$2:U274),$U$2:$U$1001,0),MATCH(COLUMNS($AB$1006:AJ1006),$AB$1006:$AQ$1006,0)), HYPERLINK("#",""), HYPERLINK(CONCATENATE("#metadata!", ADDRESS(INDEX($W$2:$W$1001,MATCH(ROWS($U$2:U274),$U$2:$U$1001,0),0), INDEX($AB$1004:$AQ$1004,1,MATCH(COLUMNS($AB$1006:AJ1006),$AB$1006:$AQ$1006,0)))),"Fix")))</f>
        <v>0</v>
      </c>
      <c r="K274" s="4">
        <f>IF(OR(INDEX($V$2:$V$1001,MATCH(ROWS($U$2:U274),$U$2:$U$1001,0),1)&gt;=100000,INDEX($AB$1005:$AQ$1005,1,MATCH(COLUMNS($AB$1006:AK1006),$AB$1006:$AQ$1006,0))&gt;=100000), " ",IF(INDEX($AB$2:$AQ$1001,MATCH(ROWS($U$2:U274),$U$2:$U$1001,0),MATCH(COLUMNS($AB$1006:AK1006),$AB$1006:$AQ$1006,0)), HYPERLINK("#",""), HYPERLINK(CONCATENATE("#metadata!", ADDRESS(INDEX($W$2:$W$1001,MATCH(ROWS($U$2:U274),$U$2:$U$1001,0),0), INDEX($AB$1004:$AQ$1004,1,MATCH(COLUMNS($AB$1006:AK1006),$AB$1006:$AQ$1006,0)))),"Fix")))</f>
        <v>0</v>
      </c>
      <c r="L274" s="4">
        <f>IF(OR(INDEX($V$2:$V$1001,MATCH(ROWS($U$2:U274),$U$2:$U$1001,0),1)&gt;=100000,INDEX($AB$1005:$AQ$1005,1,MATCH(COLUMNS($AB$1006:AL1006),$AB$1006:$AQ$1006,0))&gt;=100000), " ",IF(INDEX($AB$2:$AQ$1001,MATCH(ROWS($U$2:U274),$U$2:$U$1001,0),MATCH(COLUMNS($AB$1006:AL1006),$AB$1006:$AQ$1006,0)), HYPERLINK("#",""), HYPERLINK(CONCATENATE("#metadata!", ADDRESS(INDEX($W$2:$W$1001,MATCH(ROWS($U$2:U274),$U$2:$U$1001,0),0), INDEX($AB$1004:$AQ$1004,1,MATCH(COLUMNS($AB$1006:AL1006),$AB$1006:$AQ$1006,0)))),"Fix")))</f>
        <v>0</v>
      </c>
      <c r="M274" s="4">
        <f>IF(OR(INDEX($V$2:$V$1001,MATCH(ROWS($U$2:U274),$U$2:$U$1001,0),1)&gt;=100000,INDEX($AB$1005:$AQ$1005,1,MATCH(COLUMNS($AB$1006:AM1006),$AB$1006:$AQ$1006,0))&gt;=100000), " ",IF(INDEX($AB$2:$AQ$1001,MATCH(ROWS($U$2:U274),$U$2:$U$1001,0),MATCH(COLUMNS($AB$1006:AM1006),$AB$1006:$AQ$1006,0)), HYPERLINK("#",""), HYPERLINK(CONCATENATE("#metadata!", ADDRESS(INDEX($W$2:$W$1001,MATCH(ROWS($U$2:U274),$U$2:$U$1001,0),0), INDEX($AB$1004:$AQ$1004,1,MATCH(COLUMNS($AB$1006:AM1006),$AB$1006:$AQ$1006,0)))),"Fix")))</f>
        <v>0</v>
      </c>
      <c r="N274" s="4">
        <f>IF(OR(INDEX($V$2:$V$1001,MATCH(ROWS($U$2:U274),$U$2:$U$1001,0),1)&gt;=100000,INDEX($AB$1005:$AQ$1005,1,MATCH(COLUMNS($AB$1006:AN1006),$AB$1006:$AQ$1006,0))&gt;=100000), " ",IF(INDEX($AB$2:$AQ$1001,MATCH(ROWS($U$2:U274),$U$2:$U$1001,0),MATCH(COLUMNS($AB$1006:AN1006),$AB$1006:$AQ$1006,0)), HYPERLINK("#",""), HYPERLINK(CONCATENATE("#metadata!", ADDRESS(INDEX($W$2:$W$1001,MATCH(ROWS($U$2:U274),$U$2:$U$1001,0),0), INDEX($AB$1004:$AQ$1004,1,MATCH(COLUMNS($AB$1006:AN1006),$AB$1006:$AQ$1006,0)))),"Fix")))</f>
        <v>0</v>
      </c>
      <c r="O274" s="4">
        <f>IF(OR(INDEX($V$2:$V$1001,MATCH(ROWS($U$2:U274),$U$2:$U$1001,0),1)&gt;=100000,INDEX($AB$1005:$AQ$1005,1,MATCH(COLUMNS($AB$1006:AO1006),$AB$1006:$AQ$1006,0))&gt;=100000), " ",IF(INDEX($AB$2:$AQ$1001,MATCH(ROWS($U$2:U274),$U$2:$U$1001,0),MATCH(COLUMNS($AB$1006:AO1006),$AB$1006:$AQ$1006,0)), HYPERLINK("#",""), HYPERLINK(CONCATENATE("#metadata!", ADDRESS(INDEX($W$2:$W$1001,MATCH(ROWS($U$2:U274),$U$2:$U$1001,0),0), INDEX($AB$1004:$AQ$1004,1,MATCH(COLUMNS($AB$1006:AO1006),$AB$1006:$AQ$1006,0)))),"Fix")))</f>
        <v>0</v>
      </c>
      <c r="P274" s="4">
        <f>IF(OR(INDEX($V$2:$V$1001,MATCH(ROWS($U$2:U274),$U$2:$U$1001,0),1)&gt;=100000,INDEX($AB$1005:$AQ$1005,1,MATCH(COLUMNS($AB$1006:AP1006),$AB$1006:$AQ$1006,0))&gt;=100000), " ",IF(INDEX($AB$2:$AQ$1001,MATCH(ROWS($U$2:U274),$U$2:$U$1001,0),MATCH(COLUMNS($AB$1006:AP1006),$AB$1006:$AQ$1006,0)), HYPERLINK("#",""), HYPERLINK(CONCATENATE("#metadata!", ADDRESS(INDEX($W$2:$W$1001,MATCH(ROWS($U$2:U274),$U$2:$U$1001,0),0), INDEX($AB$1004:$AQ$1004,1,MATCH(COLUMNS($AB$1006:AP1006),$AB$1006:$AQ$1006,0)))),"Fix")))</f>
        <v>0</v>
      </c>
      <c r="Q274" s="4">
        <f>IF(OR(INDEX($V$2:$V$1001,MATCH(ROWS($U$2:U274),$U$2:$U$1001,0),1)&gt;=100000,INDEX($AB$1005:$AQ$1005,1,MATCH(COLUMNS($AB$1006:AQ1006),$AB$1006:$AQ$1006,0))&gt;=100000), " ",IF(INDEX($AB$2:$AQ$1001,MATCH(ROWS($U$2:U274),$U$2:$U$1001,0),MATCH(COLUMNS($AB$1006:AQ1006),$AB$1006:$AQ$1006,0)), HYPERLINK("#",""), HYPERLINK(CONCATENATE("#metadata!", ADDRESS(INDEX($W$2:$W$1001,MATCH(ROWS($U$2:U274),$U$2:$U$1001,0),0), INDEX($AB$1004:$AQ$1004,1,MATCH(COLUMNS($AB$1006:AQ1006),$AB$1006:$AQ$1006,0)))),"Fix")))</f>
        <v>0</v>
      </c>
      <c r="U274">
        <v>0</v>
      </c>
      <c r="V274">
        <v>0</v>
      </c>
      <c r="W274">
        <v>0</v>
      </c>
      <c r="X274">
        <f>IF(Y274,TRUE,AND(AB274:AQ274))</f>
        <v>0</v>
      </c>
      <c r="Y274">
        <f>COUNTBLANK(metadata!B274:Q274)=COLUMNS(metadata!B274:Q274)</f>
        <v>0</v>
      </c>
      <c r="Z274">
        <v>0</v>
      </c>
      <c r="AB274">
        <f>AND(IF(metadata!B274="",FALSE,TRUE),COUNTIF(metadata!B:B, metadata!B274) = 1,NOT(ISERROR(SUMPRODUCT(SEARCH(MID(metadata!B274,ROW(INDIRECT("1:"&amp;LEN(metadata!B274))), 1),"0123456789abcdefghijklmnopqrstuvwxyzABCDEFGHIJKLMNOPQRSTUVWXYZ.")))))</f>
        <v>0</v>
      </c>
      <c r="AC274">
        <f>OR(AND(IF(metadata!C274="",FALSE,TRUE),OR(exact(metadata!C274,"missing: not collected"),exact(metadata!C274,"missing: not provided"),exact(metadata!C274,"missing: restricted access"))),AND(IF(metadata!C274="",FALSE,TRUE),AND(AND(IFERROR(INT(LEFT(metadata!C274,4))&gt;1900,FALSE),IFERROR(INT(LEFT(metadata!C274,4))&lt;=YEAR(NOW()),FALSE)), OR(MID(metadata!C274,5,1)="", AND(AND(MID(metadata!C274,5,1)="-",IFERROR(INT(MID(metadata!C274,6,1))&gt;=0,FALSE),IFERROR(INT(MID(metadata!C274,6,1))&lt;=1,FALSE),NOT(MID(metadata!C274,7,1)=""),IFERROR(INT(MID(metadata!C274,6,2))&gt;=1,FALSE),IFERROR(INT(MID(metadata!C274,6,2))&lt;=12,FALSE)), OR(MID(metadata!C274,8,1)="", AND(AND(MID(metadata!C274,8,1)="-",IFERROR(INT(MID(metadata!C274,9,1))&gt;=0,FALSE),IFERROR(INT(MID(metadata!C274,9,1))&lt;=3,FALSE),NOT(MID(metadata!C274,10,1)=""),IFERROR(INT(MID(metadata!C274,9,2))&gt;=1,FALSE),IFERROR(INT(MID(metadata!C274,9,2))&lt;=31,FALSE)), OR(MID(metadata!C274,11,1)="", AND(AND(MID(metadata!C274,11,1)=" ",IFERROR(INT(MID(metadata!C274,12,1))&gt;=0,FALSE),IFERROR(INT(MID(metadata!C274,12,1))&lt;=2,FALSE),NOT(MID(metadata!C274,13,1)=""),IFERROR(INT(MID(metadata!C274,12,2))&gt;=0,FALSE),IFERROR(INT(MID(metadata!C274,12,2))&lt;=23,FALSE)), OR(MID(metadata!C274,14,1)="", AND(AND(MID(metadata!C274,14,1)=":",IFERROR(INT(MID(metadata!C274,15,1))&gt;=0,FALSE),IFERROR(INT(MID(metadata!C274,15,1))&lt;=5,FALSE),NOT(MID(metadata!C274,16,1)=""),IFERROR(INT(MID(metadata!C274,15,2))&gt;=0,FALSE),IFERROR(INT(MID(metadata!C274,15,2))&lt;=59,FALSE)), OR(MID(metadata!C274,17,1)="", AND(AND(MID(metadata!C274,17,1)=":",IFERROR(INT(MID(metadata!C274,18,1))&gt;=0,FALSE),IFERROR(INT(MID(metadata!C274,18,1))&lt;=5,FALSE),NOT(MID(metadata!C274,19,1)=""),IFERROR(INT(MID(metadata!C274,18,2))&gt;=0,FALSE),IFERROR(INT(MID(metadata!C274,18,2))&lt;=59,FALSE)), LEN(metadata!C274)&lt;=19)))))))))))))</f>
        <v>0</v>
      </c>
      <c r="AD274">
        <f>IF(metadata!D274="",FALSE,TRUE)</f>
        <v>0</v>
      </c>
      <c r="AE274">
        <f>OR(AND(IF(metadata!E274="",FALSE,TRUE),OR(exact(metadata!E274,"missing: not collected"),exact(metadata!E274,"missing: not provided"))),AND(IF(metadata!E274="",FALSE,TRUE),OR(exact(metadata!E274,"TRUE"),exact(metadata!E274,"FALSE"))))</f>
        <v>0</v>
      </c>
      <c r="AF274">
        <f>IF(metadata!F274="",FALSE,TRUE)</f>
        <v>0</v>
      </c>
      <c r="AG274">
        <f>IF(metadata!G274="",FALSE,TRUE)</f>
        <v>0</v>
      </c>
      <c r="AH274">
        <f>IF(metadata!H274="",FALSE,TRUE)</f>
        <v>0</v>
      </c>
      <c r="AI274">
        <f>OR(AND(IF(metadata!I274="",FALSE,TRUE),OR(exact(metadata!I274,"missing: not collected"),exact(metadata!I274,"missing: not provided"),exact(metadata!I274,"missing: restricted access"))),AND(IF(metadata!I274="",FALSE,TRUE),OR(exact(metadata!I274,"air"),exact(metadata!I274,"built environment"),exact(metadata!I274,"host-associated"),exact(metadata!I274,"human-associated"),exact(metadata!I274,"human-skin"),exact(metadata!I274,"human-oral"),exact(metadata!I274,"human-gut"),exact(metadata!I274,"human-vaginal"),exact(metadata!I274,"microbial mat/biofilm"),exact(metadata!I274,"misc environment"),exact(metadata!I274,"plant-associated"),exact(metadata!I274,"sediment"),exact(metadata!I274,"soil"),exact(metadata!I274,"wastewater/sludge"),exact(metadata!I274,"water"))))</f>
        <v>0</v>
      </c>
      <c r="AJ274">
        <f>IF(metadata!J274="",FALSE,TRUE)</f>
        <v>0</v>
      </c>
      <c r="AK274">
        <f>OR(AND(IF(metadata!K274="",FALSE,TRUE),OR(exact(metadata!K274,"missing: not collected"),exact(metadata!K274,"missing: not provided"),exact(metadata!K274,"missing: restricted access"))),AND(IF(metadata!K274="",FALSE,ISNUMBER(VALUE(metadata!K274))),metadata!K274&gt;=-90.00,metadata!K274&lt;=90.00))</f>
        <v>0</v>
      </c>
      <c r="AL274">
        <f>OR(AND(IF(metadata!L274="",FALSE,TRUE),OR(exact(metadata!L274,"missing: not collected"),exact(metadata!L274,"missing: not provided"),exact(metadata!L274,"missing: restricted access"))),AND(IF(metadata!L274="",FALSE,ISNUMBER(VALUE(metadata!L274))),metadata!L274&gt;=-180.00,metadata!L274&lt;=180.00))</f>
        <v>0</v>
      </c>
      <c r="AM274">
        <f>IF(metadata!M274="",FALSE,TRUE)</f>
        <v>0</v>
      </c>
      <c r="AN274">
        <f>OR(AND(IF(metadata!N274="",FALSE,TRUE),OR(exact(metadata!N274,"missing: not collected"),exact(metadata!N274,"missing: not provided"),exact(metadata!N274,"missing: restricted access"))),AND(IF(metadata!N274="",FALSE,TRUE),OR(exact(metadata!N274,"TRUE"),exact(metadata!N274,"FALSE"))))</f>
        <v>0</v>
      </c>
      <c r="AO274">
        <f>IF(metadata!O274="",FALSE,TRUE)</f>
        <v>0</v>
      </c>
      <c r="AP274">
        <f>OR(AND(IF(metadata!P274="",FALSE,TRUE),OR(exact(metadata!P274,"missing: not collected"),exact(metadata!P274,"missing: not provided"))),AND(IF(metadata!P274="",FALSE,IF(ISERROR(INT(metadata!P274)),FALSE,INT(metadata!P274)=metadata!P274)),metadata!P274&gt;0))</f>
        <v>0</v>
      </c>
      <c r="AQ274">
        <f>IF(metadata!Q274="",FALSE,TRUE)</f>
        <v>0</v>
      </c>
    </row>
    <row r="275" spans="1:43">
      <c r="A275" s="5">
        <f>IF(B275=" "," ",HYPERLINK(CONCATENATE("#metadata!",ADDRESS(INDEX($W$2:$W$1001,MATCH(ROWS($U$2:U275),$U$2:$U$1001,0),0),1)),INDEX($Z$2:$Z$1001,MATCH(ROWS($U$2:U275),$U$2:$U$1001,0),0)))</f>
        <v>0</v>
      </c>
      <c r="B275" s="4">
        <f>IF(OR(INDEX($V$2:$V$1001,MATCH(ROWS($U$2:U275),$U$2:$U$1001,0),1)&gt;=100000,INDEX($AB$1005:$AQ$1005,1,MATCH(COLUMNS($AB$1006:AB1006),$AB$1006:$AQ$1006,0))&gt;=100000), " ",IF(INDEX($AB$2:$AQ$1001,MATCH(ROWS($U$2:U275),$U$2:$U$1001,0),MATCH(COLUMNS($AB$1006:AB1006),$AB$1006:$AQ$1006,0)), HYPERLINK("#",""), HYPERLINK(CONCATENATE("#metadata!", ADDRESS(INDEX($W$2:$W$1001,MATCH(ROWS($U$2:U275),$U$2:$U$1001,0),0), INDEX($AB$1004:$AQ$1004,1,MATCH(COLUMNS($AB$1006:AB1006),$AB$1006:$AQ$1006,0)))),"Fix")))</f>
        <v>0</v>
      </c>
      <c r="C275" s="4">
        <f>IF(OR(INDEX($V$2:$V$1001,MATCH(ROWS($U$2:U275),$U$2:$U$1001,0),1)&gt;=100000,INDEX($AB$1005:$AQ$1005,1,MATCH(COLUMNS($AB$1006:AC1006),$AB$1006:$AQ$1006,0))&gt;=100000), " ",IF(INDEX($AB$2:$AQ$1001,MATCH(ROWS($U$2:U275),$U$2:$U$1001,0),MATCH(COLUMNS($AB$1006:AC1006),$AB$1006:$AQ$1006,0)), HYPERLINK("#",""), HYPERLINK(CONCATENATE("#metadata!", ADDRESS(INDEX($W$2:$W$1001,MATCH(ROWS($U$2:U275),$U$2:$U$1001,0),0), INDEX($AB$1004:$AQ$1004,1,MATCH(COLUMNS($AB$1006:AC1006),$AB$1006:$AQ$1006,0)))),"Fix")))</f>
        <v>0</v>
      </c>
      <c r="D275" s="4">
        <f>IF(OR(INDEX($V$2:$V$1001,MATCH(ROWS($U$2:U275),$U$2:$U$1001,0),1)&gt;=100000,INDEX($AB$1005:$AQ$1005,1,MATCH(COLUMNS($AB$1006:AD1006),$AB$1006:$AQ$1006,0))&gt;=100000), " ",IF(INDEX($AB$2:$AQ$1001,MATCH(ROWS($U$2:U275),$U$2:$U$1001,0),MATCH(COLUMNS($AB$1006:AD1006),$AB$1006:$AQ$1006,0)), HYPERLINK("#",""), HYPERLINK(CONCATENATE("#metadata!", ADDRESS(INDEX($W$2:$W$1001,MATCH(ROWS($U$2:U275),$U$2:$U$1001,0),0), INDEX($AB$1004:$AQ$1004,1,MATCH(COLUMNS($AB$1006:AD1006),$AB$1006:$AQ$1006,0)))),"Fix")))</f>
        <v>0</v>
      </c>
      <c r="E275" s="4">
        <f>IF(OR(INDEX($V$2:$V$1001,MATCH(ROWS($U$2:U275),$U$2:$U$1001,0),1)&gt;=100000,INDEX($AB$1005:$AQ$1005,1,MATCH(COLUMNS($AB$1006:AE1006),$AB$1006:$AQ$1006,0))&gt;=100000), " ",IF(INDEX($AB$2:$AQ$1001,MATCH(ROWS($U$2:U275),$U$2:$U$1001,0),MATCH(COLUMNS($AB$1006:AE1006),$AB$1006:$AQ$1006,0)), HYPERLINK("#",""), HYPERLINK(CONCATENATE("#metadata!", ADDRESS(INDEX($W$2:$W$1001,MATCH(ROWS($U$2:U275),$U$2:$U$1001,0),0), INDEX($AB$1004:$AQ$1004,1,MATCH(COLUMNS($AB$1006:AE1006),$AB$1006:$AQ$1006,0)))),"Fix")))</f>
        <v>0</v>
      </c>
      <c r="F275" s="4">
        <f>IF(OR(INDEX($V$2:$V$1001,MATCH(ROWS($U$2:U275),$U$2:$U$1001,0),1)&gt;=100000,INDEX($AB$1005:$AQ$1005,1,MATCH(COLUMNS($AB$1006:AF1006),$AB$1006:$AQ$1006,0))&gt;=100000), " ",IF(INDEX($AB$2:$AQ$1001,MATCH(ROWS($U$2:U275),$U$2:$U$1001,0),MATCH(COLUMNS($AB$1006:AF1006),$AB$1006:$AQ$1006,0)), HYPERLINK("#",""), HYPERLINK(CONCATENATE("#metadata!", ADDRESS(INDEX($W$2:$W$1001,MATCH(ROWS($U$2:U275),$U$2:$U$1001,0),0), INDEX($AB$1004:$AQ$1004,1,MATCH(COLUMNS($AB$1006:AF1006),$AB$1006:$AQ$1006,0)))),"Fix")))</f>
        <v>0</v>
      </c>
      <c r="G275" s="4">
        <f>IF(OR(INDEX($V$2:$V$1001,MATCH(ROWS($U$2:U275),$U$2:$U$1001,0),1)&gt;=100000,INDEX($AB$1005:$AQ$1005,1,MATCH(COLUMNS($AB$1006:AG1006),$AB$1006:$AQ$1006,0))&gt;=100000), " ",IF(INDEX($AB$2:$AQ$1001,MATCH(ROWS($U$2:U275),$U$2:$U$1001,0),MATCH(COLUMNS($AB$1006:AG1006),$AB$1006:$AQ$1006,0)), HYPERLINK("#",""), HYPERLINK(CONCATENATE("#metadata!", ADDRESS(INDEX($W$2:$W$1001,MATCH(ROWS($U$2:U275),$U$2:$U$1001,0),0), INDEX($AB$1004:$AQ$1004,1,MATCH(COLUMNS($AB$1006:AG1006),$AB$1006:$AQ$1006,0)))),"Fix")))</f>
        <v>0</v>
      </c>
      <c r="H275" s="4">
        <f>IF(OR(INDEX($V$2:$V$1001,MATCH(ROWS($U$2:U275),$U$2:$U$1001,0),1)&gt;=100000,INDEX($AB$1005:$AQ$1005,1,MATCH(COLUMNS($AB$1006:AH1006),$AB$1006:$AQ$1006,0))&gt;=100000), " ",IF(INDEX($AB$2:$AQ$1001,MATCH(ROWS($U$2:U275),$U$2:$U$1001,0),MATCH(COLUMNS($AB$1006:AH1006),$AB$1006:$AQ$1006,0)), HYPERLINK("#",""), HYPERLINK(CONCATENATE("#metadata!", ADDRESS(INDEX($W$2:$W$1001,MATCH(ROWS($U$2:U275),$U$2:$U$1001,0),0), INDEX($AB$1004:$AQ$1004,1,MATCH(COLUMNS($AB$1006:AH1006),$AB$1006:$AQ$1006,0)))),"Fix")))</f>
        <v>0</v>
      </c>
      <c r="I275" s="4">
        <f>IF(OR(INDEX($V$2:$V$1001,MATCH(ROWS($U$2:U275),$U$2:$U$1001,0),1)&gt;=100000,INDEX($AB$1005:$AQ$1005,1,MATCH(COLUMNS($AB$1006:AI1006),$AB$1006:$AQ$1006,0))&gt;=100000), " ",IF(INDEX($AB$2:$AQ$1001,MATCH(ROWS($U$2:U275),$U$2:$U$1001,0),MATCH(COLUMNS($AB$1006:AI1006),$AB$1006:$AQ$1006,0)), HYPERLINK("#",""), HYPERLINK(CONCATENATE("#metadata!", ADDRESS(INDEX($W$2:$W$1001,MATCH(ROWS($U$2:U275),$U$2:$U$1001,0),0), INDEX($AB$1004:$AQ$1004,1,MATCH(COLUMNS($AB$1006:AI1006),$AB$1006:$AQ$1006,0)))),"Fix")))</f>
        <v>0</v>
      </c>
      <c r="J275" s="4">
        <f>IF(OR(INDEX($V$2:$V$1001,MATCH(ROWS($U$2:U275),$U$2:$U$1001,0),1)&gt;=100000,INDEX($AB$1005:$AQ$1005,1,MATCH(COLUMNS($AB$1006:AJ1006),$AB$1006:$AQ$1006,0))&gt;=100000), " ",IF(INDEX($AB$2:$AQ$1001,MATCH(ROWS($U$2:U275),$U$2:$U$1001,0),MATCH(COLUMNS($AB$1006:AJ1006),$AB$1006:$AQ$1006,0)), HYPERLINK("#",""), HYPERLINK(CONCATENATE("#metadata!", ADDRESS(INDEX($W$2:$W$1001,MATCH(ROWS($U$2:U275),$U$2:$U$1001,0),0), INDEX($AB$1004:$AQ$1004,1,MATCH(COLUMNS($AB$1006:AJ1006),$AB$1006:$AQ$1006,0)))),"Fix")))</f>
        <v>0</v>
      </c>
      <c r="K275" s="4">
        <f>IF(OR(INDEX($V$2:$V$1001,MATCH(ROWS($U$2:U275),$U$2:$U$1001,0),1)&gt;=100000,INDEX($AB$1005:$AQ$1005,1,MATCH(COLUMNS($AB$1006:AK1006),$AB$1006:$AQ$1006,0))&gt;=100000), " ",IF(INDEX($AB$2:$AQ$1001,MATCH(ROWS($U$2:U275),$U$2:$U$1001,0),MATCH(COLUMNS($AB$1006:AK1006),$AB$1006:$AQ$1006,0)), HYPERLINK("#",""), HYPERLINK(CONCATENATE("#metadata!", ADDRESS(INDEX($W$2:$W$1001,MATCH(ROWS($U$2:U275),$U$2:$U$1001,0),0), INDEX($AB$1004:$AQ$1004,1,MATCH(COLUMNS($AB$1006:AK1006),$AB$1006:$AQ$1006,0)))),"Fix")))</f>
        <v>0</v>
      </c>
      <c r="L275" s="4">
        <f>IF(OR(INDEX($V$2:$V$1001,MATCH(ROWS($U$2:U275),$U$2:$U$1001,0),1)&gt;=100000,INDEX($AB$1005:$AQ$1005,1,MATCH(COLUMNS($AB$1006:AL1006),$AB$1006:$AQ$1006,0))&gt;=100000), " ",IF(INDEX($AB$2:$AQ$1001,MATCH(ROWS($U$2:U275),$U$2:$U$1001,0),MATCH(COLUMNS($AB$1006:AL1006),$AB$1006:$AQ$1006,0)), HYPERLINK("#",""), HYPERLINK(CONCATENATE("#metadata!", ADDRESS(INDEX($W$2:$W$1001,MATCH(ROWS($U$2:U275),$U$2:$U$1001,0),0), INDEX($AB$1004:$AQ$1004,1,MATCH(COLUMNS($AB$1006:AL1006),$AB$1006:$AQ$1006,0)))),"Fix")))</f>
        <v>0</v>
      </c>
      <c r="M275" s="4">
        <f>IF(OR(INDEX($V$2:$V$1001,MATCH(ROWS($U$2:U275),$U$2:$U$1001,0),1)&gt;=100000,INDEX($AB$1005:$AQ$1005,1,MATCH(COLUMNS($AB$1006:AM1006),$AB$1006:$AQ$1006,0))&gt;=100000), " ",IF(INDEX($AB$2:$AQ$1001,MATCH(ROWS($U$2:U275),$U$2:$U$1001,0),MATCH(COLUMNS($AB$1006:AM1006),$AB$1006:$AQ$1006,0)), HYPERLINK("#",""), HYPERLINK(CONCATENATE("#metadata!", ADDRESS(INDEX($W$2:$W$1001,MATCH(ROWS($U$2:U275),$U$2:$U$1001,0),0), INDEX($AB$1004:$AQ$1004,1,MATCH(COLUMNS($AB$1006:AM1006),$AB$1006:$AQ$1006,0)))),"Fix")))</f>
        <v>0</v>
      </c>
      <c r="N275" s="4">
        <f>IF(OR(INDEX($V$2:$V$1001,MATCH(ROWS($U$2:U275),$U$2:$U$1001,0),1)&gt;=100000,INDEX($AB$1005:$AQ$1005,1,MATCH(COLUMNS($AB$1006:AN1006),$AB$1006:$AQ$1006,0))&gt;=100000), " ",IF(INDEX($AB$2:$AQ$1001,MATCH(ROWS($U$2:U275),$U$2:$U$1001,0),MATCH(COLUMNS($AB$1006:AN1006),$AB$1006:$AQ$1006,0)), HYPERLINK("#",""), HYPERLINK(CONCATENATE("#metadata!", ADDRESS(INDEX($W$2:$W$1001,MATCH(ROWS($U$2:U275),$U$2:$U$1001,0),0), INDEX($AB$1004:$AQ$1004,1,MATCH(COLUMNS($AB$1006:AN1006),$AB$1006:$AQ$1006,0)))),"Fix")))</f>
        <v>0</v>
      </c>
      <c r="O275" s="4">
        <f>IF(OR(INDEX($V$2:$V$1001,MATCH(ROWS($U$2:U275),$U$2:$U$1001,0),1)&gt;=100000,INDEX($AB$1005:$AQ$1005,1,MATCH(COLUMNS($AB$1006:AO1006),$AB$1006:$AQ$1006,0))&gt;=100000), " ",IF(INDEX($AB$2:$AQ$1001,MATCH(ROWS($U$2:U275),$U$2:$U$1001,0),MATCH(COLUMNS($AB$1006:AO1006),$AB$1006:$AQ$1006,0)), HYPERLINK("#",""), HYPERLINK(CONCATENATE("#metadata!", ADDRESS(INDEX($W$2:$W$1001,MATCH(ROWS($U$2:U275),$U$2:$U$1001,0),0), INDEX($AB$1004:$AQ$1004,1,MATCH(COLUMNS($AB$1006:AO1006),$AB$1006:$AQ$1006,0)))),"Fix")))</f>
        <v>0</v>
      </c>
      <c r="P275" s="4">
        <f>IF(OR(INDEX($V$2:$V$1001,MATCH(ROWS($U$2:U275),$U$2:$U$1001,0),1)&gt;=100000,INDEX($AB$1005:$AQ$1005,1,MATCH(COLUMNS($AB$1006:AP1006),$AB$1006:$AQ$1006,0))&gt;=100000), " ",IF(INDEX($AB$2:$AQ$1001,MATCH(ROWS($U$2:U275),$U$2:$U$1001,0),MATCH(COLUMNS($AB$1006:AP1006),$AB$1006:$AQ$1006,0)), HYPERLINK("#",""), HYPERLINK(CONCATENATE("#metadata!", ADDRESS(INDEX($W$2:$W$1001,MATCH(ROWS($U$2:U275),$U$2:$U$1001,0),0), INDEX($AB$1004:$AQ$1004,1,MATCH(COLUMNS($AB$1006:AP1006),$AB$1006:$AQ$1006,0)))),"Fix")))</f>
        <v>0</v>
      </c>
      <c r="Q275" s="4">
        <f>IF(OR(INDEX($V$2:$V$1001,MATCH(ROWS($U$2:U275),$U$2:$U$1001,0),1)&gt;=100000,INDEX($AB$1005:$AQ$1005,1,MATCH(COLUMNS($AB$1006:AQ1006),$AB$1006:$AQ$1006,0))&gt;=100000), " ",IF(INDEX($AB$2:$AQ$1001,MATCH(ROWS($U$2:U275),$U$2:$U$1001,0),MATCH(COLUMNS($AB$1006:AQ1006),$AB$1006:$AQ$1006,0)), HYPERLINK("#",""), HYPERLINK(CONCATENATE("#metadata!", ADDRESS(INDEX($W$2:$W$1001,MATCH(ROWS($U$2:U275),$U$2:$U$1001,0),0), INDEX($AB$1004:$AQ$1004,1,MATCH(COLUMNS($AB$1006:AQ1006),$AB$1006:$AQ$1006,0)))),"Fix")))</f>
        <v>0</v>
      </c>
      <c r="U275">
        <v>0</v>
      </c>
      <c r="V275">
        <v>0</v>
      </c>
      <c r="W275">
        <v>0</v>
      </c>
      <c r="X275">
        <f>IF(Y275,TRUE,AND(AB275:AQ275))</f>
        <v>0</v>
      </c>
      <c r="Y275">
        <f>COUNTBLANK(metadata!B275:Q275)=COLUMNS(metadata!B275:Q275)</f>
        <v>0</v>
      </c>
      <c r="Z275">
        <v>0</v>
      </c>
      <c r="AB275">
        <f>AND(IF(metadata!B275="",FALSE,TRUE),COUNTIF(metadata!B:B, metadata!B275) = 1,NOT(ISERROR(SUMPRODUCT(SEARCH(MID(metadata!B275,ROW(INDIRECT("1:"&amp;LEN(metadata!B275))), 1),"0123456789abcdefghijklmnopqrstuvwxyzABCDEFGHIJKLMNOPQRSTUVWXYZ.")))))</f>
        <v>0</v>
      </c>
      <c r="AC275">
        <f>OR(AND(IF(metadata!C275="",FALSE,TRUE),OR(exact(metadata!C275,"missing: not collected"),exact(metadata!C275,"missing: not provided"),exact(metadata!C275,"missing: restricted access"))),AND(IF(metadata!C275="",FALSE,TRUE),AND(AND(IFERROR(INT(LEFT(metadata!C275,4))&gt;1900,FALSE),IFERROR(INT(LEFT(metadata!C275,4))&lt;=YEAR(NOW()),FALSE)), OR(MID(metadata!C275,5,1)="", AND(AND(MID(metadata!C275,5,1)="-",IFERROR(INT(MID(metadata!C275,6,1))&gt;=0,FALSE),IFERROR(INT(MID(metadata!C275,6,1))&lt;=1,FALSE),NOT(MID(metadata!C275,7,1)=""),IFERROR(INT(MID(metadata!C275,6,2))&gt;=1,FALSE),IFERROR(INT(MID(metadata!C275,6,2))&lt;=12,FALSE)), OR(MID(metadata!C275,8,1)="", AND(AND(MID(metadata!C275,8,1)="-",IFERROR(INT(MID(metadata!C275,9,1))&gt;=0,FALSE),IFERROR(INT(MID(metadata!C275,9,1))&lt;=3,FALSE),NOT(MID(metadata!C275,10,1)=""),IFERROR(INT(MID(metadata!C275,9,2))&gt;=1,FALSE),IFERROR(INT(MID(metadata!C275,9,2))&lt;=31,FALSE)), OR(MID(metadata!C275,11,1)="", AND(AND(MID(metadata!C275,11,1)=" ",IFERROR(INT(MID(metadata!C275,12,1))&gt;=0,FALSE),IFERROR(INT(MID(metadata!C275,12,1))&lt;=2,FALSE),NOT(MID(metadata!C275,13,1)=""),IFERROR(INT(MID(metadata!C275,12,2))&gt;=0,FALSE),IFERROR(INT(MID(metadata!C275,12,2))&lt;=23,FALSE)), OR(MID(metadata!C275,14,1)="", AND(AND(MID(metadata!C275,14,1)=":",IFERROR(INT(MID(metadata!C275,15,1))&gt;=0,FALSE),IFERROR(INT(MID(metadata!C275,15,1))&lt;=5,FALSE),NOT(MID(metadata!C275,16,1)=""),IFERROR(INT(MID(metadata!C275,15,2))&gt;=0,FALSE),IFERROR(INT(MID(metadata!C275,15,2))&lt;=59,FALSE)), OR(MID(metadata!C275,17,1)="", AND(AND(MID(metadata!C275,17,1)=":",IFERROR(INT(MID(metadata!C275,18,1))&gt;=0,FALSE),IFERROR(INT(MID(metadata!C275,18,1))&lt;=5,FALSE),NOT(MID(metadata!C275,19,1)=""),IFERROR(INT(MID(metadata!C275,18,2))&gt;=0,FALSE),IFERROR(INT(MID(metadata!C275,18,2))&lt;=59,FALSE)), LEN(metadata!C275)&lt;=19)))))))))))))</f>
        <v>0</v>
      </c>
      <c r="AD275">
        <f>IF(metadata!D275="",FALSE,TRUE)</f>
        <v>0</v>
      </c>
      <c r="AE275">
        <f>OR(AND(IF(metadata!E275="",FALSE,TRUE),OR(exact(metadata!E275,"missing: not collected"),exact(metadata!E275,"missing: not provided"))),AND(IF(metadata!E275="",FALSE,TRUE),OR(exact(metadata!E275,"TRUE"),exact(metadata!E275,"FALSE"))))</f>
        <v>0</v>
      </c>
      <c r="AF275">
        <f>IF(metadata!F275="",FALSE,TRUE)</f>
        <v>0</v>
      </c>
      <c r="AG275">
        <f>IF(metadata!G275="",FALSE,TRUE)</f>
        <v>0</v>
      </c>
      <c r="AH275">
        <f>IF(metadata!H275="",FALSE,TRUE)</f>
        <v>0</v>
      </c>
      <c r="AI275">
        <f>OR(AND(IF(metadata!I275="",FALSE,TRUE),OR(exact(metadata!I275,"missing: not collected"),exact(metadata!I275,"missing: not provided"),exact(metadata!I275,"missing: restricted access"))),AND(IF(metadata!I275="",FALSE,TRUE),OR(exact(metadata!I275,"air"),exact(metadata!I275,"built environment"),exact(metadata!I275,"host-associated"),exact(metadata!I275,"human-associated"),exact(metadata!I275,"human-skin"),exact(metadata!I275,"human-oral"),exact(metadata!I275,"human-gut"),exact(metadata!I275,"human-vaginal"),exact(metadata!I275,"microbial mat/biofilm"),exact(metadata!I275,"misc environment"),exact(metadata!I275,"plant-associated"),exact(metadata!I275,"sediment"),exact(metadata!I275,"soil"),exact(metadata!I275,"wastewater/sludge"),exact(metadata!I275,"water"))))</f>
        <v>0</v>
      </c>
      <c r="AJ275">
        <f>IF(metadata!J275="",FALSE,TRUE)</f>
        <v>0</v>
      </c>
      <c r="AK275">
        <f>OR(AND(IF(metadata!K275="",FALSE,TRUE),OR(exact(metadata!K275,"missing: not collected"),exact(metadata!K275,"missing: not provided"),exact(metadata!K275,"missing: restricted access"))),AND(IF(metadata!K275="",FALSE,ISNUMBER(VALUE(metadata!K275))),metadata!K275&gt;=-90.00,metadata!K275&lt;=90.00))</f>
        <v>0</v>
      </c>
      <c r="AL275">
        <f>OR(AND(IF(metadata!L275="",FALSE,TRUE),OR(exact(metadata!L275,"missing: not collected"),exact(metadata!L275,"missing: not provided"),exact(metadata!L275,"missing: restricted access"))),AND(IF(metadata!L275="",FALSE,ISNUMBER(VALUE(metadata!L275))),metadata!L275&gt;=-180.00,metadata!L275&lt;=180.00))</f>
        <v>0</v>
      </c>
      <c r="AM275">
        <f>IF(metadata!M275="",FALSE,TRUE)</f>
        <v>0</v>
      </c>
      <c r="AN275">
        <f>OR(AND(IF(metadata!N275="",FALSE,TRUE),OR(exact(metadata!N275,"missing: not collected"),exact(metadata!N275,"missing: not provided"),exact(metadata!N275,"missing: restricted access"))),AND(IF(metadata!N275="",FALSE,TRUE),OR(exact(metadata!N275,"TRUE"),exact(metadata!N275,"FALSE"))))</f>
        <v>0</v>
      </c>
      <c r="AO275">
        <f>IF(metadata!O275="",FALSE,TRUE)</f>
        <v>0</v>
      </c>
      <c r="AP275">
        <f>OR(AND(IF(metadata!P275="",FALSE,TRUE),OR(exact(metadata!P275,"missing: not collected"),exact(metadata!P275,"missing: not provided"))),AND(IF(metadata!P275="",FALSE,IF(ISERROR(INT(metadata!P275)),FALSE,INT(metadata!P275)=metadata!P275)),metadata!P275&gt;0))</f>
        <v>0</v>
      </c>
      <c r="AQ275">
        <f>IF(metadata!Q275="",FALSE,TRUE)</f>
        <v>0</v>
      </c>
    </row>
    <row r="276" spans="1:43">
      <c r="A276" s="5">
        <f>IF(B276=" "," ",HYPERLINK(CONCATENATE("#metadata!",ADDRESS(INDEX($W$2:$W$1001,MATCH(ROWS($U$2:U276),$U$2:$U$1001,0),0),1)),INDEX($Z$2:$Z$1001,MATCH(ROWS($U$2:U276),$U$2:$U$1001,0),0)))</f>
        <v>0</v>
      </c>
      <c r="B276" s="4">
        <f>IF(OR(INDEX($V$2:$V$1001,MATCH(ROWS($U$2:U276),$U$2:$U$1001,0),1)&gt;=100000,INDEX($AB$1005:$AQ$1005,1,MATCH(COLUMNS($AB$1006:AB1006),$AB$1006:$AQ$1006,0))&gt;=100000), " ",IF(INDEX($AB$2:$AQ$1001,MATCH(ROWS($U$2:U276),$U$2:$U$1001,0),MATCH(COLUMNS($AB$1006:AB1006),$AB$1006:$AQ$1006,0)), HYPERLINK("#",""), HYPERLINK(CONCATENATE("#metadata!", ADDRESS(INDEX($W$2:$W$1001,MATCH(ROWS($U$2:U276),$U$2:$U$1001,0),0), INDEX($AB$1004:$AQ$1004,1,MATCH(COLUMNS($AB$1006:AB1006),$AB$1006:$AQ$1006,0)))),"Fix")))</f>
        <v>0</v>
      </c>
      <c r="C276" s="4">
        <f>IF(OR(INDEX($V$2:$V$1001,MATCH(ROWS($U$2:U276),$U$2:$U$1001,0),1)&gt;=100000,INDEX($AB$1005:$AQ$1005,1,MATCH(COLUMNS($AB$1006:AC1006),$AB$1006:$AQ$1006,0))&gt;=100000), " ",IF(INDEX($AB$2:$AQ$1001,MATCH(ROWS($U$2:U276),$U$2:$U$1001,0),MATCH(COLUMNS($AB$1006:AC1006),$AB$1006:$AQ$1006,0)), HYPERLINK("#",""), HYPERLINK(CONCATENATE("#metadata!", ADDRESS(INDEX($W$2:$W$1001,MATCH(ROWS($U$2:U276),$U$2:$U$1001,0),0), INDEX($AB$1004:$AQ$1004,1,MATCH(COLUMNS($AB$1006:AC1006),$AB$1006:$AQ$1006,0)))),"Fix")))</f>
        <v>0</v>
      </c>
      <c r="D276" s="4">
        <f>IF(OR(INDEX($V$2:$V$1001,MATCH(ROWS($U$2:U276),$U$2:$U$1001,0),1)&gt;=100000,INDEX($AB$1005:$AQ$1005,1,MATCH(COLUMNS($AB$1006:AD1006),$AB$1006:$AQ$1006,0))&gt;=100000), " ",IF(INDEX($AB$2:$AQ$1001,MATCH(ROWS($U$2:U276),$U$2:$U$1001,0),MATCH(COLUMNS($AB$1006:AD1006),$AB$1006:$AQ$1006,0)), HYPERLINK("#",""), HYPERLINK(CONCATENATE("#metadata!", ADDRESS(INDEX($W$2:$W$1001,MATCH(ROWS($U$2:U276),$U$2:$U$1001,0),0), INDEX($AB$1004:$AQ$1004,1,MATCH(COLUMNS($AB$1006:AD1006),$AB$1006:$AQ$1006,0)))),"Fix")))</f>
        <v>0</v>
      </c>
      <c r="E276" s="4">
        <f>IF(OR(INDEX($V$2:$V$1001,MATCH(ROWS($U$2:U276),$U$2:$U$1001,0),1)&gt;=100000,INDEX($AB$1005:$AQ$1005,1,MATCH(COLUMNS($AB$1006:AE1006),$AB$1006:$AQ$1006,0))&gt;=100000), " ",IF(INDEX($AB$2:$AQ$1001,MATCH(ROWS($U$2:U276),$U$2:$U$1001,0),MATCH(COLUMNS($AB$1006:AE1006),$AB$1006:$AQ$1006,0)), HYPERLINK("#",""), HYPERLINK(CONCATENATE("#metadata!", ADDRESS(INDEX($W$2:$W$1001,MATCH(ROWS($U$2:U276),$U$2:$U$1001,0),0), INDEX($AB$1004:$AQ$1004,1,MATCH(COLUMNS($AB$1006:AE1006),$AB$1006:$AQ$1006,0)))),"Fix")))</f>
        <v>0</v>
      </c>
      <c r="F276" s="4">
        <f>IF(OR(INDEX($V$2:$V$1001,MATCH(ROWS($U$2:U276),$U$2:$U$1001,0),1)&gt;=100000,INDEX($AB$1005:$AQ$1005,1,MATCH(COLUMNS($AB$1006:AF1006),$AB$1006:$AQ$1006,0))&gt;=100000), " ",IF(INDEX($AB$2:$AQ$1001,MATCH(ROWS($U$2:U276),$U$2:$U$1001,0),MATCH(COLUMNS($AB$1006:AF1006),$AB$1006:$AQ$1006,0)), HYPERLINK("#",""), HYPERLINK(CONCATENATE("#metadata!", ADDRESS(INDEX($W$2:$W$1001,MATCH(ROWS($U$2:U276),$U$2:$U$1001,0),0), INDEX($AB$1004:$AQ$1004,1,MATCH(COLUMNS($AB$1006:AF1006),$AB$1006:$AQ$1006,0)))),"Fix")))</f>
        <v>0</v>
      </c>
      <c r="G276" s="4">
        <f>IF(OR(INDEX($V$2:$V$1001,MATCH(ROWS($U$2:U276),$U$2:$U$1001,0),1)&gt;=100000,INDEX($AB$1005:$AQ$1005,1,MATCH(COLUMNS($AB$1006:AG1006),$AB$1006:$AQ$1006,0))&gt;=100000), " ",IF(INDEX($AB$2:$AQ$1001,MATCH(ROWS($U$2:U276),$U$2:$U$1001,0),MATCH(COLUMNS($AB$1006:AG1006),$AB$1006:$AQ$1006,0)), HYPERLINK("#",""), HYPERLINK(CONCATENATE("#metadata!", ADDRESS(INDEX($W$2:$W$1001,MATCH(ROWS($U$2:U276),$U$2:$U$1001,0),0), INDEX($AB$1004:$AQ$1004,1,MATCH(COLUMNS($AB$1006:AG1006),$AB$1006:$AQ$1006,0)))),"Fix")))</f>
        <v>0</v>
      </c>
      <c r="H276" s="4">
        <f>IF(OR(INDEX($V$2:$V$1001,MATCH(ROWS($U$2:U276),$U$2:$U$1001,0),1)&gt;=100000,INDEX($AB$1005:$AQ$1005,1,MATCH(COLUMNS($AB$1006:AH1006),$AB$1006:$AQ$1006,0))&gt;=100000), " ",IF(INDEX($AB$2:$AQ$1001,MATCH(ROWS($U$2:U276),$U$2:$U$1001,0),MATCH(COLUMNS($AB$1006:AH1006),$AB$1006:$AQ$1006,0)), HYPERLINK("#",""), HYPERLINK(CONCATENATE("#metadata!", ADDRESS(INDEX($W$2:$W$1001,MATCH(ROWS($U$2:U276),$U$2:$U$1001,0),0), INDEX($AB$1004:$AQ$1004,1,MATCH(COLUMNS($AB$1006:AH1006),$AB$1006:$AQ$1006,0)))),"Fix")))</f>
        <v>0</v>
      </c>
      <c r="I276" s="4">
        <f>IF(OR(INDEX($V$2:$V$1001,MATCH(ROWS($U$2:U276),$U$2:$U$1001,0),1)&gt;=100000,INDEX($AB$1005:$AQ$1005,1,MATCH(COLUMNS($AB$1006:AI1006),$AB$1006:$AQ$1006,0))&gt;=100000), " ",IF(INDEX($AB$2:$AQ$1001,MATCH(ROWS($U$2:U276),$U$2:$U$1001,0),MATCH(COLUMNS($AB$1006:AI1006),$AB$1006:$AQ$1006,0)), HYPERLINK("#",""), HYPERLINK(CONCATENATE("#metadata!", ADDRESS(INDEX($W$2:$W$1001,MATCH(ROWS($U$2:U276),$U$2:$U$1001,0),0), INDEX($AB$1004:$AQ$1004,1,MATCH(COLUMNS($AB$1006:AI1006),$AB$1006:$AQ$1006,0)))),"Fix")))</f>
        <v>0</v>
      </c>
      <c r="J276" s="4">
        <f>IF(OR(INDEX($V$2:$V$1001,MATCH(ROWS($U$2:U276),$U$2:$U$1001,0),1)&gt;=100000,INDEX($AB$1005:$AQ$1005,1,MATCH(COLUMNS($AB$1006:AJ1006),$AB$1006:$AQ$1006,0))&gt;=100000), " ",IF(INDEX($AB$2:$AQ$1001,MATCH(ROWS($U$2:U276),$U$2:$U$1001,0),MATCH(COLUMNS($AB$1006:AJ1006),$AB$1006:$AQ$1006,0)), HYPERLINK("#",""), HYPERLINK(CONCATENATE("#metadata!", ADDRESS(INDEX($W$2:$W$1001,MATCH(ROWS($U$2:U276),$U$2:$U$1001,0),0), INDEX($AB$1004:$AQ$1004,1,MATCH(COLUMNS($AB$1006:AJ1006),$AB$1006:$AQ$1006,0)))),"Fix")))</f>
        <v>0</v>
      </c>
      <c r="K276" s="4">
        <f>IF(OR(INDEX($V$2:$V$1001,MATCH(ROWS($U$2:U276),$U$2:$U$1001,0),1)&gt;=100000,INDEX($AB$1005:$AQ$1005,1,MATCH(COLUMNS($AB$1006:AK1006),$AB$1006:$AQ$1006,0))&gt;=100000), " ",IF(INDEX($AB$2:$AQ$1001,MATCH(ROWS($U$2:U276),$U$2:$U$1001,0),MATCH(COLUMNS($AB$1006:AK1006),$AB$1006:$AQ$1006,0)), HYPERLINK("#",""), HYPERLINK(CONCATENATE("#metadata!", ADDRESS(INDEX($W$2:$W$1001,MATCH(ROWS($U$2:U276),$U$2:$U$1001,0),0), INDEX($AB$1004:$AQ$1004,1,MATCH(COLUMNS($AB$1006:AK1006),$AB$1006:$AQ$1006,0)))),"Fix")))</f>
        <v>0</v>
      </c>
      <c r="L276" s="4">
        <f>IF(OR(INDEX($V$2:$V$1001,MATCH(ROWS($U$2:U276),$U$2:$U$1001,0),1)&gt;=100000,INDEX($AB$1005:$AQ$1005,1,MATCH(COLUMNS($AB$1006:AL1006),$AB$1006:$AQ$1006,0))&gt;=100000), " ",IF(INDEX($AB$2:$AQ$1001,MATCH(ROWS($U$2:U276),$U$2:$U$1001,0),MATCH(COLUMNS($AB$1006:AL1006),$AB$1006:$AQ$1006,0)), HYPERLINK("#",""), HYPERLINK(CONCATENATE("#metadata!", ADDRESS(INDEX($W$2:$W$1001,MATCH(ROWS($U$2:U276),$U$2:$U$1001,0),0), INDEX($AB$1004:$AQ$1004,1,MATCH(COLUMNS($AB$1006:AL1006),$AB$1006:$AQ$1006,0)))),"Fix")))</f>
        <v>0</v>
      </c>
      <c r="M276" s="4">
        <f>IF(OR(INDEX($V$2:$V$1001,MATCH(ROWS($U$2:U276),$U$2:$U$1001,0),1)&gt;=100000,INDEX($AB$1005:$AQ$1005,1,MATCH(COLUMNS($AB$1006:AM1006),$AB$1006:$AQ$1006,0))&gt;=100000), " ",IF(INDEX($AB$2:$AQ$1001,MATCH(ROWS($U$2:U276),$U$2:$U$1001,0),MATCH(COLUMNS($AB$1006:AM1006),$AB$1006:$AQ$1006,0)), HYPERLINK("#",""), HYPERLINK(CONCATENATE("#metadata!", ADDRESS(INDEX($W$2:$W$1001,MATCH(ROWS($U$2:U276),$U$2:$U$1001,0),0), INDEX($AB$1004:$AQ$1004,1,MATCH(COLUMNS($AB$1006:AM1006),$AB$1006:$AQ$1006,0)))),"Fix")))</f>
        <v>0</v>
      </c>
      <c r="N276" s="4">
        <f>IF(OR(INDEX($V$2:$V$1001,MATCH(ROWS($U$2:U276),$U$2:$U$1001,0),1)&gt;=100000,INDEX($AB$1005:$AQ$1005,1,MATCH(COLUMNS($AB$1006:AN1006),$AB$1006:$AQ$1006,0))&gt;=100000), " ",IF(INDEX($AB$2:$AQ$1001,MATCH(ROWS($U$2:U276),$U$2:$U$1001,0),MATCH(COLUMNS($AB$1006:AN1006),$AB$1006:$AQ$1006,0)), HYPERLINK("#",""), HYPERLINK(CONCATENATE("#metadata!", ADDRESS(INDEX($W$2:$W$1001,MATCH(ROWS($U$2:U276),$U$2:$U$1001,0),0), INDEX($AB$1004:$AQ$1004,1,MATCH(COLUMNS($AB$1006:AN1006),$AB$1006:$AQ$1006,0)))),"Fix")))</f>
        <v>0</v>
      </c>
      <c r="O276" s="4">
        <f>IF(OR(INDEX($V$2:$V$1001,MATCH(ROWS($U$2:U276),$U$2:$U$1001,0),1)&gt;=100000,INDEX($AB$1005:$AQ$1005,1,MATCH(COLUMNS($AB$1006:AO1006),$AB$1006:$AQ$1006,0))&gt;=100000), " ",IF(INDEX($AB$2:$AQ$1001,MATCH(ROWS($U$2:U276),$U$2:$U$1001,0),MATCH(COLUMNS($AB$1006:AO1006),$AB$1006:$AQ$1006,0)), HYPERLINK("#",""), HYPERLINK(CONCATENATE("#metadata!", ADDRESS(INDEX($W$2:$W$1001,MATCH(ROWS($U$2:U276),$U$2:$U$1001,0),0), INDEX($AB$1004:$AQ$1004,1,MATCH(COLUMNS($AB$1006:AO1006),$AB$1006:$AQ$1006,0)))),"Fix")))</f>
        <v>0</v>
      </c>
      <c r="P276" s="4">
        <f>IF(OR(INDEX($V$2:$V$1001,MATCH(ROWS($U$2:U276),$U$2:$U$1001,0),1)&gt;=100000,INDEX($AB$1005:$AQ$1005,1,MATCH(COLUMNS($AB$1006:AP1006),$AB$1006:$AQ$1006,0))&gt;=100000), " ",IF(INDEX($AB$2:$AQ$1001,MATCH(ROWS($U$2:U276),$U$2:$U$1001,0),MATCH(COLUMNS($AB$1006:AP1006),$AB$1006:$AQ$1006,0)), HYPERLINK("#",""), HYPERLINK(CONCATENATE("#metadata!", ADDRESS(INDEX($W$2:$W$1001,MATCH(ROWS($U$2:U276),$U$2:$U$1001,0),0), INDEX($AB$1004:$AQ$1004,1,MATCH(COLUMNS($AB$1006:AP1006),$AB$1006:$AQ$1006,0)))),"Fix")))</f>
        <v>0</v>
      </c>
      <c r="Q276" s="4">
        <f>IF(OR(INDEX($V$2:$V$1001,MATCH(ROWS($U$2:U276),$U$2:$U$1001,0),1)&gt;=100000,INDEX($AB$1005:$AQ$1005,1,MATCH(COLUMNS($AB$1006:AQ1006),$AB$1006:$AQ$1006,0))&gt;=100000), " ",IF(INDEX($AB$2:$AQ$1001,MATCH(ROWS($U$2:U276),$U$2:$U$1001,0),MATCH(COLUMNS($AB$1006:AQ1006),$AB$1006:$AQ$1006,0)), HYPERLINK("#",""), HYPERLINK(CONCATENATE("#metadata!", ADDRESS(INDEX($W$2:$W$1001,MATCH(ROWS($U$2:U276),$U$2:$U$1001,0),0), INDEX($AB$1004:$AQ$1004,1,MATCH(COLUMNS($AB$1006:AQ1006),$AB$1006:$AQ$1006,0)))),"Fix")))</f>
        <v>0</v>
      </c>
      <c r="U276">
        <v>0</v>
      </c>
      <c r="V276">
        <v>0</v>
      </c>
      <c r="W276">
        <v>0</v>
      </c>
      <c r="X276">
        <f>IF(Y276,TRUE,AND(AB276:AQ276))</f>
        <v>0</v>
      </c>
      <c r="Y276">
        <f>COUNTBLANK(metadata!B276:Q276)=COLUMNS(metadata!B276:Q276)</f>
        <v>0</v>
      </c>
      <c r="Z276">
        <v>0</v>
      </c>
      <c r="AB276">
        <f>AND(IF(metadata!B276="",FALSE,TRUE),COUNTIF(metadata!B:B, metadata!B276) = 1,NOT(ISERROR(SUMPRODUCT(SEARCH(MID(metadata!B276,ROW(INDIRECT("1:"&amp;LEN(metadata!B276))), 1),"0123456789abcdefghijklmnopqrstuvwxyzABCDEFGHIJKLMNOPQRSTUVWXYZ.")))))</f>
        <v>0</v>
      </c>
      <c r="AC276">
        <f>OR(AND(IF(metadata!C276="",FALSE,TRUE),OR(exact(metadata!C276,"missing: not collected"),exact(metadata!C276,"missing: not provided"),exact(metadata!C276,"missing: restricted access"))),AND(IF(metadata!C276="",FALSE,TRUE),AND(AND(IFERROR(INT(LEFT(metadata!C276,4))&gt;1900,FALSE),IFERROR(INT(LEFT(metadata!C276,4))&lt;=YEAR(NOW()),FALSE)), OR(MID(metadata!C276,5,1)="", AND(AND(MID(metadata!C276,5,1)="-",IFERROR(INT(MID(metadata!C276,6,1))&gt;=0,FALSE),IFERROR(INT(MID(metadata!C276,6,1))&lt;=1,FALSE),NOT(MID(metadata!C276,7,1)=""),IFERROR(INT(MID(metadata!C276,6,2))&gt;=1,FALSE),IFERROR(INT(MID(metadata!C276,6,2))&lt;=12,FALSE)), OR(MID(metadata!C276,8,1)="", AND(AND(MID(metadata!C276,8,1)="-",IFERROR(INT(MID(metadata!C276,9,1))&gt;=0,FALSE),IFERROR(INT(MID(metadata!C276,9,1))&lt;=3,FALSE),NOT(MID(metadata!C276,10,1)=""),IFERROR(INT(MID(metadata!C276,9,2))&gt;=1,FALSE),IFERROR(INT(MID(metadata!C276,9,2))&lt;=31,FALSE)), OR(MID(metadata!C276,11,1)="", AND(AND(MID(metadata!C276,11,1)=" ",IFERROR(INT(MID(metadata!C276,12,1))&gt;=0,FALSE),IFERROR(INT(MID(metadata!C276,12,1))&lt;=2,FALSE),NOT(MID(metadata!C276,13,1)=""),IFERROR(INT(MID(metadata!C276,12,2))&gt;=0,FALSE),IFERROR(INT(MID(metadata!C276,12,2))&lt;=23,FALSE)), OR(MID(metadata!C276,14,1)="", AND(AND(MID(metadata!C276,14,1)=":",IFERROR(INT(MID(metadata!C276,15,1))&gt;=0,FALSE),IFERROR(INT(MID(metadata!C276,15,1))&lt;=5,FALSE),NOT(MID(metadata!C276,16,1)=""),IFERROR(INT(MID(metadata!C276,15,2))&gt;=0,FALSE),IFERROR(INT(MID(metadata!C276,15,2))&lt;=59,FALSE)), OR(MID(metadata!C276,17,1)="", AND(AND(MID(metadata!C276,17,1)=":",IFERROR(INT(MID(metadata!C276,18,1))&gt;=0,FALSE),IFERROR(INT(MID(metadata!C276,18,1))&lt;=5,FALSE),NOT(MID(metadata!C276,19,1)=""),IFERROR(INT(MID(metadata!C276,18,2))&gt;=0,FALSE),IFERROR(INT(MID(metadata!C276,18,2))&lt;=59,FALSE)), LEN(metadata!C276)&lt;=19)))))))))))))</f>
        <v>0</v>
      </c>
      <c r="AD276">
        <f>IF(metadata!D276="",FALSE,TRUE)</f>
        <v>0</v>
      </c>
      <c r="AE276">
        <f>OR(AND(IF(metadata!E276="",FALSE,TRUE),OR(exact(metadata!E276,"missing: not collected"),exact(metadata!E276,"missing: not provided"))),AND(IF(metadata!E276="",FALSE,TRUE),OR(exact(metadata!E276,"TRUE"),exact(metadata!E276,"FALSE"))))</f>
        <v>0</v>
      </c>
      <c r="AF276">
        <f>IF(metadata!F276="",FALSE,TRUE)</f>
        <v>0</v>
      </c>
      <c r="AG276">
        <f>IF(metadata!G276="",FALSE,TRUE)</f>
        <v>0</v>
      </c>
      <c r="AH276">
        <f>IF(metadata!H276="",FALSE,TRUE)</f>
        <v>0</v>
      </c>
      <c r="AI276">
        <f>OR(AND(IF(metadata!I276="",FALSE,TRUE),OR(exact(metadata!I276,"missing: not collected"),exact(metadata!I276,"missing: not provided"),exact(metadata!I276,"missing: restricted access"))),AND(IF(metadata!I276="",FALSE,TRUE),OR(exact(metadata!I276,"air"),exact(metadata!I276,"built environment"),exact(metadata!I276,"host-associated"),exact(metadata!I276,"human-associated"),exact(metadata!I276,"human-skin"),exact(metadata!I276,"human-oral"),exact(metadata!I276,"human-gut"),exact(metadata!I276,"human-vaginal"),exact(metadata!I276,"microbial mat/biofilm"),exact(metadata!I276,"misc environment"),exact(metadata!I276,"plant-associated"),exact(metadata!I276,"sediment"),exact(metadata!I276,"soil"),exact(metadata!I276,"wastewater/sludge"),exact(metadata!I276,"water"))))</f>
        <v>0</v>
      </c>
      <c r="AJ276">
        <f>IF(metadata!J276="",FALSE,TRUE)</f>
        <v>0</v>
      </c>
      <c r="AK276">
        <f>OR(AND(IF(metadata!K276="",FALSE,TRUE),OR(exact(metadata!K276,"missing: not collected"),exact(metadata!K276,"missing: not provided"),exact(metadata!K276,"missing: restricted access"))),AND(IF(metadata!K276="",FALSE,ISNUMBER(VALUE(metadata!K276))),metadata!K276&gt;=-90.00,metadata!K276&lt;=90.00))</f>
        <v>0</v>
      </c>
      <c r="AL276">
        <f>OR(AND(IF(metadata!L276="",FALSE,TRUE),OR(exact(metadata!L276,"missing: not collected"),exact(metadata!L276,"missing: not provided"),exact(metadata!L276,"missing: restricted access"))),AND(IF(metadata!L276="",FALSE,ISNUMBER(VALUE(metadata!L276))),metadata!L276&gt;=-180.00,metadata!L276&lt;=180.00))</f>
        <v>0</v>
      </c>
      <c r="AM276">
        <f>IF(metadata!M276="",FALSE,TRUE)</f>
        <v>0</v>
      </c>
      <c r="AN276">
        <f>OR(AND(IF(metadata!N276="",FALSE,TRUE),OR(exact(metadata!N276,"missing: not collected"),exact(metadata!N276,"missing: not provided"),exact(metadata!N276,"missing: restricted access"))),AND(IF(metadata!N276="",FALSE,TRUE),OR(exact(metadata!N276,"TRUE"),exact(metadata!N276,"FALSE"))))</f>
        <v>0</v>
      </c>
      <c r="AO276">
        <f>IF(metadata!O276="",FALSE,TRUE)</f>
        <v>0</v>
      </c>
      <c r="AP276">
        <f>OR(AND(IF(metadata!P276="",FALSE,TRUE),OR(exact(metadata!P276,"missing: not collected"),exact(metadata!P276,"missing: not provided"))),AND(IF(metadata!P276="",FALSE,IF(ISERROR(INT(metadata!P276)),FALSE,INT(metadata!P276)=metadata!P276)),metadata!P276&gt;0))</f>
        <v>0</v>
      </c>
      <c r="AQ276">
        <f>IF(metadata!Q276="",FALSE,TRUE)</f>
        <v>0</v>
      </c>
    </row>
    <row r="277" spans="1:43">
      <c r="A277" s="5">
        <f>IF(B277=" "," ",HYPERLINK(CONCATENATE("#metadata!",ADDRESS(INDEX($W$2:$W$1001,MATCH(ROWS($U$2:U277),$U$2:$U$1001,0),0),1)),INDEX($Z$2:$Z$1001,MATCH(ROWS($U$2:U277),$U$2:$U$1001,0),0)))</f>
        <v>0</v>
      </c>
      <c r="B277" s="4">
        <f>IF(OR(INDEX($V$2:$V$1001,MATCH(ROWS($U$2:U277),$U$2:$U$1001,0),1)&gt;=100000,INDEX($AB$1005:$AQ$1005,1,MATCH(COLUMNS($AB$1006:AB1006),$AB$1006:$AQ$1006,0))&gt;=100000), " ",IF(INDEX($AB$2:$AQ$1001,MATCH(ROWS($U$2:U277),$U$2:$U$1001,0),MATCH(COLUMNS($AB$1006:AB1006),$AB$1006:$AQ$1006,0)), HYPERLINK("#",""), HYPERLINK(CONCATENATE("#metadata!", ADDRESS(INDEX($W$2:$W$1001,MATCH(ROWS($U$2:U277),$U$2:$U$1001,0),0), INDEX($AB$1004:$AQ$1004,1,MATCH(COLUMNS($AB$1006:AB1006),$AB$1006:$AQ$1006,0)))),"Fix")))</f>
        <v>0</v>
      </c>
      <c r="C277" s="4">
        <f>IF(OR(INDEX($V$2:$V$1001,MATCH(ROWS($U$2:U277),$U$2:$U$1001,0),1)&gt;=100000,INDEX($AB$1005:$AQ$1005,1,MATCH(COLUMNS($AB$1006:AC1006),$AB$1006:$AQ$1006,0))&gt;=100000), " ",IF(INDEX($AB$2:$AQ$1001,MATCH(ROWS($U$2:U277),$U$2:$U$1001,0),MATCH(COLUMNS($AB$1006:AC1006),$AB$1006:$AQ$1006,0)), HYPERLINK("#",""), HYPERLINK(CONCATENATE("#metadata!", ADDRESS(INDEX($W$2:$W$1001,MATCH(ROWS($U$2:U277),$U$2:$U$1001,0),0), INDEX($AB$1004:$AQ$1004,1,MATCH(COLUMNS($AB$1006:AC1006),$AB$1006:$AQ$1006,0)))),"Fix")))</f>
        <v>0</v>
      </c>
      <c r="D277" s="4">
        <f>IF(OR(INDEX($V$2:$V$1001,MATCH(ROWS($U$2:U277),$U$2:$U$1001,0),1)&gt;=100000,INDEX($AB$1005:$AQ$1005,1,MATCH(COLUMNS($AB$1006:AD1006),$AB$1006:$AQ$1006,0))&gt;=100000), " ",IF(INDEX($AB$2:$AQ$1001,MATCH(ROWS($U$2:U277),$U$2:$U$1001,0),MATCH(COLUMNS($AB$1006:AD1006),$AB$1006:$AQ$1006,0)), HYPERLINK("#",""), HYPERLINK(CONCATENATE("#metadata!", ADDRESS(INDEX($W$2:$W$1001,MATCH(ROWS($U$2:U277),$U$2:$U$1001,0),0), INDEX($AB$1004:$AQ$1004,1,MATCH(COLUMNS($AB$1006:AD1006),$AB$1006:$AQ$1006,0)))),"Fix")))</f>
        <v>0</v>
      </c>
      <c r="E277" s="4">
        <f>IF(OR(INDEX($V$2:$V$1001,MATCH(ROWS($U$2:U277),$U$2:$U$1001,0),1)&gt;=100000,INDEX($AB$1005:$AQ$1005,1,MATCH(COLUMNS($AB$1006:AE1006),$AB$1006:$AQ$1006,0))&gt;=100000), " ",IF(INDEX($AB$2:$AQ$1001,MATCH(ROWS($U$2:U277),$U$2:$U$1001,0),MATCH(COLUMNS($AB$1006:AE1006),$AB$1006:$AQ$1006,0)), HYPERLINK("#",""), HYPERLINK(CONCATENATE("#metadata!", ADDRESS(INDEX($W$2:$W$1001,MATCH(ROWS($U$2:U277),$U$2:$U$1001,0),0), INDEX($AB$1004:$AQ$1004,1,MATCH(COLUMNS($AB$1006:AE1006),$AB$1006:$AQ$1006,0)))),"Fix")))</f>
        <v>0</v>
      </c>
      <c r="F277" s="4">
        <f>IF(OR(INDEX($V$2:$V$1001,MATCH(ROWS($U$2:U277),$U$2:$U$1001,0),1)&gt;=100000,INDEX($AB$1005:$AQ$1005,1,MATCH(COLUMNS($AB$1006:AF1006),$AB$1006:$AQ$1006,0))&gt;=100000), " ",IF(INDEX($AB$2:$AQ$1001,MATCH(ROWS($U$2:U277),$U$2:$U$1001,0),MATCH(COLUMNS($AB$1006:AF1006),$AB$1006:$AQ$1006,0)), HYPERLINK("#",""), HYPERLINK(CONCATENATE("#metadata!", ADDRESS(INDEX($W$2:$W$1001,MATCH(ROWS($U$2:U277),$U$2:$U$1001,0),0), INDEX($AB$1004:$AQ$1004,1,MATCH(COLUMNS($AB$1006:AF1006),$AB$1006:$AQ$1006,0)))),"Fix")))</f>
        <v>0</v>
      </c>
      <c r="G277" s="4">
        <f>IF(OR(INDEX($V$2:$V$1001,MATCH(ROWS($U$2:U277),$U$2:$U$1001,0),1)&gt;=100000,INDEX($AB$1005:$AQ$1005,1,MATCH(COLUMNS($AB$1006:AG1006),$AB$1006:$AQ$1006,0))&gt;=100000), " ",IF(INDEX($AB$2:$AQ$1001,MATCH(ROWS($U$2:U277),$U$2:$U$1001,0),MATCH(COLUMNS($AB$1006:AG1006),$AB$1006:$AQ$1006,0)), HYPERLINK("#",""), HYPERLINK(CONCATENATE("#metadata!", ADDRESS(INDEX($W$2:$W$1001,MATCH(ROWS($U$2:U277),$U$2:$U$1001,0),0), INDEX($AB$1004:$AQ$1004,1,MATCH(COLUMNS($AB$1006:AG1006),$AB$1006:$AQ$1006,0)))),"Fix")))</f>
        <v>0</v>
      </c>
      <c r="H277" s="4">
        <f>IF(OR(INDEX($V$2:$V$1001,MATCH(ROWS($U$2:U277),$U$2:$U$1001,0),1)&gt;=100000,INDEX($AB$1005:$AQ$1005,1,MATCH(COLUMNS($AB$1006:AH1006),$AB$1006:$AQ$1006,0))&gt;=100000), " ",IF(INDEX($AB$2:$AQ$1001,MATCH(ROWS($U$2:U277),$U$2:$U$1001,0),MATCH(COLUMNS($AB$1006:AH1006),$AB$1006:$AQ$1006,0)), HYPERLINK("#",""), HYPERLINK(CONCATENATE("#metadata!", ADDRESS(INDEX($W$2:$W$1001,MATCH(ROWS($U$2:U277),$U$2:$U$1001,0),0), INDEX($AB$1004:$AQ$1004,1,MATCH(COLUMNS($AB$1006:AH1006),$AB$1006:$AQ$1006,0)))),"Fix")))</f>
        <v>0</v>
      </c>
      <c r="I277" s="4">
        <f>IF(OR(INDEX($V$2:$V$1001,MATCH(ROWS($U$2:U277),$U$2:$U$1001,0),1)&gt;=100000,INDEX($AB$1005:$AQ$1005,1,MATCH(COLUMNS($AB$1006:AI1006),$AB$1006:$AQ$1006,0))&gt;=100000), " ",IF(INDEX($AB$2:$AQ$1001,MATCH(ROWS($U$2:U277),$U$2:$U$1001,0),MATCH(COLUMNS($AB$1006:AI1006),$AB$1006:$AQ$1006,0)), HYPERLINK("#",""), HYPERLINK(CONCATENATE("#metadata!", ADDRESS(INDEX($W$2:$W$1001,MATCH(ROWS($U$2:U277),$U$2:$U$1001,0),0), INDEX($AB$1004:$AQ$1004,1,MATCH(COLUMNS($AB$1006:AI1006),$AB$1006:$AQ$1006,0)))),"Fix")))</f>
        <v>0</v>
      </c>
      <c r="J277" s="4">
        <f>IF(OR(INDEX($V$2:$V$1001,MATCH(ROWS($U$2:U277),$U$2:$U$1001,0),1)&gt;=100000,INDEX($AB$1005:$AQ$1005,1,MATCH(COLUMNS($AB$1006:AJ1006),$AB$1006:$AQ$1006,0))&gt;=100000), " ",IF(INDEX($AB$2:$AQ$1001,MATCH(ROWS($U$2:U277),$U$2:$U$1001,0),MATCH(COLUMNS($AB$1006:AJ1006),$AB$1006:$AQ$1006,0)), HYPERLINK("#",""), HYPERLINK(CONCATENATE("#metadata!", ADDRESS(INDEX($W$2:$W$1001,MATCH(ROWS($U$2:U277),$U$2:$U$1001,0),0), INDEX($AB$1004:$AQ$1004,1,MATCH(COLUMNS($AB$1006:AJ1006),$AB$1006:$AQ$1006,0)))),"Fix")))</f>
        <v>0</v>
      </c>
      <c r="K277" s="4">
        <f>IF(OR(INDEX($V$2:$V$1001,MATCH(ROWS($U$2:U277),$U$2:$U$1001,0),1)&gt;=100000,INDEX($AB$1005:$AQ$1005,1,MATCH(COLUMNS($AB$1006:AK1006),$AB$1006:$AQ$1006,0))&gt;=100000), " ",IF(INDEX($AB$2:$AQ$1001,MATCH(ROWS($U$2:U277),$U$2:$U$1001,0),MATCH(COLUMNS($AB$1006:AK1006),$AB$1006:$AQ$1006,0)), HYPERLINK("#",""), HYPERLINK(CONCATENATE("#metadata!", ADDRESS(INDEX($W$2:$W$1001,MATCH(ROWS($U$2:U277),$U$2:$U$1001,0),0), INDEX($AB$1004:$AQ$1004,1,MATCH(COLUMNS($AB$1006:AK1006),$AB$1006:$AQ$1006,0)))),"Fix")))</f>
        <v>0</v>
      </c>
      <c r="L277" s="4">
        <f>IF(OR(INDEX($V$2:$V$1001,MATCH(ROWS($U$2:U277),$U$2:$U$1001,0),1)&gt;=100000,INDEX($AB$1005:$AQ$1005,1,MATCH(COLUMNS($AB$1006:AL1006),$AB$1006:$AQ$1006,0))&gt;=100000), " ",IF(INDEX($AB$2:$AQ$1001,MATCH(ROWS($U$2:U277),$U$2:$U$1001,0),MATCH(COLUMNS($AB$1006:AL1006),$AB$1006:$AQ$1006,0)), HYPERLINK("#",""), HYPERLINK(CONCATENATE("#metadata!", ADDRESS(INDEX($W$2:$W$1001,MATCH(ROWS($U$2:U277),$U$2:$U$1001,0),0), INDEX($AB$1004:$AQ$1004,1,MATCH(COLUMNS($AB$1006:AL1006),$AB$1006:$AQ$1006,0)))),"Fix")))</f>
        <v>0</v>
      </c>
      <c r="M277" s="4">
        <f>IF(OR(INDEX($V$2:$V$1001,MATCH(ROWS($U$2:U277),$U$2:$U$1001,0),1)&gt;=100000,INDEX($AB$1005:$AQ$1005,1,MATCH(COLUMNS($AB$1006:AM1006),$AB$1006:$AQ$1006,0))&gt;=100000), " ",IF(INDEX($AB$2:$AQ$1001,MATCH(ROWS($U$2:U277),$U$2:$U$1001,0),MATCH(COLUMNS($AB$1006:AM1006),$AB$1006:$AQ$1006,0)), HYPERLINK("#",""), HYPERLINK(CONCATENATE("#metadata!", ADDRESS(INDEX($W$2:$W$1001,MATCH(ROWS($U$2:U277),$U$2:$U$1001,0),0), INDEX($AB$1004:$AQ$1004,1,MATCH(COLUMNS($AB$1006:AM1006),$AB$1006:$AQ$1006,0)))),"Fix")))</f>
        <v>0</v>
      </c>
      <c r="N277" s="4">
        <f>IF(OR(INDEX($V$2:$V$1001,MATCH(ROWS($U$2:U277),$U$2:$U$1001,0),1)&gt;=100000,INDEX($AB$1005:$AQ$1005,1,MATCH(COLUMNS($AB$1006:AN1006),$AB$1006:$AQ$1006,0))&gt;=100000), " ",IF(INDEX($AB$2:$AQ$1001,MATCH(ROWS($U$2:U277),$U$2:$U$1001,0),MATCH(COLUMNS($AB$1006:AN1006),$AB$1006:$AQ$1006,0)), HYPERLINK("#",""), HYPERLINK(CONCATENATE("#metadata!", ADDRESS(INDEX($W$2:$W$1001,MATCH(ROWS($U$2:U277),$U$2:$U$1001,0),0), INDEX($AB$1004:$AQ$1004,1,MATCH(COLUMNS($AB$1006:AN1006),$AB$1006:$AQ$1006,0)))),"Fix")))</f>
        <v>0</v>
      </c>
      <c r="O277" s="4">
        <f>IF(OR(INDEX($V$2:$V$1001,MATCH(ROWS($U$2:U277),$U$2:$U$1001,0),1)&gt;=100000,INDEX($AB$1005:$AQ$1005,1,MATCH(COLUMNS($AB$1006:AO1006),$AB$1006:$AQ$1006,0))&gt;=100000), " ",IF(INDEX($AB$2:$AQ$1001,MATCH(ROWS($U$2:U277),$U$2:$U$1001,0),MATCH(COLUMNS($AB$1006:AO1006),$AB$1006:$AQ$1006,0)), HYPERLINK("#",""), HYPERLINK(CONCATENATE("#metadata!", ADDRESS(INDEX($W$2:$W$1001,MATCH(ROWS($U$2:U277),$U$2:$U$1001,0),0), INDEX($AB$1004:$AQ$1004,1,MATCH(COLUMNS($AB$1006:AO1006),$AB$1006:$AQ$1006,0)))),"Fix")))</f>
        <v>0</v>
      </c>
      <c r="P277" s="4">
        <f>IF(OR(INDEX($V$2:$V$1001,MATCH(ROWS($U$2:U277),$U$2:$U$1001,0),1)&gt;=100000,INDEX($AB$1005:$AQ$1005,1,MATCH(COLUMNS($AB$1006:AP1006),$AB$1006:$AQ$1006,0))&gt;=100000), " ",IF(INDEX($AB$2:$AQ$1001,MATCH(ROWS($U$2:U277),$U$2:$U$1001,0),MATCH(COLUMNS($AB$1006:AP1006),$AB$1006:$AQ$1006,0)), HYPERLINK("#",""), HYPERLINK(CONCATENATE("#metadata!", ADDRESS(INDEX($W$2:$W$1001,MATCH(ROWS($U$2:U277),$U$2:$U$1001,0),0), INDEX($AB$1004:$AQ$1004,1,MATCH(COLUMNS($AB$1006:AP1006),$AB$1006:$AQ$1006,0)))),"Fix")))</f>
        <v>0</v>
      </c>
      <c r="Q277" s="4">
        <f>IF(OR(INDEX($V$2:$V$1001,MATCH(ROWS($U$2:U277),$U$2:$U$1001,0),1)&gt;=100000,INDEX($AB$1005:$AQ$1005,1,MATCH(COLUMNS($AB$1006:AQ1006),$AB$1006:$AQ$1006,0))&gt;=100000), " ",IF(INDEX($AB$2:$AQ$1001,MATCH(ROWS($U$2:U277),$U$2:$U$1001,0),MATCH(COLUMNS($AB$1006:AQ1006),$AB$1006:$AQ$1006,0)), HYPERLINK("#",""), HYPERLINK(CONCATENATE("#metadata!", ADDRESS(INDEX($W$2:$W$1001,MATCH(ROWS($U$2:U277),$U$2:$U$1001,0),0), INDEX($AB$1004:$AQ$1004,1,MATCH(COLUMNS($AB$1006:AQ1006),$AB$1006:$AQ$1006,0)))),"Fix")))</f>
        <v>0</v>
      </c>
      <c r="U277">
        <v>0</v>
      </c>
      <c r="V277">
        <v>0</v>
      </c>
      <c r="W277">
        <v>0</v>
      </c>
      <c r="X277">
        <f>IF(Y277,TRUE,AND(AB277:AQ277))</f>
        <v>0</v>
      </c>
      <c r="Y277">
        <f>COUNTBLANK(metadata!B277:Q277)=COLUMNS(metadata!B277:Q277)</f>
        <v>0</v>
      </c>
      <c r="Z277">
        <v>0</v>
      </c>
      <c r="AB277">
        <f>AND(IF(metadata!B277="",FALSE,TRUE),COUNTIF(metadata!B:B, metadata!B277) = 1,NOT(ISERROR(SUMPRODUCT(SEARCH(MID(metadata!B277,ROW(INDIRECT("1:"&amp;LEN(metadata!B277))), 1),"0123456789abcdefghijklmnopqrstuvwxyzABCDEFGHIJKLMNOPQRSTUVWXYZ.")))))</f>
        <v>0</v>
      </c>
      <c r="AC277">
        <f>OR(AND(IF(metadata!C277="",FALSE,TRUE),OR(exact(metadata!C277,"missing: not collected"),exact(metadata!C277,"missing: not provided"),exact(metadata!C277,"missing: restricted access"))),AND(IF(metadata!C277="",FALSE,TRUE),AND(AND(IFERROR(INT(LEFT(metadata!C277,4))&gt;1900,FALSE),IFERROR(INT(LEFT(metadata!C277,4))&lt;=YEAR(NOW()),FALSE)), OR(MID(metadata!C277,5,1)="", AND(AND(MID(metadata!C277,5,1)="-",IFERROR(INT(MID(metadata!C277,6,1))&gt;=0,FALSE),IFERROR(INT(MID(metadata!C277,6,1))&lt;=1,FALSE),NOT(MID(metadata!C277,7,1)=""),IFERROR(INT(MID(metadata!C277,6,2))&gt;=1,FALSE),IFERROR(INT(MID(metadata!C277,6,2))&lt;=12,FALSE)), OR(MID(metadata!C277,8,1)="", AND(AND(MID(metadata!C277,8,1)="-",IFERROR(INT(MID(metadata!C277,9,1))&gt;=0,FALSE),IFERROR(INT(MID(metadata!C277,9,1))&lt;=3,FALSE),NOT(MID(metadata!C277,10,1)=""),IFERROR(INT(MID(metadata!C277,9,2))&gt;=1,FALSE),IFERROR(INT(MID(metadata!C277,9,2))&lt;=31,FALSE)), OR(MID(metadata!C277,11,1)="", AND(AND(MID(metadata!C277,11,1)=" ",IFERROR(INT(MID(metadata!C277,12,1))&gt;=0,FALSE),IFERROR(INT(MID(metadata!C277,12,1))&lt;=2,FALSE),NOT(MID(metadata!C277,13,1)=""),IFERROR(INT(MID(metadata!C277,12,2))&gt;=0,FALSE),IFERROR(INT(MID(metadata!C277,12,2))&lt;=23,FALSE)), OR(MID(metadata!C277,14,1)="", AND(AND(MID(metadata!C277,14,1)=":",IFERROR(INT(MID(metadata!C277,15,1))&gt;=0,FALSE),IFERROR(INT(MID(metadata!C277,15,1))&lt;=5,FALSE),NOT(MID(metadata!C277,16,1)=""),IFERROR(INT(MID(metadata!C277,15,2))&gt;=0,FALSE),IFERROR(INT(MID(metadata!C277,15,2))&lt;=59,FALSE)), OR(MID(metadata!C277,17,1)="", AND(AND(MID(metadata!C277,17,1)=":",IFERROR(INT(MID(metadata!C277,18,1))&gt;=0,FALSE),IFERROR(INT(MID(metadata!C277,18,1))&lt;=5,FALSE),NOT(MID(metadata!C277,19,1)=""),IFERROR(INT(MID(metadata!C277,18,2))&gt;=0,FALSE),IFERROR(INT(MID(metadata!C277,18,2))&lt;=59,FALSE)), LEN(metadata!C277)&lt;=19)))))))))))))</f>
        <v>0</v>
      </c>
      <c r="AD277">
        <f>IF(metadata!D277="",FALSE,TRUE)</f>
        <v>0</v>
      </c>
      <c r="AE277">
        <f>OR(AND(IF(metadata!E277="",FALSE,TRUE),OR(exact(metadata!E277,"missing: not collected"),exact(metadata!E277,"missing: not provided"))),AND(IF(metadata!E277="",FALSE,TRUE),OR(exact(metadata!E277,"TRUE"),exact(metadata!E277,"FALSE"))))</f>
        <v>0</v>
      </c>
      <c r="AF277">
        <f>IF(metadata!F277="",FALSE,TRUE)</f>
        <v>0</v>
      </c>
      <c r="AG277">
        <f>IF(metadata!G277="",FALSE,TRUE)</f>
        <v>0</v>
      </c>
      <c r="AH277">
        <f>IF(metadata!H277="",FALSE,TRUE)</f>
        <v>0</v>
      </c>
      <c r="AI277">
        <f>OR(AND(IF(metadata!I277="",FALSE,TRUE),OR(exact(metadata!I277,"missing: not collected"),exact(metadata!I277,"missing: not provided"),exact(metadata!I277,"missing: restricted access"))),AND(IF(metadata!I277="",FALSE,TRUE),OR(exact(metadata!I277,"air"),exact(metadata!I277,"built environment"),exact(metadata!I277,"host-associated"),exact(metadata!I277,"human-associated"),exact(metadata!I277,"human-skin"),exact(metadata!I277,"human-oral"),exact(metadata!I277,"human-gut"),exact(metadata!I277,"human-vaginal"),exact(metadata!I277,"microbial mat/biofilm"),exact(metadata!I277,"misc environment"),exact(metadata!I277,"plant-associated"),exact(metadata!I277,"sediment"),exact(metadata!I277,"soil"),exact(metadata!I277,"wastewater/sludge"),exact(metadata!I277,"water"))))</f>
        <v>0</v>
      </c>
      <c r="AJ277">
        <f>IF(metadata!J277="",FALSE,TRUE)</f>
        <v>0</v>
      </c>
      <c r="AK277">
        <f>OR(AND(IF(metadata!K277="",FALSE,TRUE),OR(exact(metadata!K277,"missing: not collected"),exact(metadata!K277,"missing: not provided"),exact(metadata!K277,"missing: restricted access"))),AND(IF(metadata!K277="",FALSE,ISNUMBER(VALUE(metadata!K277))),metadata!K277&gt;=-90.00,metadata!K277&lt;=90.00))</f>
        <v>0</v>
      </c>
      <c r="AL277">
        <f>OR(AND(IF(metadata!L277="",FALSE,TRUE),OR(exact(metadata!L277,"missing: not collected"),exact(metadata!L277,"missing: not provided"),exact(metadata!L277,"missing: restricted access"))),AND(IF(metadata!L277="",FALSE,ISNUMBER(VALUE(metadata!L277))),metadata!L277&gt;=-180.00,metadata!L277&lt;=180.00))</f>
        <v>0</v>
      </c>
      <c r="AM277">
        <f>IF(metadata!M277="",FALSE,TRUE)</f>
        <v>0</v>
      </c>
      <c r="AN277">
        <f>OR(AND(IF(metadata!N277="",FALSE,TRUE),OR(exact(metadata!N277,"missing: not collected"),exact(metadata!N277,"missing: not provided"),exact(metadata!N277,"missing: restricted access"))),AND(IF(metadata!N277="",FALSE,TRUE),OR(exact(metadata!N277,"TRUE"),exact(metadata!N277,"FALSE"))))</f>
        <v>0</v>
      </c>
      <c r="AO277">
        <f>IF(metadata!O277="",FALSE,TRUE)</f>
        <v>0</v>
      </c>
      <c r="AP277">
        <f>OR(AND(IF(metadata!P277="",FALSE,TRUE),OR(exact(metadata!P277,"missing: not collected"),exact(metadata!P277,"missing: not provided"))),AND(IF(metadata!P277="",FALSE,IF(ISERROR(INT(metadata!P277)),FALSE,INT(metadata!P277)=metadata!P277)),metadata!P277&gt;0))</f>
        <v>0</v>
      </c>
      <c r="AQ277">
        <f>IF(metadata!Q277="",FALSE,TRUE)</f>
        <v>0</v>
      </c>
    </row>
    <row r="278" spans="1:43">
      <c r="A278" s="5">
        <f>IF(B278=" "," ",HYPERLINK(CONCATENATE("#metadata!",ADDRESS(INDEX($W$2:$W$1001,MATCH(ROWS($U$2:U278),$U$2:$U$1001,0),0),1)),INDEX($Z$2:$Z$1001,MATCH(ROWS($U$2:U278),$U$2:$U$1001,0),0)))</f>
        <v>0</v>
      </c>
      <c r="B278" s="4">
        <f>IF(OR(INDEX($V$2:$V$1001,MATCH(ROWS($U$2:U278),$U$2:$U$1001,0),1)&gt;=100000,INDEX($AB$1005:$AQ$1005,1,MATCH(COLUMNS($AB$1006:AB1006),$AB$1006:$AQ$1006,0))&gt;=100000), " ",IF(INDEX($AB$2:$AQ$1001,MATCH(ROWS($U$2:U278),$U$2:$U$1001,0),MATCH(COLUMNS($AB$1006:AB1006),$AB$1006:$AQ$1006,0)), HYPERLINK("#",""), HYPERLINK(CONCATENATE("#metadata!", ADDRESS(INDEX($W$2:$W$1001,MATCH(ROWS($U$2:U278),$U$2:$U$1001,0),0), INDEX($AB$1004:$AQ$1004,1,MATCH(COLUMNS($AB$1006:AB1006),$AB$1006:$AQ$1006,0)))),"Fix")))</f>
        <v>0</v>
      </c>
      <c r="C278" s="4">
        <f>IF(OR(INDEX($V$2:$V$1001,MATCH(ROWS($U$2:U278),$U$2:$U$1001,0),1)&gt;=100000,INDEX($AB$1005:$AQ$1005,1,MATCH(COLUMNS($AB$1006:AC1006),$AB$1006:$AQ$1006,0))&gt;=100000), " ",IF(INDEX($AB$2:$AQ$1001,MATCH(ROWS($U$2:U278),$U$2:$U$1001,0),MATCH(COLUMNS($AB$1006:AC1006),$AB$1006:$AQ$1006,0)), HYPERLINK("#",""), HYPERLINK(CONCATENATE("#metadata!", ADDRESS(INDEX($W$2:$W$1001,MATCH(ROWS($U$2:U278),$U$2:$U$1001,0),0), INDEX($AB$1004:$AQ$1004,1,MATCH(COLUMNS($AB$1006:AC1006),$AB$1006:$AQ$1006,0)))),"Fix")))</f>
        <v>0</v>
      </c>
      <c r="D278" s="4">
        <f>IF(OR(INDEX($V$2:$V$1001,MATCH(ROWS($U$2:U278),$U$2:$U$1001,0),1)&gt;=100000,INDEX($AB$1005:$AQ$1005,1,MATCH(COLUMNS($AB$1006:AD1006),$AB$1006:$AQ$1006,0))&gt;=100000), " ",IF(INDEX($AB$2:$AQ$1001,MATCH(ROWS($U$2:U278),$U$2:$U$1001,0),MATCH(COLUMNS($AB$1006:AD1006),$AB$1006:$AQ$1006,0)), HYPERLINK("#",""), HYPERLINK(CONCATENATE("#metadata!", ADDRESS(INDEX($W$2:$W$1001,MATCH(ROWS($U$2:U278),$U$2:$U$1001,0),0), INDEX($AB$1004:$AQ$1004,1,MATCH(COLUMNS($AB$1006:AD1006),$AB$1006:$AQ$1006,0)))),"Fix")))</f>
        <v>0</v>
      </c>
      <c r="E278" s="4">
        <f>IF(OR(INDEX($V$2:$V$1001,MATCH(ROWS($U$2:U278),$U$2:$U$1001,0),1)&gt;=100000,INDEX($AB$1005:$AQ$1005,1,MATCH(COLUMNS($AB$1006:AE1006),$AB$1006:$AQ$1006,0))&gt;=100000), " ",IF(INDEX($AB$2:$AQ$1001,MATCH(ROWS($U$2:U278),$U$2:$U$1001,0),MATCH(COLUMNS($AB$1006:AE1006),$AB$1006:$AQ$1006,0)), HYPERLINK("#",""), HYPERLINK(CONCATENATE("#metadata!", ADDRESS(INDEX($W$2:$W$1001,MATCH(ROWS($U$2:U278),$U$2:$U$1001,0),0), INDEX($AB$1004:$AQ$1004,1,MATCH(COLUMNS($AB$1006:AE1006),$AB$1006:$AQ$1006,0)))),"Fix")))</f>
        <v>0</v>
      </c>
      <c r="F278" s="4">
        <f>IF(OR(INDEX($V$2:$V$1001,MATCH(ROWS($U$2:U278),$U$2:$U$1001,0),1)&gt;=100000,INDEX($AB$1005:$AQ$1005,1,MATCH(COLUMNS($AB$1006:AF1006),$AB$1006:$AQ$1006,0))&gt;=100000), " ",IF(INDEX($AB$2:$AQ$1001,MATCH(ROWS($U$2:U278),$U$2:$U$1001,0),MATCH(COLUMNS($AB$1006:AF1006),$AB$1006:$AQ$1006,0)), HYPERLINK("#",""), HYPERLINK(CONCATENATE("#metadata!", ADDRESS(INDEX($W$2:$W$1001,MATCH(ROWS($U$2:U278),$U$2:$U$1001,0),0), INDEX($AB$1004:$AQ$1004,1,MATCH(COLUMNS($AB$1006:AF1006),$AB$1006:$AQ$1006,0)))),"Fix")))</f>
        <v>0</v>
      </c>
      <c r="G278" s="4">
        <f>IF(OR(INDEX($V$2:$V$1001,MATCH(ROWS($U$2:U278),$U$2:$U$1001,0),1)&gt;=100000,INDEX($AB$1005:$AQ$1005,1,MATCH(COLUMNS($AB$1006:AG1006),$AB$1006:$AQ$1006,0))&gt;=100000), " ",IF(INDEX($AB$2:$AQ$1001,MATCH(ROWS($U$2:U278),$U$2:$U$1001,0),MATCH(COLUMNS($AB$1006:AG1006),$AB$1006:$AQ$1006,0)), HYPERLINK("#",""), HYPERLINK(CONCATENATE("#metadata!", ADDRESS(INDEX($W$2:$W$1001,MATCH(ROWS($U$2:U278),$U$2:$U$1001,0),0), INDEX($AB$1004:$AQ$1004,1,MATCH(COLUMNS($AB$1006:AG1006),$AB$1006:$AQ$1006,0)))),"Fix")))</f>
        <v>0</v>
      </c>
      <c r="H278" s="4">
        <f>IF(OR(INDEX($V$2:$V$1001,MATCH(ROWS($U$2:U278),$U$2:$U$1001,0),1)&gt;=100000,INDEX($AB$1005:$AQ$1005,1,MATCH(COLUMNS($AB$1006:AH1006),$AB$1006:$AQ$1006,0))&gt;=100000), " ",IF(INDEX($AB$2:$AQ$1001,MATCH(ROWS($U$2:U278),$U$2:$U$1001,0),MATCH(COLUMNS($AB$1006:AH1006),$AB$1006:$AQ$1006,0)), HYPERLINK("#",""), HYPERLINK(CONCATENATE("#metadata!", ADDRESS(INDEX($W$2:$W$1001,MATCH(ROWS($U$2:U278),$U$2:$U$1001,0),0), INDEX($AB$1004:$AQ$1004,1,MATCH(COLUMNS($AB$1006:AH1006),$AB$1006:$AQ$1006,0)))),"Fix")))</f>
        <v>0</v>
      </c>
      <c r="I278" s="4">
        <f>IF(OR(INDEX($V$2:$V$1001,MATCH(ROWS($U$2:U278),$U$2:$U$1001,0),1)&gt;=100000,INDEX($AB$1005:$AQ$1005,1,MATCH(COLUMNS($AB$1006:AI1006),$AB$1006:$AQ$1006,0))&gt;=100000), " ",IF(INDEX($AB$2:$AQ$1001,MATCH(ROWS($U$2:U278),$U$2:$U$1001,0),MATCH(COLUMNS($AB$1006:AI1006),$AB$1006:$AQ$1006,0)), HYPERLINK("#",""), HYPERLINK(CONCATENATE("#metadata!", ADDRESS(INDEX($W$2:$W$1001,MATCH(ROWS($U$2:U278),$U$2:$U$1001,0),0), INDEX($AB$1004:$AQ$1004,1,MATCH(COLUMNS($AB$1006:AI1006),$AB$1006:$AQ$1006,0)))),"Fix")))</f>
        <v>0</v>
      </c>
      <c r="J278" s="4">
        <f>IF(OR(INDEX($V$2:$V$1001,MATCH(ROWS($U$2:U278),$U$2:$U$1001,0),1)&gt;=100000,INDEX($AB$1005:$AQ$1005,1,MATCH(COLUMNS($AB$1006:AJ1006),$AB$1006:$AQ$1006,0))&gt;=100000), " ",IF(INDEX($AB$2:$AQ$1001,MATCH(ROWS($U$2:U278),$U$2:$U$1001,0),MATCH(COLUMNS($AB$1006:AJ1006),$AB$1006:$AQ$1006,0)), HYPERLINK("#",""), HYPERLINK(CONCATENATE("#metadata!", ADDRESS(INDEX($W$2:$W$1001,MATCH(ROWS($U$2:U278),$U$2:$U$1001,0),0), INDEX($AB$1004:$AQ$1004,1,MATCH(COLUMNS($AB$1006:AJ1006),$AB$1006:$AQ$1006,0)))),"Fix")))</f>
        <v>0</v>
      </c>
      <c r="K278" s="4">
        <f>IF(OR(INDEX($V$2:$V$1001,MATCH(ROWS($U$2:U278),$U$2:$U$1001,0),1)&gt;=100000,INDEX($AB$1005:$AQ$1005,1,MATCH(COLUMNS($AB$1006:AK1006),$AB$1006:$AQ$1006,0))&gt;=100000), " ",IF(INDEX($AB$2:$AQ$1001,MATCH(ROWS($U$2:U278),$U$2:$U$1001,0),MATCH(COLUMNS($AB$1006:AK1006),$AB$1006:$AQ$1006,0)), HYPERLINK("#",""), HYPERLINK(CONCATENATE("#metadata!", ADDRESS(INDEX($W$2:$W$1001,MATCH(ROWS($U$2:U278),$U$2:$U$1001,0),0), INDEX($AB$1004:$AQ$1004,1,MATCH(COLUMNS($AB$1006:AK1006),$AB$1006:$AQ$1006,0)))),"Fix")))</f>
        <v>0</v>
      </c>
      <c r="L278" s="4">
        <f>IF(OR(INDEX($V$2:$V$1001,MATCH(ROWS($U$2:U278),$U$2:$U$1001,0),1)&gt;=100000,INDEX($AB$1005:$AQ$1005,1,MATCH(COLUMNS($AB$1006:AL1006),$AB$1006:$AQ$1006,0))&gt;=100000), " ",IF(INDEX($AB$2:$AQ$1001,MATCH(ROWS($U$2:U278),$U$2:$U$1001,0),MATCH(COLUMNS($AB$1006:AL1006),$AB$1006:$AQ$1006,0)), HYPERLINK("#",""), HYPERLINK(CONCATENATE("#metadata!", ADDRESS(INDEX($W$2:$W$1001,MATCH(ROWS($U$2:U278),$U$2:$U$1001,0),0), INDEX($AB$1004:$AQ$1004,1,MATCH(COLUMNS($AB$1006:AL1006),$AB$1006:$AQ$1006,0)))),"Fix")))</f>
        <v>0</v>
      </c>
      <c r="M278" s="4">
        <f>IF(OR(INDEX($V$2:$V$1001,MATCH(ROWS($U$2:U278),$U$2:$U$1001,0),1)&gt;=100000,INDEX($AB$1005:$AQ$1005,1,MATCH(COLUMNS($AB$1006:AM1006),$AB$1006:$AQ$1006,0))&gt;=100000), " ",IF(INDEX($AB$2:$AQ$1001,MATCH(ROWS($U$2:U278),$U$2:$U$1001,0),MATCH(COLUMNS($AB$1006:AM1006),$AB$1006:$AQ$1006,0)), HYPERLINK("#",""), HYPERLINK(CONCATENATE("#metadata!", ADDRESS(INDEX($W$2:$W$1001,MATCH(ROWS($U$2:U278),$U$2:$U$1001,0),0), INDEX($AB$1004:$AQ$1004,1,MATCH(COLUMNS($AB$1006:AM1006),$AB$1006:$AQ$1006,0)))),"Fix")))</f>
        <v>0</v>
      </c>
      <c r="N278" s="4">
        <f>IF(OR(INDEX($V$2:$V$1001,MATCH(ROWS($U$2:U278),$U$2:$U$1001,0),1)&gt;=100000,INDEX($AB$1005:$AQ$1005,1,MATCH(COLUMNS($AB$1006:AN1006),$AB$1006:$AQ$1006,0))&gt;=100000), " ",IF(INDEX($AB$2:$AQ$1001,MATCH(ROWS($U$2:U278),$U$2:$U$1001,0),MATCH(COLUMNS($AB$1006:AN1006),$AB$1006:$AQ$1006,0)), HYPERLINK("#",""), HYPERLINK(CONCATENATE("#metadata!", ADDRESS(INDEX($W$2:$W$1001,MATCH(ROWS($U$2:U278),$U$2:$U$1001,0),0), INDEX($AB$1004:$AQ$1004,1,MATCH(COLUMNS($AB$1006:AN1006),$AB$1006:$AQ$1006,0)))),"Fix")))</f>
        <v>0</v>
      </c>
      <c r="O278" s="4">
        <f>IF(OR(INDEX($V$2:$V$1001,MATCH(ROWS($U$2:U278),$U$2:$U$1001,0),1)&gt;=100000,INDEX($AB$1005:$AQ$1005,1,MATCH(COLUMNS($AB$1006:AO1006),$AB$1006:$AQ$1006,0))&gt;=100000), " ",IF(INDEX($AB$2:$AQ$1001,MATCH(ROWS($U$2:U278),$U$2:$U$1001,0),MATCH(COLUMNS($AB$1006:AO1006),$AB$1006:$AQ$1006,0)), HYPERLINK("#",""), HYPERLINK(CONCATENATE("#metadata!", ADDRESS(INDEX($W$2:$W$1001,MATCH(ROWS($U$2:U278),$U$2:$U$1001,0),0), INDEX($AB$1004:$AQ$1004,1,MATCH(COLUMNS($AB$1006:AO1006),$AB$1006:$AQ$1006,0)))),"Fix")))</f>
        <v>0</v>
      </c>
      <c r="P278" s="4">
        <f>IF(OR(INDEX($V$2:$V$1001,MATCH(ROWS($U$2:U278),$U$2:$U$1001,0),1)&gt;=100000,INDEX($AB$1005:$AQ$1005,1,MATCH(COLUMNS($AB$1006:AP1006),$AB$1006:$AQ$1006,0))&gt;=100000), " ",IF(INDEX($AB$2:$AQ$1001,MATCH(ROWS($U$2:U278),$U$2:$U$1001,0),MATCH(COLUMNS($AB$1006:AP1006),$AB$1006:$AQ$1006,0)), HYPERLINK("#",""), HYPERLINK(CONCATENATE("#metadata!", ADDRESS(INDEX($W$2:$W$1001,MATCH(ROWS($U$2:U278),$U$2:$U$1001,0),0), INDEX($AB$1004:$AQ$1004,1,MATCH(COLUMNS($AB$1006:AP1006),$AB$1006:$AQ$1006,0)))),"Fix")))</f>
        <v>0</v>
      </c>
      <c r="Q278" s="4">
        <f>IF(OR(INDEX($V$2:$V$1001,MATCH(ROWS($U$2:U278),$U$2:$U$1001,0),1)&gt;=100000,INDEX($AB$1005:$AQ$1005,1,MATCH(COLUMNS($AB$1006:AQ1006),$AB$1006:$AQ$1006,0))&gt;=100000), " ",IF(INDEX($AB$2:$AQ$1001,MATCH(ROWS($U$2:U278),$U$2:$U$1001,0),MATCH(COLUMNS($AB$1006:AQ1006),$AB$1006:$AQ$1006,0)), HYPERLINK("#",""), HYPERLINK(CONCATENATE("#metadata!", ADDRESS(INDEX($W$2:$W$1001,MATCH(ROWS($U$2:U278),$U$2:$U$1001,0),0), INDEX($AB$1004:$AQ$1004,1,MATCH(COLUMNS($AB$1006:AQ1006),$AB$1006:$AQ$1006,0)))),"Fix")))</f>
        <v>0</v>
      </c>
      <c r="U278">
        <v>0</v>
      </c>
      <c r="V278">
        <v>0</v>
      </c>
      <c r="W278">
        <v>0</v>
      </c>
      <c r="X278">
        <f>IF(Y278,TRUE,AND(AB278:AQ278))</f>
        <v>0</v>
      </c>
      <c r="Y278">
        <f>COUNTBLANK(metadata!B278:Q278)=COLUMNS(metadata!B278:Q278)</f>
        <v>0</v>
      </c>
      <c r="Z278">
        <v>0</v>
      </c>
      <c r="AB278">
        <f>AND(IF(metadata!B278="",FALSE,TRUE),COUNTIF(metadata!B:B, metadata!B278) = 1,NOT(ISERROR(SUMPRODUCT(SEARCH(MID(metadata!B278,ROW(INDIRECT("1:"&amp;LEN(metadata!B278))), 1),"0123456789abcdefghijklmnopqrstuvwxyzABCDEFGHIJKLMNOPQRSTUVWXYZ.")))))</f>
        <v>0</v>
      </c>
      <c r="AC278">
        <f>OR(AND(IF(metadata!C278="",FALSE,TRUE),OR(exact(metadata!C278,"missing: not collected"),exact(metadata!C278,"missing: not provided"),exact(metadata!C278,"missing: restricted access"))),AND(IF(metadata!C278="",FALSE,TRUE),AND(AND(IFERROR(INT(LEFT(metadata!C278,4))&gt;1900,FALSE),IFERROR(INT(LEFT(metadata!C278,4))&lt;=YEAR(NOW()),FALSE)), OR(MID(metadata!C278,5,1)="", AND(AND(MID(metadata!C278,5,1)="-",IFERROR(INT(MID(metadata!C278,6,1))&gt;=0,FALSE),IFERROR(INT(MID(metadata!C278,6,1))&lt;=1,FALSE),NOT(MID(metadata!C278,7,1)=""),IFERROR(INT(MID(metadata!C278,6,2))&gt;=1,FALSE),IFERROR(INT(MID(metadata!C278,6,2))&lt;=12,FALSE)), OR(MID(metadata!C278,8,1)="", AND(AND(MID(metadata!C278,8,1)="-",IFERROR(INT(MID(metadata!C278,9,1))&gt;=0,FALSE),IFERROR(INT(MID(metadata!C278,9,1))&lt;=3,FALSE),NOT(MID(metadata!C278,10,1)=""),IFERROR(INT(MID(metadata!C278,9,2))&gt;=1,FALSE),IFERROR(INT(MID(metadata!C278,9,2))&lt;=31,FALSE)), OR(MID(metadata!C278,11,1)="", AND(AND(MID(metadata!C278,11,1)=" ",IFERROR(INT(MID(metadata!C278,12,1))&gt;=0,FALSE),IFERROR(INT(MID(metadata!C278,12,1))&lt;=2,FALSE),NOT(MID(metadata!C278,13,1)=""),IFERROR(INT(MID(metadata!C278,12,2))&gt;=0,FALSE),IFERROR(INT(MID(metadata!C278,12,2))&lt;=23,FALSE)), OR(MID(metadata!C278,14,1)="", AND(AND(MID(metadata!C278,14,1)=":",IFERROR(INT(MID(metadata!C278,15,1))&gt;=0,FALSE),IFERROR(INT(MID(metadata!C278,15,1))&lt;=5,FALSE),NOT(MID(metadata!C278,16,1)=""),IFERROR(INT(MID(metadata!C278,15,2))&gt;=0,FALSE),IFERROR(INT(MID(metadata!C278,15,2))&lt;=59,FALSE)), OR(MID(metadata!C278,17,1)="", AND(AND(MID(metadata!C278,17,1)=":",IFERROR(INT(MID(metadata!C278,18,1))&gt;=0,FALSE),IFERROR(INT(MID(metadata!C278,18,1))&lt;=5,FALSE),NOT(MID(metadata!C278,19,1)=""),IFERROR(INT(MID(metadata!C278,18,2))&gt;=0,FALSE),IFERROR(INT(MID(metadata!C278,18,2))&lt;=59,FALSE)), LEN(metadata!C278)&lt;=19)))))))))))))</f>
        <v>0</v>
      </c>
      <c r="AD278">
        <f>IF(metadata!D278="",FALSE,TRUE)</f>
        <v>0</v>
      </c>
      <c r="AE278">
        <f>OR(AND(IF(metadata!E278="",FALSE,TRUE),OR(exact(metadata!E278,"missing: not collected"),exact(metadata!E278,"missing: not provided"))),AND(IF(metadata!E278="",FALSE,TRUE),OR(exact(metadata!E278,"TRUE"),exact(metadata!E278,"FALSE"))))</f>
        <v>0</v>
      </c>
      <c r="AF278">
        <f>IF(metadata!F278="",FALSE,TRUE)</f>
        <v>0</v>
      </c>
      <c r="AG278">
        <f>IF(metadata!G278="",FALSE,TRUE)</f>
        <v>0</v>
      </c>
      <c r="AH278">
        <f>IF(metadata!H278="",FALSE,TRUE)</f>
        <v>0</v>
      </c>
      <c r="AI278">
        <f>OR(AND(IF(metadata!I278="",FALSE,TRUE),OR(exact(metadata!I278,"missing: not collected"),exact(metadata!I278,"missing: not provided"),exact(metadata!I278,"missing: restricted access"))),AND(IF(metadata!I278="",FALSE,TRUE),OR(exact(metadata!I278,"air"),exact(metadata!I278,"built environment"),exact(metadata!I278,"host-associated"),exact(metadata!I278,"human-associated"),exact(metadata!I278,"human-skin"),exact(metadata!I278,"human-oral"),exact(metadata!I278,"human-gut"),exact(metadata!I278,"human-vaginal"),exact(metadata!I278,"microbial mat/biofilm"),exact(metadata!I278,"misc environment"),exact(metadata!I278,"plant-associated"),exact(metadata!I278,"sediment"),exact(metadata!I278,"soil"),exact(metadata!I278,"wastewater/sludge"),exact(metadata!I278,"water"))))</f>
        <v>0</v>
      </c>
      <c r="AJ278">
        <f>IF(metadata!J278="",FALSE,TRUE)</f>
        <v>0</v>
      </c>
      <c r="AK278">
        <f>OR(AND(IF(metadata!K278="",FALSE,TRUE),OR(exact(metadata!K278,"missing: not collected"),exact(metadata!K278,"missing: not provided"),exact(metadata!K278,"missing: restricted access"))),AND(IF(metadata!K278="",FALSE,ISNUMBER(VALUE(metadata!K278))),metadata!K278&gt;=-90.00,metadata!K278&lt;=90.00))</f>
        <v>0</v>
      </c>
      <c r="AL278">
        <f>OR(AND(IF(metadata!L278="",FALSE,TRUE),OR(exact(metadata!L278,"missing: not collected"),exact(metadata!L278,"missing: not provided"),exact(metadata!L278,"missing: restricted access"))),AND(IF(metadata!L278="",FALSE,ISNUMBER(VALUE(metadata!L278))),metadata!L278&gt;=-180.00,metadata!L278&lt;=180.00))</f>
        <v>0</v>
      </c>
      <c r="AM278">
        <f>IF(metadata!M278="",FALSE,TRUE)</f>
        <v>0</v>
      </c>
      <c r="AN278">
        <f>OR(AND(IF(metadata!N278="",FALSE,TRUE),OR(exact(metadata!N278,"missing: not collected"),exact(metadata!N278,"missing: not provided"),exact(metadata!N278,"missing: restricted access"))),AND(IF(metadata!N278="",FALSE,TRUE),OR(exact(metadata!N278,"TRUE"),exact(metadata!N278,"FALSE"))))</f>
        <v>0</v>
      </c>
      <c r="AO278">
        <f>IF(metadata!O278="",FALSE,TRUE)</f>
        <v>0</v>
      </c>
      <c r="AP278">
        <f>OR(AND(IF(metadata!P278="",FALSE,TRUE),OR(exact(metadata!P278,"missing: not collected"),exact(metadata!P278,"missing: not provided"))),AND(IF(metadata!P278="",FALSE,IF(ISERROR(INT(metadata!P278)),FALSE,INT(metadata!P278)=metadata!P278)),metadata!P278&gt;0))</f>
        <v>0</v>
      </c>
      <c r="AQ278">
        <f>IF(metadata!Q278="",FALSE,TRUE)</f>
        <v>0</v>
      </c>
    </row>
    <row r="279" spans="1:43">
      <c r="A279" s="5">
        <f>IF(B279=" "," ",HYPERLINK(CONCATENATE("#metadata!",ADDRESS(INDEX($W$2:$W$1001,MATCH(ROWS($U$2:U279),$U$2:$U$1001,0),0),1)),INDEX($Z$2:$Z$1001,MATCH(ROWS($U$2:U279),$U$2:$U$1001,0),0)))</f>
        <v>0</v>
      </c>
      <c r="B279" s="4">
        <f>IF(OR(INDEX($V$2:$V$1001,MATCH(ROWS($U$2:U279),$U$2:$U$1001,0),1)&gt;=100000,INDEX($AB$1005:$AQ$1005,1,MATCH(COLUMNS($AB$1006:AB1006),$AB$1006:$AQ$1006,0))&gt;=100000), " ",IF(INDEX($AB$2:$AQ$1001,MATCH(ROWS($U$2:U279),$U$2:$U$1001,0),MATCH(COLUMNS($AB$1006:AB1006),$AB$1006:$AQ$1006,0)), HYPERLINK("#",""), HYPERLINK(CONCATENATE("#metadata!", ADDRESS(INDEX($W$2:$W$1001,MATCH(ROWS($U$2:U279),$U$2:$U$1001,0),0), INDEX($AB$1004:$AQ$1004,1,MATCH(COLUMNS($AB$1006:AB1006),$AB$1006:$AQ$1006,0)))),"Fix")))</f>
        <v>0</v>
      </c>
      <c r="C279" s="4">
        <f>IF(OR(INDEX($V$2:$V$1001,MATCH(ROWS($U$2:U279),$U$2:$U$1001,0),1)&gt;=100000,INDEX($AB$1005:$AQ$1005,1,MATCH(COLUMNS($AB$1006:AC1006),$AB$1006:$AQ$1006,0))&gt;=100000), " ",IF(INDEX($AB$2:$AQ$1001,MATCH(ROWS($U$2:U279),$U$2:$U$1001,0),MATCH(COLUMNS($AB$1006:AC1006),$AB$1006:$AQ$1006,0)), HYPERLINK("#",""), HYPERLINK(CONCATENATE("#metadata!", ADDRESS(INDEX($W$2:$W$1001,MATCH(ROWS($U$2:U279),$U$2:$U$1001,0),0), INDEX($AB$1004:$AQ$1004,1,MATCH(COLUMNS($AB$1006:AC1006),$AB$1006:$AQ$1006,0)))),"Fix")))</f>
        <v>0</v>
      </c>
      <c r="D279" s="4">
        <f>IF(OR(INDEX($V$2:$V$1001,MATCH(ROWS($U$2:U279),$U$2:$U$1001,0),1)&gt;=100000,INDEX($AB$1005:$AQ$1005,1,MATCH(COLUMNS($AB$1006:AD1006),$AB$1006:$AQ$1006,0))&gt;=100000), " ",IF(INDEX($AB$2:$AQ$1001,MATCH(ROWS($U$2:U279),$U$2:$U$1001,0),MATCH(COLUMNS($AB$1006:AD1006),$AB$1006:$AQ$1006,0)), HYPERLINK("#",""), HYPERLINK(CONCATENATE("#metadata!", ADDRESS(INDEX($W$2:$W$1001,MATCH(ROWS($U$2:U279),$U$2:$U$1001,0),0), INDEX($AB$1004:$AQ$1004,1,MATCH(COLUMNS($AB$1006:AD1006),$AB$1006:$AQ$1006,0)))),"Fix")))</f>
        <v>0</v>
      </c>
      <c r="E279" s="4">
        <f>IF(OR(INDEX($V$2:$V$1001,MATCH(ROWS($U$2:U279),$U$2:$U$1001,0),1)&gt;=100000,INDEX($AB$1005:$AQ$1005,1,MATCH(COLUMNS($AB$1006:AE1006),$AB$1006:$AQ$1006,0))&gt;=100000), " ",IF(INDEX($AB$2:$AQ$1001,MATCH(ROWS($U$2:U279),$U$2:$U$1001,0),MATCH(COLUMNS($AB$1006:AE1006),$AB$1006:$AQ$1006,0)), HYPERLINK("#",""), HYPERLINK(CONCATENATE("#metadata!", ADDRESS(INDEX($W$2:$W$1001,MATCH(ROWS($U$2:U279),$U$2:$U$1001,0),0), INDEX($AB$1004:$AQ$1004,1,MATCH(COLUMNS($AB$1006:AE1006),$AB$1006:$AQ$1006,0)))),"Fix")))</f>
        <v>0</v>
      </c>
      <c r="F279" s="4">
        <f>IF(OR(INDEX($V$2:$V$1001,MATCH(ROWS($U$2:U279),$U$2:$U$1001,0),1)&gt;=100000,INDEX($AB$1005:$AQ$1005,1,MATCH(COLUMNS($AB$1006:AF1006),$AB$1006:$AQ$1006,0))&gt;=100000), " ",IF(INDEX($AB$2:$AQ$1001,MATCH(ROWS($U$2:U279),$U$2:$U$1001,0),MATCH(COLUMNS($AB$1006:AF1006),$AB$1006:$AQ$1006,0)), HYPERLINK("#",""), HYPERLINK(CONCATENATE("#metadata!", ADDRESS(INDEX($W$2:$W$1001,MATCH(ROWS($U$2:U279),$U$2:$U$1001,0),0), INDEX($AB$1004:$AQ$1004,1,MATCH(COLUMNS($AB$1006:AF1006),$AB$1006:$AQ$1006,0)))),"Fix")))</f>
        <v>0</v>
      </c>
      <c r="G279" s="4">
        <f>IF(OR(INDEX($V$2:$V$1001,MATCH(ROWS($U$2:U279),$U$2:$U$1001,0),1)&gt;=100000,INDEX($AB$1005:$AQ$1005,1,MATCH(COLUMNS($AB$1006:AG1006),$AB$1006:$AQ$1006,0))&gt;=100000), " ",IF(INDEX($AB$2:$AQ$1001,MATCH(ROWS($U$2:U279),$U$2:$U$1001,0),MATCH(COLUMNS($AB$1006:AG1006),$AB$1006:$AQ$1006,0)), HYPERLINK("#",""), HYPERLINK(CONCATENATE("#metadata!", ADDRESS(INDEX($W$2:$W$1001,MATCH(ROWS($U$2:U279),$U$2:$U$1001,0),0), INDEX($AB$1004:$AQ$1004,1,MATCH(COLUMNS($AB$1006:AG1006),$AB$1006:$AQ$1006,0)))),"Fix")))</f>
        <v>0</v>
      </c>
      <c r="H279" s="4">
        <f>IF(OR(INDEX($V$2:$V$1001,MATCH(ROWS($U$2:U279),$U$2:$U$1001,0),1)&gt;=100000,INDEX($AB$1005:$AQ$1005,1,MATCH(COLUMNS($AB$1006:AH1006),$AB$1006:$AQ$1006,0))&gt;=100000), " ",IF(INDEX($AB$2:$AQ$1001,MATCH(ROWS($U$2:U279),$U$2:$U$1001,0),MATCH(COLUMNS($AB$1006:AH1006),$AB$1006:$AQ$1006,0)), HYPERLINK("#",""), HYPERLINK(CONCATENATE("#metadata!", ADDRESS(INDEX($W$2:$W$1001,MATCH(ROWS($U$2:U279),$U$2:$U$1001,0),0), INDEX($AB$1004:$AQ$1004,1,MATCH(COLUMNS($AB$1006:AH1006),$AB$1006:$AQ$1006,0)))),"Fix")))</f>
        <v>0</v>
      </c>
      <c r="I279" s="4">
        <f>IF(OR(INDEX($V$2:$V$1001,MATCH(ROWS($U$2:U279),$U$2:$U$1001,0),1)&gt;=100000,INDEX($AB$1005:$AQ$1005,1,MATCH(COLUMNS($AB$1006:AI1006),$AB$1006:$AQ$1006,0))&gt;=100000), " ",IF(INDEX($AB$2:$AQ$1001,MATCH(ROWS($U$2:U279),$U$2:$U$1001,0),MATCH(COLUMNS($AB$1006:AI1006),$AB$1006:$AQ$1006,0)), HYPERLINK("#",""), HYPERLINK(CONCATENATE("#metadata!", ADDRESS(INDEX($W$2:$W$1001,MATCH(ROWS($U$2:U279),$U$2:$U$1001,0),0), INDEX($AB$1004:$AQ$1004,1,MATCH(COLUMNS($AB$1006:AI1006),$AB$1006:$AQ$1006,0)))),"Fix")))</f>
        <v>0</v>
      </c>
      <c r="J279" s="4">
        <f>IF(OR(INDEX($V$2:$V$1001,MATCH(ROWS($U$2:U279),$U$2:$U$1001,0),1)&gt;=100000,INDEX($AB$1005:$AQ$1005,1,MATCH(COLUMNS($AB$1006:AJ1006),$AB$1006:$AQ$1006,0))&gt;=100000), " ",IF(INDEX($AB$2:$AQ$1001,MATCH(ROWS($U$2:U279),$U$2:$U$1001,0),MATCH(COLUMNS($AB$1006:AJ1006),$AB$1006:$AQ$1006,0)), HYPERLINK("#",""), HYPERLINK(CONCATENATE("#metadata!", ADDRESS(INDEX($W$2:$W$1001,MATCH(ROWS($U$2:U279),$U$2:$U$1001,0),0), INDEX($AB$1004:$AQ$1004,1,MATCH(COLUMNS($AB$1006:AJ1006),$AB$1006:$AQ$1006,0)))),"Fix")))</f>
        <v>0</v>
      </c>
      <c r="K279" s="4">
        <f>IF(OR(INDEX($V$2:$V$1001,MATCH(ROWS($U$2:U279),$U$2:$U$1001,0),1)&gt;=100000,INDEX($AB$1005:$AQ$1005,1,MATCH(COLUMNS($AB$1006:AK1006),$AB$1006:$AQ$1006,0))&gt;=100000), " ",IF(INDEX($AB$2:$AQ$1001,MATCH(ROWS($U$2:U279),$U$2:$U$1001,0),MATCH(COLUMNS($AB$1006:AK1006),$AB$1006:$AQ$1006,0)), HYPERLINK("#",""), HYPERLINK(CONCATENATE("#metadata!", ADDRESS(INDEX($W$2:$W$1001,MATCH(ROWS($U$2:U279),$U$2:$U$1001,0),0), INDEX($AB$1004:$AQ$1004,1,MATCH(COLUMNS($AB$1006:AK1006),$AB$1006:$AQ$1006,0)))),"Fix")))</f>
        <v>0</v>
      </c>
      <c r="L279" s="4">
        <f>IF(OR(INDEX($V$2:$V$1001,MATCH(ROWS($U$2:U279),$U$2:$U$1001,0),1)&gt;=100000,INDEX($AB$1005:$AQ$1005,1,MATCH(COLUMNS($AB$1006:AL1006),$AB$1006:$AQ$1006,0))&gt;=100000), " ",IF(INDEX($AB$2:$AQ$1001,MATCH(ROWS($U$2:U279),$U$2:$U$1001,0),MATCH(COLUMNS($AB$1006:AL1006),$AB$1006:$AQ$1006,0)), HYPERLINK("#",""), HYPERLINK(CONCATENATE("#metadata!", ADDRESS(INDEX($W$2:$W$1001,MATCH(ROWS($U$2:U279),$U$2:$U$1001,0),0), INDEX($AB$1004:$AQ$1004,1,MATCH(COLUMNS($AB$1006:AL1006),$AB$1006:$AQ$1006,0)))),"Fix")))</f>
        <v>0</v>
      </c>
      <c r="M279" s="4">
        <f>IF(OR(INDEX($V$2:$V$1001,MATCH(ROWS($U$2:U279),$U$2:$U$1001,0),1)&gt;=100000,INDEX($AB$1005:$AQ$1005,1,MATCH(COLUMNS($AB$1006:AM1006),$AB$1006:$AQ$1006,0))&gt;=100000), " ",IF(INDEX($AB$2:$AQ$1001,MATCH(ROWS($U$2:U279),$U$2:$U$1001,0),MATCH(COLUMNS($AB$1006:AM1006),$AB$1006:$AQ$1006,0)), HYPERLINK("#",""), HYPERLINK(CONCATENATE("#metadata!", ADDRESS(INDEX($W$2:$W$1001,MATCH(ROWS($U$2:U279),$U$2:$U$1001,0),0), INDEX($AB$1004:$AQ$1004,1,MATCH(COLUMNS($AB$1006:AM1006),$AB$1006:$AQ$1006,0)))),"Fix")))</f>
        <v>0</v>
      </c>
      <c r="N279" s="4">
        <f>IF(OR(INDEX($V$2:$V$1001,MATCH(ROWS($U$2:U279),$U$2:$U$1001,0),1)&gt;=100000,INDEX($AB$1005:$AQ$1005,1,MATCH(COLUMNS($AB$1006:AN1006),$AB$1006:$AQ$1006,0))&gt;=100000), " ",IF(INDEX($AB$2:$AQ$1001,MATCH(ROWS($U$2:U279),$U$2:$U$1001,0),MATCH(COLUMNS($AB$1006:AN1006),$AB$1006:$AQ$1006,0)), HYPERLINK("#",""), HYPERLINK(CONCATENATE("#metadata!", ADDRESS(INDEX($W$2:$W$1001,MATCH(ROWS($U$2:U279),$U$2:$U$1001,0),0), INDEX($AB$1004:$AQ$1004,1,MATCH(COLUMNS($AB$1006:AN1006),$AB$1006:$AQ$1006,0)))),"Fix")))</f>
        <v>0</v>
      </c>
      <c r="O279" s="4">
        <f>IF(OR(INDEX($V$2:$V$1001,MATCH(ROWS($U$2:U279),$U$2:$U$1001,0),1)&gt;=100000,INDEX($AB$1005:$AQ$1005,1,MATCH(COLUMNS($AB$1006:AO1006),$AB$1006:$AQ$1006,0))&gt;=100000), " ",IF(INDEX($AB$2:$AQ$1001,MATCH(ROWS($U$2:U279),$U$2:$U$1001,0),MATCH(COLUMNS($AB$1006:AO1006),$AB$1006:$AQ$1006,0)), HYPERLINK("#",""), HYPERLINK(CONCATENATE("#metadata!", ADDRESS(INDEX($W$2:$W$1001,MATCH(ROWS($U$2:U279),$U$2:$U$1001,0),0), INDEX($AB$1004:$AQ$1004,1,MATCH(COLUMNS($AB$1006:AO1006),$AB$1006:$AQ$1006,0)))),"Fix")))</f>
        <v>0</v>
      </c>
      <c r="P279" s="4">
        <f>IF(OR(INDEX($V$2:$V$1001,MATCH(ROWS($U$2:U279),$U$2:$U$1001,0),1)&gt;=100000,INDEX($AB$1005:$AQ$1005,1,MATCH(COLUMNS($AB$1006:AP1006),$AB$1006:$AQ$1006,0))&gt;=100000), " ",IF(INDEX($AB$2:$AQ$1001,MATCH(ROWS($U$2:U279),$U$2:$U$1001,0),MATCH(COLUMNS($AB$1006:AP1006),$AB$1006:$AQ$1006,0)), HYPERLINK("#",""), HYPERLINK(CONCATENATE("#metadata!", ADDRESS(INDEX($W$2:$W$1001,MATCH(ROWS($U$2:U279),$U$2:$U$1001,0),0), INDEX($AB$1004:$AQ$1004,1,MATCH(COLUMNS($AB$1006:AP1006),$AB$1006:$AQ$1006,0)))),"Fix")))</f>
        <v>0</v>
      </c>
      <c r="Q279" s="4">
        <f>IF(OR(INDEX($V$2:$V$1001,MATCH(ROWS($U$2:U279),$U$2:$U$1001,0),1)&gt;=100000,INDEX($AB$1005:$AQ$1005,1,MATCH(COLUMNS($AB$1006:AQ1006),$AB$1006:$AQ$1006,0))&gt;=100000), " ",IF(INDEX($AB$2:$AQ$1001,MATCH(ROWS($U$2:U279),$U$2:$U$1001,0),MATCH(COLUMNS($AB$1006:AQ1006),$AB$1006:$AQ$1006,0)), HYPERLINK("#",""), HYPERLINK(CONCATENATE("#metadata!", ADDRESS(INDEX($W$2:$W$1001,MATCH(ROWS($U$2:U279),$U$2:$U$1001,0),0), INDEX($AB$1004:$AQ$1004,1,MATCH(COLUMNS($AB$1006:AQ1006),$AB$1006:$AQ$1006,0)))),"Fix")))</f>
        <v>0</v>
      </c>
      <c r="U279">
        <v>0</v>
      </c>
      <c r="V279">
        <v>0</v>
      </c>
      <c r="W279">
        <v>0</v>
      </c>
      <c r="X279">
        <f>IF(Y279,TRUE,AND(AB279:AQ279))</f>
        <v>0</v>
      </c>
      <c r="Y279">
        <f>COUNTBLANK(metadata!B279:Q279)=COLUMNS(metadata!B279:Q279)</f>
        <v>0</v>
      </c>
      <c r="Z279">
        <v>0</v>
      </c>
      <c r="AB279">
        <f>AND(IF(metadata!B279="",FALSE,TRUE),COUNTIF(metadata!B:B, metadata!B279) = 1,NOT(ISERROR(SUMPRODUCT(SEARCH(MID(metadata!B279,ROW(INDIRECT("1:"&amp;LEN(metadata!B279))), 1),"0123456789abcdefghijklmnopqrstuvwxyzABCDEFGHIJKLMNOPQRSTUVWXYZ.")))))</f>
        <v>0</v>
      </c>
      <c r="AC279">
        <f>OR(AND(IF(metadata!C279="",FALSE,TRUE),OR(exact(metadata!C279,"missing: not collected"),exact(metadata!C279,"missing: not provided"),exact(metadata!C279,"missing: restricted access"))),AND(IF(metadata!C279="",FALSE,TRUE),AND(AND(IFERROR(INT(LEFT(metadata!C279,4))&gt;1900,FALSE),IFERROR(INT(LEFT(metadata!C279,4))&lt;=YEAR(NOW()),FALSE)), OR(MID(metadata!C279,5,1)="", AND(AND(MID(metadata!C279,5,1)="-",IFERROR(INT(MID(metadata!C279,6,1))&gt;=0,FALSE),IFERROR(INT(MID(metadata!C279,6,1))&lt;=1,FALSE),NOT(MID(metadata!C279,7,1)=""),IFERROR(INT(MID(metadata!C279,6,2))&gt;=1,FALSE),IFERROR(INT(MID(metadata!C279,6,2))&lt;=12,FALSE)), OR(MID(metadata!C279,8,1)="", AND(AND(MID(metadata!C279,8,1)="-",IFERROR(INT(MID(metadata!C279,9,1))&gt;=0,FALSE),IFERROR(INT(MID(metadata!C279,9,1))&lt;=3,FALSE),NOT(MID(metadata!C279,10,1)=""),IFERROR(INT(MID(metadata!C279,9,2))&gt;=1,FALSE),IFERROR(INT(MID(metadata!C279,9,2))&lt;=31,FALSE)), OR(MID(metadata!C279,11,1)="", AND(AND(MID(metadata!C279,11,1)=" ",IFERROR(INT(MID(metadata!C279,12,1))&gt;=0,FALSE),IFERROR(INT(MID(metadata!C279,12,1))&lt;=2,FALSE),NOT(MID(metadata!C279,13,1)=""),IFERROR(INT(MID(metadata!C279,12,2))&gt;=0,FALSE),IFERROR(INT(MID(metadata!C279,12,2))&lt;=23,FALSE)), OR(MID(metadata!C279,14,1)="", AND(AND(MID(metadata!C279,14,1)=":",IFERROR(INT(MID(metadata!C279,15,1))&gt;=0,FALSE),IFERROR(INT(MID(metadata!C279,15,1))&lt;=5,FALSE),NOT(MID(metadata!C279,16,1)=""),IFERROR(INT(MID(metadata!C279,15,2))&gt;=0,FALSE),IFERROR(INT(MID(metadata!C279,15,2))&lt;=59,FALSE)), OR(MID(metadata!C279,17,1)="", AND(AND(MID(metadata!C279,17,1)=":",IFERROR(INT(MID(metadata!C279,18,1))&gt;=0,FALSE),IFERROR(INT(MID(metadata!C279,18,1))&lt;=5,FALSE),NOT(MID(metadata!C279,19,1)=""),IFERROR(INT(MID(metadata!C279,18,2))&gt;=0,FALSE),IFERROR(INT(MID(metadata!C279,18,2))&lt;=59,FALSE)), LEN(metadata!C279)&lt;=19)))))))))))))</f>
        <v>0</v>
      </c>
      <c r="AD279">
        <f>IF(metadata!D279="",FALSE,TRUE)</f>
        <v>0</v>
      </c>
      <c r="AE279">
        <f>OR(AND(IF(metadata!E279="",FALSE,TRUE),OR(exact(metadata!E279,"missing: not collected"),exact(metadata!E279,"missing: not provided"))),AND(IF(metadata!E279="",FALSE,TRUE),OR(exact(metadata!E279,"TRUE"),exact(metadata!E279,"FALSE"))))</f>
        <v>0</v>
      </c>
      <c r="AF279">
        <f>IF(metadata!F279="",FALSE,TRUE)</f>
        <v>0</v>
      </c>
      <c r="AG279">
        <f>IF(metadata!G279="",FALSE,TRUE)</f>
        <v>0</v>
      </c>
      <c r="AH279">
        <f>IF(metadata!H279="",FALSE,TRUE)</f>
        <v>0</v>
      </c>
      <c r="AI279">
        <f>OR(AND(IF(metadata!I279="",FALSE,TRUE),OR(exact(metadata!I279,"missing: not collected"),exact(metadata!I279,"missing: not provided"),exact(metadata!I279,"missing: restricted access"))),AND(IF(metadata!I279="",FALSE,TRUE),OR(exact(metadata!I279,"air"),exact(metadata!I279,"built environment"),exact(metadata!I279,"host-associated"),exact(metadata!I279,"human-associated"),exact(metadata!I279,"human-skin"),exact(metadata!I279,"human-oral"),exact(metadata!I279,"human-gut"),exact(metadata!I279,"human-vaginal"),exact(metadata!I279,"microbial mat/biofilm"),exact(metadata!I279,"misc environment"),exact(metadata!I279,"plant-associated"),exact(metadata!I279,"sediment"),exact(metadata!I279,"soil"),exact(metadata!I279,"wastewater/sludge"),exact(metadata!I279,"water"))))</f>
        <v>0</v>
      </c>
      <c r="AJ279">
        <f>IF(metadata!J279="",FALSE,TRUE)</f>
        <v>0</v>
      </c>
      <c r="AK279">
        <f>OR(AND(IF(metadata!K279="",FALSE,TRUE),OR(exact(metadata!K279,"missing: not collected"),exact(metadata!K279,"missing: not provided"),exact(metadata!K279,"missing: restricted access"))),AND(IF(metadata!K279="",FALSE,ISNUMBER(VALUE(metadata!K279))),metadata!K279&gt;=-90.00,metadata!K279&lt;=90.00))</f>
        <v>0</v>
      </c>
      <c r="AL279">
        <f>OR(AND(IF(metadata!L279="",FALSE,TRUE),OR(exact(metadata!L279,"missing: not collected"),exact(metadata!L279,"missing: not provided"),exact(metadata!L279,"missing: restricted access"))),AND(IF(metadata!L279="",FALSE,ISNUMBER(VALUE(metadata!L279))),metadata!L279&gt;=-180.00,metadata!L279&lt;=180.00))</f>
        <v>0</v>
      </c>
      <c r="AM279">
        <f>IF(metadata!M279="",FALSE,TRUE)</f>
        <v>0</v>
      </c>
      <c r="AN279">
        <f>OR(AND(IF(metadata!N279="",FALSE,TRUE),OR(exact(metadata!N279,"missing: not collected"),exact(metadata!N279,"missing: not provided"),exact(metadata!N279,"missing: restricted access"))),AND(IF(metadata!N279="",FALSE,TRUE),OR(exact(metadata!N279,"TRUE"),exact(metadata!N279,"FALSE"))))</f>
        <v>0</v>
      </c>
      <c r="AO279">
        <f>IF(metadata!O279="",FALSE,TRUE)</f>
        <v>0</v>
      </c>
      <c r="AP279">
        <f>OR(AND(IF(metadata!P279="",FALSE,TRUE),OR(exact(metadata!P279,"missing: not collected"),exact(metadata!P279,"missing: not provided"))),AND(IF(metadata!P279="",FALSE,IF(ISERROR(INT(metadata!P279)),FALSE,INT(metadata!P279)=metadata!P279)),metadata!P279&gt;0))</f>
        <v>0</v>
      </c>
      <c r="AQ279">
        <f>IF(metadata!Q279="",FALSE,TRUE)</f>
        <v>0</v>
      </c>
    </row>
    <row r="280" spans="1:43">
      <c r="A280" s="5">
        <f>IF(B280=" "," ",HYPERLINK(CONCATENATE("#metadata!",ADDRESS(INDEX($W$2:$W$1001,MATCH(ROWS($U$2:U280),$U$2:$U$1001,0),0),1)),INDEX($Z$2:$Z$1001,MATCH(ROWS($U$2:U280),$U$2:$U$1001,0),0)))</f>
        <v>0</v>
      </c>
      <c r="B280" s="4">
        <f>IF(OR(INDEX($V$2:$V$1001,MATCH(ROWS($U$2:U280),$U$2:$U$1001,0),1)&gt;=100000,INDEX($AB$1005:$AQ$1005,1,MATCH(COLUMNS($AB$1006:AB1006),$AB$1006:$AQ$1006,0))&gt;=100000), " ",IF(INDEX($AB$2:$AQ$1001,MATCH(ROWS($U$2:U280),$U$2:$U$1001,0),MATCH(COLUMNS($AB$1006:AB1006),$AB$1006:$AQ$1006,0)), HYPERLINK("#",""), HYPERLINK(CONCATENATE("#metadata!", ADDRESS(INDEX($W$2:$W$1001,MATCH(ROWS($U$2:U280),$U$2:$U$1001,0),0), INDEX($AB$1004:$AQ$1004,1,MATCH(COLUMNS($AB$1006:AB1006),$AB$1006:$AQ$1006,0)))),"Fix")))</f>
        <v>0</v>
      </c>
      <c r="C280" s="4">
        <f>IF(OR(INDEX($V$2:$V$1001,MATCH(ROWS($U$2:U280),$U$2:$U$1001,0),1)&gt;=100000,INDEX($AB$1005:$AQ$1005,1,MATCH(COLUMNS($AB$1006:AC1006),$AB$1006:$AQ$1006,0))&gt;=100000), " ",IF(INDEX($AB$2:$AQ$1001,MATCH(ROWS($U$2:U280),$U$2:$U$1001,0),MATCH(COLUMNS($AB$1006:AC1006),$AB$1006:$AQ$1006,0)), HYPERLINK("#",""), HYPERLINK(CONCATENATE("#metadata!", ADDRESS(INDEX($W$2:$W$1001,MATCH(ROWS($U$2:U280),$U$2:$U$1001,0),0), INDEX($AB$1004:$AQ$1004,1,MATCH(COLUMNS($AB$1006:AC1006),$AB$1006:$AQ$1006,0)))),"Fix")))</f>
        <v>0</v>
      </c>
      <c r="D280" s="4">
        <f>IF(OR(INDEX($V$2:$V$1001,MATCH(ROWS($U$2:U280),$U$2:$U$1001,0),1)&gt;=100000,INDEX($AB$1005:$AQ$1005,1,MATCH(COLUMNS($AB$1006:AD1006),$AB$1006:$AQ$1006,0))&gt;=100000), " ",IF(INDEX($AB$2:$AQ$1001,MATCH(ROWS($U$2:U280),$U$2:$U$1001,0),MATCH(COLUMNS($AB$1006:AD1006),$AB$1006:$AQ$1006,0)), HYPERLINK("#",""), HYPERLINK(CONCATENATE("#metadata!", ADDRESS(INDEX($W$2:$W$1001,MATCH(ROWS($U$2:U280),$U$2:$U$1001,0),0), INDEX($AB$1004:$AQ$1004,1,MATCH(COLUMNS($AB$1006:AD1006),$AB$1006:$AQ$1006,0)))),"Fix")))</f>
        <v>0</v>
      </c>
      <c r="E280" s="4">
        <f>IF(OR(INDEX($V$2:$V$1001,MATCH(ROWS($U$2:U280),$U$2:$U$1001,0),1)&gt;=100000,INDEX($AB$1005:$AQ$1005,1,MATCH(COLUMNS($AB$1006:AE1006),$AB$1006:$AQ$1006,0))&gt;=100000), " ",IF(INDEX($AB$2:$AQ$1001,MATCH(ROWS($U$2:U280),$U$2:$U$1001,0),MATCH(COLUMNS($AB$1006:AE1006),$AB$1006:$AQ$1006,0)), HYPERLINK("#",""), HYPERLINK(CONCATENATE("#metadata!", ADDRESS(INDEX($W$2:$W$1001,MATCH(ROWS($U$2:U280),$U$2:$U$1001,0),0), INDEX($AB$1004:$AQ$1004,1,MATCH(COLUMNS($AB$1006:AE1006),$AB$1006:$AQ$1006,0)))),"Fix")))</f>
        <v>0</v>
      </c>
      <c r="F280" s="4">
        <f>IF(OR(INDEX($V$2:$V$1001,MATCH(ROWS($U$2:U280),$U$2:$U$1001,0),1)&gt;=100000,INDEX($AB$1005:$AQ$1005,1,MATCH(COLUMNS($AB$1006:AF1006),$AB$1006:$AQ$1006,0))&gt;=100000), " ",IF(INDEX($AB$2:$AQ$1001,MATCH(ROWS($U$2:U280),$U$2:$U$1001,0),MATCH(COLUMNS($AB$1006:AF1006),$AB$1006:$AQ$1006,0)), HYPERLINK("#",""), HYPERLINK(CONCATENATE("#metadata!", ADDRESS(INDEX($W$2:$W$1001,MATCH(ROWS($U$2:U280),$U$2:$U$1001,0),0), INDEX($AB$1004:$AQ$1004,1,MATCH(COLUMNS($AB$1006:AF1006),$AB$1006:$AQ$1006,0)))),"Fix")))</f>
        <v>0</v>
      </c>
      <c r="G280" s="4">
        <f>IF(OR(INDEX($V$2:$V$1001,MATCH(ROWS($U$2:U280),$U$2:$U$1001,0),1)&gt;=100000,INDEX($AB$1005:$AQ$1005,1,MATCH(COLUMNS($AB$1006:AG1006),$AB$1006:$AQ$1006,0))&gt;=100000), " ",IF(INDEX($AB$2:$AQ$1001,MATCH(ROWS($U$2:U280),$U$2:$U$1001,0),MATCH(COLUMNS($AB$1006:AG1006),$AB$1006:$AQ$1006,0)), HYPERLINK("#",""), HYPERLINK(CONCATENATE("#metadata!", ADDRESS(INDEX($W$2:$W$1001,MATCH(ROWS($U$2:U280),$U$2:$U$1001,0),0), INDEX($AB$1004:$AQ$1004,1,MATCH(COLUMNS($AB$1006:AG1006),$AB$1006:$AQ$1006,0)))),"Fix")))</f>
        <v>0</v>
      </c>
      <c r="H280" s="4">
        <f>IF(OR(INDEX($V$2:$V$1001,MATCH(ROWS($U$2:U280),$U$2:$U$1001,0),1)&gt;=100000,INDEX($AB$1005:$AQ$1005,1,MATCH(COLUMNS($AB$1006:AH1006),$AB$1006:$AQ$1006,0))&gt;=100000), " ",IF(INDEX($AB$2:$AQ$1001,MATCH(ROWS($U$2:U280),$U$2:$U$1001,0),MATCH(COLUMNS($AB$1006:AH1006),$AB$1006:$AQ$1006,0)), HYPERLINK("#",""), HYPERLINK(CONCATENATE("#metadata!", ADDRESS(INDEX($W$2:$W$1001,MATCH(ROWS($U$2:U280),$U$2:$U$1001,0),0), INDEX($AB$1004:$AQ$1004,1,MATCH(COLUMNS($AB$1006:AH1006),$AB$1006:$AQ$1006,0)))),"Fix")))</f>
        <v>0</v>
      </c>
      <c r="I280" s="4">
        <f>IF(OR(INDEX($V$2:$V$1001,MATCH(ROWS($U$2:U280),$U$2:$U$1001,0),1)&gt;=100000,INDEX($AB$1005:$AQ$1005,1,MATCH(COLUMNS($AB$1006:AI1006),$AB$1006:$AQ$1006,0))&gt;=100000), " ",IF(INDEX($AB$2:$AQ$1001,MATCH(ROWS($U$2:U280),$U$2:$U$1001,0),MATCH(COLUMNS($AB$1006:AI1006),$AB$1006:$AQ$1006,0)), HYPERLINK("#",""), HYPERLINK(CONCATENATE("#metadata!", ADDRESS(INDEX($W$2:$W$1001,MATCH(ROWS($U$2:U280),$U$2:$U$1001,0),0), INDEX($AB$1004:$AQ$1004,1,MATCH(COLUMNS($AB$1006:AI1006),$AB$1006:$AQ$1006,0)))),"Fix")))</f>
        <v>0</v>
      </c>
      <c r="J280" s="4">
        <f>IF(OR(INDEX($V$2:$V$1001,MATCH(ROWS($U$2:U280),$U$2:$U$1001,0),1)&gt;=100000,INDEX($AB$1005:$AQ$1005,1,MATCH(COLUMNS($AB$1006:AJ1006),$AB$1006:$AQ$1006,0))&gt;=100000), " ",IF(INDEX($AB$2:$AQ$1001,MATCH(ROWS($U$2:U280),$U$2:$U$1001,0),MATCH(COLUMNS($AB$1006:AJ1006),$AB$1006:$AQ$1006,0)), HYPERLINK("#",""), HYPERLINK(CONCATENATE("#metadata!", ADDRESS(INDEX($W$2:$W$1001,MATCH(ROWS($U$2:U280),$U$2:$U$1001,0),0), INDEX($AB$1004:$AQ$1004,1,MATCH(COLUMNS($AB$1006:AJ1006),$AB$1006:$AQ$1006,0)))),"Fix")))</f>
        <v>0</v>
      </c>
      <c r="K280" s="4">
        <f>IF(OR(INDEX($V$2:$V$1001,MATCH(ROWS($U$2:U280),$U$2:$U$1001,0),1)&gt;=100000,INDEX($AB$1005:$AQ$1005,1,MATCH(COLUMNS($AB$1006:AK1006),$AB$1006:$AQ$1006,0))&gt;=100000), " ",IF(INDEX($AB$2:$AQ$1001,MATCH(ROWS($U$2:U280),$U$2:$U$1001,0),MATCH(COLUMNS($AB$1006:AK1006),$AB$1006:$AQ$1006,0)), HYPERLINK("#",""), HYPERLINK(CONCATENATE("#metadata!", ADDRESS(INDEX($W$2:$W$1001,MATCH(ROWS($U$2:U280),$U$2:$U$1001,0),0), INDEX($AB$1004:$AQ$1004,1,MATCH(COLUMNS($AB$1006:AK1006),$AB$1006:$AQ$1006,0)))),"Fix")))</f>
        <v>0</v>
      </c>
      <c r="L280" s="4">
        <f>IF(OR(INDEX($V$2:$V$1001,MATCH(ROWS($U$2:U280),$U$2:$U$1001,0),1)&gt;=100000,INDEX($AB$1005:$AQ$1005,1,MATCH(COLUMNS($AB$1006:AL1006),$AB$1006:$AQ$1006,0))&gt;=100000), " ",IF(INDEX($AB$2:$AQ$1001,MATCH(ROWS($U$2:U280),$U$2:$U$1001,0),MATCH(COLUMNS($AB$1006:AL1006),$AB$1006:$AQ$1006,0)), HYPERLINK("#",""), HYPERLINK(CONCATENATE("#metadata!", ADDRESS(INDEX($W$2:$W$1001,MATCH(ROWS($U$2:U280),$U$2:$U$1001,0),0), INDEX($AB$1004:$AQ$1004,1,MATCH(COLUMNS($AB$1006:AL1006),$AB$1006:$AQ$1006,0)))),"Fix")))</f>
        <v>0</v>
      </c>
      <c r="M280" s="4">
        <f>IF(OR(INDEX($V$2:$V$1001,MATCH(ROWS($U$2:U280),$U$2:$U$1001,0),1)&gt;=100000,INDEX($AB$1005:$AQ$1005,1,MATCH(COLUMNS($AB$1006:AM1006),$AB$1006:$AQ$1006,0))&gt;=100000), " ",IF(INDEX($AB$2:$AQ$1001,MATCH(ROWS($U$2:U280),$U$2:$U$1001,0),MATCH(COLUMNS($AB$1006:AM1006),$AB$1006:$AQ$1006,0)), HYPERLINK("#",""), HYPERLINK(CONCATENATE("#metadata!", ADDRESS(INDEX($W$2:$W$1001,MATCH(ROWS($U$2:U280),$U$2:$U$1001,0),0), INDEX($AB$1004:$AQ$1004,1,MATCH(COLUMNS($AB$1006:AM1006),$AB$1006:$AQ$1006,0)))),"Fix")))</f>
        <v>0</v>
      </c>
      <c r="N280" s="4">
        <f>IF(OR(INDEX($V$2:$V$1001,MATCH(ROWS($U$2:U280),$U$2:$U$1001,0),1)&gt;=100000,INDEX($AB$1005:$AQ$1005,1,MATCH(COLUMNS($AB$1006:AN1006),$AB$1006:$AQ$1006,0))&gt;=100000), " ",IF(INDEX($AB$2:$AQ$1001,MATCH(ROWS($U$2:U280),$U$2:$U$1001,0),MATCH(COLUMNS($AB$1006:AN1006),$AB$1006:$AQ$1006,0)), HYPERLINK("#",""), HYPERLINK(CONCATENATE("#metadata!", ADDRESS(INDEX($W$2:$W$1001,MATCH(ROWS($U$2:U280),$U$2:$U$1001,0),0), INDEX($AB$1004:$AQ$1004,1,MATCH(COLUMNS($AB$1006:AN1006),$AB$1006:$AQ$1006,0)))),"Fix")))</f>
        <v>0</v>
      </c>
      <c r="O280" s="4">
        <f>IF(OR(INDEX($V$2:$V$1001,MATCH(ROWS($U$2:U280),$U$2:$U$1001,0),1)&gt;=100000,INDEX($AB$1005:$AQ$1005,1,MATCH(COLUMNS($AB$1006:AO1006),$AB$1006:$AQ$1006,0))&gt;=100000), " ",IF(INDEX($AB$2:$AQ$1001,MATCH(ROWS($U$2:U280),$U$2:$U$1001,0),MATCH(COLUMNS($AB$1006:AO1006),$AB$1006:$AQ$1006,0)), HYPERLINK("#",""), HYPERLINK(CONCATENATE("#metadata!", ADDRESS(INDEX($W$2:$W$1001,MATCH(ROWS($U$2:U280),$U$2:$U$1001,0),0), INDEX($AB$1004:$AQ$1004,1,MATCH(COLUMNS($AB$1006:AO1006),$AB$1006:$AQ$1006,0)))),"Fix")))</f>
        <v>0</v>
      </c>
      <c r="P280" s="4">
        <f>IF(OR(INDEX($V$2:$V$1001,MATCH(ROWS($U$2:U280),$U$2:$U$1001,0),1)&gt;=100000,INDEX($AB$1005:$AQ$1005,1,MATCH(COLUMNS($AB$1006:AP1006),$AB$1006:$AQ$1006,0))&gt;=100000), " ",IF(INDEX($AB$2:$AQ$1001,MATCH(ROWS($U$2:U280),$U$2:$U$1001,0),MATCH(COLUMNS($AB$1006:AP1006),$AB$1006:$AQ$1006,0)), HYPERLINK("#",""), HYPERLINK(CONCATENATE("#metadata!", ADDRESS(INDEX($W$2:$W$1001,MATCH(ROWS($U$2:U280),$U$2:$U$1001,0),0), INDEX($AB$1004:$AQ$1004,1,MATCH(COLUMNS($AB$1006:AP1006),$AB$1006:$AQ$1006,0)))),"Fix")))</f>
        <v>0</v>
      </c>
      <c r="Q280" s="4">
        <f>IF(OR(INDEX($V$2:$V$1001,MATCH(ROWS($U$2:U280),$U$2:$U$1001,0),1)&gt;=100000,INDEX($AB$1005:$AQ$1005,1,MATCH(COLUMNS($AB$1006:AQ1006),$AB$1006:$AQ$1006,0))&gt;=100000), " ",IF(INDEX($AB$2:$AQ$1001,MATCH(ROWS($U$2:U280),$U$2:$U$1001,0),MATCH(COLUMNS($AB$1006:AQ1006),$AB$1006:$AQ$1006,0)), HYPERLINK("#",""), HYPERLINK(CONCATENATE("#metadata!", ADDRESS(INDEX($W$2:$W$1001,MATCH(ROWS($U$2:U280),$U$2:$U$1001,0),0), INDEX($AB$1004:$AQ$1004,1,MATCH(COLUMNS($AB$1006:AQ1006),$AB$1006:$AQ$1006,0)))),"Fix")))</f>
        <v>0</v>
      </c>
      <c r="U280">
        <v>0</v>
      </c>
      <c r="V280">
        <v>0</v>
      </c>
      <c r="W280">
        <v>0</v>
      </c>
      <c r="X280">
        <f>IF(Y280,TRUE,AND(AB280:AQ280))</f>
        <v>0</v>
      </c>
      <c r="Y280">
        <f>COUNTBLANK(metadata!B280:Q280)=COLUMNS(metadata!B280:Q280)</f>
        <v>0</v>
      </c>
      <c r="Z280">
        <v>0</v>
      </c>
      <c r="AB280">
        <f>AND(IF(metadata!B280="",FALSE,TRUE),COUNTIF(metadata!B:B, metadata!B280) = 1,NOT(ISERROR(SUMPRODUCT(SEARCH(MID(metadata!B280,ROW(INDIRECT("1:"&amp;LEN(metadata!B280))), 1),"0123456789abcdefghijklmnopqrstuvwxyzABCDEFGHIJKLMNOPQRSTUVWXYZ.")))))</f>
        <v>0</v>
      </c>
      <c r="AC280">
        <f>OR(AND(IF(metadata!C280="",FALSE,TRUE),OR(exact(metadata!C280,"missing: not collected"),exact(metadata!C280,"missing: not provided"),exact(metadata!C280,"missing: restricted access"))),AND(IF(metadata!C280="",FALSE,TRUE),AND(AND(IFERROR(INT(LEFT(metadata!C280,4))&gt;1900,FALSE),IFERROR(INT(LEFT(metadata!C280,4))&lt;=YEAR(NOW()),FALSE)), OR(MID(metadata!C280,5,1)="", AND(AND(MID(metadata!C280,5,1)="-",IFERROR(INT(MID(metadata!C280,6,1))&gt;=0,FALSE),IFERROR(INT(MID(metadata!C280,6,1))&lt;=1,FALSE),NOT(MID(metadata!C280,7,1)=""),IFERROR(INT(MID(metadata!C280,6,2))&gt;=1,FALSE),IFERROR(INT(MID(metadata!C280,6,2))&lt;=12,FALSE)), OR(MID(metadata!C280,8,1)="", AND(AND(MID(metadata!C280,8,1)="-",IFERROR(INT(MID(metadata!C280,9,1))&gt;=0,FALSE),IFERROR(INT(MID(metadata!C280,9,1))&lt;=3,FALSE),NOT(MID(metadata!C280,10,1)=""),IFERROR(INT(MID(metadata!C280,9,2))&gt;=1,FALSE),IFERROR(INT(MID(metadata!C280,9,2))&lt;=31,FALSE)), OR(MID(metadata!C280,11,1)="", AND(AND(MID(metadata!C280,11,1)=" ",IFERROR(INT(MID(metadata!C280,12,1))&gt;=0,FALSE),IFERROR(INT(MID(metadata!C280,12,1))&lt;=2,FALSE),NOT(MID(metadata!C280,13,1)=""),IFERROR(INT(MID(metadata!C280,12,2))&gt;=0,FALSE),IFERROR(INT(MID(metadata!C280,12,2))&lt;=23,FALSE)), OR(MID(metadata!C280,14,1)="", AND(AND(MID(metadata!C280,14,1)=":",IFERROR(INT(MID(metadata!C280,15,1))&gt;=0,FALSE),IFERROR(INT(MID(metadata!C280,15,1))&lt;=5,FALSE),NOT(MID(metadata!C280,16,1)=""),IFERROR(INT(MID(metadata!C280,15,2))&gt;=0,FALSE),IFERROR(INT(MID(metadata!C280,15,2))&lt;=59,FALSE)), OR(MID(metadata!C280,17,1)="", AND(AND(MID(metadata!C280,17,1)=":",IFERROR(INT(MID(metadata!C280,18,1))&gt;=0,FALSE),IFERROR(INT(MID(metadata!C280,18,1))&lt;=5,FALSE),NOT(MID(metadata!C280,19,1)=""),IFERROR(INT(MID(metadata!C280,18,2))&gt;=0,FALSE),IFERROR(INT(MID(metadata!C280,18,2))&lt;=59,FALSE)), LEN(metadata!C280)&lt;=19)))))))))))))</f>
        <v>0</v>
      </c>
      <c r="AD280">
        <f>IF(metadata!D280="",FALSE,TRUE)</f>
        <v>0</v>
      </c>
      <c r="AE280">
        <f>OR(AND(IF(metadata!E280="",FALSE,TRUE),OR(exact(metadata!E280,"missing: not collected"),exact(metadata!E280,"missing: not provided"))),AND(IF(metadata!E280="",FALSE,TRUE),OR(exact(metadata!E280,"TRUE"),exact(metadata!E280,"FALSE"))))</f>
        <v>0</v>
      </c>
      <c r="AF280">
        <f>IF(metadata!F280="",FALSE,TRUE)</f>
        <v>0</v>
      </c>
      <c r="AG280">
        <f>IF(metadata!G280="",FALSE,TRUE)</f>
        <v>0</v>
      </c>
      <c r="AH280">
        <f>IF(metadata!H280="",FALSE,TRUE)</f>
        <v>0</v>
      </c>
      <c r="AI280">
        <f>OR(AND(IF(metadata!I280="",FALSE,TRUE),OR(exact(metadata!I280,"missing: not collected"),exact(metadata!I280,"missing: not provided"),exact(metadata!I280,"missing: restricted access"))),AND(IF(metadata!I280="",FALSE,TRUE),OR(exact(metadata!I280,"air"),exact(metadata!I280,"built environment"),exact(metadata!I280,"host-associated"),exact(metadata!I280,"human-associated"),exact(metadata!I280,"human-skin"),exact(metadata!I280,"human-oral"),exact(metadata!I280,"human-gut"),exact(metadata!I280,"human-vaginal"),exact(metadata!I280,"microbial mat/biofilm"),exact(metadata!I280,"misc environment"),exact(metadata!I280,"plant-associated"),exact(metadata!I280,"sediment"),exact(metadata!I280,"soil"),exact(metadata!I280,"wastewater/sludge"),exact(metadata!I280,"water"))))</f>
        <v>0</v>
      </c>
      <c r="AJ280">
        <f>IF(metadata!J280="",FALSE,TRUE)</f>
        <v>0</v>
      </c>
      <c r="AK280">
        <f>OR(AND(IF(metadata!K280="",FALSE,TRUE),OR(exact(metadata!K280,"missing: not collected"),exact(metadata!K280,"missing: not provided"),exact(metadata!K280,"missing: restricted access"))),AND(IF(metadata!K280="",FALSE,ISNUMBER(VALUE(metadata!K280))),metadata!K280&gt;=-90.00,metadata!K280&lt;=90.00))</f>
        <v>0</v>
      </c>
      <c r="AL280">
        <f>OR(AND(IF(metadata!L280="",FALSE,TRUE),OR(exact(metadata!L280,"missing: not collected"),exact(metadata!L280,"missing: not provided"),exact(metadata!L280,"missing: restricted access"))),AND(IF(metadata!L280="",FALSE,ISNUMBER(VALUE(metadata!L280))),metadata!L280&gt;=-180.00,metadata!L280&lt;=180.00))</f>
        <v>0</v>
      </c>
      <c r="AM280">
        <f>IF(metadata!M280="",FALSE,TRUE)</f>
        <v>0</v>
      </c>
      <c r="AN280">
        <f>OR(AND(IF(metadata!N280="",FALSE,TRUE),OR(exact(metadata!N280,"missing: not collected"),exact(metadata!N280,"missing: not provided"),exact(metadata!N280,"missing: restricted access"))),AND(IF(metadata!N280="",FALSE,TRUE),OR(exact(metadata!N280,"TRUE"),exact(metadata!N280,"FALSE"))))</f>
        <v>0</v>
      </c>
      <c r="AO280">
        <f>IF(metadata!O280="",FALSE,TRUE)</f>
        <v>0</v>
      </c>
      <c r="AP280">
        <f>OR(AND(IF(metadata!P280="",FALSE,TRUE),OR(exact(metadata!P280,"missing: not collected"),exact(metadata!P280,"missing: not provided"))),AND(IF(metadata!P280="",FALSE,IF(ISERROR(INT(metadata!P280)),FALSE,INT(metadata!P280)=metadata!P280)),metadata!P280&gt;0))</f>
        <v>0</v>
      </c>
      <c r="AQ280">
        <f>IF(metadata!Q280="",FALSE,TRUE)</f>
        <v>0</v>
      </c>
    </row>
    <row r="281" spans="1:43">
      <c r="A281" s="5">
        <f>IF(B281=" "," ",HYPERLINK(CONCATENATE("#metadata!",ADDRESS(INDEX($W$2:$W$1001,MATCH(ROWS($U$2:U281),$U$2:$U$1001,0),0),1)),INDEX($Z$2:$Z$1001,MATCH(ROWS($U$2:U281),$U$2:$U$1001,0),0)))</f>
        <v>0</v>
      </c>
      <c r="B281" s="4">
        <f>IF(OR(INDEX($V$2:$V$1001,MATCH(ROWS($U$2:U281),$U$2:$U$1001,0),1)&gt;=100000,INDEX($AB$1005:$AQ$1005,1,MATCH(COLUMNS($AB$1006:AB1006),$AB$1006:$AQ$1006,0))&gt;=100000), " ",IF(INDEX($AB$2:$AQ$1001,MATCH(ROWS($U$2:U281),$U$2:$U$1001,0),MATCH(COLUMNS($AB$1006:AB1006),$AB$1006:$AQ$1006,0)), HYPERLINK("#",""), HYPERLINK(CONCATENATE("#metadata!", ADDRESS(INDEX($W$2:$W$1001,MATCH(ROWS($U$2:U281),$U$2:$U$1001,0),0), INDEX($AB$1004:$AQ$1004,1,MATCH(COLUMNS($AB$1006:AB1006),$AB$1006:$AQ$1006,0)))),"Fix")))</f>
        <v>0</v>
      </c>
      <c r="C281" s="4">
        <f>IF(OR(INDEX($V$2:$V$1001,MATCH(ROWS($U$2:U281),$U$2:$U$1001,0),1)&gt;=100000,INDEX($AB$1005:$AQ$1005,1,MATCH(COLUMNS($AB$1006:AC1006),$AB$1006:$AQ$1006,0))&gt;=100000), " ",IF(INDEX($AB$2:$AQ$1001,MATCH(ROWS($U$2:U281),$U$2:$U$1001,0),MATCH(COLUMNS($AB$1006:AC1006),$AB$1006:$AQ$1006,0)), HYPERLINK("#",""), HYPERLINK(CONCATENATE("#metadata!", ADDRESS(INDEX($W$2:$W$1001,MATCH(ROWS($U$2:U281),$U$2:$U$1001,0),0), INDEX($AB$1004:$AQ$1004,1,MATCH(COLUMNS($AB$1006:AC1006),$AB$1006:$AQ$1006,0)))),"Fix")))</f>
        <v>0</v>
      </c>
      <c r="D281" s="4">
        <f>IF(OR(INDEX($V$2:$V$1001,MATCH(ROWS($U$2:U281),$U$2:$U$1001,0),1)&gt;=100000,INDEX($AB$1005:$AQ$1005,1,MATCH(COLUMNS($AB$1006:AD1006),$AB$1006:$AQ$1006,0))&gt;=100000), " ",IF(INDEX($AB$2:$AQ$1001,MATCH(ROWS($U$2:U281),$U$2:$U$1001,0),MATCH(COLUMNS($AB$1006:AD1006),$AB$1006:$AQ$1006,0)), HYPERLINK("#",""), HYPERLINK(CONCATENATE("#metadata!", ADDRESS(INDEX($W$2:$W$1001,MATCH(ROWS($U$2:U281),$U$2:$U$1001,0),0), INDEX($AB$1004:$AQ$1004,1,MATCH(COLUMNS($AB$1006:AD1006),$AB$1006:$AQ$1006,0)))),"Fix")))</f>
        <v>0</v>
      </c>
      <c r="E281" s="4">
        <f>IF(OR(INDEX($V$2:$V$1001,MATCH(ROWS($U$2:U281),$U$2:$U$1001,0),1)&gt;=100000,INDEX($AB$1005:$AQ$1005,1,MATCH(COLUMNS($AB$1006:AE1006),$AB$1006:$AQ$1006,0))&gt;=100000), " ",IF(INDEX($AB$2:$AQ$1001,MATCH(ROWS($U$2:U281),$U$2:$U$1001,0),MATCH(COLUMNS($AB$1006:AE1006),$AB$1006:$AQ$1006,0)), HYPERLINK("#",""), HYPERLINK(CONCATENATE("#metadata!", ADDRESS(INDEX($W$2:$W$1001,MATCH(ROWS($U$2:U281),$U$2:$U$1001,0),0), INDEX($AB$1004:$AQ$1004,1,MATCH(COLUMNS($AB$1006:AE1006),$AB$1006:$AQ$1006,0)))),"Fix")))</f>
        <v>0</v>
      </c>
      <c r="F281" s="4">
        <f>IF(OR(INDEX($V$2:$V$1001,MATCH(ROWS($U$2:U281),$U$2:$U$1001,0),1)&gt;=100000,INDEX($AB$1005:$AQ$1005,1,MATCH(COLUMNS($AB$1006:AF1006),$AB$1006:$AQ$1006,0))&gt;=100000), " ",IF(INDEX($AB$2:$AQ$1001,MATCH(ROWS($U$2:U281),$U$2:$U$1001,0),MATCH(COLUMNS($AB$1006:AF1006),$AB$1006:$AQ$1006,0)), HYPERLINK("#",""), HYPERLINK(CONCATENATE("#metadata!", ADDRESS(INDEX($W$2:$W$1001,MATCH(ROWS($U$2:U281),$U$2:$U$1001,0),0), INDEX($AB$1004:$AQ$1004,1,MATCH(COLUMNS($AB$1006:AF1006),$AB$1006:$AQ$1006,0)))),"Fix")))</f>
        <v>0</v>
      </c>
      <c r="G281" s="4">
        <f>IF(OR(INDEX($V$2:$V$1001,MATCH(ROWS($U$2:U281),$U$2:$U$1001,0),1)&gt;=100000,INDEX($AB$1005:$AQ$1005,1,MATCH(COLUMNS($AB$1006:AG1006),$AB$1006:$AQ$1006,0))&gt;=100000), " ",IF(INDEX($AB$2:$AQ$1001,MATCH(ROWS($U$2:U281),$U$2:$U$1001,0),MATCH(COLUMNS($AB$1006:AG1006),$AB$1006:$AQ$1006,0)), HYPERLINK("#",""), HYPERLINK(CONCATENATE("#metadata!", ADDRESS(INDEX($W$2:$W$1001,MATCH(ROWS($U$2:U281),$U$2:$U$1001,0),0), INDEX($AB$1004:$AQ$1004,1,MATCH(COLUMNS($AB$1006:AG1006),$AB$1006:$AQ$1006,0)))),"Fix")))</f>
        <v>0</v>
      </c>
      <c r="H281" s="4">
        <f>IF(OR(INDEX($V$2:$V$1001,MATCH(ROWS($U$2:U281),$U$2:$U$1001,0),1)&gt;=100000,INDEX($AB$1005:$AQ$1005,1,MATCH(COLUMNS($AB$1006:AH1006),$AB$1006:$AQ$1006,0))&gt;=100000), " ",IF(INDEX($AB$2:$AQ$1001,MATCH(ROWS($U$2:U281),$U$2:$U$1001,0),MATCH(COLUMNS($AB$1006:AH1006),$AB$1006:$AQ$1006,0)), HYPERLINK("#",""), HYPERLINK(CONCATENATE("#metadata!", ADDRESS(INDEX($W$2:$W$1001,MATCH(ROWS($U$2:U281),$U$2:$U$1001,0),0), INDEX($AB$1004:$AQ$1004,1,MATCH(COLUMNS($AB$1006:AH1006),$AB$1006:$AQ$1006,0)))),"Fix")))</f>
        <v>0</v>
      </c>
      <c r="I281" s="4">
        <f>IF(OR(INDEX($V$2:$V$1001,MATCH(ROWS($U$2:U281),$U$2:$U$1001,0),1)&gt;=100000,INDEX($AB$1005:$AQ$1005,1,MATCH(COLUMNS($AB$1006:AI1006),$AB$1006:$AQ$1006,0))&gt;=100000), " ",IF(INDEX($AB$2:$AQ$1001,MATCH(ROWS($U$2:U281),$U$2:$U$1001,0),MATCH(COLUMNS($AB$1006:AI1006),$AB$1006:$AQ$1006,0)), HYPERLINK("#",""), HYPERLINK(CONCATENATE("#metadata!", ADDRESS(INDEX($W$2:$W$1001,MATCH(ROWS($U$2:U281),$U$2:$U$1001,0),0), INDEX($AB$1004:$AQ$1004,1,MATCH(COLUMNS($AB$1006:AI1006),$AB$1006:$AQ$1006,0)))),"Fix")))</f>
        <v>0</v>
      </c>
      <c r="J281" s="4">
        <f>IF(OR(INDEX($V$2:$V$1001,MATCH(ROWS($U$2:U281),$U$2:$U$1001,0),1)&gt;=100000,INDEX($AB$1005:$AQ$1005,1,MATCH(COLUMNS($AB$1006:AJ1006),$AB$1006:$AQ$1006,0))&gt;=100000), " ",IF(INDEX($AB$2:$AQ$1001,MATCH(ROWS($U$2:U281),$U$2:$U$1001,0),MATCH(COLUMNS($AB$1006:AJ1006),$AB$1006:$AQ$1006,0)), HYPERLINK("#",""), HYPERLINK(CONCATENATE("#metadata!", ADDRESS(INDEX($W$2:$W$1001,MATCH(ROWS($U$2:U281),$U$2:$U$1001,0),0), INDEX($AB$1004:$AQ$1004,1,MATCH(COLUMNS($AB$1006:AJ1006),$AB$1006:$AQ$1006,0)))),"Fix")))</f>
        <v>0</v>
      </c>
      <c r="K281" s="4">
        <f>IF(OR(INDEX($V$2:$V$1001,MATCH(ROWS($U$2:U281),$U$2:$U$1001,0),1)&gt;=100000,INDEX($AB$1005:$AQ$1005,1,MATCH(COLUMNS($AB$1006:AK1006),$AB$1006:$AQ$1006,0))&gt;=100000), " ",IF(INDEX($AB$2:$AQ$1001,MATCH(ROWS($U$2:U281),$U$2:$U$1001,0),MATCH(COLUMNS($AB$1006:AK1006),$AB$1006:$AQ$1006,0)), HYPERLINK("#",""), HYPERLINK(CONCATENATE("#metadata!", ADDRESS(INDEX($W$2:$W$1001,MATCH(ROWS($U$2:U281),$U$2:$U$1001,0),0), INDEX($AB$1004:$AQ$1004,1,MATCH(COLUMNS($AB$1006:AK1006),$AB$1006:$AQ$1006,0)))),"Fix")))</f>
        <v>0</v>
      </c>
      <c r="L281" s="4">
        <f>IF(OR(INDEX($V$2:$V$1001,MATCH(ROWS($U$2:U281),$U$2:$U$1001,0),1)&gt;=100000,INDEX($AB$1005:$AQ$1005,1,MATCH(COLUMNS($AB$1006:AL1006),$AB$1006:$AQ$1006,0))&gt;=100000), " ",IF(INDEX($AB$2:$AQ$1001,MATCH(ROWS($U$2:U281),$U$2:$U$1001,0),MATCH(COLUMNS($AB$1006:AL1006),$AB$1006:$AQ$1006,0)), HYPERLINK("#",""), HYPERLINK(CONCATENATE("#metadata!", ADDRESS(INDEX($W$2:$W$1001,MATCH(ROWS($U$2:U281),$U$2:$U$1001,0),0), INDEX($AB$1004:$AQ$1004,1,MATCH(COLUMNS($AB$1006:AL1006),$AB$1006:$AQ$1006,0)))),"Fix")))</f>
        <v>0</v>
      </c>
      <c r="M281" s="4">
        <f>IF(OR(INDEX($V$2:$V$1001,MATCH(ROWS($U$2:U281),$U$2:$U$1001,0),1)&gt;=100000,INDEX($AB$1005:$AQ$1005,1,MATCH(COLUMNS($AB$1006:AM1006),$AB$1006:$AQ$1006,0))&gt;=100000), " ",IF(INDEX($AB$2:$AQ$1001,MATCH(ROWS($U$2:U281),$U$2:$U$1001,0),MATCH(COLUMNS($AB$1006:AM1006),$AB$1006:$AQ$1006,0)), HYPERLINK("#",""), HYPERLINK(CONCATENATE("#metadata!", ADDRESS(INDEX($W$2:$W$1001,MATCH(ROWS($U$2:U281),$U$2:$U$1001,0),0), INDEX($AB$1004:$AQ$1004,1,MATCH(COLUMNS($AB$1006:AM1006),$AB$1006:$AQ$1006,0)))),"Fix")))</f>
        <v>0</v>
      </c>
      <c r="N281" s="4">
        <f>IF(OR(INDEX($V$2:$V$1001,MATCH(ROWS($U$2:U281),$U$2:$U$1001,0),1)&gt;=100000,INDEX($AB$1005:$AQ$1005,1,MATCH(COLUMNS($AB$1006:AN1006),$AB$1006:$AQ$1006,0))&gt;=100000), " ",IF(INDEX($AB$2:$AQ$1001,MATCH(ROWS($U$2:U281),$U$2:$U$1001,0),MATCH(COLUMNS($AB$1006:AN1006),$AB$1006:$AQ$1006,0)), HYPERLINK("#",""), HYPERLINK(CONCATENATE("#metadata!", ADDRESS(INDEX($W$2:$W$1001,MATCH(ROWS($U$2:U281),$U$2:$U$1001,0),0), INDEX($AB$1004:$AQ$1004,1,MATCH(COLUMNS($AB$1006:AN1006),$AB$1006:$AQ$1006,0)))),"Fix")))</f>
        <v>0</v>
      </c>
      <c r="O281" s="4">
        <f>IF(OR(INDEX($V$2:$V$1001,MATCH(ROWS($U$2:U281),$U$2:$U$1001,0),1)&gt;=100000,INDEX($AB$1005:$AQ$1005,1,MATCH(COLUMNS($AB$1006:AO1006),$AB$1006:$AQ$1006,0))&gt;=100000), " ",IF(INDEX($AB$2:$AQ$1001,MATCH(ROWS($U$2:U281),$U$2:$U$1001,0),MATCH(COLUMNS($AB$1006:AO1006),$AB$1006:$AQ$1006,0)), HYPERLINK("#",""), HYPERLINK(CONCATENATE("#metadata!", ADDRESS(INDEX($W$2:$W$1001,MATCH(ROWS($U$2:U281),$U$2:$U$1001,0),0), INDEX($AB$1004:$AQ$1004,1,MATCH(COLUMNS($AB$1006:AO1006),$AB$1006:$AQ$1006,0)))),"Fix")))</f>
        <v>0</v>
      </c>
      <c r="P281" s="4">
        <f>IF(OR(INDEX($V$2:$V$1001,MATCH(ROWS($U$2:U281),$U$2:$U$1001,0),1)&gt;=100000,INDEX($AB$1005:$AQ$1005,1,MATCH(COLUMNS($AB$1006:AP1006),$AB$1006:$AQ$1006,0))&gt;=100000), " ",IF(INDEX($AB$2:$AQ$1001,MATCH(ROWS($U$2:U281),$U$2:$U$1001,0),MATCH(COLUMNS($AB$1006:AP1006),$AB$1006:$AQ$1006,0)), HYPERLINK("#",""), HYPERLINK(CONCATENATE("#metadata!", ADDRESS(INDEX($W$2:$W$1001,MATCH(ROWS($U$2:U281),$U$2:$U$1001,0),0), INDEX($AB$1004:$AQ$1004,1,MATCH(COLUMNS($AB$1006:AP1006),$AB$1006:$AQ$1006,0)))),"Fix")))</f>
        <v>0</v>
      </c>
      <c r="Q281" s="4">
        <f>IF(OR(INDEX($V$2:$V$1001,MATCH(ROWS($U$2:U281),$U$2:$U$1001,0),1)&gt;=100000,INDEX($AB$1005:$AQ$1005,1,MATCH(COLUMNS($AB$1006:AQ1006),$AB$1006:$AQ$1006,0))&gt;=100000), " ",IF(INDEX($AB$2:$AQ$1001,MATCH(ROWS($U$2:U281),$U$2:$U$1001,0),MATCH(COLUMNS($AB$1006:AQ1006),$AB$1006:$AQ$1006,0)), HYPERLINK("#",""), HYPERLINK(CONCATENATE("#metadata!", ADDRESS(INDEX($W$2:$W$1001,MATCH(ROWS($U$2:U281),$U$2:$U$1001,0),0), INDEX($AB$1004:$AQ$1004,1,MATCH(COLUMNS($AB$1006:AQ1006),$AB$1006:$AQ$1006,0)))),"Fix")))</f>
        <v>0</v>
      </c>
      <c r="U281">
        <v>0</v>
      </c>
      <c r="V281">
        <v>0</v>
      </c>
      <c r="W281">
        <v>0</v>
      </c>
      <c r="X281">
        <f>IF(Y281,TRUE,AND(AB281:AQ281))</f>
        <v>0</v>
      </c>
      <c r="Y281">
        <f>COUNTBLANK(metadata!B281:Q281)=COLUMNS(metadata!B281:Q281)</f>
        <v>0</v>
      </c>
      <c r="Z281">
        <v>0</v>
      </c>
      <c r="AB281">
        <f>AND(IF(metadata!B281="",FALSE,TRUE),COUNTIF(metadata!B:B, metadata!B281) = 1,NOT(ISERROR(SUMPRODUCT(SEARCH(MID(metadata!B281,ROW(INDIRECT("1:"&amp;LEN(metadata!B281))), 1),"0123456789abcdefghijklmnopqrstuvwxyzABCDEFGHIJKLMNOPQRSTUVWXYZ.")))))</f>
        <v>0</v>
      </c>
      <c r="AC281">
        <f>OR(AND(IF(metadata!C281="",FALSE,TRUE),OR(exact(metadata!C281,"missing: not collected"),exact(metadata!C281,"missing: not provided"),exact(metadata!C281,"missing: restricted access"))),AND(IF(metadata!C281="",FALSE,TRUE),AND(AND(IFERROR(INT(LEFT(metadata!C281,4))&gt;1900,FALSE),IFERROR(INT(LEFT(metadata!C281,4))&lt;=YEAR(NOW()),FALSE)), OR(MID(metadata!C281,5,1)="", AND(AND(MID(metadata!C281,5,1)="-",IFERROR(INT(MID(metadata!C281,6,1))&gt;=0,FALSE),IFERROR(INT(MID(metadata!C281,6,1))&lt;=1,FALSE),NOT(MID(metadata!C281,7,1)=""),IFERROR(INT(MID(metadata!C281,6,2))&gt;=1,FALSE),IFERROR(INT(MID(metadata!C281,6,2))&lt;=12,FALSE)), OR(MID(metadata!C281,8,1)="", AND(AND(MID(metadata!C281,8,1)="-",IFERROR(INT(MID(metadata!C281,9,1))&gt;=0,FALSE),IFERROR(INT(MID(metadata!C281,9,1))&lt;=3,FALSE),NOT(MID(metadata!C281,10,1)=""),IFERROR(INT(MID(metadata!C281,9,2))&gt;=1,FALSE),IFERROR(INT(MID(metadata!C281,9,2))&lt;=31,FALSE)), OR(MID(metadata!C281,11,1)="", AND(AND(MID(metadata!C281,11,1)=" ",IFERROR(INT(MID(metadata!C281,12,1))&gt;=0,FALSE),IFERROR(INT(MID(metadata!C281,12,1))&lt;=2,FALSE),NOT(MID(metadata!C281,13,1)=""),IFERROR(INT(MID(metadata!C281,12,2))&gt;=0,FALSE),IFERROR(INT(MID(metadata!C281,12,2))&lt;=23,FALSE)), OR(MID(metadata!C281,14,1)="", AND(AND(MID(metadata!C281,14,1)=":",IFERROR(INT(MID(metadata!C281,15,1))&gt;=0,FALSE),IFERROR(INT(MID(metadata!C281,15,1))&lt;=5,FALSE),NOT(MID(metadata!C281,16,1)=""),IFERROR(INT(MID(metadata!C281,15,2))&gt;=0,FALSE),IFERROR(INT(MID(metadata!C281,15,2))&lt;=59,FALSE)), OR(MID(metadata!C281,17,1)="", AND(AND(MID(metadata!C281,17,1)=":",IFERROR(INT(MID(metadata!C281,18,1))&gt;=0,FALSE),IFERROR(INT(MID(metadata!C281,18,1))&lt;=5,FALSE),NOT(MID(metadata!C281,19,1)=""),IFERROR(INT(MID(metadata!C281,18,2))&gt;=0,FALSE),IFERROR(INT(MID(metadata!C281,18,2))&lt;=59,FALSE)), LEN(metadata!C281)&lt;=19)))))))))))))</f>
        <v>0</v>
      </c>
      <c r="AD281">
        <f>IF(metadata!D281="",FALSE,TRUE)</f>
        <v>0</v>
      </c>
      <c r="AE281">
        <f>OR(AND(IF(metadata!E281="",FALSE,TRUE),OR(exact(metadata!E281,"missing: not collected"),exact(metadata!E281,"missing: not provided"))),AND(IF(metadata!E281="",FALSE,TRUE),OR(exact(metadata!E281,"TRUE"),exact(metadata!E281,"FALSE"))))</f>
        <v>0</v>
      </c>
      <c r="AF281">
        <f>IF(metadata!F281="",FALSE,TRUE)</f>
        <v>0</v>
      </c>
      <c r="AG281">
        <f>IF(metadata!G281="",FALSE,TRUE)</f>
        <v>0</v>
      </c>
      <c r="AH281">
        <f>IF(metadata!H281="",FALSE,TRUE)</f>
        <v>0</v>
      </c>
      <c r="AI281">
        <f>OR(AND(IF(metadata!I281="",FALSE,TRUE),OR(exact(metadata!I281,"missing: not collected"),exact(metadata!I281,"missing: not provided"),exact(metadata!I281,"missing: restricted access"))),AND(IF(metadata!I281="",FALSE,TRUE),OR(exact(metadata!I281,"air"),exact(metadata!I281,"built environment"),exact(metadata!I281,"host-associated"),exact(metadata!I281,"human-associated"),exact(metadata!I281,"human-skin"),exact(metadata!I281,"human-oral"),exact(metadata!I281,"human-gut"),exact(metadata!I281,"human-vaginal"),exact(metadata!I281,"microbial mat/biofilm"),exact(metadata!I281,"misc environment"),exact(metadata!I281,"plant-associated"),exact(metadata!I281,"sediment"),exact(metadata!I281,"soil"),exact(metadata!I281,"wastewater/sludge"),exact(metadata!I281,"water"))))</f>
        <v>0</v>
      </c>
      <c r="AJ281">
        <f>IF(metadata!J281="",FALSE,TRUE)</f>
        <v>0</v>
      </c>
      <c r="AK281">
        <f>OR(AND(IF(metadata!K281="",FALSE,TRUE),OR(exact(metadata!K281,"missing: not collected"),exact(metadata!K281,"missing: not provided"),exact(metadata!K281,"missing: restricted access"))),AND(IF(metadata!K281="",FALSE,ISNUMBER(VALUE(metadata!K281))),metadata!K281&gt;=-90.00,metadata!K281&lt;=90.00))</f>
        <v>0</v>
      </c>
      <c r="AL281">
        <f>OR(AND(IF(metadata!L281="",FALSE,TRUE),OR(exact(metadata!L281,"missing: not collected"),exact(metadata!L281,"missing: not provided"),exact(metadata!L281,"missing: restricted access"))),AND(IF(metadata!L281="",FALSE,ISNUMBER(VALUE(metadata!L281))),metadata!L281&gt;=-180.00,metadata!L281&lt;=180.00))</f>
        <v>0</v>
      </c>
      <c r="AM281">
        <f>IF(metadata!M281="",FALSE,TRUE)</f>
        <v>0</v>
      </c>
      <c r="AN281">
        <f>OR(AND(IF(metadata!N281="",FALSE,TRUE),OR(exact(metadata!N281,"missing: not collected"),exact(metadata!N281,"missing: not provided"),exact(metadata!N281,"missing: restricted access"))),AND(IF(metadata!N281="",FALSE,TRUE),OR(exact(metadata!N281,"TRUE"),exact(metadata!N281,"FALSE"))))</f>
        <v>0</v>
      </c>
      <c r="AO281">
        <f>IF(metadata!O281="",FALSE,TRUE)</f>
        <v>0</v>
      </c>
      <c r="AP281">
        <f>OR(AND(IF(metadata!P281="",FALSE,TRUE),OR(exact(metadata!P281,"missing: not collected"),exact(metadata!P281,"missing: not provided"))),AND(IF(metadata!P281="",FALSE,IF(ISERROR(INT(metadata!P281)),FALSE,INT(metadata!P281)=metadata!P281)),metadata!P281&gt;0))</f>
        <v>0</v>
      </c>
      <c r="AQ281">
        <f>IF(metadata!Q281="",FALSE,TRUE)</f>
        <v>0</v>
      </c>
    </row>
    <row r="282" spans="1:43">
      <c r="A282" s="5">
        <f>IF(B282=" "," ",HYPERLINK(CONCATENATE("#metadata!",ADDRESS(INDEX($W$2:$W$1001,MATCH(ROWS($U$2:U282),$U$2:$U$1001,0),0),1)),INDEX($Z$2:$Z$1001,MATCH(ROWS($U$2:U282),$U$2:$U$1001,0),0)))</f>
        <v>0</v>
      </c>
      <c r="B282" s="4">
        <f>IF(OR(INDEX($V$2:$V$1001,MATCH(ROWS($U$2:U282),$U$2:$U$1001,0),1)&gt;=100000,INDEX($AB$1005:$AQ$1005,1,MATCH(COLUMNS($AB$1006:AB1006),$AB$1006:$AQ$1006,0))&gt;=100000), " ",IF(INDEX($AB$2:$AQ$1001,MATCH(ROWS($U$2:U282),$U$2:$U$1001,0),MATCH(COLUMNS($AB$1006:AB1006),$AB$1006:$AQ$1006,0)), HYPERLINK("#",""), HYPERLINK(CONCATENATE("#metadata!", ADDRESS(INDEX($W$2:$W$1001,MATCH(ROWS($U$2:U282),$U$2:$U$1001,0),0), INDEX($AB$1004:$AQ$1004,1,MATCH(COLUMNS($AB$1006:AB1006),$AB$1006:$AQ$1006,0)))),"Fix")))</f>
        <v>0</v>
      </c>
      <c r="C282" s="4">
        <f>IF(OR(INDEX($V$2:$V$1001,MATCH(ROWS($U$2:U282),$U$2:$U$1001,0),1)&gt;=100000,INDEX($AB$1005:$AQ$1005,1,MATCH(COLUMNS($AB$1006:AC1006),$AB$1006:$AQ$1006,0))&gt;=100000), " ",IF(INDEX($AB$2:$AQ$1001,MATCH(ROWS($U$2:U282),$U$2:$U$1001,0),MATCH(COLUMNS($AB$1006:AC1006),$AB$1006:$AQ$1006,0)), HYPERLINK("#",""), HYPERLINK(CONCATENATE("#metadata!", ADDRESS(INDEX($W$2:$W$1001,MATCH(ROWS($U$2:U282),$U$2:$U$1001,0),0), INDEX($AB$1004:$AQ$1004,1,MATCH(COLUMNS($AB$1006:AC1006),$AB$1006:$AQ$1006,0)))),"Fix")))</f>
        <v>0</v>
      </c>
      <c r="D282" s="4">
        <f>IF(OR(INDEX($V$2:$V$1001,MATCH(ROWS($U$2:U282),$U$2:$U$1001,0),1)&gt;=100000,INDEX($AB$1005:$AQ$1005,1,MATCH(COLUMNS($AB$1006:AD1006),$AB$1006:$AQ$1006,0))&gt;=100000), " ",IF(INDEX($AB$2:$AQ$1001,MATCH(ROWS($U$2:U282),$U$2:$U$1001,0),MATCH(COLUMNS($AB$1006:AD1006),$AB$1006:$AQ$1006,0)), HYPERLINK("#",""), HYPERLINK(CONCATENATE("#metadata!", ADDRESS(INDEX($W$2:$W$1001,MATCH(ROWS($U$2:U282),$U$2:$U$1001,0),0), INDEX($AB$1004:$AQ$1004,1,MATCH(COLUMNS($AB$1006:AD1006),$AB$1006:$AQ$1006,0)))),"Fix")))</f>
        <v>0</v>
      </c>
      <c r="E282" s="4">
        <f>IF(OR(INDEX($V$2:$V$1001,MATCH(ROWS($U$2:U282),$U$2:$U$1001,0),1)&gt;=100000,INDEX($AB$1005:$AQ$1005,1,MATCH(COLUMNS($AB$1006:AE1006),$AB$1006:$AQ$1006,0))&gt;=100000), " ",IF(INDEX($AB$2:$AQ$1001,MATCH(ROWS($U$2:U282),$U$2:$U$1001,0),MATCH(COLUMNS($AB$1006:AE1006),$AB$1006:$AQ$1006,0)), HYPERLINK("#",""), HYPERLINK(CONCATENATE("#metadata!", ADDRESS(INDEX($W$2:$W$1001,MATCH(ROWS($U$2:U282),$U$2:$U$1001,0),0), INDEX($AB$1004:$AQ$1004,1,MATCH(COLUMNS($AB$1006:AE1006),$AB$1006:$AQ$1006,0)))),"Fix")))</f>
        <v>0</v>
      </c>
      <c r="F282" s="4">
        <f>IF(OR(INDEX($V$2:$V$1001,MATCH(ROWS($U$2:U282),$U$2:$U$1001,0),1)&gt;=100000,INDEX($AB$1005:$AQ$1005,1,MATCH(COLUMNS($AB$1006:AF1006),$AB$1006:$AQ$1006,0))&gt;=100000), " ",IF(INDEX($AB$2:$AQ$1001,MATCH(ROWS($U$2:U282),$U$2:$U$1001,0),MATCH(COLUMNS($AB$1006:AF1006),$AB$1006:$AQ$1006,0)), HYPERLINK("#",""), HYPERLINK(CONCATENATE("#metadata!", ADDRESS(INDEX($W$2:$W$1001,MATCH(ROWS($U$2:U282),$U$2:$U$1001,0),0), INDEX($AB$1004:$AQ$1004,1,MATCH(COLUMNS($AB$1006:AF1006),$AB$1006:$AQ$1006,0)))),"Fix")))</f>
        <v>0</v>
      </c>
      <c r="G282" s="4">
        <f>IF(OR(INDEX($V$2:$V$1001,MATCH(ROWS($U$2:U282),$U$2:$U$1001,0),1)&gt;=100000,INDEX($AB$1005:$AQ$1005,1,MATCH(COLUMNS($AB$1006:AG1006),$AB$1006:$AQ$1006,0))&gt;=100000), " ",IF(INDEX($AB$2:$AQ$1001,MATCH(ROWS($U$2:U282),$U$2:$U$1001,0),MATCH(COLUMNS($AB$1006:AG1006),$AB$1006:$AQ$1006,0)), HYPERLINK("#",""), HYPERLINK(CONCATENATE("#metadata!", ADDRESS(INDEX($W$2:$W$1001,MATCH(ROWS($U$2:U282),$U$2:$U$1001,0),0), INDEX($AB$1004:$AQ$1004,1,MATCH(COLUMNS($AB$1006:AG1006),$AB$1006:$AQ$1006,0)))),"Fix")))</f>
        <v>0</v>
      </c>
      <c r="H282" s="4">
        <f>IF(OR(INDEX($V$2:$V$1001,MATCH(ROWS($U$2:U282),$U$2:$U$1001,0),1)&gt;=100000,INDEX($AB$1005:$AQ$1005,1,MATCH(COLUMNS($AB$1006:AH1006),$AB$1006:$AQ$1006,0))&gt;=100000), " ",IF(INDEX($AB$2:$AQ$1001,MATCH(ROWS($U$2:U282),$U$2:$U$1001,0),MATCH(COLUMNS($AB$1006:AH1006),$AB$1006:$AQ$1006,0)), HYPERLINK("#",""), HYPERLINK(CONCATENATE("#metadata!", ADDRESS(INDEX($W$2:$W$1001,MATCH(ROWS($U$2:U282),$U$2:$U$1001,0),0), INDEX($AB$1004:$AQ$1004,1,MATCH(COLUMNS($AB$1006:AH1006),$AB$1006:$AQ$1006,0)))),"Fix")))</f>
        <v>0</v>
      </c>
      <c r="I282" s="4">
        <f>IF(OR(INDEX($V$2:$V$1001,MATCH(ROWS($U$2:U282),$U$2:$U$1001,0),1)&gt;=100000,INDEX($AB$1005:$AQ$1005,1,MATCH(COLUMNS($AB$1006:AI1006),$AB$1006:$AQ$1006,0))&gt;=100000), " ",IF(INDEX($AB$2:$AQ$1001,MATCH(ROWS($U$2:U282),$U$2:$U$1001,0),MATCH(COLUMNS($AB$1006:AI1006),$AB$1006:$AQ$1006,0)), HYPERLINK("#",""), HYPERLINK(CONCATENATE("#metadata!", ADDRESS(INDEX($W$2:$W$1001,MATCH(ROWS($U$2:U282),$U$2:$U$1001,0),0), INDEX($AB$1004:$AQ$1004,1,MATCH(COLUMNS($AB$1006:AI1006),$AB$1006:$AQ$1006,0)))),"Fix")))</f>
        <v>0</v>
      </c>
      <c r="J282" s="4">
        <f>IF(OR(INDEX($V$2:$V$1001,MATCH(ROWS($U$2:U282),$U$2:$U$1001,0),1)&gt;=100000,INDEX($AB$1005:$AQ$1005,1,MATCH(COLUMNS($AB$1006:AJ1006),$AB$1006:$AQ$1006,0))&gt;=100000), " ",IF(INDEX($AB$2:$AQ$1001,MATCH(ROWS($U$2:U282),$U$2:$U$1001,0),MATCH(COLUMNS($AB$1006:AJ1006),$AB$1006:$AQ$1006,0)), HYPERLINK("#",""), HYPERLINK(CONCATENATE("#metadata!", ADDRESS(INDEX($W$2:$W$1001,MATCH(ROWS($U$2:U282),$U$2:$U$1001,0),0), INDEX($AB$1004:$AQ$1004,1,MATCH(COLUMNS($AB$1006:AJ1006),$AB$1006:$AQ$1006,0)))),"Fix")))</f>
        <v>0</v>
      </c>
      <c r="K282" s="4">
        <f>IF(OR(INDEX($V$2:$V$1001,MATCH(ROWS($U$2:U282),$U$2:$U$1001,0),1)&gt;=100000,INDEX($AB$1005:$AQ$1005,1,MATCH(COLUMNS($AB$1006:AK1006),$AB$1006:$AQ$1006,0))&gt;=100000), " ",IF(INDEX($AB$2:$AQ$1001,MATCH(ROWS($U$2:U282),$U$2:$U$1001,0),MATCH(COLUMNS($AB$1006:AK1006),$AB$1006:$AQ$1006,0)), HYPERLINK("#",""), HYPERLINK(CONCATENATE("#metadata!", ADDRESS(INDEX($W$2:$W$1001,MATCH(ROWS($U$2:U282),$U$2:$U$1001,0),0), INDEX($AB$1004:$AQ$1004,1,MATCH(COLUMNS($AB$1006:AK1006),$AB$1006:$AQ$1006,0)))),"Fix")))</f>
        <v>0</v>
      </c>
      <c r="L282" s="4">
        <f>IF(OR(INDEX($V$2:$V$1001,MATCH(ROWS($U$2:U282),$U$2:$U$1001,0),1)&gt;=100000,INDEX($AB$1005:$AQ$1005,1,MATCH(COLUMNS($AB$1006:AL1006),$AB$1006:$AQ$1006,0))&gt;=100000), " ",IF(INDEX($AB$2:$AQ$1001,MATCH(ROWS($U$2:U282),$U$2:$U$1001,0),MATCH(COLUMNS($AB$1006:AL1006),$AB$1006:$AQ$1006,0)), HYPERLINK("#",""), HYPERLINK(CONCATENATE("#metadata!", ADDRESS(INDEX($W$2:$W$1001,MATCH(ROWS($U$2:U282),$U$2:$U$1001,0),0), INDEX($AB$1004:$AQ$1004,1,MATCH(COLUMNS($AB$1006:AL1006),$AB$1006:$AQ$1006,0)))),"Fix")))</f>
        <v>0</v>
      </c>
      <c r="M282" s="4">
        <f>IF(OR(INDEX($V$2:$V$1001,MATCH(ROWS($U$2:U282),$U$2:$U$1001,0),1)&gt;=100000,INDEX($AB$1005:$AQ$1005,1,MATCH(COLUMNS($AB$1006:AM1006),$AB$1006:$AQ$1006,0))&gt;=100000), " ",IF(INDEX($AB$2:$AQ$1001,MATCH(ROWS($U$2:U282),$U$2:$U$1001,0),MATCH(COLUMNS($AB$1006:AM1006),$AB$1006:$AQ$1006,0)), HYPERLINK("#",""), HYPERLINK(CONCATENATE("#metadata!", ADDRESS(INDEX($W$2:$W$1001,MATCH(ROWS($U$2:U282),$U$2:$U$1001,0),0), INDEX($AB$1004:$AQ$1004,1,MATCH(COLUMNS($AB$1006:AM1006),$AB$1006:$AQ$1006,0)))),"Fix")))</f>
        <v>0</v>
      </c>
      <c r="N282" s="4">
        <f>IF(OR(INDEX($V$2:$V$1001,MATCH(ROWS($U$2:U282),$U$2:$U$1001,0),1)&gt;=100000,INDEX($AB$1005:$AQ$1005,1,MATCH(COLUMNS($AB$1006:AN1006),$AB$1006:$AQ$1006,0))&gt;=100000), " ",IF(INDEX($AB$2:$AQ$1001,MATCH(ROWS($U$2:U282),$U$2:$U$1001,0),MATCH(COLUMNS($AB$1006:AN1006),$AB$1006:$AQ$1006,0)), HYPERLINK("#",""), HYPERLINK(CONCATENATE("#metadata!", ADDRESS(INDEX($W$2:$W$1001,MATCH(ROWS($U$2:U282),$U$2:$U$1001,0),0), INDEX($AB$1004:$AQ$1004,1,MATCH(COLUMNS($AB$1006:AN1006),$AB$1006:$AQ$1006,0)))),"Fix")))</f>
        <v>0</v>
      </c>
      <c r="O282" s="4">
        <f>IF(OR(INDEX($V$2:$V$1001,MATCH(ROWS($U$2:U282),$U$2:$U$1001,0),1)&gt;=100000,INDEX($AB$1005:$AQ$1005,1,MATCH(COLUMNS($AB$1006:AO1006),$AB$1006:$AQ$1006,0))&gt;=100000), " ",IF(INDEX($AB$2:$AQ$1001,MATCH(ROWS($U$2:U282),$U$2:$U$1001,0),MATCH(COLUMNS($AB$1006:AO1006),$AB$1006:$AQ$1006,0)), HYPERLINK("#",""), HYPERLINK(CONCATENATE("#metadata!", ADDRESS(INDEX($W$2:$W$1001,MATCH(ROWS($U$2:U282),$U$2:$U$1001,0),0), INDEX($AB$1004:$AQ$1004,1,MATCH(COLUMNS($AB$1006:AO1006),$AB$1006:$AQ$1006,0)))),"Fix")))</f>
        <v>0</v>
      </c>
      <c r="P282" s="4">
        <f>IF(OR(INDEX($V$2:$V$1001,MATCH(ROWS($U$2:U282),$U$2:$U$1001,0),1)&gt;=100000,INDEX($AB$1005:$AQ$1005,1,MATCH(COLUMNS($AB$1006:AP1006),$AB$1006:$AQ$1006,0))&gt;=100000), " ",IF(INDEX($AB$2:$AQ$1001,MATCH(ROWS($U$2:U282),$U$2:$U$1001,0),MATCH(COLUMNS($AB$1006:AP1006),$AB$1006:$AQ$1006,0)), HYPERLINK("#",""), HYPERLINK(CONCATENATE("#metadata!", ADDRESS(INDEX($W$2:$W$1001,MATCH(ROWS($U$2:U282),$U$2:$U$1001,0),0), INDEX($AB$1004:$AQ$1004,1,MATCH(COLUMNS($AB$1006:AP1006),$AB$1006:$AQ$1006,0)))),"Fix")))</f>
        <v>0</v>
      </c>
      <c r="Q282" s="4">
        <f>IF(OR(INDEX($V$2:$V$1001,MATCH(ROWS($U$2:U282),$U$2:$U$1001,0),1)&gt;=100000,INDEX($AB$1005:$AQ$1005,1,MATCH(COLUMNS($AB$1006:AQ1006),$AB$1006:$AQ$1006,0))&gt;=100000), " ",IF(INDEX($AB$2:$AQ$1001,MATCH(ROWS($U$2:U282),$U$2:$U$1001,0),MATCH(COLUMNS($AB$1006:AQ1006),$AB$1006:$AQ$1006,0)), HYPERLINK("#",""), HYPERLINK(CONCATENATE("#metadata!", ADDRESS(INDEX($W$2:$W$1001,MATCH(ROWS($U$2:U282),$U$2:$U$1001,0),0), INDEX($AB$1004:$AQ$1004,1,MATCH(COLUMNS($AB$1006:AQ1006),$AB$1006:$AQ$1006,0)))),"Fix")))</f>
        <v>0</v>
      </c>
      <c r="U282">
        <v>0</v>
      </c>
      <c r="V282">
        <v>0</v>
      </c>
      <c r="W282">
        <v>0</v>
      </c>
      <c r="X282">
        <f>IF(Y282,TRUE,AND(AB282:AQ282))</f>
        <v>0</v>
      </c>
      <c r="Y282">
        <f>COUNTBLANK(metadata!B282:Q282)=COLUMNS(metadata!B282:Q282)</f>
        <v>0</v>
      </c>
      <c r="Z282">
        <v>0</v>
      </c>
      <c r="AB282">
        <f>AND(IF(metadata!B282="",FALSE,TRUE),COUNTIF(metadata!B:B, metadata!B282) = 1,NOT(ISERROR(SUMPRODUCT(SEARCH(MID(metadata!B282,ROW(INDIRECT("1:"&amp;LEN(metadata!B282))), 1),"0123456789abcdefghijklmnopqrstuvwxyzABCDEFGHIJKLMNOPQRSTUVWXYZ.")))))</f>
        <v>0</v>
      </c>
      <c r="AC282">
        <f>OR(AND(IF(metadata!C282="",FALSE,TRUE),OR(exact(metadata!C282,"missing: not collected"),exact(metadata!C282,"missing: not provided"),exact(metadata!C282,"missing: restricted access"))),AND(IF(metadata!C282="",FALSE,TRUE),AND(AND(IFERROR(INT(LEFT(metadata!C282,4))&gt;1900,FALSE),IFERROR(INT(LEFT(metadata!C282,4))&lt;=YEAR(NOW()),FALSE)), OR(MID(metadata!C282,5,1)="", AND(AND(MID(metadata!C282,5,1)="-",IFERROR(INT(MID(metadata!C282,6,1))&gt;=0,FALSE),IFERROR(INT(MID(metadata!C282,6,1))&lt;=1,FALSE),NOT(MID(metadata!C282,7,1)=""),IFERROR(INT(MID(metadata!C282,6,2))&gt;=1,FALSE),IFERROR(INT(MID(metadata!C282,6,2))&lt;=12,FALSE)), OR(MID(metadata!C282,8,1)="", AND(AND(MID(metadata!C282,8,1)="-",IFERROR(INT(MID(metadata!C282,9,1))&gt;=0,FALSE),IFERROR(INT(MID(metadata!C282,9,1))&lt;=3,FALSE),NOT(MID(metadata!C282,10,1)=""),IFERROR(INT(MID(metadata!C282,9,2))&gt;=1,FALSE),IFERROR(INT(MID(metadata!C282,9,2))&lt;=31,FALSE)), OR(MID(metadata!C282,11,1)="", AND(AND(MID(metadata!C282,11,1)=" ",IFERROR(INT(MID(metadata!C282,12,1))&gt;=0,FALSE),IFERROR(INT(MID(metadata!C282,12,1))&lt;=2,FALSE),NOT(MID(metadata!C282,13,1)=""),IFERROR(INT(MID(metadata!C282,12,2))&gt;=0,FALSE),IFERROR(INT(MID(metadata!C282,12,2))&lt;=23,FALSE)), OR(MID(metadata!C282,14,1)="", AND(AND(MID(metadata!C282,14,1)=":",IFERROR(INT(MID(metadata!C282,15,1))&gt;=0,FALSE),IFERROR(INT(MID(metadata!C282,15,1))&lt;=5,FALSE),NOT(MID(metadata!C282,16,1)=""),IFERROR(INT(MID(metadata!C282,15,2))&gt;=0,FALSE),IFERROR(INT(MID(metadata!C282,15,2))&lt;=59,FALSE)), OR(MID(metadata!C282,17,1)="", AND(AND(MID(metadata!C282,17,1)=":",IFERROR(INT(MID(metadata!C282,18,1))&gt;=0,FALSE),IFERROR(INT(MID(metadata!C282,18,1))&lt;=5,FALSE),NOT(MID(metadata!C282,19,1)=""),IFERROR(INT(MID(metadata!C282,18,2))&gt;=0,FALSE),IFERROR(INT(MID(metadata!C282,18,2))&lt;=59,FALSE)), LEN(metadata!C282)&lt;=19)))))))))))))</f>
        <v>0</v>
      </c>
      <c r="AD282">
        <f>IF(metadata!D282="",FALSE,TRUE)</f>
        <v>0</v>
      </c>
      <c r="AE282">
        <f>OR(AND(IF(metadata!E282="",FALSE,TRUE),OR(exact(metadata!E282,"missing: not collected"),exact(metadata!E282,"missing: not provided"))),AND(IF(metadata!E282="",FALSE,TRUE),OR(exact(metadata!E282,"TRUE"),exact(metadata!E282,"FALSE"))))</f>
        <v>0</v>
      </c>
      <c r="AF282">
        <f>IF(metadata!F282="",FALSE,TRUE)</f>
        <v>0</v>
      </c>
      <c r="AG282">
        <f>IF(metadata!G282="",FALSE,TRUE)</f>
        <v>0</v>
      </c>
      <c r="AH282">
        <f>IF(metadata!H282="",FALSE,TRUE)</f>
        <v>0</v>
      </c>
      <c r="AI282">
        <f>OR(AND(IF(metadata!I282="",FALSE,TRUE),OR(exact(metadata!I282,"missing: not collected"),exact(metadata!I282,"missing: not provided"),exact(metadata!I282,"missing: restricted access"))),AND(IF(metadata!I282="",FALSE,TRUE),OR(exact(metadata!I282,"air"),exact(metadata!I282,"built environment"),exact(metadata!I282,"host-associated"),exact(metadata!I282,"human-associated"),exact(metadata!I282,"human-skin"),exact(metadata!I282,"human-oral"),exact(metadata!I282,"human-gut"),exact(metadata!I282,"human-vaginal"),exact(metadata!I282,"microbial mat/biofilm"),exact(metadata!I282,"misc environment"),exact(metadata!I282,"plant-associated"),exact(metadata!I282,"sediment"),exact(metadata!I282,"soil"),exact(metadata!I282,"wastewater/sludge"),exact(metadata!I282,"water"))))</f>
        <v>0</v>
      </c>
      <c r="AJ282">
        <f>IF(metadata!J282="",FALSE,TRUE)</f>
        <v>0</v>
      </c>
      <c r="AK282">
        <f>OR(AND(IF(metadata!K282="",FALSE,TRUE),OR(exact(metadata!K282,"missing: not collected"),exact(metadata!K282,"missing: not provided"),exact(metadata!K282,"missing: restricted access"))),AND(IF(metadata!K282="",FALSE,ISNUMBER(VALUE(metadata!K282))),metadata!K282&gt;=-90.00,metadata!K282&lt;=90.00))</f>
        <v>0</v>
      </c>
      <c r="AL282">
        <f>OR(AND(IF(metadata!L282="",FALSE,TRUE),OR(exact(metadata!L282,"missing: not collected"),exact(metadata!L282,"missing: not provided"),exact(metadata!L282,"missing: restricted access"))),AND(IF(metadata!L282="",FALSE,ISNUMBER(VALUE(metadata!L282))),metadata!L282&gt;=-180.00,metadata!L282&lt;=180.00))</f>
        <v>0</v>
      </c>
      <c r="AM282">
        <f>IF(metadata!M282="",FALSE,TRUE)</f>
        <v>0</v>
      </c>
      <c r="AN282">
        <f>OR(AND(IF(metadata!N282="",FALSE,TRUE),OR(exact(metadata!N282,"missing: not collected"),exact(metadata!N282,"missing: not provided"),exact(metadata!N282,"missing: restricted access"))),AND(IF(metadata!N282="",FALSE,TRUE),OR(exact(metadata!N282,"TRUE"),exact(metadata!N282,"FALSE"))))</f>
        <v>0</v>
      </c>
      <c r="AO282">
        <f>IF(metadata!O282="",FALSE,TRUE)</f>
        <v>0</v>
      </c>
      <c r="AP282">
        <f>OR(AND(IF(metadata!P282="",FALSE,TRUE),OR(exact(metadata!P282,"missing: not collected"),exact(metadata!P282,"missing: not provided"))),AND(IF(metadata!P282="",FALSE,IF(ISERROR(INT(metadata!P282)),FALSE,INT(metadata!P282)=metadata!P282)),metadata!P282&gt;0))</f>
        <v>0</v>
      </c>
      <c r="AQ282">
        <f>IF(metadata!Q282="",FALSE,TRUE)</f>
        <v>0</v>
      </c>
    </row>
    <row r="283" spans="1:43">
      <c r="A283" s="5">
        <f>IF(B283=" "," ",HYPERLINK(CONCATENATE("#metadata!",ADDRESS(INDEX($W$2:$W$1001,MATCH(ROWS($U$2:U283),$U$2:$U$1001,0),0),1)),INDEX($Z$2:$Z$1001,MATCH(ROWS($U$2:U283),$U$2:$U$1001,0),0)))</f>
        <v>0</v>
      </c>
      <c r="B283" s="4">
        <f>IF(OR(INDEX($V$2:$V$1001,MATCH(ROWS($U$2:U283),$U$2:$U$1001,0),1)&gt;=100000,INDEX($AB$1005:$AQ$1005,1,MATCH(COLUMNS($AB$1006:AB1006),$AB$1006:$AQ$1006,0))&gt;=100000), " ",IF(INDEX($AB$2:$AQ$1001,MATCH(ROWS($U$2:U283),$U$2:$U$1001,0),MATCH(COLUMNS($AB$1006:AB1006),$AB$1006:$AQ$1006,0)), HYPERLINK("#",""), HYPERLINK(CONCATENATE("#metadata!", ADDRESS(INDEX($W$2:$W$1001,MATCH(ROWS($U$2:U283),$U$2:$U$1001,0),0), INDEX($AB$1004:$AQ$1004,1,MATCH(COLUMNS($AB$1006:AB1006),$AB$1006:$AQ$1006,0)))),"Fix")))</f>
        <v>0</v>
      </c>
      <c r="C283" s="4">
        <f>IF(OR(INDEX($V$2:$V$1001,MATCH(ROWS($U$2:U283),$U$2:$U$1001,0),1)&gt;=100000,INDEX($AB$1005:$AQ$1005,1,MATCH(COLUMNS($AB$1006:AC1006),$AB$1006:$AQ$1006,0))&gt;=100000), " ",IF(INDEX($AB$2:$AQ$1001,MATCH(ROWS($U$2:U283),$U$2:$U$1001,0),MATCH(COLUMNS($AB$1006:AC1006),$AB$1006:$AQ$1006,0)), HYPERLINK("#",""), HYPERLINK(CONCATENATE("#metadata!", ADDRESS(INDEX($W$2:$W$1001,MATCH(ROWS($U$2:U283),$U$2:$U$1001,0),0), INDEX($AB$1004:$AQ$1004,1,MATCH(COLUMNS($AB$1006:AC1006),$AB$1006:$AQ$1006,0)))),"Fix")))</f>
        <v>0</v>
      </c>
      <c r="D283" s="4">
        <f>IF(OR(INDEX($V$2:$V$1001,MATCH(ROWS($U$2:U283),$U$2:$U$1001,0),1)&gt;=100000,INDEX($AB$1005:$AQ$1005,1,MATCH(COLUMNS($AB$1006:AD1006),$AB$1006:$AQ$1006,0))&gt;=100000), " ",IF(INDEX($AB$2:$AQ$1001,MATCH(ROWS($U$2:U283),$U$2:$U$1001,0),MATCH(COLUMNS($AB$1006:AD1006),$AB$1006:$AQ$1006,0)), HYPERLINK("#",""), HYPERLINK(CONCATENATE("#metadata!", ADDRESS(INDEX($W$2:$W$1001,MATCH(ROWS($U$2:U283),$U$2:$U$1001,0),0), INDEX($AB$1004:$AQ$1004,1,MATCH(COLUMNS($AB$1006:AD1006),$AB$1006:$AQ$1006,0)))),"Fix")))</f>
        <v>0</v>
      </c>
      <c r="E283" s="4">
        <f>IF(OR(INDEX($V$2:$V$1001,MATCH(ROWS($U$2:U283),$U$2:$U$1001,0),1)&gt;=100000,INDEX($AB$1005:$AQ$1005,1,MATCH(COLUMNS($AB$1006:AE1006),$AB$1006:$AQ$1006,0))&gt;=100000), " ",IF(INDEX($AB$2:$AQ$1001,MATCH(ROWS($U$2:U283),$U$2:$U$1001,0),MATCH(COLUMNS($AB$1006:AE1006),$AB$1006:$AQ$1006,0)), HYPERLINK("#",""), HYPERLINK(CONCATENATE("#metadata!", ADDRESS(INDEX($W$2:$W$1001,MATCH(ROWS($U$2:U283),$U$2:$U$1001,0),0), INDEX($AB$1004:$AQ$1004,1,MATCH(COLUMNS($AB$1006:AE1006),$AB$1006:$AQ$1006,0)))),"Fix")))</f>
        <v>0</v>
      </c>
      <c r="F283" s="4">
        <f>IF(OR(INDEX($V$2:$V$1001,MATCH(ROWS($U$2:U283),$U$2:$U$1001,0),1)&gt;=100000,INDEX($AB$1005:$AQ$1005,1,MATCH(COLUMNS($AB$1006:AF1006),$AB$1006:$AQ$1006,0))&gt;=100000), " ",IF(INDEX($AB$2:$AQ$1001,MATCH(ROWS($U$2:U283),$U$2:$U$1001,0),MATCH(COLUMNS($AB$1006:AF1006),$AB$1006:$AQ$1006,0)), HYPERLINK("#",""), HYPERLINK(CONCATENATE("#metadata!", ADDRESS(INDEX($W$2:$W$1001,MATCH(ROWS($U$2:U283),$U$2:$U$1001,0),0), INDEX($AB$1004:$AQ$1004,1,MATCH(COLUMNS($AB$1006:AF1006),$AB$1006:$AQ$1006,0)))),"Fix")))</f>
        <v>0</v>
      </c>
      <c r="G283" s="4">
        <f>IF(OR(INDEX($V$2:$V$1001,MATCH(ROWS($U$2:U283),$U$2:$U$1001,0),1)&gt;=100000,INDEX($AB$1005:$AQ$1005,1,MATCH(COLUMNS($AB$1006:AG1006),$AB$1006:$AQ$1006,0))&gt;=100000), " ",IF(INDEX($AB$2:$AQ$1001,MATCH(ROWS($U$2:U283),$U$2:$U$1001,0),MATCH(COLUMNS($AB$1006:AG1006),$AB$1006:$AQ$1006,0)), HYPERLINK("#",""), HYPERLINK(CONCATENATE("#metadata!", ADDRESS(INDEX($W$2:$W$1001,MATCH(ROWS($U$2:U283),$U$2:$U$1001,0),0), INDEX($AB$1004:$AQ$1004,1,MATCH(COLUMNS($AB$1006:AG1006),$AB$1006:$AQ$1006,0)))),"Fix")))</f>
        <v>0</v>
      </c>
      <c r="H283" s="4">
        <f>IF(OR(INDEX($V$2:$V$1001,MATCH(ROWS($U$2:U283),$U$2:$U$1001,0),1)&gt;=100000,INDEX($AB$1005:$AQ$1005,1,MATCH(COLUMNS($AB$1006:AH1006),$AB$1006:$AQ$1006,0))&gt;=100000), " ",IF(INDEX($AB$2:$AQ$1001,MATCH(ROWS($U$2:U283),$U$2:$U$1001,0),MATCH(COLUMNS($AB$1006:AH1006),$AB$1006:$AQ$1006,0)), HYPERLINK("#",""), HYPERLINK(CONCATENATE("#metadata!", ADDRESS(INDEX($W$2:$W$1001,MATCH(ROWS($U$2:U283),$U$2:$U$1001,0),0), INDEX($AB$1004:$AQ$1004,1,MATCH(COLUMNS($AB$1006:AH1006),$AB$1006:$AQ$1006,0)))),"Fix")))</f>
        <v>0</v>
      </c>
      <c r="I283" s="4">
        <f>IF(OR(INDEX($V$2:$V$1001,MATCH(ROWS($U$2:U283),$U$2:$U$1001,0),1)&gt;=100000,INDEX($AB$1005:$AQ$1005,1,MATCH(COLUMNS($AB$1006:AI1006),$AB$1006:$AQ$1006,0))&gt;=100000), " ",IF(INDEX($AB$2:$AQ$1001,MATCH(ROWS($U$2:U283),$U$2:$U$1001,0),MATCH(COLUMNS($AB$1006:AI1006),$AB$1006:$AQ$1006,0)), HYPERLINK("#",""), HYPERLINK(CONCATENATE("#metadata!", ADDRESS(INDEX($W$2:$W$1001,MATCH(ROWS($U$2:U283),$U$2:$U$1001,0),0), INDEX($AB$1004:$AQ$1004,1,MATCH(COLUMNS($AB$1006:AI1006),$AB$1006:$AQ$1006,0)))),"Fix")))</f>
        <v>0</v>
      </c>
      <c r="J283" s="4">
        <f>IF(OR(INDEX($V$2:$V$1001,MATCH(ROWS($U$2:U283),$U$2:$U$1001,0),1)&gt;=100000,INDEX($AB$1005:$AQ$1005,1,MATCH(COLUMNS($AB$1006:AJ1006),$AB$1006:$AQ$1006,0))&gt;=100000), " ",IF(INDEX($AB$2:$AQ$1001,MATCH(ROWS($U$2:U283),$U$2:$U$1001,0),MATCH(COLUMNS($AB$1006:AJ1006),$AB$1006:$AQ$1006,0)), HYPERLINK("#",""), HYPERLINK(CONCATENATE("#metadata!", ADDRESS(INDEX($W$2:$W$1001,MATCH(ROWS($U$2:U283),$U$2:$U$1001,0),0), INDEX($AB$1004:$AQ$1004,1,MATCH(COLUMNS($AB$1006:AJ1006),$AB$1006:$AQ$1006,0)))),"Fix")))</f>
        <v>0</v>
      </c>
      <c r="K283" s="4">
        <f>IF(OR(INDEX($V$2:$V$1001,MATCH(ROWS($U$2:U283),$U$2:$U$1001,0),1)&gt;=100000,INDEX($AB$1005:$AQ$1005,1,MATCH(COLUMNS($AB$1006:AK1006),$AB$1006:$AQ$1006,0))&gt;=100000), " ",IF(INDEX($AB$2:$AQ$1001,MATCH(ROWS($U$2:U283),$U$2:$U$1001,0),MATCH(COLUMNS($AB$1006:AK1006),$AB$1006:$AQ$1006,0)), HYPERLINK("#",""), HYPERLINK(CONCATENATE("#metadata!", ADDRESS(INDEX($W$2:$W$1001,MATCH(ROWS($U$2:U283),$U$2:$U$1001,0),0), INDEX($AB$1004:$AQ$1004,1,MATCH(COLUMNS($AB$1006:AK1006),$AB$1006:$AQ$1006,0)))),"Fix")))</f>
        <v>0</v>
      </c>
      <c r="L283" s="4">
        <f>IF(OR(INDEX($V$2:$V$1001,MATCH(ROWS($U$2:U283),$U$2:$U$1001,0),1)&gt;=100000,INDEX($AB$1005:$AQ$1005,1,MATCH(COLUMNS($AB$1006:AL1006),$AB$1006:$AQ$1006,0))&gt;=100000), " ",IF(INDEX($AB$2:$AQ$1001,MATCH(ROWS($U$2:U283),$U$2:$U$1001,0),MATCH(COLUMNS($AB$1006:AL1006),$AB$1006:$AQ$1006,0)), HYPERLINK("#",""), HYPERLINK(CONCATENATE("#metadata!", ADDRESS(INDEX($W$2:$W$1001,MATCH(ROWS($U$2:U283),$U$2:$U$1001,0),0), INDEX($AB$1004:$AQ$1004,1,MATCH(COLUMNS($AB$1006:AL1006),$AB$1006:$AQ$1006,0)))),"Fix")))</f>
        <v>0</v>
      </c>
      <c r="M283" s="4">
        <f>IF(OR(INDEX($V$2:$V$1001,MATCH(ROWS($U$2:U283),$U$2:$U$1001,0),1)&gt;=100000,INDEX($AB$1005:$AQ$1005,1,MATCH(COLUMNS($AB$1006:AM1006),$AB$1006:$AQ$1006,0))&gt;=100000), " ",IF(INDEX($AB$2:$AQ$1001,MATCH(ROWS($U$2:U283),$U$2:$U$1001,0),MATCH(COLUMNS($AB$1006:AM1006),$AB$1006:$AQ$1006,0)), HYPERLINK("#",""), HYPERLINK(CONCATENATE("#metadata!", ADDRESS(INDEX($W$2:$W$1001,MATCH(ROWS($U$2:U283),$U$2:$U$1001,0),0), INDEX($AB$1004:$AQ$1004,1,MATCH(COLUMNS($AB$1006:AM1006),$AB$1006:$AQ$1006,0)))),"Fix")))</f>
        <v>0</v>
      </c>
      <c r="N283" s="4">
        <f>IF(OR(INDEX($V$2:$V$1001,MATCH(ROWS($U$2:U283),$U$2:$U$1001,0),1)&gt;=100000,INDEX($AB$1005:$AQ$1005,1,MATCH(COLUMNS($AB$1006:AN1006),$AB$1006:$AQ$1006,0))&gt;=100000), " ",IF(INDEX($AB$2:$AQ$1001,MATCH(ROWS($U$2:U283),$U$2:$U$1001,0),MATCH(COLUMNS($AB$1006:AN1006),$AB$1006:$AQ$1006,0)), HYPERLINK("#",""), HYPERLINK(CONCATENATE("#metadata!", ADDRESS(INDEX($W$2:$W$1001,MATCH(ROWS($U$2:U283),$U$2:$U$1001,0),0), INDEX($AB$1004:$AQ$1004,1,MATCH(COLUMNS($AB$1006:AN1006),$AB$1006:$AQ$1006,0)))),"Fix")))</f>
        <v>0</v>
      </c>
      <c r="O283" s="4">
        <f>IF(OR(INDEX($V$2:$V$1001,MATCH(ROWS($U$2:U283),$U$2:$U$1001,0),1)&gt;=100000,INDEX($AB$1005:$AQ$1005,1,MATCH(COLUMNS($AB$1006:AO1006),$AB$1006:$AQ$1006,0))&gt;=100000), " ",IF(INDEX($AB$2:$AQ$1001,MATCH(ROWS($U$2:U283),$U$2:$U$1001,0),MATCH(COLUMNS($AB$1006:AO1006),$AB$1006:$AQ$1006,0)), HYPERLINK("#",""), HYPERLINK(CONCATENATE("#metadata!", ADDRESS(INDEX($W$2:$W$1001,MATCH(ROWS($U$2:U283),$U$2:$U$1001,0),0), INDEX($AB$1004:$AQ$1004,1,MATCH(COLUMNS($AB$1006:AO1006),$AB$1006:$AQ$1006,0)))),"Fix")))</f>
        <v>0</v>
      </c>
      <c r="P283" s="4">
        <f>IF(OR(INDEX($V$2:$V$1001,MATCH(ROWS($U$2:U283),$U$2:$U$1001,0),1)&gt;=100000,INDEX($AB$1005:$AQ$1005,1,MATCH(COLUMNS($AB$1006:AP1006),$AB$1006:$AQ$1006,0))&gt;=100000), " ",IF(INDEX($AB$2:$AQ$1001,MATCH(ROWS($U$2:U283),$U$2:$U$1001,0),MATCH(COLUMNS($AB$1006:AP1006),$AB$1006:$AQ$1006,0)), HYPERLINK("#",""), HYPERLINK(CONCATENATE("#metadata!", ADDRESS(INDEX($W$2:$W$1001,MATCH(ROWS($U$2:U283),$U$2:$U$1001,0),0), INDEX($AB$1004:$AQ$1004,1,MATCH(COLUMNS($AB$1006:AP1006),$AB$1006:$AQ$1006,0)))),"Fix")))</f>
        <v>0</v>
      </c>
      <c r="Q283" s="4">
        <f>IF(OR(INDEX($V$2:$V$1001,MATCH(ROWS($U$2:U283),$U$2:$U$1001,0),1)&gt;=100000,INDEX($AB$1005:$AQ$1005,1,MATCH(COLUMNS($AB$1006:AQ1006),$AB$1006:$AQ$1006,0))&gt;=100000), " ",IF(INDEX($AB$2:$AQ$1001,MATCH(ROWS($U$2:U283),$U$2:$U$1001,0),MATCH(COLUMNS($AB$1006:AQ1006),$AB$1006:$AQ$1006,0)), HYPERLINK("#",""), HYPERLINK(CONCATENATE("#metadata!", ADDRESS(INDEX($W$2:$W$1001,MATCH(ROWS($U$2:U283),$U$2:$U$1001,0),0), INDEX($AB$1004:$AQ$1004,1,MATCH(COLUMNS($AB$1006:AQ1006),$AB$1006:$AQ$1006,0)))),"Fix")))</f>
        <v>0</v>
      </c>
      <c r="U283">
        <v>0</v>
      </c>
      <c r="V283">
        <v>0</v>
      </c>
      <c r="W283">
        <v>0</v>
      </c>
      <c r="X283">
        <f>IF(Y283,TRUE,AND(AB283:AQ283))</f>
        <v>0</v>
      </c>
      <c r="Y283">
        <f>COUNTBLANK(metadata!B283:Q283)=COLUMNS(metadata!B283:Q283)</f>
        <v>0</v>
      </c>
      <c r="Z283">
        <v>0</v>
      </c>
      <c r="AB283">
        <f>AND(IF(metadata!B283="",FALSE,TRUE),COUNTIF(metadata!B:B, metadata!B283) = 1,NOT(ISERROR(SUMPRODUCT(SEARCH(MID(metadata!B283,ROW(INDIRECT("1:"&amp;LEN(metadata!B283))), 1),"0123456789abcdefghijklmnopqrstuvwxyzABCDEFGHIJKLMNOPQRSTUVWXYZ.")))))</f>
        <v>0</v>
      </c>
      <c r="AC283">
        <f>OR(AND(IF(metadata!C283="",FALSE,TRUE),OR(exact(metadata!C283,"missing: not collected"),exact(metadata!C283,"missing: not provided"),exact(metadata!C283,"missing: restricted access"))),AND(IF(metadata!C283="",FALSE,TRUE),AND(AND(IFERROR(INT(LEFT(metadata!C283,4))&gt;1900,FALSE),IFERROR(INT(LEFT(metadata!C283,4))&lt;=YEAR(NOW()),FALSE)), OR(MID(metadata!C283,5,1)="", AND(AND(MID(metadata!C283,5,1)="-",IFERROR(INT(MID(metadata!C283,6,1))&gt;=0,FALSE),IFERROR(INT(MID(metadata!C283,6,1))&lt;=1,FALSE),NOT(MID(metadata!C283,7,1)=""),IFERROR(INT(MID(metadata!C283,6,2))&gt;=1,FALSE),IFERROR(INT(MID(metadata!C283,6,2))&lt;=12,FALSE)), OR(MID(metadata!C283,8,1)="", AND(AND(MID(metadata!C283,8,1)="-",IFERROR(INT(MID(metadata!C283,9,1))&gt;=0,FALSE),IFERROR(INT(MID(metadata!C283,9,1))&lt;=3,FALSE),NOT(MID(metadata!C283,10,1)=""),IFERROR(INT(MID(metadata!C283,9,2))&gt;=1,FALSE),IFERROR(INT(MID(metadata!C283,9,2))&lt;=31,FALSE)), OR(MID(metadata!C283,11,1)="", AND(AND(MID(metadata!C283,11,1)=" ",IFERROR(INT(MID(metadata!C283,12,1))&gt;=0,FALSE),IFERROR(INT(MID(metadata!C283,12,1))&lt;=2,FALSE),NOT(MID(metadata!C283,13,1)=""),IFERROR(INT(MID(metadata!C283,12,2))&gt;=0,FALSE),IFERROR(INT(MID(metadata!C283,12,2))&lt;=23,FALSE)), OR(MID(metadata!C283,14,1)="", AND(AND(MID(metadata!C283,14,1)=":",IFERROR(INT(MID(metadata!C283,15,1))&gt;=0,FALSE),IFERROR(INT(MID(metadata!C283,15,1))&lt;=5,FALSE),NOT(MID(metadata!C283,16,1)=""),IFERROR(INT(MID(metadata!C283,15,2))&gt;=0,FALSE),IFERROR(INT(MID(metadata!C283,15,2))&lt;=59,FALSE)), OR(MID(metadata!C283,17,1)="", AND(AND(MID(metadata!C283,17,1)=":",IFERROR(INT(MID(metadata!C283,18,1))&gt;=0,FALSE),IFERROR(INT(MID(metadata!C283,18,1))&lt;=5,FALSE),NOT(MID(metadata!C283,19,1)=""),IFERROR(INT(MID(metadata!C283,18,2))&gt;=0,FALSE),IFERROR(INT(MID(metadata!C283,18,2))&lt;=59,FALSE)), LEN(metadata!C283)&lt;=19)))))))))))))</f>
        <v>0</v>
      </c>
      <c r="AD283">
        <f>IF(metadata!D283="",FALSE,TRUE)</f>
        <v>0</v>
      </c>
      <c r="AE283">
        <f>OR(AND(IF(metadata!E283="",FALSE,TRUE),OR(exact(metadata!E283,"missing: not collected"),exact(metadata!E283,"missing: not provided"))),AND(IF(metadata!E283="",FALSE,TRUE),OR(exact(metadata!E283,"TRUE"),exact(metadata!E283,"FALSE"))))</f>
        <v>0</v>
      </c>
      <c r="AF283">
        <f>IF(metadata!F283="",FALSE,TRUE)</f>
        <v>0</v>
      </c>
      <c r="AG283">
        <f>IF(metadata!G283="",FALSE,TRUE)</f>
        <v>0</v>
      </c>
      <c r="AH283">
        <f>IF(metadata!H283="",FALSE,TRUE)</f>
        <v>0</v>
      </c>
      <c r="AI283">
        <f>OR(AND(IF(metadata!I283="",FALSE,TRUE),OR(exact(metadata!I283,"missing: not collected"),exact(metadata!I283,"missing: not provided"),exact(metadata!I283,"missing: restricted access"))),AND(IF(metadata!I283="",FALSE,TRUE),OR(exact(metadata!I283,"air"),exact(metadata!I283,"built environment"),exact(metadata!I283,"host-associated"),exact(metadata!I283,"human-associated"),exact(metadata!I283,"human-skin"),exact(metadata!I283,"human-oral"),exact(metadata!I283,"human-gut"),exact(metadata!I283,"human-vaginal"),exact(metadata!I283,"microbial mat/biofilm"),exact(metadata!I283,"misc environment"),exact(metadata!I283,"plant-associated"),exact(metadata!I283,"sediment"),exact(metadata!I283,"soil"),exact(metadata!I283,"wastewater/sludge"),exact(metadata!I283,"water"))))</f>
        <v>0</v>
      </c>
      <c r="AJ283">
        <f>IF(metadata!J283="",FALSE,TRUE)</f>
        <v>0</v>
      </c>
      <c r="AK283">
        <f>OR(AND(IF(metadata!K283="",FALSE,TRUE),OR(exact(metadata!K283,"missing: not collected"),exact(metadata!K283,"missing: not provided"),exact(metadata!K283,"missing: restricted access"))),AND(IF(metadata!K283="",FALSE,ISNUMBER(VALUE(metadata!K283))),metadata!K283&gt;=-90.00,metadata!K283&lt;=90.00))</f>
        <v>0</v>
      </c>
      <c r="AL283">
        <f>OR(AND(IF(metadata!L283="",FALSE,TRUE),OR(exact(metadata!L283,"missing: not collected"),exact(metadata!L283,"missing: not provided"),exact(metadata!L283,"missing: restricted access"))),AND(IF(metadata!L283="",FALSE,ISNUMBER(VALUE(metadata!L283))),metadata!L283&gt;=-180.00,metadata!L283&lt;=180.00))</f>
        <v>0</v>
      </c>
      <c r="AM283">
        <f>IF(metadata!M283="",FALSE,TRUE)</f>
        <v>0</v>
      </c>
      <c r="AN283">
        <f>OR(AND(IF(metadata!N283="",FALSE,TRUE),OR(exact(metadata!N283,"missing: not collected"),exact(metadata!N283,"missing: not provided"),exact(metadata!N283,"missing: restricted access"))),AND(IF(metadata!N283="",FALSE,TRUE),OR(exact(metadata!N283,"TRUE"),exact(metadata!N283,"FALSE"))))</f>
        <v>0</v>
      </c>
      <c r="AO283">
        <f>IF(metadata!O283="",FALSE,TRUE)</f>
        <v>0</v>
      </c>
      <c r="AP283">
        <f>OR(AND(IF(metadata!P283="",FALSE,TRUE),OR(exact(metadata!P283,"missing: not collected"),exact(metadata!P283,"missing: not provided"))),AND(IF(metadata!P283="",FALSE,IF(ISERROR(INT(metadata!P283)),FALSE,INT(metadata!P283)=metadata!P283)),metadata!P283&gt;0))</f>
        <v>0</v>
      </c>
      <c r="AQ283">
        <f>IF(metadata!Q283="",FALSE,TRUE)</f>
        <v>0</v>
      </c>
    </row>
    <row r="284" spans="1:43">
      <c r="A284" s="5">
        <f>IF(B284=" "," ",HYPERLINK(CONCATENATE("#metadata!",ADDRESS(INDEX($W$2:$W$1001,MATCH(ROWS($U$2:U284),$U$2:$U$1001,0),0),1)),INDEX($Z$2:$Z$1001,MATCH(ROWS($U$2:U284),$U$2:$U$1001,0),0)))</f>
        <v>0</v>
      </c>
      <c r="B284" s="4">
        <f>IF(OR(INDEX($V$2:$V$1001,MATCH(ROWS($U$2:U284),$U$2:$U$1001,0),1)&gt;=100000,INDEX($AB$1005:$AQ$1005,1,MATCH(COLUMNS($AB$1006:AB1006),$AB$1006:$AQ$1006,0))&gt;=100000), " ",IF(INDEX($AB$2:$AQ$1001,MATCH(ROWS($U$2:U284),$U$2:$U$1001,0),MATCH(COLUMNS($AB$1006:AB1006),$AB$1006:$AQ$1006,0)), HYPERLINK("#",""), HYPERLINK(CONCATENATE("#metadata!", ADDRESS(INDEX($W$2:$W$1001,MATCH(ROWS($U$2:U284),$U$2:$U$1001,0),0), INDEX($AB$1004:$AQ$1004,1,MATCH(COLUMNS($AB$1006:AB1006),$AB$1006:$AQ$1006,0)))),"Fix")))</f>
        <v>0</v>
      </c>
      <c r="C284" s="4">
        <f>IF(OR(INDEX($V$2:$V$1001,MATCH(ROWS($U$2:U284),$U$2:$U$1001,0),1)&gt;=100000,INDEX($AB$1005:$AQ$1005,1,MATCH(COLUMNS($AB$1006:AC1006),$AB$1006:$AQ$1006,0))&gt;=100000), " ",IF(INDEX($AB$2:$AQ$1001,MATCH(ROWS($U$2:U284),$U$2:$U$1001,0),MATCH(COLUMNS($AB$1006:AC1006),$AB$1006:$AQ$1006,0)), HYPERLINK("#",""), HYPERLINK(CONCATENATE("#metadata!", ADDRESS(INDEX($W$2:$W$1001,MATCH(ROWS($U$2:U284),$U$2:$U$1001,0),0), INDEX($AB$1004:$AQ$1004,1,MATCH(COLUMNS($AB$1006:AC1006),$AB$1006:$AQ$1006,0)))),"Fix")))</f>
        <v>0</v>
      </c>
      <c r="D284" s="4">
        <f>IF(OR(INDEX($V$2:$V$1001,MATCH(ROWS($U$2:U284),$U$2:$U$1001,0),1)&gt;=100000,INDEX($AB$1005:$AQ$1005,1,MATCH(COLUMNS($AB$1006:AD1006),$AB$1006:$AQ$1006,0))&gt;=100000), " ",IF(INDEX($AB$2:$AQ$1001,MATCH(ROWS($U$2:U284),$U$2:$U$1001,0),MATCH(COLUMNS($AB$1006:AD1006),$AB$1006:$AQ$1006,0)), HYPERLINK("#",""), HYPERLINK(CONCATENATE("#metadata!", ADDRESS(INDEX($W$2:$W$1001,MATCH(ROWS($U$2:U284),$U$2:$U$1001,0),0), INDEX($AB$1004:$AQ$1004,1,MATCH(COLUMNS($AB$1006:AD1006),$AB$1006:$AQ$1006,0)))),"Fix")))</f>
        <v>0</v>
      </c>
      <c r="E284" s="4">
        <f>IF(OR(INDEX($V$2:$V$1001,MATCH(ROWS($U$2:U284),$U$2:$U$1001,0),1)&gt;=100000,INDEX($AB$1005:$AQ$1005,1,MATCH(COLUMNS($AB$1006:AE1006),$AB$1006:$AQ$1006,0))&gt;=100000), " ",IF(INDEX($AB$2:$AQ$1001,MATCH(ROWS($U$2:U284),$U$2:$U$1001,0),MATCH(COLUMNS($AB$1006:AE1006),$AB$1006:$AQ$1006,0)), HYPERLINK("#",""), HYPERLINK(CONCATENATE("#metadata!", ADDRESS(INDEX($W$2:$W$1001,MATCH(ROWS($U$2:U284),$U$2:$U$1001,0),0), INDEX($AB$1004:$AQ$1004,1,MATCH(COLUMNS($AB$1006:AE1006),$AB$1006:$AQ$1006,0)))),"Fix")))</f>
        <v>0</v>
      </c>
      <c r="F284" s="4">
        <f>IF(OR(INDEX($V$2:$V$1001,MATCH(ROWS($U$2:U284),$U$2:$U$1001,0),1)&gt;=100000,INDEX($AB$1005:$AQ$1005,1,MATCH(COLUMNS($AB$1006:AF1006),$AB$1006:$AQ$1006,0))&gt;=100000), " ",IF(INDEX($AB$2:$AQ$1001,MATCH(ROWS($U$2:U284),$U$2:$U$1001,0),MATCH(COLUMNS($AB$1006:AF1006),$AB$1006:$AQ$1006,0)), HYPERLINK("#",""), HYPERLINK(CONCATENATE("#metadata!", ADDRESS(INDEX($W$2:$W$1001,MATCH(ROWS($U$2:U284),$U$2:$U$1001,0),0), INDEX($AB$1004:$AQ$1004,1,MATCH(COLUMNS($AB$1006:AF1006),$AB$1006:$AQ$1006,0)))),"Fix")))</f>
        <v>0</v>
      </c>
      <c r="G284" s="4">
        <f>IF(OR(INDEX($V$2:$V$1001,MATCH(ROWS($U$2:U284),$U$2:$U$1001,0),1)&gt;=100000,INDEX($AB$1005:$AQ$1005,1,MATCH(COLUMNS($AB$1006:AG1006),$AB$1006:$AQ$1006,0))&gt;=100000), " ",IF(INDEX($AB$2:$AQ$1001,MATCH(ROWS($U$2:U284),$U$2:$U$1001,0),MATCH(COLUMNS($AB$1006:AG1006),$AB$1006:$AQ$1006,0)), HYPERLINK("#",""), HYPERLINK(CONCATENATE("#metadata!", ADDRESS(INDEX($W$2:$W$1001,MATCH(ROWS($U$2:U284),$U$2:$U$1001,0),0), INDEX($AB$1004:$AQ$1004,1,MATCH(COLUMNS($AB$1006:AG1006),$AB$1006:$AQ$1006,0)))),"Fix")))</f>
        <v>0</v>
      </c>
      <c r="H284" s="4">
        <f>IF(OR(INDEX($V$2:$V$1001,MATCH(ROWS($U$2:U284),$U$2:$U$1001,0),1)&gt;=100000,INDEX($AB$1005:$AQ$1005,1,MATCH(COLUMNS($AB$1006:AH1006),$AB$1006:$AQ$1006,0))&gt;=100000), " ",IF(INDEX($AB$2:$AQ$1001,MATCH(ROWS($U$2:U284),$U$2:$U$1001,0),MATCH(COLUMNS($AB$1006:AH1006),$AB$1006:$AQ$1006,0)), HYPERLINK("#",""), HYPERLINK(CONCATENATE("#metadata!", ADDRESS(INDEX($W$2:$W$1001,MATCH(ROWS($U$2:U284),$U$2:$U$1001,0),0), INDEX($AB$1004:$AQ$1004,1,MATCH(COLUMNS($AB$1006:AH1006),$AB$1006:$AQ$1006,0)))),"Fix")))</f>
        <v>0</v>
      </c>
      <c r="I284" s="4">
        <f>IF(OR(INDEX($V$2:$V$1001,MATCH(ROWS($U$2:U284),$U$2:$U$1001,0),1)&gt;=100000,INDEX($AB$1005:$AQ$1005,1,MATCH(COLUMNS($AB$1006:AI1006),$AB$1006:$AQ$1006,0))&gt;=100000), " ",IF(INDEX($AB$2:$AQ$1001,MATCH(ROWS($U$2:U284),$U$2:$U$1001,0),MATCH(COLUMNS($AB$1006:AI1006),$AB$1006:$AQ$1006,0)), HYPERLINK("#",""), HYPERLINK(CONCATENATE("#metadata!", ADDRESS(INDEX($W$2:$W$1001,MATCH(ROWS($U$2:U284),$U$2:$U$1001,0),0), INDEX($AB$1004:$AQ$1004,1,MATCH(COLUMNS($AB$1006:AI1006),$AB$1006:$AQ$1006,0)))),"Fix")))</f>
        <v>0</v>
      </c>
      <c r="J284" s="4">
        <f>IF(OR(INDEX($V$2:$V$1001,MATCH(ROWS($U$2:U284),$U$2:$U$1001,0),1)&gt;=100000,INDEX($AB$1005:$AQ$1005,1,MATCH(COLUMNS($AB$1006:AJ1006),$AB$1006:$AQ$1006,0))&gt;=100000), " ",IF(INDEX($AB$2:$AQ$1001,MATCH(ROWS($U$2:U284),$U$2:$U$1001,0),MATCH(COLUMNS($AB$1006:AJ1006),$AB$1006:$AQ$1006,0)), HYPERLINK("#",""), HYPERLINK(CONCATENATE("#metadata!", ADDRESS(INDEX($W$2:$W$1001,MATCH(ROWS($U$2:U284),$U$2:$U$1001,0),0), INDEX($AB$1004:$AQ$1004,1,MATCH(COLUMNS($AB$1006:AJ1006),$AB$1006:$AQ$1006,0)))),"Fix")))</f>
        <v>0</v>
      </c>
      <c r="K284" s="4">
        <f>IF(OR(INDEX($V$2:$V$1001,MATCH(ROWS($U$2:U284),$U$2:$U$1001,0),1)&gt;=100000,INDEX($AB$1005:$AQ$1005,1,MATCH(COLUMNS($AB$1006:AK1006),$AB$1006:$AQ$1006,0))&gt;=100000), " ",IF(INDEX($AB$2:$AQ$1001,MATCH(ROWS($U$2:U284),$U$2:$U$1001,0),MATCH(COLUMNS($AB$1006:AK1006),$AB$1006:$AQ$1006,0)), HYPERLINK("#",""), HYPERLINK(CONCATENATE("#metadata!", ADDRESS(INDEX($W$2:$W$1001,MATCH(ROWS($U$2:U284),$U$2:$U$1001,0),0), INDEX($AB$1004:$AQ$1004,1,MATCH(COLUMNS($AB$1006:AK1006),$AB$1006:$AQ$1006,0)))),"Fix")))</f>
        <v>0</v>
      </c>
      <c r="L284" s="4">
        <f>IF(OR(INDEX($V$2:$V$1001,MATCH(ROWS($U$2:U284),$U$2:$U$1001,0),1)&gt;=100000,INDEX($AB$1005:$AQ$1005,1,MATCH(COLUMNS($AB$1006:AL1006),$AB$1006:$AQ$1006,0))&gt;=100000), " ",IF(INDEX($AB$2:$AQ$1001,MATCH(ROWS($U$2:U284),$U$2:$U$1001,0),MATCH(COLUMNS($AB$1006:AL1006),$AB$1006:$AQ$1006,0)), HYPERLINK("#",""), HYPERLINK(CONCATENATE("#metadata!", ADDRESS(INDEX($W$2:$W$1001,MATCH(ROWS($U$2:U284),$U$2:$U$1001,0),0), INDEX($AB$1004:$AQ$1004,1,MATCH(COLUMNS($AB$1006:AL1006),$AB$1006:$AQ$1006,0)))),"Fix")))</f>
        <v>0</v>
      </c>
      <c r="M284" s="4">
        <f>IF(OR(INDEX($V$2:$V$1001,MATCH(ROWS($U$2:U284),$U$2:$U$1001,0),1)&gt;=100000,INDEX($AB$1005:$AQ$1005,1,MATCH(COLUMNS($AB$1006:AM1006),$AB$1006:$AQ$1006,0))&gt;=100000), " ",IF(INDEX($AB$2:$AQ$1001,MATCH(ROWS($U$2:U284),$U$2:$U$1001,0),MATCH(COLUMNS($AB$1006:AM1006),$AB$1006:$AQ$1006,0)), HYPERLINK("#",""), HYPERLINK(CONCATENATE("#metadata!", ADDRESS(INDEX($W$2:$W$1001,MATCH(ROWS($U$2:U284),$U$2:$U$1001,0),0), INDEX($AB$1004:$AQ$1004,1,MATCH(COLUMNS($AB$1006:AM1006),$AB$1006:$AQ$1006,0)))),"Fix")))</f>
        <v>0</v>
      </c>
      <c r="N284" s="4">
        <f>IF(OR(INDEX($V$2:$V$1001,MATCH(ROWS($U$2:U284),$U$2:$U$1001,0),1)&gt;=100000,INDEX($AB$1005:$AQ$1005,1,MATCH(COLUMNS($AB$1006:AN1006),$AB$1006:$AQ$1006,0))&gt;=100000), " ",IF(INDEX($AB$2:$AQ$1001,MATCH(ROWS($U$2:U284),$U$2:$U$1001,0),MATCH(COLUMNS($AB$1006:AN1006),$AB$1006:$AQ$1006,0)), HYPERLINK("#",""), HYPERLINK(CONCATENATE("#metadata!", ADDRESS(INDEX($W$2:$W$1001,MATCH(ROWS($U$2:U284),$U$2:$U$1001,0),0), INDEX($AB$1004:$AQ$1004,1,MATCH(COLUMNS($AB$1006:AN1006),$AB$1006:$AQ$1006,0)))),"Fix")))</f>
        <v>0</v>
      </c>
      <c r="O284" s="4">
        <f>IF(OR(INDEX($V$2:$V$1001,MATCH(ROWS($U$2:U284),$U$2:$U$1001,0),1)&gt;=100000,INDEX($AB$1005:$AQ$1005,1,MATCH(COLUMNS($AB$1006:AO1006),$AB$1006:$AQ$1006,0))&gt;=100000), " ",IF(INDEX($AB$2:$AQ$1001,MATCH(ROWS($U$2:U284),$U$2:$U$1001,0),MATCH(COLUMNS($AB$1006:AO1006),$AB$1006:$AQ$1006,0)), HYPERLINK("#",""), HYPERLINK(CONCATENATE("#metadata!", ADDRESS(INDEX($W$2:$W$1001,MATCH(ROWS($U$2:U284),$U$2:$U$1001,0),0), INDEX($AB$1004:$AQ$1004,1,MATCH(COLUMNS($AB$1006:AO1006),$AB$1006:$AQ$1006,0)))),"Fix")))</f>
        <v>0</v>
      </c>
      <c r="P284" s="4">
        <f>IF(OR(INDEX($V$2:$V$1001,MATCH(ROWS($U$2:U284),$U$2:$U$1001,0),1)&gt;=100000,INDEX($AB$1005:$AQ$1005,1,MATCH(COLUMNS($AB$1006:AP1006),$AB$1006:$AQ$1006,0))&gt;=100000), " ",IF(INDEX($AB$2:$AQ$1001,MATCH(ROWS($U$2:U284),$U$2:$U$1001,0),MATCH(COLUMNS($AB$1006:AP1006),$AB$1006:$AQ$1006,0)), HYPERLINK("#",""), HYPERLINK(CONCATENATE("#metadata!", ADDRESS(INDEX($W$2:$W$1001,MATCH(ROWS($U$2:U284),$U$2:$U$1001,0),0), INDEX($AB$1004:$AQ$1004,1,MATCH(COLUMNS($AB$1006:AP1006),$AB$1006:$AQ$1006,0)))),"Fix")))</f>
        <v>0</v>
      </c>
      <c r="Q284" s="4">
        <f>IF(OR(INDEX($V$2:$V$1001,MATCH(ROWS($U$2:U284),$U$2:$U$1001,0),1)&gt;=100000,INDEX($AB$1005:$AQ$1005,1,MATCH(COLUMNS($AB$1006:AQ1006),$AB$1006:$AQ$1006,0))&gt;=100000), " ",IF(INDEX($AB$2:$AQ$1001,MATCH(ROWS($U$2:U284),$U$2:$U$1001,0),MATCH(COLUMNS($AB$1006:AQ1006),$AB$1006:$AQ$1006,0)), HYPERLINK("#",""), HYPERLINK(CONCATENATE("#metadata!", ADDRESS(INDEX($W$2:$W$1001,MATCH(ROWS($U$2:U284),$U$2:$U$1001,0),0), INDEX($AB$1004:$AQ$1004,1,MATCH(COLUMNS($AB$1006:AQ1006),$AB$1006:$AQ$1006,0)))),"Fix")))</f>
        <v>0</v>
      </c>
      <c r="U284">
        <v>0</v>
      </c>
      <c r="V284">
        <v>0</v>
      </c>
      <c r="W284">
        <v>0</v>
      </c>
      <c r="X284">
        <f>IF(Y284,TRUE,AND(AB284:AQ284))</f>
        <v>0</v>
      </c>
      <c r="Y284">
        <f>COUNTBLANK(metadata!B284:Q284)=COLUMNS(metadata!B284:Q284)</f>
        <v>0</v>
      </c>
      <c r="Z284">
        <v>0</v>
      </c>
      <c r="AB284">
        <f>AND(IF(metadata!B284="",FALSE,TRUE),COUNTIF(metadata!B:B, metadata!B284) = 1,NOT(ISERROR(SUMPRODUCT(SEARCH(MID(metadata!B284,ROW(INDIRECT("1:"&amp;LEN(metadata!B284))), 1),"0123456789abcdefghijklmnopqrstuvwxyzABCDEFGHIJKLMNOPQRSTUVWXYZ.")))))</f>
        <v>0</v>
      </c>
      <c r="AC284">
        <f>OR(AND(IF(metadata!C284="",FALSE,TRUE),OR(exact(metadata!C284,"missing: not collected"),exact(metadata!C284,"missing: not provided"),exact(metadata!C284,"missing: restricted access"))),AND(IF(metadata!C284="",FALSE,TRUE),AND(AND(IFERROR(INT(LEFT(metadata!C284,4))&gt;1900,FALSE),IFERROR(INT(LEFT(metadata!C284,4))&lt;=YEAR(NOW()),FALSE)), OR(MID(metadata!C284,5,1)="", AND(AND(MID(metadata!C284,5,1)="-",IFERROR(INT(MID(metadata!C284,6,1))&gt;=0,FALSE),IFERROR(INT(MID(metadata!C284,6,1))&lt;=1,FALSE),NOT(MID(metadata!C284,7,1)=""),IFERROR(INT(MID(metadata!C284,6,2))&gt;=1,FALSE),IFERROR(INT(MID(metadata!C284,6,2))&lt;=12,FALSE)), OR(MID(metadata!C284,8,1)="", AND(AND(MID(metadata!C284,8,1)="-",IFERROR(INT(MID(metadata!C284,9,1))&gt;=0,FALSE),IFERROR(INT(MID(metadata!C284,9,1))&lt;=3,FALSE),NOT(MID(metadata!C284,10,1)=""),IFERROR(INT(MID(metadata!C284,9,2))&gt;=1,FALSE),IFERROR(INT(MID(metadata!C284,9,2))&lt;=31,FALSE)), OR(MID(metadata!C284,11,1)="", AND(AND(MID(metadata!C284,11,1)=" ",IFERROR(INT(MID(metadata!C284,12,1))&gt;=0,FALSE),IFERROR(INT(MID(metadata!C284,12,1))&lt;=2,FALSE),NOT(MID(metadata!C284,13,1)=""),IFERROR(INT(MID(metadata!C284,12,2))&gt;=0,FALSE),IFERROR(INT(MID(metadata!C284,12,2))&lt;=23,FALSE)), OR(MID(metadata!C284,14,1)="", AND(AND(MID(metadata!C284,14,1)=":",IFERROR(INT(MID(metadata!C284,15,1))&gt;=0,FALSE),IFERROR(INT(MID(metadata!C284,15,1))&lt;=5,FALSE),NOT(MID(metadata!C284,16,1)=""),IFERROR(INT(MID(metadata!C284,15,2))&gt;=0,FALSE),IFERROR(INT(MID(metadata!C284,15,2))&lt;=59,FALSE)), OR(MID(metadata!C284,17,1)="", AND(AND(MID(metadata!C284,17,1)=":",IFERROR(INT(MID(metadata!C284,18,1))&gt;=0,FALSE),IFERROR(INT(MID(metadata!C284,18,1))&lt;=5,FALSE),NOT(MID(metadata!C284,19,1)=""),IFERROR(INT(MID(metadata!C284,18,2))&gt;=0,FALSE),IFERROR(INT(MID(metadata!C284,18,2))&lt;=59,FALSE)), LEN(metadata!C284)&lt;=19)))))))))))))</f>
        <v>0</v>
      </c>
      <c r="AD284">
        <f>IF(metadata!D284="",FALSE,TRUE)</f>
        <v>0</v>
      </c>
      <c r="AE284">
        <f>OR(AND(IF(metadata!E284="",FALSE,TRUE),OR(exact(metadata!E284,"missing: not collected"),exact(metadata!E284,"missing: not provided"))),AND(IF(metadata!E284="",FALSE,TRUE),OR(exact(metadata!E284,"TRUE"),exact(metadata!E284,"FALSE"))))</f>
        <v>0</v>
      </c>
      <c r="AF284">
        <f>IF(metadata!F284="",FALSE,TRUE)</f>
        <v>0</v>
      </c>
      <c r="AG284">
        <f>IF(metadata!G284="",FALSE,TRUE)</f>
        <v>0</v>
      </c>
      <c r="AH284">
        <f>IF(metadata!H284="",FALSE,TRUE)</f>
        <v>0</v>
      </c>
      <c r="AI284">
        <f>OR(AND(IF(metadata!I284="",FALSE,TRUE),OR(exact(metadata!I284,"missing: not collected"),exact(metadata!I284,"missing: not provided"),exact(metadata!I284,"missing: restricted access"))),AND(IF(metadata!I284="",FALSE,TRUE),OR(exact(metadata!I284,"air"),exact(metadata!I284,"built environment"),exact(metadata!I284,"host-associated"),exact(metadata!I284,"human-associated"),exact(metadata!I284,"human-skin"),exact(metadata!I284,"human-oral"),exact(metadata!I284,"human-gut"),exact(metadata!I284,"human-vaginal"),exact(metadata!I284,"microbial mat/biofilm"),exact(metadata!I284,"misc environment"),exact(metadata!I284,"plant-associated"),exact(metadata!I284,"sediment"),exact(metadata!I284,"soil"),exact(metadata!I284,"wastewater/sludge"),exact(metadata!I284,"water"))))</f>
        <v>0</v>
      </c>
      <c r="AJ284">
        <f>IF(metadata!J284="",FALSE,TRUE)</f>
        <v>0</v>
      </c>
      <c r="AK284">
        <f>OR(AND(IF(metadata!K284="",FALSE,TRUE),OR(exact(metadata!K284,"missing: not collected"),exact(metadata!K284,"missing: not provided"),exact(metadata!K284,"missing: restricted access"))),AND(IF(metadata!K284="",FALSE,ISNUMBER(VALUE(metadata!K284))),metadata!K284&gt;=-90.00,metadata!K284&lt;=90.00))</f>
        <v>0</v>
      </c>
      <c r="AL284">
        <f>OR(AND(IF(metadata!L284="",FALSE,TRUE),OR(exact(metadata!L284,"missing: not collected"),exact(metadata!L284,"missing: not provided"),exact(metadata!L284,"missing: restricted access"))),AND(IF(metadata!L284="",FALSE,ISNUMBER(VALUE(metadata!L284))),metadata!L284&gt;=-180.00,metadata!L284&lt;=180.00))</f>
        <v>0</v>
      </c>
      <c r="AM284">
        <f>IF(metadata!M284="",FALSE,TRUE)</f>
        <v>0</v>
      </c>
      <c r="AN284">
        <f>OR(AND(IF(metadata!N284="",FALSE,TRUE),OR(exact(metadata!N284,"missing: not collected"),exact(metadata!N284,"missing: not provided"),exact(metadata!N284,"missing: restricted access"))),AND(IF(metadata!N284="",FALSE,TRUE),OR(exact(metadata!N284,"TRUE"),exact(metadata!N284,"FALSE"))))</f>
        <v>0</v>
      </c>
      <c r="AO284">
        <f>IF(metadata!O284="",FALSE,TRUE)</f>
        <v>0</v>
      </c>
      <c r="AP284">
        <f>OR(AND(IF(metadata!P284="",FALSE,TRUE),OR(exact(metadata!P284,"missing: not collected"),exact(metadata!P284,"missing: not provided"))),AND(IF(metadata!P284="",FALSE,IF(ISERROR(INT(metadata!P284)),FALSE,INT(metadata!P284)=metadata!P284)),metadata!P284&gt;0))</f>
        <v>0</v>
      </c>
      <c r="AQ284">
        <f>IF(metadata!Q284="",FALSE,TRUE)</f>
        <v>0</v>
      </c>
    </row>
    <row r="285" spans="1:43">
      <c r="A285" s="5">
        <f>IF(B285=" "," ",HYPERLINK(CONCATENATE("#metadata!",ADDRESS(INDEX($W$2:$W$1001,MATCH(ROWS($U$2:U285),$U$2:$U$1001,0),0),1)),INDEX($Z$2:$Z$1001,MATCH(ROWS($U$2:U285),$U$2:$U$1001,0),0)))</f>
        <v>0</v>
      </c>
      <c r="B285" s="4">
        <f>IF(OR(INDEX($V$2:$V$1001,MATCH(ROWS($U$2:U285),$U$2:$U$1001,0),1)&gt;=100000,INDEX($AB$1005:$AQ$1005,1,MATCH(COLUMNS($AB$1006:AB1006),$AB$1006:$AQ$1006,0))&gt;=100000), " ",IF(INDEX($AB$2:$AQ$1001,MATCH(ROWS($U$2:U285),$U$2:$U$1001,0),MATCH(COLUMNS($AB$1006:AB1006),$AB$1006:$AQ$1006,0)), HYPERLINK("#",""), HYPERLINK(CONCATENATE("#metadata!", ADDRESS(INDEX($W$2:$W$1001,MATCH(ROWS($U$2:U285),$U$2:$U$1001,0),0), INDEX($AB$1004:$AQ$1004,1,MATCH(COLUMNS($AB$1006:AB1006),$AB$1006:$AQ$1006,0)))),"Fix")))</f>
        <v>0</v>
      </c>
      <c r="C285" s="4">
        <f>IF(OR(INDEX($V$2:$V$1001,MATCH(ROWS($U$2:U285),$U$2:$U$1001,0),1)&gt;=100000,INDEX($AB$1005:$AQ$1005,1,MATCH(COLUMNS($AB$1006:AC1006),$AB$1006:$AQ$1006,0))&gt;=100000), " ",IF(INDEX($AB$2:$AQ$1001,MATCH(ROWS($U$2:U285),$U$2:$U$1001,0),MATCH(COLUMNS($AB$1006:AC1006),$AB$1006:$AQ$1006,0)), HYPERLINK("#",""), HYPERLINK(CONCATENATE("#metadata!", ADDRESS(INDEX($W$2:$W$1001,MATCH(ROWS($U$2:U285),$U$2:$U$1001,0),0), INDEX($AB$1004:$AQ$1004,1,MATCH(COLUMNS($AB$1006:AC1006),$AB$1006:$AQ$1006,0)))),"Fix")))</f>
        <v>0</v>
      </c>
      <c r="D285" s="4">
        <f>IF(OR(INDEX($V$2:$V$1001,MATCH(ROWS($U$2:U285),$U$2:$U$1001,0),1)&gt;=100000,INDEX($AB$1005:$AQ$1005,1,MATCH(COLUMNS($AB$1006:AD1006),$AB$1006:$AQ$1006,0))&gt;=100000), " ",IF(INDEX($AB$2:$AQ$1001,MATCH(ROWS($U$2:U285),$U$2:$U$1001,0),MATCH(COLUMNS($AB$1006:AD1006),$AB$1006:$AQ$1006,0)), HYPERLINK("#",""), HYPERLINK(CONCATENATE("#metadata!", ADDRESS(INDEX($W$2:$W$1001,MATCH(ROWS($U$2:U285),$U$2:$U$1001,0),0), INDEX($AB$1004:$AQ$1004,1,MATCH(COLUMNS($AB$1006:AD1006),$AB$1006:$AQ$1006,0)))),"Fix")))</f>
        <v>0</v>
      </c>
      <c r="E285" s="4">
        <f>IF(OR(INDEX($V$2:$V$1001,MATCH(ROWS($U$2:U285),$U$2:$U$1001,0),1)&gt;=100000,INDEX($AB$1005:$AQ$1005,1,MATCH(COLUMNS($AB$1006:AE1006),$AB$1006:$AQ$1006,0))&gt;=100000), " ",IF(INDEX($AB$2:$AQ$1001,MATCH(ROWS($U$2:U285),$U$2:$U$1001,0),MATCH(COLUMNS($AB$1006:AE1006),$AB$1006:$AQ$1006,0)), HYPERLINK("#",""), HYPERLINK(CONCATENATE("#metadata!", ADDRESS(INDEX($W$2:$W$1001,MATCH(ROWS($U$2:U285),$U$2:$U$1001,0),0), INDEX($AB$1004:$AQ$1004,1,MATCH(COLUMNS($AB$1006:AE1006),$AB$1006:$AQ$1006,0)))),"Fix")))</f>
        <v>0</v>
      </c>
      <c r="F285" s="4">
        <f>IF(OR(INDEX($V$2:$V$1001,MATCH(ROWS($U$2:U285),$U$2:$U$1001,0),1)&gt;=100000,INDEX($AB$1005:$AQ$1005,1,MATCH(COLUMNS($AB$1006:AF1006),$AB$1006:$AQ$1006,0))&gt;=100000), " ",IF(INDEX($AB$2:$AQ$1001,MATCH(ROWS($U$2:U285),$U$2:$U$1001,0),MATCH(COLUMNS($AB$1006:AF1006),$AB$1006:$AQ$1006,0)), HYPERLINK("#",""), HYPERLINK(CONCATENATE("#metadata!", ADDRESS(INDEX($W$2:$W$1001,MATCH(ROWS($U$2:U285),$U$2:$U$1001,0),0), INDEX($AB$1004:$AQ$1004,1,MATCH(COLUMNS($AB$1006:AF1006),$AB$1006:$AQ$1006,0)))),"Fix")))</f>
        <v>0</v>
      </c>
      <c r="G285" s="4">
        <f>IF(OR(INDEX($V$2:$V$1001,MATCH(ROWS($U$2:U285),$U$2:$U$1001,0),1)&gt;=100000,INDEX($AB$1005:$AQ$1005,1,MATCH(COLUMNS($AB$1006:AG1006),$AB$1006:$AQ$1006,0))&gt;=100000), " ",IF(INDEX($AB$2:$AQ$1001,MATCH(ROWS($U$2:U285),$U$2:$U$1001,0),MATCH(COLUMNS($AB$1006:AG1006),$AB$1006:$AQ$1006,0)), HYPERLINK("#",""), HYPERLINK(CONCATENATE("#metadata!", ADDRESS(INDEX($W$2:$W$1001,MATCH(ROWS($U$2:U285),$U$2:$U$1001,0),0), INDEX($AB$1004:$AQ$1004,1,MATCH(COLUMNS($AB$1006:AG1006),$AB$1006:$AQ$1006,0)))),"Fix")))</f>
        <v>0</v>
      </c>
      <c r="H285" s="4">
        <f>IF(OR(INDEX($V$2:$V$1001,MATCH(ROWS($U$2:U285),$U$2:$U$1001,0),1)&gt;=100000,INDEX($AB$1005:$AQ$1005,1,MATCH(COLUMNS($AB$1006:AH1006),$AB$1006:$AQ$1006,0))&gt;=100000), " ",IF(INDEX($AB$2:$AQ$1001,MATCH(ROWS($U$2:U285),$U$2:$U$1001,0),MATCH(COLUMNS($AB$1006:AH1006),$AB$1006:$AQ$1006,0)), HYPERLINK("#",""), HYPERLINK(CONCATENATE("#metadata!", ADDRESS(INDEX($W$2:$W$1001,MATCH(ROWS($U$2:U285),$U$2:$U$1001,0),0), INDEX($AB$1004:$AQ$1004,1,MATCH(COLUMNS($AB$1006:AH1006),$AB$1006:$AQ$1006,0)))),"Fix")))</f>
        <v>0</v>
      </c>
      <c r="I285" s="4">
        <f>IF(OR(INDEX($V$2:$V$1001,MATCH(ROWS($U$2:U285),$U$2:$U$1001,0),1)&gt;=100000,INDEX($AB$1005:$AQ$1005,1,MATCH(COLUMNS($AB$1006:AI1006),$AB$1006:$AQ$1006,0))&gt;=100000), " ",IF(INDEX($AB$2:$AQ$1001,MATCH(ROWS($U$2:U285),$U$2:$U$1001,0),MATCH(COLUMNS($AB$1006:AI1006),$AB$1006:$AQ$1006,0)), HYPERLINK("#",""), HYPERLINK(CONCATENATE("#metadata!", ADDRESS(INDEX($W$2:$W$1001,MATCH(ROWS($U$2:U285),$U$2:$U$1001,0),0), INDEX($AB$1004:$AQ$1004,1,MATCH(COLUMNS($AB$1006:AI1006),$AB$1006:$AQ$1006,0)))),"Fix")))</f>
        <v>0</v>
      </c>
      <c r="J285" s="4">
        <f>IF(OR(INDEX($V$2:$V$1001,MATCH(ROWS($U$2:U285),$U$2:$U$1001,0),1)&gt;=100000,INDEX($AB$1005:$AQ$1005,1,MATCH(COLUMNS($AB$1006:AJ1006),$AB$1006:$AQ$1006,0))&gt;=100000), " ",IF(INDEX($AB$2:$AQ$1001,MATCH(ROWS($U$2:U285),$U$2:$U$1001,0),MATCH(COLUMNS($AB$1006:AJ1006),$AB$1006:$AQ$1006,0)), HYPERLINK("#",""), HYPERLINK(CONCATENATE("#metadata!", ADDRESS(INDEX($W$2:$W$1001,MATCH(ROWS($U$2:U285),$U$2:$U$1001,0),0), INDEX($AB$1004:$AQ$1004,1,MATCH(COLUMNS($AB$1006:AJ1006),$AB$1006:$AQ$1006,0)))),"Fix")))</f>
        <v>0</v>
      </c>
      <c r="K285" s="4">
        <f>IF(OR(INDEX($V$2:$V$1001,MATCH(ROWS($U$2:U285),$U$2:$U$1001,0),1)&gt;=100000,INDEX($AB$1005:$AQ$1005,1,MATCH(COLUMNS($AB$1006:AK1006),$AB$1006:$AQ$1006,0))&gt;=100000), " ",IF(INDEX($AB$2:$AQ$1001,MATCH(ROWS($U$2:U285),$U$2:$U$1001,0),MATCH(COLUMNS($AB$1006:AK1006),$AB$1006:$AQ$1006,0)), HYPERLINK("#",""), HYPERLINK(CONCATENATE("#metadata!", ADDRESS(INDEX($W$2:$W$1001,MATCH(ROWS($U$2:U285),$U$2:$U$1001,0),0), INDEX($AB$1004:$AQ$1004,1,MATCH(COLUMNS($AB$1006:AK1006),$AB$1006:$AQ$1006,0)))),"Fix")))</f>
        <v>0</v>
      </c>
      <c r="L285" s="4">
        <f>IF(OR(INDEX($V$2:$V$1001,MATCH(ROWS($U$2:U285),$U$2:$U$1001,0),1)&gt;=100000,INDEX($AB$1005:$AQ$1005,1,MATCH(COLUMNS($AB$1006:AL1006),$AB$1006:$AQ$1006,0))&gt;=100000), " ",IF(INDEX($AB$2:$AQ$1001,MATCH(ROWS($U$2:U285),$U$2:$U$1001,0),MATCH(COLUMNS($AB$1006:AL1006),$AB$1006:$AQ$1006,0)), HYPERLINK("#",""), HYPERLINK(CONCATENATE("#metadata!", ADDRESS(INDEX($W$2:$W$1001,MATCH(ROWS($U$2:U285),$U$2:$U$1001,0),0), INDEX($AB$1004:$AQ$1004,1,MATCH(COLUMNS($AB$1006:AL1006),$AB$1006:$AQ$1006,0)))),"Fix")))</f>
        <v>0</v>
      </c>
      <c r="M285" s="4">
        <f>IF(OR(INDEX($V$2:$V$1001,MATCH(ROWS($U$2:U285),$U$2:$U$1001,0),1)&gt;=100000,INDEX($AB$1005:$AQ$1005,1,MATCH(COLUMNS($AB$1006:AM1006),$AB$1006:$AQ$1006,0))&gt;=100000), " ",IF(INDEX($AB$2:$AQ$1001,MATCH(ROWS($U$2:U285),$U$2:$U$1001,0),MATCH(COLUMNS($AB$1006:AM1006),$AB$1006:$AQ$1006,0)), HYPERLINK("#",""), HYPERLINK(CONCATENATE("#metadata!", ADDRESS(INDEX($W$2:$W$1001,MATCH(ROWS($U$2:U285),$U$2:$U$1001,0),0), INDEX($AB$1004:$AQ$1004,1,MATCH(COLUMNS($AB$1006:AM1006),$AB$1006:$AQ$1006,0)))),"Fix")))</f>
        <v>0</v>
      </c>
      <c r="N285" s="4">
        <f>IF(OR(INDEX($V$2:$V$1001,MATCH(ROWS($U$2:U285),$U$2:$U$1001,0),1)&gt;=100000,INDEX($AB$1005:$AQ$1005,1,MATCH(COLUMNS($AB$1006:AN1006),$AB$1006:$AQ$1006,0))&gt;=100000), " ",IF(INDEX($AB$2:$AQ$1001,MATCH(ROWS($U$2:U285),$U$2:$U$1001,0),MATCH(COLUMNS($AB$1006:AN1006),$AB$1006:$AQ$1006,0)), HYPERLINK("#",""), HYPERLINK(CONCATENATE("#metadata!", ADDRESS(INDEX($W$2:$W$1001,MATCH(ROWS($U$2:U285),$U$2:$U$1001,0),0), INDEX($AB$1004:$AQ$1004,1,MATCH(COLUMNS($AB$1006:AN1006),$AB$1006:$AQ$1006,0)))),"Fix")))</f>
        <v>0</v>
      </c>
      <c r="O285" s="4">
        <f>IF(OR(INDEX($V$2:$V$1001,MATCH(ROWS($U$2:U285),$U$2:$U$1001,0),1)&gt;=100000,INDEX($AB$1005:$AQ$1005,1,MATCH(COLUMNS($AB$1006:AO1006),$AB$1006:$AQ$1006,0))&gt;=100000), " ",IF(INDEX($AB$2:$AQ$1001,MATCH(ROWS($U$2:U285),$U$2:$U$1001,0),MATCH(COLUMNS($AB$1006:AO1006),$AB$1006:$AQ$1006,0)), HYPERLINK("#",""), HYPERLINK(CONCATENATE("#metadata!", ADDRESS(INDEX($W$2:$W$1001,MATCH(ROWS($U$2:U285),$U$2:$U$1001,0),0), INDEX($AB$1004:$AQ$1004,1,MATCH(COLUMNS($AB$1006:AO1006),$AB$1006:$AQ$1006,0)))),"Fix")))</f>
        <v>0</v>
      </c>
      <c r="P285" s="4">
        <f>IF(OR(INDEX($V$2:$V$1001,MATCH(ROWS($U$2:U285),$U$2:$U$1001,0),1)&gt;=100000,INDEX($AB$1005:$AQ$1005,1,MATCH(COLUMNS($AB$1006:AP1006),$AB$1006:$AQ$1006,0))&gt;=100000), " ",IF(INDEX($AB$2:$AQ$1001,MATCH(ROWS($U$2:U285),$U$2:$U$1001,0),MATCH(COLUMNS($AB$1006:AP1006),$AB$1006:$AQ$1006,0)), HYPERLINK("#",""), HYPERLINK(CONCATENATE("#metadata!", ADDRESS(INDEX($W$2:$W$1001,MATCH(ROWS($U$2:U285),$U$2:$U$1001,0),0), INDEX($AB$1004:$AQ$1004,1,MATCH(COLUMNS($AB$1006:AP1006),$AB$1006:$AQ$1006,0)))),"Fix")))</f>
        <v>0</v>
      </c>
      <c r="Q285" s="4">
        <f>IF(OR(INDEX($V$2:$V$1001,MATCH(ROWS($U$2:U285),$U$2:$U$1001,0),1)&gt;=100000,INDEX($AB$1005:$AQ$1005,1,MATCH(COLUMNS($AB$1006:AQ1006),$AB$1006:$AQ$1006,0))&gt;=100000), " ",IF(INDEX($AB$2:$AQ$1001,MATCH(ROWS($U$2:U285),$U$2:$U$1001,0),MATCH(COLUMNS($AB$1006:AQ1006),$AB$1006:$AQ$1006,0)), HYPERLINK("#",""), HYPERLINK(CONCATENATE("#metadata!", ADDRESS(INDEX($W$2:$W$1001,MATCH(ROWS($U$2:U285),$U$2:$U$1001,0),0), INDEX($AB$1004:$AQ$1004,1,MATCH(COLUMNS($AB$1006:AQ1006),$AB$1006:$AQ$1006,0)))),"Fix")))</f>
        <v>0</v>
      </c>
      <c r="U285">
        <v>0</v>
      </c>
      <c r="V285">
        <v>0</v>
      </c>
      <c r="W285">
        <v>0</v>
      </c>
      <c r="X285">
        <f>IF(Y285,TRUE,AND(AB285:AQ285))</f>
        <v>0</v>
      </c>
      <c r="Y285">
        <f>COUNTBLANK(metadata!B285:Q285)=COLUMNS(metadata!B285:Q285)</f>
        <v>0</v>
      </c>
      <c r="Z285">
        <v>0</v>
      </c>
      <c r="AB285">
        <f>AND(IF(metadata!B285="",FALSE,TRUE),COUNTIF(metadata!B:B, metadata!B285) = 1,NOT(ISERROR(SUMPRODUCT(SEARCH(MID(metadata!B285,ROW(INDIRECT("1:"&amp;LEN(metadata!B285))), 1),"0123456789abcdefghijklmnopqrstuvwxyzABCDEFGHIJKLMNOPQRSTUVWXYZ.")))))</f>
        <v>0</v>
      </c>
      <c r="AC285">
        <f>OR(AND(IF(metadata!C285="",FALSE,TRUE),OR(exact(metadata!C285,"missing: not collected"),exact(metadata!C285,"missing: not provided"),exact(metadata!C285,"missing: restricted access"))),AND(IF(metadata!C285="",FALSE,TRUE),AND(AND(IFERROR(INT(LEFT(metadata!C285,4))&gt;1900,FALSE),IFERROR(INT(LEFT(metadata!C285,4))&lt;=YEAR(NOW()),FALSE)), OR(MID(metadata!C285,5,1)="", AND(AND(MID(metadata!C285,5,1)="-",IFERROR(INT(MID(metadata!C285,6,1))&gt;=0,FALSE),IFERROR(INT(MID(metadata!C285,6,1))&lt;=1,FALSE),NOT(MID(metadata!C285,7,1)=""),IFERROR(INT(MID(metadata!C285,6,2))&gt;=1,FALSE),IFERROR(INT(MID(metadata!C285,6,2))&lt;=12,FALSE)), OR(MID(metadata!C285,8,1)="", AND(AND(MID(metadata!C285,8,1)="-",IFERROR(INT(MID(metadata!C285,9,1))&gt;=0,FALSE),IFERROR(INT(MID(metadata!C285,9,1))&lt;=3,FALSE),NOT(MID(metadata!C285,10,1)=""),IFERROR(INT(MID(metadata!C285,9,2))&gt;=1,FALSE),IFERROR(INT(MID(metadata!C285,9,2))&lt;=31,FALSE)), OR(MID(metadata!C285,11,1)="", AND(AND(MID(metadata!C285,11,1)=" ",IFERROR(INT(MID(metadata!C285,12,1))&gt;=0,FALSE),IFERROR(INT(MID(metadata!C285,12,1))&lt;=2,FALSE),NOT(MID(metadata!C285,13,1)=""),IFERROR(INT(MID(metadata!C285,12,2))&gt;=0,FALSE),IFERROR(INT(MID(metadata!C285,12,2))&lt;=23,FALSE)), OR(MID(metadata!C285,14,1)="", AND(AND(MID(metadata!C285,14,1)=":",IFERROR(INT(MID(metadata!C285,15,1))&gt;=0,FALSE),IFERROR(INT(MID(metadata!C285,15,1))&lt;=5,FALSE),NOT(MID(metadata!C285,16,1)=""),IFERROR(INT(MID(metadata!C285,15,2))&gt;=0,FALSE),IFERROR(INT(MID(metadata!C285,15,2))&lt;=59,FALSE)), OR(MID(metadata!C285,17,1)="", AND(AND(MID(metadata!C285,17,1)=":",IFERROR(INT(MID(metadata!C285,18,1))&gt;=0,FALSE),IFERROR(INT(MID(metadata!C285,18,1))&lt;=5,FALSE),NOT(MID(metadata!C285,19,1)=""),IFERROR(INT(MID(metadata!C285,18,2))&gt;=0,FALSE),IFERROR(INT(MID(metadata!C285,18,2))&lt;=59,FALSE)), LEN(metadata!C285)&lt;=19)))))))))))))</f>
        <v>0</v>
      </c>
      <c r="AD285">
        <f>IF(metadata!D285="",FALSE,TRUE)</f>
        <v>0</v>
      </c>
      <c r="AE285">
        <f>OR(AND(IF(metadata!E285="",FALSE,TRUE),OR(exact(metadata!E285,"missing: not collected"),exact(metadata!E285,"missing: not provided"))),AND(IF(metadata!E285="",FALSE,TRUE),OR(exact(metadata!E285,"TRUE"),exact(metadata!E285,"FALSE"))))</f>
        <v>0</v>
      </c>
      <c r="AF285">
        <f>IF(metadata!F285="",FALSE,TRUE)</f>
        <v>0</v>
      </c>
      <c r="AG285">
        <f>IF(metadata!G285="",FALSE,TRUE)</f>
        <v>0</v>
      </c>
      <c r="AH285">
        <f>IF(metadata!H285="",FALSE,TRUE)</f>
        <v>0</v>
      </c>
      <c r="AI285">
        <f>OR(AND(IF(metadata!I285="",FALSE,TRUE),OR(exact(metadata!I285,"missing: not collected"),exact(metadata!I285,"missing: not provided"),exact(metadata!I285,"missing: restricted access"))),AND(IF(metadata!I285="",FALSE,TRUE),OR(exact(metadata!I285,"air"),exact(metadata!I285,"built environment"),exact(metadata!I285,"host-associated"),exact(metadata!I285,"human-associated"),exact(metadata!I285,"human-skin"),exact(metadata!I285,"human-oral"),exact(metadata!I285,"human-gut"),exact(metadata!I285,"human-vaginal"),exact(metadata!I285,"microbial mat/biofilm"),exact(metadata!I285,"misc environment"),exact(metadata!I285,"plant-associated"),exact(metadata!I285,"sediment"),exact(metadata!I285,"soil"),exact(metadata!I285,"wastewater/sludge"),exact(metadata!I285,"water"))))</f>
        <v>0</v>
      </c>
      <c r="AJ285">
        <f>IF(metadata!J285="",FALSE,TRUE)</f>
        <v>0</v>
      </c>
      <c r="AK285">
        <f>OR(AND(IF(metadata!K285="",FALSE,TRUE),OR(exact(metadata!K285,"missing: not collected"),exact(metadata!K285,"missing: not provided"),exact(metadata!K285,"missing: restricted access"))),AND(IF(metadata!K285="",FALSE,ISNUMBER(VALUE(metadata!K285))),metadata!K285&gt;=-90.00,metadata!K285&lt;=90.00))</f>
        <v>0</v>
      </c>
      <c r="AL285">
        <f>OR(AND(IF(metadata!L285="",FALSE,TRUE),OR(exact(metadata!L285,"missing: not collected"),exact(metadata!L285,"missing: not provided"),exact(metadata!L285,"missing: restricted access"))),AND(IF(metadata!L285="",FALSE,ISNUMBER(VALUE(metadata!L285))),metadata!L285&gt;=-180.00,metadata!L285&lt;=180.00))</f>
        <v>0</v>
      </c>
      <c r="AM285">
        <f>IF(metadata!M285="",FALSE,TRUE)</f>
        <v>0</v>
      </c>
      <c r="AN285">
        <f>OR(AND(IF(metadata!N285="",FALSE,TRUE),OR(exact(metadata!N285,"missing: not collected"),exact(metadata!N285,"missing: not provided"),exact(metadata!N285,"missing: restricted access"))),AND(IF(metadata!N285="",FALSE,TRUE),OR(exact(metadata!N285,"TRUE"),exact(metadata!N285,"FALSE"))))</f>
        <v>0</v>
      </c>
      <c r="AO285">
        <f>IF(metadata!O285="",FALSE,TRUE)</f>
        <v>0</v>
      </c>
      <c r="AP285">
        <f>OR(AND(IF(metadata!P285="",FALSE,TRUE),OR(exact(metadata!P285,"missing: not collected"),exact(metadata!P285,"missing: not provided"))),AND(IF(metadata!P285="",FALSE,IF(ISERROR(INT(metadata!P285)),FALSE,INT(metadata!P285)=metadata!P285)),metadata!P285&gt;0))</f>
        <v>0</v>
      </c>
      <c r="AQ285">
        <f>IF(metadata!Q285="",FALSE,TRUE)</f>
        <v>0</v>
      </c>
    </row>
    <row r="286" spans="1:43">
      <c r="A286" s="5">
        <f>IF(B286=" "," ",HYPERLINK(CONCATENATE("#metadata!",ADDRESS(INDEX($W$2:$W$1001,MATCH(ROWS($U$2:U286),$U$2:$U$1001,0),0),1)),INDEX($Z$2:$Z$1001,MATCH(ROWS($U$2:U286),$U$2:$U$1001,0),0)))</f>
        <v>0</v>
      </c>
      <c r="B286" s="4">
        <f>IF(OR(INDEX($V$2:$V$1001,MATCH(ROWS($U$2:U286),$U$2:$U$1001,0),1)&gt;=100000,INDEX($AB$1005:$AQ$1005,1,MATCH(COLUMNS($AB$1006:AB1006),$AB$1006:$AQ$1006,0))&gt;=100000), " ",IF(INDEX($AB$2:$AQ$1001,MATCH(ROWS($U$2:U286),$U$2:$U$1001,0),MATCH(COLUMNS($AB$1006:AB1006),$AB$1006:$AQ$1006,0)), HYPERLINK("#",""), HYPERLINK(CONCATENATE("#metadata!", ADDRESS(INDEX($W$2:$W$1001,MATCH(ROWS($U$2:U286),$U$2:$U$1001,0),0), INDEX($AB$1004:$AQ$1004,1,MATCH(COLUMNS($AB$1006:AB1006),$AB$1006:$AQ$1006,0)))),"Fix")))</f>
        <v>0</v>
      </c>
      <c r="C286" s="4">
        <f>IF(OR(INDEX($V$2:$V$1001,MATCH(ROWS($U$2:U286),$U$2:$U$1001,0),1)&gt;=100000,INDEX($AB$1005:$AQ$1005,1,MATCH(COLUMNS($AB$1006:AC1006),$AB$1006:$AQ$1006,0))&gt;=100000), " ",IF(INDEX($AB$2:$AQ$1001,MATCH(ROWS($U$2:U286),$U$2:$U$1001,0),MATCH(COLUMNS($AB$1006:AC1006),$AB$1006:$AQ$1006,0)), HYPERLINK("#",""), HYPERLINK(CONCATENATE("#metadata!", ADDRESS(INDEX($W$2:$W$1001,MATCH(ROWS($U$2:U286),$U$2:$U$1001,0),0), INDEX($AB$1004:$AQ$1004,1,MATCH(COLUMNS($AB$1006:AC1006),$AB$1006:$AQ$1006,0)))),"Fix")))</f>
        <v>0</v>
      </c>
      <c r="D286" s="4">
        <f>IF(OR(INDEX($V$2:$V$1001,MATCH(ROWS($U$2:U286),$U$2:$U$1001,0),1)&gt;=100000,INDEX($AB$1005:$AQ$1005,1,MATCH(COLUMNS($AB$1006:AD1006),$AB$1006:$AQ$1006,0))&gt;=100000), " ",IF(INDEX($AB$2:$AQ$1001,MATCH(ROWS($U$2:U286),$U$2:$U$1001,0),MATCH(COLUMNS($AB$1006:AD1006),$AB$1006:$AQ$1006,0)), HYPERLINK("#",""), HYPERLINK(CONCATENATE("#metadata!", ADDRESS(INDEX($W$2:$W$1001,MATCH(ROWS($U$2:U286),$U$2:$U$1001,0),0), INDEX($AB$1004:$AQ$1004,1,MATCH(COLUMNS($AB$1006:AD1006),$AB$1006:$AQ$1006,0)))),"Fix")))</f>
        <v>0</v>
      </c>
      <c r="E286" s="4">
        <f>IF(OR(INDEX($V$2:$V$1001,MATCH(ROWS($U$2:U286),$U$2:$U$1001,0),1)&gt;=100000,INDEX($AB$1005:$AQ$1005,1,MATCH(COLUMNS($AB$1006:AE1006),$AB$1006:$AQ$1006,0))&gt;=100000), " ",IF(INDEX($AB$2:$AQ$1001,MATCH(ROWS($U$2:U286),$U$2:$U$1001,0),MATCH(COLUMNS($AB$1006:AE1006),$AB$1006:$AQ$1006,0)), HYPERLINK("#",""), HYPERLINK(CONCATENATE("#metadata!", ADDRESS(INDEX($W$2:$W$1001,MATCH(ROWS($U$2:U286),$U$2:$U$1001,0),0), INDEX($AB$1004:$AQ$1004,1,MATCH(COLUMNS($AB$1006:AE1006),$AB$1006:$AQ$1006,0)))),"Fix")))</f>
        <v>0</v>
      </c>
      <c r="F286" s="4">
        <f>IF(OR(INDEX($V$2:$V$1001,MATCH(ROWS($U$2:U286),$U$2:$U$1001,0),1)&gt;=100000,INDEX($AB$1005:$AQ$1005,1,MATCH(COLUMNS($AB$1006:AF1006),$AB$1006:$AQ$1006,0))&gt;=100000), " ",IF(INDEX($AB$2:$AQ$1001,MATCH(ROWS($U$2:U286),$U$2:$U$1001,0),MATCH(COLUMNS($AB$1006:AF1006),$AB$1006:$AQ$1006,0)), HYPERLINK("#",""), HYPERLINK(CONCATENATE("#metadata!", ADDRESS(INDEX($W$2:$W$1001,MATCH(ROWS($U$2:U286),$U$2:$U$1001,0),0), INDEX($AB$1004:$AQ$1004,1,MATCH(COLUMNS($AB$1006:AF1006),$AB$1006:$AQ$1006,0)))),"Fix")))</f>
        <v>0</v>
      </c>
      <c r="G286" s="4">
        <f>IF(OR(INDEX($V$2:$V$1001,MATCH(ROWS($U$2:U286),$U$2:$U$1001,0),1)&gt;=100000,INDEX($AB$1005:$AQ$1005,1,MATCH(COLUMNS($AB$1006:AG1006),$AB$1006:$AQ$1006,0))&gt;=100000), " ",IF(INDEX($AB$2:$AQ$1001,MATCH(ROWS($U$2:U286),$U$2:$U$1001,0),MATCH(COLUMNS($AB$1006:AG1006),$AB$1006:$AQ$1006,0)), HYPERLINK("#",""), HYPERLINK(CONCATENATE("#metadata!", ADDRESS(INDEX($W$2:$W$1001,MATCH(ROWS($U$2:U286),$U$2:$U$1001,0),0), INDEX($AB$1004:$AQ$1004,1,MATCH(COLUMNS($AB$1006:AG1006),$AB$1006:$AQ$1006,0)))),"Fix")))</f>
        <v>0</v>
      </c>
      <c r="H286" s="4">
        <f>IF(OR(INDEX($V$2:$V$1001,MATCH(ROWS($U$2:U286),$U$2:$U$1001,0),1)&gt;=100000,INDEX($AB$1005:$AQ$1005,1,MATCH(COLUMNS($AB$1006:AH1006),$AB$1006:$AQ$1006,0))&gt;=100000), " ",IF(INDEX($AB$2:$AQ$1001,MATCH(ROWS($U$2:U286),$U$2:$U$1001,0),MATCH(COLUMNS($AB$1006:AH1006),$AB$1006:$AQ$1006,0)), HYPERLINK("#",""), HYPERLINK(CONCATENATE("#metadata!", ADDRESS(INDEX($W$2:$W$1001,MATCH(ROWS($U$2:U286),$U$2:$U$1001,0),0), INDEX($AB$1004:$AQ$1004,1,MATCH(COLUMNS($AB$1006:AH1006),$AB$1006:$AQ$1006,0)))),"Fix")))</f>
        <v>0</v>
      </c>
      <c r="I286" s="4">
        <f>IF(OR(INDEX($V$2:$V$1001,MATCH(ROWS($U$2:U286),$U$2:$U$1001,0),1)&gt;=100000,INDEX($AB$1005:$AQ$1005,1,MATCH(COLUMNS($AB$1006:AI1006),$AB$1006:$AQ$1006,0))&gt;=100000), " ",IF(INDEX($AB$2:$AQ$1001,MATCH(ROWS($U$2:U286),$U$2:$U$1001,0),MATCH(COLUMNS($AB$1006:AI1006),$AB$1006:$AQ$1006,0)), HYPERLINK("#",""), HYPERLINK(CONCATENATE("#metadata!", ADDRESS(INDEX($W$2:$W$1001,MATCH(ROWS($U$2:U286),$U$2:$U$1001,0),0), INDEX($AB$1004:$AQ$1004,1,MATCH(COLUMNS($AB$1006:AI1006),$AB$1006:$AQ$1006,0)))),"Fix")))</f>
        <v>0</v>
      </c>
      <c r="J286" s="4">
        <f>IF(OR(INDEX($V$2:$V$1001,MATCH(ROWS($U$2:U286),$U$2:$U$1001,0),1)&gt;=100000,INDEX($AB$1005:$AQ$1005,1,MATCH(COLUMNS($AB$1006:AJ1006),$AB$1006:$AQ$1006,0))&gt;=100000), " ",IF(INDEX($AB$2:$AQ$1001,MATCH(ROWS($U$2:U286),$U$2:$U$1001,0),MATCH(COLUMNS($AB$1006:AJ1006),$AB$1006:$AQ$1006,0)), HYPERLINK("#",""), HYPERLINK(CONCATENATE("#metadata!", ADDRESS(INDEX($W$2:$W$1001,MATCH(ROWS($U$2:U286),$U$2:$U$1001,0),0), INDEX($AB$1004:$AQ$1004,1,MATCH(COLUMNS($AB$1006:AJ1006),$AB$1006:$AQ$1006,0)))),"Fix")))</f>
        <v>0</v>
      </c>
      <c r="K286" s="4">
        <f>IF(OR(INDEX($V$2:$V$1001,MATCH(ROWS($U$2:U286),$U$2:$U$1001,0),1)&gt;=100000,INDEX($AB$1005:$AQ$1005,1,MATCH(COLUMNS($AB$1006:AK1006),$AB$1006:$AQ$1006,0))&gt;=100000), " ",IF(INDEX($AB$2:$AQ$1001,MATCH(ROWS($U$2:U286),$U$2:$U$1001,0),MATCH(COLUMNS($AB$1006:AK1006),$AB$1006:$AQ$1006,0)), HYPERLINK("#",""), HYPERLINK(CONCATENATE("#metadata!", ADDRESS(INDEX($W$2:$W$1001,MATCH(ROWS($U$2:U286),$U$2:$U$1001,0),0), INDEX($AB$1004:$AQ$1004,1,MATCH(COLUMNS($AB$1006:AK1006),$AB$1006:$AQ$1006,0)))),"Fix")))</f>
        <v>0</v>
      </c>
      <c r="L286" s="4">
        <f>IF(OR(INDEX($V$2:$V$1001,MATCH(ROWS($U$2:U286),$U$2:$U$1001,0),1)&gt;=100000,INDEX($AB$1005:$AQ$1005,1,MATCH(COLUMNS($AB$1006:AL1006),$AB$1006:$AQ$1006,0))&gt;=100000), " ",IF(INDEX($AB$2:$AQ$1001,MATCH(ROWS($U$2:U286),$U$2:$U$1001,0),MATCH(COLUMNS($AB$1006:AL1006),$AB$1006:$AQ$1006,0)), HYPERLINK("#",""), HYPERLINK(CONCATENATE("#metadata!", ADDRESS(INDEX($W$2:$W$1001,MATCH(ROWS($U$2:U286),$U$2:$U$1001,0),0), INDEX($AB$1004:$AQ$1004,1,MATCH(COLUMNS($AB$1006:AL1006),$AB$1006:$AQ$1006,0)))),"Fix")))</f>
        <v>0</v>
      </c>
      <c r="M286" s="4">
        <f>IF(OR(INDEX($V$2:$V$1001,MATCH(ROWS($U$2:U286),$U$2:$U$1001,0),1)&gt;=100000,INDEX($AB$1005:$AQ$1005,1,MATCH(COLUMNS($AB$1006:AM1006),$AB$1006:$AQ$1006,0))&gt;=100000), " ",IF(INDEX($AB$2:$AQ$1001,MATCH(ROWS($U$2:U286),$U$2:$U$1001,0),MATCH(COLUMNS($AB$1006:AM1006),$AB$1006:$AQ$1006,0)), HYPERLINK("#",""), HYPERLINK(CONCATENATE("#metadata!", ADDRESS(INDEX($W$2:$W$1001,MATCH(ROWS($U$2:U286),$U$2:$U$1001,0),0), INDEX($AB$1004:$AQ$1004,1,MATCH(COLUMNS($AB$1006:AM1006),$AB$1006:$AQ$1006,0)))),"Fix")))</f>
        <v>0</v>
      </c>
      <c r="N286" s="4">
        <f>IF(OR(INDEX($V$2:$V$1001,MATCH(ROWS($U$2:U286),$U$2:$U$1001,0),1)&gt;=100000,INDEX($AB$1005:$AQ$1005,1,MATCH(COLUMNS($AB$1006:AN1006),$AB$1006:$AQ$1006,0))&gt;=100000), " ",IF(INDEX($AB$2:$AQ$1001,MATCH(ROWS($U$2:U286),$U$2:$U$1001,0),MATCH(COLUMNS($AB$1006:AN1006),$AB$1006:$AQ$1006,0)), HYPERLINK("#",""), HYPERLINK(CONCATENATE("#metadata!", ADDRESS(INDEX($W$2:$W$1001,MATCH(ROWS($U$2:U286),$U$2:$U$1001,0),0), INDEX($AB$1004:$AQ$1004,1,MATCH(COLUMNS($AB$1006:AN1006),$AB$1006:$AQ$1006,0)))),"Fix")))</f>
        <v>0</v>
      </c>
      <c r="O286" s="4">
        <f>IF(OR(INDEX($V$2:$V$1001,MATCH(ROWS($U$2:U286),$U$2:$U$1001,0),1)&gt;=100000,INDEX($AB$1005:$AQ$1005,1,MATCH(COLUMNS($AB$1006:AO1006),$AB$1006:$AQ$1006,0))&gt;=100000), " ",IF(INDEX($AB$2:$AQ$1001,MATCH(ROWS($U$2:U286),$U$2:$U$1001,0),MATCH(COLUMNS($AB$1006:AO1006),$AB$1006:$AQ$1006,0)), HYPERLINK("#",""), HYPERLINK(CONCATENATE("#metadata!", ADDRESS(INDEX($W$2:$W$1001,MATCH(ROWS($U$2:U286),$U$2:$U$1001,0),0), INDEX($AB$1004:$AQ$1004,1,MATCH(COLUMNS($AB$1006:AO1006),$AB$1006:$AQ$1006,0)))),"Fix")))</f>
        <v>0</v>
      </c>
      <c r="P286" s="4">
        <f>IF(OR(INDEX($V$2:$V$1001,MATCH(ROWS($U$2:U286),$U$2:$U$1001,0),1)&gt;=100000,INDEX($AB$1005:$AQ$1005,1,MATCH(COLUMNS($AB$1006:AP1006),$AB$1006:$AQ$1006,0))&gt;=100000), " ",IF(INDEX($AB$2:$AQ$1001,MATCH(ROWS($U$2:U286),$U$2:$U$1001,0),MATCH(COLUMNS($AB$1006:AP1006),$AB$1006:$AQ$1006,0)), HYPERLINK("#",""), HYPERLINK(CONCATENATE("#metadata!", ADDRESS(INDEX($W$2:$W$1001,MATCH(ROWS($U$2:U286),$U$2:$U$1001,0),0), INDEX($AB$1004:$AQ$1004,1,MATCH(COLUMNS($AB$1006:AP1006),$AB$1006:$AQ$1006,0)))),"Fix")))</f>
        <v>0</v>
      </c>
      <c r="Q286" s="4">
        <f>IF(OR(INDEX($V$2:$V$1001,MATCH(ROWS($U$2:U286),$U$2:$U$1001,0),1)&gt;=100000,INDEX($AB$1005:$AQ$1005,1,MATCH(COLUMNS($AB$1006:AQ1006),$AB$1006:$AQ$1006,0))&gt;=100000), " ",IF(INDEX($AB$2:$AQ$1001,MATCH(ROWS($U$2:U286),$U$2:$U$1001,0),MATCH(COLUMNS($AB$1006:AQ1006),$AB$1006:$AQ$1006,0)), HYPERLINK("#",""), HYPERLINK(CONCATENATE("#metadata!", ADDRESS(INDEX($W$2:$W$1001,MATCH(ROWS($U$2:U286),$U$2:$U$1001,0),0), INDEX($AB$1004:$AQ$1004,1,MATCH(COLUMNS($AB$1006:AQ1006),$AB$1006:$AQ$1006,0)))),"Fix")))</f>
        <v>0</v>
      </c>
      <c r="U286">
        <v>0</v>
      </c>
      <c r="V286">
        <v>0</v>
      </c>
      <c r="W286">
        <v>0</v>
      </c>
      <c r="X286">
        <f>IF(Y286,TRUE,AND(AB286:AQ286))</f>
        <v>0</v>
      </c>
      <c r="Y286">
        <f>COUNTBLANK(metadata!B286:Q286)=COLUMNS(metadata!B286:Q286)</f>
        <v>0</v>
      </c>
      <c r="Z286">
        <v>0</v>
      </c>
      <c r="AB286">
        <f>AND(IF(metadata!B286="",FALSE,TRUE),COUNTIF(metadata!B:B, metadata!B286) = 1,NOT(ISERROR(SUMPRODUCT(SEARCH(MID(metadata!B286,ROW(INDIRECT("1:"&amp;LEN(metadata!B286))), 1),"0123456789abcdefghijklmnopqrstuvwxyzABCDEFGHIJKLMNOPQRSTUVWXYZ.")))))</f>
        <v>0</v>
      </c>
      <c r="AC286">
        <f>OR(AND(IF(metadata!C286="",FALSE,TRUE),OR(exact(metadata!C286,"missing: not collected"),exact(metadata!C286,"missing: not provided"),exact(metadata!C286,"missing: restricted access"))),AND(IF(metadata!C286="",FALSE,TRUE),AND(AND(IFERROR(INT(LEFT(metadata!C286,4))&gt;1900,FALSE),IFERROR(INT(LEFT(metadata!C286,4))&lt;=YEAR(NOW()),FALSE)), OR(MID(metadata!C286,5,1)="", AND(AND(MID(metadata!C286,5,1)="-",IFERROR(INT(MID(metadata!C286,6,1))&gt;=0,FALSE),IFERROR(INT(MID(metadata!C286,6,1))&lt;=1,FALSE),NOT(MID(metadata!C286,7,1)=""),IFERROR(INT(MID(metadata!C286,6,2))&gt;=1,FALSE),IFERROR(INT(MID(metadata!C286,6,2))&lt;=12,FALSE)), OR(MID(metadata!C286,8,1)="", AND(AND(MID(metadata!C286,8,1)="-",IFERROR(INT(MID(metadata!C286,9,1))&gt;=0,FALSE),IFERROR(INT(MID(metadata!C286,9,1))&lt;=3,FALSE),NOT(MID(metadata!C286,10,1)=""),IFERROR(INT(MID(metadata!C286,9,2))&gt;=1,FALSE),IFERROR(INT(MID(metadata!C286,9,2))&lt;=31,FALSE)), OR(MID(metadata!C286,11,1)="", AND(AND(MID(metadata!C286,11,1)=" ",IFERROR(INT(MID(metadata!C286,12,1))&gt;=0,FALSE),IFERROR(INT(MID(metadata!C286,12,1))&lt;=2,FALSE),NOT(MID(metadata!C286,13,1)=""),IFERROR(INT(MID(metadata!C286,12,2))&gt;=0,FALSE),IFERROR(INT(MID(metadata!C286,12,2))&lt;=23,FALSE)), OR(MID(metadata!C286,14,1)="", AND(AND(MID(metadata!C286,14,1)=":",IFERROR(INT(MID(metadata!C286,15,1))&gt;=0,FALSE),IFERROR(INT(MID(metadata!C286,15,1))&lt;=5,FALSE),NOT(MID(metadata!C286,16,1)=""),IFERROR(INT(MID(metadata!C286,15,2))&gt;=0,FALSE),IFERROR(INT(MID(metadata!C286,15,2))&lt;=59,FALSE)), OR(MID(metadata!C286,17,1)="", AND(AND(MID(metadata!C286,17,1)=":",IFERROR(INT(MID(metadata!C286,18,1))&gt;=0,FALSE),IFERROR(INT(MID(metadata!C286,18,1))&lt;=5,FALSE),NOT(MID(metadata!C286,19,1)=""),IFERROR(INT(MID(metadata!C286,18,2))&gt;=0,FALSE),IFERROR(INT(MID(metadata!C286,18,2))&lt;=59,FALSE)), LEN(metadata!C286)&lt;=19)))))))))))))</f>
        <v>0</v>
      </c>
      <c r="AD286">
        <f>IF(metadata!D286="",FALSE,TRUE)</f>
        <v>0</v>
      </c>
      <c r="AE286">
        <f>OR(AND(IF(metadata!E286="",FALSE,TRUE),OR(exact(metadata!E286,"missing: not collected"),exact(metadata!E286,"missing: not provided"))),AND(IF(metadata!E286="",FALSE,TRUE),OR(exact(metadata!E286,"TRUE"),exact(metadata!E286,"FALSE"))))</f>
        <v>0</v>
      </c>
      <c r="AF286">
        <f>IF(metadata!F286="",FALSE,TRUE)</f>
        <v>0</v>
      </c>
      <c r="AG286">
        <f>IF(metadata!G286="",FALSE,TRUE)</f>
        <v>0</v>
      </c>
      <c r="AH286">
        <f>IF(metadata!H286="",FALSE,TRUE)</f>
        <v>0</v>
      </c>
      <c r="AI286">
        <f>OR(AND(IF(metadata!I286="",FALSE,TRUE),OR(exact(metadata!I286,"missing: not collected"),exact(metadata!I286,"missing: not provided"),exact(metadata!I286,"missing: restricted access"))),AND(IF(metadata!I286="",FALSE,TRUE),OR(exact(metadata!I286,"air"),exact(metadata!I286,"built environment"),exact(metadata!I286,"host-associated"),exact(metadata!I286,"human-associated"),exact(metadata!I286,"human-skin"),exact(metadata!I286,"human-oral"),exact(metadata!I286,"human-gut"),exact(metadata!I286,"human-vaginal"),exact(metadata!I286,"microbial mat/biofilm"),exact(metadata!I286,"misc environment"),exact(metadata!I286,"plant-associated"),exact(metadata!I286,"sediment"),exact(metadata!I286,"soil"),exact(metadata!I286,"wastewater/sludge"),exact(metadata!I286,"water"))))</f>
        <v>0</v>
      </c>
      <c r="AJ286">
        <f>IF(metadata!J286="",FALSE,TRUE)</f>
        <v>0</v>
      </c>
      <c r="AK286">
        <f>OR(AND(IF(metadata!K286="",FALSE,TRUE),OR(exact(metadata!K286,"missing: not collected"),exact(metadata!K286,"missing: not provided"),exact(metadata!K286,"missing: restricted access"))),AND(IF(metadata!K286="",FALSE,ISNUMBER(VALUE(metadata!K286))),metadata!K286&gt;=-90.00,metadata!K286&lt;=90.00))</f>
        <v>0</v>
      </c>
      <c r="AL286">
        <f>OR(AND(IF(metadata!L286="",FALSE,TRUE),OR(exact(metadata!L286,"missing: not collected"),exact(metadata!L286,"missing: not provided"),exact(metadata!L286,"missing: restricted access"))),AND(IF(metadata!L286="",FALSE,ISNUMBER(VALUE(metadata!L286))),metadata!L286&gt;=-180.00,metadata!L286&lt;=180.00))</f>
        <v>0</v>
      </c>
      <c r="AM286">
        <f>IF(metadata!M286="",FALSE,TRUE)</f>
        <v>0</v>
      </c>
      <c r="AN286">
        <f>OR(AND(IF(metadata!N286="",FALSE,TRUE),OR(exact(metadata!N286,"missing: not collected"),exact(metadata!N286,"missing: not provided"),exact(metadata!N286,"missing: restricted access"))),AND(IF(metadata!N286="",FALSE,TRUE),OR(exact(metadata!N286,"TRUE"),exact(metadata!N286,"FALSE"))))</f>
        <v>0</v>
      </c>
      <c r="AO286">
        <f>IF(metadata!O286="",FALSE,TRUE)</f>
        <v>0</v>
      </c>
      <c r="AP286">
        <f>OR(AND(IF(metadata!P286="",FALSE,TRUE),OR(exact(metadata!P286,"missing: not collected"),exact(metadata!P286,"missing: not provided"))),AND(IF(metadata!P286="",FALSE,IF(ISERROR(INT(metadata!P286)),FALSE,INT(metadata!P286)=metadata!P286)),metadata!P286&gt;0))</f>
        <v>0</v>
      </c>
      <c r="AQ286">
        <f>IF(metadata!Q286="",FALSE,TRUE)</f>
        <v>0</v>
      </c>
    </row>
    <row r="287" spans="1:43">
      <c r="A287" s="5">
        <f>IF(B287=" "," ",HYPERLINK(CONCATENATE("#metadata!",ADDRESS(INDEX($W$2:$W$1001,MATCH(ROWS($U$2:U287),$U$2:$U$1001,0),0),1)),INDEX($Z$2:$Z$1001,MATCH(ROWS($U$2:U287),$U$2:$U$1001,0),0)))</f>
        <v>0</v>
      </c>
      <c r="B287" s="4">
        <f>IF(OR(INDEX($V$2:$V$1001,MATCH(ROWS($U$2:U287),$U$2:$U$1001,0),1)&gt;=100000,INDEX($AB$1005:$AQ$1005,1,MATCH(COLUMNS($AB$1006:AB1006),$AB$1006:$AQ$1006,0))&gt;=100000), " ",IF(INDEX($AB$2:$AQ$1001,MATCH(ROWS($U$2:U287),$U$2:$U$1001,0),MATCH(COLUMNS($AB$1006:AB1006),$AB$1006:$AQ$1006,0)), HYPERLINK("#",""), HYPERLINK(CONCATENATE("#metadata!", ADDRESS(INDEX($W$2:$W$1001,MATCH(ROWS($U$2:U287),$U$2:$U$1001,0),0), INDEX($AB$1004:$AQ$1004,1,MATCH(COLUMNS($AB$1006:AB1006),$AB$1006:$AQ$1006,0)))),"Fix")))</f>
        <v>0</v>
      </c>
      <c r="C287" s="4">
        <f>IF(OR(INDEX($V$2:$V$1001,MATCH(ROWS($U$2:U287),$U$2:$U$1001,0),1)&gt;=100000,INDEX($AB$1005:$AQ$1005,1,MATCH(COLUMNS($AB$1006:AC1006),$AB$1006:$AQ$1006,0))&gt;=100000), " ",IF(INDEX($AB$2:$AQ$1001,MATCH(ROWS($U$2:U287),$U$2:$U$1001,0),MATCH(COLUMNS($AB$1006:AC1006),$AB$1006:$AQ$1006,0)), HYPERLINK("#",""), HYPERLINK(CONCATENATE("#metadata!", ADDRESS(INDEX($W$2:$W$1001,MATCH(ROWS($U$2:U287),$U$2:$U$1001,0),0), INDEX($AB$1004:$AQ$1004,1,MATCH(COLUMNS($AB$1006:AC1006),$AB$1006:$AQ$1006,0)))),"Fix")))</f>
        <v>0</v>
      </c>
      <c r="D287" s="4">
        <f>IF(OR(INDEX($V$2:$V$1001,MATCH(ROWS($U$2:U287),$U$2:$U$1001,0),1)&gt;=100000,INDEX($AB$1005:$AQ$1005,1,MATCH(COLUMNS($AB$1006:AD1006),$AB$1006:$AQ$1006,0))&gt;=100000), " ",IF(INDEX($AB$2:$AQ$1001,MATCH(ROWS($U$2:U287),$U$2:$U$1001,0),MATCH(COLUMNS($AB$1006:AD1006),$AB$1006:$AQ$1006,0)), HYPERLINK("#",""), HYPERLINK(CONCATENATE("#metadata!", ADDRESS(INDEX($W$2:$W$1001,MATCH(ROWS($U$2:U287),$U$2:$U$1001,0),0), INDEX($AB$1004:$AQ$1004,1,MATCH(COLUMNS($AB$1006:AD1006),$AB$1006:$AQ$1006,0)))),"Fix")))</f>
        <v>0</v>
      </c>
      <c r="E287" s="4">
        <f>IF(OR(INDEX($V$2:$V$1001,MATCH(ROWS($U$2:U287),$U$2:$U$1001,0),1)&gt;=100000,INDEX($AB$1005:$AQ$1005,1,MATCH(COLUMNS($AB$1006:AE1006),$AB$1006:$AQ$1006,0))&gt;=100000), " ",IF(INDEX($AB$2:$AQ$1001,MATCH(ROWS($U$2:U287),$U$2:$U$1001,0),MATCH(COLUMNS($AB$1006:AE1006),$AB$1006:$AQ$1006,0)), HYPERLINK("#",""), HYPERLINK(CONCATENATE("#metadata!", ADDRESS(INDEX($W$2:$W$1001,MATCH(ROWS($U$2:U287),$U$2:$U$1001,0),0), INDEX($AB$1004:$AQ$1004,1,MATCH(COLUMNS($AB$1006:AE1006),$AB$1006:$AQ$1006,0)))),"Fix")))</f>
        <v>0</v>
      </c>
      <c r="F287" s="4">
        <f>IF(OR(INDEX($V$2:$V$1001,MATCH(ROWS($U$2:U287),$U$2:$U$1001,0),1)&gt;=100000,INDEX($AB$1005:$AQ$1005,1,MATCH(COLUMNS($AB$1006:AF1006),$AB$1006:$AQ$1006,0))&gt;=100000), " ",IF(INDEX($AB$2:$AQ$1001,MATCH(ROWS($U$2:U287),$U$2:$U$1001,0),MATCH(COLUMNS($AB$1006:AF1006),$AB$1006:$AQ$1006,0)), HYPERLINK("#",""), HYPERLINK(CONCATENATE("#metadata!", ADDRESS(INDEX($W$2:$W$1001,MATCH(ROWS($U$2:U287),$U$2:$U$1001,0),0), INDEX($AB$1004:$AQ$1004,1,MATCH(COLUMNS($AB$1006:AF1006),$AB$1006:$AQ$1006,0)))),"Fix")))</f>
        <v>0</v>
      </c>
      <c r="G287" s="4">
        <f>IF(OR(INDEX($V$2:$V$1001,MATCH(ROWS($U$2:U287),$U$2:$U$1001,0),1)&gt;=100000,INDEX($AB$1005:$AQ$1005,1,MATCH(COLUMNS($AB$1006:AG1006),$AB$1006:$AQ$1006,0))&gt;=100000), " ",IF(INDEX($AB$2:$AQ$1001,MATCH(ROWS($U$2:U287),$U$2:$U$1001,0),MATCH(COLUMNS($AB$1006:AG1006),$AB$1006:$AQ$1006,0)), HYPERLINK("#",""), HYPERLINK(CONCATENATE("#metadata!", ADDRESS(INDEX($W$2:$W$1001,MATCH(ROWS($U$2:U287),$U$2:$U$1001,0),0), INDEX($AB$1004:$AQ$1004,1,MATCH(COLUMNS($AB$1006:AG1006),$AB$1006:$AQ$1006,0)))),"Fix")))</f>
        <v>0</v>
      </c>
      <c r="H287" s="4">
        <f>IF(OR(INDEX($V$2:$V$1001,MATCH(ROWS($U$2:U287),$U$2:$U$1001,0),1)&gt;=100000,INDEX($AB$1005:$AQ$1005,1,MATCH(COLUMNS($AB$1006:AH1006),$AB$1006:$AQ$1006,0))&gt;=100000), " ",IF(INDEX($AB$2:$AQ$1001,MATCH(ROWS($U$2:U287),$U$2:$U$1001,0),MATCH(COLUMNS($AB$1006:AH1006),$AB$1006:$AQ$1006,0)), HYPERLINK("#",""), HYPERLINK(CONCATENATE("#metadata!", ADDRESS(INDEX($W$2:$W$1001,MATCH(ROWS($U$2:U287),$U$2:$U$1001,0),0), INDEX($AB$1004:$AQ$1004,1,MATCH(COLUMNS($AB$1006:AH1006),$AB$1006:$AQ$1006,0)))),"Fix")))</f>
        <v>0</v>
      </c>
      <c r="I287" s="4">
        <f>IF(OR(INDEX($V$2:$V$1001,MATCH(ROWS($U$2:U287),$U$2:$U$1001,0),1)&gt;=100000,INDEX($AB$1005:$AQ$1005,1,MATCH(COLUMNS($AB$1006:AI1006),$AB$1006:$AQ$1006,0))&gt;=100000), " ",IF(INDEX($AB$2:$AQ$1001,MATCH(ROWS($U$2:U287),$U$2:$U$1001,0),MATCH(COLUMNS($AB$1006:AI1006),$AB$1006:$AQ$1006,0)), HYPERLINK("#",""), HYPERLINK(CONCATENATE("#metadata!", ADDRESS(INDEX($W$2:$W$1001,MATCH(ROWS($U$2:U287),$U$2:$U$1001,0),0), INDEX($AB$1004:$AQ$1004,1,MATCH(COLUMNS($AB$1006:AI1006),$AB$1006:$AQ$1006,0)))),"Fix")))</f>
        <v>0</v>
      </c>
      <c r="J287" s="4">
        <f>IF(OR(INDEX($V$2:$V$1001,MATCH(ROWS($U$2:U287),$U$2:$U$1001,0),1)&gt;=100000,INDEX($AB$1005:$AQ$1005,1,MATCH(COLUMNS($AB$1006:AJ1006),$AB$1006:$AQ$1006,0))&gt;=100000), " ",IF(INDEX($AB$2:$AQ$1001,MATCH(ROWS($U$2:U287),$U$2:$U$1001,0),MATCH(COLUMNS($AB$1006:AJ1006),$AB$1006:$AQ$1006,0)), HYPERLINK("#",""), HYPERLINK(CONCATENATE("#metadata!", ADDRESS(INDEX($W$2:$W$1001,MATCH(ROWS($U$2:U287),$U$2:$U$1001,0),0), INDEX($AB$1004:$AQ$1004,1,MATCH(COLUMNS($AB$1006:AJ1006),$AB$1006:$AQ$1006,0)))),"Fix")))</f>
        <v>0</v>
      </c>
      <c r="K287" s="4">
        <f>IF(OR(INDEX($V$2:$V$1001,MATCH(ROWS($U$2:U287),$U$2:$U$1001,0),1)&gt;=100000,INDEX($AB$1005:$AQ$1005,1,MATCH(COLUMNS($AB$1006:AK1006),$AB$1006:$AQ$1006,0))&gt;=100000), " ",IF(INDEX($AB$2:$AQ$1001,MATCH(ROWS($U$2:U287),$U$2:$U$1001,0),MATCH(COLUMNS($AB$1006:AK1006),$AB$1006:$AQ$1006,0)), HYPERLINK("#",""), HYPERLINK(CONCATENATE("#metadata!", ADDRESS(INDEX($W$2:$W$1001,MATCH(ROWS($U$2:U287),$U$2:$U$1001,0),0), INDEX($AB$1004:$AQ$1004,1,MATCH(COLUMNS($AB$1006:AK1006),$AB$1006:$AQ$1006,0)))),"Fix")))</f>
        <v>0</v>
      </c>
      <c r="L287" s="4">
        <f>IF(OR(INDEX($V$2:$V$1001,MATCH(ROWS($U$2:U287),$U$2:$U$1001,0),1)&gt;=100000,INDEX($AB$1005:$AQ$1005,1,MATCH(COLUMNS($AB$1006:AL1006),$AB$1006:$AQ$1006,0))&gt;=100000), " ",IF(INDEX($AB$2:$AQ$1001,MATCH(ROWS($U$2:U287),$U$2:$U$1001,0),MATCH(COLUMNS($AB$1006:AL1006),$AB$1006:$AQ$1006,0)), HYPERLINK("#",""), HYPERLINK(CONCATENATE("#metadata!", ADDRESS(INDEX($W$2:$W$1001,MATCH(ROWS($U$2:U287),$U$2:$U$1001,0),0), INDEX($AB$1004:$AQ$1004,1,MATCH(COLUMNS($AB$1006:AL1006),$AB$1006:$AQ$1006,0)))),"Fix")))</f>
        <v>0</v>
      </c>
      <c r="M287" s="4">
        <f>IF(OR(INDEX($V$2:$V$1001,MATCH(ROWS($U$2:U287),$U$2:$U$1001,0),1)&gt;=100000,INDEX($AB$1005:$AQ$1005,1,MATCH(COLUMNS($AB$1006:AM1006),$AB$1006:$AQ$1006,0))&gt;=100000), " ",IF(INDEX($AB$2:$AQ$1001,MATCH(ROWS($U$2:U287),$U$2:$U$1001,0),MATCH(COLUMNS($AB$1006:AM1006),$AB$1006:$AQ$1006,0)), HYPERLINK("#",""), HYPERLINK(CONCATENATE("#metadata!", ADDRESS(INDEX($W$2:$W$1001,MATCH(ROWS($U$2:U287),$U$2:$U$1001,0),0), INDEX($AB$1004:$AQ$1004,1,MATCH(COLUMNS($AB$1006:AM1006),$AB$1006:$AQ$1006,0)))),"Fix")))</f>
        <v>0</v>
      </c>
      <c r="N287" s="4">
        <f>IF(OR(INDEX($V$2:$V$1001,MATCH(ROWS($U$2:U287),$U$2:$U$1001,0),1)&gt;=100000,INDEX($AB$1005:$AQ$1005,1,MATCH(COLUMNS($AB$1006:AN1006),$AB$1006:$AQ$1006,0))&gt;=100000), " ",IF(INDEX($AB$2:$AQ$1001,MATCH(ROWS($U$2:U287),$U$2:$U$1001,0),MATCH(COLUMNS($AB$1006:AN1006),$AB$1006:$AQ$1006,0)), HYPERLINK("#",""), HYPERLINK(CONCATENATE("#metadata!", ADDRESS(INDEX($W$2:$W$1001,MATCH(ROWS($U$2:U287),$U$2:$U$1001,0),0), INDEX($AB$1004:$AQ$1004,1,MATCH(COLUMNS($AB$1006:AN1006),$AB$1006:$AQ$1006,0)))),"Fix")))</f>
        <v>0</v>
      </c>
      <c r="O287" s="4">
        <f>IF(OR(INDEX($V$2:$V$1001,MATCH(ROWS($U$2:U287),$U$2:$U$1001,0),1)&gt;=100000,INDEX($AB$1005:$AQ$1005,1,MATCH(COLUMNS($AB$1006:AO1006),$AB$1006:$AQ$1006,0))&gt;=100000), " ",IF(INDEX($AB$2:$AQ$1001,MATCH(ROWS($U$2:U287),$U$2:$U$1001,0),MATCH(COLUMNS($AB$1006:AO1006),$AB$1006:$AQ$1006,0)), HYPERLINK("#",""), HYPERLINK(CONCATENATE("#metadata!", ADDRESS(INDEX($W$2:$W$1001,MATCH(ROWS($U$2:U287),$U$2:$U$1001,0),0), INDEX($AB$1004:$AQ$1004,1,MATCH(COLUMNS($AB$1006:AO1006),$AB$1006:$AQ$1006,0)))),"Fix")))</f>
        <v>0</v>
      </c>
      <c r="P287" s="4">
        <f>IF(OR(INDEX($V$2:$V$1001,MATCH(ROWS($U$2:U287),$U$2:$U$1001,0),1)&gt;=100000,INDEX($AB$1005:$AQ$1005,1,MATCH(COLUMNS($AB$1006:AP1006),$AB$1006:$AQ$1006,0))&gt;=100000), " ",IF(INDEX($AB$2:$AQ$1001,MATCH(ROWS($U$2:U287),$U$2:$U$1001,0),MATCH(COLUMNS($AB$1006:AP1006),$AB$1006:$AQ$1006,0)), HYPERLINK("#",""), HYPERLINK(CONCATENATE("#metadata!", ADDRESS(INDEX($W$2:$W$1001,MATCH(ROWS($U$2:U287),$U$2:$U$1001,0),0), INDEX($AB$1004:$AQ$1004,1,MATCH(COLUMNS($AB$1006:AP1006),$AB$1006:$AQ$1006,0)))),"Fix")))</f>
        <v>0</v>
      </c>
      <c r="Q287" s="4">
        <f>IF(OR(INDEX($V$2:$V$1001,MATCH(ROWS($U$2:U287),$U$2:$U$1001,0),1)&gt;=100000,INDEX($AB$1005:$AQ$1005,1,MATCH(COLUMNS($AB$1006:AQ1006),$AB$1006:$AQ$1006,0))&gt;=100000), " ",IF(INDEX($AB$2:$AQ$1001,MATCH(ROWS($U$2:U287),$U$2:$U$1001,0),MATCH(COLUMNS($AB$1006:AQ1006),$AB$1006:$AQ$1006,0)), HYPERLINK("#",""), HYPERLINK(CONCATENATE("#metadata!", ADDRESS(INDEX($W$2:$W$1001,MATCH(ROWS($U$2:U287),$U$2:$U$1001,0),0), INDEX($AB$1004:$AQ$1004,1,MATCH(COLUMNS($AB$1006:AQ1006),$AB$1006:$AQ$1006,0)))),"Fix")))</f>
        <v>0</v>
      </c>
      <c r="U287">
        <v>0</v>
      </c>
      <c r="V287">
        <v>0</v>
      </c>
      <c r="W287">
        <v>0</v>
      </c>
      <c r="X287">
        <f>IF(Y287,TRUE,AND(AB287:AQ287))</f>
        <v>0</v>
      </c>
      <c r="Y287">
        <f>COUNTBLANK(metadata!B287:Q287)=COLUMNS(metadata!B287:Q287)</f>
        <v>0</v>
      </c>
      <c r="Z287">
        <v>0</v>
      </c>
      <c r="AB287">
        <f>AND(IF(metadata!B287="",FALSE,TRUE),COUNTIF(metadata!B:B, metadata!B287) = 1,NOT(ISERROR(SUMPRODUCT(SEARCH(MID(metadata!B287,ROW(INDIRECT("1:"&amp;LEN(metadata!B287))), 1),"0123456789abcdefghijklmnopqrstuvwxyzABCDEFGHIJKLMNOPQRSTUVWXYZ.")))))</f>
        <v>0</v>
      </c>
      <c r="AC287">
        <f>OR(AND(IF(metadata!C287="",FALSE,TRUE),OR(exact(metadata!C287,"missing: not collected"),exact(metadata!C287,"missing: not provided"),exact(metadata!C287,"missing: restricted access"))),AND(IF(metadata!C287="",FALSE,TRUE),AND(AND(IFERROR(INT(LEFT(metadata!C287,4))&gt;1900,FALSE),IFERROR(INT(LEFT(metadata!C287,4))&lt;=YEAR(NOW()),FALSE)), OR(MID(metadata!C287,5,1)="", AND(AND(MID(metadata!C287,5,1)="-",IFERROR(INT(MID(metadata!C287,6,1))&gt;=0,FALSE),IFERROR(INT(MID(metadata!C287,6,1))&lt;=1,FALSE),NOT(MID(metadata!C287,7,1)=""),IFERROR(INT(MID(metadata!C287,6,2))&gt;=1,FALSE),IFERROR(INT(MID(metadata!C287,6,2))&lt;=12,FALSE)), OR(MID(metadata!C287,8,1)="", AND(AND(MID(metadata!C287,8,1)="-",IFERROR(INT(MID(metadata!C287,9,1))&gt;=0,FALSE),IFERROR(INT(MID(metadata!C287,9,1))&lt;=3,FALSE),NOT(MID(metadata!C287,10,1)=""),IFERROR(INT(MID(metadata!C287,9,2))&gt;=1,FALSE),IFERROR(INT(MID(metadata!C287,9,2))&lt;=31,FALSE)), OR(MID(metadata!C287,11,1)="", AND(AND(MID(metadata!C287,11,1)=" ",IFERROR(INT(MID(metadata!C287,12,1))&gt;=0,FALSE),IFERROR(INT(MID(metadata!C287,12,1))&lt;=2,FALSE),NOT(MID(metadata!C287,13,1)=""),IFERROR(INT(MID(metadata!C287,12,2))&gt;=0,FALSE),IFERROR(INT(MID(metadata!C287,12,2))&lt;=23,FALSE)), OR(MID(metadata!C287,14,1)="", AND(AND(MID(metadata!C287,14,1)=":",IFERROR(INT(MID(metadata!C287,15,1))&gt;=0,FALSE),IFERROR(INT(MID(metadata!C287,15,1))&lt;=5,FALSE),NOT(MID(metadata!C287,16,1)=""),IFERROR(INT(MID(metadata!C287,15,2))&gt;=0,FALSE),IFERROR(INT(MID(metadata!C287,15,2))&lt;=59,FALSE)), OR(MID(metadata!C287,17,1)="", AND(AND(MID(metadata!C287,17,1)=":",IFERROR(INT(MID(metadata!C287,18,1))&gt;=0,FALSE),IFERROR(INT(MID(metadata!C287,18,1))&lt;=5,FALSE),NOT(MID(metadata!C287,19,1)=""),IFERROR(INT(MID(metadata!C287,18,2))&gt;=0,FALSE),IFERROR(INT(MID(metadata!C287,18,2))&lt;=59,FALSE)), LEN(metadata!C287)&lt;=19)))))))))))))</f>
        <v>0</v>
      </c>
      <c r="AD287">
        <f>IF(metadata!D287="",FALSE,TRUE)</f>
        <v>0</v>
      </c>
      <c r="AE287">
        <f>OR(AND(IF(metadata!E287="",FALSE,TRUE),OR(exact(metadata!E287,"missing: not collected"),exact(metadata!E287,"missing: not provided"))),AND(IF(metadata!E287="",FALSE,TRUE),OR(exact(metadata!E287,"TRUE"),exact(metadata!E287,"FALSE"))))</f>
        <v>0</v>
      </c>
      <c r="AF287">
        <f>IF(metadata!F287="",FALSE,TRUE)</f>
        <v>0</v>
      </c>
      <c r="AG287">
        <f>IF(metadata!G287="",FALSE,TRUE)</f>
        <v>0</v>
      </c>
      <c r="AH287">
        <f>IF(metadata!H287="",FALSE,TRUE)</f>
        <v>0</v>
      </c>
      <c r="AI287">
        <f>OR(AND(IF(metadata!I287="",FALSE,TRUE),OR(exact(metadata!I287,"missing: not collected"),exact(metadata!I287,"missing: not provided"),exact(metadata!I287,"missing: restricted access"))),AND(IF(metadata!I287="",FALSE,TRUE),OR(exact(metadata!I287,"air"),exact(metadata!I287,"built environment"),exact(metadata!I287,"host-associated"),exact(metadata!I287,"human-associated"),exact(metadata!I287,"human-skin"),exact(metadata!I287,"human-oral"),exact(metadata!I287,"human-gut"),exact(metadata!I287,"human-vaginal"),exact(metadata!I287,"microbial mat/biofilm"),exact(metadata!I287,"misc environment"),exact(metadata!I287,"plant-associated"),exact(metadata!I287,"sediment"),exact(metadata!I287,"soil"),exact(metadata!I287,"wastewater/sludge"),exact(metadata!I287,"water"))))</f>
        <v>0</v>
      </c>
      <c r="AJ287">
        <f>IF(metadata!J287="",FALSE,TRUE)</f>
        <v>0</v>
      </c>
      <c r="AK287">
        <f>OR(AND(IF(metadata!K287="",FALSE,TRUE),OR(exact(metadata!K287,"missing: not collected"),exact(metadata!K287,"missing: not provided"),exact(metadata!K287,"missing: restricted access"))),AND(IF(metadata!K287="",FALSE,ISNUMBER(VALUE(metadata!K287))),metadata!K287&gt;=-90.00,metadata!K287&lt;=90.00))</f>
        <v>0</v>
      </c>
      <c r="AL287">
        <f>OR(AND(IF(metadata!L287="",FALSE,TRUE),OR(exact(metadata!L287,"missing: not collected"),exact(metadata!L287,"missing: not provided"),exact(metadata!L287,"missing: restricted access"))),AND(IF(metadata!L287="",FALSE,ISNUMBER(VALUE(metadata!L287))),metadata!L287&gt;=-180.00,metadata!L287&lt;=180.00))</f>
        <v>0</v>
      </c>
      <c r="AM287">
        <f>IF(metadata!M287="",FALSE,TRUE)</f>
        <v>0</v>
      </c>
      <c r="AN287">
        <f>OR(AND(IF(metadata!N287="",FALSE,TRUE),OR(exact(metadata!N287,"missing: not collected"),exact(metadata!N287,"missing: not provided"),exact(metadata!N287,"missing: restricted access"))),AND(IF(metadata!N287="",FALSE,TRUE),OR(exact(metadata!N287,"TRUE"),exact(metadata!N287,"FALSE"))))</f>
        <v>0</v>
      </c>
      <c r="AO287">
        <f>IF(metadata!O287="",FALSE,TRUE)</f>
        <v>0</v>
      </c>
      <c r="AP287">
        <f>OR(AND(IF(metadata!P287="",FALSE,TRUE),OR(exact(metadata!P287,"missing: not collected"),exact(metadata!P287,"missing: not provided"))),AND(IF(metadata!P287="",FALSE,IF(ISERROR(INT(metadata!P287)),FALSE,INT(metadata!P287)=metadata!P287)),metadata!P287&gt;0))</f>
        <v>0</v>
      </c>
      <c r="AQ287">
        <f>IF(metadata!Q287="",FALSE,TRUE)</f>
        <v>0</v>
      </c>
    </row>
    <row r="288" spans="1:43">
      <c r="A288" s="5">
        <f>IF(B288=" "," ",HYPERLINK(CONCATENATE("#metadata!",ADDRESS(INDEX($W$2:$W$1001,MATCH(ROWS($U$2:U288),$U$2:$U$1001,0),0),1)),INDEX($Z$2:$Z$1001,MATCH(ROWS($U$2:U288),$U$2:$U$1001,0),0)))</f>
        <v>0</v>
      </c>
      <c r="B288" s="4">
        <f>IF(OR(INDEX($V$2:$V$1001,MATCH(ROWS($U$2:U288),$U$2:$U$1001,0),1)&gt;=100000,INDEX($AB$1005:$AQ$1005,1,MATCH(COLUMNS($AB$1006:AB1006),$AB$1006:$AQ$1006,0))&gt;=100000), " ",IF(INDEX($AB$2:$AQ$1001,MATCH(ROWS($U$2:U288),$U$2:$U$1001,0),MATCH(COLUMNS($AB$1006:AB1006),$AB$1006:$AQ$1006,0)), HYPERLINK("#",""), HYPERLINK(CONCATENATE("#metadata!", ADDRESS(INDEX($W$2:$W$1001,MATCH(ROWS($U$2:U288),$U$2:$U$1001,0),0), INDEX($AB$1004:$AQ$1004,1,MATCH(COLUMNS($AB$1006:AB1006),$AB$1006:$AQ$1006,0)))),"Fix")))</f>
        <v>0</v>
      </c>
      <c r="C288" s="4">
        <f>IF(OR(INDEX($V$2:$V$1001,MATCH(ROWS($U$2:U288),$U$2:$U$1001,0),1)&gt;=100000,INDEX($AB$1005:$AQ$1005,1,MATCH(COLUMNS($AB$1006:AC1006),$AB$1006:$AQ$1006,0))&gt;=100000), " ",IF(INDEX($AB$2:$AQ$1001,MATCH(ROWS($U$2:U288),$U$2:$U$1001,0),MATCH(COLUMNS($AB$1006:AC1006),$AB$1006:$AQ$1006,0)), HYPERLINK("#",""), HYPERLINK(CONCATENATE("#metadata!", ADDRESS(INDEX($W$2:$W$1001,MATCH(ROWS($U$2:U288),$U$2:$U$1001,0),0), INDEX($AB$1004:$AQ$1004,1,MATCH(COLUMNS($AB$1006:AC1006),$AB$1006:$AQ$1006,0)))),"Fix")))</f>
        <v>0</v>
      </c>
      <c r="D288" s="4">
        <f>IF(OR(INDEX($V$2:$V$1001,MATCH(ROWS($U$2:U288),$U$2:$U$1001,0),1)&gt;=100000,INDEX($AB$1005:$AQ$1005,1,MATCH(COLUMNS($AB$1006:AD1006),$AB$1006:$AQ$1006,0))&gt;=100000), " ",IF(INDEX($AB$2:$AQ$1001,MATCH(ROWS($U$2:U288),$U$2:$U$1001,0),MATCH(COLUMNS($AB$1006:AD1006),$AB$1006:$AQ$1006,0)), HYPERLINK("#",""), HYPERLINK(CONCATENATE("#metadata!", ADDRESS(INDEX($W$2:$W$1001,MATCH(ROWS($U$2:U288),$U$2:$U$1001,0),0), INDEX($AB$1004:$AQ$1004,1,MATCH(COLUMNS($AB$1006:AD1006),$AB$1006:$AQ$1006,0)))),"Fix")))</f>
        <v>0</v>
      </c>
      <c r="E288" s="4">
        <f>IF(OR(INDEX($V$2:$V$1001,MATCH(ROWS($U$2:U288),$U$2:$U$1001,0),1)&gt;=100000,INDEX($AB$1005:$AQ$1005,1,MATCH(COLUMNS($AB$1006:AE1006),$AB$1006:$AQ$1006,0))&gt;=100000), " ",IF(INDEX($AB$2:$AQ$1001,MATCH(ROWS($U$2:U288),$U$2:$U$1001,0),MATCH(COLUMNS($AB$1006:AE1006),$AB$1006:$AQ$1006,0)), HYPERLINK("#",""), HYPERLINK(CONCATENATE("#metadata!", ADDRESS(INDEX($W$2:$W$1001,MATCH(ROWS($U$2:U288),$U$2:$U$1001,0),0), INDEX($AB$1004:$AQ$1004,1,MATCH(COLUMNS($AB$1006:AE1006),$AB$1006:$AQ$1006,0)))),"Fix")))</f>
        <v>0</v>
      </c>
      <c r="F288" s="4">
        <f>IF(OR(INDEX($V$2:$V$1001,MATCH(ROWS($U$2:U288),$U$2:$U$1001,0),1)&gt;=100000,INDEX($AB$1005:$AQ$1005,1,MATCH(COLUMNS($AB$1006:AF1006),$AB$1006:$AQ$1006,0))&gt;=100000), " ",IF(INDEX($AB$2:$AQ$1001,MATCH(ROWS($U$2:U288),$U$2:$U$1001,0),MATCH(COLUMNS($AB$1006:AF1006),$AB$1006:$AQ$1006,0)), HYPERLINK("#",""), HYPERLINK(CONCATENATE("#metadata!", ADDRESS(INDEX($W$2:$W$1001,MATCH(ROWS($U$2:U288),$U$2:$U$1001,0),0), INDEX($AB$1004:$AQ$1004,1,MATCH(COLUMNS($AB$1006:AF1006),$AB$1006:$AQ$1006,0)))),"Fix")))</f>
        <v>0</v>
      </c>
      <c r="G288" s="4">
        <f>IF(OR(INDEX($V$2:$V$1001,MATCH(ROWS($U$2:U288),$U$2:$U$1001,0),1)&gt;=100000,INDEX($AB$1005:$AQ$1005,1,MATCH(COLUMNS($AB$1006:AG1006),$AB$1006:$AQ$1006,0))&gt;=100000), " ",IF(INDEX($AB$2:$AQ$1001,MATCH(ROWS($U$2:U288),$U$2:$U$1001,0),MATCH(COLUMNS($AB$1006:AG1006),$AB$1006:$AQ$1006,0)), HYPERLINK("#",""), HYPERLINK(CONCATENATE("#metadata!", ADDRESS(INDEX($W$2:$W$1001,MATCH(ROWS($U$2:U288),$U$2:$U$1001,0),0), INDEX($AB$1004:$AQ$1004,1,MATCH(COLUMNS($AB$1006:AG1006),$AB$1006:$AQ$1006,0)))),"Fix")))</f>
        <v>0</v>
      </c>
      <c r="H288" s="4">
        <f>IF(OR(INDEX($V$2:$V$1001,MATCH(ROWS($U$2:U288),$U$2:$U$1001,0),1)&gt;=100000,INDEX($AB$1005:$AQ$1005,1,MATCH(COLUMNS($AB$1006:AH1006),$AB$1006:$AQ$1006,0))&gt;=100000), " ",IF(INDEX($AB$2:$AQ$1001,MATCH(ROWS($U$2:U288),$U$2:$U$1001,0),MATCH(COLUMNS($AB$1006:AH1006),$AB$1006:$AQ$1006,0)), HYPERLINK("#",""), HYPERLINK(CONCATENATE("#metadata!", ADDRESS(INDEX($W$2:$W$1001,MATCH(ROWS($U$2:U288),$U$2:$U$1001,0),0), INDEX($AB$1004:$AQ$1004,1,MATCH(COLUMNS($AB$1006:AH1006),$AB$1006:$AQ$1006,0)))),"Fix")))</f>
        <v>0</v>
      </c>
      <c r="I288" s="4">
        <f>IF(OR(INDEX($V$2:$V$1001,MATCH(ROWS($U$2:U288),$U$2:$U$1001,0),1)&gt;=100000,INDEX($AB$1005:$AQ$1005,1,MATCH(COLUMNS($AB$1006:AI1006),$AB$1006:$AQ$1006,0))&gt;=100000), " ",IF(INDEX($AB$2:$AQ$1001,MATCH(ROWS($U$2:U288),$U$2:$U$1001,0),MATCH(COLUMNS($AB$1006:AI1006),$AB$1006:$AQ$1006,0)), HYPERLINK("#",""), HYPERLINK(CONCATENATE("#metadata!", ADDRESS(INDEX($W$2:$W$1001,MATCH(ROWS($U$2:U288),$U$2:$U$1001,0),0), INDEX($AB$1004:$AQ$1004,1,MATCH(COLUMNS($AB$1006:AI1006),$AB$1006:$AQ$1006,0)))),"Fix")))</f>
        <v>0</v>
      </c>
      <c r="J288" s="4">
        <f>IF(OR(INDEX($V$2:$V$1001,MATCH(ROWS($U$2:U288),$U$2:$U$1001,0),1)&gt;=100000,INDEX($AB$1005:$AQ$1005,1,MATCH(COLUMNS($AB$1006:AJ1006),$AB$1006:$AQ$1006,0))&gt;=100000), " ",IF(INDEX($AB$2:$AQ$1001,MATCH(ROWS($U$2:U288),$U$2:$U$1001,0),MATCH(COLUMNS($AB$1006:AJ1006),$AB$1006:$AQ$1006,0)), HYPERLINK("#",""), HYPERLINK(CONCATENATE("#metadata!", ADDRESS(INDEX($W$2:$W$1001,MATCH(ROWS($U$2:U288),$U$2:$U$1001,0),0), INDEX($AB$1004:$AQ$1004,1,MATCH(COLUMNS($AB$1006:AJ1006),$AB$1006:$AQ$1006,0)))),"Fix")))</f>
        <v>0</v>
      </c>
      <c r="K288" s="4">
        <f>IF(OR(INDEX($V$2:$V$1001,MATCH(ROWS($U$2:U288),$U$2:$U$1001,0),1)&gt;=100000,INDEX($AB$1005:$AQ$1005,1,MATCH(COLUMNS($AB$1006:AK1006),$AB$1006:$AQ$1006,0))&gt;=100000), " ",IF(INDEX($AB$2:$AQ$1001,MATCH(ROWS($U$2:U288),$U$2:$U$1001,0),MATCH(COLUMNS($AB$1006:AK1006),$AB$1006:$AQ$1006,0)), HYPERLINK("#",""), HYPERLINK(CONCATENATE("#metadata!", ADDRESS(INDEX($W$2:$W$1001,MATCH(ROWS($U$2:U288),$U$2:$U$1001,0),0), INDEX($AB$1004:$AQ$1004,1,MATCH(COLUMNS($AB$1006:AK1006),$AB$1006:$AQ$1006,0)))),"Fix")))</f>
        <v>0</v>
      </c>
      <c r="L288" s="4">
        <f>IF(OR(INDEX($V$2:$V$1001,MATCH(ROWS($U$2:U288),$U$2:$U$1001,0),1)&gt;=100000,INDEX($AB$1005:$AQ$1005,1,MATCH(COLUMNS($AB$1006:AL1006),$AB$1006:$AQ$1006,0))&gt;=100000), " ",IF(INDEX($AB$2:$AQ$1001,MATCH(ROWS($U$2:U288),$U$2:$U$1001,0),MATCH(COLUMNS($AB$1006:AL1006),$AB$1006:$AQ$1006,0)), HYPERLINK("#",""), HYPERLINK(CONCATENATE("#metadata!", ADDRESS(INDEX($W$2:$W$1001,MATCH(ROWS($U$2:U288),$U$2:$U$1001,0),0), INDEX($AB$1004:$AQ$1004,1,MATCH(COLUMNS($AB$1006:AL1006),$AB$1006:$AQ$1006,0)))),"Fix")))</f>
        <v>0</v>
      </c>
      <c r="M288" s="4">
        <f>IF(OR(INDEX($V$2:$V$1001,MATCH(ROWS($U$2:U288),$U$2:$U$1001,0),1)&gt;=100000,INDEX($AB$1005:$AQ$1005,1,MATCH(COLUMNS($AB$1006:AM1006),$AB$1006:$AQ$1006,0))&gt;=100000), " ",IF(INDEX($AB$2:$AQ$1001,MATCH(ROWS($U$2:U288),$U$2:$U$1001,0),MATCH(COLUMNS($AB$1006:AM1006),$AB$1006:$AQ$1006,0)), HYPERLINK("#",""), HYPERLINK(CONCATENATE("#metadata!", ADDRESS(INDEX($W$2:$W$1001,MATCH(ROWS($U$2:U288),$U$2:$U$1001,0),0), INDEX($AB$1004:$AQ$1004,1,MATCH(COLUMNS($AB$1006:AM1006),$AB$1006:$AQ$1006,0)))),"Fix")))</f>
        <v>0</v>
      </c>
      <c r="N288" s="4">
        <f>IF(OR(INDEX($V$2:$V$1001,MATCH(ROWS($U$2:U288),$U$2:$U$1001,0),1)&gt;=100000,INDEX($AB$1005:$AQ$1005,1,MATCH(COLUMNS($AB$1006:AN1006),$AB$1006:$AQ$1006,0))&gt;=100000), " ",IF(INDEX($AB$2:$AQ$1001,MATCH(ROWS($U$2:U288),$U$2:$U$1001,0),MATCH(COLUMNS($AB$1006:AN1006),$AB$1006:$AQ$1006,0)), HYPERLINK("#",""), HYPERLINK(CONCATENATE("#metadata!", ADDRESS(INDEX($W$2:$W$1001,MATCH(ROWS($U$2:U288),$U$2:$U$1001,0),0), INDEX($AB$1004:$AQ$1004,1,MATCH(COLUMNS($AB$1006:AN1006),$AB$1006:$AQ$1006,0)))),"Fix")))</f>
        <v>0</v>
      </c>
      <c r="O288" s="4">
        <f>IF(OR(INDEX($V$2:$V$1001,MATCH(ROWS($U$2:U288),$U$2:$U$1001,0),1)&gt;=100000,INDEX($AB$1005:$AQ$1005,1,MATCH(COLUMNS($AB$1006:AO1006),$AB$1006:$AQ$1006,0))&gt;=100000), " ",IF(INDEX($AB$2:$AQ$1001,MATCH(ROWS($U$2:U288),$U$2:$U$1001,0),MATCH(COLUMNS($AB$1006:AO1006),$AB$1006:$AQ$1006,0)), HYPERLINK("#",""), HYPERLINK(CONCATENATE("#metadata!", ADDRESS(INDEX($W$2:$W$1001,MATCH(ROWS($U$2:U288),$U$2:$U$1001,0),0), INDEX($AB$1004:$AQ$1004,1,MATCH(COLUMNS($AB$1006:AO1006),$AB$1006:$AQ$1006,0)))),"Fix")))</f>
        <v>0</v>
      </c>
      <c r="P288" s="4">
        <f>IF(OR(INDEX($V$2:$V$1001,MATCH(ROWS($U$2:U288),$U$2:$U$1001,0),1)&gt;=100000,INDEX($AB$1005:$AQ$1005,1,MATCH(COLUMNS($AB$1006:AP1006),$AB$1006:$AQ$1006,0))&gt;=100000), " ",IF(INDEX($AB$2:$AQ$1001,MATCH(ROWS($U$2:U288),$U$2:$U$1001,0),MATCH(COLUMNS($AB$1006:AP1006),$AB$1006:$AQ$1006,0)), HYPERLINK("#",""), HYPERLINK(CONCATENATE("#metadata!", ADDRESS(INDEX($W$2:$W$1001,MATCH(ROWS($U$2:U288),$U$2:$U$1001,0),0), INDEX($AB$1004:$AQ$1004,1,MATCH(COLUMNS($AB$1006:AP1006),$AB$1006:$AQ$1006,0)))),"Fix")))</f>
        <v>0</v>
      </c>
      <c r="Q288" s="4">
        <f>IF(OR(INDEX($V$2:$V$1001,MATCH(ROWS($U$2:U288),$U$2:$U$1001,0),1)&gt;=100000,INDEX($AB$1005:$AQ$1005,1,MATCH(COLUMNS($AB$1006:AQ1006),$AB$1006:$AQ$1006,0))&gt;=100000), " ",IF(INDEX($AB$2:$AQ$1001,MATCH(ROWS($U$2:U288),$U$2:$U$1001,0),MATCH(COLUMNS($AB$1006:AQ1006),$AB$1006:$AQ$1006,0)), HYPERLINK("#",""), HYPERLINK(CONCATENATE("#metadata!", ADDRESS(INDEX($W$2:$W$1001,MATCH(ROWS($U$2:U288),$U$2:$U$1001,0),0), INDEX($AB$1004:$AQ$1004,1,MATCH(COLUMNS($AB$1006:AQ1006),$AB$1006:$AQ$1006,0)))),"Fix")))</f>
        <v>0</v>
      </c>
      <c r="U288">
        <v>0</v>
      </c>
      <c r="V288">
        <v>0</v>
      </c>
      <c r="W288">
        <v>0</v>
      </c>
      <c r="X288">
        <f>IF(Y288,TRUE,AND(AB288:AQ288))</f>
        <v>0</v>
      </c>
      <c r="Y288">
        <f>COUNTBLANK(metadata!B288:Q288)=COLUMNS(metadata!B288:Q288)</f>
        <v>0</v>
      </c>
      <c r="Z288">
        <v>0</v>
      </c>
      <c r="AB288">
        <f>AND(IF(metadata!B288="",FALSE,TRUE),COUNTIF(metadata!B:B, metadata!B288) = 1,NOT(ISERROR(SUMPRODUCT(SEARCH(MID(metadata!B288,ROW(INDIRECT("1:"&amp;LEN(metadata!B288))), 1),"0123456789abcdefghijklmnopqrstuvwxyzABCDEFGHIJKLMNOPQRSTUVWXYZ.")))))</f>
        <v>0</v>
      </c>
      <c r="AC288">
        <f>OR(AND(IF(metadata!C288="",FALSE,TRUE),OR(exact(metadata!C288,"missing: not collected"),exact(metadata!C288,"missing: not provided"),exact(metadata!C288,"missing: restricted access"))),AND(IF(metadata!C288="",FALSE,TRUE),AND(AND(IFERROR(INT(LEFT(metadata!C288,4))&gt;1900,FALSE),IFERROR(INT(LEFT(metadata!C288,4))&lt;=YEAR(NOW()),FALSE)), OR(MID(metadata!C288,5,1)="", AND(AND(MID(metadata!C288,5,1)="-",IFERROR(INT(MID(metadata!C288,6,1))&gt;=0,FALSE),IFERROR(INT(MID(metadata!C288,6,1))&lt;=1,FALSE),NOT(MID(metadata!C288,7,1)=""),IFERROR(INT(MID(metadata!C288,6,2))&gt;=1,FALSE),IFERROR(INT(MID(metadata!C288,6,2))&lt;=12,FALSE)), OR(MID(metadata!C288,8,1)="", AND(AND(MID(metadata!C288,8,1)="-",IFERROR(INT(MID(metadata!C288,9,1))&gt;=0,FALSE),IFERROR(INT(MID(metadata!C288,9,1))&lt;=3,FALSE),NOT(MID(metadata!C288,10,1)=""),IFERROR(INT(MID(metadata!C288,9,2))&gt;=1,FALSE),IFERROR(INT(MID(metadata!C288,9,2))&lt;=31,FALSE)), OR(MID(metadata!C288,11,1)="", AND(AND(MID(metadata!C288,11,1)=" ",IFERROR(INT(MID(metadata!C288,12,1))&gt;=0,FALSE),IFERROR(INT(MID(metadata!C288,12,1))&lt;=2,FALSE),NOT(MID(metadata!C288,13,1)=""),IFERROR(INT(MID(metadata!C288,12,2))&gt;=0,FALSE),IFERROR(INT(MID(metadata!C288,12,2))&lt;=23,FALSE)), OR(MID(metadata!C288,14,1)="", AND(AND(MID(metadata!C288,14,1)=":",IFERROR(INT(MID(metadata!C288,15,1))&gt;=0,FALSE),IFERROR(INT(MID(metadata!C288,15,1))&lt;=5,FALSE),NOT(MID(metadata!C288,16,1)=""),IFERROR(INT(MID(metadata!C288,15,2))&gt;=0,FALSE),IFERROR(INT(MID(metadata!C288,15,2))&lt;=59,FALSE)), OR(MID(metadata!C288,17,1)="", AND(AND(MID(metadata!C288,17,1)=":",IFERROR(INT(MID(metadata!C288,18,1))&gt;=0,FALSE),IFERROR(INT(MID(metadata!C288,18,1))&lt;=5,FALSE),NOT(MID(metadata!C288,19,1)=""),IFERROR(INT(MID(metadata!C288,18,2))&gt;=0,FALSE),IFERROR(INT(MID(metadata!C288,18,2))&lt;=59,FALSE)), LEN(metadata!C288)&lt;=19)))))))))))))</f>
        <v>0</v>
      </c>
      <c r="AD288">
        <f>IF(metadata!D288="",FALSE,TRUE)</f>
        <v>0</v>
      </c>
      <c r="AE288">
        <f>OR(AND(IF(metadata!E288="",FALSE,TRUE),OR(exact(metadata!E288,"missing: not collected"),exact(metadata!E288,"missing: not provided"))),AND(IF(metadata!E288="",FALSE,TRUE),OR(exact(metadata!E288,"TRUE"),exact(metadata!E288,"FALSE"))))</f>
        <v>0</v>
      </c>
      <c r="AF288">
        <f>IF(metadata!F288="",FALSE,TRUE)</f>
        <v>0</v>
      </c>
      <c r="AG288">
        <f>IF(metadata!G288="",FALSE,TRUE)</f>
        <v>0</v>
      </c>
      <c r="AH288">
        <f>IF(metadata!H288="",FALSE,TRUE)</f>
        <v>0</v>
      </c>
      <c r="AI288">
        <f>OR(AND(IF(metadata!I288="",FALSE,TRUE),OR(exact(metadata!I288,"missing: not collected"),exact(metadata!I288,"missing: not provided"),exact(metadata!I288,"missing: restricted access"))),AND(IF(metadata!I288="",FALSE,TRUE),OR(exact(metadata!I288,"air"),exact(metadata!I288,"built environment"),exact(metadata!I288,"host-associated"),exact(metadata!I288,"human-associated"),exact(metadata!I288,"human-skin"),exact(metadata!I288,"human-oral"),exact(metadata!I288,"human-gut"),exact(metadata!I288,"human-vaginal"),exact(metadata!I288,"microbial mat/biofilm"),exact(metadata!I288,"misc environment"),exact(metadata!I288,"plant-associated"),exact(metadata!I288,"sediment"),exact(metadata!I288,"soil"),exact(metadata!I288,"wastewater/sludge"),exact(metadata!I288,"water"))))</f>
        <v>0</v>
      </c>
      <c r="AJ288">
        <f>IF(metadata!J288="",FALSE,TRUE)</f>
        <v>0</v>
      </c>
      <c r="AK288">
        <f>OR(AND(IF(metadata!K288="",FALSE,TRUE),OR(exact(metadata!K288,"missing: not collected"),exact(metadata!K288,"missing: not provided"),exact(metadata!K288,"missing: restricted access"))),AND(IF(metadata!K288="",FALSE,ISNUMBER(VALUE(metadata!K288))),metadata!K288&gt;=-90.00,metadata!K288&lt;=90.00))</f>
        <v>0</v>
      </c>
      <c r="AL288">
        <f>OR(AND(IF(metadata!L288="",FALSE,TRUE),OR(exact(metadata!L288,"missing: not collected"),exact(metadata!L288,"missing: not provided"),exact(metadata!L288,"missing: restricted access"))),AND(IF(metadata!L288="",FALSE,ISNUMBER(VALUE(metadata!L288))),metadata!L288&gt;=-180.00,metadata!L288&lt;=180.00))</f>
        <v>0</v>
      </c>
      <c r="AM288">
        <f>IF(metadata!M288="",FALSE,TRUE)</f>
        <v>0</v>
      </c>
      <c r="AN288">
        <f>OR(AND(IF(metadata!N288="",FALSE,TRUE),OR(exact(metadata!N288,"missing: not collected"),exact(metadata!N288,"missing: not provided"),exact(metadata!N288,"missing: restricted access"))),AND(IF(metadata!N288="",FALSE,TRUE),OR(exact(metadata!N288,"TRUE"),exact(metadata!N288,"FALSE"))))</f>
        <v>0</v>
      </c>
      <c r="AO288">
        <f>IF(metadata!O288="",FALSE,TRUE)</f>
        <v>0</v>
      </c>
      <c r="AP288">
        <f>OR(AND(IF(metadata!P288="",FALSE,TRUE),OR(exact(metadata!P288,"missing: not collected"),exact(metadata!P288,"missing: not provided"))),AND(IF(metadata!P288="",FALSE,IF(ISERROR(INT(metadata!P288)),FALSE,INT(metadata!P288)=metadata!P288)),metadata!P288&gt;0))</f>
        <v>0</v>
      </c>
      <c r="AQ288">
        <f>IF(metadata!Q288="",FALSE,TRUE)</f>
        <v>0</v>
      </c>
    </row>
    <row r="289" spans="1:43">
      <c r="A289" s="5">
        <f>IF(B289=" "," ",HYPERLINK(CONCATENATE("#metadata!",ADDRESS(INDEX($W$2:$W$1001,MATCH(ROWS($U$2:U289),$U$2:$U$1001,0),0),1)),INDEX($Z$2:$Z$1001,MATCH(ROWS($U$2:U289),$U$2:$U$1001,0),0)))</f>
        <v>0</v>
      </c>
      <c r="B289" s="4">
        <f>IF(OR(INDEX($V$2:$V$1001,MATCH(ROWS($U$2:U289),$U$2:$U$1001,0),1)&gt;=100000,INDEX($AB$1005:$AQ$1005,1,MATCH(COLUMNS($AB$1006:AB1006),$AB$1006:$AQ$1006,0))&gt;=100000), " ",IF(INDEX($AB$2:$AQ$1001,MATCH(ROWS($U$2:U289),$U$2:$U$1001,0),MATCH(COLUMNS($AB$1006:AB1006),$AB$1006:$AQ$1006,0)), HYPERLINK("#",""), HYPERLINK(CONCATENATE("#metadata!", ADDRESS(INDEX($W$2:$W$1001,MATCH(ROWS($U$2:U289),$U$2:$U$1001,0),0), INDEX($AB$1004:$AQ$1004,1,MATCH(COLUMNS($AB$1006:AB1006),$AB$1006:$AQ$1006,0)))),"Fix")))</f>
        <v>0</v>
      </c>
      <c r="C289" s="4">
        <f>IF(OR(INDEX($V$2:$V$1001,MATCH(ROWS($U$2:U289),$U$2:$U$1001,0),1)&gt;=100000,INDEX($AB$1005:$AQ$1005,1,MATCH(COLUMNS($AB$1006:AC1006),$AB$1006:$AQ$1006,0))&gt;=100000), " ",IF(INDEX($AB$2:$AQ$1001,MATCH(ROWS($U$2:U289),$U$2:$U$1001,0),MATCH(COLUMNS($AB$1006:AC1006),$AB$1006:$AQ$1006,0)), HYPERLINK("#",""), HYPERLINK(CONCATENATE("#metadata!", ADDRESS(INDEX($W$2:$W$1001,MATCH(ROWS($U$2:U289),$U$2:$U$1001,0),0), INDEX($AB$1004:$AQ$1004,1,MATCH(COLUMNS($AB$1006:AC1006),$AB$1006:$AQ$1006,0)))),"Fix")))</f>
        <v>0</v>
      </c>
      <c r="D289" s="4">
        <f>IF(OR(INDEX($V$2:$V$1001,MATCH(ROWS($U$2:U289),$U$2:$U$1001,0),1)&gt;=100000,INDEX($AB$1005:$AQ$1005,1,MATCH(COLUMNS($AB$1006:AD1006),$AB$1006:$AQ$1006,0))&gt;=100000), " ",IF(INDEX($AB$2:$AQ$1001,MATCH(ROWS($U$2:U289),$U$2:$U$1001,0),MATCH(COLUMNS($AB$1006:AD1006),$AB$1006:$AQ$1006,0)), HYPERLINK("#",""), HYPERLINK(CONCATENATE("#metadata!", ADDRESS(INDEX($W$2:$W$1001,MATCH(ROWS($U$2:U289),$U$2:$U$1001,0),0), INDEX($AB$1004:$AQ$1004,1,MATCH(COLUMNS($AB$1006:AD1006),$AB$1006:$AQ$1006,0)))),"Fix")))</f>
        <v>0</v>
      </c>
      <c r="E289" s="4">
        <f>IF(OR(INDEX($V$2:$V$1001,MATCH(ROWS($U$2:U289),$U$2:$U$1001,0),1)&gt;=100000,INDEX($AB$1005:$AQ$1005,1,MATCH(COLUMNS($AB$1006:AE1006),$AB$1006:$AQ$1006,0))&gt;=100000), " ",IF(INDEX($AB$2:$AQ$1001,MATCH(ROWS($U$2:U289),$U$2:$U$1001,0),MATCH(COLUMNS($AB$1006:AE1006),$AB$1006:$AQ$1006,0)), HYPERLINK("#",""), HYPERLINK(CONCATENATE("#metadata!", ADDRESS(INDEX($W$2:$W$1001,MATCH(ROWS($U$2:U289),$U$2:$U$1001,0),0), INDEX($AB$1004:$AQ$1004,1,MATCH(COLUMNS($AB$1006:AE1006),$AB$1006:$AQ$1006,0)))),"Fix")))</f>
        <v>0</v>
      </c>
      <c r="F289" s="4">
        <f>IF(OR(INDEX($V$2:$V$1001,MATCH(ROWS($U$2:U289),$U$2:$U$1001,0),1)&gt;=100000,INDEX($AB$1005:$AQ$1005,1,MATCH(COLUMNS($AB$1006:AF1006),$AB$1006:$AQ$1006,0))&gt;=100000), " ",IF(INDEX($AB$2:$AQ$1001,MATCH(ROWS($U$2:U289),$U$2:$U$1001,0),MATCH(COLUMNS($AB$1006:AF1006),$AB$1006:$AQ$1006,0)), HYPERLINK("#",""), HYPERLINK(CONCATENATE("#metadata!", ADDRESS(INDEX($W$2:$W$1001,MATCH(ROWS($U$2:U289),$U$2:$U$1001,0),0), INDEX($AB$1004:$AQ$1004,1,MATCH(COLUMNS($AB$1006:AF1006),$AB$1006:$AQ$1006,0)))),"Fix")))</f>
        <v>0</v>
      </c>
      <c r="G289" s="4">
        <f>IF(OR(INDEX($V$2:$V$1001,MATCH(ROWS($U$2:U289),$U$2:$U$1001,0),1)&gt;=100000,INDEX($AB$1005:$AQ$1005,1,MATCH(COLUMNS($AB$1006:AG1006),$AB$1006:$AQ$1006,0))&gt;=100000), " ",IF(INDEX($AB$2:$AQ$1001,MATCH(ROWS($U$2:U289),$U$2:$U$1001,0),MATCH(COLUMNS($AB$1006:AG1006),$AB$1006:$AQ$1006,0)), HYPERLINK("#",""), HYPERLINK(CONCATENATE("#metadata!", ADDRESS(INDEX($W$2:$W$1001,MATCH(ROWS($U$2:U289),$U$2:$U$1001,0),0), INDEX($AB$1004:$AQ$1004,1,MATCH(COLUMNS($AB$1006:AG1006),$AB$1006:$AQ$1006,0)))),"Fix")))</f>
        <v>0</v>
      </c>
      <c r="H289" s="4">
        <f>IF(OR(INDEX($V$2:$V$1001,MATCH(ROWS($U$2:U289),$U$2:$U$1001,0),1)&gt;=100000,INDEX($AB$1005:$AQ$1005,1,MATCH(COLUMNS($AB$1006:AH1006),$AB$1006:$AQ$1006,0))&gt;=100000), " ",IF(INDEX($AB$2:$AQ$1001,MATCH(ROWS($U$2:U289),$U$2:$U$1001,0),MATCH(COLUMNS($AB$1006:AH1006),$AB$1006:$AQ$1006,0)), HYPERLINK("#",""), HYPERLINK(CONCATENATE("#metadata!", ADDRESS(INDEX($W$2:$W$1001,MATCH(ROWS($U$2:U289),$U$2:$U$1001,0),0), INDEX($AB$1004:$AQ$1004,1,MATCH(COLUMNS($AB$1006:AH1006),$AB$1006:$AQ$1006,0)))),"Fix")))</f>
        <v>0</v>
      </c>
      <c r="I289" s="4">
        <f>IF(OR(INDEX($V$2:$V$1001,MATCH(ROWS($U$2:U289),$U$2:$U$1001,0),1)&gt;=100000,INDEX($AB$1005:$AQ$1005,1,MATCH(COLUMNS($AB$1006:AI1006),$AB$1006:$AQ$1006,0))&gt;=100000), " ",IF(INDEX($AB$2:$AQ$1001,MATCH(ROWS($U$2:U289),$U$2:$U$1001,0),MATCH(COLUMNS($AB$1006:AI1006),$AB$1006:$AQ$1006,0)), HYPERLINK("#",""), HYPERLINK(CONCATENATE("#metadata!", ADDRESS(INDEX($W$2:$W$1001,MATCH(ROWS($U$2:U289),$U$2:$U$1001,0),0), INDEX($AB$1004:$AQ$1004,1,MATCH(COLUMNS($AB$1006:AI1006),$AB$1006:$AQ$1006,0)))),"Fix")))</f>
        <v>0</v>
      </c>
      <c r="J289" s="4">
        <f>IF(OR(INDEX($V$2:$V$1001,MATCH(ROWS($U$2:U289),$U$2:$U$1001,0),1)&gt;=100000,INDEX($AB$1005:$AQ$1005,1,MATCH(COLUMNS($AB$1006:AJ1006),$AB$1006:$AQ$1006,0))&gt;=100000), " ",IF(INDEX($AB$2:$AQ$1001,MATCH(ROWS($U$2:U289),$U$2:$U$1001,0),MATCH(COLUMNS($AB$1006:AJ1006),$AB$1006:$AQ$1006,0)), HYPERLINK("#",""), HYPERLINK(CONCATENATE("#metadata!", ADDRESS(INDEX($W$2:$W$1001,MATCH(ROWS($U$2:U289),$U$2:$U$1001,0),0), INDEX($AB$1004:$AQ$1004,1,MATCH(COLUMNS($AB$1006:AJ1006),$AB$1006:$AQ$1006,0)))),"Fix")))</f>
        <v>0</v>
      </c>
      <c r="K289" s="4">
        <f>IF(OR(INDEX($V$2:$V$1001,MATCH(ROWS($U$2:U289),$U$2:$U$1001,0),1)&gt;=100000,INDEX($AB$1005:$AQ$1005,1,MATCH(COLUMNS($AB$1006:AK1006),$AB$1006:$AQ$1006,0))&gt;=100000), " ",IF(INDEX($AB$2:$AQ$1001,MATCH(ROWS($U$2:U289),$U$2:$U$1001,0),MATCH(COLUMNS($AB$1006:AK1006),$AB$1006:$AQ$1006,0)), HYPERLINK("#",""), HYPERLINK(CONCATENATE("#metadata!", ADDRESS(INDEX($W$2:$W$1001,MATCH(ROWS($U$2:U289),$U$2:$U$1001,0),0), INDEX($AB$1004:$AQ$1004,1,MATCH(COLUMNS($AB$1006:AK1006),$AB$1006:$AQ$1006,0)))),"Fix")))</f>
        <v>0</v>
      </c>
      <c r="L289" s="4">
        <f>IF(OR(INDEX($V$2:$V$1001,MATCH(ROWS($U$2:U289),$U$2:$U$1001,0),1)&gt;=100000,INDEX($AB$1005:$AQ$1005,1,MATCH(COLUMNS($AB$1006:AL1006),$AB$1006:$AQ$1006,0))&gt;=100000), " ",IF(INDEX($AB$2:$AQ$1001,MATCH(ROWS($U$2:U289),$U$2:$U$1001,0),MATCH(COLUMNS($AB$1006:AL1006),$AB$1006:$AQ$1006,0)), HYPERLINK("#",""), HYPERLINK(CONCATENATE("#metadata!", ADDRESS(INDEX($W$2:$W$1001,MATCH(ROWS($U$2:U289),$U$2:$U$1001,0),0), INDEX($AB$1004:$AQ$1004,1,MATCH(COLUMNS($AB$1006:AL1006),$AB$1006:$AQ$1006,0)))),"Fix")))</f>
        <v>0</v>
      </c>
      <c r="M289" s="4">
        <f>IF(OR(INDEX($V$2:$V$1001,MATCH(ROWS($U$2:U289),$U$2:$U$1001,0),1)&gt;=100000,INDEX($AB$1005:$AQ$1005,1,MATCH(COLUMNS($AB$1006:AM1006),$AB$1006:$AQ$1006,0))&gt;=100000), " ",IF(INDEX($AB$2:$AQ$1001,MATCH(ROWS($U$2:U289),$U$2:$U$1001,0),MATCH(COLUMNS($AB$1006:AM1006),$AB$1006:$AQ$1006,0)), HYPERLINK("#",""), HYPERLINK(CONCATENATE("#metadata!", ADDRESS(INDEX($W$2:$W$1001,MATCH(ROWS($U$2:U289),$U$2:$U$1001,0),0), INDEX($AB$1004:$AQ$1004,1,MATCH(COLUMNS($AB$1006:AM1006),$AB$1006:$AQ$1006,0)))),"Fix")))</f>
        <v>0</v>
      </c>
      <c r="N289" s="4">
        <f>IF(OR(INDEX($V$2:$V$1001,MATCH(ROWS($U$2:U289),$U$2:$U$1001,0),1)&gt;=100000,INDEX($AB$1005:$AQ$1005,1,MATCH(COLUMNS($AB$1006:AN1006),$AB$1006:$AQ$1006,0))&gt;=100000), " ",IF(INDEX($AB$2:$AQ$1001,MATCH(ROWS($U$2:U289),$U$2:$U$1001,0),MATCH(COLUMNS($AB$1006:AN1006),$AB$1006:$AQ$1006,0)), HYPERLINK("#",""), HYPERLINK(CONCATENATE("#metadata!", ADDRESS(INDEX($W$2:$W$1001,MATCH(ROWS($U$2:U289),$U$2:$U$1001,0),0), INDEX($AB$1004:$AQ$1004,1,MATCH(COLUMNS($AB$1006:AN1006),$AB$1006:$AQ$1006,0)))),"Fix")))</f>
        <v>0</v>
      </c>
      <c r="O289" s="4">
        <f>IF(OR(INDEX($V$2:$V$1001,MATCH(ROWS($U$2:U289),$U$2:$U$1001,0),1)&gt;=100000,INDEX($AB$1005:$AQ$1005,1,MATCH(COLUMNS($AB$1006:AO1006),$AB$1006:$AQ$1006,0))&gt;=100000), " ",IF(INDEX($AB$2:$AQ$1001,MATCH(ROWS($U$2:U289),$U$2:$U$1001,0),MATCH(COLUMNS($AB$1006:AO1006),$AB$1006:$AQ$1006,0)), HYPERLINK("#",""), HYPERLINK(CONCATENATE("#metadata!", ADDRESS(INDEX($W$2:$W$1001,MATCH(ROWS($U$2:U289),$U$2:$U$1001,0),0), INDEX($AB$1004:$AQ$1004,1,MATCH(COLUMNS($AB$1006:AO1006),$AB$1006:$AQ$1006,0)))),"Fix")))</f>
        <v>0</v>
      </c>
      <c r="P289" s="4">
        <f>IF(OR(INDEX($V$2:$V$1001,MATCH(ROWS($U$2:U289),$U$2:$U$1001,0),1)&gt;=100000,INDEX($AB$1005:$AQ$1005,1,MATCH(COLUMNS($AB$1006:AP1006),$AB$1006:$AQ$1006,0))&gt;=100000), " ",IF(INDEX($AB$2:$AQ$1001,MATCH(ROWS($U$2:U289),$U$2:$U$1001,0),MATCH(COLUMNS($AB$1006:AP1006),$AB$1006:$AQ$1006,0)), HYPERLINK("#",""), HYPERLINK(CONCATENATE("#metadata!", ADDRESS(INDEX($W$2:$W$1001,MATCH(ROWS($U$2:U289),$U$2:$U$1001,0),0), INDEX($AB$1004:$AQ$1004,1,MATCH(COLUMNS($AB$1006:AP1006),$AB$1006:$AQ$1006,0)))),"Fix")))</f>
        <v>0</v>
      </c>
      <c r="Q289" s="4">
        <f>IF(OR(INDEX($V$2:$V$1001,MATCH(ROWS($U$2:U289),$U$2:$U$1001,0),1)&gt;=100000,INDEX($AB$1005:$AQ$1005,1,MATCH(COLUMNS($AB$1006:AQ1006),$AB$1006:$AQ$1006,0))&gt;=100000), " ",IF(INDEX($AB$2:$AQ$1001,MATCH(ROWS($U$2:U289),$U$2:$U$1001,0),MATCH(COLUMNS($AB$1006:AQ1006),$AB$1006:$AQ$1006,0)), HYPERLINK("#",""), HYPERLINK(CONCATENATE("#metadata!", ADDRESS(INDEX($W$2:$W$1001,MATCH(ROWS($U$2:U289),$U$2:$U$1001,0),0), INDEX($AB$1004:$AQ$1004,1,MATCH(COLUMNS($AB$1006:AQ1006),$AB$1006:$AQ$1006,0)))),"Fix")))</f>
        <v>0</v>
      </c>
      <c r="U289">
        <v>0</v>
      </c>
      <c r="V289">
        <v>0</v>
      </c>
      <c r="W289">
        <v>0</v>
      </c>
      <c r="X289">
        <f>IF(Y289,TRUE,AND(AB289:AQ289))</f>
        <v>0</v>
      </c>
      <c r="Y289">
        <f>COUNTBLANK(metadata!B289:Q289)=COLUMNS(metadata!B289:Q289)</f>
        <v>0</v>
      </c>
      <c r="Z289">
        <v>0</v>
      </c>
      <c r="AB289">
        <f>AND(IF(metadata!B289="",FALSE,TRUE),COUNTIF(metadata!B:B, metadata!B289) = 1,NOT(ISERROR(SUMPRODUCT(SEARCH(MID(metadata!B289,ROW(INDIRECT("1:"&amp;LEN(metadata!B289))), 1),"0123456789abcdefghijklmnopqrstuvwxyzABCDEFGHIJKLMNOPQRSTUVWXYZ.")))))</f>
        <v>0</v>
      </c>
      <c r="AC289">
        <f>OR(AND(IF(metadata!C289="",FALSE,TRUE),OR(exact(metadata!C289,"missing: not collected"),exact(metadata!C289,"missing: not provided"),exact(metadata!C289,"missing: restricted access"))),AND(IF(metadata!C289="",FALSE,TRUE),AND(AND(IFERROR(INT(LEFT(metadata!C289,4))&gt;1900,FALSE),IFERROR(INT(LEFT(metadata!C289,4))&lt;=YEAR(NOW()),FALSE)), OR(MID(metadata!C289,5,1)="", AND(AND(MID(metadata!C289,5,1)="-",IFERROR(INT(MID(metadata!C289,6,1))&gt;=0,FALSE),IFERROR(INT(MID(metadata!C289,6,1))&lt;=1,FALSE),NOT(MID(metadata!C289,7,1)=""),IFERROR(INT(MID(metadata!C289,6,2))&gt;=1,FALSE),IFERROR(INT(MID(metadata!C289,6,2))&lt;=12,FALSE)), OR(MID(metadata!C289,8,1)="", AND(AND(MID(metadata!C289,8,1)="-",IFERROR(INT(MID(metadata!C289,9,1))&gt;=0,FALSE),IFERROR(INT(MID(metadata!C289,9,1))&lt;=3,FALSE),NOT(MID(metadata!C289,10,1)=""),IFERROR(INT(MID(metadata!C289,9,2))&gt;=1,FALSE),IFERROR(INT(MID(metadata!C289,9,2))&lt;=31,FALSE)), OR(MID(metadata!C289,11,1)="", AND(AND(MID(metadata!C289,11,1)=" ",IFERROR(INT(MID(metadata!C289,12,1))&gt;=0,FALSE),IFERROR(INT(MID(metadata!C289,12,1))&lt;=2,FALSE),NOT(MID(metadata!C289,13,1)=""),IFERROR(INT(MID(metadata!C289,12,2))&gt;=0,FALSE),IFERROR(INT(MID(metadata!C289,12,2))&lt;=23,FALSE)), OR(MID(metadata!C289,14,1)="", AND(AND(MID(metadata!C289,14,1)=":",IFERROR(INT(MID(metadata!C289,15,1))&gt;=0,FALSE),IFERROR(INT(MID(metadata!C289,15,1))&lt;=5,FALSE),NOT(MID(metadata!C289,16,1)=""),IFERROR(INT(MID(metadata!C289,15,2))&gt;=0,FALSE),IFERROR(INT(MID(metadata!C289,15,2))&lt;=59,FALSE)), OR(MID(metadata!C289,17,1)="", AND(AND(MID(metadata!C289,17,1)=":",IFERROR(INT(MID(metadata!C289,18,1))&gt;=0,FALSE),IFERROR(INT(MID(metadata!C289,18,1))&lt;=5,FALSE),NOT(MID(metadata!C289,19,1)=""),IFERROR(INT(MID(metadata!C289,18,2))&gt;=0,FALSE),IFERROR(INT(MID(metadata!C289,18,2))&lt;=59,FALSE)), LEN(metadata!C289)&lt;=19)))))))))))))</f>
        <v>0</v>
      </c>
      <c r="AD289">
        <f>IF(metadata!D289="",FALSE,TRUE)</f>
        <v>0</v>
      </c>
      <c r="AE289">
        <f>OR(AND(IF(metadata!E289="",FALSE,TRUE),OR(exact(metadata!E289,"missing: not collected"),exact(metadata!E289,"missing: not provided"))),AND(IF(metadata!E289="",FALSE,TRUE),OR(exact(metadata!E289,"TRUE"),exact(metadata!E289,"FALSE"))))</f>
        <v>0</v>
      </c>
      <c r="AF289">
        <f>IF(metadata!F289="",FALSE,TRUE)</f>
        <v>0</v>
      </c>
      <c r="AG289">
        <f>IF(metadata!G289="",FALSE,TRUE)</f>
        <v>0</v>
      </c>
      <c r="AH289">
        <f>IF(metadata!H289="",FALSE,TRUE)</f>
        <v>0</v>
      </c>
      <c r="AI289">
        <f>OR(AND(IF(metadata!I289="",FALSE,TRUE),OR(exact(metadata!I289,"missing: not collected"),exact(metadata!I289,"missing: not provided"),exact(metadata!I289,"missing: restricted access"))),AND(IF(metadata!I289="",FALSE,TRUE),OR(exact(metadata!I289,"air"),exact(metadata!I289,"built environment"),exact(metadata!I289,"host-associated"),exact(metadata!I289,"human-associated"),exact(metadata!I289,"human-skin"),exact(metadata!I289,"human-oral"),exact(metadata!I289,"human-gut"),exact(metadata!I289,"human-vaginal"),exact(metadata!I289,"microbial mat/biofilm"),exact(metadata!I289,"misc environment"),exact(metadata!I289,"plant-associated"),exact(metadata!I289,"sediment"),exact(metadata!I289,"soil"),exact(metadata!I289,"wastewater/sludge"),exact(metadata!I289,"water"))))</f>
        <v>0</v>
      </c>
      <c r="AJ289">
        <f>IF(metadata!J289="",FALSE,TRUE)</f>
        <v>0</v>
      </c>
      <c r="AK289">
        <f>OR(AND(IF(metadata!K289="",FALSE,TRUE),OR(exact(metadata!K289,"missing: not collected"),exact(metadata!K289,"missing: not provided"),exact(metadata!K289,"missing: restricted access"))),AND(IF(metadata!K289="",FALSE,ISNUMBER(VALUE(metadata!K289))),metadata!K289&gt;=-90.00,metadata!K289&lt;=90.00))</f>
        <v>0</v>
      </c>
      <c r="AL289">
        <f>OR(AND(IF(metadata!L289="",FALSE,TRUE),OR(exact(metadata!L289,"missing: not collected"),exact(metadata!L289,"missing: not provided"),exact(metadata!L289,"missing: restricted access"))),AND(IF(metadata!L289="",FALSE,ISNUMBER(VALUE(metadata!L289))),metadata!L289&gt;=-180.00,metadata!L289&lt;=180.00))</f>
        <v>0</v>
      </c>
      <c r="AM289">
        <f>IF(metadata!M289="",FALSE,TRUE)</f>
        <v>0</v>
      </c>
      <c r="AN289">
        <f>OR(AND(IF(metadata!N289="",FALSE,TRUE),OR(exact(metadata!N289,"missing: not collected"),exact(metadata!N289,"missing: not provided"),exact(metadata!N289,"missing: restricted access"))),AND(IF(metadata!N289="",FALSE,TRUE),OR(exact(metadata!N289,"TRUE"),exact(metadata!N289,"FALSE"))))</f>
        <v>0</v>
      </c>
      <c r="AO289">
        <f>IF(metadata!O289="",FALSE,TRUE)</f>
        <v>0</v>
      </c>
      <c r="AP289">
        <f>OR(AND(IF(metadata!P289="",FALSE,TRUE),OR(exact(metadata!P289,"missing: not collected"),exact(metadata!P289,"missing: not provided"))),AND(IF(metadata!P289="",FALSE,IF(ISERROR(INT(metadata!P289)),FALSE,INT(metadata!P289)=metadata!P289)),metadata!P289&gt;0))</f>
        <v>0</v>
      </c>
      <c r="AQ289">
        <f>IF(metadata!Q289="",FALSE,TRUE)</f>
        <v>0</v>
      </c>
    </row>
    <row r="290" spans="1:43">
      <c r="A290" s="5">
        <f>IF(B290=" "," ",HYPERLINK(CONCATENATE("#metadata!",ADDRESS(INDEX($W$2:$W$1001,MATCH(ROWS($U$2:U290),$U$2:$U$1001,0),0),1)),INDEX($Z$2:$Z$1001,MATCH(ROWS($U$2:U290),$U$2:$U$1001,0),0)))</f>
        <v>0</v>
      </c>
      <c r="B290" s="4">
        <f>IF(OR(INDEX($V$2:$V$1001,MATCH(ROWS($U$2:U290),$U$2:$U$1001,0),1)&gt;=100000,INDEX($AB$1005:$AQ$1005,1,MATCH(COLUMNS($AB$1006:AB1006),$AB$1006:$AQ$1006,0))&gt;=100000), " ",IF(INDEX($AB$2:$AQ$1001,MATCH(ROWS($U$2:U290),$U$2:$U$1001,0),MATCH(COLUMNS($AB$1006:AB1006),$AB$1006:$AQ$1006,0)), HYPERLINK("#",""), HYPERLINK(CONCATENATE("#metadata!", ADDRESS(INDEX($W$2:$W$1001,MATCH(ROWS($U$2:U290),$U$2:$U$1001,0),0), INDEX($AB$1004:$AQ$1004,1,MATCH(COLUMNS($AB$1006:AB1006),$AB$1006:$AQ$1006,0)))),"Fix")))</f>
        <v>0</v>
      </c>
      <c r="C290" s="4">
        <f>IF(OR(INDEX($V$2:$V$1001,MATCH(ROWS($U$2:U290),$U$2:$U$1001,0),1)&gt;=100000,INDEX($AB$1005:$AQ$1005,1,MATCH(COLUMNS($AB$1006:AC1006),$AB$1006:$AQ$1006,0))&gt;=100000), " ",IF(INDEX($AB$2:$AQ$1001,MATCH(ROWS($U$2:U290),$U$2:$U$1001,0),MATCH(COLUMNS($AB$1006:AC1006),$AB$1006:$AQ$1006,0)), HYPERLINK("#",""), HYPERLINK(CONCATENATE("#metadata!", ADDRESS(INDEX($W$2:$W$1001,MATCH(ROWS($U$2:U290),$U$2:$U$1001,0),0), INDEX($AB$1004:$AQ$1004,1,MATCH(COLUMNS($AB$1006:AC1006),$AB$1006:$AQ$1006,0)))),"Fix")))</f>
        <v>0</v>
      </c>
      <c r="D290" s="4">
        <f>IF(OR(INDEX($V$2:$V$1001,MATCH(ROWS($U$2:U290),$U$2:$U$1001,0),1)&gt;=100000,INDEX($AB$1005:$AQ$1005,1,MATCH(COLUMNS($AB$1006:AD1006),$AB$1006:$AQ$1006,0))&gt;=100000), " ",IF(INDEX($AB$2:$AQ$1001,MATCH(ROWS($U$2:U290),$U$2:$U$1001,0),MATCH(COLUMNS($AB$1006:AD1006),$AB$1006:$AQ$1006,0)), HYPERLINK("#",""), HYPERLINK(CONCATENATE("#metadata!", ADDRESS(INDEX($W$2:$W$1001,MATCH(ROWS($U$2:U290),$U$2:$U$1001,0),0), INDEX($AB$1004:$AQ$1004,1,MATCH(COLUMNS($AB$1006:AD1006),$AB$1006:$AQ$1006,0)))),"Fix")))</f>
        <v>0</v>
      </c>
      <c r="E290" s="4">
        <f>IF(OR(INDEX($V$2:$V$1001,MATCH(ROWS($U$2:U290),$U$2:$U$1001,0),1)&gt;=100000,INDEX($AB$1005:$AQ$1005,1,MATCH(COLUMNS($AB$1006:AE1006),$AB$1006:$AQ$1006,0))&gt;=100000), " ",IF(INDEX($AB$2:$AQ$1001,MATCH(ROWS($U$2:U290),$U$2:$U$1001,0),MATCH(COLUMNS($AB$1006:AE1006),$AB$1006:$AQ$1006,0)), HYPERLINK("#",""), HYPERLINK(CONCATENATE("#metadata!", ADDRESS(INDEX($W$2:$W$1001,MATCH(ROWS($U$2:U290),$U$2:$U$1001,0),0), INDEX($AB$1004:$AQ$1004,1,MATCH(COLUMNS($AB$1006:AE1006),$AB$1006:$AQ$1006,0)))),"Fix")))</f>
        <v>0</v>
      </c>
      <c r="F290" s="4">
        <f>IF(OR(INDEX($V$2:$V$1001,MATCH(ROWS($U$2:U290),$U$2:$U$1001,0),1)&gt;=100000,INDEX($AB$1005:$AQ$1005,1,MATCH(COLUMNS($AB$1006:AF1006),$AB$1006:$AQ$1006,0))&gt;=100000), " ",IF(INDEX($AB$2:$AQ$1001,MATCH(ROWS($U$2:U290),$U$2:$U$1001,0),MATCH(COLUMNS($AB$1006:AF1006),$AB$1006:$AQ$1006,0)), HYPERLINK("#",""), HYPERLINK(CONCATENATE("#metadata!", ADDRESS(INDEX($W$2:$W$1001,MATCH(ROWS($U$2:U290),$U$2:$U$1001,0),0), INDEX($AB$1004:$AQ$1004,1,MATCH(COLUMNS($AB$1006:AF1006),$AB$1006:$AQ$1006,0)))),"Fix")))</f>
        <v>0</v>
      </c>
      <c r="G290" s="4">
        <f>IF(OR(INDEX($V$2:$V$1001,MATCH(ROWS($U$2:U290),$U$2:$U$1001,0),1)&gt;=100000,INDEX($AB$1005:$AQ$1005,1,MATCH(COLUMNS($AB$1006:AG1006),$AB$1006:$AQ$1006,0))&gt;=100000), " ",IF(INDEX($AB$2:$AQ$1001,MATCH(ROWS($U$2:U290),$U$2:$U$1001,0),MATCH(COLUMNS($AB$1006:AG1006),$AB$1006:$AQ$1006,0)), HYPERLINK("#",""), HYPERLINK(CONCATENATE("#metadata!", ADDRESS(INDEX($W$2:$W$1001,MATCH(ROWS($U$2:U290),$U$2:$U$1001,0),0), INDEX($AB$1004:$AQ$1004,1,MATCH(COLUMNS($AB$1006:AG1006),$AB$1006:$AQ$1006,0)))),"Fix")))</f>
        <v>0</v>
      </c>
      <c r="H290" s="4">
        <f>IF(OR(INDEX($V$2:$V$1001,MATCH(ROWS($U$2:U290),$U$2:$U$1001,0),1)&gt;=100000,INDEX($AB$1005:$AQ$1005,1,MATCH(COLUMNS($AB$1006:AH1006),$AB$1006:$AQ$1006,0))&gt;=100000), " ",IF(INDEX($AB$2:$AQ$1001,MATCH(ROWS($U$2:U290),$U$2:$U$1001,0),MATCH(COLUMNS($AB$1006:AH1006),$AB$1006:$AQ$1006,0)), HYPERLINK("#",""), HYPERLINK(CONCATENATE("#metadata!", ADDRESS(INDEX($W$2:$W$1001,MATCH(ROWS($U$2:U290),$U$2:$U$1001,0),0), INDEX($AB$1004:$AQ$1004,1,MATCH(COLUMNS($AB$1006:AH1006),$AB$1006:$AQ$1006,0)))),"Fix")))</f>
        <v>0</v>
      </c>
      <c r="I290" s="4">
        <f>IF(OR(INDEX($V$2:$V$1001,MATCH(ROWS($U$2:U290),$U$2:$U$1001,0),1)&gt;=100000,INDEX($AB$1005:$AQ$1005,1,MATCH(COLUMNS($AB$1006:AI1006),$AB$1006:$AQ$1006,0))&gt;=100000), " ",IF(INDEX($AB$2:$AQ$1001,MATCH(ROWS($U$2:U290),$U$2:$U$1001,0),MATCH(COLUMNS($AB$1006:AI1006),$AB$1006:$AQ$1006,0)), HYPERLINK("#",""), HYPERLINK(CONCATENATE("#metadata!", ADDRESS(INDEX($W$2:$W$1001,MATCH(ROWS($U$2:U290),$U$2:$U$1001,0),0), INDEX($AB$1004:$AQ$1004,1,MATCH(COLUMNS($AB$1006:AI1006),$AB$1006:$AQ$1006,0)))),"Fix")))</f>
        <v>0</v>
      </c>
      <c r="J290" s="4">
        <f>IF(OR(INDEX($V$2:$V$1001,MATCH(ROWS($U$2:U290),$U$2:$U$1001,0),1)&gt;=100000,INDEX($AB$1005:$AQ$1005,1,MATCH(COLUMNS($AB$1006:AJ1006),$AB$1006:$AQ$1006,0))&gt;=100000), " ",IF(INDEX($AB$2:$AQ$1001,MATCH(ROWS($U$2:U290),$U$2:$U$1001,0),MATCH(COLUMNS($AB$1006:AJ1006),$AB$1006:$AQ$1006,0)), HYPERLINK("#",""), HYPERLINK(CONCATENATE("#metadata!", ADDRESS(INDEX($W$2:$W$1001,MATCH(ROWS($U$2:U290),$U$2:$U$1001,0),0), INDEX($AB$1004:$AQ$1004,1,MATCH(COLUMNS($AB$1006:AJ1006),$AB$1006:$AQ$1006,0)))),"Fix")))</f>
        <v>0</v>
      </c>
      <c r="K290" s="4">
        <f>IF(OR(INDEX($V$2:$V$1001,MATCH(ROWS($U$2:U290),$U$2:$U$1001,0),1)&gt;=100000,INDEX($AB$1005:$AQ$1005,1,MATCH(COLUMNS($AB$1006:AK1006),$AB$1006:$AQ$1006,0))&gt;=100000), " ",IF(INDEX($AB$2:$AQ$1001,MATCH(ROWS($U$2:U290),$U$2:$U$1001,0),MATCH(COLUMNS($AB$1006:AK1006),$AB$1006:$AQ$1006,0)), HYPERLINK("#",""), HYPERLINK(CONCATENATE("#metadata!", ADDRESS(INDEX($W$2:$W$1001,MATCH(ROWS($U$2:U290),$U$2:$U$1001,0),0), INDEX($AB$1004:$AQ$1004,1,MATCH(COLUMNS($AB$1006:AK1006),$AB$1006:$AQ$1006,0)))),"Fix")))</f>
        <v>0</v>
      </c>
      <c r="L290" s="4">
        <f>IF(OR(INDEX($V$2:$V$1001,MATCH(ROWS($U$2:U290),$U$2:$U$1001,0),1)&gt;=100000,INDEX($AB$1005:$AQ$1005,1,MATCH(COLUMNS($AB$1006:AL1006),$AB$1006:$AQ$1006,0))&gt;=100000), " ",IF(INDEX($AB$2:$AQ$1001,MATCH(ROWS($U$2:U290),$U$2:$U$1001,0),MATCH(COLUMNS($AB$1006:AL1006),$AB$1006:$AQ$1006,0)), HYPERLINK("#",""), HYPERLINK(CONCATENATE("#metadata!", ADDRESS(INDEX($W$2:$W$1001,MATCH(ROWS($U$2:U290),$U$2:$U$1001,0),0), INDEX($AB$1004:$AQ$1004,1,MATCH(COLUMNS($AB$1006:AL1006),$AB$1006:$AQ$1006,0)))),"Fix")))</f>
        <v>0</v>
      </c>
      <c r="M290" s="4">
        <f>IF(OR(INDEX($V$2:$V$1001,MATCH(ROWS($U$2:U290),$U$2:$U$1001,0),1)&gt;=100000,INDEX($AB$1005:$AQ$1005,1,MATCH(COLUMNS($AB$1006:AM1006),$AB$1006:$AQ$1006,0))&gt;=100000), " ",IF(INDEX($AB$2:$AQ$1001,MATCH(ROWS($U$2:U290),$U$2:$U$1001,0),MATCH(COLUMNS($AB$1006:AM1006),$AB$1006:$AQ$1006,0)), HYPERLINK("#",""), HYPERLINK(CONCATENATE("#metadata!", ADDRESS(INDEX($W$2:$W$1001,MATCH(ROWS($U$2:U290),$U$2:$U$1001,0),0), INDEX($AB$1004:$AQ$1004,1,MATCH(COLUMNS($AB$1006:AM1006),$AB$1006:$AQ$1006,0)))),"Fix")))</f>
        <v>0</v>
      </c>
      <c r="N290" s="4">
        <f>IF(OR(INDEX($V$2:$V$1001,MATCH(ROWS($U$2:U290),$U$2:$U$1001,0),1)&gt;=100000,INDEX($AB$1005:$AQ$1005,1,MATCH(COLUMNS($AB$1006:AN1006),$AB$1006:$AQ$1006,0))&gt;=100000), " ",IF(INDEX($AB$2:$AQ$1001,MATCH(ROWS($U$2:U290),$U$2:$U$1001,0),MATCH(COLUMNS($AB$1006:AN1006),$AB$1006:$AQ$1006,0)), HYPERLINK("#",""), HYPERLINK(CONCATENATE("#metadata!", ADDRESS(INDEX($W$2:$W$1001,MATCH(ROWS($U$2:U290),$U$2:$U$1001,0),0), INDEX($AB$1004:$AQ$1004,1,MATCH(COLUMNS($AB$1006:AN1006),$AB$1006:$AQ$1006,0)))),"Fix")))</f>
        <v>0</v>
      </c>
      <c r="O290" s="4">
        <f>IF(OR(INDEX($V$2:$V$1001,MATCH(ROWS($U$2:U290),$U$2:$U$1001,0),1)&gt;=100000,INDEX($AB$1005:$AQ$1005,1,MATCH(COLUMNS($AB$1006:AO1006),$AB$1006:$AQ$1006,0))&gt;=100000), " ",IF(INDEX($AB$2:$AQ$1001,MATCH(ROWS($U$2:U290),$U$2:$U$1001,0),MATCH(COLUMNS($AB$1006:AO1006),$AB$1006:$AQ$1006,0)), HYPERLINK("#",""), HYPERLINK(CONCATENATE("#metadata!", ADDRESS(INDEX($W$2:$W$1001,MATCH(ROWS($U$2:U290),$U$2:$U$1001,0),0), INDEX($AB$1004:$AQ$1004,1,MATCH(COLUMNS($AB$1006:AO1006),$AB$1006:$AQ$1006,0)))),"Fix")))</f>
        <v>0</v>
      </c>
      <c r="P290" s="4">
        <f>IF(OR(INDEX($V$2:$V$1001,MATCH(ROWS($U$2:U290),$U$2:$U$1001,0),1)&gt;=100000,INDEX($AB$1005:$AQ$1005,1,MATCH(COLUMNS($AB$1006:AP1006),$AB$1006:$AQ$1006,0))&gt;=100000), " ",IF(INDEX($AB$2:$AQ$1001,MATCH(ROWS($U$2:U290),$U$2:$U$1001,0),MATCH(COLUMNS($AB$1006:AP1006),$AB$1006:$AQ$1006,0)), HYPERLINK("#",""), HYPERLINK(CONCATENATE("#metadata!", ADDRESS(INDEX($W$2:$W$1001,MATCH(ROWS($U$2:U290),$U$2:$U$1001,0),0), INDEX($AB$1004:$AQ$1004,1,MATCH(COLUMNS($AB$1006:AP1006),$AB$1006:$AQ$1006,0)))),"Fix")))</f>
        <v>0</v>
      </c>
      <c r="Q290" s="4">
        <f>IF(OR(INDEX($V$2:$V$1001,MATCH(ROWS($U$2:U290),$U$2:$U$1001,0),1)&gt;=100000,INDEX($AB$1005:$AQ$1005,1,MATCH(COLUMNS($AB$1006:AQ1006),$AB$1006:$AQ$1006,0))&gt;=100000), " ",IF(INDEX($AB$2:$AQ$1001,MATCH(ROWS($U$2:U290),$U$2:$U$1001,0),MATCH(COLUMNS($AB$1006:AQ1006),$AB$1006:$AQ$1006,0)), HYPERLINK("#",""), HYPERLINK(CONCATENATE("#metadata!", ADDRESS(INDEX($W$2:$W$1001,MATCH(ROWS($U$2:U290),$U$2:$U$1001,0),0), INDEX($AB$1004:$AQ$1004,1,MATCH(COLUMNS($AB$1006:AQ1006),$AB$1006:$AQ$1006,0)))),"Fix")))</f>
        <v>0</v>
      </c>
      <c r="U290">
        <v>0</v>
      </c>
      <c r="V290">
        <v>0</v>
      </c>
      <c r="W290">
        <v>0</v>
      </c>
      <c r="X290">
        <f>IF(Y290,TRUE,AND(AB290:AQ290))</f>
        <v>0</v>
      </c>
      <c r="Y290">
        <f>COUNTBLANK(metadata!B290:Q290)=COLUMNS(metadata!B290:Q290)</f>
        <v>0</v>
      </c>
      <c r="Z290">
        <v>0</v>
      </c>
      <c r="AB290">
        <f>AND(IF(metadata!B290="",FALSE,TRUE),COUNTIF(metadata!B:B, metadata!B290) = 1,NOT(ISERROR(SUMPRODUCT(SEARCH(MID(metadata!B290,ROW(INDIRECT("1:"&amp;LEN(metadata!B290))), 1),"0123456789abcdefghijklmnopqrstuvwxyzABCDEFGHIJKLMNOPQRSTUVWXYZ.")))))</f>
        <v>0</v>
      </c>
      <c r="AC290">
        <f>OR(AND(IF(metadata!C290="",FALSE,TRUE),OR(exact(metadata!C290,"missing: not collected"),exact(metadata!C290,"missing: not provided"),exact(metadata!C290,"missing: restricted access"))),AND(IF(metadata!C290="",FALSE,TRUE),AND(AND(IFERROR(INT(LEFT(metadata!C290,4))&gt;1900,FALSE),IFERROR(INT(LEFT(metadata!C290,4))&lt;=YEAR(NOW()),FALSE)), OR(MID(metadata!C290,5,1)="", AND(AND(MID(metadata!C290,5,1)="-",IFERROR(INT(MID(metadata!C290,6,1))&gt;=0,FALSE),IFERROR(INT(MID(metadata!C290,6,1))&lt;=1,FALSE),NOT(MID(metadata!C290,7,1)=""),IFERROR(INT(MID(metadata!C290,6,2))&gt;=1,FALSE),IFERROR(INT(MID(metadata!C290,6,2))&lt;=12,FALSE)), OR(MID(metadata!C290,8,1)="", AND(AND(MID(metadata!C290,8,1)="-",IFERROR(INT(MID(metadata!C290,9,1))&gt;=0,FALSE),IFERROR(INT(MID(metadata!C290,9,1))&lt;=3,FALSE),NOT(MID(metadata!C290,10,1)=""),IFERROR(INT(MID(metadata!C290,9,2))&gt;=1,FALSE),IFERROR(INT(MID(metadata!C290,9,2))&lt;=31,FALSE)), OR(MID(metadata!C290,11,1)="", AND(AND(MID(metadata!C290,11,1)=" ",IFERROR(INT(MID(metadata!C290,12,1))&gt;=0,FALSE),IFERROR(INT(MID(metadata!C290,12,1))&lt;=2,FALSE),NOT(MID(metadata!C290,13,1)=""),IFERROR(INT(MID(metadata!C290,12,2))&gt;=0,FALSE),IFERROR(INT(MID(metadata!C290,12,2))&lt;=23,FALSE)), OR(MID(metadata!C290,14,1)="", AND(AND(MID(metadata!C290,14,1)=":",IFERROR(INT(MID(metadata!C290,15,1))&gt;=0,FALSE),IFERROR(INT(MID(metadata!C290,15,1))&lt;=5,FALSE),NOT(MID(metadata!C290,16,1)=""),IFERROR(INT(MID(metadata!C290,15,2))&gt;=0,FALSE),IFERROR(INT(MID(metadata!C290,15,2))&lt;=59,FALSE)), OR(MID(metadata!C290,17,1)="", AND(AND(MID(metadata!C290,17,1)=":",IFERROR(INT(MID(metadata!C290,18,1))&gt;=0,FALSE),IFERROR(INT(MID(metadata!C290,18,1))&lt;=5,FALSE),NOT(MID(metadata!C290,19,1)=""),IFERROR(INT(MID(metadata!C290,18,2))&gt;=0,FALSE),IFERROR(INT(MID(metadata!C290,18,2))&lt;=59,FALSE)), LEN(metadata!C290)&lt;=19)))))))))))))</f>
        <v>0</v>
      </c>
      <c r="AD290">
        <f>IF(metadata!D290="",FALSE,TRUE)</f>
        <v>0</v>
      </c>
      <c r="AE290">
        <f>OR(AND(IF(metadata!E290="",FALSE,TRUE),OR(exact(metadata!E290,"missing: not collected"),exact(metadata!E290,"missing: not provided"))),AND(IF(metadata!E290="",FALSE,TRUE),OR(exact(metadata!E290,"TRUE"),exact(metadata!E290,"FALSE"))))</f>
        <v>0</v>
      </c>
      <c r="AF290">
        <f>IF(metadata!F290="",FALSE,TRUE)</f>
        <v>0</v>
      </c>
      <c r="AG290">
        <f>IF(metadata!G290="",FALSE,TRUE)</f>
        <v>0</v>
      </c>
      <c r="AH290">
        <f>IF(metadata!H290="",FALSE,TRUE)</f>
        <v>0</v>
      </c>
      <c r="AI290">
        <f>OR(AND(IF(metadata!I290="",FALSE,TRUE),OR(exact(metadata!I290,"missing: not collected"),exact(metadata!I290,"missing: not provided"),exact(metadata!I290,"missing: restricted access"))),AND(IF(metadata!I290="",FALSE,TRUE),OR(exact(metadata!I290,"air"),exact(metadata!I290,"built environment"),exact(metadata!I290,"host-associated"),exact(metadata!I290,"human-associated"),exact(metadata!I290,"human-skin"),exact(metadata!I290,"human-oral"),exact(metadata!I290,"human-gut"),exact(metadata!I290,"human-vaginal"),exact(metadata!I290,"microbial mat/biofilm"),exact(metadata!I290,"misc environment"),exact(metadata!I290,"plant-associated"),exact(metadata!I290,"sediment"),exact(metadata!I290,"soil"),exact(metadata!I290,"wastewater/sludge"),exact(metadata!I290,"water"))))</f>
        <v>0</v>
      </c>
      <c r="AJ290">
        <f>IF(metadata!J290="",FALSE,TRUE)</f>
        <v>0</v>
      </c>
      <c r="AK290">
        <f>OR(AND(IF(metadata!K290="",FALSE,TRUE),OR(exact(metadata!K290,"missing: not collected"),exact(metadata!K290,"missing: not provided"),exact(metadata!K290,"missing: restricted access"))),AND(IF(metadata!K290="",FALSE,ISNUMBER(VALUE(metadata!K290))),metadata!K290&gt;=-90.00,metadata!K290&lt;=90.00))</f>
        <v>0</v>
      </c>
      <c r="AL290">
        <f>OR(AND(IF(metadata!L290="",FALSE,TRUE),OR(exact(metadata!L290,"missing: not collected"),exact(metadata!L290,"missing: not provided"),exact(metadata!L290,"missing: restricted access"))),AND(IF(metadata!L290="",FALSE,ISNUMBER(VALUE(metadata!L290))),metadata!L290&gt;=-180.00,metadata!L290&lt;=180.00))</f>
        <v>0</v>
      </c>
      <c r="AM290">
        <f>IF(metadata!M290="",FALSE,TRUE)</f>
        <v>0</v>
      </c>
      <c r="AN290">
        <f>OR(AND(IF(metadata!N290="",FALSE,TRUE),OR(exact(metadata!N290,"missing: not collected"),exact(metadata!N290,"missing: not provided"),exact(metadata!N290,"missing: restricted access"))),AND(IF(metadata!N290="",FALSE,TRUE),OR(exact(metadata!N290,"TRUE"),exact(metadata!N290,"FALSE"))))</f>
        <v>0</v>
      </c>
      <c r="AO290">
        <f>IF(metadata!O290="",FALSE,TRUE)</f>
        <v>0</v>
      </c>
      <c r="AP290">
        <f>OR(AND(IF(metadata!P290="",FALSE,TRUE),OR(exact(metadata!P290,"missing: not collected"),exact(metadata!P290,"missing: not provided"))),AND(IF(metadata!P290="",FALSE,IF(ISERROR(INT(metadata!P290)),FALSE,INT(metadata!P290)=metadata!P290)),metadata!P290&gt;0))</f>
        <v>0</v>
      </c>
      <c r="AQ290">
        <f>IF(metadata!Q290="",FALSE,TRUE)</f>
        <v>0</v>
      </c>
    </row>
    <row r="291" spans="1:43">
      <c r="A291" s="5">
        <f>IF(B291=" "," ",HYPERLINK(CONCATENATE("#metadata!",ADDRESS(INDEX($W$2:$W$1001,MATCH(ROWS($U$2:U291),$U$2:$U$1001,0),0),1)),INDEX($Z$2:$Z$1001,MATCH(ROWS($U$2:U291),$U$2:$U$1001,0),0)))</f>
        <v>0</v>
      </c>
      <c r="B291" s="4">
        <f>IF(OR(INDEX($V$2:$V$1001,MATCH(ROWS($U$2:U291),$U$2:$U$1001,0),1)&gt;=100000,INDEX($AB$1005:$AQ$1005,1,MATCH(COLUMNS($AB$1006:AB1006),$AB$1006:$AQ$1006,0))&gt;=100000), " ",IF(INDEX($AB$2:$AQ$1001,MATCH(ROWS($U$2:U291),$U$2:$U$1001,0),MATCH(COLUMNS($AB$1006:AB1006),$AB$1006:$AQ$1006,0)), HYPERLINK("#",""), HYPERLINK(CONCATENATE("#metadata!", ADDRESS(INDEX($W$2:$W$1001,MATCH(ROWS($U$2:U291),$U$2:$U$1001,0),0), INDEX($AB$1004:$AQ$1004,1,MATCH(COLUMNS($AB$1006:AB1006),$AB$1006:$AQ$1006,0)))),"Fix")))</f>
        <v>0</v>
      </c>
      <c r="C291" s="4">
        <f>IF(OR(INDEX($V$2:$V$1001,MATCH(ROWS($U$2:U291),$U$2:$U$1001,0),1)&gt;=100000,INDEX($AB$1005:$AQ$1005,1,MATCH(COLUMNS($AB$1006:AC1006),$AB$1006:$AQ$1006,0))&gt;=100000), " ",IF(INDEX($AB$2:$AQ$1001,MATCH(ROWS($U$2:U291),$U$2:$U$1001,0),MATCH(COLUMNS($AB$1006:AC1006),$AB$1006:$AQ$1006,0)), HYPERLINK("#",""), HYPERLINK(CONCATENATE("#metadata!", ADDRESS(INDEX($W$2:$W$1001,MATCH(ROWS($U$2:U291),$U$2:$U$1001,0),0), INDEX($AB$1004:$AQ$1004,1,MATCH(COLUMNS($AB$1006:AC1006),$AB$1006:$AQ$1006,0)))),"Fix")))</f>
        <v>0</v>
      </c>
      <c r="D291" s="4">
        <f>IF(OR(INDEX($V$2:$V$1001,MATCH(ROWS($U$2:U291),$U$2:$U$1001,0),1)&gt;=100000,INDEX($AB$1005:$AQ$1005,1,MATCH(COLUMNS($AB$1006:AD1006),$AB$1006:$AQ$1006,0))&gt;=100000), " ",IF(INDEX($AB$2:$AQ$1001,MATCH(ROWS($U$2:U291),$U$2:$U$1001,0),MATCH(COLUMNS($AB$1006:AD1006),$AB$1006:$AQ$1006,0)), HYPERLINK("#",""), HYPERLINK(CONCATENATE("#metadata!", ADDRESS(INDEX($W$2:$W$1001,MATCH(ROWS($U$2:U291),$U$2:$U$1001,0),0), INDEX($AB$1004:$AQ$1004,1,MATCH(COLUMNS($AB$1006:AD1006),$AB$1006:$AQ$1006,0)))),"Fix")))</f>
        <v>0</v>
      </c>
      <c r="E291" s="4">
        <f>IF(OR(INDEX($V$2:$V$1001,MATCH(ROWS($U$2:U291),$U$2:$U$1001,0),1)&gt;=100000,INDEX($AB$1005:$AQ$1005,1,MATCH(COLUMNS($AB$1006:AE1006),$AB$1006:$AQ$1006,0))&gt;=100000), " ",IF(INDEX($AB$2:$AQ$1001,MATCH(ROWS($U$2:U291),$U$2:$U$1001,0),MATCH(COLUMNS($AB$1006:AE1006),$AB$1006:$AQ$1006,0)), HYPERLINK("#",""), HYPERLINK(CONCATENATE("#metadata!", ADDRESS(INDEX($W$2:$W$1001,MATCH(ROWS($U$2:U291),$U$2:$U$1001,0),0), INDEX($AB$1004:$AQ$1004,1,MATCH(COLUMNS($AB$1006:AE1006),$AB$1006:$AQ$1006,0)))),"Fix")))</f>
        <v>0</v>
      </c>
      <c r="F291" s="4">
        <f>IF(OR(INDEX($V$2:$V$1001,MATCH(ROWS($U$2:U291),$U$2:$U$1001,0),1)&gt;=100000,INDEX($AB$1005:$AQ$1005,1,MATCH(COLUMNS($AB$1006:AF1006),$AB$1006:$AQ$1006,0))&gt;=100000), " ",IF(INDEX($AB$2:$AQ$1001,MATCH(ROWS($U$2:U291),$U$2:$U$1001,0),MATCH(COLUMNS($AB$1006:AF1006),$AB$1006:$AQ$1006,0)), HYPERLINK("#",""), HYPERLINK(CONCATENATE("#metadata!", ADDRESS(INDEX($W$2:$W$1001,MATCH(ROWS($U$2:U291),$U$2:$U$1001,0),0), INDEX($AB$1004:$AQ$1004,1,MATCH(COLUMNS($AB$1006:AF1006),$AB$1006:$AQ$1006,0)))),"Fix")))</f>
        <v>0</v>
      </c>
      <c r="G291" s="4">
        <f>IF(OR(INDEX($V$2:$V$1001,MATCH(ROWS($U$2:U291),$U$2:$U$1001,0),1)&gt;=100000,INDEX($AB$1005:$AQ$1005,1,MATCH(COLUMNS($AB$1006:AG1006),$AB$1006:$AQ$1006,0))&gt;=100000), " ",IF(INDEX($AB$2:$AQ$1001,MATCH(ROWS($U$2:U291),$U$2:$U$1001,0),MATCH(COLUMNS($AB$1006:AG1006),$AB$1006:$AQ$1006,0)), HYPERLINK("#",""), HYPERLINK(CONCATENATE("#metadata!", ADDRESS(INDEX($W$2:$W$1001,MATCH(ROWS($U$2:U291),$U$2:$U$1001,0),0), INDEX($AB$1004:$AQ$1004,1,MATCH(COLUMNS($AB$1006:AG1006),$AB$1006:$AQ$1006,0)))),"Fix")))</f>
        <v>0</v>
      </c>
      <c r="H291" s="4">
        <f>IF(OR(INDEX($V$2:$V$1001,MATCH(ROWS($U$2:U291),$U$2:$U$1001,0),1)&gt;=100000,INDEX($AB$1005:$AQ$1005,1,MATCH(COLUMNS($AB$1006:AH1006),$AB$1006:$AQ$1006,0))&gt;=100000), " ",IF(INDEX($AB$2:$AQ$1001,MATCH(ROWS($U$2:U291),$U$2:$U$1001,0),MATCH(COLUMNS($AB$1006:AH1006),$AB$1006:$AQ$1006,0)), HYPERLINK("#",""), HYPERLINK(CONCATENATE("#metadata!", ADDRESS(INDEX($W$2:$W$1001,MATCH(ROWS($U$2:U291),$U$2:$U$1001,0),0), INDEX($AB$1004:$AQ$1004,1,MATCH(COLUMNS($AB$1006:AH1006),$AB$1006:$AQ$1006,0)))),"Fix")))</f>
        <v>0</v>
      </c>
      <c r="I291" s="4">
        <f>IF(OR(INDEX($V$2:$V$1001,MATCH(ROWS($U$2:U291),$U$2:$U$1001,0),1)&gt;=100000,INDEX($AB$1005:$AQ$1005,1,MATCH(COLUMNS($AB$1006:AI1006),$AB$1006:$AQ$1006,0))&gt;=100000), " ",IF(INDEX($AB$2:$AQ$1001,MATCH(ROWS($U$2:U291),$U$2:$U$1001,0),MATCH(COLUMNS($AB$1006:AI1006),$AB$1006:$AQ$1006,0)), HYPERLINK("#",""), HYPERLINK(CONCATENATE("#metadata!", ADDRESS(INDEX($W$2:$W$1001,MATCH(ROWS($U$2:U291),$U$2:$U$1001,0),0), INDEX($AB$1004:$AQ$1004,1,MATCH(COLUMNS($AB$1006:AI1006),$AB$1006:$AQ$1006,0)))),"Fix")))</f>
        <v>0</v>
      </c>
      <c r="J291" s="4">
        <f>IF(OR(INDEX($V$2:$V$1001,MATCH(ROWS($U$2:U291),$U$2:$U$1001,0),1)&gt;=100000,INDEX($AB$1005:$AQ$1005,1,MATCH(COLUMNS($AB$1006:AJ1006),$AB$1006:$AQ$1006,0))&gt;=100000), " ",IF(INDEX($AB$2:$AQ$1001,MATCH(ROWS($U$2:U291),$U$2:$U$1001,0),MATCH(COLUMNS($AB$1006:AJ1006),$AB$1006:$AQ$1006,0)), HYPERLINK("#",""), HYPERLINK(CONCATENATE("#metadata!", ADDRESS(INDEX($W$2:$W$1001,MATCH(ROWS($U$2:U291),$U$2:$U$1001,0),0), INDEX($AB$1004:$AQ$1004,1,MATCH(COLUMNS($AB$1006:AJ1006),$AB$1006:$AQ$1006,0)))),"Fix")))</f>
        <v>0</v>
      </c>
      <c r="K291" s="4">
        <f>IF(OR(INDEX($V$2:$V$1001,MATCH(ROWS($U$2:U291),$U$2:$U$1001,0),1)&gt;=100000,INDEX($AB$1005:$AQ$1005,1,MATCH(COLUMNS($AB$1006:AK1006),$AB$1006:$AQ$1006,0))&gt;=100000), " ",IF(INDEX($AB$2:$AQ$1001,MATCH(ROWS($U$2:U291),$U$2:$U$1001,0),MATCH(COLUMNS($AB$1006:AK1006),$AB$1006:$AQ$1006,0)), HYPERLINK("#",""), HYPERLINK(CONCATENATE("#metadata!", ADDRESS(INDEX($W$2:$W$1001,MATCH(ROWS($U$2:U291),$U$2:$U$1001,0),0), INDEX($AB$1004:$AQ$1004,1,MATCH(COLUMNS($AB$1006:AK1006),$AB$1006:$AQ$1006,0)))),"Fix")))</f>
        <v>0</v>
      </c>
      <c r="L291" s="4">
        <f>IF(OR(INDEX($V$2:$V$1001,MATCH(ROWS($U$2:U291),$U$2:$U$1001,0),1)&gt;=100000,INDEX($AB$1005:$AQ$1005,1,MATCH(COLUMNS($AB$1006:AL1006),$AB$1006:$AQ$1006,0))&gt;=100000), " ",IF(INDEX($AB$2:$AQ$1001,MATCH(ROWS($U$2:U291),$U$2:$U$1001,0),MATCH(COLUMNS($AB$1006:AL1006),$AB$1006:$AQ$1006,0)), HYPERLINK("#",""), HYPERLINK(CONCATENATE("#metadata!", ADDRESS(INDEX($W$2:$W$1001,MATCH(ROWS($U$2:U291),$U$2:$U$1001,0),0), INDEX($AB$1004:$AQ$1004,1,MATCH(COLUMNS($AB$1006:AL1006),$AB$1006:$AQ$1006,0)))),"Fix")))</f>
        <v>0</v>
      </c>
      <c r="M291" s="4">
        <f>IF(OR(INDEX($V$2:$V$1001,MATCH(ROWS($U$2:U291),$U$2:$U$1001,0),1)&gt;=100000,INDEX($AB$1005:$AQ$1005,1,MATCH(COLUMNS($AB$1006:AM1006),$AB$1006:$AQ$1006,0))&gt;=100000), " ",IF(INDEX($AB$2:$AQ$1001,MATCH(ROWS($U$2:U291),$U$2:$U$1001,0),MATCH(COLUMNS($AB$1006:AM1006),$AB$1006:$AQ$1006,0)), HYPERLINK("#",""), HYPERLINK(CONCATENATE("#metadata!", ADDRESS(INDEX($W$2:$W$1001,MATCH(ROWS($U$2:U291),$U$2:$U$1001,0),0), INDEX($AB$1004:$AQ$1004,1,MATCH(COLUMNS($AB$1006:AM1006),$AB$1006:$AQ$1006,0)))),"Fix")))</f>
        <v>0</v>
      </c>
      <c r="N291" s="4">
        <f>IF(OR(INDEX($V$2:$V$1001,MATCH(ROWS($U$2:U291),$U$2:$U$1001,0),1)&gt;=100000,INDEX($AB$1005:$AQ$1005,1,MATCH(COLUMNS($AB$1006:AN1006),$AB$1006:$AQ$1006,0))&gt;=100000), " ",IF(INDEX($AB$2:$AQ$1001,MATCH(ROWS($U$2:U291),$U$2:$U$1001,0),MATCH(COLUMNS($AB$1006:AN1006),$AB$1006:$AQ$1006,0)), HYPERLINK("#",""), HYPERLINK(CONCATENATE("#metadata!", ADDRESS(INDEX($W$2:$W$1001,MATCH(ROWS($U$2:U291),$U$2:$U$1001,0),0), INDEX($AB$1004:$AQ$1004,1,MATCH(COLUMNS($AB$1006:AN1006),$AB$1006:$AQ$1006,0)))),"Fix")))</f>
        <v>0</v>
      </c>
      <c r="O291" s="4">
        <f>IF(OR(INDEX($V$2:$V$1001,MATCH(ROWS($U$2:U291),$U$2:$U$1001,0),1)&gt;=100000,INDEX($AB$1005:$AQ$1005,1,MATCH(COLUMNS($AB$1006:AO1006),$AB$1006:$AQ$1006,0))&gt;=100000), " ",IF(INDEX($AB$2:$AQ$1001,MATCH(ROWS($U$2:U291),$U$2:$U$1001,0),MATCH(COLUMNS($AB$1006:AO1006),$AB$1006:$AQ$1006,0)), HYPERLINK("#",""), HYPERLINK(CONCATENATE("#metadata!", ADDRESS(INDEX($W$2:$W$1001,MATCH(ROWS($U$2:U291),$U$2:$U$1001,0),0), INDEX($AB$1004:$AQ$1004,1,MATCH(COLUMNS($AB$1006:AO1006),$AB$1006:$AQ$1006,0)))),"Fix")))</f>
        <v>0</v>
      </c>
      <c r="P291" s="4">
        <f>IF(OR(INDEX($V$2:$V$1001,MATCH(ROWS($U$2:U291),$U$2:$U$1001,0),1)&gt;=100000,INDEX($AB$1005:$AQ$1005,1,MATCH(COLUMNS($AB$1006:AP1006),$AB$1006:$AQ$1006,0))&gt;=100000), " ",IF(INDEX($AB$2:$AQ$1001,MATCH(ROWS($U$2:U291),$U$2:$U$1001,0),MATCH(COLUMNS($AB$1006:AP1006),$AB$1006:$AQ$1006,0)), HYPERLINK("#",""), HYPERLINK(CONCATENATE("#metadata!", ADDRESS(INDEX($W$2:$W$1001,MATCH(ROWS($U$2:U291),$U$2:$U$1001,0),0), INDEX($AB$1004:$AQ$1004,1,MATCH(COLUMNS($AB$1006:AP1006),$AB$1006:$AQ$1006,0)))),"Fix")))</f>
        <v>0</v>
      </c>
      <c r="Q291" s="4">
        <f>IF(OR(INDEX($V$2:$V$1001,MATCH(ROWS($U$2:U291),$U$2:$U$1001,0),1)&gt;=100000,INDEX($AB$1005:$AQ$1005,1,MATCH(COLUMNS($AB$1006:AQ1006),$AB$1006:$AQ$1006,0))&gt;=100000), " ",IF(INDEX($AB$2:$AQ$1001,MATCH(ROWS($U$2:U291),$U$2:$U$1001,0),MATCH(COLUMNS($AB$1006:AQ1006),$AB$1006:$AQ$1006,0)), HYPERLINK("#",""), HYPERLINK(CONCATENATE("#metadata!", ADDRESS(INDEX($W$2:$W$1001,MATCH(ROWS($U$2:U291),$U$2:$U$1001,0),0), INDEX($AB$1004:$AQ$1004,1,MATCH(COLUMNS($AB$1006:AQ1006),$AB$1006:$AQ$1006,0)))),"Fix")))</f>
        <v>0</v>
      </c>
      <c r="U291">
        <v>0</v>
      </c>
      <c r="V291">
        <v>0</v>
      </c>
      <c r="W291">
        <v>0</v>
      </c>
      <c r="X291">
        <f>IF(Y291,TRUE,AND(AB291:AQ291))</f>
        <v>0</v>
      </c>
      <c r="Y291">
        <f>COUNTBLANK(metadata!B291:Q291)=COLUMNS(metadata!B291:Q291)</f>
        <v>0</v>
      </c>
      <c r="Z291">
        <v>0</v>
      </c>
      <c r="AB291">
        <f>AND(IF(metadata!B291="",FALSE,TRUE),COUNTIF(metadata!B:B, metadata!B291) = 1,NOT(ISERROR(SUMPRODUCT(SEARCH(MID(metadata!B291,ROW(INDIRECT("1:"&amp;LEN(metadata!B291))), 1),"0123456789abcdefghijklmnopqrstuvwxyzABCDEFGHIJKLMNOPQRSTUVWXYZ.")))))</f>
        <v>0</v>
      </c>
      <c r="AC291">
        <f>OR(AND(IF(metadata!C291="",FALSE,TRUE),OR(exact(metadata!C291,"missing: not collected"),exact(metadata!C291,"missing: not provided"),exact(metadata!C291,"missing: restricted access"))),AND(IF(metadata!C291="",FALSE,TRUE),AND(AND(IFERROR(INT(LEFT(metadata!C291,4))&gt;1900,FALSE),IFERROR(INT(LEFT(metadata!C291,4))&lt;=YEAR(NOW()),FALSE)), OR(MID(metadata!C291,5,1)="", AND(AND(MID(metadata!C291,5,1)="-",IFERROR(INT(MID(metadata!C291,6,1))&gt;=0,FALSE),IFERROR(INT(MID(metadata!C291,6,1))&lt;=1,FALSE),NOT(MID(metadata!C291,7,1)=""),IFERROR(INT(MID(metadata!C291,6,2))&gt;=1,FALSE),IFERROR(INT(MID(metadata!C291,6,2))&lt;=12,FALSE)), OR(MID(metadata!C291,8,1)="", AND(AND(MID(metadata!C291,8,1)="-",IFERROR(INT(MID(metadata!C291,9,1))&gt;=0,FALSE),IFERROR(INT(MID(metadata!C291,9,1))&lt;=3,FALSE),NOT(MID(metadata!C291,10,1)=""),IFERROR(INT(MID(metadata!C291,9,2))&gt;=1,FALSE),IFERROR(INT(MID(metadata!C291,9,2))&lt;=31,FALSE)), OR(MID(metadata!C291,11,1)="", AND(AND(MID(metadata!C291,11,1)=" ",IFERROR(INT(MID(metadata!C291,12,1))&gt;=0,FALSE),IFERROR(INT(MID(metadata!C291,12,1))&lt;=2,FALSE),NOT(MID(metadata!C291,13,1)=""),IFERROR(INT(MID(metadata!C291,12,2))&gt;=0,FALSE),IFERROR(INT(MID(metadata!C291,12,2))&lt;=23,FALSE)), OR(MID(metadata!C291,14,1)="", AND(AND(MID(metadata!C291,14,1)=":",IFERROR(INT(MID(metadata!C291,15,1))&gt;=0,FALSE),IFERROR(INT(MID(metadata!C291,15,1))&lt;=5,FALSE),NOT(MID(metadata!C291,16,1)=""),IFERROR(INT(MID(metadata!C291,15,2))&gt;=0,FALSE),IFERROR(INT(MID(metadata!C291,15,2))&lt;=59,FALSE)), OR(MID(metadata!C291,17,1)="", AND(AND(MID(metadata!C291,17,1)=":",IFERROR(INT(MID(metadata!C291,18,1))&gt;=0,FALSE),IFERROR(INT(MID(metadata!C291,18,1))&lt;=5,FALSE),NOT(MID(metadata!C291,19,1)=""),IFERROR(INT(MID(metadata!C291,18,2))&gt;=0,FALSE),IFERROR(INT(MID(metadata!C291,18,2))&lt;=59,FALSE)), LEN(metadata!C291)&lt;=19)))))))))))))</f>
        <v>0</v>
      </c>
      <c r="AD291">
        <f>IF(metadata!D291="",FALSE,TRUE)</f>
        <v>0</v>
      </c>
      <c r="AE291">
        <f>OR(AND(IF(metadata!E291="",FALSE,TRUE),OR(exact(metadata!E291,"missing: not collected"),exact(metadata!E291,"missing: not provided"))),AND(IF(metadata!E291="",FALSE,TRUE),OR(exact(metadata!E291,"TRUE"),exact(metadata!E291,"FALSE"))))</f>
        <v>0</v>
      </c>
      <c r="AF291">
        <f>IF(metadata!F291="",FALSE,TRUE)</f>
        <v>0</v>
      </c>
      <c r="AG291">
        <f>IF(metadata!G291="",FALSE,TRUE)</f>
        <v>0</v>
      </c>
      <c r="AH291">
        <f>IF(metadata!H291="",FALSE,TRUE)</f>
        <v>0</v>
      </c>
      <c r="AI291">
        <f>OR(AND(IF(metadata!I291="",FALSE,TRUE),OR(exact(metadata!I291,"missing: not collected"),exact(metadata!I291,"missing: not provided"),exact(metadata!I291,"missing: restricted access"))),AND(IF(metadata!I291="",FALSE,TRUE),OR(exact(metadata!I291,"air"),exact(metadata!I291,"built environment"),exact(metadata!I291,"host-associated"),exact(metadata!I291,"human-associated"),exact(metadata!I291,"human-skin"),exact(metadata!I291,"human-oral"),exact(metadata!I291,"human-gut"),exact(metadata!I291,"human-vaginal"),exact(metadata!I291,"microbial mat/biofilm"),exact(metadata!I291,"misc environment"),exact(metadata!I291,"plant-associated"),exact(metadata!I291,"sediment"),exact(metadata!I291,"soil"),exact(metadata!I291,"wastewater/sludge"),exact(metadata!I291,"water"))))</f>
        <v>0</v>
      </c>
      <c r="AJ291">
        <f>IF(metadata!J291="",FALSE,TRUE)</f>
        <v>0</v>
      </c>
      <c r="AK291">
        <f>OR(AND(IF(metadata!K291="",FALSE,TRUE),OR(exact(metadata!K291,"missing: not collected"),exact(metadata!K291,"missing: not provided"),exact(metadata!K291,"missing: restricted access"))),AND(IF(metadata!K291="",FALSE,ISNUMBER(VALUE(metadata!K291))),metadata!K291&gt;=-90.00,metadata!K291&lt;=90.00))</f>
        <v>0</v>
      </c>
      <c r="AL291">
        <f>OR(AND(IF(metadata!L291="",FALSE,TRUE),OR(exact(metadata!L291,"missing: not collected"),exact(metadata!L291,"missing: not provided"),exact(metadata!L291,"missing: restricted access"))),AND(IF(metadata!L291="",FALSE,ISNUMBER(VALUE(metadata!L291))),metadata!L291&gt;=-180.00,metadata!L291&lt;=180.00))</f>
        <v>0</v>
      </c>
      <c r="AM291">
        <f>IF(metadata!M291="",FALSE,TRUE)</f>
        <v>0</v>
      </c>
      <c r="AN291">
        <f>OR(AND(IF(metadata!N291="",FALSE,TRUE),OR(exact(metadata!N291,"missing: not collected"),exact(metadata!N291,"missing: not provided"),exact(metadata!N291,"missing: restricted access"))),AND(IF(metadata!N291="",FALSE,TRUE),OR(exact(metadata!N291,"TRUE"),exact(metadata!N291,"FALSE"))))</f>
        <v>0</v>
      </c>
      <c r="AO291">
        <f>IF(metadata!O291="",FALSE,TRUE)</f>
        <v>0</v>
      </c>
      <c r="AP291">
        <f>OR(AND(IF(metadata!P291="",FALSE,TRUE),OR(exact(metadata!P291,"missing: not collected"),exact(metadata!P291,"missing: not provided"))),AND(IF(metadata!P291="",FALSE,IF(ISERROR(INT(metadata!P291)),FALSE,INT(metadata!P291)=metadata!P291)),metadata!P291&gt;0))</f>
        <v>0</v>
      </c>
      <c r="AQ291">
        <f>IF(metadata!Q291="",FALSE,TRUE)</f>
        <v>0</v>
      </c>
    </row>
    <row r="292" spans="1:43">
      <c r="A292" s="5">
        <f>IF(B292=" "," ",HYPERLINK(CONCATENATE("#metadata!",ADDRESS(INDEX($W$2:$W$1001,MATCH(ROWS($U$2:U292),$U$2:$U$1001,0),0),1)),INDEX($Z$2:$Z$1001,MATCH(ROWS($U$2:U292),$U$2:$U$1001,0),0)))</f>
        <v>0</v>
      </c>
      <c r="B292" s="4">
        <f>IF(OR(INDEX($V$2:$V$1001,MATCH(ROWS($U$2:U292),$U$2:$U$1001,0),1)&gt;=100000,INDEX($AB$1005:$AQ$1005,1,MATCH(COLUMNS($AB$1006:AB1006),$AB$1006:$AQ$1006,0))&gt;=100000), " ",IF(INDEX($AB$2:$AQ$1001,MATCH(ROWS($U$2:U292),$U$2:$U$1001,0),MATCH(COLUMNS($AB$1006:AB1006),$AB$1006:$AQ$1006,0)), HYPERLINK("#",""), HYPERLINK(CONCATENATE("#metadata!", ADDRESS(INDEX($W$2:$W$1001,MATCH(ROWS($U$2:U292),$U$2:$U$1001,0),0), INDEX($AB$1004:$AQ$1004,1,MATCH(COLUMNS($AB$1006:AB1006),$AB$1006:$AQ$1006,0)))),"Fix")))</f>
        <v>0</v>
      </c>
      <c r="C292" s="4">
        <f>IF(OR(INDEX($V$2:$V$1001,MATCH(ROWS($U$2:U292),$U$2:$U$1001,0),1)&gt;=100000,INDEX($AB$1005:$AQ$1005,1,MATCH(COLUMNS($AB$1006:AC1006),$AB$1006:$AQ$1006,0))&gt;=100000), " ",IF(INDEX($AB$2:$AQ$1001,MATCH(ROWS($U$2:U292),$U$2:$U$1001,0),MATCH(COLUMNS($AB$1006:AC1006),$AB$1006:$AQ$1006,0)), HYPERLINK("#",""), HYPERLINK(CONCATENATE("#metadata!", ADDRESS(INDEX($W$2:$W$1001,MATCH(ROWS($U$2:U292),$U$2:$U$1001,0),0), INDEX($AB$1004:$AQ$1004,1,MATCH(COLUMNS($AB$1006:AC1006),$AB$1006:$AQ$1006,0)))),"Fix")))</f>
        <v>0</v>
      </c>
      <c r="D292" s="4">
        <f>IF(OR(INDEX($V$2:$V$1001,MATCH(ROWS($U$2:U292),$U$2:$U$1001,0),1)&gt;=100000,INDEX($AB$1005:$AQ$1005,1,MATCH(COLUMNS($AB$1006:AD1006),$AB$1006:$AQ$1006,0))&gt;=100000), " ",IF(INDEX($AB$2:$AQ$1001,MATCH(ROWS($U$2:U292),$U$2:$U$1001,0),MATCH(COLUMNS($AB$1006:AD1006),$AB$1006:$AQ$1006,0)), HYPERLINK("#",""), HYPERLINK(CONCATENATE("#metadata!", ADDRESS(INDEX($W$2:$W$1001,MATCH(ROWS($U$2:U292),$U$2:$U$1001,0),0), INDEX($AB$1004:$AQ$1004,1,MATCH(COLUMNS($AB$1006:AD1006),$AB$1006:$AQ$1006,0)))),"Fix")))</f>
        <v>0</v>
      </c>
      <c r="E292" s="4">
        <f>IF(OR(INDEX($V$2:$V$1001,MATCH(ROWS($U$2:U292),$U$2:$U$1001,0),1)&gt;=100000,INDEX($AB$1005:$AQ$1005,1,MATCH(COLUMNS($AB$1006:AE1006),$AB$1006:$AQ$1006,0))&gt;=100000), " ",IF(INDEX($AB$2:$AQ$1001,MATCH(ROWS($U$2:U292),$U$2:$U$1001,0),MATCH(COLUMNS($AB$1006:AE1006),$AB$1006:$AQ$1006,0)), HYPERLINK("#",""), HYPERLINK(CONCATENATE("#metadata!", ADDRESS(INDEX($W$2:$W$1001,MATCH(ROWS($U$2:U292),$U$2:$U$1001,0),0), INDEX($AB$1004:$AQ$1004,1,MATCH(COLUMNS($AB$1006:AE1006),$AB$1006:$AQ$1006,0)))),"Fix")))</f>
        <v>0</v>
      </c>
      <c r="F292" s="4">
        <f>IF(OR(INDEX($V$2:$V$1001,MATCH(ROWS($U$2:U292),$U$2:$U$1001,0),1)&gt;=100000,INDEX($AB$1005:$AQ$1005,1,MATCH(COLUMNS($AB$1006:AF1006),$AB$1006:$AQ$1006,0))&gt;=100000), " ",IF(INDEX($AB$2:$AQ$1001,MATCH(ROWS($U$2:U292),$U$2:$U$1001,0),MATCH(COLUMNS($AB$1006:AF1006),$AB$1006:$AQ$1006,0)), HYPERLINK("#",""), HYPERLINK(CONCATENATE("#metadata!", ADDRESS(INDEX($W$2:$W$1001,MATCH(ROWS($U$2:U292),$U$2:$U$1001,0),0), INDEX($AB$1004:$AQ$1004,1,MATCH(COLUMNS($AB$1006:AF1006),$AB$1006:$AQ$1006,0)))),"Fix")))</f>
        <v>0</v>
      </c>
      <c r="G292" s="4">
        <f>IF(OR(INDEX($V$2:$V$1001,MATCH(ROWS($U$2:U292),$U$2:$U$1001,0),1)&gt;=100000,INDEX($AB$1005:$AQ$1005,1,MATCH(COLUMNS($AB$1006:AG1006),$AB$1006:$AQ$1006,0))&gt;=100000), " ",IF(INDEX($AB$2:$AQ$1001,MATCH(ROWS($U$2:U292),$U$2:$U$1001,0),MATCH(COLUMNS($AB$1006:AG1006),$AB$1006:$AQ$1006,0)), HYPERLINK("#",""), HYPERLINK(CONCATENATE("#metadata!", ADDRESS(INDEX($W$2:$W$1001,MATCH(ROWS($U$2:U292),$U$2:$U$1001,0),0), INDEX($AB$1004:$AQ$1004,1,MATCH(COLUMNS($AB$1006:AG1006),$AB$1006:$AQ$1006,0)))),"Fix")))</f>
        <v>0</v>
      </c>
      <c r="H292" s="4">
        <f>IF(OR(INDEX($V$2:$V$1001,MATCH(ROWS($U$2:U292),$U$2:$U$1001,0),1)&gt;=100000,INDEX($AB$1005:$AQ$1005,1,MATCH(COLUMNS($AB$1006:AH1006),$AB$1006:$AQ$1006,0))&gt;=100000), " ",IF(INDEX($AB$2:$AQ$1001,MATCH(ROWS($U$2:U292),$U$2:$U$1001,0),MATCH(COLUMNS($AB$1006:AH1006),$AB$1006:$AQ$1006,0)), HYPERLINK("#",""), HYPERLINK(CONCATENATE("#metadata!", ADDRESS(INDEX($W$2:$W$1001,MATCH(ROWS($U$2:U292),$U$2:$U$1001,0),0), INDEX($AB$1004:$AQ$1004,1,MATCH(COLUMNS($AB$1006:AH1006),$AB$1006:$AQ$1006,0)))),"Fix")))</f>
        <v>0</v>
      </c>
      <c r="I292" s="4">
        <f>IF(OR(INDEX($V$2:$V$1001,MATCH(ROWS($U$2:U292),$U$2:$U$1001,0),1)&gt;=100000,INDEX($AB$1005:$AQ$1005,1,MATCH(COLUMNS($AB$1006:AI1006),$AB$1006:$AQ$1006,0))&gt;=100000), " ",IF(INDEX($AB$2:$AQ$1001,MATCH(ROWS($U$2:U292),$U$2:$U$1001,0),MATCH(COLUMNS($AB$1006:AI1006),$AB$1006:$AQ$1006,0)), HYPERLINK("#",""), HYPERLINK(CONCATENATE("#metadata!", ADDRESS(INDEX($W$2:$W$1001,MATCH(ROWS($U$2:U292),$U$2:$U$1001,0),0), INDEX($AB$1004:$AQ$1004,1,MATCH(COLUMNS($AB$1006:AI1006),$AB$1006:$AQ$1006,0)))),"Fix")))</f>
        <v>0</v>
      </c>
      <c r="J292" s="4">
        <f>IF(OR(INDEX($V$2:$V$1001,MATCH(ROWS($U$2:U292),$U$2:$U$1001,0),1)&gt;=100000,INDEX($AB$1005:$AQ$1005,1,MATCH(COLUMNS($AB$1006:AJ1006),$AB$1006:$AQ$1006,0))&gt;=100000), " ",IF(INDEX($AB$2:$AQ$1001,MATCH(ROWS($U$2:U292),$U$2:$U$1001,0),MATCH(COLUMNS($AB$1006:AJ1006),$AB$1006:$AQ$1006,0)), HYPERLINK("#",""), HYPERLINK(CONCATENATE("#metadata!", ADDRESS(INDEX($W$2:$W$1001,MATCH(ROWS($U$2:U292),$U$2:$U$1001,0),0), INDEX($AB$1004:$AQ$1004,1,MATCH(COLUMNS($AB$1006:AJ1006),$AB$1006:$AQ$1006,0)))),"Fix")))</f>
        <v>0</v>
      </c>
      <c r="K292" s="4">
        <f>IF(OR(INDEX($V$2:$V$1001,MATCH(ROWS($U$2:U292),$U$2:$U$1001,0),1)&gt;=100000,INDEX($AB$1005:$AQ$1005,1,MATCH(COLUMNS($AB$1006:AK1006),$AB$1006:$AQ$1006,0))&gt;=100000), " ",IF(INDEX($AB$2:$AQ$1001,MATCH(ROWS($U$2:U292),$U$2:$U$1001,0),MATCH(COLUMNS($AB$1006:AK1006),$AB$1006:$AQ$1006,0)), HYPERLINK("#",""), HYPERLINK(CONCATENATE("#metadata!", ADDRESS(INDEX($W$2:$W$1001,MATCH(ROWS($U$2:U292),$U$2:$U$1001,0),0), INDEX($AB$1004:$AQ$1004,1,MATCH(COLUMNS($AB$1006:AK1006),$AB$1006:$AQ$1006,0)))),"Fix")))</f>
        <v>0</v>
      </c>
      <c r="L292" s="4">
        <f>IF(OR(INDEX($V$2:$V$1001,MATCH(ROWS($U$2:U292),$U$2:$U$1001,0),1)&gt;=100000,INDEX($AB$1005:$AQ$1005,1,MATCH(COLUMNS($AB$1006:AL1006),$AB$1006:$AQ$1006,0))&gt;=100000), " ",IF(INDEX($AB$2:$AQ$1001,MATCH(ROWS($U$2:U292),$U$2:$U$1001,0),MATCH(COLUMNS($AB$1006:AL1006),$AB$1006:$AQ$1006,0)), HYPERLINK("#",""), HYPERLINK(CONCATENATE("#metadata!", ADDRESS(INDEX($W$2:$W$1001,MATCH(ROWS($U$2:U292),$U$2:$U$1001,0),0), INDEX($AB$1004:$AQ$1004,1,MATCH(COLUMNS($AB$1006:AL1006),$AB$1006:$AQ$1006,0)))),"Fix")))</f>
        <v>0</v>
      </c>
      <c r="M292" s="4">
        <f>IF(OR(INDEX($V$2:$V$1001,MATCH(ROWS($U$2:U292),$U$2:$U$1001,0),1)&gt;=100000,INDEX($AB$1005:$AQ$1005,1,MATCH(COLUMNS($AB$1006:AM1006),$AB$1006:$AQ$1006,0))&gt;=100000), " ",IF(INDEX($AB$2:$AQ$1001,MATCH(ROWS($U$2:U292),$U$2:$U$1001,0),MATCH(COLUMNS($AB$1006:AM1006),$AB$1006:$AQ$1006,0)), HYPERLINK("#",""), HYPERLINK(CONCATENATE("#metadata!", ADDRESS(INDEX($W$2:$W$1001,MATCH(ROWS($U$2:U292),$U$2:$U$1001,0),0), INDEX($AB$1004:$AQ$1004,1,MATCH(COLUMNS($AB$1006:AM1006),$AB$1006:$AQ$1006,0)))),"Fix")))</f>
        <v>0</v>
      </c>
      <c r="N292" s="4">
        <f>IF(OR(INDEX($V$2:$V$1001,MATCH(ROWS($U$2:U292),$U$2:$U$1001,0),1)&gt;=100000,INDEX($AB$1005:$AQ$1005,1,MATCH(COLUMNS($AB$1006:AN1006),$AB$1006:$AQ$1006,0))&gt;=100000), " ",IF(INDEX($AB$2:$AQ$1001,MATCH(ROWS($U$2:U292),$U$2:$U$1001,0),MATCH(COLUMNS($AB$1006:AN1006),$AB$1006:$AQ$1006,0)), HYPERLINK("#",""), HYPERLINK(CONCATENATE("#metadata!", ADDRESS(INDEX($W$2:$W$1001,MATCH(ROWS($U$2:U292),$U$2:$U$1001,0),0), INDEX($AB$1004:$AQ$1004,1,MATCH(COLUMNS($AB$1006:AN1006),$AB$1006:$AQ$1006,0)))),"Fix")))</f>
        <v>0</v>
      </c>
      <c r="O292" s="4">
        <f>IF(OR(INDEX($V$2:$V$1001,MATCH(ROWS($U$2:U292),$U$2:$U$1001,0),1)&gt;=100000,INDEX($AB$1005:$AQ$1005,1,MATCH(COLUMNS($AB$1006:AO1006),$AB$1006:$AQ$1006,0))&gt;=100000), " ",IF(INDEX($AB$2:$AQ$1001,MATCH(ROWS($U$2:U292),$U$2:$U$1001,0),MATCH(COLUMNS($AB$1006:AO1006),$AB$1006:$AQ$1006,0)), HYPERLINK("#",""), HYPERLINK(CONCATENATE("#metadata!", ADDRESS(INDEX($W$2:$W$1001,MATCH(ROWS($U$2:U292),$U$2:$U$1001,0),0), INDEX($AB$1004:$AQ$1004,1,MATCH(COLUMNS($AB$1006:AO1006),$AB$1006:$AQ$1006,0)))),"Fix")))</f>
        <v>0</v>
      </c>
      <c r="P292" s="4">
        <f>IF(OR(INDEX($V$2:$V$1001,MATCH(ROWS($U$2:U292),$U$2:$U$1001,0),1)&gt;=100000,INDEX($AB$1005:$AQ$1005,1,MATCH(COLUMNS($AB$1006:AP1006),$AB$1006:$AQ$1006,0))&gt;=100000), " ",IF(INDEX($AB$2:$AQ$1001,MATCH(ROWS($U$2:U292),$U$2:$U$1001,0),MATCH(COLUMNS($AB$1006:AP1006),$AB$1006:$AQ$1006,0)), HYPERLINK("#",""), HYPERLINK(CONCATENATE("#metadata!", ADDRESS(INDEX($W$2:$W$1001,MATCH(ROWS($U$2:U292),$U$2:$U$1001,0),0), INDEX($AB$1004:$AQ$1004,1,MATCH(COLUMNS($AB$1006:AP1006),$AB$1006:$AQ$1006,0)))),"Fix")))</f>
        <v>0</v>
      </c>
      <c r="Q292" s="4">
        <f>IF(OR(INDEX($V$2:$V$1001,MATCH(ROWS($U$2:U292),$U$2:$U$1001,0),1)&gt;=100000,INDEX($AB$1005:$AQ$1005,1,MATCH(COLUMNS($AB$1006:AQ1006),$AB$1006:$AQ$1006,0))&gt;=100000), " ",IF(INDEX($AB$2:$AQ$1001,MATCH(ROWS($U$2:U292),$U$2:$U$1001,0),MATCH(COLUMNS($AB$1006:AQ1006),$AB$1006:$AQ$1006,0)), HYPERLINK("#",""), HYPERLINK(CONCATENATE("#metadata!", ADDRESS(INDEX($W$2:$W$1001,MATCH(ROWS($U$2:U292),$U$2:$U$1001,0),0), INDEX($AB$1004:$AQ$1004,1,MATCH(COLUMNS($AB$1006:AQ1006),$AB$1006:$AQ$1006,0)))),"Fix")))</f>
        <v>0</v>
      </c>
      <c r="U292">
        <v>0</v>
      </c>
      <c r="V292">
        <v>0</v>
      </c>
      <c r="W292">
        <v>0</v>
      </c>
      <c r="X292">
        <f>IF(Y292,TRUE,AND(AB292:AQ292))</f>
        <v>0</v>
      </c>
      <c r="Y292">
        <f>COUNTBLANK(metadata!B292:Q292)=COLUMNS(metadata!B292:Q292)</f>
        <v>0</v>
      </c>
      <c r="Z292">
        <v>0</v>
      </c>
      <c r="AB292">
        <f>AND(IF(metadata!B292="",FALSE,TRUE),COUNTIF(metadata!B:B, metadata!B292) = 1,NOT(ISERROR(SUMPRODUCT(SEARCH(MID(metadata!B292,ROW(INDIRECT("1:"&amp;LEN(metadata!B292))), 1),"0123456789abcdefghijklmnopqrstuvwxyzABCDEFGHIJKLMNOPQRSTUVWXYZ.")))))</f>
        <v>0</v>
      </c>
      <c r="AC292">
        <f>OR(AND(IF(metadata!C292="",FALSE,TRUE),OR(exact(metadata!C292,"missing: not collected"),exact(metadata!C292,"missing: not provided"),exact(metadata!C292,"missing: restricted access"))),AND(IF(metadata!C292="",FALSE,TRUE),AND(AND(IFERROR(INT(LEFT(metadata!C292,4))&gt;1900,FALSE),IFERROR(INT(LEFT(metadata!C292,4))&lt;=YEAR(NOW()),FALSE)), OR(MID(metadata!C292,5,1)="", AND(AND(MID(metadata!C292,5,1)="-",IFERROR(INT(MID(metadata!C292,6,1))&gt;=0,FALSE),IFERROR(INT(MID(metadata!C292,6,1))&lt;=1,FALSE),NOT(MID(metadata!C292,7,1)=""),IFERROR(INT(MID(metadata!C292,6,2))&gt;=1,FALSE),IFERROR(INT(MID(metadata!C292,6,2))&lt;=12,FALSE)), OR(MID(metadata!C292,8,1)="", AND(AND(MID(metadata!C292,8,1)="-",IFERROR(INT(MID(metadata!C292,9,1))&gt;=0,FALSE),IFERROR(INT(MID(metadata!C292,9,1))&lt;=3,FALSE),NOT(MID(metadata!C292,10,1)=""),IFERROR(INT(MID(metadata!C292,9,2))&gt;=1,FALSE),IFERROR(INT(MID(metadata!C292,9,2))&lt;=31,FALSE)), OR(MID(metadata!C292,11,1)="", AND(AND(MID(metadata!C292,11,1)=" ",IFERROR(INT(MID(metadata!C292,12,1))&gt;=0,FALSE),IFERROR(INT(MID(metadata!C292,12,1))&lt;=2,FALSE),NOT(MID(metadata!C292,13,1)=""),IFERROR(INT(MID(metadata!C292,12,2))&gt;=0,FALSE),IFERROR(INT(MID(metadata!C292,12,2))&lt;=23,FALSE)), OR(MID(metadata!C292,14,1)="", AND(AND(MID(metadata!C292,14,1)=":",IFERROR(INT(MID(metadata!C292,15,1))&gt;=0,FALSE),IFERROR(INT(MID(metadata!C292,15,1))&lt;=5,FALSE),NOT(MID(metadata!C292,16,1)=""),IFERROR(INT(MID(metadata!C292,15,2))&gt;=0,FALSE),IFERROR(INT(MID(metadata!C292,15,2))&lt;=59,FALSE)), OR(MID(metadata!C292,17,1)="", AND(AND(MID(metadata!C292,17,1)=":",IFERROR(INT(MID(metadata!C292,18,1))&gt;=0,FALSE),IFERROR(INT(MID(metadata!C292,18,1))&lt;=5,FALSE),NOT(MID(metadata!C292,19,1)=""),IFERROR(INT(MID(metadata!C292,18,2))&gt;=0,FALSE),IFERROR(INT(MID(metadata!C292,18,2))&lt;=59,FALSE)), LEN(metadata!C292)&lt;=19)))))))))))))</f>
        <v>0</v>
      </c>
      <c r="AD292">
        <f>IF(metadata!D292="",FALSE,TRUE)</f>
        <v>0</v>
      </c>
      <c r="AE292">
        <f>OR(AND(IF(metadata!E292="",FALSE,TRUE),OR(exact(metadata!E292,"missing: not collected"),exact(metadata!E292,"missing: not provided"))),AND(IF(metadata!E292="",FALSE,TRUE),OR(exact(metadata!E292,"TRUE"),exact(metadata!E292,"FALSE"))))</f>
        <v>0</v>
      </c>
      <c r="AF292">
        <f>IF(metadata!F292="",FALSE,TRUE)</f>
        <v>0</v>
      </c>
      <c r="AG292">
        <f>IF(metadata!G292="",FALSE,TRUE)</f>
        <v>0</v>
      </c>
      <c r="AH292">
        <f>IF(metadata!H292="",FALSE,TRUE)</f>
        <v>0</v>
      </c>
      <c r="AI292">
        <f>OR(AND(IF(metadata!I292="",FALSE,TRUE),OR(exact(metadata!I292,"missing: not collected"),exact(metadata!I292,"missing: not provided"),exact(metadata!I292,"missing: restricted access"))),AND(IF(metadata!I292="",FALSE,TRUE),OR(exact(metadata!I292,"air"),exact(metadata!I292,"built environment"),exact(metadata!I292,"host-associated"),exact(metadata!I292,"human-associated"),exact(metadata!I292,"human-skin"),exact(metadata!I292,"human-oral"),exact(metadata!I292,"human-gut"),exact(metadata!I292,"human-vaginal"),exact(metadata!I292,"microbial mat/biofilm"),exact(metadata!I292,"misc environment"),exact(metadata!I292,"plant-associated"),exact(metadata!I292,"sediment"),exact(metadata!I292,"soil"),exact(metadata!I292,"wastewater/sludge"),exact(metadata!I292,"water"))))</f>
        <v>0</v>
      </c>
      <c r="AJ292">
        <f>IF(metadata!J292="",FALSE,TRUE)</f>
        <v>0</v>
      </c>
      <c r="AK292">
        <f>OR(AND(IF(metadata!K292="",FALSE,TRUE),OR(exact(metadata!K292,"missing: not collected"),exact(metadata!K292,"missing: not provided"),exact(metadata!K292,"missing: restricted access"))),AND(IF(metadata!K292="",FALSE,ISNUMBER(VALUE(metadata!K292))),metadata!K292&gt;=-90.00,metadata!K292&lt;=90.00))</f>
        <v>0</v>
      </c>
      <c r="AL292">
        <f>OR(AND(IF(metadata!L292="",FALSE,TRUE),OR(exact(metadata!L292,"missing: not collected"),exact(metadata!L292,"missing: not provided"),exact(metadata!L292,"missing: restricted access"))),AND(IF(metadata!L292="",FALSE,ISNUMBER(VALUE(metadata!L292))),metadata!L292&gt;=-180.00,metadata!L292&lt;=180.00))</f>
        <v>0</v>
      </c>
      <c r="AM292">
        <f>IF(metadata!M292="",FALSE,TRUE)</f>
        <v>0</v>
      </c>
      <c r="AN292">
        <f>OR(AND(IF(metadata!N292="",FALSE,TRUE),OR(exact(metadata!N292,"missing: not collected"),exact(metadata!N292,"missing: not provided"),exact(metadata!N292,"missing: restricted access"))),AND(IF(metadata!N292="",FALSE,TRUE),OR(exact(metadata!N292,"TRUE"),exact(metadata!N292,"FALSE"))))</f>
        <v>0</v>
      </c>
      <c r="AO292">
        <f>IF(metadata!O292="",FALSE,TRUE)</f>
        <v>0</v>
      </c>
      <c r="AP292">
        <f>OR(AND(IF(metadata!P292="",FALSE,TRUE),OR(exact(metadata!P292,"missing: not collected"),exact(metadata!P292,"missing: not provided"))),AND(IF(metadata!P292="",FALSE,IF(ISERROR(INT(metadata!P292)),FALSE,INT(metadata!P292)=metadata!P292)),metadata!P292&gt;0))</f>
        <v>0</v>
      </c>
      <c r="AQ292">
        <f>IF(metadata!Q292="",FALSE,TRUE)</f>
        <v>0</v>
      </c>
    </row>
    <row r="293" spans="1:43">
      <c r="A293" s="5">
        <f>IF(B293=" "," ",HYPERLINK(CONCATENATE("#metadata!",ADDRESS(INDEX($W$2:$W$1001,MATCH(ROWS($U$2:U293),$U$2:$U$1001,0),0),1)),INDEX($Z$2:$Z$1001,MATCH(ROWS($U$2:U293),$U$2:$U$1001,0),0)))</f>
        <v>0</v>
      </c>
      <c r="B293" s="4">
        <f>IF(OR(INDEX($V$2:$V$1001,MATCH(ROWS($U$2:U293),$U$2:$U$1001,0),1)&gt;=100000,INDEX($AB$1005:$AQ$1005,1,MATCH(COLUMNS($AB$1006:AB1006),$AB$1006:$AQ$1006,0))&gt;=100000), " ",IF(INDEX($AB$2:$AQ$1001,MATCH(ROWS($U$2:U293),$U$2:$U$1001,0),MATCH(COLUMNS($AB$1006:AB1006),$AB$1006:$AQ$1006,0)), HYPERLINK("#",""), HYPERLINK(CONCATENATE("#metadata!", ADDRESS(INDEX($W$2:$W$1001,MATCH(ROWS($U$2:U293),$U$2:$U$1001,0),0), INDEX($AB$1004:$AQ$1004,1,MATCH(COLUMNS($AB$1006:AB1006),$AB$1006:$AQ$1006,0)))),"Fix")))</f>
        <v>0</v>
      </c>
      <c r="C293" s="4">
        <f>IF(OR(INDEX($V$2:$V$1001,MATCH(ROWS($U$2:U293),$U$2:$U$1001,0),1)&gt;=100000,INDEX($AB$1005:$AQ$1005,1,MATCH(COLUMNS($AB$1006:AC1006),$AB$1006:$AQ$1006,0))&gt;=100000), " ",IF(INDEX($AB$2:$AQ$1001,MATCH(ROWS($U$2:U293),$U$2:$U$1001,0),MATCH(COLUMNS($AB$1006:AC1006),$AB$1006:$AQ$1006,0)), HYPERLINK("#",""), HYPERLINK(CONCATENATE("#metadata!", ADDRESS(INDEX($W$2:$W$1001,MATCH(ROWS($U$2:U293),$U$2:$U$1001,0),0), INDEX($AB$1004:$AQ$1004,1,MATCH(COLUMNS($AB$1006:AC1006),$AB$1006:$AQ$1006,0)))),"Fix")))</f>
        <v>0</v>
      </c>
      <c r="D293" s="4">
        <f>IF(OR(INDEX($V$2:$V$1001,MATCH(ROWS($U$2:U293),$U$2:$U$1001,0),1)&gt;=100000,INDEX($AB$1005:$AQ$1005,1,MATCH(COLUMNS($AB$1006:AD1006),$AB$1006:$AQ$1006,0))&gt;=100000), " ",IF(INDEX($AB$2:$AQ$1001,MATCH(ROWS($U$2:U293),$U$2:$U$1001,0),MATCH(COLUMNS($AB$1006:AD1006),$AB$1006:$AQ$1006,0)), HYPERLINK("#",""), HYPERLINK(CONCATENATE("#metadata!", ADDRESS(INDEX($W$2:$W$1001,MATCH(ROWS($U$2:U293),$U$2:$U$1001,0),0), INDEX($AB$1004:$AQ$1004,1,MATCH(COLUMNS($AB$1006:AD1006),$AB$1006:$AQ$1006,0)))),"Fix")))</f>
        <v>0</v>
      </c>
      <c r="E293" s="4">
        <f>IF(OR(INDEX($V$2:$V$1001,MATCH(ROWS($U$2:U293),$U$2:$U$1001,0),1)&gt;=100000,INDEX($AB$1005:$AQ$1005,1,MATCH(COLUMNS($AB$1006:AE1006),$AB$1006:$AQ$1006,0))&gt;=100000), " ",IF(INDEX($AB$2:$AQ$1001,MATCH(ROWS($U$2:U293),$U$2:$U$1001,0),MATCH(COLUMNS($AB$1006:AE1006),$AB$1006:$AQ$1006,0)), HYPERLINK("#",""), HYPERLINK(CONCATENATE("#metadata!", ADDRESS(INDEX($W$2:$W$1001,MATCH(ROWS($U$2:U293),$U$2:$U$1001,0),0), INDEX($AB$1004:$AQ$1004,1,MATCH(COLUMNS($AB$1006:AE1006),$AB$1006:$AQ$1006,0)))),"Fix")))</f>
        <v>0</v>
      </c>
      <c r="F293" s="4">
        <f>IF(OR(INDEX($V$2:$V$1001,MATCH(ROWS($U$2:U293),$U$2:$U$1001,0),1)&gt;=100000,INDEX($AB$1005:$AQ$1005,1,MATCH(COLUMNS($AB$1006:AF1006),$AB$1006:$AQ$1006,0))&gt;=100000), " ",IF(INDEX($AB$2:$AQ$1001,MATCH(ROWS($U$2:U293),$U$2:$U$1001,0),MATCH(COLUMNS($AB$1006:AF1006),$AB$1006:$AQ$1006,0)), HYPERLINK("#",""), HYPERLINK(CONCATENATE("#metadata!", ADDRESS(INDEX($W$2:$W$1001,MATCH(ROWS($U$2:U293),$U$2:$U$1001,0),0), INDEX($AB$1004:$AQ$1004,1,MATCH(COLUMNS($AB$1006:AF1006),$AB$1006:$AQ$1006,0)))),"Fix")))</f>
        <v>0</v>
      </c>
      <c r="G293" s="4">
        <f>IF(OR(INDEX($V$2:$V$1001,MATCH(ROWS($U$2:U293),$U$2:$U$1001,0),1)&gt;=100000,INDEX($AB$1005:$AQ$1005,1,MATCH(COLUMNS($AB$1006:AG1006),$AB$1006:$AQ$1006,0))&gt;=100000), " ",IF(INDEX($AB$2:$AQ$1001,MATCH(ROWS($U$2:U293),$U$2:$U$1001,0),MATCH(COLUMNS($AB$1006:AG1006),$AB$1006:$AQ$1006,0)), HYPERLINK("#",""), HYPERLINK(CONCATENATE("#metadata!", ADDRESS(INDEX($W$2:$W$1001,MATCH(ROWS($U$2:U293),$U$2:$U$1001,0),0), INDEX($AB$1004:$AQ$1004,1,MATCH(COLUMNS($AB$1006:AG1006),$AB$1006:$AQ$1006,0)))),"Fix")))</f>
        <v>0</v>
      </c>
      <c r="H293" s="4">
        <f>IF(OR(INDEX($V$2:$V$1001,MATCH(ROWS($U$2:U293),$U$2:$U$1001,0),1)&gt;=100000,INDEX($AB$1005:$AQ$1005,1,MATCH(COLUMNS($AB$1006:AH1006),$AB$1006:$AQ$1006,0))&gt;=100000), " ",IF(INDEX($AB$2:$AQ$1001,MATCH(ROWS($U$2:U293),$U$2:$U$1001,0),MATCH(COLUMNS($AB$1006:AH1006),$AB$1006:$AQ$1006,0)), HYPERLINK("#",""), HYPERLINK(CONCATENATE("#metadata!", ADDRESS(INDEX($W$2:$W$1001,MATCH(ROWS($U$2:U293),$U$2:$U$1001,0),0), INDEX($AB$1004:$AQ$1004,1,MATCH(COLUMNS($AB$1006:AH1006),$AB$1006:$AQ$1006,0)))),"Fix")))</f>
        <v>0</v>
      </c>
      <c r="I293" s="4">
        <f>IF(OR(INDEX($V$2:$V$1001,MATCH(ROWS($U$2:U293),$U$2:$U$1001,0),1)&gt;=100000,INDEX($AB$1005:$AQ$1005,1,MATCH(COLUMNS($AB$1006:AI1006),$AB$1006:$AQ$1006,0))&gt;=100000), " ",IF(INDEX($AB$2:$AQ$1001,MATCH(ROWS($U$2:U293),$U$2:$U$1001,0),MATCH(COLUMNS($AB$1006:AI1006),$AB$1006:$AQ$1006,0)), HYPERLINK("#",""), HYPERLINK(CONCATENATE("#metadata!", ADDRESS(INDEX($W$2:$W$1001,MATCH(ROWS($U$2:U293),$U$2:$U$1001,0),0), INDEX($AB$1004:$AQ$1004,1,MATCH(COLUMNS($AB$1006:AI1006),$AB$1006:$AQ$1006,0)))),"Fix")))</f>
        <v>0</v>
      </c>
      <c r="J293" s="4">
        <f>IF(OR(INDEX($V$2:$V$1001,MATCH(ROWS($U$2:U293),$U$2:$U$1001,0),1)&gt;=100000,INDEX($AB$1005:$AQ$1005,1,MATCH(COLUMNS($AB$1006:AJ1006),$AB$1006:$AQ$1006,0))&gt;=100000), " ",IF(INDEX($AB$2:$AQ$1001,MATCH(ROWS($U$2:U293),$U$2:$U$1001,0),MATCH(COLUMNS($AB$1006:AJ1006),$AB$1006:$AQ$1006,0)), HYPERLINK("#",""), HYPERLINK(CONCATENATE("#metadata!", ADDRESS(INDEX($W$2:$W$1001,MATCH(ROWS($U$2:U293),$U$2:$U$1001,0),0), INDEX($AB$1004:$AQ$1004,1,MATCH(COLUMNS($AB$1006:AJ1006),$AB$1006:$AQ$1006,0)))),"Fix")))</f>
        <v>0</v>
      </c>
      <c r="K293" s="4">
        <f>IF(OR(INDEX($V$2:$V$1001,MATCH(ROWS($U$2:U293),$U$2:$U$1001,0),1)&gt;=100000,INDEX($AB$1005:$AQ$1005,1,MATCH(COLUMNS($AB$1006:AK1006),$AB$1006:$AQ$1006,0))&gt;=100000), " ",IF(INDEX($AB$2:$AQ$1001,MATCH(ROWS($U$2:U293),$U$2:$U$1001,0),MATCH(COLUMNS($AB$1006:AK1006),$AB$1006:$AQ$1006,0)), HYPERLINK("#",""), HYPERLINK(CONCATENATE("#metadata!", ADDRESS(INDEX($W$2:$W$1001,MATCH(ROWS($U$2:U293),$U$2:$U$1001,0),0), INDEX($AB$1004:$AQ$1004,1,MATCH(COLUMNS($AB$1006:AK1006),$AB$1006:$AQ$1006,0)))),"Fix")))</f>
        <v>0</v>
      </c>
      <c r="L293" s="4">
        <f>IF(OR(INDEX($V$2:$V$1001,MATCH(ROWS($U$2:U293),$U$2:$U$1001,0),1)&gt;=100000,INDEX($AB$1005:$AQ$1005,1,MATCH(COLUMNS($AB$1006:AL1006),$AB$1006:$AQ$1006,0))&gt;=100000), " ",IF(INDEX($AB$2:$AQ$1001,MATCH(ROWS($U$2:U293),$U$2:$U$1001,0),MATCH(COLUMNS($AB$1006:AL1006),$AB$1006:$AQ$1006,0)), HYPERLINK("#",""), HYPERLINK(CONCATENATE("#metadata!", ADDRESS(INDEX($W$2:$W$1001,MATCH(ROWS($U$2:U293),$U$2:$U$1001,0),0), INDEX($AB$1004:$AQ$1004,1,MATCH(COLUMNS($AB$1006:AL1006),$AB$1006:$AQ$1006,0)))),"Fix")))</f>
        <v>0</v>
      </c>
      <c r="M293" s="4">
        <f>IF(OR(INDEX($V$2:$V$1001,MATCH(ROWS($U$2:U293),$U$2:$U$1001,0),1)&gt;=100000,INDEX($AB$1005:$AQ$1005,1,MATCH(COLUMNS($AB$1006:AM1006),$AB$1006:$AQ$1006,0))&gt;=100000), " ",IF(INDEX($AB$2:$AQ$1001,MATCH(ROWS($U$2:U293),$U$2:$U$1001,0),MATCH(COLUMNS($AB$1006:AM1006),$AB$1006:$AQ$1006,0)), HYPERLINK("#",""), HYPERLINK(CONCATENATE("#metadata!", ADDRESS(INDEX($W$2:$W$1001,MATCH(ROWS($U$2:U293),$U$2:$U$1001,0),0), INDEX($AB$1004:$AQ$1004,1,MATCH(COLUMNS($AB$1006:AM1006),$AB$1006:$AQ$1006,0)))),"Fix")))</f>
        <v>0</v>
      </c>
      <c r="N293" s="4">
        <f>IF(OR(INDEX($V$2:$V$1001,MATCH(ROWS($U$2:U293),$U$2:$U$1001,0),1)&gt;=100000,INDEX($AB$1005:$AQ$1005,1,MATCH(COLUMNS($AB$1006:AN1006),$AB$1006:$AQ$1006,0))&gt;=100000), " ",IF(INDEX($AB$2:$AQ$1001,MATCH(ROWS($U$2:U293),$U$2:$U$1001,0),MATCH(COLUMNS($AB$1006:AN1006),$AB$1006:$AQ$1006,0)), HYPERLINK("#",""), HYPERLINK(CONCATENATE("#metadata!", ADDRESS(INDEX($W$2:$W$1001,MATCH(ROWS($U$2:U293),$U$2:$U$1001,0),0), INDEX($AB$1004:$AQ$1004,1,MATCH(COLUMNS($AB$1006:AN1006),$AB$1006:$AQ$1006,0)))),"Fix")))</f>
        <v>0</v>
      </c>
      <c r="O293" s="4">
        <f>IF(OR(INDEX($V$2:$V$1001,MATCH(ROWS($U$2:U293),$U$2:$U$1001,0),1)&gt;=100000,INDEX($AB$1005:$AQ$1005,1,MATCH(COLUMNS($AB$1006:AO1006),$AB$1006:$AQ$1006,0))&gt;=100000), " ",IF(INDEX($AB$2:$AQ$1001,MATCH(ROWS($U$2:U293),$U$2:$U$1001,0),MATCH(COLUMNS($AB$1006:AO1006),$AB$1006:$AQ$1006,0)), HYPERLINK("#",""), HYPERLINK(CONCATENATE("#metadata!", ADDRESS(INDEX($W$2:$W$1001,MATCH(ROWS($U$2:U293),$U$2:$U$1001,0),0), INDEX($AB$1004:$AQ$1004,1,MATCH(COLUMNS($AB$1006:AO1006),$AB$1006:$AQ$1006,0)))),"Fix")))</f>
        <v>0</v>
      </c>
      <c r="P293" s="4">
        <f>IF(OR(INDEX($V$2:$V$1001,MATCH(ROWS($U$2:U293),$U$2:$U$1001,0),1)&gt;=100000,INDEX($AB$1005:$AQ$1005,1,MATCH(COLUMNS($AB$1006:AP1006),$AB$1006:$AQ$1006,0))&gt;=100000), " ",IF(INDEX($AB$2:$AQ$1001,MATCH(ROWS($U$2:U293),$U$2:$U$1001,0),MATCH(COLUMNS($AB$1006:AP1006),$AB$1006:$AQ$1006,0)), HYPERLINK("#",""), HYPERLINK(CONCATENATE("#metadata!", ADDRESS(INDEX($W$2:$W$1001,MATCH(ROWS($U$2:U293),$U$2:$U$1001,0),0), INDEX($AB$1004:$AQ$1004,1,MATCH(COLUMNS($AB$1006:AP1006),$AB$1006:$AQ$1006,0)))),"Fix")))</f>
        <v>0</v>
      </c>
      <c r="Q293" s="4">
        <f>IF(OR(INDEX($V$2:$V$1001,MATCH(ROWS($U$2:U293),$U$2:$U$1001,0),1)&gt;=100000,INDEX($AB$1005:$AQ$1005,1,MATCH(COLUMNS($AB$1006:AQ1006),$AB$1006:$AQ$1006,0))&gt;=100000), " ",IF(INDEX($AB$2:$AQ$1001,MATCH(ROWS($U$2:U293),$U$2:$U$1001,0),MATCH(COLUMNS($AB$1006:AQ1006),$AB$1006:$AQ$1006,0)), HYPERLINK("#",""), HYPERLINK(CONCATENATE("#metadata!", ADDRESS(INDEX($W$2:$W$1001,MATCH(ROWS($U$2:U293),$U$2:$U$1001,0),0), INDEX($AB$1004:$AQ$1004,1,MATCH(COLUMNS($AB$1006:AQ1006),$AB$1006:$AQ$1006,0)))),"Fix")))</f>
        <v>0</v>
      </c>
      <c r="U293">
        <v>0</v>
      </c>
      <c r="V293">
        <v>0</v>
      </c>
      <c r="W293">
        <v>0</v>
      </c>
      <c r="X293">
        <f>IF(Y293,TRUE,AND(AB293:AQ293))</f>
        <v>0</v>
      </c>
      <c r="Y293">
        <f>COUNTBLANK(metadata!B293:Q293)=COLUMNS(metadata!B293:Q293)</f>
        <v>0</v>
      </c>
      <c r="Z293">
        <v>0</v>
      </c>
      <c r="AB293">
        <f>AND(IF(metadata!B293="",FALSE,TRUE),COUNTIF(metadata!B:B, metadata!B293) = 1,NOT(ISERROR(SUMPRODUCT(SEARCH(MID(metadata!B293,ROW(INDIRECT("1:"&amp;LEN(metadata!B293))), 1),"0123456789abcdefghijklmnopqrstuvwxyzABCDEFGHIJKLMNOPQRSTUVWXYZ.")))))</f>
        <v>0</v>
      </c>
      <c r="AC293">
        <f>OR(AND(IF(metadata!C293="",FALSE,TRUE),OR(exact(metadata!C293,"missing: not collected"),exact(metadata!C293,"missing: not provided"),exact(metadata!C293,"missing: restricted access"))),AND(IF(metadata!C293="",FALSE,TRUE),AND(AND(IFERROR(INT(LEFT(metadata!C293,4))&gt;1900,FALSE),IFERROR(INT(LEFT(metadata!C293,4))&lt;=YEAR(NOW()),FALSE)), OR(MID(metadata!C293,5,1)="", AND(AND(MID(metadata!C293,5,1)="-",IFERROR(INT(MID(metadata!C293,6,1))&gt;=0,FALSE),IFERROR(INT(MID(metadata!C293,6,1))&lt;=1,FALSE),NOT(MID(metadata!C293,7,1)=""),IFERROR(INT(MID(metadata!C293,6,2))&gt;=1,FALSE),IFERROR(INT(MID(metadata!C293,6,2))&lt;=12,FALSE)), OR(MID(metadata!C293,8,1)="", AND(AND(MID(metadata!C293,8,1)="-",IFERROR(INT(MID(metadata!C293,9,1))&gt;=0,FALSE),IFERROR(INT(MID(metadata!C293,9,1))&lt;=3,FALSE),NOT(MID(metadata!C293,10,1)=""),IFERROR(INT(MID(metadata!C293,9,2))&gt;=1,FALSE),IFERROR(INT(MID(metadata!C293,9,2))&lt;=31,FALSE)), OR(MID(metadata!C293,11,1)="", AND(AND(MID(metadata!C293,11,1)=" ",IFERROR(INT(MID(metadata!C293,12,1))&gt;=0,FALSE),IFERROR(INT(MID(metadata!C293,12,1))&lt;=2,FALSE),NOT(MID(metadata!C293,13,1)=""),IFERROR(INT(MID(metadata!C293,12,2))&gt;=0,FALSE),IFERROR(INT(MID(metadata!C293,12,2))&lt;=23,FALSE)), OR(MID(metadata!C293,14,1)="", AND(AND(MID(metadata!C293,14,1)=":",IFERROR(INT(MID(metadata!C293,15,1))&gt;=0,FALSE),IFERROR(INT(MID(metadata!C293,15,1))&lt;=5,FALSE),NOT(MID(metadata!C293,16,1)=""),IFERROR(INT(MID(metadata!C293,15,2))&gt;=0,FALSE),IFERROR(INT(MID(metadata!C293,15,2))&lt;=59,FALSE)), OR(MID(metadata!C293,17,1)="", AND(AND(MID(metadata!C293,17,1)=":",IFERROR(INT(MID(metadata!C293,18,1))&gt;=0,FALSE),IFERROR(INT(MID(metadata!C293,18,1))&lt;=5,FALSE),NOT(MID(metadata!C293,19,1)=""),IFERROR(INT(MID(metadata!C293,18,2))&gt;=0,FALSE),IFERROR(INT(MID(metadata!C293,18,2))&lt;=59,FALSE)), LEN(metadata!C293)&lt;=19)))))))))))))</f>
        <v>0</v>
      </c>
      <c r="AD293">
        <f>IF(metadata!D293="",FALSE,TRUE)</f>
        <v>0</v>
      </c>
      <c r="AE293">
        <f>OR(AND(IF(metadata!E293="",FALSE,TRUE),OR(exact(metadata!E293,"missing: not collected"),exact(metadata!E293,"missing: not provided"))),AND(IF(metadata!E293="",FALSE,TRUE),OR(exact(metadata!E293,"TRUE"),exact(metadata!E293,"FALSE"))))</f>
        <v>0</v>
      </c>
      <c r="AF293">
        <f>IF(metadata!F293="",FALSE,TRUE)</f>
        <v>0</v>
      </c>
      <c r="AG293">
        <f>IF(metadata!G293="",FALSE,TRUE)</f>
        <v>0</v>
      </c>
      <c r="AH293">
        <f>IF(metadata!H293="",FALSE,TRUE)</f>
        <v>0</v>
      </c>
      <c r="AI293">
        <f>OR(AND(IF(metadata!I293="",FALSE,TRUE),OR(exact(metadata!I293,"missing: not collected"),exact(metadata!I293,"missing: not provided"),exact(metadata!I293,"missing: restricted access"))),AND(IF(metadata!I293="",FALSE,TRUE),OR(exact(metadata!I293,"air"),exact(metadata!I293,"built environment"),exact(metadata!I293,"host-associated"),exact(metadata!I293,"human-associated"),exact(metadata!I293,"human-skin"),exact(metadata!I293,"human-oral"),exact(metadata!I293,"human-gut"),exact(metadata!I293,"human-vaginal"),exact(metadata!I293,"microbial mat/biofilm"),exact(metadata!I293,"misc environment"),exact(metadata!I293,"plant-associated"),exact(metadata!I293,"sediment"),exact(metadata!I293,"soil"),exact(metadata!I293,"wastewater/sludge"),exact(metadata!I293,"water"))))</f>
        <v>0</v>
      </c>
      <c r="AJ293">
        <f>IF(metadata!J293="",FALSE,TRUE)</f>
        <v>0</v>
      </c>
      <c r="AK293">
        <f>OR(AND(IF(metadata!K293="",FALSE,TRUE),OR(exact(metadata!K293,"missing: not collected"),exact(metadata!K293,"missing: not provided"),exact(metadata!K293,"missing: restricted access"))),AND(IF(metadata!K293="",FALSE,ISNUMBER(VALUE(metadata!K293))),metadata!K293&gt;=-90.00,metadata!K293&lt;=90.00))</f>
        <v>0</v>
      </c>
      <c r="AL293">
        <f>OR(AND(IF(metadata!L293="",FALSE,TRUE),OR(exact(metadata!L293,"missing: not collected"),exact(metadata!L293,"missing: not provided"),exact(metadata!L293,"missing: restricted access"))),AND(IF(metadata!L293="",FALSE,ISNUMBER(VALUE(metadata!L293))),metadata!L293&gt;=-180.00,metadata!L293&lt;=180.00))</f>
        <v>0</v>
      </c>
      <c r="AM293">
        <f>IF(metadata!M293="",FALSE,TRUE)</f>
        <v>0</v>
      </c>
      <c r="AN293">
        <f>OR(AND(IF(metadata!N293="",FALSE,TRUE),OR(exact(metadata!N293,"missing: not collected"),exact(metadata!N293,"missing: not provided"),exact(metadata!N293,"missing: restricted access"))),AND(IF(metadata!N293="",FALSE,TRUE),OR(exact(metadata!N293,"TRUE"),exact(metadata!N293,"FALSE"))))</f>
        <v>0</v>
      </c>
      <c r="AO293">
        <f>IF(metadata!O293="",FALSE,TRUE)</f>
        <v>0</v>
      </c>
      <c r="AP293">
        <f>OR(AND(IF(metadata!P293="",FALSE,TRUE),OR(exact(metadata!P293,"missing: not collected"),exact(metadata!P293,"missing: not provided"))),AND(IF(metadata!P293="",FALSE,IF(ISERROR(INT(metadata!P293)),FALSE,INT(metadata!P293)=metadata!P293)),metadata!P293&gt;0))</f>
        <v>0</v>
      </c>
      <c r="AQ293">
        <f>IF(metadata!Q293="",FALSE,TRUE)</f>
        <v>0</v>
      </c>
    </row>
    <row r="294" spans="1:43">
      <c r="A294" s="5">
        <f>IF(B294=" "," ",HYPERLINK(CONCATENATE("#metadata!",ADDRESS(INDEX($W$2:$W$1001,MATCH(ROWS($U$2:U294),$U$2:$U$1001,0),0),1)),INDEX($Z$2:$Z$1001,MATCH(ROWS($U$2:U294),$U$2:$U$1001,0),0)))</f>
        <v>0</v>
      </c>
      <c r="B294" s="4">
        <f>IF(OR(INDEX($V$2:$V$1001,MATCH(ROWS($U$2:U294),$U$2:$U$1001,0),1)&gt;=100000,INDEX($AB$1005:$AQ$1005,1,MATCH(COLUMNS($AB$1006:AB1006),$AB$1006:$AQ$1006,0))&gt;=100000), " ",IF(INDEX($AB$2:$AQ$1001,MATCH(ROWS($U$2:U294),$U$2:$U$1001,0),MATCH(COLUMNS($AB$1006:AB1006),$AB$1006:$AQ$1006,0)), HYPERLINK("#",""), HYPERLINK(CONCATENATE("#metadata!", ADDRESS(INDEX($W$2:$W$1001,MATCH(ROWS($U$2:U294),$U$2:$U$1001,0),0), INDEX($AB$1004:$AQ$1004,1,MATCH(COLUMNS($AB$1006:AB1006),$AB$1006:$AQ$1006,0)))),"Fix")))</f>
        <v>0</v>
      </c>
      <c r="C294" s="4">
        <f>IF(OR(INDEX($V$2:$V$1001,MATCH(ROWS($U$2:U294),$U$2:$U$1001,0),1)&gt;=100000,INDEX($AB$1005:$AQ$1005,1,MATCH(COLUMNS($AB$1006:AC1006),$AB$1006:$AQ$1006,0))&gt;=100000), " ",IF(INDEX($AB$2:$AQ$1001,MATCH(ROWS($U$2:U294),$U$2:$U$1001,0),MATCH(COLUMNS($AB$1006:AC1006),$AB$1006:$AQ$1006,0)), HYPERLINK("#",""), HYPERLINK(CONCATENATE("#metadata!", ADDRESS(INDEX($W$2:$W$1001,MATCH(ROWS($U$2:U294),$U$2:$U$1001,0),0), INDEX($AB$1004:$AQ$1004,1,MATCH(COLUMNS($AB$1006:AC1006),$AB$1006:$AQ$1006,0)))),"Fix")))</f>
        <v>0</v>
      </c>
      <c r="D294" s="4">
        <f>IF(OR(INDEX($V$2:$V$1001,MATCH(ROWS($U$2:U294),$U$2:$U$1001,0),1)&gt;=100000,INDEX($AB$1005:$AQ$1005,1,MATCH(COLUMNS($AB$1006:AD1006),$AB$1006:$AQ$1006,0))&gt;=100000), " ",IF(INDEX($AB$2:$AQ$1001,MATCH(ROWS($U$2:U294),$U$2:$U$1001,0),MATCH(COLUMNS($AB$1006:AD1006),$AB$1006:$AQ$1006,0)), HYPERLINK("#",""), HYPERLINK(CONCATENATE("#metadata!", ADDRESS(INDEX($W$2:$W$1001,MATCH(ROWS($U$2:U294),$U$2:$U$1001,0),0), INDEX($AB$1004:$AQ$1004,1,MATCH(COLUMNS($AB$1006:AD1006),$AB$1006:$AQ$1006,0)))),"Fix")))</f>
        <v>0</v>
      </c>
      <c r="E294" s="4">
        <f>IF(OR(INDEX($V$2:$V$1001,MATCH(ROWS($U$2:U294),$U$2:$U$1001,0),1)&gt;=100000,INDEX($AB$1005:$AQ$1005,1,MATCH(COLUMNS($AB$1006:AE1006),$AB$1006:$AQ$1006,0))&gt;=100000), " ",IF(INDEX($AB$2:$AQ$1001,MATCH(ROWS($U$2:U294),$U$2:$U$1001,0),MATCH(COLUMNS($AB$1006:AE1006),$AB$1006:$AQ$1006,0)), HYPERLINK("#",""), HYPERLINK(CONCATENATE("#metadata!", ADDRESS(INDEX($W$2:$W$1001,MATCH(ROWS($U$2:U294),$U$2:$U$1001,0),0), INDEX($AB$1004:$AQ$1004,1,MATCH(COLUMNS($AB$1006:AE1006),$AB$1006:$AQ$1006,0)))),"Fix")))</f>
        <v>0</v>
      </c>
      <c r="F294" s="4">
        <f>IF(OR(INDEX($V$2:$V$1001,MATCH(ROWS($U$2:U294),$U$2:$U$1001,0),1)&gt;=100000,INDEX($AB$1005:$AQ$1005,1,MATCH(COLUMNS($AB$1006:AF1006),$AB$1006:$AQ$1006,0))&gt;=100000), " ",IF(INDEX($AB$2:$AQ$1001,MATCH(ROWS($U$2:U294),$U$2:$U$1001,0),MATCH(COLUMNS($AB$1006:AF1006),$AB$1006:$AQ$1006,0)), HYPERLINK("#",""), HYPERLINK(CONCATENATE("#metadata!", ADDRESS(INDEX($W$2:$W$1001,MATCH(ROWS($U$2:U294),$U$2:$U$1001,0),0), INDEX($AB$1004:$AQ$1004,1,MATCH(COLUMNS($AB$1006:AF1006),$AB$1006:$AQ$1006,0)))),"Fix")))</f>
        <v>0</v>
      </c>
      <c r="G294" s="4">
        <f>IF(OR(INDEX($V$2:$V$1001,MATCH(ROWS($U$2:U294),$U$2:$U$1001,0),1)&gt;=100000,INDEX($AB$1005:$AQ$1005,1,MATCH(COLUMNS($AB$1006:AG1006),$AB$1006:$AQ$1006,0))&gt;=100000), " ",IF(INDEX($AB$2:$AQ$1001,MATCH(ROWS($U$2:U294),$U$2:$U$1001,0),MATCH(COLUMNS($AB$1006:AG1006),$AB$1006:$AQ$1006,0)), HYPERLINK("#",""), HYPERLINK(CONCATENATE("#metadata!", ADDRESS(INDEX($W$2:$W$1001,MATCH(ROWS($U$2:U294),$U$2:$U$1001,0),0), INDEX($AB$1004:$AQ$1004,1,MATCH(COLUMNS($AB$1006:AG1006),$AB$1006:$AQ$1006,0)))),"Fix")))</f>
        <v>0</v>
      </c>
      <c r="H294" s="4">
        <f>IF(OR(INDEX($V$2:$V$1001,MATCH(ROWS($U$2:U294),$U$2:$U$1001,0),1)&gt;=100000,INDEX($AB$1005:$AQ$1005,1,MATCH(COLUMNS($AB$1006:AH1006),$AB$1006:$AQ$1006,0))&gt;=100000), " ",IF(INDEX($AB$2:$AQ$1001,MATCH(ROWS($U$2:U294),$U$2:$U$1001,0),MATCH(COLUMNS($AB$1006:AH1006),$AB$1006:$AQ$1006,0)), HYPERLINK("#",""), HYPERLINK(CONCATENATE("#metadata!", ADDRESS(INDEX($W$2:$W$1001,MATCH(ROWS($U$2:U294),$U$2:$U$1001,0),0), INDEX($AB$1004:$AQ$1004,1,MATCH(COLUMNS($AB$1006:AH1006),$AB$1006:$AQ$1006,0)))),"Fix")))</f>
        <v>0</v>
      </c>
      <c r="I294" s="4">
        <f>IF(OR(INDEX($V$2:$V$1001,MATCH(ROWS($U$2:U294),$U$2:$U$1001,0),1)&gt;=100000,INDEX($AB$1005:$AQ$1005,1,MATCH(COLUMNS($AB$1006:AI1006),$AB$1006:$AQ$1006,0))&gt;=100000), " ",IF(INDEX($AB$2:$AQ$1001,MATCH(ROWS($U$2:U294),$U$2:$U$1001,0),MATCH(COLUMNS($AB$1006:AI1006),$AB$1006:$AQ$1006,0)), HYPERLINK("#",""), HYPERLINK(CONCATENATE("#metadata!", ADDRESS(INDEX($W$2:$W$1001,MATCH(ROWS($U$2:U294),$U$2:$U$1001,0),0), INDEX($AB$1004:$AQ$1004,1,MATCH(COLUMNS($AB$1006:AI1006),$AB$1006:$AQ$1006,0)))),"Fix")))</f>
        <v>0</v>
      </c>
      <c r="J294" s="4">
        <f>IF(OR(INDEX($V$2:$V$1001,MATCH(ROWS($U$2:U294),$U$2:$U$1001,0),1)&gt;=100000,INDEX($AB$1005:$AQ$1005,1,MATCH(COLUMNS($AB$1006:AJ1006),$AB$1006:$AQ$1006,0))&gt;=100000), " ",IF(INDEX($AB$2:$AQ$1001,MATCH(ROWS($U$2:U294),$U$2:$U$1001,0),MATCH(COLUMNS($AB$1006:AJ1006),$AB$1006:$AQ$1006,0)), HYPERLINK("#",""), HYPERLINK(CONCATENATE("#metadata!", ADDRESS(INDEX($W$2:$W$1001,MATCH(ROWS($U$2:U294),$U$2:$U$1001,0),0), INDEX($AB$1004:$AQ$1004,1,MATCH(COLUMNS($AB$1006:AJ1006),$AB$1006:$AQ$1006,0)))),"Fix")))</f>
        <v>0</v>
      </c>
      <c r="K294" s="4">
        <f>IF(OR(INDEX($V$2:$V$1001,MATCH(ROWS($U$2:U294),$U$2:$U$1001,0),1)&gt;=100000,INDEX($AB$1005:$AQ$1005,1,MATCH(COLUMNS($AB$1006:AK1006),$AB$1006:$AQ$1006,0))&gt;=100000), " ",IF(INDEX($AB$2:$AQ$1001,MATCH(ROWS($U$2:U294),$U$2:$U$1001,0),MATCH(COLUMNS($AB$1006:AK1006),$AB$1006:$AQ$1006,0)), HYPERLINK("#",""), HYPERLINK(CONCATENATE("#metadata!", ADDRESS(INDEX($W$2:$W$1001,MATCH(ROWS($U$2:U294),$U$2:$U$1001,0),0), INDEX($AB$1004:$AQ$1004,1,MATCH(COLUMNS($AB$1006:AK1006),$AB$1006:$AQ$1006,0)))),"Fix")))</f>
        <v>0</v>
      </c>
      <c r="L294" s="4">
        <f>IF(OR(INDEX($V$2:$V$1001,MATCH(ROWS($U$2:U294),$U$2:$U$1001,0),1)&gt;=100000,INDEX($AB$1005:$AQ$1005,1,MATCH(COLUMNS($AB$1006:AL1006),$AB$1006:$AQ$1006,0))&gt;=100000), " ",IF(INDEX($AB$2:$AQ$1001,MATCH(ROWS($U$2:U294),$U$2:$U$1001,0),MATCH(COLUMNS($AB$1006:AL1006),$AB$1006:$AQ$1006,0)), HYPERLINK("#",""), HYPERLINK(CONCATENATE("#metadata!", ADDRESS(INDEX($W$2:$W$1001,MATCH(ROWS($U$2:U294),$U$2:$U$1001,0),0), INDEX($AB$1004:$AQ$1004,1,MATCH(COLUMNS($AB$1006:AL1006),$AB$1006:$AQ$1006,0)))),"Fix")))</f>
        <v>0</v>
      </c>
      <c r="M294" s="4">
        <f>IF(OR(INDEX($V$2:$V$1001,MATCH(ROWS($U$2:U294),$U$2:$U$1001,0),1)&gt;=100000,INDEX($AB$1005:$AQ$1005,1,MATCH(COLUMNS($AB$1006:AM1006),$AB$1006:$AQ$1006,0))&gt;=100000), " ",IF(INDEX($AB$2:$AQ$1001,MATCH(ROWS($U$2:U294),$U$2:$U$1001,0),MATCH(COLUMNS($AB$1006:AM1006),$AB$1006:$AQ$1006,0)), HYPERLINK("#",""), HYPERLINK(CONCATENATE("#metadata!", ADDRESS(INDEX($W$2:$W$1001,MATCH(ROWS($U$2:U294),$U$2:$U$1001,0),0), INDEX($AB$1004:$AQ$1004,1,MATCH(COLUMNS($AB$1006:AM1006),$AB$1006:$AQ$1006,0)))),"Fix")))</f>
        <v>0</v>
      </c>
      <c r="N294" s="4">
        <f>IF(OR(INDEX($V$2:$V$1001,MATCH(ROWS($U$2:U294),$U$2:$U$1001,0),1)&gt;=100000,INDEX($AB$1005:$AQ$1005,1,MATCH(COLUMNS($AB$1006:AN1006),$AB$1006:$AQ$1006,0))&gt;=100000), " ",IF(INDEX($AB$2:$AQ$1001,MATCH(ROWS($U$2:U294),$U$2:$U$1001,0),MATCH(COLUMNS($AB$1006:AN1006),$AB$1006:$AQ$1006,0)), HYPERLINK("#",""), HYPERLINK(CONCATENATE("#metadata!", ADDRESS(INDEX($W$2:$W$1001,MATCH(ROWS($U$2:U294),$U$2:$U$1001,0),0), INDEX($AB$1004:$AQ$1004,1,MATCH(COLUMNS($AB$1006:AN1006),$AB$1006:$AQ$1006,0)))),"Fix")))</f>
        <v>0</v>
      </c>
      <c r="O294" s="4">
        <f>IF(OR(INDEX($V$2:$V$1001,MATCH(ROWS($U$2:U294),$U$2:$U$1001,0),1)&gt;=100000,INDEX($AB$1005:$AQ$1005,1,MATCH(COLUMNS($AB$1006:AO1006),$AB$1006:$AQ$1006,0))&gt;=100000), " ",IF(INDEX($AB$2:$AQ$1001,MATCH(ROWS($U$2:U294),$U$2:$U$1001,0),MATCH(COLUMNS($AB$1006:AO1006),$AB$1006:$AQ$1006,0)), HYPERLINK("#",""), HYPERLINK(CONCATENATE("#metadata!", ADDRESS(INDEX($W$2:$W$1001,MATCH(ROWS($U$2:U294),$U$2:$U$1001,0),0), INDEX($AB$1004:$AQ$1004,1,MATCH(COLUMNS($AB$1006:AO1006),$AB$1006:$AQ$1006,0)))),"Fix")))</f>
        <v>0</v>
      </c>
      <c r="P294" s="4">
        <f>IF(OR(INDEX($V$2:$V$1001,MATCH(ROWS($U$2:U294),$U$2:$U$1001,0),1)&gt;=100000,INDEX($AB$1005:$AQ$1005,1,MATCH(COLUMNS($AB$1006:AP1006),$AB$1006:$AQ$1006,0))&gt;=100000), " ",IF(INDEX($AB$2:$AQ$1001,MATCH(ROWS($U$2:U294),$U$2:$U$1001,0),MATCH(COLUMNS($AB$1006:AP1006),$AB$1006:$AQ$1006,0)), HYPERLINK("#",""), HYPERLINK(CONCATENATE("#metadata!", ADDRESS(INDEX($W$2:$W$1001,MATCH(ROWS($U$2:U294),$U$2:$U$1001,0),0), INDEX($AB$1004:$AQ$1004,1,MATCH(COLUMNS($AB$1006:AP1006),$AB$1006:$AQ$1006,0)))),"Fix")))</f>
        <v>0</v>
      </c>
      <c r="Q294" s="4">
        <f>IF(OR(INDEX($V$2:$V$1001,MATCH(ROWS($U$2:U294),$U$2:$U$1001,0),1)&gt;=100000,INDEX($AB$1005:$AQ$1005,1,MATCH(COLUMNS($AB$1006:AQ1006),$AB$1006:$AQ$1006,0))&gt;=100000), " ",IF(INDEX($AB$2:$AQ$1001,MATCH(ROWS($U$2:U294),$U$2:$U$1001,0),MATCH(COLUMNS($AB$1006:AQ1006),$AB$1006:$AQ$1006,0)), HYPERLINK("#",""), HYPERLINK(CONCATENATE("#metadata!", ADDRESS(INDEX($W$2:$W$1001,MATCH(ROWS($U$2:U294),$U$2:$U$1001,0),0), INDEX($AB$1004:$AQ$1004,1,MATCH(COLUMNS($AB$1006:AQ1006),$AB$1006:$AQ$1006,0)))),"Fix")))</f>
        <v>0</v>
      </c>
      <c r="U294">
        <v>0</v>
      </c>
      <c r="V294">
        <v>0</v>
      </c>
      <c r="W294">
        <v>0</v>
      </c>
      <c r="X294">
        <f>IF(Y294,TRUE,AND(AB294:AQ294))</f>
        <v>0</v>
      </c>
      <c r="Y294">
        <f>COUNTBLANK(metadata!B294:Q294)=COLUMNS(metadata!B294:Q294)</f>
        <v>0</v>
      </c>
      <c r="Z294">
        <v>0</v>
      </c>
      <c r="AB294">
        <f>AND(IF(metadata!B294="",FALSE,TRUE),COUNTIF(metadata!B:B, metadata!B294) = 1,NOT(ISERROR(SUMPRODUCT(SEARCH(MID(metadata!B294,ROW(INDIRECT("1:"&amp;LEN(metadata!B294))), 1),"0123456789abcdefghijklmnopqrstuvwxyzABCDEFGHIJKLMNOPQRSTUVWXYZ.")))))</f>
        <v>0</v>
      </c>
      <c r="AC294">
        <f>OR(AND(IF(metadata!C294="",FALSE,TRUE),OR(exact(metadata!C294,"missing: not collected"),exact(metadata!C294,"missing: not provided"),exact(metadata!C294,"missing: restricted access"))),AND(IF(metadata!C294="",FALSE,TRUE),AND(AND(IFERROR(INT(LEFT(metadata!C294,4))&gt;1900,FALSE),IFERROR(INT(LEFT(metadata!C294,4))&lt;=YEAR(NOW()),FALSE)), OR(MID(metadata!C294,5,1)="", AND(AND(MID(metadata!C294,5,1)="-",IFERROR(INT(MID(metadata!C294,6,1))&gt;=0,FALSE),IFERROR(INT(MID(metadata!C294,6,1))&lt;=1,FALSE),NOT(MID(metadata!C294,7,1)=""),IFERROR(INT(MID(metadata!C294,6,2))&gt;=1,FALSE),IFERROR(INT(MID(metadata!C294,6,2))&lt;=12,FALSE)), OR(MID(metadata!C294,8,1)="", AND(AND(MID(metadata!C294,8,1)="-",IFERROR(INT(MID(metadata!C294,9,1))&gt;=0,FALSE),IFERROR(INT(MID(metadata!C294,9,1))&lt;=3,FALSE),NOT(MID(metadata!C294,10,1)=""),IFERROR(INT(MID(metadata!C294,9,2))&gt;=1,FALSE),IFERROR(INT(MID(metadata!C294,9,2))&lt;=31,FALSE)), OR(MID(metadata!C294,11,1)="", AND(AND(MID(metadata!C294,11,1)=" ",IFERROR(INT(MID(metadata!C294,12,1))&gt;=0,FALSE),IFERROR(INT(MID(metadata!C294,12,1))&lt;=2,FALSE),NOT(MID(metadata!C294,13,1)=""),IFERROR(INT(MID(metadata!C294,12,2))&gt;=0,FALSE),IFERROR(INT(MID(metadata!C294,12,2))&lt;=23,FALSE)), OR(MID(metadata!C294,14,1)="", AND(AND(MID(metadata!C294,14,1)=":",IFERROR(INT(MID(metadata!C294,15,1))&gt;=0,FALSE),IFERROR(INT(MID(metadata!C294,15,1))&lt;=5,FALSE),NOT(MID(metadata!C294,16,1)=""),IFERROR(INT(MID(metadata!C294,15,2))&gt;=0,FALSE),IFERROR(INT(MID(metadata!C294,15,2))&lt;=59,FALSE)), OR(MID(metadata!C294,17,1)="", AND(AND(MID(metadata!C294,17,1)=":",IFERROR(INT(MID(metadata!C294,18,1))&gt;=0,FALSE),IFERROR(INT(MID(metadata!C294,18,1))&lt;=5,FALSE),NOT(MID(metadata!C294,19,1)=""),IFERROR(INT(MID(metadata!C294,18,2))&gt;=0,FALSE),IFERROR(INT(MID(metadata!C294,18,2))&lt;=59,FALSE)), LEN(metadata!C294)&lt;=19)))))))))))))</f>
        <v>0</v>
      </c>
      <c r="AD294">
        <f>IF(metadata!D294="",FALSE,TRUE)</f>
        <v>0</v>
      </c>
      <c r="AE294">
        <f>OR(AND(IF(metadata!E294="",FALSE,TRUE),OR(exact(metadata!E294,"missing: not collected"),exact(metadata!E294,"missing: not provided"))),AND(IF(metadata!E294="",FALSE,TRUE),OR(exact(metadata!E294,"TRUE"),exact(metadata!E294,"FALSE"))))</f>
        <v>0</v>
      </c>
      <c r="AF294">
        <f>IF(metadata!F294="",FALSE,TRUE)</f>
        <v>0</v>
      </c>
      <c r="AG294">
        <f>IF(metadata!G294="",FALSE,TRUE)</f>
        <v>0</v>
      </c>
      <c r="AH294">
        <f>IF(metadata!H294="",FALSE,TRUE)</f>
        <v>0</v>
      </c>
      <c r="AI294">
        <f>OR(AND(IF(metadata!I294="",FALSE,TRUE),OR(exact(metadata!I294,"missing: not collected"),exact(metadata!I294,"missing: not provided"),exact(metadata!I294,"missing: restricted access"))),AND(IF(metadata!I294="",FALSE,TRUE),OR(exact(metadata!I294,"air"),exact(metadata!I294,"built environment"),exact(metadata!I294,"host-associated"),exact(metadata!I294,"human-associated"),exact(metadata!I294,"human-skin"),exact(metadata!I294,"human-oral"),exact(metadata!I294,"human-gut"),exact(metadata!I294,"human-vaginal"),exact(metadata!I294,"microbial mat/biofilm"),exact(metadata!I294,"misc environment"),exact(metadata!I294,"plant-associated"),exact(metadata!I294,"sediment"),exact(metadata!I294,"soil"),exact(metadata!I294,"wastewater/sludge"),exact(metadata!I294,"water"))))</f>
        <v>0</v>
      </c>
      <c r="AJ294">
        <f>IF(metadata!J294="",FALSE,TRUE)</f>
        <v>0</v>
      </c>
      <c r="AK294">
        <f>OR(AND(IF(metadata!K294="",FALSE,TRUE),OR(exact(metadata!K294,"missing: not collected"),exact(metadata!K294,"missing: not provided"),exact(metadata!K294,"missing: restricted access"))),AND(IF(metadata!K294="",FALSE,ISNUMBER(VALUE(metadata!K294))),metadata!K294&gt;=-90.00,metadata!K294&lt;=90.00))</f>
        <v>0</v>
      </c>
      <c r="AL294">
        <f>OR(AND(IF(metadata!L294="",FALSE,TRUE),OR(exact(metadata!L294,"missing: not collected"),exact(metadata!L294,"missing: not provided"),exact(metadata!L294,"missing: restricted access"))),AND(IF(metadata!L294="",FALSE,ISNUMBER(VALUE(metadata!L294))),metadata!L294&gt;=-180.00,metadata!L294&lt;=180.00))</f>
        <v>0</v>
      </c>
      <c r="AM294">
        <f>IF(metadata!M294="",FALSE,TRUE)</f>
        <v>0</v>
      </c>
      <c r="AN294">
        <f>OR(AND(IF(metadata!N294="",FALSE,TRUE),OR(exact(metadata!N294,"missing: not collected"),exact(metadata!N294,"missing: not provided"),exact(metadata!N294,"missing: restricted access"))),AND(IF(metadata!N294="",FALSE,TRUE),OR(exact(metadata!N294,"TRUE"),exact(metadata!N294,"FALSE"))))</f>
        <v>0</v>
      </c>
      <c r="AO294">
        <f>IF(metadata!O294="",FALSE,TRUE)</f>
        <v>0</v>
      </c>
      <c r="AP294">
        <f>OR(AND(IF(metadata!P294="",FALSE,TRUE),OR(exact(metadata!P294,"missing: not collected"),exact(metadata!P294,"missing: not provided"))),AND(IF(metadata!P294="",FALSE,IF(ISERROR(INT(metadata!P294)),FALSE,INT(metadata!P294)=metadata!P294)),metadata!P294&gt;0))</f>
        <v>0</v>
      </c>
      <c r="AQ294">
        <f>IF(metadata!Q294="",FALSE,TRUE)</f>
        <v>0</v>
      </c>
    </row>
    <row r="295" spans="1:43">
      <c r="A295" s="5">
        <f>IF(B295=" "," ",HYPERLINK(CONCATENATE("#metadata!",ADDRESS(INDEX($W$2:$W$1001,MATCH(ROWS($U$2:U295),$U$2:$U$1001,0),0),1)),INDEX($Z$2:$Z$1001,MATCH(ROWS($U$2:U295),$U$2:$U$1001,0),0)))</f>
        <v>0</v>
      </c>
      <c r="B295" s="4">
        <f>IF(OR(INDEX($V$2:$V$1001,MATCH(ROWS($U$2:U295),$U$2:$U$1001,0),1)&gt;=100000,INDEX($AB$1005:$AQ$1005,1,MATCH(COLUMNS($AB$1006:AB1006),$AB$1006:$AQ$1006,0))&gt;=100000), " ",IF(INDEX($AB$2:$AQ$1001,MATCH(ROWS($U$2:U295),$U$2:$U$1001,0),MATCH(COLUMNS($AB$1006:AB1006),$AB$1006:$AQ$1006,0)), HYPERLINK("#",""), HYPERLINK(CONCATENATE("#metadata!", ADDRESS(INDEX($W$2:$W$1001,MATCH(ROWS($U$2:U295),$U$2:$U$1001,0),0), INDEX($AB$1004:$AQ$1004,1,MATCH(COLUMNS($AB$1006:AB1006),$AB$1006:$AQ$1006,0)))),"Fix")))</f>
        <v>0</v>
      </c>
      <c r="C295" s="4">
        <f>IF(OR(INDEX($V$2:$V$1001,MATCH(ROWS($U$2:U295),$U$2:$U$1001,0),1)&gt;=100000,INDEX($AB$1005:$AQ$1005,1,MATCH(COLUMNS($AB$1006:AC1006),$AB$1006:$AQ$1006,0))&gt;=100000), " ",IF(INDEX($AB$2:$AQ$1001,MATCH(ROWS($U$2:U295),$U$2:$U$1001,0),MATCH(COLUMNS($AB$1006:AC1006),$AB$1006:$AQ$1006,0)), HYPERLINK("#",""), HYPERLINK(CONCATENATE("#metadata!", ADDRESS(INDEX($W$2:$W$1001,MATCH(ROWS($U$2:U295),$U$2:$U$1001,0),0), INDEX($AB$1004:$AQ$1004,1,MATCH(COLUMNS($AB$1006:AC1006),$AB$1006:$AQ$1006,0)))),"Fix")))</f>
        <v>0</v>
      </c>
      <c r="D295" s="4">
        <f>IF(OR(INDEX($V$2:$V$1001,MATCH(ROWS($U$2:U295),$U$2:$U$1001,0),1)&gt;=100000,INDEX($AB$1005:$AQ$1005,1,MATCH(COLUMNS($AB$1006:AD1006),$AB$1006:$AQ$1006,0))&gt;=100000), " ",IF(INDEX($AB$2:$AQ$1001,MATCH(ROWS($U$2:U295),$U$2:$U$1001,0),MATCH(COLUMNS($AB$1006:AD1006),$AB$1006:$AQ$1006,0)), HYPERLINK("#",""), HYPERLINK(CONCATENATE("#metadata!", ADDRESS(INDEX($W$2:$W$1001,MATCH(ROWS($U$2:U295),$U$2:$U$1001,0),0), INDEX($AB$1004:$AQ$1004,1,MATCH(COLUMNS($AB$1006:AD1006),$AB$1006:$AQ$1006,0)))),"Fix")))</f>
        <v>0</v>
      </c>
      <c r="E295" s="4">
        <f>IF(OR(INDEX($V$2:$V$1001,MATCH(ROWS($U$2:U295),$U$2:$U$1001,0),1)&gt;=100000,INDEX($AB$1005:$AQ$1005,1,MATCH(COLUMNS($AB$1006:AE1006),$AB$1006:$AQ$1006,0))&gt;=100000), " ",IF(INDEX($AB$2:$AQ$1001,MATCH(ROWS($U$2:U295),$U$2:$U$1001,0),MATCH(COLUMNS($AB$1006:AE1006),$AB$1006:$AQ$1006,0)), HYPERLINK("#",""), HYPERLINK(CONCATENATE("#metadata!", ADDRESS(INDEX($W$2:$W$1001,MATCH(ROWS($U$2:U295),$U$2:$U$1001,0),0), INDEX($AB$1004:$AQ$1004,1,MATCH(COLUMNS($AB$1006:AE1006),$AB$1006:$AQ$1006,0)))),"Fix")))</f>
        <v>0</v>
      </c>
      <c r="F295" s="4">
        <f>IF(OR(INDEX($V$2:$V$1001,MATCH(ROWS($U$2:U295),$U$2:$U$1001,0),1)&gt;=100000,INDEX($AB$1005:$AQ$1005,1,MATCH(COLUMNS($AB$1006:AF1006),$AB$1006:$AQ$1006,0))&gt;=100000), " ",IF(INDEX($AB$2:$AQ$1001,MATCH(ROWS($U$2:U295),$U$2:$U$1001,0),MATCH(COLUMNS($AB$1006:AF1006),$AB$1006:$AQ$1006,0)), HYPERLINK("#",""), HYPERLINK(CONCATENATE("#metadata!", ADDRESS(INDEX($W$2:$W$1001,MATCH(ROWS($U$2:U295),$U$2:$U$1001,0),0), INDEX($AB$1004:$AQ$1004,1,MATCH(COLUMNS($AB$1006:AF1006),$AB$1006:$AQ$1006,0)))),"Fix")))</f>
        <v>0</v>
      </c>
      <c r="G295" s="4">
        <f>IF(OR(INDEX($V$2:$V$1001,MATCH(ROWS($U$2:U295),$U$2:$U$1001,0),1)&gt;=100000,INDEX($AB$1005:$AQ$1005,1,MATCH(COLUMNS($AB$1006:AG1006),$AB$1006:$AQ$1006,0))&gt;=100000), " ",IF(INDEX($AB$2:$AQ$1001,MATCH(ROWS($U$2:U295),$U$2:$U$1001,0),MATCH(COLUMNS($AB$1006:AG1006),$AB$1006:$AQ$1006,0)), HYPERLINK("#",""), HYPERLINK(CONCATENATE("#metadata!", ADDRESS(INDEX($W$2:$W$1001,MATCH(ROWS($U$2:U295),$U$2:$U$1001,0),0), INDEX($AB$1004:$AQ$1004,1,MATCH(COLUMNS($AB$1006:AG1006),$AB$1006:$AQ$1006,0)))),"Fix")))</f>
        <v>0</v>
      </c>
      <c r="H295" s="4">
        <f>IF(OR(INDEX($V$2:$V$1001,MATCH(ROWS($U$2:U295),$U$2:$U$1001,0),1)&gt;=100000,INDEX($AB$1005:$AQ$1005,1,MATCH(COLUMNS($AB$1006:AH1006),$AB$1006:$AQ$1006,0))&gt;=100000), " ",IF(INDEX($AB$2:$AQ$1001,MATCH(ROWS($U$2:U295),$U$2:$U$1001,0),MATCH(COLUMNS($AB$1006:AH1006),$AB$1006:$AQ$1006,0)), HYPERLINK("#",""), HYPERLINK(CONCATENATE("#metadata!", ADDRESS(INDEX($W$2:$W$1001,MATCH(ROWS($U$2:U295),$U$2:$U$1001,0),0), INDEX($AB$1004:$AQ$1004,1,MATCH(COLUMNS($AB$1006:AH1006),$AB$1006:$AQ$1006,0)))),"Fix")))</f>
        <v>0</v>
      </c>
      <c r="I295" s="4">
        <f>IF(OR(INDEX($V$2:$V$1001,MATCH(ROWS($U$2:U295),$U$2:$U$1001,0),1)&gt;=100000,INDEX($AB$1005:$AQ$1005,1,MATCH(COLUMNS($AB$1006:AI1006),$AB$1006:$AQ$1006,0))&gt;=100000), " ",IF(INDEX($AB$2:$AQ$1001,MATCH(ROWS($U$2:U295),$U$2:$U$1001,0),MATCH(COLUMNS($AB$1006:AI1006),$AB$1006:$AQ$1006,0)), HYPERLINK("#",""), HYPERLINK(CONCATENATE("#metadata!", ADDRESS(INDEX($W$2:$W$1001,MATCH(ROWS($U$2:U295),$U$2:$U$1001,0),0), INDEX($AB$1004:$AQ$1004,1,MATCH(COLUMNS($AB$1006:AI1006),$AB$1006:$AQ$1006,0)))),"Fix")))</f>
        <v>0</v>
      </c>
      <c r="J295" s="4">
        <f>IF(OR(INDEX($V$2:$V$1001,MATCH(ROWS($U$2:U295),$U$2:$U$1001,0),1)&gt;=100000,INDEX($AB$1005:$AQ$1005,1,MATCH(COLUMNS($AB$1006:AJ1006),$AB$1006:$AQ$1006,0))&gt;=100000), " ",IF(INDEX($AB$2:$AQ$1001,MATCH(ROWS($U$2:U295),$U$2:$U$1001,0),MATCH(COLUMNS($AB$1006:AJ1006),$AB$1006:$AQ$1006,0)), HYPERLINK("#",""), HYPERLINK(CONCATENATE("#metadata!", ADDRESS(INDEX($W$2:$W$1001,MATCH(ROWS($U$2:U295),$U$2:$U$1001,0),0), INDEX($AB$1004:$AQ$1004,1,MATCH(COLUMNS($AB$1006:AJ1006),$AB$1006:$AQ$1006,0)))),"Fix")))</f>
        <v>0</v>
      </c>
      <c r="K295" s="4">
        <f>IF(OR(INDEX($V$2:$V$1001,MATCH(ROWS($U$2:U295),$U$2:$U$1001,0),1)&gt;=100000,INDEX($AB$1005:$AQ$1005,1,MATCH(COLUMNS($AB$1006:AK1006),$AB$1006:$AQ$1006,0))&gt;=100000), " ",IF(INDEX($AB$2:$AQ$1001,MATCH(ROWS($U$2:U295),$U$2:$U$1001,0),MATCH(COLUMNS($AB$1006:AK1006),$AB$1006:$AQ$1006,0)), HYPERLINK("#",""), HYPERLINK(CONCATENATE("#metadata!", ADDRESS(INDEX($W$2:$W$1001,MATCH(ROWS($U$2:U295),$U$2:$U$1001,0),0), INDEX($AB$1004:$AQ$1004,1,MATCH(COLUMNS($AB$1006:AK1006),$AB$1006:$AQ$1006,0)))),"Fix")))</f>
        <v>0</v>
      </c>
      <c r="L295" s="4">
        <f>IF(OR(INDEX($V$2:$V$1001,MATCH(ROWS($U$2:U295),$U$2:$U$1001,0),1)&gt;=100000,INDEX($AB$1005:$AQ$1005,1,MATCH(COLUMNS($AB$1006:AL1006),$AB$1006:$AQ$1006,0))&gt;=100000), " ",IF(INDEX($AB$2:$AQ$1001,MATCH(ROWS($U$2:U295),$U$2:$U$1001,0),MATCH(COLUMNS($AB$1006:AL1006),$AB$1006:$AQ$1006,0)), HYPERLINK("#",""), HYPERLINK(CONCATENATE("#metadata!", ADDRESS(INDEX($W$2:$W$1001,MATCH(ROWS($U$2:U295),$U$2:$U$1001,0),0), INDEX($AB$1004:$AQ$1004,1,MATCH(COLUMNS($AB$1006:AL1006),$AB$1006:$AQ$1006,0)))),"Fix")))</f>
        <v>0</v>
      </c>
      <c r="M295" s="4">
        <f>IF(OR(INDEX($V$2:$V$1001,MATCH(ROWS($U$2:U295),$U$2:$U$1001,0),1)&gt;=100000,INDEX($AB$1005:$AQ$1005,1,MATCH(COLUMNS($AB$1006:AM1006),$AB$1006:$AQ$1006,0))&gt;=100000), " ",IF(INDEX($AB$2:$AQ$1001,MATCH(ROWS($U$2:U295),$U$2:$U$1001,0),MATCH(COLUMNS($AB$1006:AM1006),$AB$1006:$AQ$1006,0)), HYPERLINK("#",""), HYPERLINK(CONCATENATE("#metadata!", ADDRESS(INDEX($W$2:$W$1001,MATCH(ROWS($U$2:U295),$U$2:$U$1001,0),0), INDEX($AB$1004:$AQ$1004,1,MATCH(COLUMNS($AB$1006:AM1006),$AB$1006:$AQ$1006,0)))),"Fix")))</f>
        <v>0</v>
      </c>
      <c r="N295" s="4">
        <f>IF(OR(INDEX($V$2:$V$1001,MATCH(ROWS($U$2:U295),$U$2:$U$1001,0),1)&gt;=100000,INDEX($AB$1005:$AQ$1005,1,MATCH(COLUMNS($AB$1006:AN1006),$AB$1006:$AQ$1006,0))&gt;=100000), " ",IF(INDEX($AB$2:$AQ$1001,MATCH(ROWS($U$2:U295),$U$2:$U$1001,0),MATCH(COLUMNS($AB$1006:AN1006),$AB$1006:$AQ$1006,0)), HYPERLINK("#",""), HYPERLINK(CONCATENATE("#metadata!", ADDRESS(INDEX($W$2:$W$1001,MATCH(ROWS($U$2:U295),$U$2:$U$1001,0),0), INDEX($AB$1004:$AQ$1004,1,MATCH(COLUMNS($AB$1006:AN1006),$AB$1006:$AQ$1006,0)))),"Fix")))</f>
        <v>0</v>
      </c>
      <c r="O295" s="4">
        <f>IF(OR(INDEX($V$2:$V$1001,MATCH(ROWS($U$2:U295),$U$2:$U$1001,0),1)&gt;=100000,INDEX($AB$1005:$AQ$1005,1,MATCH(COLUMNS($AB$1006:AO1006),$AB$1006:$AQ$1006,0))&gt;=100000), " ",IF(INDEX($AB$2:$AQ$1001,MATCH(ROWS($U$2:U295),$U$2:$U$1001,0),MATCH(COLUMNS($AB$1006:AO1006),$AB$1006:$AQ$1006,0)), HYPERLINK("#",""), HYPERLINK(CONCATENATE("#metadata!", ADDRESS(INDEX($W$2:$W$1001,MATCH(ROWS($U$2:U295),$U$2:$U$1001,0),0), INDEX($AB$1004:$AQ$1004,1,MATCH(COLUMNS($AB$1006:AO1006),$AB$1006:$AQ$1006,0)))),"Fix")))</f>
        <v>0</v>
      </c>
      <c r="P295" s="4">
        <f>IF(OR(INDEX($V$2:$V$1001,MATCH(ROWS($U$2:U295),$U$2:$U$1001,0),1)&gt;=100000,INDEX($AB$1005:$AQ$1005,1,MATCH(COLUMNS($AB$1006:AP1006),$AB$1006:$AQ$1006,0))&gt;=100000), " ",IF(INDEX($AB$2:$AQ$1001,MATCH(ROWS($U$2:U295),$U$2:$U$1001,0),MATCH(COLUMNS($AB$1006:AP1006),$AB$1006:$AQ$1006,0)), HYPERLINK("#",""), HYPERLINK(CONCATENATE("#metadata!", ADDRESS(INDEX($W$2:$W$1001,MATCH(ROWS($U$2:U295),$U$2:$U$1001,0),0), INDEX($AB$1004:$AQ$1004,1,MATCH(COLUMNS($AB$1006:AP1006),$AB$1006:$AQ$1006,0)))),"Fix")))</f>
        <v>0</v>
      </c>
      <c r="Q295" s="4">
        <f>IF(OR(INDEX($V$2:$V$1001,MATCH(ROWS($U$2:U295),$U$2:$U$1001,0),1)&gt;=100000,INDEX($AB$1005:$AQ$1005,1,MATCH(COLUMNS($AB$1006:AQ1006),$AB$1006:$AQ$1006,0))&gt;=100000), " ",IF(INDEX($AB$2:$AQ$1001,MATCH(ROWS($U$2:U295),$U$2:$U$1001,0),MATCH(COLUMNS($AB$1006:AQ1006),$AB$1006:$AQ$1006,0)), HYPERLINK("#",""), HYPERLINK(CONCATENATE("#metadata!", ADDRESS(INDEX($W$2:$W$1001,MATCH(ROWS($U$2:U295),$U$2:$U$1001,0),0), INDEX($AB$1004:$AQ$1004,1,MATCH(COLUMNS($AB$1006:AQ1006),$AB$1006:$AQ$1006,0)))),"Fix")))</f>
        <v>0</v>
      </c>
      <c r="U295">
        <v>0</v>
      </c>
      <c r="V295">
        <v>0</v>
      </c>
      <c r="W295">
        <v>0</v>
      </c>
      <c r="X295">
        <f>IF(Y295,TRUE,AND(AB295:AQ295))</f>
        <v>0</v>
      </c>
      <c r="Y295">
        <f>COUNTBLANK(metadata!B295:Q295)=COLUMNS(metadata!B295:Q295)</f>
        <v>0</v>
      </c>
      <c r="Z295">
        <v>0</v>
      </c>
      <c r="AB295">
        <f>AND(IF(metadata!B295="",FALSE,TRUE),COUNTIF(metadata!B:B, metadata!B295) = 1,NOT(ISERROR(SUMPRODUCT(SEARCH(MID(metadata!B295,ROW(INDIRECT("1:"&amp;LEN(metadata!B295))), 1),"0123456789abcdefghijklmnopqrstuvwxyzABCDEFGHIJKLMNOPQRSTUVWXYZ.")))))</f>
        <v>0</v>
      </c>
      <c r="AC295">
        <f>OR(AND(IF(metadata!C295="",FALSE,TRUE),OR(exact(metadata!C295,"missing: not collected"),exact(metadata!C295,"missing: not provided"),exact(metadata!C295,"missing: restricted access"))),AND(IF(metadata!C295="",FALSE,TRUE),AND(AND(IFERROR(INT(LEFT(metadata!C295,4))&gt;1900,FALSE),IFERROR(INT(LEFT(metadata!C295,4))&lt;=YEAR(NOW()),FALSE)), OR(MID(metadata!C295,5,1)="", AND(AND(MID(metadata!C295,5,1)="-",IFERROR(INT(MID(metadata!C295,6,1))&gt;=0,FALSE),IFERROR(INT(MID(metadata!C295,6,1))&lt;=1,FALSE),NOT(MID(metadata!C295,7,1)=""),IFERROR(INT(MID(metadata!C295,6,2))&gt;=1,FALSE),IFERROR(INT(MID(metadata!C295,6,2))&lt;=12,FALSE)), OR(MID(metadata!C295,8,1)="", AND(AND(MID(metadata!C295,8,1)="-",IFERROR(INT(MID(metadata!C295,9,1))&gt;=0,FALSE),IFERROR(INT(MID(metadata!C295,9,1))&lt;=3,FALSE),NOT(MID(metadata!C295,10,1)=""),IFERROR(INT(MID(metadata!C295,9,2))&gt;=1,FALSE),IFERROR(INT(MID(metadata!C295,9,2))&lt;=31,FALSE)), OR(MID(metadata!C295,11,1)="", AND(AND(MID(metadata!C295,11,1)=" ",IFERROR(INT(MID(metadata!C295,12,1))&gt;=0,FALSE),IFERROR(INT(MID(metadata!C295,12,1))&lt;=2,FALSE),NOT(MID(metadata!C295,13,1)=""),IFERROR(INT(MID(metadata!C295,12,2))&gt;=0,FALSE),IFERROR(INT(MID(metadata!C295,12,2))&lt;=23,FALSE)), OR(MID(metadata!C295,14,1)="", AND(AND(MID(metadata!C295,14,1)=":",IFERROR(INT(MID(metadata!C295,15,1))&gt;=0,FALSE),IFERROR(INT(MID(metadata!C295,15,1))&lt;=5,FALSE),NOT(MID(metadata!C295,16,1)=""),IFERROR(INT(MID(metadata!C295,15,2))&gt;=0,FALSE),IFERROR(INT(MID(metadata!C295,15,2))&lt;=59,FALSE)), OR(MID(metadata!C295,17,1)="", AND(AND(MID(metadata!C295,17,1)=":",IFERROR(INT(MID(metadata!C295,18,1))&gt;=0,FALSE),IFERROR(INT(MID(metadata!C295,18,1))&lt;=5,FALSE),NOT(MID(metadata!C295,19,1)=""),IFERROR(INT(MID(metadata!C295,18,2))&gt;=0,FALSE),IFERROR(INT(MID(metadata!C295,18,2))&lt;=59,FALSE)), LEN(metadata!C295)&lt;=19)))))))))))))</f>
        <v>0</v>
      </c>
      <c r="AD295">
        <f>IF(metadata!D295="",FALSE,TRUE)</f>
        <v>0</v>
      </c>
      <c r="AE295">
        <f>OR(AND(IF(metadata!E295="",FALSE,TRUE),OR(exact(metadata!E295,"missing: not collected"),exact(metadata!E295,"missing: not provided"))),AND(IF(metadata!E295="",FALSE,TRUE),OR(exact(metadata!E295,"TRUE"),exact(metadata!E295,"FALSE"))))</f>
        <v>0</v>
      </c>
      <c r="AF295">
        <f>IF(metadata!F295="",FALSE,TRUE)</f>
        <v>0</v>
      </c>
      <c r="AG295">
        <f>IF(metadata!G295="",FALSE,TRUE)</f>
        <v>0</v>
      </c>
      <c r="AH295">
        <f>IF(metadata!H295="",FALSE,TRUE)</f>
        <v>0</v>
      </c>
      <c r="AI295">
        <f>OR(AND(IF(metadata!I295="",FALSE,TRUE),OR(exact(metadata!I295,"missing: not collected"),exact(metadata!I295,"missing: not provided"),exact(metadata!I295,"missing: restricted access"))),AND(IF(metadata!I295="",FALSE,TRUE),OR(exact(metadata!I295,"air"),exact(metadata!I295,"built environment"),exact(metadata!I295,"host-associated"),exact(metadata!I295,"human-associated"),exact(metadata!I295,"human-skin"),exact(metadata!I295,"human-oral"),exact(metadata!I295,"human-gut"),exact(metadata!I295,"human-vaginal"),exact(metadata!I295,"microbial mat/biofilm"),exact(metadata!I295,"misc environment"),exact(metadata!I295,"plant-associated"),exact(metadata!I295,"sediment"),exact(metadata!I295,"soil"),exact(metadata!I295,"wastewater/sludge"),exact(metadata!I295,"water"))))</f>
        <v>0</v>
      </c>
      <c r="AJ295">
        <f>IF(metadata!J295="",FALSE,TRUE)</f>
        <v>0</v>
      </c>
      <c r="AK295">
        <f>OR(AND(IF(metadata!K295="",FALSE,TRUE),OR(exact(metadata!K295,"missing: not collected"),exact(metadata!K295,"missing: not provided"),exact(metadata!K295,"missing: restricted access"))),AND(IF(metadata!K295="",FALSE,ISNUMBER(VALUE(metadata!K295))),metadata!K295&gt;=-90.00,metadata!K295&lt;=90.00))</f>
        <v>0</v>
      </c>
      <c r="AL295">
        <f>OR(AND(IF(metadata!L295="",FALSE,TRUE),OR(exact(metadata!L295,"missing: not collected"),exact(metadata!L295,"missing: not provided"),exact(metadata!L295,"missing: restricted access"))),AND(IF(metadata!L295="",FALSE,ISNUMBER(VALUE(metadata!L295))),metadata!L295&gt;=-180.00,metadata!L295&lt;=180.00))</f>
        <v>0</v>
      </c>
      <c r="AM295">
        <f>IF(metadata!M295="",FALSE,TRUE)</f>
        <v>0</v>
      </c>
      <c r="AN295">
        <f>OR(AND(IF(metadata!N295="",FALSE,TRUE),OR(exact(metadata!N295,"missing: not collected"),exact(metadata!N295,"missing: not provided"),exact(metadata!N295,"missing: restricted access"))),AND(IF(metadata!N295="",FALSE,TRUE),OR(exact(metadata!N295,"TRUE"),exact(metadata!N295,"FALSE"))))</f>
        <v>0</v>
      </c>
      <c r="AO295">
        <f>IF(metadata!O295="",FALSE,TRUE)</f>
        <v>0</v>
      </c>
      <c r="AP295">
        <f>OR(AND(IF(metadata!P295="",FALSE,TRUE),OR(exact(metadata!P295,"missing: not collected"),exact(metadata!P295,"missing: not provided"))),AND(IF(metadata!P295="",FALSE,IF(ISERROR(INT(metadata!P295)),FALSE,INT(metadata!P295)=metadata!P295)),metadata!P295&gt;0))</f>
        <v>0</v>
      </c>
      <c r="AQ295">
        <f>IF(metadata!Q295="",FALSE,TRUE)</f>
        <v>0</v>
      </c>
    </row>
    <row r="296" spans="1:43">
      <c r="A296" s="5">
        <f>IF(B296=" "," ",HYPERLINK(CONCATENATE("#metadata!",ADDRESS(INDEX($W$2:$W$1001,MATCH(ROWS($U$2:U296),$U$2:$U$1001,0),0),1)),INDEX($Z$2:$Z$1001,MATCH(ROWS($U$2:U296),$U$2:$U$1001,0),0)))</f>
        <v>0</v>
      </c>
      <c r="B296" s="4">
        <f>IF(OR(INDEX($V$2:$V$1001,MATCH(ROWS($U$2:U296),$U$2:$U$1001,0),1)&gt;=100000,INDEX($AB$1005:$AQ$1005,1,MATCH(COLUMNS($AB$1006:AB1006),$AB$1006:$AQ$1006,0))&gt;=100000), " ",IF(INDEX($AB$2:$AQ$1001,MATCH(ROWS($U$2:U296),$U$2:$U$1001,0),MATCH(COLUMNS($AB$1006:AB1006),$AB$1006:$AQ$1006,0)), HYPERLINK("#",""), HYPERLINK(CONCATENATE("#metadata!", ADDRESS(INDEX($W$2:$W$1001,MATCH(ROWS($U$2:U296),$U$2:$U$1001,0),0), INDEX($AB$1004:$AQ$1004,1,MATCH(COLUMNS($AB$1006:AB1006),$AB$1006:$AQ$1006,0)))),"Fix")))</f>
        <v>0</v>
      </c>
      <c r="C296" s="4">
        <f>IF(OR(INDEX($V$2:$V$1001,MATCH(ROWS($U$2:U296),$U$2:$U$1001,0),1)&gt;=100000,INDEX($AB$1005:$AQ$1005,1,MATCH(COLUMNS($AB$1006:AC1006),$AB$1006:$AQ$1006,0))&gt;=100000), " ",IF(INDEX($AB$2:$AQ$1001,MATCH(ROWS($U$2:U296),$U$2:$U$1001,0),MATCH(COLUMNS($AB$1006:AC1006),$AB$1006:$AQ$1006,0)), HYPERLINK("#",""), HYPERLINK(CONCATENATE("#metadata!", ADDRESS(INDEX($W$2:$W$1001,MATCH(ROWS($U$2:U296),$U$2:$U$1001,0),0), INDEX($AB$1004:$AQ$1004,1,MATCH(COLUMNS($AB$1006:AC1006),$AB$1006:$AQ$1006,0)))),"Fix")))</f>
        <v>0</v>
      </c>
      <c r="D296" s="4">
        <f>IF(OR(INDEX($V$2:$V$1001,MATCH(ROWS($U$2:U296),$U$2:$U$1001,0),1)&gt;=100000,INDEX($AB$1005:$AQ$1005,1,MATCH(COLUMNS($AB$1006:AD1006),$AB$1006:$AQ$1006,0))&gt;=100000), " ",IF(INDEX($AB$2:$AQ$1001,MATCH(ROWS($U$2:U296),$U$2:$U$1001,0),MATCH(COLUMNS($AB$1006:AD1006),$AB$1006:$AQ$1006,0)), HYPERLINK("#",""), HYPERLINK(CONCATENATE("#metadata!", ADDRESS(INDEX($W$2:$W$1001,MATCH(ROWS($U$2:U296),$U$2:$U$1001,0),0), INDEX($AB$1004:$AQ$1004,1,MATCH(COLUMNS($AB$1006:AD1006),$AB$1006:$AQ$1006,0)))),"Fix")))</f>
        <v>0</v>
      </c>
      <c r="E296" s="4">
        <f>IF(OR(INDEX($V$2:$V$1001,MATCH(ROWS($U$2:U296),$U$2:$U$1001,0),1)&gt;=100000,INDEX($AB$1005:$AQ$1005,1,MATCH(COLUMNS($AB$1006:AE1006),$AB$1006:$AQ$1006,0))&gt;=100000), " ",IF(INDEX($AB$2:$AQ$1001,MATCH(ROWS($U$2:U296),$U$2:$U$1001,0),MATCH(COLUMNS($AB$1006:AE1006),$AB$1006:$AQ$1006,0)), HYPERLINK("#",""), HYPERLINK(CONCATENATE("#metadata!", ADDRESS(INDEX($W$2:$W$1001,MATCH(ROWS($U$2:U296),$U$2:$U$1001,0),0), INDEX($AB$1004:$AQ$1004,1,MATCH(COLUMNS($AB$1006:AE1006),$AB$1006:$AQ$1006,0)))),"Fix")))</f>
        <v>0</v>
      </c>
      <c r="F296" s="4">
        <f>IF(OR(INDEX($V$2:$V$1001,MATCH(ROWS($U$2:U296),$U$2:$U$1001,0),1)&gt;=100000,INDEX($AB$1005:$AQ$1005,1,MATCH(COLUMNS($AB$1006:AF1006),$AB$1006:$AQ$1006,0))&gt;=100000), " ",IF(INDEX($AB$2:$AQ$1001,MATCH(ROWS($U$2:U296),$U$2:$U$1001,0),MATCH(COLUMNS($AB$1006:AF1006),$AB$1006:$AQ$1006,0)), HYPERLINK("#",""), HYPERLINK(CONCATENATE("#metadata!", ADDRESS(INDEX($W$2:$W$1001,MATCH(ROWS($U$2:U296),$U$2:$U$1001,0),0), INDEX($AB$1004:$AQ$1004,1,MATCH(COLUMNS($AB$1006:AF1006),$AB$1006:$AQ$1006,0)))),"Fix")))</f>
        <v>0</v>
      </c>
      <c r="G296" s="4">
        <f>IF(OR(INDEX($V$2:$V$1001,MATCH(ROWS($U$2:U296),$U$2:$U$1001,0),1)&gt;=100000,INDEX($AB$1005:$AQ$1005,1,MATCH(COLUMNS($AB$1006:AG1006),$AB$1006:$AQ$1006,0))&gt;=100000), " ",IF(INDEX($AB$2:$AQ$1001,MATCH(ROWS($U$2:U296),$U$2:$U$1001,0),MATCH(COLUMNS($AB$1006:AG1006),$AB$1006:$AQ$1006,0)), HYPERLINK("#",""), HYPERLINK(CONCATENATE("#metadata!", ADDRESS(INDEX($W$2:$W$1001,MATCH(ROWS($U$2:U296),$U$2:$U$1001,0),0), INDEX($AB$1004:$AQ$1004,1,MATCH(COLUMNS($AB$1006:AG1006),$AB$1006:$AQ$1006,0)))),"Fix")))</f>
        <v>0</v>
      </c>
      <c r="H296" s="4">
        <f>IF(OR(INDEX($V$2:$V$1001,MATCH(ROWS($U$2:U296),$U$2:$U$1001,0),1)&gt;=100000,INDEX($AB$1005:$AQ$1005,1,MATCH(COLUMNS($AB$1006:AH1006),$AB$1006:$AQ$1006,0))&gt;=100000), " ",IF(INDEX($AB$2:$AQ$1001,MATCH(ROWS($U$2:U296),$U$2:$U$1001,0),MATCH(COLUMNS($AB$1006:AH1006),$AB$1006:$AQ$1006,0)), HYPERLINK("#",""), HYPERLINK(CONCATENATE("#metadata!", ADDRESS(INDEX($W$2:$W$1001,MATCH(ROWS($U$2:U296),$U$2:$U$1001,0),0), INDEX($AB$1004:$AQ$1004,1,MATCH(COLUMNS($AB$1006:AH1006),$AB$1006:$AQ$1006,0)))),"Fix")))</f>
        <v>0</v>
      </c>
      <c r="I296" s="4">
        <f>IF(OR(INDEX($V$2:$V$1001,MATCH(ROWS($U$2:U296),$U$2:$U$1001,0),1)&gt;=100000,INDEX($AB$1005:$AQ$1005,1,MATCH(COLUMNS($AB$1006:AI1006),$AB$1006:$AQ$1006,0))&gt;=100000), " ",IF(INDEX($AB$2:$AQ$1001,MATCH(ROWS($U$2:U296),$U$2:$U$1001,0),MATCH(COLUMNS($AB$1006:AI1006),$AB$1006:$AQ$1006,0)), HYPERLINK("#",""), HYPERLINK(CONCATENATE("#metadata!", ADDRESS(INDEX($W$2:$W$1001,MATCH(ROWS($U$2:U296),$U$2:$U$1001,0),0), INDEX($AB$1004:$AQ$1004,1,MATCH(COLUMNS($AB$1006:AI1006),$AB$1006:$AQ$1006,0)))),"Fix")))</f>
        <v>0</v>
      </c>
      <c r="J296" s="4">
        <f>IF(OR(INDEX($V$2:$V$1001,MATCH(ROWS($U$2:U296),$U$2:$U$1001,0),1)&gt;=100000,INDEX($AB$1005:$AQ$1005,1,MATCH(COLUMNS($AB$1006:AJ1006),$AB$1006:$AQ$1006,0))&gt;=100000), " ",IF(INDEX($AB$2:$AQ$1001,MATCH(ROWS($U$2:U296),$U$2:$U$1001,0),MATCH(COLUMNS($AB$1006:AJ1006),$AB$1006:$AQ$1006,0)), HYPERLINK("#",""), HYPERLINK(CONCATENATE("#metadata!", ADDRESS(INDEX($W$2:$W$1001,MATCH(ROWS($U$2:U296),$U$2:$U$1001,0),0), INDEX($AB$1004:$AQ$1004,1,MATCH(COLUMNS($AB$1006:AJ1006),$AB$1006:$AQ$1006,0)))),"Fix")))</f>
        <v>0</v>
      </c>
      <c r="K296" s="4">
        <f>IF(OR(INDEX($V$2:$V$1001,MATCH(ROWS($U$2:U296),$U$2:$U$1001,0),1)&gt;=100000,INDEX($AB$1005:$AQ$1005,1,MATCH(COLUMNS($AB$1006:AK1006),$AB$1006:$AQ$1006,0))&gt;=100000), " ",IF(INDEX($AB$2:$AQ$1001,MATCH(ROWS($U$2:U296),$U$2:$U$1001,0),MATCH(COLUMNS($AB$1006:AK1006),$AB$1006:$AQ$1006,0)), HYPERLINK("#",""), HYPERLINK(CONCATENATE("#metadata!", ADDRESS(INDEX($W$2:$W$1001,MATCH(ROWS($U$2:U296),$U$2:$U$1001,0),0), INDEX($AB$1004:$AQ$1004,1,MATCH(COLUMNS($AB$1006:AK1006),$AB$1006:$AQ$1006,0)))),"Fix")))</f>
        <v>0</v>
      </c>
      <c r="L296" s="4">
        <f>IF(OR(INDEX($V$2:$V$1001,MATCH(ROWS($U$2:U296),$U$2:$U$1001,0),1)&gt;=100000,INDEX($AB$1005:$AQ$1005,1,MATCH(COLUMNS($AB$1006:AL1006),$AB$1006:$AQ$1006,0))&gt;=100000), " ",IF(INDEX($AB$2:$AQ$1001,MATCH(ROWS($U$2:U296),$U$2:$U$1001,0),MATCH(COLUMNS($AB$1006:AL1006),$AB$1006:$AQ$1006,0)), HYPERLINK("#",""), HYPERLINK(CONCATENATE("#metadata!", ADDRESS(INDEX($W$2:$W$1001,MATCH(ROWS($U$2:U296),$U$2:$U$1001,0),0), INDEX($AB$1004:$AQ$1004,1,MATCH(COLUMNS($AB$1006:AL1006),$AB$1006:$AQ$1006,0)))),"Fix")))</f>
        <v>0</v>
      </c>
      <c r="M296" s="4">
        <f>IF(OR(INDEX($V$2:$V$1001,MATCH(ROWS($U$2:U296),$U$2:$U$1001,0),1)&gt;=100000,INDEX($AB$1005:$AQ$1005,1,MATCH(COLUMNS($AB$1006:AM1006),$AB$1006:$AQ$1006,0))&gt;=100000), " ",IF(INDEX($AB$2:$AQ$1001,MATCH(ROWS($U$2:U296),$U$2:$U$1001,0),MATCH(COLUMNS($AB$1006:AM1006),$AB$1006:$AQ$1006,0)), HYPERLINK("#",""), HYPERLINK(CONCATENATE("#metadata!", ADDRESS(INDEX($W$2:$W$1001,MATCH(ROWS($U$2:U296),$U$2:$U$1001,0),0), INDEX($AB$1004:$AQ$1004,1,MATCH(COLUMNS($AB$1006:AM1006),$AB$1006:$AQ$1006,0)))),"Fix")))</f>
        <v>0</v>
      </c>
      <c r="N296" s="4">
        <f>IF(OR(INDEX($V$2:$V$1001,MATCH(ROWS($U$2:U296),$U$2:$U$1001,0),1)&gt;=100000,INDEX($AB$1005:$AQ$1005,1,MATCH(COLUMNS($AB$1006:AN1006),$AB$1006:$AQ$1006,0))&gt;=100000), " ",IF(INDEX($AB$2:$AQ$1001,MATCH(ROWS($U$2:U296),$U$2:$U$1001,0),MATCH(COLUMNS($AB$1006:AN1006),$AB$1006:$AQ$1006,0)), HYPERLINK("#",""), HYPERLINK(CONCATENATE("#metadata!", ADDRESS(INDEX($W$2:$W$1001,MATCH(ROWS($U$2:U296),$U$2:$U$1001,0),0), INDEX($AB$1004:$AQ$1004,1,MATCH(COLUMNS($AB$1006:AN1006),$AB$1006:$AQ$1006,0)))),"Fix")))</f>
        <v>0</v>
      </c>
      <c r="O296" s="4">
        <f>IF(OR(INDEX($V$2:$V$1001,MATCH(ROWS($U$2:U296),$U$2:$U$1001,0),1)&gt;=100000,INDEX($AB$1005:$AQ$1005,1,MATCH(COLUMNS($AB$1006:AO1006),$AB$1006:$AQ$1006,0))&gt;=100000), " ",IF(INDEX($AB$2:$AQ$1001,MATCH(ROWS($U$2:U296),$U$2:$U$1001,0),MATCH(COLUMNS($AB$1006:AO1006),$AB$1006:$AQ$1006,0)), HYPERLINK("#",""), HYPERLINK(CONCATENATE("#metadata!", ADDRESS(INDEX($W$2:$W$1001,MATCH(ROWS($U$2:U296),$U$2:$U$1001,0),0), INDEX($AB$1004:$AQ$1004,1,MATCH(COLUMNS($AB$1006:AO1006),$AB$1006:$AQ$1006,0)))),"Fix")))</f>
        <v>0</v>
      </c>
      <c r="P296" s="4">
        <f>IF(OR(INDEX($V$2:$V$1001,MATCH(ROWS($U$2:U296),$U$2:$U$1001,0),1)&gt;=100000,INDEX($AB$1005:$AQ$1005,1,MATCH(COLUMNS($AB$1006:AP1006),$AB$1006:$AQ$1006,0))&gt;=100000), " ",IF(INDEX($AB$2:$AQ$1001,MATCH(ROWS($U$2:U296),$U$2:$U$1001,0),MATCH(COLUMNS($AB$1006:AP1006),$AB$1006:$AQ$1006,0)), HYPERLINK("#",""), HYPERLINK(CONCATENATE("#metadata!", ADDRESS(INDEX($W$2:$W$1001,MATCH(ROWS($U$2:U296),$U$2:$U$1001,0),0), INDEX($AB$1004:$AQ$1004,1,MATCH(COLUMNS($AB$1006:AP1006),$AB$1006:$AQ$1006,0)))),"Fix")))</f>
        <v>0</v>
      </c>
      <c r="Q296" s="4">
        <f>IF(OR(INDEX($V$2:$V$1001,MATCH(ROWS($U$2:U296),$U$2:$U$1001,0),1)&gt;=100000,INDEX($AB$1005:$AQ$1005,1,MATCH(COLUMNS($AB$1006:AQ1006),$AB$1006:$AQ$1006,0))&gt;=100000), " ",IF(INDEX($AB$2:$AQ$1001,MATCH(ROWS($U$2:U296),$U$2:$U$1001,0),MATCH(COLUMNS($AB$1006:AQ1006),$AB$1006:$AQ$1006,0)), HYPERLINK("#",""), HYPERLINK(CONCATENATE("#metadata!", ADDRESS(INDEX($W$2:$W$1001,MATCH(ROWS($U$2:U296),$U$2:$U$1001,0),0), INDEX($AB$1004:$AQ$1004,1,MATCH(COLUMNS($AB$1006:AQ1006),$AB$1006:$AQ$1006,0)))),"Fix")))</f>
        <v>0</v>
      </c>
      <c r="U296">
        <v>0</v>
      </c>
      <c r="V296">
        <v>0</v>
      </c>
      <c r="W296">
        <v>0</v>
      </c>
      <c r="X296">
        <f>IF(Y296,TRUE,AND(AB296:AQ296))</f>
        <v>0</v>
      </c>
      <c r="Y296">
        <f>COUNTBLANK(metadata!B296:Q296)=COLUMNS(metadata!B296:Q296)</f>
        <v>0</v>
      </c>
      <c r="Z296">
        <v>0</v>
      </c>
      <c r="AB296">
        <f>AND(IF(metadata!B296="",FALSE,TRUE),COUNTIF(metadata!B:B, metadata!B296) = 1,NOT(ISERROR(SUMPRODUCT(SEARCH(MID(metadata!B296,ROW(INDIRECT("1:"&amp;LEN(metadata!B296))), 1),"0123456789abcdefghijklmnopqrstuvwxyzABCDEFGHIJKLMNOPQRSTUVWXYZ.")))))</f>
        <v>0</v>
      </c>
      <c r="AC296">
        <f>OR(AND(IF(metadata!C296="",FALSE,TRUE),OR(exact(metadata!C296,"missing: not collected"),exact(metadata!C296,"missing: not provided"),exact(metadata!C296,"missing: restricted access"))),AND(IF(metadata!C296="",FALSE,TRUE),AND(AND(IFERROR(INT(LEFT(metadata!C296,4))&gt;1900,FALSE),IFERROR(INT(LEFT(metadata!C296,4))&lt;=YEAR(NOW()),FALSE)), OR(MID(metadata!C296,5,1)="", AND(AND(MID(metadata!C296,5,1)="-",IFERROR(INT(MID(metadata!C296,6,1))&gt;=0,FALSE),IFERROR(INT(MID(metadata!C296,6,1))&lt;=1,FALSE),NOT(MID(metadata!C296,7,1)=""),IFERROR(INT(MID(metadata!C296,6,2))&gt;=1,FALSE),IFERROR(INT(MID(metadata!C296,6,2))&lt;=12,FALSE)), OR(MID(metadata!C296,8,1)="", AND(AND(MID(metadata!C296,8,1)="-",IFERROR(INT(MID(metadata!C296,9,1))&gt;=0,FALSE),IFERROR(INT(MID(metadata!C296,9,1))&lt;=3,FALSE),NOT(MID(metadata!C296,10,1)=""),IFERROR(INT(MID(metadata!C296,9,2))&gt;=1,FALSE),IFERROR(INT(MID(metadata!C296,9,2))&lt;=31,FALSE)), OR(MID(metadata!C296,11,1)="", AND(AND(MID(metadata!C296,11,1)=" ",IFERROR(INT(MID(metadata!C296,12,1))&gt;=0,FALSE),IFERROR(INT(MID(metadata!C296,12,1))&lt;=2,FALSE),NOT(MID(metadata!C296,13,1)=""),IFERROR(INT(MID(metadata!C296,12,2))&gt;=0,FALSE),IFERROR(INT(MID(metadata!C296,12,2))&lt;=23,FALSE)), OR(MID(metadata!C296,14,1)="", AND(AND(MID(metadata!C296,14,1)=":",IFERROR(INT(MID(metadata!C296,15,1))&gt;=0,FALSE),IFERROR(INT(MID(metadata!C296,15,1))&lt;=5,FALSE),NOT(MID(metadata!C296,16,1)=""),IFERROR(INT(MID(metadata!C296,15,2))&gt;=0,FALSE),IFERROR(INT(MID(metadata!C296,15,2))&lt;=59,FALSE)), OR(MID(metadata!C296,17,1)="", AND(AND(MID(metadata!C296,17,1)=":",IFERROR(INT(MID(metadata!C296,18,1))&gt;=0,FALSE),IFERROR(INT(MID(metadata!C296,18,1))&lt;=5,FALSE),NOT(MID(metadata!C296,19,1)=""),IFERROR(INT(MID(metadata!C296,18,2))&gt;=0,FALSE),IFERROR(INT(MID(metadata!C296,18,2))&lt;=59,FALSE)), LEN(metadata!C296)&lt;=19)))))))))))))</f>
        <v>0</v>
      </c>
      <c r="AD296">
        <f>IF(metadata!D296="",FALSE,TRUE)</f>
        <v>0</v>
      </c>
      <c r="AE296">
        <f>OR(AND(IF(metadata!E296="",FALSE,TRUE),OR(exact(metadata!E296,"missing: not collected"),exact(metadata!E296,"missing: not provided"))),AND(IF(metadata!E296="",FALSE,TRUE),OR(exact(metadata!E296,"TRUE"),exact(metadata!E296,"FALSE"))))</f>
        <v>0</v>
      </c>
      <c r="AF296">
        <f>IF(metadata!F296="",FALSE,TRUE)</f>
        <v>0</v>
      </c>
      <c r="AG296">
        <f>IF(metadata!G296="",FALSE,TRUE)</f>
        <v>0</v>
      </c>
      <c r="AH296">
        <f>IF(metadata!H296="",FALSE,TRUE)</f>
        <v>0</v>
      </c>
      <c r="AI296">
        <f>OR(AND(IF(metadata!I296="",FALSE,TRUE),OR(exact(metadata!I296,"missing: not collected"),exact(metadata!I296,"missing: not provided"),exact(metadata!I296,"missing: restricted access"))),AND(IF(metadata!I296="",FALSE,TRUE),OR(exact(metadata!I296,"air"),exact(metadata!I296,"built environment"),exact(metadata!I296,"host-associated"),exact(metadata!I296,"human-associated"),exact(metadata!I296,"human-skin"),exact(metadata!I296,"human-oral"),exact(metadata!I296,"human-gut"),exact(metadata!I296,"human-vaginal"),exact(metadata!I296,"microbial mat/biofilm"),exact(metadata!I296,"misc environment"),exact(metadata!I296,"plant-associated"),exact(metadata!I296,"sediment"),exact(metadata!I296,"soil"),exact(metadata!I296,"wastewater/sludge"),exact(metadata!I296,"water"))))</f>
        <v>0</v>
      </c>
      <c r="AJ296">
        <f>IF(metadata!J296="",FALSE,TRUE)</f>
        <v>0</v>
      </c>
      <c r="AK296">
        <f>OR(AND(IF(metadata!K296="",FALSE,TRUE),OR(exact(metadata!K296,"missing: not collected"),exact(metadata!K296,"missing: not provided"),exact(metadata!K296,"missing: restricted access"))),AND(IF(metadata!K296="",FALSE,ISNUMBER(VALUE(metadata!K296))),metadata!K296&gt;=-90.00,metadata!K296&lt;=90.00))</f>
        <v>0</v>
      </c>
      <c r="AL296">
        <f>OR(AND(IF(metadata!L296="",FALSE,TRUE),OR(exact(metadata!L296,"missing: not collected"),exact(metadata!L296,"missing: not provided"),exact(metadata!L296,"missing: restricted access"))),AND(IF(metadata!L296="",FALSE,ISNUMBER(VALUE(metadata!L296))),metadata!L296&gt;=-180.00,metadata!L296&lt;=180.00))</f>
        <v>0</v>
      </c>
      <c r="AM296">
        <f>IF(metadata!M296="",FALSE,TRUE)</f>
        <v>0</v>
      </c>
      <c r="AN296">
        <f>OR(AND(IF(metadata!N296="",FALSE,TRUE),OR(exact(metadata!N296,"missing: not collected"),exact(metadata!N296,"missing: not provided"),exact(metadata!N296,"missing: restricted access"))),AND(IF(metadata!N296="",FALSE,TRUE),OR(exact(metadata!N296,"TRUE"),exact(metadata!N296,"FALSE"))))</f>
        <v>0</v>
      </c>
      <c r="AO296">
        <f>IF(metadata!O296="",FALSE,TRUE)</f>
        <v>0</v>
      </c>
      <c r="AP296">
        <f>OR(AND(IF(metadata!P296="",FALSE,TRUE),OR(exact(metadata!P296,"missing: not collected"),exact(metadata!P296,"missing: not provided"))),AND(IF(metadata!P296="",FALSE,IF(ISERROR(INT(metadata!P296)),FALSE,INT(metadata!P296)=metadata!P296)),metadata!P296&gt;0))</f>
        <v>0</v>
      </c>
      <c r="AQ296">
        <f>IF(metadata!Q296="",FALSE,TRUE)</f>
        <v>0</v>
      </c>
    </row>
    <row r="297" spans="1:43">
      <c r="A297" s="5">
        <f>IF(B297=" "," ",HYPERLINK(CONCATENATE("#metadata!",ADDRESS(INDEX($W$2:$W$1001,MATCH(ROWS($U$2:U297),$U$2:$U$1001,0),0),1)),INDEX($Z$2:$Z$1001,MATCH(ROWS($U$2:U297),$U$2:$U$1001,0),0)))</f>
        <v>0</v>
      </c>
      <c r="B297" s="4">
        <f>IF(OR(INDEX($V$2:$V$1001,MATCH(ROWS($U$2:U297),$U$2:$U$1001,0),1)&gt;=100000,INDEX($AB$1005:$AQ$1005,1,MATCH(COLUMNS($AB$1006:AB1006),$AB$1006:$AQ$1006,0))&gt;=100000), " ",IF(INDEX($AB$2:$AQ$1001,MATCH(ROWS($U$2:U297),$U$2:$U$1001,0),MATCH(COLUMNS($AB$1006:AB1006),$AB$1006:$AQ$1006,0)), HYPERLINK("#",""), HYPERLINK(CONCATENATE("#metadata!", ADDRESS(INDEX($W$2:$W$1001,MATCH(ROWS($U$2:U297),$U$2:$U$1001,0),0), INDEX($AB$1004:$AQ$1004,1,MATCH(COLUMNS($AB$1006:AB1006),$AB$1006:$AQ$1006,0)))),"Fix")))</f>
        <v>0</v>
      </c>
      <c r="C297" s="4">
        <f>IF(OR(INDEX($V$2:$V$1001,MATCH(ROWS($U$2:U297),$U$2:$U$1001,0),1)&gt;=100000,INDEX($AB$1005:$AQ$1005,1,MATCH(COLUMNS($AB$1006:AC1006),$AB$1006:$AQ$1006,0))&gt;=100000), " ",IF(INDEX($AB$2:$AQ$1001,MATCH(ROWS($U$2:U297),$U$2:$U$1001,0),MATCH(COLUMNS($AB$1006:AC1006),$AB$1006:$AQ$1006,0)), HYPERLINK("#",""), HYPERLINK(CONCATENATE("#metadata!", ADDRESS(INDEX($W$2:$W$1001,MATCH(ROWS($U$2:U297),$U$2:$U$1001,0),0), INDEX($AB$1004:$AQ$1004,1,MATCH(COLUMNS($AB$1006:AC1006),$AB$1006:$AQ$1006,0)))),"Fix")))</f>
        <v>0</v>
      </c>
      <c r="D297" s="4">
        <f>IF(OR(INDEX($V$2:$V$1001,MATCH(ROWS($U$2:U297),$U$2:$U$1001,0),1)&gt;=100000,INDEX($AB$1005:$AQ$1005,1,MATCH(COLUMNS($AB$1006:AD1006),$AB$1006:$AQ$1006,0))&gt;=100000), " ",IF(INDEX($AB$2:$AQ$1001,MATCH(ROWS($U$2:U297),$U$2:$U$1001,0),MATCH(COLUMNS($AB$1006:AD1006),$AB$1006:$AQ$1006,0)), HYPERLINK("#",""), HYPERLINK(CONCATENATE("#metadata!", ADDRESS(INDEX($W$2:$W$1001,MATCH(ROWS($U$2:U297),$U$2:$U$1001,0),0), INDEX($AB$1004:$AQ$1004,1,MATCH(COLUMNS($AB$1006:AD1006),$AB$1006:$AQ$1006,0)))),"Fix")))</f>
        <v>0</v>
      </c>
      <c r="E297" s="4">
        <f>IF(OR(INDEX($V$2:$V$1001,MATCH(ROWS($U$2:U297),$U$2:$U$1001,0),1)&gt;=100000,INDEX($AB$1005:$AQ$1005,1,MATCH(COLUMNS($AB$1006:AE1006),$AB$1006:$AQ$1006,0))&gt;=100000), " ",IF(INDEX($AB$2:$AQ$1001,MATCH(ROWS($U$2:U297),$U$2:$U$1001,0),MATCH(COLUMNS($AB$1006:AE1006),$AB$1006:$AQ$1006,0)), HYPERLINK("#",""), HYPERLINK(CONCATENATE("#metadata!", ADDRESS(INDEX($W$2:$W$1001,MATCH(ROWS($U$2:U297),$U$2:$U$1001,0),0), INDEX($AB$1004:$AQ$1004,1,MATCH(COLUMNS($AB$1006:AE1006),$AB$1006:$AQ$1006,0)))),"Fix")))</f>
        <v>0</v>
      </c>
      <c r="F297" s="4">
        <f>IF(OR(INDEX($V$2:$V$1001,MATCH(ROWS($U$2:U297),$U$2:$U$1001,0),1)&gt;=100000,INDEX($AB$1005:$AQ$1005,1,MATCH(COLUMNS($AB$1006:AF1006),$AB$1006:$AQ$1006,0))&gt;=100000), " ",IF(INDEX($AB$2:$AQ$1001,MATCH(ROWS($U$2:U297),$U$2:$U$1001,0),MATCH(COLUMNS($AB$1006:AF1006),$AB$1006:$AQ$1006,0)), HYPERLINK("#",""), HYPERLINK(CONCATENATE("#metadata!", ADDRESS(INDEX($W$2:$W$1001,MATCH(ROWS($U$2:U297),$U$2:$U$1001,0),0), INDEX($AB$1004:$AQ$1004,1,MATCH(COLUMNS($AB$1006:AF1006),$AB$1006:$AQ$1006,0)))),"Fix")))</f>
        <v>0</v>
      </c>
      <c r="G297" s="4">
        <f>IF(OR(INDEX($V$2:$V$1001,MATCH(ROWS($U$2:U297),$U$2:$U$1001,0),1)&gt;=100000,INDEX($AB$1005:$AQ$1005,1,MATCH(COLUMNS($AB$1006:AG1006),$AB$1006:$AQ$1006,0))&gt;=100000), " ",IF(INDEX($AB$2:$AQ$1001,MATCH(ROWS($U$2:U297),$U$2:$U$1001,0),MATCH(COLUMNS($AB$1006:AG1006),$AB$1006:$AQ$1006,0)), HYPERLINK("#",""), HYPERLINK(CONCATENATE("#metadata!", ADDRESS(INDEX($W$2:$W$1001,MATCH(ROWS($U$2:U297),$U$2:$U$1001,0),0), INDEX($AB$1004:$AQ$1004,1,MATCH(COLUMNS($AB$1006:AG1006),$AB$1006:$AQ$1006,0)))),"Fix")))</f>
        <v>0</v>
      </c>
      <c r="H297" s="4">
        <f>IF(OR(INDEX($V$2:$V$1001,MATCH(ROWS($U$2:U297),$U$2:$U$1001,0),1)&gt;=100000,INDEX($AB$1005:$AQ$1005,1,MATCH(COLUMNS($AB$1006:AH1006),$AB$1006:$AQ$1006,0))&gt;=100000), " ",IF(INDEX($AB$2:$AQ$1001,MATCH(ROWS($U$2:U297),$U$2:$U$1001,0),MATCH(COLUMNS($AB$1006:AH1006),$AB$1006:$AQ$1006,0)), HYPERLINK("#",""), HYPERLINK(CONCATENATE("#metadata!", ADDRESS(INDEX($W$2:$W$1001,MATCH(ROWS($U$2:U297),$U$2:$U$1001,0),0), INDEX($AB$1004:$AQ$1004,1,MATCH(COLUMNS($AB$1006:AH1006),$AB$1006:$AQ$1006,0)))),"Fix")))</f>
        <v>0</v>
      </c>
      <c r="I297" s="4">
        <f>IF(OR(INDEX($V$2:$V$1001,MATCH(ROWS($U$2:U297),$U$2:$U$1001,0),1)&gt;=100000,INDEX($AB$1005:$AQ$1005,1,MATCH(COLUMNS($AB$1006:AI1006),$AB$1006:$AQ$1006,0))&gt;=100000), " ",IF(INDEX($AB$2:$AQ$1001,MATCH(ROWS($U$2:U297),$U$2:$U$1001,0),MATCH(COLUMNS($AB$1006:AI1006),$AB$1006:$AQ$1006,0)), HYPERLINK("#",""), HYPERLINK(CONCATENATE("#metadata!", ADDRESS(INDEX($W$2:$W$1001,MATCH(ROWS($U$2:U297),$U$2:$U$1001,0),0), INDEX($AB$1004:$AQ$1004,1,MATCH(COLUMNS($AB$1006:AI1006),$AB$1006:$AQ$1006,0)))),"Fix")))</f>
        <v>0</v>
      </c>
      <c r="J297" s="4">
        <f>IF(OR(INDEX($V$2:$V$1001,MATCH(ROWS($U$2:U297),$U$2:$U$1001,0),1)&gt;=100000,INDEX($AB$1005:$AQ$1005,1,MATCH(COLUMNS($AB$1006:AJ1006),$AB$1006:$AQ$1006,0))&gt;=100000), " ",IF(INDEX($AB$2:$AQ$1001,MATCH(ROWS($U$2:U297),$U$2:$U$1001,0),MATCH(COLUMNS($AB$1006:AJ1006),$AB$1006:$AQ$1006,0)), HYPERLINK("#",""), HYPERLINK(CONCATENATE("#metadata!", ADDRESS(INDEX($W$2:$W$1001,MATCH(ROWS($U$2:U297),$U$2:$U$1001,0),0), INDEX($AB$1004:$AQ$1004,1,MATCH(COLUMNS($AB$1006:AJ1006),$AB$1006:$AQ$1006,0)))),"Fix")))</f>
        <v>0</v>
      </c>
      <c r="K297" s="4">
        <f>IF(OR(INDEX($V$2:$V$1001,MATCH(ROWS($U$2:U297),$U$2:$U$1001,0),1)&gt;=100000,INDEX($AB$1005:$AQ$1005,1,MATCH(COLUMNS($AB$1006:AK1006),$AB$1006:$AQ$1006,0))&gt;=100000), " ",IF(INDEX($AB$2:$AQ$1001,MATCH(ROWS($U$2:U297),$U$2:$U$1001,0),MATCH(COLUMNS($AB$1006:AK1006),$AB$1006:$AQ$1006,0)), HYPERLINK("#",""), HYPERLINK(CONCATENATE("#metadata!", ADDRESS(INDEX($W$2:$W$1001,MATCH(ROWS($U$2:U297),$U$2:$U$1001,0),0), INDEX($AB$1004:$AQ$1004,1,MATCH(COLUMNS($AB$1006:AK1006),$AB$1006:$AQ$1006,0)))),"Fix")))</f>
        <v>0</v>
      </c>
      <c r="L297" s="4">
        <f>IF(OR(INDEX($V$2:$V$1001,MATCH(ROWS($U$2:U297),$U$2:$U$1001,0),1)&gt;=100000,INDEX($AB$1005:$AQ$1005,1,MATCH(COLUMNS($AB$1006:AL1006),$AB$1006:$AQ$1006,0))&gt;=100000), " ",IF(INDEX($AB$2:$AQ$1001,MATCH(ROWS($U$2:U297),$U$2:$U$1001,0),MATCH(COLUMNS($AB$1006:AL1006),$AB$1006:$AQ$1006,0)), HYPERLINK("#",""), HYPERLINK(CONCATENATE("#metadata!", ADDRESS(INDEX($W$2:$W$1001,MATCH(ROWS($U$2:U297),$U$2:$U$1001,0),0), INDEX($AB$1004:$AQ$1004,1,MATCH(COLUMNS($AB$1006:AL1006),$AB$1006:$AQ$1006,0)))),"Fix")))</f>
        <v>0</v>
      </c>
      <c r="M297" s="4">
        <f>IF(OR(INDEX($V$2:$V$1001,MATCH(ROWS($U$2:U297),$U$2:$U$1001,0),1)&gt;=100000,INDEX($AB$1005:$AQ$1005,1,MATCH(COLUMNS($AB$1006:AM1006),$AB$1006:$AQ$1006,0))&gt;=100000), " ",IF(INDEX($AB$2:$AQ$1001,MATCH(ROWS($U$2:U297),$U$2:$U$1001,0),MATCH(COLUMNS($AB$1006:AM1006),$AB$1006:$AQ$1006,0)), HYPERLINK("#",""), HYPERLINK(CONCATENATE("#metadata!", ADDRESS(INDEX($W$2:$W$1001,MATCH(ROWS($U$2:U297),$U$2:$U$1001,0),0), INDEX($AB$1004:$AQ$1004,1,MATCH(COLUMNS($AB$1006:AM1006),$AB$1006:$AQ$1006,0)))),"Fix")))</f>
        <v>0</v>
      </c>
      <c r="N297" s="4">
        <f>IF(OR(INDEX($V$2:$V$1001,MATCH(ROWS($U$2:U297),$U$2:$U$1001,0),1)&gt;=100000,INDEX($AB$1005:$AQ$1005,1,MATCH(COLUMNS($AB$1006:AN1006),$AB$1006:$AQ$1006,0))&gt;=100000), " ",IF(INDEX($AB$2:$AQ$1001,MATCH(ROWS($U$2:U297),$U$2:$U$1001,0),MATCH(COLUMNS($AB$1006:AN1006),$AB$1006:$AQ$1006,0)), HYPERLINK("#",""), HYPERLINK(CONCATENATE("#metadata!", ADDRESS(INDEX($W$2:$W$1001,MATCH(ROWS($U$2:U297),$U$2:$U$1001,0),0), INDEX($AB$1004:$AQ$1004,1,MATCH(COLUMNS($AB$1006:AN1006),$AB$1006:$AQ$1006,0)))),"Fix")))</f>
        <v>0</v>
      </c>
      <c r="O297" s="4">
        <f>IF(OR(INDEX($V$2:$V$1001,MATCH(ROWS($U$2:U297),$U$2:$U$1001,0),1)&gt;=100000,INDEX($AB$1005:$AQ$1005,1,MATCH(COLUMNS($AB$1006:AO1006),$AB$1006:$AQ$1006,0))&gt;=100000), " ",IF(INDEX($AB$2:$AQ$1001,MATCH(ROWS($U$2:U297),$U$2:$U$1001,0),MATCH(COLUMNS($AB$1006:AO1006),$AB$1006:$AQ$1006,0)), HYPERLINK("#",""), HYPERLINK(CONCATENATE("#metadata!", ADDRESS(INDEX($W$2:$W$1001,MATCH(ROWS($U$2:U297),$U$2:$U$1001,0),0), INDEX($AB$1004:$AQ$1004,1,MATCH(COLUMNS($AB$1006:AO1006),$AB$1006:$AQ$1006,0)))),"Fix")))</f>
        <v>0</v>
      </c>
      <c r="P297" s="4">
        <f>IF(OR(INDEX($V$2:$V$1001,MATCH(ROWS($U$2:U297),$U$2:$U$1001,0),1)&gt;=100000,INDEX($AB$1005:$AQ$1005,1,MATCH(COLUMNS($AB$1006:AP1006),$AB$1006:$AQ$1006,0))&gt;=100000), " ",IF(INDEX($AB$2:$AQ$1001,MATCH(ROWS($U$2:U297),$U$2:$U$1001,0),MATCH(COLUMNS($AB$1006:AP1006),$AB$1006:$AQ$1006,0)), HYPERLINK("#",""), HYPERLINK(CONCATENATE("#metadata!", ADDRESS(INDEX($W$2:$W$1001,MATCH(ROWS($U$2:U297),$U$2:$U$1001,0),0), INDEX($AB$1004:$AQ$1004,1,MATCH(COLUMNS($AB$1006:AP1006),$AB$1006:$AQ$1006,0)))),"Fix")))</f>
        <v>0</v>
      </c>
      <c r="Q297" s="4">
        <f>IF(OR(INDEX($V$2:$V$1001,MATCH(ROWS($U$2:U297),$U$2:$U$1001,0),1)&gt;=100000,INDEX($AB$1005:$AQ$1005,1,MATCH(COLUMNS($AB$1006:AQ1006),$AB$1006:$AQ$1006,0))&gt;=100000), " ",IF(INDEX($AB$2:$AQ$1001,MATCH(ROWS($U$2:U297),$U$2:$U$1001,0),MATCH(COLUMNS($AB$1006:AQ1006),$AB$1006:$AQ$1006,0)), HYPERLINK("#",""), HYPERLINK(CONCATENATE("#metadata!", ADDRESS(INDEX($W$2:$W$1001,MATCH(ROWS($U$2:U297),$U$2:$U$1001,0),0), INDEX($AB$1004:$AQ$1004,1,MATCH(COLUMNS($AB$1006:AQ1006),$AB$1006:$AQ$1006,0)))),"Fix")))</f>
        <v>0</v>
      </c>
      <c r="U297">
        <v>0</v>
      </c>
      <c r="V297">
        <v>0</v>
      </c>
      <c r="W297">
        <v>0</v>
      </c>
      <c r="X297">
        <f>IF(Y297,TRUE,AND(AB297:AQ297))</f>
        <v>0</v>
      </c>
      <c r="Y297">
        <f>COUNTBLANK(metadata!B297:Q297)=COLUMNS(metadata!B297:Q297)</f>
        <v>0</v>
      </c>
      <c r="Z297">
        <v>0</v>
      </c>
      <c r="AB297">
        <f>AND(IF(metadata!B297="",FALSE,TRUE),COUNTIF(metadata!B:B, metadata!B297) = 1,NOT(ISERROR(SUMPRODUCT(SEARCH(MID(metadata!B297,ROW(INDIRECT("1:"&amp;LEN(metadata!B297))), 1),"0123456789abcdefghijklmnopqrstuvwxyzABCDEFGHIJKLMNOPQRSTUVWXYZ.")))))</f>
        <v>0</v>
      </c>
      <c r="AC297">
        <f>OR(AND(IF(metadata!C297="",FALSE,TRUE),OR(exact(metadata!C297,"missing: not collected"),exact(metadata!C297,"missing: not provided"),exact(metadata!C297,"missing: restricted access"))),AND(IF(metadata!C297="",FALSE,TRUE),AND(AND(IFERROR(INT(LEFT(metadata!C297,4))&gt;1900,FALSE),IFERROR(INT(LEFT(metadata!C297,4))&lt;=YEAR(NOW()),FALSE)), OR(MID(metadata!C297,5,1)="", AND(AND(MID(metadata!C297,5,1)="-",IFERROR(INT(MID(metadata!C297,6,1))&gt;=0,FALSE),IFERROR(INT(MID(metadata!C297,6,1))&lt;=1,FALSE),NOT(MID(metadata!C297,7,1)=""),IFERROR(INT(MID(metadata!C297,6,2))&gt;=1,FALSE),IFERROR(INT(MID(metadata!C297,6,2))&lt;=12,FALSE)), OR(MID(metadata!C297,8,1)="", AND(AND(MID(metadata!C297,8,1)="-",IFERROR(INT(MID(metadata!C297,9,1))&gt;=0,FALSE),IFERROR(INT(MID(metadata!C297,9,1))&lt;=3,FALSE),NOT(MID(metadata!C297,10,1)=""),IFERROR(INT(MID(metadata!C297,9,2))&gt;=1,FALSE),IFERROR(INT(MID(metadata!C297,9,2))&lt;=31,FALSE)), OR(MID(metadata!C297,11,1)="", AND(AND(MID(metadata!C297,11,1)=" ",IFERROR(INT(MID(metadata!C297,12,1))&gt;=0,FALSE),IFERROR(INT(MID(metadata!C297,12,1))&lt;=2,FALSE),NOT(MID(metadata!C297,13,1)=""),IFERROR(INT(MID(metadata!C297,12,2))&gt;=0,FALSE),IFERROR(INT(MID(metadata!C297,12,2))&lt;=23,FALSE)), OR(MID(metadata!C297,14,1)="", AND(AND(MID(metadata!C297,14,1)=":",IFERROR(INT(MID(metadata!C297,15,1))&gt;=0,FALSE),IFERROR(INT(MID(metadata!C297,15,1))&lt;=5,FALSE),NOT(MID(metadata!C297,16,1)=""),IFERROR(INT(MID(metadata!C297,15,2))&gt;=0,FALSE),IFERROR(INT(MID(metadata!C297,15,2))&lt;=59,FALSE)), OR(MID(metadata!C297,17,1)="", AND(AND(MID(metadata!C297,17,1)=":",IFERROR(INT(MID(metadata!C297,18,1))&gt;=0,FALSE),IFERROR(INT(MID(metadata!C297,18,1))&lt;=5,FALSE),NOT(MID(metadata!C297,19,1)=""),IFERROR(INT(MID(metadata!C297,18,2))&gt;=0,FALSE),IFERROR(INT(MID(metadata!C297,18,2))&lt;=59,FALSE)), LEN(metadata!C297)&lt;=19)))))))))))))</f>
        <v>0</v>
      </c>
      <c r="AD297">
        <f>IF(metadata!D297="",FALSE,TRUE)</f>
        <v>0</v>
      </c>
      <c r="AE297">
        <f>OR(AND(IF(metadata!E297="",FALSE,TRUE),OR(exact(metadata!E297,"missing: not collected"),exact(metadata!E297,"missing: not provided"))),AND(IF(metadata!E297="",FALSE,TRUE),OR(exact(metadata!E297,"TRUE"),exact(metadata!E297,"FALSE"))))</f>
        <v>0</v>
      </c>
      <c r="AF297">
        <f>IF(metadata!F297="",FALSE,TRUE)</f>
        <v>0</v>
      </c>
      <c r="AG297">
        <f>IF(metadata!G297="",FALSE,TRUE)</f>
        <v>0</v>
      </c>
      <c r="AH297">
        <f>IF(metadata!H297="",FALSE,TRUE)</f>
        <v>0</v>
      </c>
      <c r="AI297">
        <f>OR(AND(IF(metadata!I297="",FALSE,TRUE),OR(exact(metadata!I297,"missing: not collected"),exact(metadata!I297,"missing: not provided"),exact(metadata!I297,"missing: restricted access"))),AND(IF(metadata!I297="",FALSE,TRUE),OR(exact(metadata!I297,"air"),exact(metadata!I297,"built environment"),exact(metadata!I297,"host-associated"),exact(metadata!I297,"human-associated"),exact(metadata!I297,"human-skin"),exact(metadata!I297,"human-oral"),exact(metadata!I297,"human-gut"),exact(metadata!I297,"human-vaginal"),exact(metadata!I297,"microbial mat/biofilm"),exact(metadata!I297,"misc environment"),exact(metadata!I297,"plant-associated"),exact(metadata!I297,"sediment"),exact(metadata!I297,"soil"),exact(metadata!I297,"wastewater/sludge"),exact(metadata!I297,"water"))))</f>
        <v>0</v>
      </c>
      <c r="AJ297">
        <f>IF(metadata!J297="",FALSE,TRUE)</f>
        <v>0</v>
      </c>
      <c r="AK297">
        <f>OR(AND(IF(metadata!K297="",FALSE,TRUE),OR(exact(metadata!K297,"missing: not collected"),exact(metadata!K297,"missing: not provided"),exact(metadata!K297,"missing: restricted access"))),AND(IF(metadata!K297="",FALSE,ISNUMBER(VALUE(metadata!K297))),metadata!K297&gt;=-90.00,metadata!K297&lt;=90.00))</f>
        <v>0</v>
      </c>
      <c r="AL297">
        <f>OR(AND(IF(metadata!L297="",FALSE,TRUE),OR(exact(metadata!L297,"missing: not collected"),exact(metadata!L297,"missing: not provided"),exact(metadata!L297,"missing: restricted access"))),AND(IF(metadata!L297="",FALSE,ISNUMBER(VALUE(metadata!L297))),metadata!L297&gt;=-180.00,metadata!L297&lt;=180.00))</f>
        <v>0</v>
      </c>
      <c r="AM297">
        <f>IF(metadata!M297="",FALSE,TRUE)</f>
        <v>0</v>
      </c>
      <c r="AN297">
        <f>OR(AND(IF(metadata!N297="",FALSE,TRUE),OR(exact(metadata!N297,"missing: not collected"),exact(metadata!N297,"missing: not provided"),exact(metadata!N297,"missing: restricted access"))),AND(IF(metadata!N297="",FALSE,TRUE),OR(exact(metadata!N297,"TRUE"),exact(metadata!N297,"FALSE"))))</f>
        <v>0</v>
      </c>
      <c r="AO297">
        <f>IF(metadata!O297="",FALSE,TRUE)</f>
        <v>0</v>
      </c>
      <c r="AP297">
        <f>OR(AND(IF(metadata!P297="",FALSE,TRUE),OR(exact(metadata!P297,"missing: not collected"),exact(metadata!P297,"missing: not provided"))),AND(IF(metadata!P297="",FALSE,IF(ISERROR(INT(metadata!P297)),FALSE,INT(metadata!P297)=metadata!P297)),metadata!P297&gt;0))</f>
        <v>0</v>
      </c>
      <c r="AQ297">
        <f>IF(metadata!Q297="",FALSE,TRUE)</f>
        <v>0</v>
      </c>
    </row>
    <row r="298" spans="1:43">
      <c r="A298" s="5">
        <f>IF(B298=" "," ",HYPERLINK(CONCATENATE("#metadata!",ADDRESS(INDEX($W$2:$W$1001,MATCH(ROWS($U$2:U298),$U$2:$U$1001,0),0),1)),INDEX($Z$2:$Z$1001,MATCH(ROWS($U$2:U298),$U$2:$U$1001,0),0)))</f>
        <v>0</v>
      </c>
      <c r="B298" s="4">
        <f>IF(OR(INDEX($V$2:$V$1001,MATCH(ROWS($U$2:U298),$U$2:$U$1001,0),1)&gt;=100000,INDEX($AB$1005:$AQ$1005,1,MATCH(COLUMNS($AB$1006:AB1006),$AB$1006:$AQ$1006,0))&gt;=100000), " ",IF(INDEX($AB$2:$AQ$1001,MATCH(ROWS($U$2:U298),$U$2:$U$1001,0),MATCH(COLUMNS($AB$1006:AB1006),$AB$1006:$AQ$1006,0)), HYPERLINK("#",""), HYPERLINK(CONCATENATE("#metadata!", ADDRESS(INDEX($W$2:$W$1001,MATCH(ROWS($U$2:U298),$U$2:$U$1001,0),0), INDEX($AB$1004:$AQ$1004,1,MATCH(COLUMNS($AB$1006:AB1006),$AB$1006:$AQ$1006,0)))),"Fix")))</f>
        <v>0</v>
      </c>
      <c r="C298" s="4">
        <f>IF(OR(INDEX($V$2:$V$1001,MATCH(ROWS($U$2:U298),$U$2:$U$1001,0),1)&gt;=100000,INDEX($AB$1005:$AQ$1005,1,MATCH(COLUMNS($AB$1006:AC1006),$AB$1006:$AQ$1006,0))&gt;=100000), " ",IF(INDEX($AB$2:$AQ$1001,MATCH(ROWS($U$2:U298),$U$2:$U$1001,0),MATCH(COLUMNS($AB$1006:AC1006),$AB$1006:$AQ$1006,0)), HYPERLINK("#",""), HYPERLINK(CONCATENATE("#metadata!", ADDRESS(INDEX($W$2:$W$1001,MATCH(ROWS($U$2:U298),$U$2:$U$1001,0),0), INDEX($AB$1004:$AQ$1004,1,MATCH(COLUMNS($AB$1006:AC1006),$AB$1006:$AQ$1006,0)))),"Fix")))</f>
        <v>0</v>
      </c>
      <c r="D298" s="4">
        <f>IF(OR(INDEX($V$2:$V$1001,MATCH(ROWS($U$2:U298),$U$2:$U$1001,0),1)&gt;=100000,INDEX($AB$1005:$AQ$1005,1,MATCH(COLUMNS($AB$1006:AD1006),$AB$1006:$AQ$1006,0))&gt;=100000), " ",IF(INDEX($AB$2:$AQ$1001,MATCH(ROWS($U$2:U298),$U$2:$U$1001,0),MATCH(COLUMNS($AB$1006:AD1006),$AB$1006:$AQ$1006,0)), HYPERLINK("#",""), HYPERLINK(CONCATENATE("#metadata!", ADDRESS(INDEX($W$2:$W$1001,MATCH(ROWS($U$2:U298),$U$2:$U$1001,0),0), INDEX($AB$1004:$AQ$1004,1,MATCH(COLUMNS($AB$1006:AD1006),$AB$1006:$AQ$1006,0)))),"Fix")))</f>
        <v>0</v>
      </c>
      <c r="E298" s="4">
        <f>IF(OR(INDEX($V$2:$V$1001,MATCH(ROWS($U$2:U298),$U$2:$U$1001,0),1)&gt;=100000,INDEX($AB$1005:$AQ$1005,1,MATCH(COLUMNS($AB$1006:AE1006),$AB$1006:$AQ$1006,0))&gt;=100000), " ",IF(INDEX($AB$2:$AQ$1001,MATCH(ROWS($U$2:U298),$U$2:$U$1001,0),MATCH(COLUMNS($AB$1006:AE1006),$AB$1006:$AQ$1006,0)), HYPERLINK("#",""), HYPERLINK(CONCATENATE("#metadata!", ADDRESS(INDEX($W$2:$W$1001,MATCH(ROWS($U$2:U298),$U$2:$U$1001,0),0), INDEX($AB$1004:$AQ$1004,1,MATCH(COLUMNS($AB$1006:AE1006),$AB$1006:$AQ$1006,0)))),"Fix")))</f>
        <v>0</v>
      </c>
      <c r="F298" s="4">
        <f>IF(OR(INDEX($V$2:$V$1001,MATCH(ROWS($U$2:U298),$U$2:$U$1001,0),1)&gt;=100000,INDEX($AB$1005:$AQ$1005,1,MATCH(COLUMNS($AB$1006:AF1006),$AB$1006:$AQ$1006,0))&gt;=100000), " ",IF(INDEX($AB$2:$AQ$1001,MATCH(ROWS($U$2:U298),$U$2:$U$1001,0),MATCH(COLUMNS($AB$1006:AF1006),$AB$1006:$AQ$1006,0)), HYPERLINK("#",""), HYPERLINK(CONCATENATE("#metadata!", ADDRESS(INDEX($W$2:$W$1001,MATCH(ROWS($U$2:U298),$U$2:$U$1001,0),0), INDEX($AB$1004:$AQ$1004,1,MATCH(COLUMNS($AB$1006:AF1006),$AB$1006:$AQ$1006,0)))),"Fix")))</f>
        <v>0</v>
      </c>
      <c r="G298" s="4">
        <f>IF(OR(INDEX($V$2:$V$1001,MATCH(ROWS($U$2:U298),$U$2:$U$1001,0),1)&gt;=100000,INDEX($AB$1005:$AQ$1005,1,MATCH(COLUMNS($AB$1006:AG1006),$AB$1006:$AQ$1006,0))&gt;=100000), " ",IF(INDEX($AB$2:$AQ$1001,MATCH(ROWS($U$2:U298),$U$2:$U$1001,0),MATCH(COLUMNS($AB$1006:AG1006),$AB$1006:$AQ$1006,0)), HYPERLINK("#",""), HYPERLINK(CONCATENATE("#metadata!", ADDRESS(INDEX($W$2:$W$1001,MATCH(ROWS($U$2:U298),$U$2:$U$1001,0),0), INDEX($AB$1004:$AQ$1004,1,MATCH(COLUMNS($AB$1006:AG1006),$AB$1006:$AQ$1006,0)))),"Fix")))</f>
        <v>0</v>
      </c>
      <c r="H298" s="4">
        <f>IF(OR(INDEX($V$2:$V$1001,MATCH(ROWS($U$2:U298),$U$2:$U$1001,0),1)&gt;=100000,INDEX($AB$1005:$AQ$1005,1,MATCH(COLUMNS($AB$1006:AH1006),$AB$1006:$AQ$1006,0))&gt;=100000), " ",IF(INDEX($AB$2:$AQ$1001,MATCH(ROWS($U$2:U298),$U$2:$U$1001,0),MATCH(COLUMNS($AB$1006:AH1006),$AB$1006:$AQ$1006,0)), HYPERLINK("#",""), HYPERLINK(CONCATENATE("#metadata!", ADDRESS(INDEX($W$2:$W$1001,MATCH(ROWS($U$2:U298),$U$2:$U$1001,0),0), INDEX($AB$1004:$AQ$1004,1,MATCH(COLUMNS($AB$1006:AH1006),$AB$1006:$AQ$1006,0)))),"Fix")))</f>
        <v>0</v>
      </c>
      <c r="I298" s="4">
        <f>IF(OR(INDEX($V$2:$V$1001,MATCH(ROWS($U$2:U298),$U$2:$U$1001,0),1)&gt;=100000,INDEX($AB$1005:$AQ$1005,1,MATCH(COLUMNS($AB$1006:AI1006),$AB$1006:$AQ$1006,0))&gt;=100000), " ",IF(INDEX($AB$2:$AQ$1001,MATCH(ROWS($U$2:U298),$U$2:$U$1001,0),MATCH(COLUMNS($AB$1006:AI1006),$AB$1006:$AQ$1006,0)), HYPERLINK("#",""), HYPERLINK(CONCATENATE("#metadata!", ADDRESS(INDEX($W$2:$W$1001,MATCH(ROWS($U$2:U298),$U$2:$U$1001,0),0), INDEX($AB$1004:$AQ$1004,1,MATCH(COLUMNS($AB$1006:AI1006),$AB$1006:$AQ$1006,0)))),"Fix")))</f>
        <v>0</v>
      </c>
      <c r="J298" s="4">
        <f>IF(OR(INDEX($V$2:$V$1001,MATCH(ROWS($U$2:U298),$U$2:$U$1001,0),1)&gt;=100000,INDEX($AB$1005:$AQ$1005,1,MATCH(COLUMNS($AB$1006:AJ1006),$AB$1006:$AQ$1006,0))&gt;=100000), " ",IF(INDEX($AB$2:$AQ$1001,MATCH(ROWS($U$2:U298),$U$2:$U$1001,0),MATCH(COLUMNS($AB$1006:AJ1006),$AB$1006:$AQ$1006,0)), HYPERLINK("#",""), HYPERLINK(CONCATENATE("#metadata!", ADDRESS(INDEX($W$2:$W$1001,MATCH(ROWS($U$2:U298),$U$2:$U$1001,0),0), INDEX($AB$1004:$AQ$1004,1,MATCH(COLUMNS($AB$1006:AJ1006),$AB$1006:$AQ$1006,0)))),"Fix")))</f>
        <v>0</v>
      </c>
      <c r="K298" s="4">
        <f>IF(OR(INDEX($V$2:$V$1001,MATCH(ROWS($U$2:U298),$U$2:$U$1001,0),1)&gt;=100000,INDEX($AB$1005:$AQ$1005,1,MATCH(COLUMNS($AB$1006:AK1006),$AB$1006:$AQ$1006,0))&gt;=100000), " ",IF(INDEX($AB$2:$AQ$1001,MATCH(ROWS($U$2:U298),$U$2:$U$1001,0),MATCH(COLUMNS($AB$1006:AK1006),$AB$1006:$AQ$1006,0)), HYPERLINK("#",""), HYPERLINK(CONCATENATE("#metadata!", ADDRESS(INDEX($W$2:$W$1001,MATCH(ROWS($U$2:U298),$U$2:$U$1001,0),0), INDEX($AB$1004:$AQ$1004,1,MATCH(COLUMNS($AB$1006:AK1006),$AB$1006:$AQ$1006,0)))),"Fix")))</f>
        <v>0</v>
      </c>
      <c r="L298" s="4">
        <f>IF(OR(INDEX($V$2:$V$1001,MATCH(ROWS($U$2:U298),$U$2:$U$1001,0),1)&gt;=100000,INDEX($AB$1005:$AQ$1005,1,MATCH(COLUMNS($AB$1006:AL1006),$AB$1006:$AQ$1006,0))&gt;=100000), " ",IF(INDEX($AB$2:$AQ$1001,MATCH(ROWS($U$2:U298),$U$2:$U$1001,0),MATCH(COLUMNS($AB$1006:AL1006),$AB$1006:$AQ$1006,0)), HYPERLINK("#",""), HYPERLINK(CONCATENATE("#metadata!", ADDRESS(INDEX($W$2:$W$1001,MATCH(ROWS($U$2:U298),$U$2:$U$1001,0),0), INDEX($AB$1004:$AQ$1004,1,MATCH(COLUMNS($AB$1006:AL1006),$AB$1006:$AQ$1006,0)))),"Fix")))</f>
        <v>0</v>
      </c>
      <c r="M298" s="4">
        <f>IF(OR(INDEX($V$2:$V$1001,MATCH(ROWS($U$2:U298),$U$2:$U$1001,0),1)&gt;=100000,INDEX($AB$1005:$AQ$1005,1,MATCH(COLUMNS($AB$1006:AM1006),$AB$1006:$AQ$1006,0))&gt;=100000), " ",IF(INDEX($AB$2:$AQ$1001,MATCH(ROWS($U$2:U298),$U$2:$U$1001,0),MATCH(COLUMNS($AB$1006:AM1006),$AB$1006:$AQ$1006,0)), HYPERLINK("#",""), HYPERLINK(CONCATENATE("#metadata!", ADDRESS(INDEX($W$2:$W$1001,MATCH(ROWS($U$2:U298),$U$2:$U$1001,0),0), INDEX($AB$1004:$AQ$1004,1,MATCH(COLUMNS($AB$1006:AM1006),$AB$1006:$AQ$1006,0)))),"Fix")))</f>
        <v>0</v>
      </c>
      <c r="N298" s="4">
        <f>IF(OR(INDEX($V$2:$V$1001,MATCH(ROWS($U$2:U298),$U$2:$U$1001,0),1)&gt;=100000,INDEX($AB$1005:$AQ$1005,1,MATCH(COLUMNS($AB$1006:AN1006),$AB$1006:$AQ$1006,0))&gt;=100000), " ",IF(INDEX($AB$2:$AQ$1001,MATCH(ROWS($U$2:U298),$U$2:$U$1001,0),MATCH(COLUMNS($AB$1006:AN1006),$AB$1006:$AQ$1006,0)), HYPERLINK("#",""), HYPERLINK(CONCATENATE("#metadata!", ADDRESS(INDEX($W$2:$W$1001,MATCH(ROWS($U$2:U298),$U$2:$U$1001,0),0), INDEX($AB$1004:$AQ$1004,1,MATCH(COLUMNS($AB$1006:AN1006),$AB$1006:$AQ$1006,0)))),"Fix")))</f>
        <v>0</v>
      </c>
      <c r="O298" s="4">
        <f>IF(OR(INDEX($V$2:$V$1001,MATCH(ROWS($U$2:U298),$U$2:$U$1001,0),1)&gt;=100000,INDEX($AB$1005:$AQ$1005,1,MATCH(COLUMNS($AB$1006:AO1006),$AB$1006:$AQ$1006,0))&gt;=100000), " ",IF(INDEX($AB$2:$AQ$1001,MATCH(ROWS($U$2:U298),$U$2:$U$1001,0),MATCH(COLUMNS($AB$1006:AO1006),$AB$1006:$AQ$1006,0)), HYPERLINK("#",""), HYPERLINK(CONCATENATE("#metadata!", ADDRESS(INDEX($W$2:$W$1001,MATCH(ROWS($U$2:U298),$U$2:$U$1001,0),0), INDEX($AB$1004:$AQ$1004,1,MATCH(COLUMNS($AB$1006:AO1006),$AB$1006:$AQ$1006,0)))),"Fix")))</f>
        <v>0</v>
      </c>
      <c r="P298" s="4">
        <f>IF(OR(INDEX($V$2:$V$1001,MATCH(ROWS($U$2:U298),$U$2:$U$1001,0),1)&gt;=100000,INDEX($AB$1005:$AQ$1005,1,MATCH(COLUMNS($AB$1006:AP1006),$AB$1006:$AQ$1006,0))&gt;=100000), " ",IF(INDEX($AB$2:$AQ$1001,MATCH(ROWS($U$2:U298),$U$2:$U$1001,0),MATCH(COLUMNS($AB$1006:AP1006),$AB$1006:$AQ$1006,0)), HYPERLINK("#",""), HYPERLINK(CONCATENATE("#metadata!", ADDRESS(INDEX($W$2:$W$1001,MATCH(ROWS($U$2:U298),$U$2:$U$1001,0),0), INDEX($AB$1004:$AQ$1004,1,MATCH(COLUMNS($AB$1006:AP1006),$AB$1006:$AQ$1006,0)))),"Fix")))</f>
        <v>0</v>
      </c>
      <c r="Q298" s="4">
        <f>IF(OR(INDEX($V$2:$V$1001,MATCH(ROWS($U$2:U298),$U$2:$U$1001,0),1)&gt;=100000,INDEX($AB$1005:$AQ$1005,1,MATCH(COLUMNS($AB$1006:AQ1006),$AB$1006:$AQ$1006,0))&gt;=100000), " ",IF(INDEX($AB$2:$AQ$1001,MATCH(ROWS($U$2:U298),$U$2:$U$1001,0),MATCH(COLUMNS($AB$1006:AQ1006),$AB$1006:$AQ$1006,0)), HYPERLINK("#",""), HYPERLINK(CONCATENATE("#metadata!", ADDRESS(INDEX($W$2:$W$1001,MATCH(ROWS($U$2:U298),$U$2:$U$1001,0),0), INDEX($AB$1004:$AQ$1004,1,MATCH(COLUMNS($AB$1006:AQ1006),$AB$1006:$AQ$1006,0)))),"Fix")))</f>
        <v>0</v>
      </c>
      <c r="U298">
        <v>0</v>
      </c>
      <c r="V298">
        <v>0</v>
      </c>
      <c r="W298">
        <v>0</v>
      </c>
      <c r="X298">
        <f>IF(Y298,TRUE,AND(AB298:AQ298))</f>
        <v>0</v>
      </c>
      <c r="Y298">
        <f>COUNTBLANK(metadata!B298:Q298)=COLUMNS(metadata!B298:Q298)</f>
        <v>0</v>
      </c>
      <c r="Z298">
        <v>0</v>
      </c>
      <c r="AB298">
        <f>AND(IF(metadata!B298="",FALSE,TRUE),COUNTIF(metadata!B:B, metadata!B298) = 1,NOT(ISERROR(SUMPRODUCT(SEARCH(MID(metadata!B298,ROW(INDIRECT("1:"&amp;LEN(metadata!B298))), 1),"0123456789abcdefghijklmnopqrstuvwxyzABCDEFGHIJKLMNOPQRSTUVWXYZ.")))))</f>
        <v>0</v>
      </c>
      <c r="AC298">
        <f>OR(AND(IF(metadata!C298="",FALSE,TRUE),OR(exact(metadata!C298,"missing: not collected"),exact(metadata!C298,"missing: not provided"),exact(metadata!C298,"missing: restricted access"))),AND(IF(metadata!C298="",FALSE,TRUE),AND(AND(IFERROR(INT(LEFT(metadata!C298,4))&gt;1900,FALSE),IFERROR(INT(LEFT(metadata!C298,4))&lt;=YEAR(NOW()),FALSE)), OR(MID(metadata!C298,5,1)="", AND(AND(MID(metadata!C298,5,1)="-",IFERROR(INT(MID(metadata!C298,6,1))&gt;=0,FALSE),IFERROR(INT(MID(metadata!C298,6,1))&lt;=1,FALSE),NOT(MID(metadata!C298,7,1)=""),IFERROR(INT(MID(metadata!C298,6,2))&gt;=1,FALSE),IFERROR(INT(MID(metadata!C298,6,2))&lt;=12,FALSE)), OR(MID(metadata!C298,8,1)="", AND(AND(MID(metadata!C298,8,1)="-",IFERROR(INT(MID(metadata!C298,9,1))&gt;=0,FALSE),IFERROR(INT(MID(metadata!C298,9,1))&lt;=3,FALSE),NOT(MID(metadata!C298,10,1)=""),IFERROR(INT(MID(metadata!C298,9,2))&gt;=1,FALSE),IFERROR(INT(MID(metadata!C298,9,2))&lt;=31,FALSE)), OR(MID(metadata!C298,11,1)="", AND(AND(MID(metadata!C298,11,1)=" ",IFERROR(INT(MID(metadata!C298,12,1))&gt;=0,FALSE),IFERROR(INT(MID(metadata!C298,12,1))&lt;=2,FALSE),NOT(MID(metadata!C298,13,1)=""),IFERROR(INT(MID(metadata!C298,12,2))&gt;=0,FALSE),IFERROR(INT(MID(metadata!C298,12,2))&lt;=23,FALSE)), OR(MID(metadata!C298,14,1)="", AND(AND(MID(metadata!C298,14,1)=":",IFERROR(INT(MID(metadata!C298,15,1))&gt;=0,FALSE),IFERROR(INT(MID(metadata!C298,15,1))&lt;=5,FALSE),NOT(MID(metadata!C298,16,1)=""),IFERROR(INT(MID(metadata!C298,15,2))&gt;=0,FALSE),IFERROR(INT(MID(metadata!C298,15,2))&lt;=59,FALSE)), OR(MID(metadata!C298,17,1)="", AND(AND(MID(metadata!C298,17,1)=":",IFERROR(INT(MID(metadata!C298,18,1))&gt;=0,FALSE),IFERROR(INT(MID(metadata!C298,18,1))&lt;=5,FALSE),NOT(MID(metadata!C298,19,1)=""),IFERROR(INT(MID(metadata!C298,18,2))&gt;=0,FALSE),IFERROR(INT(MID(metadata!C298,18,2))&lt;=59,FALSE)), LEN(metadata!C298)&lt;=19)))))))))))))</f>
        <v>0</v>
      </c>
      <c r="AD298">
        <f>IF(metadata!D298="",FALSE,TRUE)</f>
        <v>0</v>
      </c>
      <c r="AE298">
        <f>OR(AND(IF(metadata!E298="",FALSE,TRUE),OR(exact(metadata!E298,"missing: not collected"),exact(metadata!E298,"missing: not provided"))),AND(IF(metadata!E298="",FALSE,TRUE),OR(exact(metadata!E298,"TRUE"),exact(metadata!E298,"FALSE"))))</f>
        <v>0</v>
      </c>
      <c r="AF298">
        <f>IF(metadata!F298="",FALSE,TRUE)</f>
        <v>0</v>
      </c>
      <c r="AG298">
        <f>IF(metadata!G298="",FALSE,TRUE)</f>
        <v>0</v>
      </c>
      <c r="AH298">
        <f>IF(metadata!H298="",FALSE,TRUE)</f>
        <v>0</v>
      </c>
      <c r="AI298">
        <f>OR(AND(IF(metadata!I298="",FALSE,TRUE),OR(exact(metadata!I298,"missing: not collected"),exact(metadata!I298,"missing: not provided"),exact(metadata!I298,"missing: restricted access"))),AND(IF(metadata!I298="",FALSE,TRUE),OR(exact(metadata!I298,"air"),exact(metadata!I298,"built environment"),exact(metadata!I298,"host-associated"),exact(metadata!I298,"human-associated"),exact(metadata!I298,"human-skin"),exact(metadata!I298,"human-oral"),exact(metadata!I298,"human-gut"),exact(metadata!I298,"human-vaginal"),exact(metadata!I298,"microbial mat/biofilm"),exact(metadata!I298,"misc environment"),exact(metadata!I298,"plant-associated"),exact(metadata!I298,"sediment"),exact(metadata!I298,"soil"),exact(metadata!I298,"wastewater/sludge"),exact(metadata!I298,"water"))))</f>
        <v>0</v>
      </c>
      <c r="AJ298">
        <f>IF(metadata!J298="",FALSE,TRUE)</f>
        <v>0</v>
      </c>
      <c r="AK298">
        <f>OR(AND(IF(metadata!K298="",FALSE,TRUE),OR(exact(metadata!K298,"missing: not collected"),exact(metadata!K298,"missing: not provided"),exact(metadata!K298,"missing: restricted access"))),AND(IF(metadata!K298="",FALSE,ISNUMBER(VALUE(metadata!K298))),metadata!K298&gt;=-90.00,metadata!K298&lt;=90.00))</f>
        <v>0</v>
      </c>
      <c r="AL298">
        <f>OR(AND(IF(metadata!L298="",FALSE,TRUE),OR(exact(metadata!L298,"missing: not collected"),exact(metadata!L298,"missing: not provided"),exact(metadata!L298,"missing: restricted access"))),AND(IF(metadata!L298="",FALSE,ISNUMBER(VALUE(metadata!L298))),metadata!L298&gt;=-180.00,metadata!L298&lt;=180.00))</f>
        <v>0</v>
      </c>
      <c r="AM298">
        <f>IF(metadata!M298="",FALSE,TRUE)</f>
        <v>0</v>
      </c>
      <c r="AN298">
        <f>OR(AND(IF(metadata!N298="",FALSE,TRUE),OR(exact(metadata!N298,"missing: not collected"),exact(metadata!N298,"missing: not provided"),exact(metadata!N298,"missing: restricted access"))),AND(IF(metadata!N298="",FALSE,TRUE),OR(exact(metadata!N298,"TRUE"),exact(metadata!N298,"FALSE"))))</f>
        <v>0</v>
      </c>
      <c r="AO298">
        <f>IF(metadata!O298="",FALSE,TRUE)</f>
        <v>0</v>
      </c>
      <c r="AP298">
        <f>OR(AND(IF(metadata!P298="",FALSE,TRUE),OR(exact(metadata!P298,"missing: not collected"),exact(metadata!P298,"missing: not provided"))),AND(IF(metadata!P298="",FALSE,IF(ISERROR(INT(metadata!P298)),FALSE,INT(metadata!P298)=metadata!P298)),metadata!P298&gt;0))</f>
        <v>0</v>
      </c>
      <c r="AQ298">
        <f>IF(metadata!Q298="",FALSE,TRUE)</f>
        <v>0</v>
      </c>
    </row>
    <row r="299" spans="1:43">
      <c r="A299" s="5">
        <f>IF(B299=" "," ",HYPERLINK(CONCATENATE("#metadata!",ADDRESS(INDEX($W$2:$W$1001,MATCH(ROWS($U$2:U299),$U$2:$U$1001,0),0),1)),INDEX($Z$2:$Z$1001,MATCH(ROWS($U$2:U299),$U$2:$U$1001,0),0)))</f>
        <v>0</v>
      </c>
      <c r="B299" s="4">
        <f>IF(OR(INDEX($V$2:$V$1001,MATCH(ROWS($U$2:U299),$U$2:$U$1001,0),1)&gt;=100000,INDEX($AB$1005:$AQ$1005,1,MATCH(COLUMNS($AB$1006:AB1006),$AB$1006:$AQ$1006,0))&gt;=100000), " ",IF(INDEX($AB$2:$AQ$1001,MATCH(ROWS($U$2:U299),$U$2:$U$1001,0),MATCH(COLUMNS($AB$1006:AB1006),$AB$1006:$AQ$1006,0)), HYPERLINK("#",""), HYPERLINK(CONCATENATE("#metadata!", ADDRESS(INDEX($W$2:$W$1001,MATCH(ROWS($U$2:U299),$U$2:$U$1001,0),0), INDEX($AB$1004:$AQ$1004,1,MATCH(COLUMNS($AB$1006:AB1006),$AB$1006:$AQ$1006,0)))),"Fix")))</f>
        <v>0</v>
      </c>
      <c r="C299" s="4">
        <f>IF(OR(INDEX($V$2:$V$1001,MATCH(ROWS($U$2:U299),$U$2:$U$1001,0),1)&gt;=100000,INDEX($AB$1005:$AQ$1005,1,MATCH(COLUMNS($AB$1006:AC1006),$AB$1006:$AQ$1006,0))&gt;=100000), " ",IF(INDEX($AB$2:$AQ$1001,MATCH(ROWS($U$2:U299),$U$2:$U$1001,0),MATCH(COLUMNS($AB$1006:AC1006),$AB$1006:$AQ$1006,0)), HYPERLINK("#",""), HYPERLINK(CONCATENATE("#metadata!", ADDRESS(INDEX($W$2:$W$1001,MATCH(ROWS($U$2:U299),$U$2:$U$1001,0),0), INDEX($AB$1004:$AQ$1004,1,MATCH(COLUMNS($AB$1006:AC1006),$AB$1006:$AQ$1006,0)))),"Fix")))</f>
        <v>0</v>
      </c>
      <c r="D299" s="4">
        <f>IF(OR(INDEX($V$2:$V$1001,MATCH(ROWS($U$2:U299),$U$2:$U$1001,0),1)&gt;=100000,INDEX($AB$1005:$AQ$1005,1,MATCH(COLUMNS($AB$1006:AD1006),$AB$1006:$AQ$1006,0))&gt;=100000), " ",IF(INDEX($AB$2:$AQ$1001,MATCH(ROWS($U$2:U299),$U$2:$U$1001,0),MATCH(COLUMNS($AB$1006:AD1006),$AB$1006:$AQ$1006,0)), HYPERLINK("#",""), HYPERLINK(CONCATENATE("#metadata!", ADDRESS(INDEX($W$2:$W$1001,MATCH(ROWS($U$2:U299),$U$2:$U$1001,0),0), INDEX($AB$1004:$AQ$1004,1,MATCH(COLUMNS($AB$1006:AD1006),$AB$1006:$AQ$1006,0)))),"Fix")))</f>
        <v>0</v>
      </c>
      <c r="E299" s="4">
        <f>IF(OR(INDEX($V$2:$V$1001,MATCH(ROWS($U$2:U299),$U$2:$U$1001,0),1)&gt;=100000,INDEX($AB$1005:$AQ$1005,1,MATCH(COLUMNS($AB$1006:AE1006),$AB$1006:$AQ$1006,0))&gt;=100000), " ",IF(INDEX($AB$2:$AQ$1001,MATCH(ROWS($U$2:U299),$U$2:$U$1001,0),MATCH(COLUMNS($AB$1006:AE1006),$AB$1006:$AQ$1006,0)), HYPERLINK("#",""), HYPERLINK(CONCATENATE("#metadata!", ADDRESS(INDEX($W$2:$W$1001,MATCH(ROWS($U$2:U299),$U$2:$U$1001,0),0), INDEX($AB$1004:$AQ$1004,1,MATCH(COLUMNS($AB$1006:AE1006),$AB$1006:$AQ$1006,0)))),"Fix")))</f>
        <v>0</v>
      </c>
      <c r="F299" s="4">
        <f>IF(OR(INDEX($V$2:$V$1001,MATCH(ROWS($U$2:U299),$U$2:$U$1001,0),1)&gt;=100000,INDEX($AB$1005:$AQ$1005,1,MATCH(COLUMNS($AB$1006:AF1006),$AB$1006:$AQ$1006,0))&gt;=100000), " ",IF(INDEX($AB$2:$AQ$1001,MATCH(ROWS($U$2:U299),$U$2:$U$1001,0),MATCH(COLUMNS($AB$1006:AF1006),$AB$1006:$AQ$1006,0)), HYPERLINK("#",""), HYPERLINK(CONCATENATE("#metadata!", ADDRESS(INDEX($W$2:$W$1001,MATCH(ROWS($U$2:U299),$U$2:$U$1001,0),0), INDEX($AB$1004:$AQ$1004,1,MATCH(COLUMNS($AB$1006:AF1006),$AB$1006:$AQ$1006,0)))),"Fix")))</f>
        <v>0</v>
      </c>
      <c r="G299" s="4">
        <f>IF(OR(INDEX($V$2:$V$1001,MATCH(ROWS($U$2:U299),$U$2:$U$1001,0),1)&gt;=100000,INDEX($AB$1005:$AQ$1005,1,MATCH(COLUMNS($AB$1006:AG1006),$AB$1006:$AQ$1006,0))&gt;=100000), " ",IF(INDEX($AB$2:$AQ$1001,MATCH(ROWS($U$2:U299),$U$2:$U$1001,0),MATCH(COLUMNS($AB$1006:AG1006),$AB$1006:$AQ$1006,0)), HYPERLINK("#",""), HYPERLINK(CONCATENATE("#metadata!", ADDRESS(INDEX($W$2:$W$1001,MATCH(ROWS($U$2:U299),$U$2:$U$1001,0),0), INDEX($AB$1004:$AQ$1004,1,MATCH(COLUMNS($AB$1006:AG1006),$AB$1006:$AQ$1006,0)))),"Fix")))</f>
        <v>0</v>
      </c>
      <c r="H299" s="4">
        <f>IF(OR(INDEX($V$2:$V$1001,MATCH(ROWS($U$2:U299),$U$2:$U$1001,0),1)&gt;=100000,INDEX($AB$1005:$AQ$1005,1,MATCH(COLUMNS($AB$1006:AH1006),$AB$1006:$AQ$1006,0))&gt;=100000), " ",IF(INDEX($AB$2:$AQ$1001,MATCH(ROWS($U$2:U299),$U$2:$U$1001,0),MATCH(COLUMNS($AB$1006:AH1006),$AB$1006:$AQ$1006,0)), HYPERLINK("#",""), HYPERLINK(CONCATENATE("#metadata!", ADDRESS(INDEX($W$2:$W$1001,MATCH(ROWS($U$2:U299),$U$2:$U$1001,0),0), INDEX($AB$1004:$AQ$1004,1,MATCH(COLUMNS($AB$1006:AH1006),$AB$1006:$AQ$1006,0)))),"Fix")))</f>
        <v>0</v>
      </c>
      <c r="I299" s="4">
        <f>IF(OR(INDEX($V$2:$V$1001,MATCH(ROWS($U$2:U299),$U$2:$U$1001,0),1)&gt;=100000,INDEX($AB$1005:$AQ$1005,1,MATCH(COLUMNS($AB$1006:AI1006),$AB$1006:$AQ$1006,0))&gt;=100000), " ",IF(INDEX($AB$2:$AQ$1001,MATCH(ROWS($U$2:U299),$U$2:$U$1001,0),MATCH(COLUMNS($AB$1006:AI1006),$AB$1006:$AQ$1006,0)), HYPERLINK("#",""), HYPERLINK(CONCATENATE("#metadata!", ADDRESS(INDEX($W$2:$W$1001,MATCH(ROWS($U$2:U299),$U$2:$U$1001,0),0), INDEX($AB$1004:$AQ$1004,1,MATCH(COLUMNS($AB$1006:AI1006),$AB$1006:$AQ$1006,0)))),"Fix")))</f>
        <v>0</v>
      </c>
      <c r="J299" s="4">
        <f>IF(OR(INDEX($V$2:$V$1001,MATCH(ROWS($U$2:U299),$U$2:$U$1001,0),1)&gt;=100000,INDEX($AB$1005:$AQ$1005,1,MATCH(COLUMNS($AB$1006:AJ1006),$AB$1006:$AQ$1006,0))&gt;=100000), " ",IF(INDEX($AB$2:$AQ$1001,MATCH(ROWS($U$2:U299),$U$2:$U$1001,0),MATCH(COLUMNS($AB$1006:AJ1006),$AB$1006:$AQ$1006,0)), HYPERLINK("#",""), HYPERLINK(CONCATENATE("#metadata!", ADDRESS(INDEX($W$2:$W$1001,MATCH(ROWS($U$2:U299),$U$2:$U$1001,0),0), INDEX($AB$1004:$AQ$1004,1,MATCH(COLUMNS($AB$1006:AJ1006),$AB$1006:$AQ$1006,0)))),"Fix")))</f>
        <v>0</v>
      </c>
      <c r="K299" s="4">
        <f>IF(OR(INDEX($V$2:$V$1001,MATCH(ROWS($U$2:U299),$U$2:$U$1001,0),1)&gt;=100000,INDEX($AB$1005:$AQ$1005,1,MATCH(COLUMNS($AB$1006:AK1006),$AB$1006:$AQ$1006,0))&gt;=100000), " ",IF(INDEX($AB$2:$AQ$1001,MATCH(ROWS($U$2:U299),$U$2:$U$1001,0),MATCH(COLUMNS($AB$1006:AK1006),$AB$1006:$AQ$1006,0)), HYPERLINK("#",""), HYPERLINK(CONCATENATE("#metadata!", ADDRESS(INDEX($W$2:$W$1001,MATCH(ROWS($U$2:U299),$U$2:$U$1001,0),0), INDEX($AB$1004:$AQ$1004,1,MATCH(COLUMNS($AB$1006:AK1006),$AB$1006:$AQ$1006,0)))),"Fix")))</f>
        <v>0</v>
      </c>
      <c r="L299" s="4">
        <f>IF(OR(INDEX($V$2:$V$1001,MATCH(ROWS($U$2:U299),$U$2:$U$1001,0),1)&gt;=100000,INDEX($AB$1005:$AQ$1005,1,MATCH(COLUMNS($AB$1006:AL1006),$AB$1006:$AQ$1006,0))&gt;=100000), " ",IF(INDEX($AB$2:$AQ$1001,MATCH(ROWS($U$2:U299),$U$2:$U$1001,0),MATCH(COLUMNS($AB$1006:AL1006),$AB$1006:$AQ$1006,0)), HYPERLINK("#",""), HYPERLINK(CONCATENATE("#metadata!", ADDRESS(INDEX($W$2:$W$1001,MATCH(ROWS($U$2:U299),$U$2:$U$1001,0),0), INDEX($AB$1004:$AQ$1004,1,MATCH(COLUMNS($AB$1006:AL1006),$AB$1006:$AQ$1006,0)))),"Fix")))</f>
        <v>0</v>
      </c>
      <c r="M299" s="4">
        <f>IF(OR(INDEX($V$2:$V$1001,MATCH(ROWS($U$2:U299),$U$2:$U$1001,0),1)&gt;=100000,INDEX($AB$1005:$AQ$1005,1,MATCH(COLUMNS($AB$1006:AM1006),$AB$1006:$AQ$1006,0))&gt;=100000), " ",IF(INDEX($AB$2:$AQ$1001,MATCH(ROWS($U$2:U299),$U$2:$U$1001,0),MATCH(COLUMNS($AB$1006:AM1006),$AB$1006:$AQ$1006,0)), HYPERLINK("#",""), HYPERLINK(CONCATENATE("#metadata!", ADDRESS(INDEX($W$2:$W$1001,MATCH(ROWS($U$2:U299),$U$2:$U$1001,0),0), INDEX($AB$1004:$AQ$1004,1,MATCH(COLUMNS($AB$1006:AM1006),$AB$1006:$AQ$1006,0)))),"Fix")))</f>
        <v>0</v>
      </c>
      <c r="N299" s="4">
        <f>IF(OR(INDEX($V$2:$V$1001,MATCH(ROWS($U$2:U299),$U$2:$U$1001,0),1)&gt;=100000,INDEX($AB$1005:$AQ$1005,1,MATCH(COLUMNS($AB$1006:AN1006),$AB$1006:$AQ$1006,0))&gt;=100000), " ",IF(INDEX($AB$2:$AQ$1001,MATCH(ROWS($U$2:U299),$U$2:$U$1001,0),MATCH(COLUMNS($AB$1006:AN1006),$AB$1006:$AQ$1006,0)), HYPERLINK("#",""), HYPERLINK(CONCATENATE("#metadata!", ADDRESS(INDEX($W$2:$W$1001,MATCH(ROWS($U$2:U299),$U$2:$U$1001,0),0), INDEX($AB$1004:$AQ$1004,1,MATCH(COLUMNS($AB$1006:AN1006),$AB$1006:$AQ$1006,0)))),"Fix")))</f>
        <v>0</v>
      </c>
      <c r="O299" s="4">
        <f>IF(OR(INDEX($V$2:$V$1001,MATCH(ROWS($U$2:U299),$U$2:$U$1001,0),1)&gt;=100000,INDEX($AB$1005:$AQ$1005,1,MATCH(COLUMNS($AB$1006:AO1006),$AB$1006:$AQ$1006,0))&gt;=100000), " ",IF(INDEX($AB$2:$AQ$1001,MATCH(ROWS($U$2:U299),$U$2:$U$1001,0),MATCH(COLUMNS($AB$1006:AO1006),$AB$1006:$AQ$1006,0)), HYPERLINK("#",""), HYPERLINK(CONCATENATE("#metadata!", ADDRESS(INDEX($W$2:$W$1001,MATCH(ROWS($U$2:U299),$U$2:$U$1001,0),0), INDEX($AB$1004:$AQ$1004,1,MATCH(COLUMNS($AB$1006:AO1006),$AB$1006:$AQ$1006,0)))),"Fix")))</f>
        <v>0</v>
      </c>
      <c r="P299" s="4">
        <f>IF(OR(INDEX($V$2:$V$1001,MATCH(ROWS($U$2:U299),$U$2:$U$1001,0),1)&gt;=100000,INDEX($AB$1005:$AQ$1005,1,MATCH(COLUMNS($AB$1006:AP1006),$AB$1006:$AQ$1006,0))&gt;=100000), " ",IF(INDEX($AB$2:$AQ$1001,MATCH(ROWS($U$2:U299),$U$2:$U$1001,0),MATCH(COLUMNS($AB$1006:AP1006),$AB$1006:$AQ$1006,0)), HYPERLINK("#",""), HYPERLINK(CONCATENATE("#metadata!", ADDRESS(INDEX($W$2:$W$1001,MATCH(ROWS($U$2:U299),$U$2:$U$1001,0),0), INDEX($AB$1004:$AQ$1004,1,MATCH(COLUMNS($AB$1006:AP1006),$AB$1006:$AQ$1006,0)))),"Fix")))</f>
        <v>0</v>
      </c>
      <c r="Q299" s="4">
        <f>IF(OR(INDEX($V$2:$V$1001,MATCH(ROWS($U$2:U299),$U$2:$U$1001,0),1)&gt;=100000,INDEX($AB$1005:$AQ$1005,1,MATCH(COLUMNS($AB$1006:AQ1006),$AB$1006:$AQ$1006,0))&gt;=100000), " ",IF(INDEX($AB$2:$AQ$1001,MATCH(ROWS($U$2:U299),$U$2:$U$1001,0),MATCH(COLUMNS($AB$1006:AQ1006),$AB$1006:$AQ$1006,0)), HYPERLINK("#",""), HYPERLINK(CONCATENATE("#metadata!", ADDRESS(INDEX($W$2:$W$1001,MATCH(ROWS($U$2:U299),$U$2:$U$1001,0),0), INDEX($AB$1004:$AQ$1004,1,MATCH(COLUMNS($AB$1006:AQ1006),$AB$1006:$AQ$1006,0)))),"Fix")))</f>
        <v>0</v>
      </c>
      <c r="U299">
        <v>0</v>
      </c>
      <c r="V299">
        <v>0</v>
      </c>
      <c r="W299">
        <v>0</v>
      </c>
      <c r="X299">
        <f>IF(Y299,TRUE,AND(AB299:AQ299))</f>
        <v>0</v>
      </c>
      <c r="Y299">
        <f>COUNTBLANK(metadata!B299:Q299)=COLUMNS(metadata!B299:Q299)</f>
        <v>0</v>
      </c>
      <c r="Z299">
        <v>0</v>
      </c>
      <c r="AB299">
        <f>AND(IF(metadata!B299="",FALSE,TRUE),COUNTIF(metadata!B:B, metadata!B299) = 1,NOT(ISERROR(SUMPRODUCT(SEARCH(MID(metadata!B299,ROW(INDIRECT("1:"&amp;LEN(metadata!B299))), 1),"0123456789abcdefghijklmnopqrstuvwxyzABCDEFGHIJKLMNOPQRSTUVWXYZ.")))))</f>
        <v>0</v>
      </c>
      <c r="AC299">
        <f>OR(AND(IF(metadata!C299="",FALSE,TRUE),OR(exact(metadata!C299,"missing: not collected"),exact(metadata!C299,"missing: not provided"),exact(metadata!C299,"missing: restricted access"))),AND(IF(metadata!C299="",FALSE,TRUE),AND(AND(IFERROR(INT(LEFT(metadata!C299,4))&gt;1900,FALSE),IFERROR(INT(LEFT(metadata!C299,4))&lt;=YEAR(NOW()),FALSE)), OR(MID(metadata!C299,5,1)="", AND(AND(MID(metadata!C299,5,1)="-",IFERROR(INT(MID(metadata!C299,6,1))&gt;=0,FALSE),IFERROR(INT(MID(metadata!C299,6,1))&lt;=1,FALSE),NOT(MID(metadata!C299,7,1)=""),IFERROR(INT(MID(metadata!C299,6,2))&gt;=1,FALSE),IFERROR(INT(MID(metadata!C299,6,2))&lt;=12,FALSE)), OR(MID(metadata!C299,8,1)="", AND(AND(MID(metadata!C299,8,1)="-",IFERROR(INT(MID(metadata!C299,9,1))&gt;=0,FALSE),IFERROR(INT(MID(metadata!C299,9,1))&lt;=3,FALSE),NOT(MID(metadata!C299,10,1)=""),IFERROR(INT(MID(metadata!C299,9,2))&gt;=1,FALSE),IFERROR(INT(MID(metadata!C299,9,2))&lt;=31,FALSE)), OR(MID(metadata!C299,11,1)="", AND(AND(MID(metadata!C299,11,1)=" ",IFERROR(INT(MID(metadata!C299,12,1))&gt;=0,FALSE),IFERROR(INT(MID(metadata!C299,12,1))&lt;=2,FALSE),NOT(MID(metadata!C299,13,1)=""),IFERROR(INT(MID(metadata!C299,12,2))&gt;=0,FALSE),IFERROR(INT(MID(metadata!C299,12,2))&lt;=23,FALSE)), OR(MID(metadata!C299,14,1)="", AND(AND(MID(metadata!C299,14,1)=":",IFERROR(INT(MID(metadata!C299,15,1))&gt;=0,FALSE),IFERROR(INT(MID(metadata!C299,15,1))&lt;=5,FALSE),NOT(MID(metadata!C299,16,1)=""),IFERROR(INT(MID(metadata!C299,15,2))&gt;=0,FALSE),IFERROR(INT(MID(metadata!C299,15,2))&lt;=59,FALSE)), OR(MID(metadata!C299,17,1)="", AND(AND(MID(metadata!C299,17,1)=":",IFERROR(INT(MID(metadata!C299,18,1))&gt;=0,FALSE),IFERROR(INT(MID(metadata!C299,18,1))&lt;=5,FALSE),NOT(MID(metadata!C299,19,1)=""),IFERROR(INT(MID(metadata!C299,18,2))&gt;=0,FALSE),IFERROR(INT(MID(metadata!C299,18,2))&lt;=59,FALSE)), LEN(metadata!C299)&lt;=19)))))))))))))</f>
        <v>0</v>
      </c>
      <c r="AD299">
        <f>IF(metadata!D299="",FALSE,TRUE)</f>
        <v>0</v>
      </c>
      <c r="AE299">
        <f>OR(AND(IF(metadata!E299="",FALSE,TRUE),OR(exact(metadata!E299,"missing: not collected"),exact(metadata!E299,"missing: not provided"))),AND(IF(metadata!E299="",FALSE,TRUE),OR(exact(metadata!E299,"TRUE"),exact(metadata!E299,"FALSE"))))</f>
        <v>0</v>
      </c>
      <c r="AF299">
        <f>IF(metadata!F299="",FALSE,TRUE)</f>
        <v>0</v>
      </c>
      <c r="AG299">
        <f>IF(metadata!G299="",FALSE,TRUE)</f>
        <v>0</v>
      </c>
      <c r="AH299">
        <f>IF(metadata!H299="",FALSE,TRUE)</f>
        <v>0</v>
      </c>
      <c r="AI299">
        <f>OR(AND(IF(metadata!I299="",FALSE,TRUE),OR(exact(metadata!I299,"missing: not collected"),exact(metadata!I299,"missing: not provided"),exact(metadata!I299,"missing: restricted access"))),AND(IF(metadata!I299="",FALSE,TRUE),OR(exact(metadata!I299,"air"),exact(metadata!I299,"built environment"),exact(metadata!I299,"host-associated"),exact(metadata!I299,"human-associated"),exact(metadata!I299,"human-skin"),exact(metadata!I299,"human-oral"),exact(metadata!I299,"human-gut"),exact(metadata!I299,"human-vaginal"),exact(metadata!I299,"microbial mat/biofilm"),exact(metadata!I299,"misc environment"),exact(metadata!I299,"plant-associated"),exact(metadata!I299,"sediment"),exact(metadata!I299,"soil"),exact(metadata!I299,"wastewater/sludge"),exact(metadata!I299,"water"))))</f>
        <v>0</v>
      </c>
      <c r="AJ299">
        <f>IF(metadata!J299="",FALSE,TRUE)</f>
        <v>0</v>
      </c>
      <c r="AK299">
        <f>OR(AND(IF(metadata!K299="",FALSE,TRUE),OR(exact(metadata!K299,"missing: not collected"),exact(metadata!K299,"missing: not provided"),exact(metadata!K299,"missing: restricted access"))),AND(IF(metadata!K299="",FALSE,ISNUMBER(VALUE(metadata!K299))),metadata!K299&gt;=-90.00,metadata!K299&lt;=90.00))</f>
        <v>0</v>
      </c>
      <c r="AL299">
        <f>OR(AND(IF(metadata!L299="",FALSE,TRUE),OR(exact(metadata!L299,"missing: not collected"),exact(metadata!L299,"missing: not provided"),exact(metadata!L299,"missing: restricted access"))),AND(IF(metadata!L299="",FALSE,ISNUMBER(VALUE(metadata!L299))),metadata!L299&gt;=-180.00,metadata!L299&lt;=180.00))</f>
        <v>0</v>
      </c>
      <c r="AM299">
        <f>IF(metadata!M299="",FALSE,TRUE)</f>
        <v>0</v>
      </c>
      <c r="AN299">
        <f>OR(AND(IF(metadata!N299="",FALSE,TRUE),OR(exact(metadata!N299,"missing: not collected"),exact(metadata!N299,"missing: not provided"),exact(metadata!N299,"missing: restricted access"))),AND(IF(metadata!N299="",FALSE,TRUE),OR(exact(metadata!N299,"TRUE"),exact(metadata!N299,"FALSE"))))</f>
        <v>0</v>
      </c>
      <c r="AO299">
        <f>IF(metadata!O299="",FALSE,TRUE)</f>
        <v>0</v>
      </c>
      <c r="AP299">
        <f>OR(AND(IF(metadata!P299="",FALSE,TRUE),OR(exact(metadata!P299,"missing: not collected"),exact(metadata!P299,"missing: not provided"))),AND(IF(metadata!P299="",FALSE,IF(ISERROR(INT(metadata!P299)),FALSE,INT(metadata!P299)=metadata!P299)),metadata!P299&gt;0))</f>
        <v>0</v>
      </c>
      <c r="AQ299">
        <f>IF(metadata!Q299="",FALSE,TRUE)</f>
        <v>0</v>
      </c>
    </row>
    <row r="300" spans="1:43">
      <c r="A300" s="5">
        <f>IF(B300=" "," ",HYPERLINK(CONCATENATE("#metadata!",ADDRESS(INDEX($W$2:$W$1001,MATCH(ROWS($U$2:U300),$U$2:$U$1001,0),0),1)),INDEX($Z$2:$Z$1001,MATCH(ROWS($U$2:U300),$U$2:$U$1001,0),0)))</f>
        <v>0</v>
      </c>
      <c r="B300" s="4">
        <f>IF(OR(INDEX($V$2:$V$1001,MATCH(ROWS($U$2:U300),$U$2:$U$1001,0),1)&gt;=100000,INDEX($AB$1005:$AQ$1005,1,MATCH(COLUMNS($AB$1006:AB1006),$AB$1006:$AQ$1006,0))&gt;=100000), " ",IF(INDEX($AB$2:$AQ$1001,MATCH(ROWS($U$2:U300),$U$2:$U$1001,0),MATCH(COLUMNS($AB$1006:AB1006),$AB$1006:$AQ$1006,0)), HYPERLINK("#",""), HYPERLINK(CONCATENATE("#metadata!", ADDRESS(INDEX($W$2:$W$1001,MATCH(ROWS($U$2:U300),$U$2:$U$1001,0),0), INDEX($AB$1004:$AQ$1004,1,MATCH(COLUMNS($AB$1006:AB1006),$AB$1006:$AQ$1006,0)))),"Fix")))</f>
        <v>0</v>
      </c>
      <c r="C300" s="4">
        <f>IF(OR(INDEX($V$2:$V$1001,MATCH(ROWS($U$2:U300),$U$2:$U$1001,0),1)&gt;=100000,INDEX($AB$1005:$AQ$1005,1,MATCH(COLUMNS($AB$1006:AC1006),$AB$1006:$AQ$1006,0))&gt;=100000), " ",IF(INDEX($AB$2:$AQ$1001,MATCH(ROWS($U$2:U300),$U$2:$U$1001,0),MATCH(COLUMNS($AB$1006:AC1006),$AB$1006:$AQ$1006,0)), HYPERLINK("#",""), HYPERLINK(CONCATENATE("#metadata!", ADDRESS(INDEX($W$2:$W$1001,MATCH(ROWS($U$2:U300),$U$2:$U$1001,0),0), INDEX($AB$1004:$AQ$1004,1,MATCH(COLUMNS($AB$1006:AC1006),$AB$1006:$AQ$1006,0)))),"Fix")))</f>
        <v>0</v>
      </c>
      <c r="D300" s="4">
        <f>IF(OR(INDEX($V$2:$V$1001,MATCH(ROWS($U$2:U300),$U$2:$U$1001,0),1)&gt;=100000,INDEX($AB$1005:$AQ$1005,1,MATCH(COLUMNS($AB$1006:AD1006),$AB$1006:$AQ$1006,0))&gt;=100000), " ",IF(INDEX($AB$2:$AQ$1001,MATCH(ROWS($U$2:U300),$U$2:$U$1001,0),MATCH(COLUMNS($AB$1006:AD1006),$AB$1006:$AQ$1006,0)), HYPERLINK("#",""), HYPERLINK(CONCATENATE("#metadata!", ADDRESS(INDEX($W$2:$W$1001,MATCH(ROWS($U$2:U300),$U$2:$U$1001,0),0), INDEX($AB$1004:$AQ$1004,1,MATCH(COLUMNS($AB$1006:AD1006),$AB$1006:$AQ$1006,0)))),"Fix")))</f>
        <v>0</v>
      </c>
      <c r="E300" s="4">
        <f>IF(OR(INDEX($V$2:$V$1001,MATCH(ROWS($U$2:U300),$U$2:$U$1001,0),1)&gt;=100000,INDEX($AB$1005:$AQ$1005,1,MATCH(COLUMNS($AB$1006:AE1006),$AB$1006:$AQ$1006,0))&gt;=100000), " ",IF(INDEX($AB$2:$AQ$1001,MATCH(ROWS($U$2:U300),$U$2:$U$1001,0),MATCH(COLUMNS($AB$1006:AE1006),$AB$1006:$AQ$1006,0)), HYPERLINK("#",""), HYPERLINK(CONCATENATE("#metadata!", ADDRESS(INDEX($W$2:$W$1001,MATCH(ROWS($U$2:U300),$U$2:$U$1001,0),0), INDEX($AB$1004:$AQ$1004,1,MATCH(COLUMNS($AB$1006:AE1006),$AB$1006:$AQ$1006,0)))),"Fix")))</f>
        <v>0</v>
      </c>
      <c r="F300" s="4">
        <f>IF(OR(INDEX($V$2:$V$1001,MATCH(ROWS($U$2:U300),$U$2:$U$1001,0),1)&gt;=100000,INDEX($AB$1005:$AQ$1005,1,MATCH(COLUMNS($AB$1006:AF1006),$AB$1006:$AQ$1006,0))&gt;=100000), " ",IF(INDEX($AB$2:$AQ$1001,MATCH(ROWS($U$2:U300),$U$2:$U$1001,0),MATCH(COLUMNS($AB$1006:AF1006),$AB$1006:$AQ$1006,0)), HYPERLINK("#",""), HYPERLINK(CONCATENATE("#metadata!", ADDRESS(INDEX($W$2:$W$1001,MATCH(ROWS($U$2:U300),$U$2:$U$1001,0),0), INDEX($AB$1004:$AQ$1004,1,MATCH(COLUMNS($AB$1006:AF1006),$AB$1006:$AQ$1006,0)))),"Fix")))</f>
        <v>0</v>
      </c>
      <c r="G300" s="4">
        <f>IF(OR(INDEX($V$2:$V$1001,MATCH(ROWS($U$2:U300),$U$2:$U$1001,0),1)&gt;=100000,INDEX($AB$1005:$AQ$1005,1,MATCH(COLUMNS($AB$1006:AG1006),$AB$1006:$AQ$1006,0))&gt;=100000), " ",IF(INDEX($AB$2:$AQ$1001,MATCH(ROWS($U$2:U300),$U$2:$U$1001,0),MATCH(COLUMNS($AB$1006:AG1006),$AB$1006:$AQ$1006,0)), HYPERLINK("#",""), HYPERLINK(CONCATENATE("#metadata!", ADDRESS(INDEX($W$2:$W$1001,MATCH(ROWS($U$2:U300),$U$2:$U$1001,0),0), INDEX($AB$1004:$AQ$1004,1,MATCH(COLUMNS($AB$1006:AG1006),$AB$1006:$AQ$1006,0)))),"Fix")))</f>
        <v>0</v>
      </c>
      <c r="H300" s="4">
        <f>IF(OR(INDEX($V$2:$V$1001,MATCH(ROWS($U$2:U300),$U$2:$U$1001,0),1)&gt;=100000,INDEX($AB$1005:$AQ$1005,1,MATCH(COLUMNS($AB$1006:AH1006),$AB$1006:$AQ$1006,0))&gt;=100000), " ",IF(INDEX($AB$2:$AQ$1001,MATCH(ROWS($U$2:U300),$U$2:$U$1001,0),MATCH(COLUMNS($AB$1006:AH1006),$AB$1006:$AQ$1006,0)), HYPERLINK("#",""), HYPERLINK(CONCATENATE("#metadata!", ADDRESS(INDEX($W$2:$W$1001,MATCH(ROWS($U$2:U300),$U$2:$U$1001,0),0), INDEX($AB$1004:$AQ$1004,1,MATCH(COLUMNS($AB$1006:AH1006),$AB$1006:$AQ$1006,0)))),"Fix")))</f>
        <v>0</v>
      </c>
      <c r="I300" s="4">
        <f>IF(OR(INDEX($V$2:$V$1001,MATCH(ROWS($U$2:U300),$U$2:$U$1001,0),1)&gt;=100000,INDEX($AB$1005:$AQ$1005,1,MATCH(COLUMNS($AB$1006:AI1006),$AB$1006:$AQ$1006,0))&gt;=100000), " ",IF(INDEX($AB$2:$AQ$1001,MATCH(ROWS($U$2:U300),$U$2:$U$1001,0),MATCH(COLUMNS($AB$1006:AI1006),$AB$1006:$AQ$1006,0)), HYPERLINK("#",""), HYPERLINK(CONCATENATE("#metadata!", ADDRESS(INDEX($W$2:$W$1001,MATCH(ROWS($U$2:U300),$U$2:$U$1001,0),0), INDEX($AB$1004:$AQ$1004,1,MATCH(COLUMNS($AB$1006:AI1006),$AB$1006:$AQ$1006,0)))),"Fix")))</f>
        <v>0</v>
      </c>
      <c r="J300" s="4">
        <f>IF(OR(INDEX($V$2:$V$1001,MATCH(ROWS($U$2:U300),$U$2:$U$1001,0),1)&gt;=100000,INDEX($AB$1005:$AQ$1005,1,MATCH(COLUMNS($AB$1006:AJ1006),$AB$1006:$AQ$1006,0))&gt;=100000), " ",IF(INDEX($AB$2:$AQ$1001,MATCH(ROWS($U$2:U300),$U$2:$U$1001,0),MATCH(COLUMNS($AB$1006:AJ1006),$AB$1006:$AQ$1006,0)), HYPERLINK("#",""), HYPERLINK(CONCATENATE("#metadata!", ADDRESS(INDEX($W$2:$W$1001,MATCH(ROWS($U$2:U300),$U$2:$U$1001,0),0), INDEX($AB$1004:$AQ$1004,1,MATCH(COLUMNS($AB$1006:AJ1006),$AB$1006:$AQ$1006,0)))),"Fix")))</f>
        <v>0</v>
      </c>
      <c r="K300" s="4">
        <f>IF(OR(INDEX($V$2:$V$1001,MATCH(ROWS($U$2:U300),$U$2:$U$1001,0),1)&gt;=100000,INDEX($AB$1005:$AQ$1005,1,MATCH(COLUMNS($AB$1006:AK1006),$AB$1006:$AQ$1006,0))&gt;=100000), " ",IF(INDEX($AB$2:$AQ$1001,MATCH(ROWS($U$2:U300),$U$2:$U$1001,0),MATCH(COLUMNS($AB$1006:AK1006),$AB$1006:$AQ$1006,0)), HYPERLINK("#",""), HYPERLINK(CONCATENATE("#metadata!", ADDRESS(INDEX($W$2:$W$1001,MATCH(ROWS($U$2:U300),$U$2:$U$1001,0),0), INDEX($AB$1004:$AQ$1004,1,MATCH(COLUMNS($AB$1006:AK1006),$AB$1006:$AQ$1006,0)))),"Fix")))</f>
        <v>0</v>
      </c>
      <c r="L300" s="4">
        <f>IF(OR(INDEX($V$2:$V$1001,MATCH(ROWS($U$2:U300),$U$2:$U$1001,0),1)&gt;=100000,INDEX($AB$1005:$AQ$1005,1,MATCH(COLUMNS($AB$1006:AL1006),$AB$1006:$AQ$1006,0))&gt;=100000), " ",IF(INDEX($AB$2:$AQ$1001,MATCH(ROWS($U$2:U300),$U$2:$U$1001,0),MATCH(COLUMNS($AB$1006:AL1006),$AB$1006:$AQ$1006,0)), HYPERLINK("#",""), HYPERLINK(CONCATENATE("#metadata!", ADDRESS(INDEX($W$2:$W$1001,MATCH(ROWS($U$2:U300),$U$2:$U$1001,0),0), INDEX($AB$1004:$AQ$1004,1,MATCH(COLUMNS($AB$1006:AL1006),$AB$1006:$AQ$1006,0)))),"Fix")))</f>
        <v>0</v>
      </c>
      <c r="M300" s="4">
        <f>IF(OR(INDEX($V$2:$V$1001,MATCH(ROWS($U$2:U300),$U$2:$U$1001,0),1)&gt;=100000,INDEX($AB$1005:$AQ$1005,1,MATCH(COLUMNS($AB$1006:AM1006),$AB$1006:$AQ$1006,0))&gt;=100000), " ",IF(INDEX($AB$2:$AQ$1001,MATCH(ROWS($U$2:U300),$U$2:$U$1001,0),MATCH(COLUMNS($AB$1006:AM1006),$AB$1006:$AQ$1006,0)), HYPERLINK("#",""), HYPERLINK(CONCATENATE("#metadata!", ADDRESS(INDEX($W$2:$W$1001,MATCH(ROWS($U$2:U300),$U$2:$U$1001,0),0), INDEX($AB$1004:$AQ$1004,1,MATCH(COLUMNS($AB$1006:AM1006),$AB$1006:$AQ$1006,0)))),"Fix")))</f>
        <v>0</v>
      </c>
      <c r="N300" s="4">
        <f>IF(OR(INDEX($V$2:$V$1001,MATCH(ROWS($U$2:U300),$U$2:$U$1001,0),1)&gt;=100000,INDEX($AB$1005:$AQ$1005,1,MATCH(COLUMNS($AB$1006:AN1006),$AB$1006:$AQ$1006,0))&gt;=100000), " ",IF(INDEX($AB$2:$AQ$1001,MATCH(ROWS($U$2:U300),$U$2:$U$1001,0),MATCH(COLUMNS($AB$1006:AN1006),$AB$1006:$AQ$1006,0)), HYPERLINK("#",""), HYPERLINK(CONCATENATE("#metadata!", ADDRESS(INDEX($W$2:$W$1001,MATCH(ROWS($U$2:U300),$U$2:$U$1001,0),0), INDEX($AB$1004:$AQ$1004,1,MATCH(COLUMNS($AB$1006:AN1006),$AB$1006:$AQ$1006,0)))),"Fix")))</f>
        <v>0</v>
      </c>
      <c r="O300" s="4">
        <f>IF(OR(INDEX($V$2:$V$1001,MATCH(ROWS($U$2:U300),$U$2:$U$1001,0),1)&gt;=100000,INDEX($AB$1005:$AQ$1005,1,MATCH(COLUMNS($AB$1006:AO1006),$AB$1006:$AQ$1006,0))&gt;=100000), " ",IF(INDEX($AB$2:$AQ$1001,MATCH(ROWS($U$2:U300),$U$2:$U$1001,0),MATCH(COLUMNS($AB$1006:AO1006),$AB$1006:$AQ$1006,0)), HYPERLINK("#",""), HYPERLINK(CONCATENATE("#metadata!", ADDRESS(INDEX($W$2:$W$1001,MATCH(ROWS($U$2:U300),$U$2:$U$1001,0),0), INDEX($AB$1004:$AQ$1004,1,MATCH(COLUMNS($AB$1006:AO1006),$AB$1006:$AQ$1006,0)))),"Fix")))</f>
        <v>0</v>
      </c>
      <c r="P300" s="4">
        <f>IF(OR(INDEX($V$2:$V$1001,MATCH(ROWS($U$2:U300),$U$2:$U$1001,0),1)&gt;=100000,INDEX($AB$1005:$AQ$1005,1,MATCH(COLUMNS($AB$1006:AP1006),$AB$1006:$AQ$1006,0))&gt;=100000), " ",IF(INDEX($AB$2:$AQ$1001,MATCH(ROWS($U$2:U300),$U$2:$U$1001,0),MATCH(COLUMNS($AB$1006:AP1006),$AB$1006:$AQ$1006,0)), HYPERLINK("#",""), HYPERLINK(CONCATENATE("#metadata!", ADDRESS(INDEX($W$2:$W$1001,MATCH(ROWS($U$2:U300),$U$2:$U$1001,0),0), INDEX($AB$1004:$AQ$1004,1,MATCH(COLUMNS($AB$1006:AP1006),$AB$1006:$AQ$1006,0)))),"Fix")))</f>
        <v>0</v>
      </c>
      <c r="Q300" s="4">
        <f>IF(OR(INDEX($V$2:$V$1001,MATCH(ROWS($U$2:U300),$U$2:$U$1001,0),1)&gt;=100000,INDEX($AB$1005:$AQ$1005,1,MATCH(COLUMNS($AB$1006:AQ1006),$AB$1006:$AQ$1006,0))&gt;=100000), " ",IF(INDEX($AB$2:$AQ$1001,MATCH(ROWS($U$2:U300),$U$2:$U$1001,0),MATCH(COLUMNS($AB$1006:AQ1006),$AB$1006:$AQ$1006,0)), HYPERLINK("#",""), HYPERLINK(CONCATENATE("#metadata!", ADDRESS(INDEX($W$2:$W$1001,MATCH(ROWS($U$2:U300),$U$2:$U$1001,0),0), INDEX($AB$1004:$AQ$1004,1,MATCH(COLUMNS($AB$1006:AQ1006),$AB$1006:$AQ$1006,0)))),"Fix")))</f>
        <v>0</v>
      </c>
      <c r="U300">
        <v>0</v>
      </c>
      <c r="V300">
        <v>0</v>
      </c>
      <c r="W300">
        <v>0</v>
      </c>
      <c r="X300">
        <f>IF(Y300,TRUE,AND(AB300:AQ300))</f>
        <v>0</v>
      </c>
      <c r="Y300">
        <f>COUNTBLANK(metadata!B300:Q300)=COLUMNS(metadata!B300:Q300)</f>
        <v>0</v>
      </c>
      <c r="Z300">
        <v>0</v>
      </c>
      <c r="AB300">
        <f>AND(IF(metadata!B300="",FALSE,TRUE),COUNTIF(metadata!B:B, metadata!B300) = 1,NOT(ISERROR(SUMPRODUCT(SEARCH(MID(metadata!B300,ROW(INDIRECT("1:"&amp;LEN(metadata!B300))), 1),"0123456789abcdefghijklmnopqrstuvwxyzABCDEFGHIJKLMNOPQRSTUVWXYZ.")))))</f>
        <v>0</v>
      </c>
      <c r="AC300">
        <f>OR(AND(IF(metadata!C300="",FALSE,TRUE),OR(exact(metadata!C300,"missing: not collected"),exact(metadata!C300,"missing: not provided"),exact(metadata!C300,"missing: restricted access"))),AND(IF(metadata!C300="",FALSE,TRUE),AND(AND(IFERROR(INT(LEFT(metadata!C300,4))&gt;1900,FALSE),IFERROR(INT(LEFT(metadata!C300,4))&lt;=YEAR(NOW()),FALSE)), OR(MID(metadata!C300,5,1)="", AND(AND(MID(metadata!C300,5,1)="-",IFERROR(INT(MID(metadata!C300,6,1))&gt;=0,FALSE),IFERROR(INT(MID(metadata!C300,6,1))&lt;=1,FALSE),NOT(MID(metadata!C300,7,1)=""),IFERROR(INT(MID(metadata!C300,6,2))&gt;=1,FALSE),IFERROR(INT(MID(metadata!C300,6,2))&lt;=12,FALSE)), OR(MID(metadata!C300,8,1)="", AND(AND(MID(metadata!C300,8,1)="-",IFERROR(INT(MID(metadata!C300,9,1))&gt;=0,FALSE),IFERROR(INT(MID(metadata!C300,9,1))&lt;=3,FALSE),NOT(MID(metadata!C300,10,1)=""),IFERROR(INT(MID(metadata!C300,9,2))&gt;=1,FALSE),IFERROR(INT(MID(metadata!C300,9,2))&lt;=31,FALSE)), OR(MID(metadata!C300,11,1)="", AND(AND(MID(metadata!C300,11,1)=" ",IFERROR(INT(MID(metadata!C300,12,1))&gt;=0,FALSE),IFERROR(INT(MID(metadata!C300,12,1))&lt;=2,FALSE),NOT(MID(metadata!C300,13,1)=""),IFERROR(INT(MID(metadata!C300,12,2))&gt;=0,FALSE),IFERROR(INT(MID(metadata!C300,12,2))&lt;=23,FALSE)), OR(MID(metadata!C300,14,1)="", AND(AND(MID(metadata!C300,14,1)=":",IFERROR(INT(MID(metadata!C300,15,1))&gt;=0,FALSE),IFERROR(INT(MID(metadata!C300,15,1))&lt;=5,FALSE),NOT(MID(metadata!C300,16,1)=""),IFERROR(INT(MID(metadata!C300,15,2))&gt;=0,FALSE),IFERROR(INT(MID(metadata!C300,15,2))&lt;=59,FALSE)), OR(MID(metadata!C300,17,1)="", AND(AND(MID(metadata!C300,17,1)=":",IFERROR(INT(MID(metadata!C300,18,1))&gt;=0,FALSE),IFERROR(INT(MID(metadata!C300,18,1))&lt;=5,FALSE),NOT(MID(metadata!C300,19,1)=""),IFERROR(INT(MID(metadata!C300,18,2))&gt;=0,FALSE),IFERROR(INT(MID(metadata!C300,18,2))&lt;=59,FALSE)), LEN(metadata!C300)&lt;=19)))))))))))))</f>
        <v>0</v>
      </c>
      <c r="AD300">
        <f>IF(metadata!D300="",FALSE,TRUE)</f>
        <v>0</v>
      </c>
      <c r="AE300">
        <f>OR(AND(IF(metadata!E300="",FALSE,TRUE),OR(exact(metadata!E300,"missing: not collected"),exact(metadata!E300,"missing: not provided"))),AND(IF(metadata!E300="",FALSE,TRUE),OR(exact(metadata!E300,"TRUE"),exact(metadata!E300,"FALSE"))))</f>
        <v>0</v>
      </c>
      <c r="AF300">
        <f>IF(metadata!F300="",FALSE,TRUE)</f>
        <v>0</v>
      </c>
      <c r="AG300">
        <f>IF(metadata!G300="",FALSE,TRUE)</f>
        <v>0</v>
      </c>
      <c r="AH300">
        <f>IF(metadata!H300="",FALSE,TRUE)</f>
        <v>0</v>
      </c>
      <c r="AI300">
        <f>OR(AND(IF(metadata!I300="",FALSE,TRUE),OR(exact(metadata!I300,"missing: not collected"),exact(metadata!I300,"missing: not provided"),exact(metadata!I300,"missing: restricted access"))),AND(IF(metadata!I300="",FALSE,TRUE),OR(exact(metadata!I300,"air"),exact(metadata!I300,"built environment"),exact(metadata!I300,"host-associated"),exact(metadata!I300,"human-associated"),exact(metadata!I300,"human-skin"),exact(metadata!I300,"human-oral"),exact(metadata!I300,"human-gut"),exact(metadata!I300,"human-vaginal"),exact(metadata!I300,"microbial mat/biofilm"),exact(metadata!I300,"misc environment"),exact(metadata!I300,"plant-associated"),exact(metadata!I300,"sediment"),exact(metadata!I300,"soil"),exact(metadata!I300,"wastewater/sludge"),exact(metadata!I300,"water"))))</f>
        <v>0</v>
      </c>
      <c r="AJ300">
        <f>IF(metadata!J300="",FALSE,TRUE)</f>
        <v>0</v>
      </c>
      <c r="AK300">
        <f>OR(AND(IF(metadata!K300="",FALSE,TRUE),OR(exact(metadata!K300,"missing: not collected"),exact(metadata!K300,"missing: not provided"),exact(metadata!K300,"missing: restricted access"))),AND(IF(metadata!K300="",FALSE,ISNUMBER(VALUE(metadata!K300))),metadata!K300&gt;=-90.00,metadata!K300&lt;=90.00))</f>
        <v>0</v>
      </c>
      <c r="AL300">
        <f>OR(AND(IF(metadata!L300="",FALSE,TRUE),OR(exact(metadata!L300,"missing: not collected"),exact(metadata!L300,"missing: not provided"),exact(metadata!L300,"missing: restricted access"))),AND(IF(metadata!L300="",FALSE,ISNUMBER(VALUE(metadata!L300))),metadata!L300&gt;=-180.00,metadata!L300&lt;=180.00))</f>
        <v>0</v>
      </c>
      <c r="AM300">
        <f>IF(metadata!M300="",FALSE,TRUE)</f>
        <v>0</v>
      </c>
      <c r="AN300">
        <f>OR(AND(IF(metadata!N300="",FALSE,TRUE),OR(exact(metadata!N300,"missing: not collected"),exact(metadata!N300,"missing: not provided"),exact(metadata!N300,"missing: restricted access"))),AND(IF(metadata!N300="",FALSE,TRUE),OR(exact(metadata!N300,"TRUE"),exact(metadata!N300,"FALSE"))))</f>
        <v>0</v>
      </c>
      <c r="AO300">
        <f>IF(metadata!O300="",FALSE,TRUE)</f>
        <v>0</v>
      </c>
      <c r="AP300">
        <f>OR(AND(IF(metadata!P300="",FALSE,TRUE),OR(exact(metadata!P300,"missing: not collected"),exact(metadata!P300,"missing: not provided"))),AND(IF(metadata!P300="",FALSE,IF(ISERROR(INT(metadata!P300)),FALSE,INT(metadata!P300)=metadata!P300)),metadata!P300&gt;0))</f>
        <v>0</v>
      </c>
      <c r="AQ300">
        <f>IF(metadata!Q300="",FALSE,TRUE)</f>
        <v>0</v>
      </c>
    </row>
    <row r="301" spans="1:43">
      <c r="A301" s="5">
        <f>IF(B301=" "," ",HYPERLINK(CONCATENATE("#metadata!",ADDRESS(INDEX($W$2:$W$1001,MATCH(ROWS($U$2:U301),$U$2:$U$1001,0),0),1)),INDEX($Z$2:$Z$1001,MATCH(ROWS($U$2:U301),$U$2:$U$1001,0),0)))</f>
        <v>0</v>
      </c>
      <c r="B301" s="4">
        <f>IF(OR(INDEX($V$2:$V$1001,MATCH(ROWS($U$2:U301),$U$2:$U$1001,0),1)&gt;=100000,INDEX($AB$1005:$AQ$1005,1,MATCH(COLUMNS($AB$1006:AB1006),$AB$1006:$AQ$1006,0))&gt;=100000), " ",IF(INDEX($AB$2:$AQ$1001,MATCH(ROWS($U$2:U301),$U$2:$U$1001,0),MATCH(COLUMNS($AB$1006:AB1006),$AB$1006:$AQ$1006,0)), HYPERLINK("#",""), HYPERLINK(CONCATENATE("#metadata!", ADDRESS(INDEX($W$2:$W$1001,MATCH(ROWS($U$2:U301),$U$2:$U$1001,0),0), INDEX($AB$1004:$AQ$1004,1,MATCH(COLUMNS($AB$1006:AB1006),$AB$1006:$AQ$1006,0)))),"Fix")))</f>
        <v>0</v>
      </c>
      <c r="C301" s="4">
        <f>IF(OR(INDEX($V$2:$V$1001,MATCH(ROWS($U$2:U301),$U$2:$U$1001,0),1)&gt;=100000,INDEX($AB$1005:$AQ$1005,1,MATCH(COLUMNS($AB$1006:AC1006),$AB$1006:$AQ$1006,0))&gt;=100000), " ",IF(INDEX($AB$2:$AQ$1001,MATCH(ROWS($U$2:U301),$U$2:$U$1001,0),MATCH(COLUMNS($AB$1006:AC1006),$AB$1006:$AQ$1006,0)), HYPERLINK("#",""), HYPERLINK(CONCATENATE("#metadata!", ADDRESS(INDEX($W$2:$W$1001,MATCH(ROWS($U$2:U301),$U$2:$U$1001,0),0), INDEX($AB$1004:$AQ$1004,1,MATCH(COLUMNS($AB$1006:AC1006),$AB$1006:$AQ$1006,0)))),"Fix")))</f>
        <v>0</v>
      </c>
      <c r="D301" s="4">
        <f>IF(OR(INDEX($V$2:$V$1001,MATCH(ROWS($U$2:U301),$U$2:$U$1001,0),1)&gt;=100000,INDEX($AB$1005:$AQ$1005,1,MATCH(COLUMNS($AB$1006:AD1006),$AB$1006:$AQ$1006,0))&gt;=100000), " ",IF(INDEX($AB$2:$AQ$1001,MATCH(ROWS($U$2:U301),$U$2:$U$1001,0),MATCH(COLUMNS($AB$1006:AD1006),$AB$1006:$AQ$1006,0)), HYPERLINK("#",""), HYPERLINK(CONCATENATE("#metadata!", ADDRESS(INDEX($W$2:$W$1001,MATCH(ROWS($U$2:U301),$U$2:$U$1001,0),0), INDEX($AB$1004:$AQ$1004,1,MATCH(COLUMNS($AB$1006:AD1006),$AB$1006:$AQ$1006,0)))),"Fix")))</f>
        <v>0</v>
      </c>
      <c r="E301" s="4">
        <f>IF(OR(INDEX($V$2:$V$1001,MATCH(ROWS($U$2:U301),$U$2:$U$1001,0),1)&gt;=100000,INDEX($AB$1005:$AQ$1005,1,MATCH(COLUMNS($AB$1006:AE1006),$AB$1006:$AQ$1006,0))&gt;=100000), " ",IF(INDEX($AB$2:$AQ$1001,MATCH(ROWS($U$2:U301),$U$2:$U$1001,0),MATCH(COLUMNS($AB$1006:AE1006),$AB$1006:$AQ$1006,0)), HYPERLINK("#",""), HYPERLINK(CONCATENATE("#metadata!", ADDRESS(INDEX($W$2:$W$1001,MATCH(ROWS($U$2:U301),$U$2:$U$1001,0),0), INDEX($AB$1004:$AQ$1004,1,MATCH(COLUMNS($AB$1006:AE1006),$AB$1006:$AQ$1006,0)))),"Fix")))</f>
        <v>0</v>
      </c>
      <c r="F301" s="4">
        <f>IF(OR(INDEX($V$2:$V$1001,MATCH(ROWS($U$2:U301),$U$2:$U$1001,0),1)&gt;=100000,INDEX($AB$1005:$AQ$1005,1,MATCH(COLUMNS($AB$1006:AF1006),$AB$1006:$AQ$1006,0))&gt;=100000), " ",IF(INDEX($AB$2:$AQ$1001,MATCH(ROWS($U$2:U301),$U$2:$U$1001,0),MATCH(COLUMNS($AB$1006:AF1006),$AB$1006:$AQ$1006,0)), HYPERLINK("#",""), HYPERLINK(CONCATENATE("#metadata!", ADDRESS(INDEX($W$2:$W$1001,MATCH(ROWS($U$2:U301),$U$2:$U$1001,0),0), INDEX($AB$1004:$AQ$1004,1,MATCH(COLUMNS($AB$1006:AF1006),$AB$1006:$AQ$1006,0)))),"Fix")))</f>
        <v>0</v>
      </c>
      <c r="G301" s="4">
        <f>IF(OR(INDEX($V$2:$V$1001,MATCH(ROWS($U$2:U301),$U$2:$U$1001,0),1)&gt;=100000,INDEX($AB$1005:$AQ$1005,1,MATCH(COLUMNS($AB$1006:AG1006),$AB$1006:$AQ$1006,0))&gt;=100000), " ",IF(INDEX($AB$2:$AQ$1001,MATCH(ROWS($U$2:U301),$U$2:$U$1001,0),MATCH(COLUMNS($AB$1006:AG1006),$AB$1006:$AQ$1006,0)), HYPERLINK("#",""), HYPERLINK(CONCATENATE("#metadata!", ADDRESS(INDEX($W$2:$W$1001,MATCH(ROWS($U$2:U301),$U$2:$U$1001,0),0), INDEX($AB$1004:$AQ$1004,1,MATCH(COLUMNS($AB$1006:AG1006),$AB$1006:$AQ$1006,0)))),"Fix")))</f>
        <v>0</v>
      </c>
      <c r="H301" s="4">
        <f>IF(OR(INDEX($V$2:$V$1001,MATCH(ROWS($U$2:U301),$U$2:$U$1001,0),1)&gt;=100000,INDEX($AB$1005:$AQ$1005,1,MATCH(COLUMNS($AB$1006:AH1006),$AB$1006:$AQ$1006,0))&gt;=100000), " ",IF(INDEX($AB$2:$AQ$1001,MATCH(ROWS($U$2:U301),$U$2:$U$1001,0),MATCH(COLUMNS($AB$1006:AH1006),$AB$1006:$AQ$1006,0)), HYPERLINK("#",""), HYPERLINK(CONCATENATE("#metadata!", ADDRESS(INDEX($W$2:$W$1001,MATCH(ROWS($U$2:U301),$U$2:$U$1001,0),0), INDEX($AB$1004:$AQ$1004,1,MATCH(COLUMNS($AB$1006:AH1006),$AB$1006:$AQ$1006,0)))),"Fix")))</f>
        <v>0</v>
      </c>
      <c r="I301" s="4">
        <f>IF(OR(INDEX($V$2:$V$1001,MATCH(ROWS($U$2:U301),$U$2:$U$1001,0),1)&gt;=100000,INDEX($AB$1005:$AQ$1005,1,MATCH(COLUMNS($AB$1006:AI1006),$AB$1006:$AQ$1006,0))&gt;=100000), " ",IF(INDEX($AB$2:$AQ$1001,MATCH(ROWS($U$2:U301),$U$2:$U$1001,0),MATCH(COLUMNS($AB$1006:AI1006),$AB$1006:$AQ$1006,0)), HYPERLINK("#",""), HYPERLINK(CONCATENATE("#metadata!", ADDRESS(INDEX($W$2:$W$1001,MATCH(ROWS($U$2:U301),$U$2:$U$1001,0),0), INDEX($AB$1004:$AQ$1004,1,MATCH(COLUMNS($AB$1006:AI1006),$AB$1006:$AQ$1006,0)))),"Fix")))</f>
        <v>0</v>
      </c>
      <c r="J301" s="4">
        <f>IF(OR(INDEX($V$2:$V$1001,MATCH(ROWS($U$2:U301),$U$2:$U$1001,0),1)&gt;=100000,INDEX($AB$1005:$AQ$1005,1,MATCH(COLUMNS($AB$1006:AJ1006),$AB$1006:$AQ$1006,0))&gt;=100000), " ",IF(INDEX($AB$2:$AQ$1001,MATCH(ROWS($U$2:U301),$U$2:$U$1001,0),MATCH(COLUMNS($AB$1006:AJ1006),$AB$1006:$AQ$1006,0)), HYPERLINK("#",""), HYPERLINK(CONCATENATE("#metadata!", ADDRESS(INDEX($W$2:$W$1001,MATCH(ROWS($U$2:U301),$U$2:$U$1001,0),0), INDEX($AB$1004:$AQ$1004,1,MATCH(COLUMNS($AB$1006:AJ1006),$AB$1006:$AQ$1006,0)))),"Fix")))</f>
        <v>0</v>
      </c>
      <c r="K301" s="4">
        <f>IF(OR(INDEX($V$2:$V$1001,MATCH(ROWS($U$2:U301),$U$2:$U$1001,0),1)&gt;=100000,INDEX($AB$1005:$AQ$1005,1,MATCH(COLUMNS($AB$1006:AK1006),$AB$1006:$AQ$1006,0))&gt;=100000), " ",IF(INDEX($AB$2:$AQ$1001,MATCH(ROWS($U$2:U301),$U$2:$U$1001,0),MATCH(COLUMNS($AB$1006:AK1006),$AB$1006:$AQ$1006,0)), HYPERLINK("#",""), HYPERLINK(CONCATENATE("#metadata!", ADDRESS(INDEX($W$2:$W$1001,MATCH(ROWS($U$2:U301),$U$2:$U$1001,0),0), INDEX($AB$1004:$AQ$1004,1,MATCH(COLUMNS($AB$1006:AK1006),$AB$1006:$AQ$1006,0)))),"Fix")))</f>
        <v>0</v>
      </c>
      <c r="L301" s="4">
        <f>IF(OR(INDEX($V$2:$V$1001,MATCH(ROWS($U$2:U301),$U$2:$U$1001,0),1)&gt;=100000,INDEX($AB$1005:$AQ$1005,1,MATCH(COLUMNS($AB$1006:AL1006),$AB$1006:$AQ$1006,0))&gt;=100000), " ",IF(INDEX($AB$2:$AQ$1001,MATCH(ROWS($U$2:U301),$U$2:$U$1001,0),MATCH(COLUMNS($AB$1006:AL1006),$AB$1006:$AQ$1006,0)), HYPERLINK("#",""), HYPERLINK(CONCATENATE("#metadata!", ADDRESS(INDEX($W$2:$W$1001,MATCH(ROWS($U$2:U301),$U$2:$U$1001,0),0), INDEX($AB$1004:$AQ$1004,1,MATCH(COLUMNS($AB$1006:AL1006),$AB$1006:$AQ$1006,0)))),"Fix")))</f>
        <v>0</v>
      </c>
      <c r="M301" s="4">
        <f>IF(OR(INDEX($V$2:$V$1001,MATCH(ROWS($U$2:U301),$U$2:$U$1001,0),1)&gt;=100000,INDEX($AB$1005:$AQ$1005,1,MATCH(COLUMNS($AB$1006:AM1006),$AB$1006:$AQ$1006,0))&gt;=100000), " ",IF(INDEX($AB$2:$AQ$1001,MATCH(ROWS($U$2:U301),$U$2:$U$1001,0),MATCH(COLUMNS($AB$1006:AM1006),$AB$1006:$AQ$1006,0)), HYPERLINK("#",""), HYPERLINK(CONCATENATE("#metadata!", ADDRESS(INDEX($W$2:$W$1001,MATCH(ROWS($U$2:U301),$U$2:$U$1001,0),0), INDEX($AB$1004:$AQ$1004,1,MATCH(COLUMNS($AB$1006:AM1006),$AB$1006:$AQ$1006,0)))),"Fix")))</f>
        <v>0</v>
      </c>
      <c r="N301" s="4">
        <f>IF(OR(INDEX($V$2:$V$1001,MATCH(ROWS($U$2:U301),$U$2:$U$1001,0),1)&gt;=100000,INDEX($AB$1005:$AQ$1005,1,MATCH(COLUMNS($AB$1006:AN1006),$AB$1006:$AQ$1006,0))&gt;=100000), " ",IF(INDEX($AB$2:$AQ$1001,MATCH(ROWS($U$2:U301),$U$2:$U$1001,0),MATCH(COLUMNS($AB$1006:AN1006),$AB$1006:$AQ$1006,0)), HYPERLINK("#",""), HYPERLINK(CONCATENATE("#metadata!", ADDRESS(INDEX($W$2:$W$1001,MATCH(ROWS($U$2:U301),$U$2:$U$1001,0),0), INDEX($AB$1004:$AQ$1004,1,MATCH(COLUMNS($AB$1006:AN1006),$AB$1006:$AQ$1006,0)))),"Fix")))</f>
        <v>0</v>
      </c>
      <c r="O301" s="4">
        <f>IF(OR(INDEX($V$2:$V$1001,MATCH(ROWS($U$2:U301),$U$2:$U$1001,0),1)&gt;=100000,INDEX($AB$1005:$AQ$1005,1,MATCH(COLUMNS($AB$1006:AO1006),$AB$1006:$AQ$1006,0))&gt;=100000), " ",IF(INDEX($AB$2:$AQ$1001,MATCH(ROWS($U$2:U301),$U$2:$U$1001,0),MATCH(COLUMNS($AB$1006:AO1006),$AB$1006:$AQ$1006,0)), HYPERLINK("#",""), HYPERLINK(CONCATENATE("#metadata!", ADDRESS(INDEX($W$2:$W$1001,MATCH(ROWS($U$2:U301),$U$2:$U$1001,0),0), INDEX($AB$1004:$AQ$1004,1,MATCH(COLUMNS($AB$1006:AO1006),$AB$1006:$AQ$1006,0)))),"Fix")))</f>
        <v>0</v>
      </c>
      <c r="P301" s="4">
        <f>IF(OR(INDEX($V$2:$V$1001,MATCH(ROWS($U$2:U301),$U$2:$U$1001,0),1)&gt;=100000,INDEX($AB$1005:$AQ$1005,1,MATCH(COLUMNS($AB$1006:AP1006),$AB$1006:$AQ$1006,0))&gt;=100000), " ",IF(INDEX($AB$2:$AQ$1001,MATCH(ROWS($U$2:U301),$U$2:$U$1001,0),MATCH(COLUMNS($AB$1006:AP1006),$AB$1006:$AQ$1006,0)), HYPERLINK("#",""), HYPERLINK(CONCATENATE("#metadata!", ADDRESS(INDEX($W$2:$W$1001,MATCH(ROWS($U$2:U301),$U$2:$U$1001,0),0), INDEX($AB$1004:$AQ$1004,1,MATCH(COLUMNS($AB$1006:AP1006),$AB$1006:$AQ$1006,0)))),"Fix")))</f>
        <v>0</v>
      </c>
      <c r="Q301" s="4">
        <f>IF(OR(INDEX($V$2:$V$1001,MATCH(ROWS($U$2:U301),$U$2:$U$1001,0),1)&gt;=100000,INDEX($AB$1005:$AQ$1005,1,MATCH(COLUMNS($AB$1006:AQ1006),$AB$1006:$AQ$1006,0))&gt;=100000), " ",IF(INDEX($AB$2:$AQ$1001,MATCH(ROWS($U$2:U301),$U$2:$U$1001,0),MATCH(COLUMNS($AB$1006:AQ1006),$AB$1006:$AQ$1006,0)), HYPERLINK("#",""), HYPERLINK(CONCATENATE("#metadata!", ADDRESS(INDEX($W$2:$W$1001,MATCH(ROWS($U$2:U301),$U$2:$U$1001,0),0), INDEX($AB$1004:$AQ$1004,1,MATCH(COLUMNS($AB$1006:AQ1006),$AB$1006:$AQ$1006,0)))),"Fix")))</f>
        <v>0</v>
      </c>
      <c r="U301">
        <v>0</v>
      </c>
      <c r="V301">
        <v>0</v>
      </c>
      <c r="W301">
        <v>0</v>
      </c>
      <c r="X301">
        <f>IF(Y301,TRUE,AND(AB301:AQ301))</f>
        <v>0</v>
      </c>
      <c r="Y301">
        <f>COUNTBLANK(metadata!B301:Q301)=COLUMNS(metadata!B301:Q301)</f>
        <v>0</v>
      </c>
      <c r="Z301">
        <v>0</v>
      </c>
      <c r="AB301">
        <f>AND(IF(metadata!B301="",FALSE,TRUE),COUNTIF(metadata!B:B, metadata!B301) = 1,NOT(ISERROR(SUMPRODUCT(SEARCH(MID(metadata!B301,ROW(INDIRECT("1:"&amp;LEN(metadata!B301))), 1),"0123456789abcdefghijklmnopqrstuvwxyzABCDEFGHIJKLMNOPQRSTUVWXYZ.")))))</f>
        <v>0</v>
      </c>
      <c r="AC301">
        <f>OR(AND(IF(metadata!C301="",FALSE,TRUE),OR(exact(metadata!C301,"missing: not collected"),exact(metadata!C301,"missing: not provided"),exact(metadata!C301,"missing: restricted access"))),AND(IF(metadata!C301="",FALSE,TRUE),AND(AND(IFERROR(INT(LEFT(metadata!C301,4))&gt;1900,FALSE),IFERROR(INT(LEFT(metadata!C301,4))&lt;=YEAR(NOW()),FALSE)), OR(MID(metadata!C301,5,1)="", AND(AND(MID(metadata!C301,5,1)="-",IFERROR(INT(MID(metadata!C301,6,1))&gt;=0,FALSE),IFERROR(INT(MID(metadata!C301,6,1))&lt;=1,FALSE),NOT(MID(metadata!C301,7,1)=""),IFERROR(INT(MID(metadata!C301,6,2))&gt;=1,FALSE),IFERROR(INT(MID(metadata!C301,6,2))&lt;=12,FALSE)), OR(MID(metadata!C301,8,1)="", AND(AND(MID(metadata!C301,8,1)="-",IFERROR(INT(MID(metadata!C301,9,1))&gt;=0,FALSE),IFERROR(INT(MID(metadata!C301,9,1))&lt;=3,FALSE),NOT(MID(metadata!C301,10,1)=""),IFERROR(INT(MID(metadata!C301,9,2))&gt;=1,FALSE),IFERROR(INT(MID(metadata!C301,9,2))&lt;=31,FALSE)), OR(MID(metadata!C301,11,1)="", AND(AND(MID(metadata!C301,11,1)=" ",IFERROR(INT(MID(metadata!C301,12,1))&gt;=0,FALSE),IFERROR(INT(MID(metadata!C301,12,1))&lt;=2,FALSE),NOT(MID(metadata!C301,13,1)=""),IFERROR(INT(MID(metadata!C301,12,2))&gt;=0,FALSE),IFERROR(INT(MID(metadata!C301,12,2))&lt;=23,FALSE)), OR(MID(metadata!C301,14,1)="", AND(AND(MID(metadata!C301,14,1)=":",IFERROR(INT(MID(metadata!C301,15,1))&gt;=0,FALSE),IFERROR(INT(MID(metadata!C301,15,1))&lt;=5,FALSE),NOT(MID(metadata!C301,16,1)=""),IFERROR(INT(MID(metadata!C301,15,2))&gt;=0,FALSE),IFERROR(INT(MID(metadata!C301,15,2))&lt;=59,FALSE)), OR(MID(metadata!C301,17,1)="", AND(AND(MID(metadata!C301,17,1)=":",IFERROR(INT(MID(metadata!C301,18,1))&gt;=0,FALSE),IFERROR(INT(MID(metadata!C301,18,1))&lt;=5,FALSE),NOT(MID(metadata!C301,19,1)=""),IFERROR(INT(MID(metadata!C301,18,2))&gt;=0,FALSE),IFERROR(INT(MID(metadata!C301,18,2))&lt;=59,FALSE)), LEN(metadata!C301)&lt;=19)))))))))))))</f>
        <v>0</v>
      </c>
      <c r="AD301">
        <f>IF(metadata!D301="",FALSE,TRUE)</f>
        <v>0</v>
      </c>
      <c r="AE301">
        <f>OR(AND(IF(metadata!E301="",FALSE,TRUE),OR(exact(metadata!E301,"missing: not collected"),exact(metadata!E301,"missing: not provided"))),AND(IF(metadata!E301="",FALSE,TRUE),OR(exact(metadata!E301,"TRUE"),exact(metadata!E301,"FALSE"))))</f>
        <v>0</v>
      </c>
      <c r="AF301">
        <f>IF(metadata!F301="",FALSE,TRUE)</f>
        <v>0</v>
      </c>
      <c r="AG301">
        <f>IF(metadata!G301="",FALSE,TRUE)</f>
        <v>0</v>
      </c>
      <c r="AH301">
        <f>IF(metadata!H301="",FALSE,TRUE)</f>
        <v>0</v>
      </c>
      <c r="AI301">
        <f>OR(AND(IF(metadata!I301="",FALSE,TRUE),OR(exact(metadata!I301,"missing: not collected"),exact(metadata!I301,"missing: not provided"),exact(metadata!I301,"missing: restricted access"))),AND(IF(metadata!I301="",FALSE,TRUE),OR(exact(metadata!I301,"air"),exact(metadata!I301,"built environment"),exact(metadata!I301,"host-associated"),exact(metadata!I301,"human-associated"),exact(metadata!I301,"human-skin"),exact(metadata!I301,"human-oral"),exact(metadata!I301,"human-gut"),exact(metadata!I301,"human-vaginal"),exact(metadata!I301,"microbial mat/biofilm"),exact(metadata!I301,"misc environment"),exact(metadata!I301,"plant-associated"),exact(metadata!I301,"sediment"),exact(metadata!I301,"soil"),exact(metadata!I301,"wastewater/sludge"),exact(metadata!I301,"water"))))</f>
        <v>0</v>
      </c>
      <c r="AJ301">
        <f>IF(metadata!J301="",FALSE,TRUE)</f>
        <v>0</v>
      </c>
      <c r="AK301">
        <f>OR(AND(IF(metadata!K301="",FALSE,TRUE),OR(exact(metadata!K301,"missing: not collected"),exact(metadata!K301,"missing: not provided"),exact(metadata!K301,"missing: restricted access"))),AND(IF(metadata!K301="",FALSE,ISNUMBER(VALUE(metadata!K301))),metadata!K301&gt;=-90.00,metadata!K301&lt;=90.00))</f>
        <v>0</v>
      </c>
      <c r="AL301">
        <f>OR(AND(IF(metadata!L301="",FALSE,TRUE),OR(exact(metadata!L301,"missing: not collected"),exact(metadata!L301,"missing: not provided"),exact(metadata!L301,"missing: restricted access"))),AND(IF(metadata!L301="",FALSE,ISNUMBER(VALUE(metadata!L301))),metadata!L301&gt;=-180.00,metadata!L301&lt;=180.00))</f>
        <v>0</v>
      </c>
      <c r="AM301">
        <f>IF(metadata!M301="",FALSE,TRUE)</f>
        <v>0</v>
      </c>
      <c r="AN301">
        <f>OR(AND(IF(metadata!N301="",FALSE,TRUE),OR(exact(metadata!N301,"missing: not collected"),exact(metadata!N301,"missing: not provided"),exact(metadata!N301,"missing: restricted access"))),AND(IF(metadata!N301="",FALSE,TRUE),OR(exact(metadata!N301,"TRUE"),exact(metadata!N301,"FALSE"))))</f>
        <v>0</v>
      </c>
      <c r="AO301">
        <f>IF(metadata!O301="",FALSE,TRUE)</f>
        <v>0</v>
      </c>
      <c r="AP301">
        <f>OR(AND(IF(metadata!P301="",FALSE,TRUE),OR(exact(metadata!P301,"missing: not collected"),exact(metadata!P301,"missing: not provided"))),AND(IF(metadata!P301="",FALSE,IF(ISERROR(INT(metadata!P301)),FALSE,INT(metadata!P301)=metadata!P301)),metadata!P301&gt;0))</f>
        <v>0</v>
      </c>
      <c r="AQ301">
        <f>IF(metadata!Q301="",FALSE,TRUE)</f>
        <v>0</v>
      </c>
    </row>
    <row r="302" spans="1:43">
      <c r="A302" s="5">
        <f>IF(B302=" "," ",HYPERLINK(CONCATENATE("#metadata!",ADDRESS(INDEX($W$2:$W$1001,MATCH(ROWS($U$2:U302),$U$2:$U$1001,0),0),1)),INDEX($Z$2:$Z$1001,MATCH(ROWS($U$2:U302),$U$2:$U$1001,0),0)))</f>
        <v>0</v>
      </c>
      <c r="B302" s="4">
        <f>IF(OR(INDEX($V$2:$V$1001,MATCH(ROWS($U$2:U302),$U$2:$U$1001,0),1)&gt;=100000,INDEX($AB$1005:$AQ$1005,1,MATCH(COLUMNS($AB$1006:AB1006),$AB$1006:$AQ$1006,0))&gt;=100000), " ",IF(INDEX($AB$2:$AQ$1001,MATCH(ROWS($U$2:U302),$U$2:$U$1001,0),MATCH(COLUMNS($AB$1006:AB1006),$AB$1006:$AQ$1006,0)), HYPERLINK("#",""), HYPERLINK(CONCATENATE("#metadata!", ADDRESS(INDEX($W$2:$W$1001,MATCH(ROWS($U$2:U302),$U$2:$U$1001,0),0), INDEX($AB$1004:$AQ$1004,1,MATCH(COLUMNS($AB$1006:AB1006),$AB$1006:$AQ$1006,0)))),"Fix")))</f>
        <v>0</v>
      </c>
      <c r="C302" s="4">
        <f>IF(OR(INDEX($V$2:$V$1001,MATCH(ROWS($U$2:U302),$U$2:$U$1001,0),1)&gt;=100000,INDEX($AB$1005:$AQ$1005,1,MATCH(COLUMNS($AB$1006:AC1006),$AB$1006:$AQ$1006,0))&gt;=100000), " ",IF(INDEX($AB$2:$AQ$1001,MATCH(ROWS($U$2:U302),$U$2:$U$1001,0),MATCH(COLUMNS($AB$1006:AC1006),$AB$1006:$AQ$1006,0)), HYPERLINK("#",""), HYPERLINK(CONCATENATE("#metadata!", ADDRESS(INDEX($W$2:$W$1001,MATCH(ROWS($U$2:U302),$U$2:$U$1001,0),0), INDEX($AB$1004:$AQ$1004,1,MATCH(COLUMNS($AB$1006:AC1006),$AB$1006:$AQ$1006,0)))),"Fix")))</f>
        <v>0</v>
      </c>
      <c r="D302" s="4">
        <f>IF(OR(INDEX($V$2:$V$1001,MATCH(ROWS($U$2:U302),$U$2:$U$1001,0),1)&gt;=100000,INDEX($AB$1005:$AQ$1005,1,MATCH(COLUMNS($AB$1006:AD1006),$AB$1006:$AQ$1006,0))&gt;=100000), " ",IF(INDEX($AB$2:$AQ$1001,MATCH(ROWS($U$2:U302),$U$2:$U$1001,0),MATCH(COLUMNS($AB$1006:AD1006),$AB$1006:$AQ$1006,0)), HYPERLINK("#",""), HYPERLINK(CONCATENATE("#metadata!", ADDRESS(INDEX($W$2:$W$1001,MATCH(ROWS($U$2:U302),$U$2:$U$1001,0),0), INDEX($AB$1004:$AQ$1004,1,MATCH(COLUMNS($AB$1006:AD1006),$AB$1006:$AQ$1006,0)))),"Fix")))</f>
        <v>0</v>
      </c>
      <c r="E302" s="4">
        <f>IF(OR(INDEX($V$2:$V$1001,MATCH(ROWS($U$2:U302),$U$2:$U$1001,0),1)&gt;=100000,INDEX($AB$1005:$AQ$1005,1,MATCH(COLUMNS($AB$1006:AE1006),$AB$1006:$AQ$1006,0))&gt;=100000), " ",IF(INDEX($AB$2:$AQ$1001,MATCH(ROWS($U$2:U302),$U$2:$U$1001,0),MATCH(COLUMNS($AB$1006:AE1006),$AB$1006:$AQ$1006,0)), HYPERLINK("#",""), HYPERLINK(CONCATENATE("#metadata!", ADDRESS(INDEX($W$2:$W$1001,MATCH(ROWS($U$2:U302),$U$2:$U$1001,0),0), INDEX($AB$1004:$AQ$1004,1,MATCH(COLUMNS($AB$1006:AE1006),$AB$1006:$AQ$1006,0)))),"Fix")))</f>
        <v>0</v>
      </c>
      <c r="F302" s="4">
        <f>IF(OR(INDEX($V$2:$V$1001,MATCH(ROWS($U$2:U302),$U$2:$U$1001,0),1)&gt;=100000,INDEX($AB$1005:$AQ$1005,1,MATCH(COLUMNS($AB$1006:AF1006),$AB$1006:$AQ$1006,0))&gt;=100000), " ",IF(INDEX($AB$2:$AQ$1001,MATCH(ROWS($U$2:U302),$U$2:$U$1001,0),MATCH(COLUMNS($AB$1006:AF1006),$AB$1006:$AQ$1006,0)), HYPERLINK("#",""), HYPERLINK(CONCATENATE("#metadata!", ADDRESS(INDEX($W$2:$W$1001,MATCH(ROWS($U$2:U302),$U$2:$U$1001,0),0), INDEX($AB$1004:$AQ$1004,1,MATCH(COLUMNS($AB$1006:AF1006),$AB$1006:$AQ$1006,0)))),"Fix")))</f>
        <v>0</v>
      </c>
      <c r="G302" s="4">
        <f>IF(OR(INDEX($V$2:$V$1001,MATCH(ROWS($U$2:U302),$U$2:$U$1001,0),1)&gt;=100000,INDEX($AB$1005:$AQ$1005,1,MATCH(COLUMNS($AB$1006:AG1006),$AB$1006:$AQ$1006,0))&gt;=100000), " ",IF(INDEX($AB$2:$AQ$1001,MATCH(ROWS($U$2:U302),$U$2:$U$1001,0),MATCH(COLUMNS($AB$1006:AG1006),$AB$1006:$AQ$1006,0)), HYPERLINK("#",""), HYPERLINK(CONCATENATE("#metadata!", ADDRESS(INDEX($W$2:$W$1001,MATCH(ROWS($U$2:U302),$U$2:$U$1001,0),0), INDEX($AB$1004:$AQ$1004,1,MATCH(COLUMNS($AB$1006:AG1006),$AB$1006:$AQ$1006,0)))),"Fix")))</f>
        <v>0</v>
      </c>
      <c r="H302" s="4">
        <f>IF(OR(INDEX($V$2:$V$1001,MATCH(ROWS($U$2:U302),$U$2:$U$1001,0),1)&gt;=100000,INDEX($AB$1005:$AQ$1005,1,MATCH(COLUMNS($AB$1006:AH1006),$AB$1006:$AQ$1006,0))&gt;=100000), " ",IF(INDEX($AB$2:$AQ$1001,MATCH(ROWS($U$2:U302),$U$2:$U$1001,0),MATCH(COLUMNS($AB$1006:AH1006),$AB$1006:$AQ$1006,0)), HYPERLINK("#",""), HYPERLINK(CONCATENATE("#metadata!", ADDRESS(INDEX($W$2:$W$1001,MATCH(ROWS($U$2:U302),$U$2:$U$1001,0),0), INDEX($AB$1004:$AQ$1004,1,MATCH(COLUMNS($AB$1006:AH1006),$AB$1006:$AQ$1006,0)))),"Fix")))</f>
        <v>0</v>
      </c>
      <c r="I302" s="4">
        <f>IF(OR(INDEX($V$2:$V$1001,MATCH(ROWS($U$2:U302),$U$2:$U$1001,0),1)&gt;=100000,INDEX($AB$1005:$AQ$1005,1,MATCH(COLUMNS($AB$1006:AI1006),$AB$1006:$AQ$1006,0))&gt;=100000), " ",IF(INDEX($AB$2:$AQ$1001,MATCH(ROWS($U$2:U302),$U$2:$U$1001,0),MATCH(COLUMNS($AB$1006:AI1006),$AB$1006:$AQ$1006,0)), HYPERLINK("#",""), HYPERLINK(CONCATENATE("#metadata!", ADDRESS(INDEX($W$2:$W$1001,MATCH(ROWS($U$2:U302),$U$2:$U$1001,0),0), INDEX($AB$1004:$AQ$1004,1,MATCH(COLUMNS($AB$1006:AI1006),$AB$1006:$AQ$1006,0)))),"Fix")))</f>
        <v>0</v>
      </c>
      <c r="J302" s="4">
        <f>IF(OR(INDEX($V$2:$V$1001,MATCH(ROWS($U$2:U302),$U$2:$U$1001,0),1)&gt;=100000,INDEX($AB$1005:$AQ$1005,1,MATCH(COLUMNS($AB$1006:AJ1006),$AB$1006:$AQ$1006,0))&gt;=100000), " ",IF(INDEX($AB$2:$AQ$1001,MATCH(ROWS($U$2:U302),$U$2:$U$1001,0),MATCH(COLUMNS($AB$1006:AJ1006),$AB$1006:$AQ$1006,0)), HYPERLINK("#",""), HYPERLINK(CONCATENATE("#metadata!", ADDRESS(INDEX($W$2:$W$1001,MATCH(ROWS($U$2:U302),$U$2:$U$1001,0),0), INDEX($AB$1004:$AQ$1004,1,MATCH(COLUMNS($AB$1006:AJ1006),$AB$1006:$AQ$1006,0)))),"Fix")))</f>
        <v>0</v>
      </c>
      <c r="K302" s="4">
        <f>IF(OR(INDEX($V$2:$V$1001,MATCH(ROWS($U$2:U302),$U$2:$U$1001,0),1)&gt;=100000,INDEX($AB$1005:$AQ$1005,1,MATCH(COLUMNS($AB$1006:AK1006),$AB$1006:$AQ$1006,0))&gt;=100000), " ",IF(INDEX($AB$2:$AQ$1001,MATCH(ROWS($U$2:U302),$U$2:$U$1001,0),MATCH(COLUMNS($AB$1006:AK1006),$AB$1006:$AQ$1006,0)), HYPERLINK("#",""), HYPERLINK(CONCATENATE("#metadata!", ADDRESS(INDEX($W$2:$W$1001,MATCH(ROWS($U$2:U302),$U$2:$U$1001,0),0), INDEX($AB$1004:$AQ$1004,1,MATCH(COLUMNS($AB$1006:AK1006),$AB$1006:$AQ$1006,0)))),"Fix")))</f>
        <v>0</v>
      </c>
      <c r="L302" s="4">
        <f>IF(OR(INDEX($V$2:$V$1001,MATCH(ROWS($U$2:U302),$U$2:$U$1001,0),1)&gt;=100000,INDEX($AB$1005:$AQ$1005,1,MATCH(COLUMNS($AB$1006:AL1006),$AB$1006:$AQ$1006,0))&gt;=100000), " ",IF(INDEX($AB$2:$AQ$1001,MATCH(ROWS($U$2:U302),$U$2:$U$1001,0),MATCH(COLUMNS($AB$1006:AL1006),$AB$1006:$AQ$1006,0)), HYPERLINK("#",""), HYPERLINK(CONCATENATE("#metadata!", ADDRESS(INDEX($W$2:$W$1001,MATCH(ROWS($U$2:U302),$U$2:$U$1001,0),0), INDEX($AB$1004:$AQ$1004,1,MATCH(COLUMNS($AB$1006:AL1006),$AB$1006:$AQ$1006,0)))),"Fix")))</f>
        <v>0</v>
      </c>
      <c r="M302" s="4">
        <f>IF(OR(INDEX($V$2:$V$1001,MATCH(ROWS($U$2:U302),$U$2:$U$1001,0),1)&gt;=100000,INDEX($AB$1005:$AQ$1005,1,MATCH(COLUMNS($AB$1006:AM1006),$AB$1006:$AQ$1006,0))&gt;=100000), " ",IF(INDEX($AB$2:$AQ$1001,MATCH(ROWS($U$2:U302),$U$2:$U$1001,0),MATCH(COLUMNS($AB$1006:AM1006),$AB$1006:$AQ$1006,0)), HYPERLINK("#",""), HYPERLINK(CONCATENATE("#metadata!", ADDRESS(INDEX($W$2:$W$1001,MATCH(ROWS($U$2:U302),$U$2:$U$1001,0),0), INDEX($AB$1004:$AQ$1004,1,MATCH(COLUMNS($AB$1006:AM1006),$AB$1006:$AQ$1006,0)))),"Fix")))</f>
        <v>0</v>
      </c>
      <c r="N302" s="4">
        <f>IF(OR(INDEX($V$2:$V$1001,MATCH(ROWS($U$2:U302),$U$2:$U$1001,0),1)&gt;=100000,INDEX($AB$1005:$AQ$1005,1,MATCH(COLUMNS($AB$1006:AN1006),$AB$1006:$AQ$1006,0))&gt;=100000), " ",IF(INDEX($AB$2:$AQ$1001,MATCH(ROWS($U$2:U302),$U$2:$U$1001,0),MATCH(COLUMNS($AB$1006:AN1006),$AB$1006:$AQ$1006,0)), HYPERLINK("#",""), HYPERLINK(CONCATENATE("#metadata!", ADDRESS(INDEX($W$2:$W$1001,MATCH(ROWS($U$2:U302),$U$2:$U$1001,0),0), INDEX($AB$1004:$AQ$1004,1,MATCH(COLUMNS($AB$1006:AN1006),$AB$1006:$AQ$1006,0)))),"Fix")))</f>
        <v>0</v>
      </c>
      <c r="O302" s="4">
        <f>IF(OR(INDEX($V$2:$V$1001,MATCH(ROWS($U$2:U302),$U$2:$U$1001,0),1)&gt;=100000,INDEX($AB$1005:$AQ$1005,1,MATCH(COLUMNS($AB$1006:AO1006),$AB$1006:$AQ$1006,0))&gt;=100000), " ",IF(INDEX($AB$2:$AQ$1001,MATCH(ROWS($U$2:U302),$U$2:$U$1001,0),MATCH(COLUMNS($AB$1006:AO1006),$AB$1006:$AQ$1006,0)), HYPERLINK("#",""), HYPERLINK(CONCATENATE("#metadata!", ADDRESS(INDEX($W$2:$W$1001,MATCH(ROWS($U$2:U302),$U$2:$U$1001,0),0), INDEX($AB$1004:$AQ$1004,1,MATCH(COLUMNS($AB$1006:AO1006),$AB$1006:$AQ$1006,0)))),"Fix")))</f>
        <v>0</v>
      </c>
      <c r="P302" s="4">
        <f>IF(OR(INDEX($V$2:$V$1001,MATCH(ROWS($U$2:U302),$U$2:$U$1001,0),1)&gt;=100000,INDEX($AB$1005:$AQ$1005,1,MATCH(COLUMNS($AB$1006:AP1006),$AB$1006:$AQ$1006,0))&gt;=100000), " ",IF(INDEX($AB$2:$AQ$1001,MATCH(ROWS($U$2:U302),$U$2:$U$1001,0),MATCH(COLUMNS($AB$1006:AP1006),$AB$1006:$AQ$1006,0)), HYPERLINK("#",""), HYPERLINK(CONCATENATE("#metadata!", ADDRESS(INDEX($W$2:$W$1001,MATCH(ROWS($U$2:U302),$U$2:$U$1001,0),0), INDEX($AB$1004:$AQ$1004,1,MATCH(COLUMNS($AB$1006:AP1006),$AB$1006:$AQ$1006,0)))),"Fix")))</f>
        <v>0</v>
      </c>
      <c r="Q302" s="4">
        <f>IF(OR(INDEX($V$2:$V$1001,MATCH(ROWS($U$2:U302),$U$2:$U$1001,0),1)&gt;=100000,INDEX($AB$1005:$AQ$1005,1,MATCH(COLUMNS($AB$1006:AQ1006),$AB$1006:$AQ$1006,0))&gt;=100000), " ",IF(INDEX($AB$2:$AQ$1001,MATCH(ROWS($U$2:U302),$U$2:$U$1001,0),MATCH(COLUMNS($AB$1006:AQ1006),$AB$1006:$AQ$1006,0)), HYPERLINK("#",""), HYPERLINK(CONCATENATE("#metadata!", ADDRESS(INDEX($W$2:$W$1001,MATCH(ROWS($U$2:U302),$U$2:$U$1001,0),0), INDEX($AB$1004:$AQ$1004,1,MATCH(COLUMNS($AB$1006:AQ1006),$AB$1006:$AQ$1006,0)))),"Fix")))</f>
        <v>0</v>
      </c>
      <c r="U302">
        <v>0</v>
      </c>
      <c r="V302">
        <v>0</v>
      </c>
      <c r="W302">
        <v>0</v>
      </c>
      <c r="X302">
        <f>IF(Y302,TRUE,AND(AB302:AQ302))</f>
        <v>0</v>
      </c>
      <c r="Y302">
        <f>COUNTBLANK(metadata!B302:Q302)=COLUMNS(metadata!B302:Q302)</f>
        <v>0</v>
      </c>
      <c r="Z302">
        <v>0</v>
      </c>
      <c r="AB302">
        <f>AND(IF(metadata!B302="",FALSE,TRUE),COUNTIF(metadata!B:B, metadata!B302) = 1,NOT(ISERROR(SUMPRODUCT(SEARCH(MID(metadata!B302,ROW(INDIRECT("1:"&amp;LEN(metadata!B302))), 1),"0123456789abcdefghijklmnopqrstuvwxyzABCDEFGHIJKLMNOPQRSTUVWXYZ.")))))</f>
        <v>0</v>
      </c>
      <c r="AC302">
        <f>OR(AND(IF(metadata!C302="",FALSE,TRUE),OR(exact(metadata!C302,"missing: not collected"),exact(metadata!C302,"missing: not provided"),exact(metadata!C302,"missing: restricted access"))),AND(IF(metadata!C302="",FALSE,TRUE),AND(AND(IFERROR(INT(LEFT(metadata!C302,4))&gt;1900,FALSE),IFERROR(INT(LEFT(metadata!C302,4))&lt;=YEAR(NOW()),FALSE)), OR(MID(metadata!C302,5,1)="", AND(AND(MID(metadata!C302,5,1)="-",IFERROR(INT(MID(metadata!C302,6,1))&gt;=0,FALSE),IFERROR(INT(MID(metadata!C302,6,1))&lt;=1,FALSE),NOT(MID(metadata!C302,7,1)=""),IFERROR(INT(MID(metadata!C302,6,2))&gt;=1,FALSE),IFERROR(INT(MID(metadata!C302,6,2))&lt;=12,FALSE)), OR(MID(metadata!C302,8,1)="", AND(AND(MID(metadata!C302,8,1)="-",IFERROR(INT(MID(metadata!C302,9,1))&gt;=0,FALSE),IFERROR(INT(MID(metadata!C302,9,1))&lt;=3,FALSE),NOT(MID(metadata!C302,10,1)=""),IFERROR(INT(MID(metadata!C302,9,2))&gt;=1,FALSE),IFERROR(INT(MID(metadata!C302,9,2))&lt;=31,FALSE)), OR(MID(metadata!C302,11,1)="", AND(AND(MID(metadata!C302,11,1)=" ",IFERROR(INT(MID(metadata!C302,12,1))&gt;=0,FALSE),IFERROR(INT(MID(metadata!C302,12,1))&lt;=2,FALSE),NOT(MID(metadata!C302,13,1)=""),IFERROR(INT(MID(metadata!C302,12,2))&gt;=0,FALSE),IFERROR(INT(MID(metadata!C302,12,2))&lt;=23,FALSE)), OR(MID(metadata!C302,14,1)="", AND(AND(MID(metadata!C302,14,1)=":",IFERROR(INT(MID(metadata!C302,15,1))&gt;=0,FALSE),IFERROR(INT(MID(metadata!C302,15,1))&lt;=5,FALSE),NOT(MID(metadata!C302,16,1)=""),IFERROR(INT(MID(metadata!C302,15,2))&gt;=0,FALSE),IFERROR(INT(MID(metadata!C302,15,2))&lt;=59,FALSE)), OR(MID(metadata!C302,17,1)="", AND(AND(MID(metadata!C302,17,1)=":",IFERROR(INT(MID(metadata!C302,18,1))&gt;=0,FALSE),IFERROR(INT(MID(metadata!C302,18,1))&lt;=5,FALSE),NOT(MID(metadata!C302,19,1)=""),IFERROR(INT(MID(metadata!C302,18,2))&gt;=0,FALSE),IFERROR(INT(MID(metadata!C302,18,2))&lt;=59,FALSE)), LEN(metadata!C302)&lt;=19)))))))))))))</f>
        <v>0</v>
      </c>
      <c r="AD302">
        <f>IF(metadata!D302="",FALSE,TRUE)</f>
        <v>0</v>
      </c>
      <c r="AE302">
        <f>OR(AND(IF(metadata!E302="",FALSE,TRUE),OR(exact(metadata!E302,"missing: not collected"),exact(metadata!E302,"missing: not provided"))),AND(IF(metadata!E302="",FALSE,TRUE),OR(exact(metadata!E302,"TRUE"),exact(metadata!E302,"FALSE"))))</f>
        <v>0</v>
      </c>
      <c r="AF302">
        <f>IF(metadata!F302="",FALSE,TRUE)</f>
        <v>0</v>
      </c>
      <c r="AG302">
        <f>IF(metadata!G302="",FALSE,TRUE)</f>
        <v>0</v>
      </c>
      <c r="AH302">
        <f>IF(metadata!H302="",FALSE,TRUE)</f>
        <v>0</v>
      </c>
      <c r="AI302">
        <f>OR(AND(IF(metadata!I302="",FALSE,TRUE),OR(exact(metadata!I302,"missing: not collected"),exact(metadata!I302,"missing: not provided"),exact(metadata!I302,"missing: restricted access"))),AND(IF(metadata!I302="",FALSE,TRUE),OR(exact(metadata!I302,"air"),exact(metadata!I302,"built environment"),exact(metadata!I302,"host-associated"),exact(metadata!I302,"human-associated"),exact(metadata!I302,"human-skin"),exact(metadata!I302,"human-oral"),exact(metadata!I302,"human-gut"),exact(metadata!I302,"human-vaginal"),exact(metadata!I302,"microbial mat/biofilm"),exact(metadata!I302,"misc environment"),exact(metadata!I302,"plant-associated"),exact(metadata!I302,"sediment"),exact(metadata!I302,"soil"),exact(metadata!I302,"wastewater/sludge"),exact(metadata!I302,"water"))))</f>
        <v>0</v>
      </c>
      <c r="AJ302">
        <f>IF(metadata!J302="",FALSE,TRUE)</f>
        <v>0</v>
      </c>
      <c r="AK302">
        <f>OR(AND(IF(metadata!K302="",FALSE,TRUE),OR(exact(metadata!K302,"missing: not collected"),exact(metadata!K302,"missing: not provided"),exact(metadata!K302,"missing: restricted access"))),AND(IF(metadata!K302="",FALSE,ISNUMBER(VALUE(metadata!K302))),metadata!K302&gt;=-90.00,metadata!K302&lt;=90.00))</f>
        <v>0</v>
      </c>
      <c r="AL302">
        <f>OR(AND(IF(metadata!L302="",FALSE,TRUE),OR(exact(metadata!L302,"missing: not collected"),exact(metadata!L302,"missing: not provided"),exact(metadata!L302,"missing: restricted access"))),AND(IF(metadata!L302="",FALSE,ISNUMBER(VALUE(metadata!L302))),metadata!L302&gt;=-180.00,metadata!L302&lt;=180.00))</f>
        <v>0</v>
      </c>
      <c r="AM302">
        <f>IF(metadata!M302="",FALSE,TRUE)</f>
        <v>0</v>
      </c>
      <c r="AN302">
        <f>OR(AND(IF(metadata!N302="",FALSE,TRUE),OR(exact(metadata!N302,"missing: not collected"),exact(metadata!N302,"missing: not provided"),exact(metadata!N302,"missing: restricted access"))),AND(IF(metadata!N302="",FALSE,TRUE),OR(exact(metadata!N302,"TRUE"),exact(metadata!N302,"FALSE"))))</f>
        <v>0</v>
      </c>
      <c r="AO302">
        <f>IF(metadata!O302="",FALSE,TRUE)</f>
        <v>0</v>
      </c>
      <c r="AP302">
        <f>OR(AND(IF(metadata!P302="",FALSE,TRUE),OR(exact(metadata!P302,"missing: not collected"),exact(metadata!P302,"missing: not provided"))),AND(IF(metadata!P302="",FALSE,IF(ISERROR(INT(metadata!P302)),FALSE,INT(metadata!P302)=metadata!P302)),metadata!P302&gt;0))</f>
        <v>0</v>
      </c>
      <c r="AQ302">
        <f>IF(metadata!Q302="",FALSE,TRUE)</f>
        <v>0</v>
      </c>
    </row>
    <row r="303" spans="1:43">
      <c r="A303" s="5">
        <f>IF(B303=" "," ",HYPERLINK(CONCATENATE("#metadata!",ADDRESS(INDEX($W$2:$W$1001,MATCH(ROWS($U$2:U303),$U$2:$U$1001,0),0),1)),INDEX($Z$2:$Z$1001,MATCH(ROWS($U$2:U303),$U$2:$U$1001,0),0)))</f>
        <v>0</v>
      </c>
      <c r="B303" s="4">
        <f>IF(OR(INDEX($V$2:$V$1001,MATCH(ROWS($U$2:U303),$U$2:$U$1001,0),1)&gt;=100000,INDEX($AB$1005:$AQ$1005,1,MATCH(COLUMNS($AB$1006:AB1006),$AB$1006:$AQ$1006,0))&gt;=100000), " ",IF(INDEX($AB$2:$AQ$1001,MATCH(ROWS($U$2:U303),$U$2:$U$1001,0),MATCH(COLUMNS($AB$1006:AB1006),$AB$1006:$AQ$1006,0)), HYPERLINK("#",""), HYPERLINK(CONCATENATE("#metadata!", ADDRESS(INDEX($W$2:$W$1001,MATCH(ROWS($U$2:U303),$U$2:$U$1001,0),0), INDEX($AB$1004:$AQ$1004,1,MATCH(COLUMNS($AB$1006:AB1006),$AB$1006:$AQ$1006,0)))),"Fix")))</f>
        <v>0</v>
      </c>
      <c r="C303" s="4">
        <f>IF(OR(INDEX($V$2:$V$1001,MATCH(ROWS($U$2:U303),$U$2:$U$1001,0),1)&gt;=100000,INDEX($AB$1005:$AQ$1005,1,MATCH(COLUMNS($AB$1006:AC1006),$AB$1006:$AQ$1006,0))&gt;=100000), " ",IF(INDEX($AB$2:$AQ$1001,MATCH(ROWS($U$2:U303),$U$2:$U$1001,0),MATCH(COLUMNS($AB$1006:AC1006),$AB$1006:$AQ$1006,0)), HYPERLINK("#",""), HYPERLINK(CONCATENATE("#metadata!", ADDRESS(INDEX($W$2:$W$1001,MATCH(ROWS($U$2:U303),$U$2:$U$1001,0),0), INDEX($AB$1004:$AQ$1004,1,MATCH(COLUMNS($AB$1006:AC1006),$AB$1006:$AQ$1006,0)))),"Fix")))</f>
        <v>0</v>
      </c>
      <c r="D303" s="4">
        <f>IF(OR(INDEX($V$2:$V$1001,MATCH(ROWS($U$2:U303),$U$2:$U$1001,0),1)&gt;=100000,INDEX($AB$1005:$AQ$1005,1,MATCH(COLUMNS($AB$1006:AD1006),$AB$1006:$AQ$1006,0))&gt;=100000), " ",IF(INDEX($AB$2:$AQ$1001,MATCH(ROWS($U$2:U303),$U$2:$U$1001,0),MATCH(COLUMNS($AB$1006:AD1006),$AB$1006:$AQ$1006,0)), HYPERLINK("#",""), HYPERLINK(CONCATENATE("#metadata!", ADDRESS(INDEX($W$2:$W$1001,MATCH(ROWS($U$2:U303),$U$2:$U$1001,0),0), INDEX($AB$1004:$AQ$1004,1,MATCH(COLUMNS($AB$1006:AD1006),$AB$1006:$AQ$1006,0)))),"Fix")))</f>
        <v>0</v>
      </c>
      <c r="E303" s="4">
        <f>IF(OR(INDEX($V$2:$V$1001,MATCH(ROWS($U$2:U303),$U$2:$U$1001,0),1)&gt;=100000,INDEX($AB$1005:$AQ$1005,1,MATCH(COLUMNS($AB$1006:AE1006),$AB$1006:$AQ$1006,0))&gt;=100000), " ",IF(INDEX($AB$2:$AQ$1001,MATCH(ROWS($U$2:U303),$U$2:$U$1001,0),MATCH(COLUMNS($AB$1006:AE1006),$AB$1006:$AQ$1006,0)), HYPERLINK("#",""), HYPERLINK(CONCATENATE("#metadata!", ADDRESS(INDEX($W$2:$W$1001,MATCH(ROWS($U$2:U303),$U$2:$U$1001,0),0), INDEX($AB$1004:$AQ$1004,1,MATCH(COLUMNS($AB$1006:AE1006),$AB$1006:$AQ$1006,0)))),"Fix")))</f>
        <v>0</v>
      </c>
      <c r="F303" s="4">
        <f>IF(OR(INDEX($V$2:$V$1001,MATCH(ROWS($U$2:U303),$U$2:$U$1001,0),1)&gt;=100000,INDEX($AB$1005:$AQ$1005,1,MATCH(COLUMNS($AB$1006:AF1006),$AB$1006:$AQ$1006,0))&gt;=100000), " ",IF(INDEX($AB$2:$AQ$1001,MATCH(ROWS($U$2:U303),$U$2:$U$1001,0),MATCH(COLUMNS($AB$1006:AF1006),$AB$1006:$AQ$1006,0)), HYPERLINK("#",""), HYPERLINK(CONCATENATE("#metadata!", ADDRESS(INDEX($W$2:$W$1001,MATCH(ROWS($U$2:U303),$U$2:$U$1001,0),0), INDEX($AB$1004:$AQ$1004,1,MATCH(COLUMNS($AB$1006:AF1006),$AB$1006:$AQ$1006,0)))),"Fix")))</f>
        <v>0</v>
      </c>
      <c r="G303" s="4">
        <f>IF(OR(INDEX($V$2:$V$1001,MATCH(ROWS($U$2:U303),$U$2:$U$1001,0),1)&gt;=100000,INDEX($AB$1005:$AQ$1005,1,MATCH(COLUMNS($AB$1006:AG1006),$AB$1006:$AQ$1006,0))&gt;=100000), " ",IF(INDEX($AB$2:$AQ$1001,MATCH(ROWS($U$2:U303),$U$2:$U$1001,0),MATCH(COLUMNS($AB$1006:AG1006),$AB$1006:$AQ$1006,0)), HYPERLINK("#",""), HYPERLINK(CONCATENATE("#metadata!", ADDRESS(INDEX($W$2:$W$1001,MATCH(ROWS($U$2:U303),$U$2:$U$1001,0),0), INDEX($AB$1004:$AQ$1004,1,MATCH(COLUMNS($AB$1006:AG1006),$AB$1006:$AQ$1006,0)))),"Fix")))</f>
        <v>0</v>
      </c>
      <c r="H303" s="4">
        <f>IF(OR(INDEX($V$2:$V$1001,MATCH(ROWS($U$2:U303),$U$2:$U$1001,0),1)&gt;=100000,INDEX($AB$1005:$AQ$1005,1,MATCH(COLUMNS($AB$1006:AH1006),$AB$1006:$AQ$1006,0))&gt;=100000), " ",IF(INDEX($AB$2:$AQ$1001,MATCH(ROWS($U$2:U303),$U$2:$U$1001,0),MATCH(COLUMNS($AB$1006:AH1006),$AB$1006:$AQ$1006,0)), HYPERLINK("#",""), HYPERLINK(CONCATENATE("#metadata!", ADDRESS(INDEX($W$2:$W$1001,MATCH(ROWS($U$2:U303),$U$2:$U$1001,0),0), INDEX($AB$1004:$AQ$1004,1,MATCH(COLUMNS($AB$1006:AH1006),$AB$1006:$AQ$1006,0)))),"Fix")))</f>
        <v>0</v>
      </c>
      <c r="I303" s="4">
        <f>IF(OR(INDEX($V$2:$V$1001,MATCH(ROWS($U$2:U303),$U$2:$U$1001,0),1)&gt;=100000,INDEX($AB$1005:$AQ$1005,1,MATCH(COLUMNS($AB$1006:AI1006),$AB$1006:$AQ$1006,0))&gt;=100000), " ",IF(INDEX($AB$2:$AQ$1001,MATCH(ROWS($U$2:U303),$U$2:$U$1001,0),MATCH(COLUMNS($AB$1006:AI1006),$AB$1006:$AQ$1006,0)), HYPERLINK("#",""), HYPERLINK(CONCATENATE("#metadata!", ADDRESS(INDEX($W$2:$W$1001,MATCH(ROWS($U$2:U303),$U$2:$U$1001,0),0), INDEX($AB$1004:$AQ$1004,1,MATCH(COLUMNS($AB$1006:AI1006),$AB$1006:$AQ$1006,0)))),"Fix")))</f>
        <v>0</v>
      </c>
      <c r="J303" s="4">
        <f>IF(OR(INDEX($V$2:$V$1001,MATCH(ROWS($U$2:U303),$U$2:$U$1001,0),1)&gt;=100000,INDEX($AB$1005:$AQ$1005,1,MATCH(COLUMNS($AB$1006:AJ1006),$AB$1006:$AQ$1006,0))&gt;=100000), " ",IF(INDEX($AB$2:$AQ$1001,MATCH(ROWS($U$2:U303),$U$2:$U$1001,0),MATCH(COLUMNS($AB$1006:AJ1006),$AB$1006:$AQ$1006,0)), HYPERLINK("#",""), HYPERLINK(CONCATENATE("#metadata!", ADDRESS(INDEX($W$2:$W$1001,MATCH(ROWS($U$2:U303),$U$2:$U$1001,0),0), INDEX($AB$1004:$AQ$1004,1,MATCH(COLUMNS($AB$1006:AJ1006),$AB$1006:$AQ$1006,0)))),"Fix")))</f>
        <v>0</v>
      </c>
      <c r="K303" s="4">
        <f>IF(OR(INDEX($V$2:$V$1001,MATCH(ROWS($U$2:U303),$U$2:$U$1001,0),1)&gt;=100000,INDEX($AB$1005:$AQ$1005,1,MATCH(COLUMNS($AB$1006:AK1006),$AB$1006:$AQ$1006,0))&gt;=100000), " ",IF(INDEX($AB$2:$AQ$1001,MATCH(ROWS($U$2:U303),$U$2:$U$1001,0),MATCH(COLUMNS($AB$1006:AK1006),$AB$1006:$AQ$1006,0)), HYPERLINK("#",""), HYPERLINK(CONCATENATE("#metadata!", ADDRESS(INDEX($W$2:$W$1001,MATCH(ROWS($U$2:U303),$U$2:$U$1001,0),0), INDEX($AB$1004:$AQ$1004,1,MATCH(COLUMNS($AB$1006:AK1006),$AB$1006:$AQ$1006,0)))),"Fix")))</f>
        <v>0</v>
      </c>
      <c r="L303" s="4">
        <f>IF(OR(INDEX($V$2:$V$1001,MATCH(ROWS($U$2:U303),$U$2:$U$1001,0),1)&gt;=100000,INDEX($AB$1005:$AQ$1005,1,MATCH(COLUMNS($AB$1006:AL1006),$AB$1006:$AQ$1006,0))&gt;=100000), " ",IF(INDEX($AB$2:$AQ$1001,MATCH(ROWS($U$2:U303),$U$2:$U$1001,0),MATCH(COLUMNS($AB$1006:AL1006),$AB$1006:$AQ$1006,0)), HYPERLINK("#",""), HYPERLINK(CONCATENATE("#metadata!", ADDRESS(INDEX($W$2:$W$1001,MATCH(ROWS($U$2:U303),$U$2:$U$1001,0),0), INDEX($AB$1004:$AQ$1004,1,MATCH(COLUMNS($AB$1006:AL1006),$AB$1006:$AQ$1006,0)))),"Fix")))</f>
        <v>0</v>
      </c>
      <c r="M303" s="4">
        <f>IF(OR(INDEX($V$2:$V$1001,MATCH(ROWS($U$2:U303),$U$2:$U$1001,0),1)&gt;=100000,INDEX($AB$1005:$AQ$1005,1,MATCH(COLUMNS($AB$1006:AM1006),$AB$1006:$AQ$1006,0))&gt;=100000), " ",IF(INDEX($AB$2:$AQ$1001,MATCH(ROWS($U$2:U303),$U$2:$U$1001,0),MATCH(COLUMNS($AB$1006:AM1006),$AB$1006:$AQ$1006,0)), HYPERLINK("#",""), HYPERLINK(CONCATENATE("#metadata!", ADDRESS(INDEX($W$2:$W$1001,MATCH(ROWS($U$2:U303),$U$2:$U$1001,0),0), INDEX($AB$1004:$AQ$1004,1,MATCH(COLUMNS($AB$1006:AM1006),$AB$1006:$AQ$1006,0)))),"Fix")))</f>
        <v>0</v>
      </c>
      <c r="N303" s="4">
        <f>IF(OR(INDEX($V$2:$V$1001,MATCH(ROWS($U$2:U303),$U$2:$U$1001,0),1)&gt;=100000,INDEX($AB$1005:$AQ$1005,1,MATCH(COLUMNS($AB$1006:AN1006),$AB$1006:$AQ$1006,0))&gt;=100000), " ",IF(INDEX($AB$2:$AQ$1001,MATCH(ROWS($U$2:U303),$U$2:$U$1001,0),MATCH(COLUMNS($AB$1006:AN1006),$AB$1006:$AQ$1006,0)), HYPERLINK("#",""), HYPERLINK(CONCATENATE("#metadata!", ADDRESS(INDEX($W$2:$W$1001,MATCH(ROWS($U$2:U303),$U$2:$U$1001,0),0), INDEX($AB$1004:$AQ$1004,1,MATCH(COLUMNS($AB$1006:AN1006),$AB$1006:$AQ$1006,0)))),"Fix")))</f>
        <v>0</v>
      </c>
      <c r="O303" s="4">
        <f>IF(OR(INDEX($V$2:$V$1001,MATCH(ROWS($U$2:U303),$U$2:$U$1001,0),1)&gt;=100000,INDEX($AB$1005:$AQ$1005,1,MATCH(COLUMNS($AB$1006:AO1006),$AB$1006:$AQ$1006,0))&gt;=100000), " ",IF(INDEX($AB$2:$AQ$1001,MATCH(ROWS($U$2:U303),$U$2:$U$1001,0),MATCH(COLUMNS($AB$1006:AO1006),$AB$1006:$AQ$1006,0)), HYPERLINK("#",""), HYPERLINK(CONCATENATE("#metadata!", ADDRESS(INDEX($W$2:$W$1001,MATCH(ROWS($U$2:U303),$U$2:$U$1001,0),0), INDEX($AB$1004:$AQ$1004,1,MATCH(COLUMNS($AB$1006:AO1006),$AB$1006:$AQ$1006,0)))),"Fix")))</f>
        <v>0</v>
      </c>
      <c r="P303" s="4">
        <f>IF(OR(INDEX($V$2:$V$1001,MATCH(ROWS($U$2:U303),$U$2:$U$1001,0),1)&gt;=100000,INDEX($AB$1005:$AQ$1005,1,MATCH(COLUMNS($AB$1006:AP1006),$AB$1006:$AQ$1006,0))&gt;=100000), " ",IF(INDEX($AB$2:$AQ$1001,MATCH(ROWS($U$2:U303),$U$2:$U$1001,0),MATCH(COLUMNS($AB$1006:AP1006),$AB$1006:$AQ$1006,0)), HYPERLINK("#",""), HYPERLINK(CONCATENATE("#metadata!", ADDRESS(INDEX($W$2:$W$1001,MATCH(ROWS($U$2:U303),$U$2:$U$1001,0),0), INDEX($AB$1004:$AQ$1004,1,MATCH(COLUMNS($AB$1006:AP1006),$AB$1006:$AQ$1006,0)))),"Fix")))</f>
        <v>0</v>
      </c>
      <c r="Q303" s="4">
        <f>IF(OR(INDEX($V$2:$V$1001,MATCH(ROWS($U$2:U303),$U$2:$U$1001,0),1)&gt;=100000,INDEX($AB$1005:$AQ$1005,1,MATCH(COLUMNS($AB$1006:AQ1006),$AB$1006:$AQ$1006,0))&gt;=100000), " ",IF(INDEX($AB$2:$AQ$1001,MATCH(ROWS($U$2:U303),$U$2:$U$1001,0),MATCH(COLUMNS($AB$1006:AQ1006),$AB$1006:$AQ$1006,0)), HYPERLINK("#",""), HYPERLINK(CONCATENATE("#metadata!", ADDRESS(INDEX($W$2:$W$1001,MATCH(ROWS($U$2:U303),$U$2:$U$1001,0),0), INDEX($AB$1004:$AQ$1004,1,MATCH(COLUMNS($AB$1006:AQ1006),$AB$1006:$AQ$1006,0)))),"Fix")))</f>
        <v>0</v>
      </c>
      <c r="U303">
        <v>0</v>
      </c>
      <c r="V303">
        <v>0</v>
      </c>
      <c r="W303">
        <v>0</v>
      </c>
      <c r="X303">
        <f>IF(Y303,TRUE,AND(AB303:AQ303))</f>
        <v>0</v>
      </c>
      <c r="Y303">
        <f>COUNTBLANK(metadata!B303:Q303)=COLUMNS(metadata!B303:Q303)</f>
        <v>0</v>
      </c>
      <c r="Z303">
        <v>0</v>
      </c>
      <c r="AB303">
        <f>AND(IF(metadata!B303="",FALSE,TRUE),COUNTIF(metadata!B:B, metadata!B303) = 1,NOT(ISERROR(SUMPRODUCT(SEARCH(MID(metadata!B303,ROW(INDIRECT("1:"&amp;LEN(metadata!B303))), 1),"0123456789abcdefghijklmnopqrstuvwxyzABCDEFGHIJKLMNOPQRSTUVWXYZ.")))))</f>
        <v>0</v>
      </c>
      <c r="AC303">
        <f>OR(AND(IF(metadata!C303="",FALSE,TRUE),OR(exact(metadata!C303,"missing: not collected"),exact(metadata!C303,"missing: not provided"),exact(metadata!C303,"missing: restricted access"))),AND(IF(metadata!C303="",FALSE,TRUE),AND(AND(IFERROR(INT(LEFT(metadata!C303,4))&gt;1900,FALSE),IFERROR(INT(LEFT(metadata!C303,4))&lt;=YEAR(NOW()),FALSE)), OR(MID(metadata!C303,5,1)="", AND(AND(MID(metadata!C303,5,1)="-",IFERROR(INT(MID(metadata!C303,6,1))&gt;=0,FALSE),IFERROR(INT(MID(metadata!C303,6,1))&lt;=1,FALSE),NOT(MID(metadata!C303,7,1)=""),IFERROR(INT(MID(metadata!C303,6,2))&gt;=1,FALSE),IFERROR(INT(MID(metadata!C303,6,2))&lt;=12,FALSE)), OR(MID(metadata!C303,8,1)="", AND(AND(MID(metadata!C303,8,1)="-",IFERROR(INT(MID(metadata!C303,9,1))&gt;=0,FALSE),IFERROR(INT(MID(metadata!C303,9,1))&lt;=3,FALSE),NOT(MID(metadata!C303,10,1)=""),IFERROR(INT(MID(metadata!C303,9,2))&gt;=1,FALSE),IFERROR(INT(MID(metadata!C303,9,2))&lt;=31,FALSE)), OR(MID(metadata!C303,11,1)="", AND(AND(MID(metadata!C303,11,1)=" ",IFERROR(INT(MID(metadata!C303,12,1))&gt;=0,FALSE),IFERROR(INT(MID(metadata!C303,12,1))&lt;=2,FALSE),NOT(MID(metadata!C303,13,1)=""),IFERROR(INT(MID(metadata!C303,12,2))&gt;=0,FALSE),IFERROR(INT(MID(metadata!C303,12,2))&lt;=23,FALSE)), OR(MID(metadata!C303,14,1)="", AND(AND(MID(metadata!C303,14,1)=":",IFERROR(INT(MID(metadata!C303,15,1))&gt;=0,FALSE),IFERROR(INT(MID(metadata!C303,15,1))&lt;=5,FALSE),NOT(MID(metadata!C303,16,1)=""),IFERROR(INT(MID(metadata!C303,15,2))&gt;=0,FALSE),IFERROR(INT(MID(metadata!C303,15,2))&lt;=59,FALSE)), OR(MID(metadata!C303,17,1)="", AND(AND(MID(metadata!C303,17,1)=":",IFERROR(INT(MID(metadata!C303,18,1))&gt;=0,FALSE),IFERROR(INT(MID(metadata!C303,18,1))&lt;=5,FALSE),NOT(MID(metadata!C303,19,1)=""),IFERROR(INT(MID(metadata!C303,18,2))&gt;=0,FALSE),IFERROR(INT(MID(metadata!C303,18,2))&lt;=59,FALSE)), LEN(metadata!C303)&lt;=19)))))))))))))</f>
        <v>0</v>
      </c>
      <c r="AD303">
        <f>IF(metadata!D303="",FALSE,TRUE)</f>
        <v>0</v>
      </c>
      <c r="AE303">
        <f>OR(AND(IF(metadata!E303="",FALSE,TRUE),OR(exact(metadata!E303,"missing: not collected"),exact(metadata!E303,"missing: not provided"))),AND(IF(metadata!E303="",FALSE,TRUE),OR(exact(metadata!E303,"TRUE"),exact(metadata!E303,"FALSE"))))</f>
        <v>0</v>
      </c>
      <c r="AF303">
        <f>IF(metadata!F303="",FALSE,TRUE)</f>
        <v>0</v>
      </c>
      <c r="AG303">
        <f>IF(metadata!G303="",FALSE,TRUE)</f>
        <v>0</v>
      </c>
      <c r="AH303">
        <f>IF(metadata!H303="",FALSE,TRUE)</f>
        <v>0</v>
      </c>
      <c r="AI303">
        <f>OR(AND(IF(metadata!I303="",FALSE,TRUE),OR(exact(metadata!I303,"missing: not collected"),exact(metadata!I303,"missing: not provided"),exact(metadata!I303,"missing: restricted access"))),AND(IF(metadata!I303="",FALSE,TRUE),OR(exact(metadata!I303,"air"),exact(metadata!I303,"built environment"),exact(metadata!I303,"host-associated"),exact(metadata!I303,"human-associated"),exact(metadata!I303,"human-skin"),exact(metadata!I303,"human-oral"),exact(metadata!I303,"human-gut"),exact(metadata!I303,"human-vaginal"),exact(metadata!I303,"microbial mat/biofilm"),exact(metadata!I303,"misc environment"),exact(metadata!I303,"plant-associated"),exact(metadata!I303,"sediment"),exact(metadata!I303,"soil"),exact(metadata!I303,"wastewater/sludge"),exact(metadata!I303,"water"))))</f>
        <v>0</v>
      </c>
      <c r="AJ303">
        <f>IF(metadata!J303="",FALSE,TRUE)</f>
        <v>0</v>
      </c>
      <c r="AK303">
        <f>OR(AND(IF(metadata!K303="",FALSE,TRUE),OR(exact(metadata!K303,"missing: not collected"),exact(metadata!K303,"missing: not provided"),exact(metadata!K303,"missing: restricted access"))),AND(IF(metadata!K303="",FALSE,ISNUMBER(VALUE(metadata!K303))),metadata!K303&gt;=-90.00,metadata!K303&lt;=90.00))</f>
        <v>0</v>
      </c>
      <c r="AL303">
        <f>OR(AND(IF(metadata!L303="",FALSE,TRUE),OR(exact(metadata!L303,"missing: not collected"),exact(metadata!L303,"missing: not provided"),exact(metadata!L303,"missing: restricted access"))),AND(IF(metadata!L303="",FALSE,ISNUMBER(VALUE(metadata!L303))),metadata!L303&gt;=-180.00,metadata!L303&lt;=180.00))</f>
        <v>0</v>
      </c>
      <c r="AM303">
        <f>IF(metadata!M303="",FALSE,TRUE)</f>
        <v>0</v>
      </c>
      <c r="AN303">
        <f>OR(AND(IF(metadata!N303="",FALSE,TRUE),OR(exact(metadata!N303,"missing: not collected"),exact(metadata!N303,"missing: not provided"),exact(metadata!N303,"missing: restricted access"))),AND(IF(metadata!N303="",FALSE,TRUE),OR(exact(metadata!N303,"TRUE"),exact(metadata!N303,"FALSE"))))</f>
        <v>0</v>
      </c>
      <c r="AO303">
        <f>IF(metadata!O303="",FALSE,TRUE)</f>
        <v>0</v>
      </c>
      <c r="AP303">
        <f>OR(AND(IF(metadata!P303="",FALSE,TRUE),OR(exact(metadata!P303,"missing: not collected"),exact(metadata!P303,"missing: not provided"))),AND(IF(metadata!P303="",FALSE,IF(ISERROR(INT(metadata!P303)),FALSE,INT(metadata!P303)=metadata!P303)),metadata!P303&gt;0))</f>
        <v>0</v>
      </c>
      <c r="AQ303">
        <f>IF(metadata!Q303="",FALSE,TRUE)</f>
        <v>0</v>
      </c>
    </row>
    <row r="304" spans="1:43">
      <c r="A304" s="5">
        <f>IF(B304=" "," ",HYPERLINK(CONCATENATE("#metadata!",ADDRESS(INDEX($W$2:$W$1001,MATCH(ROWS($U$2:U304),$U$2:$U$1001,0),0),1)),INDEX($Z$2:$Z$1001,MATCH(ROWS($U$2:U304),$U$2:$U$1001,0),0)))</f>
        <v>0</v>
      </c>
      <c r="B304" s="4">
        <f>IF(OR(INDEX($V$2:$V$1001,MATCH(ROWS($U$2:U304),$U$2:$U$1001,0),1)&gt;=100000,INDEX($AB$1005:$AQ$1005,1,MATCH(COLUMNS($AB$1006:AB1006),$AB$1006:$AQ$1006,0))&gt;=100000), " ",IF(INDEX($AB$2:$AQ$1001,MATCH(ROWS($U$2:U304),$U$2:$U$1001,0),MATCH(COLUMNS($AB$1006:AB1006),$AB$1006:$AQ$1006,0)), HYPERLINK("#",""), HYPERLINK(CONCATENATE("#metadata!", ADDRESS(INDEX($W$2:$W$1001,MATCH(ROWS($U$2:U304),$U$2:$U$1001,0),0), INDEX($AB$1004:$AQ$1004,1,MATCH(COLUMNS($AB$1006:AB1006),$AB$1006:$AQ$1006,0)))),"Fix")))</f>
        <v>0</v>
      </c>
      <c r="C304" s="4">
        <f>IF(OR(INDEX($V$2:$V$1001,MATCH(ROWS($U$2:U304),$U$2:$U$1001,0),1)&gt;=100000,INDEX($AB$1005:$AQ$1005,1,MATCH(COLUMNS($AB$1006:AC1006),$AB$1006:$AQ$1006,0))&gt;=100000), " ",IF(INDEX($AB$2:$AQ$1001,MATCH(ROWS($U$2:U304),$U$2:$U$1001,0),MATCH(COLUMNS($AB$1006:AC1006),$AB$1006:$AQ$1006,0)), HYPERLINK("#",""), HYPERLINK(CONCATENATE("#metadata!", ADDRESS(INDEX($W$2:$W$1001,MATCH(ROWS($U$2:U304),$U$2:$U$1001,0),0), INDEX($AB$1004:$AQ$1004,1,MATCH(COLUMNS($AB$1006:AC1006),$AB$1006:$AQ$1006,0)))),"Fix")))</f>
        <v>0</v>
      </c>
      <c r="D304" s="4">
        <f>IF(OR(INDEX($V$2:$V$1001,MATCH(ROWS($U$2:U304),$U$2:$U$1001,0),1)&gt;=100000,INDEX($AB$1005:$AQ$1005,1,MATCH(COLUMNS($AB$1006:AD1006),$AB$1006:$AQ$1006,0))&gt;=100000), " ",IF(INDEX($AB$2:$AQ$1001,MATCH(ROWS($U$2:U304),$U$2:$U$1001,0),MATCH(COLUMNS($AB$1006:AD1006),$AB$1006:$AQ$1006,0)), HYPERLINK("#",""), HYPERLINK(CONCATENATE("#metadata!", ADDRESS(INDEX($W$2:$W$1001,MATCH(ROWS($U$2:U304),$U$2:$U$1001,0),0), INDEX($AB$1004:$AQ$1004,1,MATCH(COLUMNS($AB$1006:AD1006),$AB$1006:$AQ$1006,0)))),"Fix")))</f>
        <v>0</v>
      </c>
      <c r="E304" s="4">
        <f>IF(OR(INDEX($V$2:$V$1001,MATCH(ROWS($U$2:U304),$U$2:$U$1001,0),1)&gt;=100000,INDEX($AB$1005:$AQ$1005,1,MATCH(COLUMNS($AB$1006:AE1006),$AB$1006:$AQ$1006,0))&gt;=100000), " ",IF(INDEX($AB$2:$AQ$1001,MATCH(ROWS($U$2:U304),$U$2:$U$1001,0),MATCH(COLUMNS($AB$1006:AE1006),$AB$1006:$AQ$1006,0)), HYPERLINK("#",""), HYPERLINK(CONCATENATE("#metadata!", ADDRESS(INDEX($W$2:$W$1001,MATCH(ROWS($U$2:U304),$U$2:$U$1001,0),0), INDEX($AB$1004:$AQ$1004,1,MATCH(COLUMNS($AB$1006:AE1006),$AB$1006:$AQ$1006,0)))),"Fix")))</f>
        <v>0</v>
      </c>
      <c r="F304" s="4">
        <f>IF(OR(INDEX($V$2:$V$1001,MATCH(ROWS($U$2:U304),$U$2:$U$1001,0),1)&gt;=100000,INDEX($AB$1005:$AQ$1005,1,MATCH(COLUMNS($AB$1006:AF1006),$AB$1006:$AQ$1006,0))&gt;=100000), " ",IF(INDEX($AB$2:$AQ$1001,MATCH(ROWS($U$2:U304),$U$2:$U$1001,0),MATCH(COLUMNS($AB$1006:AF1006),$AB$1006:$AQ$1006,0)), HYPERLINK("#",""), HYPERLINK(CONCATENATE("#metadata!", ADDRESS(INDEX($W$2:$W$1001,MATCH(ROWS($U$2:U304),$U$2:$U$1001,0),0), INDEX($AB$1004:$AQ$1004,1,MATCH(COLUMNS($AB$1006:AF1006),$AB$1006:$AQ$1006,0)))),"Fix")))</f>
        <v>0</v>
      </c>
      <c r="G304" s="4">
        <f>IF(OR(INDEX($V$2:$V$1001,MATCH(ROWS($U$2:U304),$U$2:$U$1001,0),1)&gt;=100000,INDEX($AB$1005:$AQ$1005,1,MATCH(COLUMNS($AB$1006:AG1006),$AB$1006:$AQ$1006,0))&gt;=100000), " ",IF(INDEX($AB$2:$AQ$1001,MATCH(ROWS($U$2:U304),$U$2:$U$1001,0),MATCH(COLUMNS($AB$1006:AG1006),$AB$1006:$AQ$1006,0)), HYPERLINK("#",""), HYPERLINK(CONCATENATE("#metadata!", ADDRESS(INDEX($W$2:$W$1001,MATCH(ROWS($U$2:U304),$U$2:$U$1001,0),0), INDEX($AB$1004:$AQ$1004,1,MATCH(COLUMNS($AB$1006:AG1006),$AB$1006:$AQ$1006,0)))),"Fix")))</f>
        <v>0</v>
      </c>
      <c r="H304" s="4">
        <f>IF(OR(INDEX($V$2:$V$1001,MATCH(ROWS($U$2:U304),$U$2:$U$1001,0),1)&gt;=100000,INDEX($AB$1005:$AQ$1005,1,MATCH(COLUMNS($AB$1006:AH1006),$AB$1006:$AQ$1006,0))&gt;=100000), " ",IF(INDEX($AB$2:$AQ$1001,MATCH(ROWS($U$2:U304),$U$2:$U$1001,0),MATCH(COLUMNS($AB$1006:AH1006),$AB$1006:$AQ$1006,0)), HYPERLINK("#",""), HYPERLINK(CONCATENATE("#metadata!", ADDRESS(INDEX($W$2:$W$1001,MATCH(ROWS($U$2:U304),$U$2:$U$1001,0),0), INDEX($AB$1004:$AQ$1004,1,MATCH(COLUMNS($AB$1006:AH1006),$AB$1006:$AQ$1006,0)))),"Fix")))</f>
        <v>0</v>
      </c>
      <c r="I304" s="4">
        <f>IF(OR(INDEX($V$2:$V$1001,MATCH(ROWS($U$2:U304),$U$2:$U$1001,0),1)&gt;=100000,INDEX($AB$1005:$AQ$1005,1,MATCH(COLUMNS($AB$1006:AI1006),$AB$1006:$AQ$1006,0))&gt;=100000), " ",IF(INDEX($AB$2:$AQ$1001,MATCH(ROWS($U$2:U304),$U$2:$U$1001,0),MATCH(COLUMNS($AB$1006:AI1006),$AB$1006:$AQ$1006,0)), HYPERLINK("#",""), HYPERLINK(CONCATENATE("#metadata!", ADDRESS(INDEX($W$2:$W$1001,MATCH(ROWS($U$2:U304),$U$2:$U$1001,0),0), INDEX($AB$1004:$AQ$1004,1,MATCH(COLUMNS($AB$1006:AI1006),$AB$1006:$AQ$1006,0)))),"Fix")))</f>
        <v>0</v>
      </c>
      <c r="J304" s="4">
        <f>IF(OR(INDEX($V$2:$V$1001,MATCH(ROWS($U$2:U304),$U$2:$U$1001,0),1)&gt;=100000,INDEX($AB$1005:$AQ$1005,1,MATCH(COLUMNS($AB$1006:AJ1006),$AB$1006:$AQ$1006,0))&gt;=100000), " ",IF(INDEX($AB$2:$AQ$1001,MATCH(ROWS($U$2:U304),$U$2:$U$1001,0),MATCH(COLUMNS($AB$1006:AJ1006),$AB$1006:$AQ$1006,0)), HYPERLINK("#",""), HYPERLINK(CONCATENATE("#metadata!", ADDRESS(INDEX($W$2:$W$1001,MATCH(ROWS($U$2:U304),$U$2:$U$1001,0),0), INDEX($AB$1004:$AQ$1004,1,MATCH(COLUMNS($AB$1006:AJ1006),$AB$1006:$AQ$1006,0)))),"Fix")))</f>
        <v>0</v>
      </c>
      <c r="K304" s="4">
        <f>IF(OR(INDEX($V$2:$V$1001,MATCH(ROWS($U$2:U304),$U$2:$U$1001,0),1)&gt;=100000,INDEX($AB$1005:$AQ$1005,1,MATCH(COLUMNS($AB$1006:AK1006),$AB$1006:$AQ$1006,0))&gt;=100000), " ",IF(INDEX($AB$2:$AQ$1001,MATCH(ROWS($U$2:U304),$U$2:$U$1001,0),MATCH(COLUMNS($AB$1006:AK1006),$AB$1006:$AQ$1006,0)), HYPERLINK("#",""), HYPERLINK(CONCATENATE("#metadata!", ADDRESS(INDEX($W$2:$W$1001,MATCH(ROWS($U$2:U304),$U$2:$U$1001,0),0), INDEX($AB$1004:$AQ$1004,1,MATCH(COLUMNS($AB$1006:AK1006),$AB$1006:$AQ$1006,0)))),"Fix")))</f>
        <v>0</v>
      </c>
      <c r="L304" s="4">
        <f>IF(OR(INDEX($V$2:$V$1001,MATCH(ROWS($U$2:U304),$U$2:$U$1001,0),1)&gt;=100000,INDEX($AB$1005:$AQ$1005,1,MATCH(COLUMNS($AB$1006:AL1006),$AB$1006:$AQ$1006,0))&gt;=100000), " ",IF(INDEX($AB$2:$AQ$1001,MATCH(ROWS($U$2:U304),$U$2:$U$1001,0),MATCH(COLUMNS($AB$1006:AL1006),$AB$1006:$AQ$1006,0)), HYPERLINK("#",""), HYPERLINK(CONCATENATE("#metadata!", ADDRESS(INDEX($W$2:$W$1001,MATCH(ROWS($U$2:U304),$U$2:$U$1001,0),0), INDEX($AB$1004:$AQ$1004,1,MATCH(COLUMNS($AB$1006:AL1006),$AB$1006:$AQ$1006,0)))),"Fix")))</f>
        <v>0</v>
      </c>
      <c r="M304" s="4">
        <f>IF(OR(INDEX($V$2:$V$1001,MATCH(ROWS($U$2:U304),$U$2:$U$1001,0),1)&gt;=100000,INDEX($AB$1005:$AQ$1005,1,MATCH(COLUMNS($AB$1006:AM1006),$AB$1006:$AQ$1006,0))&gt;=100000), " ",IF(INDEX($AB$2:$AQ$1001,MATCH(ROWS($U$2:U304),$U$2:$U$1001,0),MATCH(COLUMNS($AB$1006:AM1006),$AB$1006:$AQ$1006,0)), HYPERLINK("#",""), HYPERLINK(CONCATENATE("#metadata!", ADDRESS(INDEX($W$2:$W$1001,MATCH(ROWS($U$2:U304),$U$2:$U$1001,0),0), INDEX($AB$1004:$AQ$1004,1,MATCH(COLUMNS($AB$1006:AM1006),$AB$1006:$AQ$1006,0)))),"Fix")))</f>
        <v>0</v>
      </c>
      <c r="N304" s="4">
        <f>IF(OR(INDEX($V$2:$V$1001,MATCH(ROWS($U$2:U304),$U$2:$U$1001,0),1)&gt;=100000,INDEX($AB$1005:$AQ$1005,1,MATCH(COLUMNS($AB$1006:AN1006),$AB$1006:$AQ$1006,0))&gt;=100000), " ",IF(INDEX($AB$2:$AQ$1001,MATCH(ROWS($U$2:U304),$U$2:$U$1001,0),MATCH(COLUMNS($AB$1006:AN1006),$AB$1006:$AQ$1006,0)), HYPERLINK("#",""), HYPERLINK(CONCATENATE("#metadata!", ADDRESS(INDEX($W$2:$W$1001,MATCH(ROWS($U$2:U304),$U$2:$U$1001,0),0), INDEX($AB$1004:$AQ$1004,1,MATCH(COLUMNS($AB$1006:AN1006),$AB$1006:$AQ$1006,0)))),"Fix")))</f>
        <v>0</v>
      </c>
      <c r="O304" s="4">
        <f>IF(OR(INDEX($V$2:$V$1001,MATCH(ROWS($U$2:U304),$U$2:$U$1001,0),1)&gt;=100000,INDEX($AB$1005:$AQ$1005,1,MATCH(COLUMNS($AB$1006:AO1006),$AB$1006:$AQ$1006,0))&gt;=100000), " ",IF(INDEX($AB$2:$AQ$1001,MATCH(ROWS($U$2:U304),$U$2:$U$1001,0),MATCH(COLUMNS($AB$1006:AO1006),$AB$1006:$AQ$1006,0)), HYPERLINK("#",""), HYPERLINK(CONCATENATE("#metadata!", ADDRESS(INDEX($W$2:$W$1001,MATCH(ROWS($U$2:U304),$U$2:$U$1001,0),0), INDEX($AB$1004:$AQ$1004,1,MATCH(COLUMNS($AB$1006:AO1006),$AB$1006:$AQ$1006,0)))),"Fix")))</f>
        <v>0</v>
      </c>
      <c r="P304" s="4">
        <f>IF(OR(INDEX($V$2:$V$1001,MATCH(ROWS($U$2:U304),$U$2:$U$1001,0),1)&gt;=100000,INDEX($AB$1005:$AQ$1005,1,MATCH(COLUMNS($AB$1006:AP1006),$AB$1006:$AQ$1006,0))&gt;=100000), " ",IF(INDEX($AB$2:$AQ$1001,MATCH(ROWS($U$2:U304),$U$2:$U$1001,0),MATCH(COLUMNS($AB$1006:AP1006),$AB$1006:$AQ$1006,0)), HYPERLINK("#",""), HYPERLINK(CONCATENATE("#metadata!", ADDRESS(INDEX($W$2:$W$1001,MATCH(ROWS($U$2:U304),$U$2:$U$1001,0),0), INDEX($AB$1004:$AQ$1004,1,MATCH(COLUMNS($AB$1006:AP1006),$AB$1006:$AQ$1006,0)))),"Fix")))</f>
        <v>0</v>
      </c>
      <c r="Q304" s="4">
        <f>IF(OR(INDEX($V$2:$V$1001,MATCH(ROWS($U$2:U304),$U$2:$U$1001,0),1)&gt;=100000,INDEX($AB$1005:$AQ$1005,1,MATCH(COLUMNS($AB$1006:AQ1006),$AB$1006:$AQ$1006,0))&gt;=100000), " ",IF(INDEX($AB$2:$AQ$1001,MATCH(ROWS($U$2:U304),$U$2:$U$1001,0),MATCH(COLUMNS($AB$1006:AQ1006),$AB$1006:$AQ$1006,0)), HYPERLINK("#",""), HYPERLINK(CONCATENATE("#metadata!", ADDRESS(INDEX($W$2:$W$1001,MATCH(ROWS($U$2:U304),$U$2:$U$1001,0),0), INDEX($AB$1004:$AQ$1004,1,MATCH(COLUMNS($AB$1006:AQ1006),$AB$1006:$AQ$1006,0)))),"Fix")))</f>
        <v>0</v>
      </c>
      <c r="U304">
        <v>0</v>
      </c>
      <c r="V304">
        <v>0</v>
      </c>
      <c r="W304">
        <v>0</v>
      </c>
      <c r="X304">
        <f>IF(Y304,TRUE,AND(AB304:AQ304))</f>
        <v>0</v>
      </c>
      <c r="Y304">
        <f>COUNTBLANK(metadata!B304:Q304)=COLUMNS(metadata!B304:Q304)</f>
        <v>0</v>
      </c>
      <c r="Z304">
        <v>0</v>
      </c>
      <c r="AB304">
        <f>AND(IF(metadata!B304="",FALSE,TRUE),COUNTIF(metadata!B:B, metadata!B304) = 1,NOT(ISERROR(SUMPRODUCT(SEARCH(MID(metadata!B304,ROW(INDIRECT("1:"&amp;LEN(metadata!B304))), 1),"0123456789abcdefghijklmnopqrstuvwxyzABCDEFGHIJKLMNOPQRSTUVWXYZ.")))))</f>
        <v>0</v>
      </c>
      <c r="AC304">
        <f>OR(AND(IF(metadata!C304="",FALSE,TRUE),OR(exact(metadata!C304,"missing: not collected"),exact(metadata!C304,"missing: not provided"),exact(metadata!C304,"missing: restricted access"))),AND(IF(metadata!C304="",FALSE,TRUE),AND(AND(IFERROR(INT(LEFT(metadata!C304,4))&gt;1900,FALSE),IFERROR(INT(LEFT(metadata!C304,4))&lt;=YEAR(NOW()),FALSE)), OR(MID(metadata!C304,5,1)="", AND(AND(MID(metadata!C304,5,1)="-",IFERROR(INT(MID(metadata!C304,6,1))&gt;=0,FALSE),IFERROR(INT(MID(metadata!C304,6,1))&lt;=1,FALSE),NOT(MID(metadata!C304,7,1)=""),IFERROR(INT(MID(metadata!C304,6,2))&gt;=1,FALSE),IFERROR(INT(MID(metadata!C304,6,2))&lt;=12,FALSE)), OR(MID(metadata!C304,8,1)="", AND(AND(MID(metadata!C304,8,1)="-",IFERROR(INT(MID(metadata!C304,9,1))&gt;=0,FALSE),IFERROR(INT(MID(metadata!C304,9,1))&lt;=3,FALSE),NOT(MID(metadata!C304,10,1)=""),IFERROR(INT(MID(metadata!C304,9,2))&gt;=1,FALSE),IFERROR(INT(MID(metadata!C304,9,2))&lt;=31,FALSE)), OR(MID(metadata!C304,11,1)="", AND(AND(MID(metadata!C304,11,1)=" ",IFERROR(INT(MID(metadata!C304,12,1))&gt;=0,FALSE),IFERROR(INT(MID(metadata!C304,12,1))&lt;=2,FALSE),NOT(MID(metadata!C304,13,1)=""),IFERROR(INT(MID(metadata!C304,12,2))&gt;=0,FALSE),IFERROR(INT(MID(metadata!C304,12,2))&lt;=23,FALSE)), OR(MID(metadata!C304,14,1)="", AND(AND(MID(metadata!C304,14,1)=":",IFERROR(INT(MID(metadata!C304,15,1))&gt;=0,FALSE),IFERROR(INT(MID(metadata!C304,15,1))&lt;=5,FALSE),NOT(MID(metadata!C304,16,1)=""),IFERROR(INT(MID(metadata!C304,15,2))&gt;=0,FALSE),IFERROR(INT(MID(metadata!C304,15,2))&lt;=59,FALSE)), OR(MID(metadata!C304,17,1)="", AND(AND(MID(metadata!C304,17,1)=":",IFERROR(INT(MID(metadata!C304,18,1))&gt;=0,FALSE),IFERROR(INT(MID(metadata!C304,18,1))&lt;=5,FALSE),NOT(MID(metadata!C304,19,1)=""),IFERROR(INT(MID(metadata!C304,18,2))&gt;=0,FALSE),IFERROR(INT(MID(metadata!C304,18,2))&lt;=59,FALSE)), LEN(metadata!C304)&lt;=19)))))))))))))</f>
        <v>0</v>
      </c>
      <c r="AD304">
        <f>IF(metadata!D304="",FALSE,TRUE)</f>
        <v>0</v>
      </c>
      <c r="AE304">
        <f>OR(AND(IF(metadata!E304="",FALSE,TRUE),OR(exact(metadata!E304,"missing: not collected"),exact(metadata!E304,"missing: not provided"))),AND(IF(metadata!E304="",FALSE,TRUE),OR(exact(metadata!E304,"TRUE"),exact(metadata!E304,"FALSE"))))</f>
        <v>0</v>
      </c>
      <c r="AF304">
        <f>IF(metadata!F304="",FALSE,TRUE)</f>
        <v>0</v>
      </c>
      <c r="AG304">
        <f>IF(metadata!G304="",FALSE,TRUE)</f>
        <v>0</v>
      </c>
      <c r="AH304">
        <f>IF(metadata!H304="",FALSE,TRUE)</f>
        <v>0</v>
      </c>
      <c r="AI304">
        <f>OR(AND(IF(metadata!I304="",FALSE,TRUE),OR(exact(metadata!I304,"missing: not collected"),exact(metadata!I304,"missing: not provided"),exact(metadata!I304,"missing: restricted access"))),AND(IF(metadata!I304="",FALSE,TRUE),OR(exact(metadata!I304,"air"),exact(metadata!I304,"built environment"),exact(metadata!I304,"host-associated"),exact(metadata!I304,"human-associated"),exact(metadata!I304,"human-skin"),exact(metadata!I304,"human-oral"),exact(metadata!I304,"human-gut"),exact(metadata!I304,"human-vaginal"),exact(metadata!I304,"microbial mat/biofilm"),exact(metadata!I304,"misc environment"),exact(metadata!I304,"plant-associated"),exact(metadata!I304,"sediment"),exact(metadata!I304,"soil"),exact(metadata!I304,"wastewater/sludge"),exact(metadata!I304,"water"))))</f>
        <v>0</v>
      </c>
      <c r="AJ304">
        <f>IF(metadata!J304="",FALSE,TRUE)</f>
        <v>0</v>
      </c>
      <c r="AK304">
        <f>OR(AND(IF(metadata!K304="",FALSE,TRUE),OR(exact(metadata!K304,"missing: not collected"),exact(metadata!K304,"missing: not provided"),exact(metadata!K304,"missing: restricted access"))),AND(IF(metadata!K304="",FALSE,ISNUMBER(VALUE(metadata!K304))),metadata!K304&gt;=-90.00,metadata!K304&lt;=90.00))</f>
        <v>0</v>
      </c>
      <c r="AL304">
        <f>OR(AND(IF(metadata!L304="",FALSE,TRUE),OR(exact(metadata!L304,"missing: not collected"),exact(metadata!L304,"missing: not provided"),exact(metadata!L304,"missing: restricted access"))),AND(IF(metadata!L304="",FALSE,ISNUMBER(VALUE(metadata!L304))),metadata!L304&gt;=-180.00,metadata!L304&lt;=180.00))</f>
        <v>0</v>
      </c>
      <c r="AM304">
        <f>IF(metadata!M304="",FALSE,TRUE)</f>
        <v>0</v>
      </c>
      <c r="AN304">
        <f>OR(AND(IF(metadata!N304="",FALSE,TRUE),OR(exact(metadata!N304,"missing: not collected"),exact(metadata!N304,"missing: not provided"),exact(metadata!N304,"missing: restricted access"))),AND(IF(metadata!N304="",FALSE,TRUE),OR(exact(metadata!N304,"TRUE"),exact(metadata!N304,"FALSE"))))</f>
        <v>0</v>
      </c>
      <c r="AO304">
        <f>IF(metadata!O304="",FALSE,TRUE)</f>
        <v>0</v>
      </c>
      <c r="AP304">
        <f>OR(AND(IF(metadata!P304="",FALSE,TRUE),OR(exact(metadata!P304,"missing: not collected"),exact(metadata!P304,"missing: not provided"))),AND(IF(metadata!P304="",FALSE,IF(ISERROR(INT(metadata!P304)),FALSE,INT(metadata!P304)=metadata!P304)),metadata!P304&gt;0))</f>
        <v>0</v>
      </c>
      <c r="AQ304">
        <f>IF(metadata!Q304="",FALSE,TRUE)</f>
        <v>0</v>
      </c>
    </row>
    <row r="305" spans="1:43">
      <c r="A305" s="5">
        <f>IF(B305=" "," ",HYPERLINK(CONCATENATE("#metadata!",ADDRESS(INDEX($W$2:$W$1001,MATCH(ROWS($U$2:U305),$U$2:$U$1001,0),0),1)),INDEX($Z$2:$Z$1001,MATCH(ROWS($U$2:U305),$U$2:$U$1001,0),0)))</f>
        <v>0</v>
      </c>
      <c r="B305" s="4">
        <f>IF(OR(INDEX($V$2:$V$1001,MATCH(ROWS($U$2:U305),$U$2:$U$1001,0),1)&gt;=100000,INDEX($AB$1005:$AQ$1005,1,MATCH(COLUMNS($AB$1006:AB1006),$AB$1006:$AQ$1006,0))&gt;=100000), " ",IF(INDEX($AB$2:$AQ$1001,MATCH(ROWS($U$2:U305),$U$2:$U$1001,0),MATCH(COLUMNS($AB$1006:AB1006),$AB$1006:$AQ$1006,0)), HYPERLINK("#",""), HYPERLINK(CONCATENATE("#metadata!", ADDRESS(INDEX($W$2:$W$1001,MATCH(ROWS($U$2:U305),$U$2:$U$1001,0),0), INDEX($AB$1004:$AQ$1004,1,MATCH(COLUMNS($AB$1006:AB1006),$AB$1006:$AQ$1006,0)))),"Fix")))</f>
        <v>0</v>
      </c>
      <c r="C305" s="4">
        <f>IF(OR(INDEX($V$2:$V$1001,MATCH(ROWS($U$2:U305),$U$2:$U$1001,0),1)&gt;=100000,INDEX($AB$1005:$AQ$1005,1,MATCH(COLUMNS($AB$1006:AC1006),$AB$1006:$AQ$1006,0))&gt;=100000), " ",IF(INDEX($AB$2:$AQ$1001,MATCH(ROWS($U$2:U305),$U$2:$U$1001,0),MATCH(COLUMNS($AB$1006:AC1006),$AB$1006:$AQ$1006,0)), HYPERLINK("#",""), HYPERLINK(CONCATENATE("#metadata!", ADDRESS(INDEX($W$2:$W$1001,MATCH(ROWS($U$2:U305),$U$2:$U$1001,0),0), INDEX($AB$1004:$AQ$1004,1,MATCH(COLUMNS($AB$1006:AC1006),$AB$1006:$AQ$1006,0)))),"Fix")))</f>
        <v>0</v>
      </c>
      <c r="D305" s="4">
        <f>IF(OR(INDEX($V$2:$V$1001,MATCH(ROWS($U$2:U305),$U$2:$U$1001,0),1)&gt;=100000,INDEX($AB$1005:$AQ$1005,1,MATCH(COLUMNS($AB$1006:AD1006),$AB$1006:$AQ$1006,0))&gt;=100000), " ",IF(INDEX($AB$2:$AQ$1001,MATCH(ROWS($U$2:U305),$U$2:$U$1001,0),MATCH(COLUMNS($AB$1006:AD1006),$AB$1006:$AQ$1006,0)), HYPERLINK("#",""), HYPERLINK(CONCATENATE("#metadata!", ADDRESS(INDEX($W$2:$W$1001,MATCH(ROWS($U$2:U305),$U$2:$U$1001,0),0), INDEX($AB$1004:$AQ$1004,1,MATCH(COLUMNS($AB$1006:AD1006),$AB$1006:$AQ$1006,0)))),"Fix")))</f>
        <v>0</v>
      </c>
      <c r="E305" s="4">
        <f>IF(OR(INDEX($V$2:$V$1001,MATCH(ROWS($U$2:U305),$U$2:$U$1001,0),1)&gt;=100000,INDEX($AB$1005:$AQ$1005,1,MATCH(COLUMNS($AB$1006:AE1006),$AB$1006:$AQ$1006,0))&gt;=100000), " ",IF(INDEX($AB$2:$AQ$1001,MATCH(ROWS($U$2:U305),$U$2:$U$1001,0),MATCH(COLUMNS($AB$1006:AE1006),$AB$1006:$AQ$1006,0)), HYPERLINK("#",""), HYPERLINK(CONCATENATE("#metadata!", ADDRESS(INDEX($W$2:$W$1001,MATCH(ROWS($U$2:U305),$U$2:$U$1001,0),0), INDEX($AB$1004:$AQ$1004,1,MATCH(COLUMNS($AB$1006:AE1006),$AB$1006:$AQ$1006,0)))),"Fix")))</f>
        <v>0</v>
      </c>
      <c r="F305" s="4">
        <f>IF(OR(INDEX($V$2:$V$1001,MATCH(ROWS($U$2:U305),$U$2:$U$1001,0),1)&gt;=100000,INDEX($AB$1005:$AQ$1005,1,MATCH(COLUMNS($AB$1006:AF1006),$AB$1006:$AQ$1006,0))&gt;=100000), " ",IF(INDEX($AB$2:$AQ$1001,MATCH(ROWS($U$2:U305),$U$2:$U$1001,0),MATCH(COLUMNS($AB$1006:AF1006),$AB$1006:$AQ$1006,0)), HYPERLINK("#",""), HYPERLINK(CONCATENATE("#metadata!", ADDRESS(INDEX($W$2:$W$1001,MATCH(ROWS($U$2:U305),$U$2:$U$1001,0),0), INDEX($AB$1004:$AQ$1004,1,MATCH(COLUMNS($AB$1006:AF1006),$AB$1006:$AQ$1006,0)))),"Fix")))</f>
        <v>0</v>
      </c>
      <c r="G305" s="4">
        <f>IF(OR(INDEX($V$2:$V$1001,MATCH(ROWS($U$2:U305),$U$2:$U$1001,0),1)&gt;=100000,INDEX($AB$1005:$AQ$1005,1,MATCH(COLUMNS($AB$1006:AG1006),$AB$1006:$AQ$1006,0))&gt;=100000), " ",IF(INDEX($AB$2:$AQ$1001,MATCH(ROWS($U$2:U305),$U$2:$U$1001,0),MATCH(COLUMNS($AB$1006:AG1006),$AB$1006:$AQ$1006,0)), HYPERLINK("#",""), HYPERLINK(CONCATENATE("#metadata!", ADDRESS(INDEX($W$2:$W$1001,MATCH(ROWS($U$2:U305),$U$2:$U$1001,0),0), INDEX($AB$1004:$AQ$1004,1,MATCH(COLUMNS($AB$1006:AG1006),$AB$1006:$AQ$1006,0)))),"Fix")))</f>
        <v>0</v>
      </c>
      <c r="H305" s="4">
        <f>IF(OR(INDEX($V$2:$V$1001,MATCH(ROWS($U$2:U305),$U$2:$U$1001,0),1)&gt;=100000,INDEX($AB$1005:$AQ$1005,1,MATCH(COLUMNS($AB$1006:AH1006),$AB$1006:$AQ$1006,0))&gt;=100000), " ",IF(INDEX($AB$2:$AQ$1001,MATCH(ROWS($U$2:U305),$U$2:$U$1001,0),MATCH(COLUMNS($AB$1006:AH1006),$AB$1006:$AQ$1006,0)), HYPERLINK("#",""), HYPERLINK(CONCATENATE("#metadata!", ADDRESS(INDEX($W$2:$W$1001,MATCH(ROWS($U$2:U305),$U$2:$U$1001,0),0), INDEX($AB$1004:$AQ$1004,1,MATCH(COLUMNS($AB$1006:AH1006),$AB$1006:$AQ$1006,0)))),"Fix")))</f>
        <v>0</v>
      </c>
      <c r="I305" s="4">
        <f>IF(OR(INDEX($V$2:$V$1001,MATCH(ROWS($U$2:U305),$U$2:$U$1001,0),1)&gt;=100000,INDEX($AB$1005:$AQ$1005,1,MATCH(COLUMNS($AB$1006:AI1006),$AB$1006:$AQ$1006,0))&gt;=100000), " ",IF(INDEX($AB$2:$AQ$1001,MATCH(ROWS($U$2:U305),$U$2:$U$1001,0),MATCH(COLUMNS($AB$1006:AI1006),$AB$1006:$AQ$1006,0)), HYPERLINK("#",""), HYPERLINK(CONCATENATE("#metadata!", ADDRESS(INDEX($W$2:$W$1001,MATCH(ROWS($U$2:U305),$U$2:$U$1001,0),0), INDEX($AB$1004:$AQ$1004,1,MATCH(COLUMNS($AB$1006:AI1006),$AB$1006:$AQ$1006,0)))),"Fix")))</f>
        <v>0</v>
      </c>
      <c r="J305" s="4">
        <f>IF(OR(INDEX($V$2:$V$1001,MATCH(ROWS($U$2:U305),$U$2:$U$1001,0),1)&gt;=100000,INDEX($AB$1005:$AQ$1005,1,MATCH(COLUMNS($AB$1006:AJ1006),$AB$1006:$AQ$1006,0))&gt;=100000), " ",IF(INDEX($AB$2:$AQ$1001,MATCH(ROWS($U$2:U305),$U$2:$U$1001,0),MATCH(COLUMNS($AB$1006:AJ1006),$AB$1006:$AQ$1006,0)), HYPERLINK("#",""), HYPERLINK(CONCATENATE("#metadata!", ADDRESS(INDEX($W$2:$W$1001,MATCH(ROWS($U$2:U305),$U$2:$U$1001,0),0), INDEX($AB$1004:$AQ$1004,1,MATCH(COLUMNS($AB$1006:AJ1006),$AB$1006:$AQ$1006,0)))),"Fix")))</f>
        <v>0</v>
      </c>
      <c r="K305" s="4">
        <f>IF(OR(INDEX($V$2:$V$1001,MATCH(ROWS($U$2:U305),$U$2:$U$1001,0),1)&gt;=100000,INDEX($AB$1005:$AQ$1005,1,MATCH(COLUMNS($AB$1006:AK1006),$AB$1006:$AQ$1006,0))&gt;=100000), " ",IF(INDEX($AB$2:$AQ$1001,MATCH(ROWS($U$2:U305),$U$2:$U$1001,0),MATCH(COLUMNS($AB$1006:AK1006),$AB$1006:$AQ$1006,0)), HYPERLINK("#",""), HYPERLINK(CONCATENATE("#metadata!", ADDRESS(INDEX($W$2:$W$1001,MATCH(ROWS($U$2:U305),$U$2:$U$1001,0),0), INDEX($AB$1004:$AQ$1004,1,MATCH(COLUMNS($AB$1006:AK1006),$AB$1006:$AQ$1006,0)))),"Fix")))</f>
        <v>0</v>
      </c>
      <c r="L305" s="4">
        <f>IF(OR(INDEX($V$2:$V$1001,MATCH(ROWS($U$2:U305),$U$2:$U$1001,0),1)&gt;=100000,INDEX($AB$1005:$AQ$1005,1,MATCH(COLUMNS($AB$1006:AL1006),$AB$1006:$AQ$1006,0))&gt;=100000), " ",IF(INDEX($AB$2:$AQ$1001,MATCH(ROWS($U$2:U305),$U$2:$U$1001,0),MATCH(COLUMNS($AB$1006:AL1006),$AB$1006:$AQ$1006,0)), HYPERLINK("#",""), HYPERLINK(CONCATENATE("#metadata!", ADDRESS(INDEX($W$2:$W$1001,MATCH(ROWS($U$2:U305),$U$2:$U$1001,0),0), INDEX($AB$1004:$AQ$1004,1,MATCH(COLUMNS($AB$1006:AL1006),$AB$1006:$AQ$1006,0)))),"Fix")))</f>
        <v>0</v>
      </c>
      <c r="M305" s="4">
        <f>IF(OR(INDEX($V$2:$V$1001,MATCH(ROWS($U$2:U305),$U$2:$U$1001,0),1)&gt;=100000,INDEX($AB$1005:$AQ$1005,1,MATCH(COLUMNS($AB$1006:AM1006),$AB$1006:$AQ$1006,0))&gt;=100000), " ",IF(INDEX($AB$2:$AQ$1001,MATCH(ROWS($U$2:U305),$U$2:$U$1001,0),MATCH(COLUMNS($AB$1006:AM1006),$AB$1006:$AQ$1006,0)), HYPERLINK("#",""), HYPERLINK(CONCATENATE("#metadata!", ADDRESS(INDEX($W$2:$W$1001,MATCH(ROWS($U$2:U305),$U$2:$U$1001,0),0), INDEX($AB$1004:$AQ$1004,1,MATCH(COLUMNS($AB$1006:AM1006),$AB$1006:$AQ$1006,0)))),"Fix")))</f>
        <v>0</v>
      </c>
      <c r="N305" s="4">
        <f>IF(OR(INDEX($V$2:$V$1001,MATCH(ROWS($U$2:U305),$U$2:$U$1001,0),1)&gt;=100000,INDEX($AB$1005:$AQ$1005,1,MATCH(COLUMNS($AB$1006:AN1006),$AB$1006:$AQ$1006,0))&gt;=100000), " ",IF(INDEX($AB$2:$AQ$1001,MATCH(ROWS($U$2:U305),$U$2:$U$1001,0),MATCH(COLUMNS($AB$1006:AN1006),$AB$1006:$AQ$1006,0)), HYPERLINK("#",""), HYPERLINK(CONCATENATE("#metadata!", ADDRESS(INDEX($W$2:$W$1001,MATCH(ROWS($U$2:U305),$U$2:$U$1001,0),0), INDEX($AB$1004:$AQ$1004,1,MATCH(COLUMNS($AB$1006:AN1006),$AB$1006:$AQ$1006,0)))),"Fix")))</f>
        <v>0</v>
      </c>
      <c r="O305" s="4">
        <f>IF(OR(INDEX($V$2:$V$1001,MATCH(ROWS($U$2:U305),$U$2:$U$1001,0),1)&gt;=100000,INDEX($AB$1005:$AQ$1005,1,MATCH(COLUMNS($AB$1006:AO1006),$AB$1006:$AQ$1006,0))&gt;=100000), " ",IF(INDEX($AB$2:$AQ$1001,MATCH(ROWS($U$2:U305),$U$2:$U$1001,0),MATCH(COLUMNS($AB$1006:AO1006),$AB$1006:$AQ$1006,0)), HYPERLINK("#",""), HYPERLINK(CONCATENATE("#metadata!", ADDRESS(INDEX($W$2:$W$1001,MATCH(ROWS($U$2:U305),$U$2:$U$1001,0),0), INDEX($AB$1004:$AQ$1004,1,MATCH(COLUMNS($AB$1006:AO1006),$AB$1006:$AQ$1006,0)))),"Fix")))</f>
        <v>0</v>
      </c>
      <c r="P305" s="4">
        <f>IF(OR(INDEX($V$2:$V$1001,MATCH(ROWS($U$2:U305),$U$2:$U$1001,0),1)&gt;=100000,INDEX($AB$1005:$AQ$1005,1,MATCH(COLUMNS($AB$1006:AP1006),$AB$1006:$AQ$1006,0))&gt;=100000), " ",IF(INDEX($AB$2:$AQ$1001,MATCH(ROWS($U$2:U305),$U$2:$U$1001,0),MATCH(COLUMNS($AB$1006:AP1006),$AB$1006:$AQ$1006,0)), HYPERLINK("#",""), HYPERLINK(CONCATENATE("#metadata!", ADDRESS(INDEX($W$2:$W$1001,MATCH(ROWS($U$2:U305),$U$2:$U$1001,0),0), INDEX($AB$1004:$AQ$1004,1,MATCH(COLUMNS($AB$1006:AP1006),$AB$1006:$AQ$1006,0)))),"Fix")))</f>
        <v>0</v>
      </c>
      <c r="Q305" s="4">
        <f>IF(OR(INDEX($V$2:$V$1001,MATCH(ROWS($U$2:U305),$U$2:$U$1001,0),1)&gt;=100000,INDEX($AB$1005:$AQ$1005,1,MATCH(COLUMNS($AB$1006:AQ1006),$AB$1006:$AQ$1006,0))&gt;=100000), " ",IF(INDEX($AB$2:$AQ$1001,MATCH(ROWS($U$2:U305),$U$2:$U$1001,0),MATCH(COLUMNS($AB$1006:AQ1006),$AB$1006:$AQ$1006,0)), HYPERLINK("#",""), HYPERLINK(CONCATENATE("#metadata!", ADDRESS(INDEX($W$2:$W$1001,MATCH(ROWS($U$2:U305),$U$2:$U$1001,0),0), INDEX($AB$1004:$AQ$1004,1,MATCH(COLUMNS($AB$1006:AQ1006),$AB$1006:$AQ$1006,0)))),"Fix")))</f>
        <v>0</v>
      </c>
      <c r="U305">
        <v>0</v>
      </c>
      <c r="V305">
        <v>0</v>
      </c>
      <c r="W305">
        <v>0</v>
      </c>
      <c r="X305">
        <f>IF(Y305,TRUE,AND(AB305:AQ305))</f>
        <v>0</v>
      </c>
      <c r="Y305">
        <f>COUNTBLANK(metadata!B305:Q305)=COLUMNS(metadata!B305:Q305)</f>
        <v>0</v>
      </c>
      <c r="Z305">
        <v>0</v>
      </c>
      <c r="AB305">
        <f>AND(IF(metadata!B305="",FALSE,TRUE),COUNTIF(metadata!B:B, metadata!B305) = 1,NOT(ISERROR(SUMPRODUCT(SEARCH(MID(metadata!B305,ROW(INDIRECT("1:"&amp;LEN(metadata!B305))), 1),"0123456789abcdefghijklmnopqrstuvwxyzABCDEFGHIJKLMNOPQRSTUVWXYZ.")))))</f>
        <v>0</v>
      </c>
      <c r="AC305">
        <f>OR(AND(IF(metadata!C305="",FALSE,TRUE),OR(exact(metadata!C305,"missing: not collected"),exact(metadata!C305,"missing: not provided"),exact(metadata!C305,"missing: restricted access"))),AND(IF(metadata!C305="",FALSE,TRUE),AND(AND(IFERROR(INT(LEFT(metadata!C305,4))&gt;1900,FALSE),IFERROR(INT(LEFT(metadata!C305,4))&lt;=YEAR(NOW()),FALSE)), OR(MID(metadata!C305,5,1)="", AND(AND(MID(metadata!C305,5,1)="-",IFERROR(INT(MID(metadata!C305,6,1))&gt;=0,FALSE),IFERROR(INT(MID(metadata!C305,6,1))&lt;=1,FALSE),NOT(MID(metadata!C305,7,1)=""),IFERROR(INT(MID(metadata!C305,6,2))&gt;=1,FALSE),IFERROR(INT(MID(metadata!C305,6,2))&lt;=12,FALSE)), OR(MID(metadata!C305,8,1)="", AND(AND(MID(metadata!C305,8,1)="-",IFERROR(INT(MID(metadata!C305,9,1))&gt;=0,FALSE),IFERROR(INT(MID(metadata!C305,9,1))&lt;=3,FALSE),NOT(MID(metadata!C305,10,1)=""),IFERROR(INT(MID(metadata!C305,9,2))&gt;=1,FALSE),IFERROR(INT(MID(metadata!C305,9,2))&lt;=31,FALSE)), OR(MID(metadata!C305,11,1)="", AND(AND(MID(metadata!C305,11,1)=" ",IFERROR(INT(MID(metadata!C305,12,1))&gt;=0,FALSE),IFERROR(INT(MID(metadata!C305,12,1))&lt;=2,FALSE),NOT(MID(metadata!C305,13,1)=""),IFERROR(INT(MID(metadata!C305,12,2))&gt;=0,FALSE),IFERROR(INT(MID(metadata!C305,12,2))&lt;=23,FALSE)), OR(MID(metadata!C305,14,1)="", AND(AND(MID(metadata!C305,14,1)=":",IFERROR(INT(MID(metadata!C305,15,1))&gt;=0,FALSE),IFERROR(INT(MID(metadata!C305,15,1))&lt;=5,FALSE),NOT(MID(metadata!C305,16,1)=""),IFERROR(INT(MID(metadata!C305,15,2))&gt;=0,FALSE),IFERROR(INT(MID(metadata!C305,15,2))&lt;=59,FALSE)), OR(MID(metadata!C305,17,1)="", AND(AND(MID(metadata!C305,17,1)=":",IFERROR(INT(MID(metadata!C305,18,1))&gt;=0,FALSE),IFERROR(INT(MID(metadata!C305,18,1))&lt;=5,FALSE),NOT(MID(metadata!C305,19,1)=""),IFERROR(INT(MID(metadata!C305,18,2))&gt;=0,FALSE),IFERROR(INT(MID(metadata!C305,18,2))&lt;=59,FALSE)), LEN(metadata!C305)&lt;=19)))))))))))))</f>
        <v>0</v>
      </c>
      <c r="AD305">
        <f>IF(metadata!D305="",FALSE,TRUE)</f>
        <v>0</v>
      </c>
      <c r="AE305">
        <f>OR(AND(IF(metadata!E305="",FALSE,TRUE),OR(exact(metadata!E305,"missing: not collected"),exact(metadata!E305,"missing: not provided"))),AND(IF(metadata!E305="",FALSE,TRUE),OR(exact(metadata!E305,"TRUE"),exact(metadata!E305,"FALSE"))))</f>
        <v>0</v>
      </c>
      <c r="AF305">
        <f>IF(metadata!F305="",FALSE,TRUE)</f>
        <v>0</v>
      </c>
      <c r="AG305">
        <f>IF(metadata!G305="",FALSE,TRUE)</f>
        <v>0</v>
      </c>
      <c r="AH305">
        <f>IF(metadata!H305="",FALSE,TRUE)</f>
        <v>0</v>
      </c>
      <c r="AI305">
        <f>OR(AND(IF(metadata!I305="",FALSE,TRUE),OR(exact(metadata!I305,"missing: not collected"),exact(metadata!I305,"missing: not provided"),exact(metadata!I305,"missing: restricted access"))),AND(IF(metadata!I305="",FALSE,TRUE),OR(exact(metadata!I305,"air"),exact(metadata!I305,"built environment"),exact(metadata!I305,"host-associated"),exact(metadata!I305,"human-associated"),exact(metadata!I305,"human-skin"),exact(metadata!I305,"human-oral"),exact(metadata!I305,"human-gut"),exact(metadata!I305,"human-vaginal"),exact(metadata!I305,"microbial mat/biofilm"),exact(metadata!I305,"misc environment"),exact(metadata!I305,"plant-associated"),exact(metadata!I305,"sediment"),exact(metadata!I305,"soil"),exact(metadata!I305,"wastewater/sludge"),exact(metadata!I305,"water"))))</f>
        <v>0</v>
      </c>
      <c r="AJ305">
        <f>IF(metadata!J305="",FALSE,TRUE)</f>
        <v>0</v>
      </c>
      <c r="AK305">
        <f>OR(AND(IF(metadata!K305="",FALSE,TRUE),OR(exact(metadata!K305,"missing: not collected"),exact(metadata!K305,"missing: not provided"),exact(metadata!K305,"missing: restricted access"))),AND(IF(metadata!K305="",FALSE,ISNUMBER(VALUE(metadata!K305))),metadata!K305&gt;=-90.00,metadata!K305&lt;=90.00))</f>
        <v>0</v>
      </c>
      <c r="AL305">
        <f>OR(AND(IF(metadata!L305="",FALSE,TRUE),OR(exact(metadata!L305,"missing: not collected"),exact(metadata!L305,"missing: not provided"),exact(metadata!L305,"missing: restricted access"))),AND(IF(metadata!L305="",FALSE,ISNUMBER(VALUE(metadata!L305))),metadata!L305&gt;=-180.00,metadata!L305&lt;=180.00))</f>
        <v>0</v>
      </c>
      <c r="AM305">
        <f>IF(metadata!M305="",FALSE,TRUE)</f>
        <v>0</v>
      </c>
      <c r="AN305">
        <f>OR(AND(IF(metadata!N305="",FALSE,TRUE),OR(exact(metadata!N305,"missing: not collected"),exact(metadata!N305,"missing: not provided"),exact(metadata!N305,"missing: restricted access"))),AND(IF(metadata!N305="",FALSE,TRUE),OR(exact(metadata!N305,"TRUE"),exact(metadata!N305,"FALSE"))))</f>
        <v>0</v>
      </c>
      <c r="AO305">
        <f>IF(metadata!O305="",FALSE,TRUE)</f>
        <v>0</v>
      </c>
      <c r="AP305">
        <f>OR(AND(IF(metadata!P305="",FALSE,TRUE),OR(exact(metadata!P305,"missing: not collected"),exact(metadata!P305,"missing: not provided"))),AND(IF(metadata!P305="",FALSE,IF(ISERROR(INT(metadata!P305)),FALSE,INT(metadata!P305)=metadata!P305)),metadata!P305&gt;0))</f>
        <v>0</v>
      </c>
      <c r="AQ305">
        <f>IF(metadata!Q305="",FALSE,TRUE)</f>
        <v>0</v>
      </c>
    </row>
    <row r="306" spans="1:43">
      <c r="A306" s="5">
        <f>IF(B306=" "," ",HYPERLINK(CONCATENATE("#metadata!",ADDRESS(INDEX($W$2:$W$1001,MATCH(ROWS($U$2:U306),$U$2:$U$1001,0),0),1)),INDEX($Z$2:$Z$1001,MATCH(ROWS($U$2:U306),$U$2:$U$1001,0),0)))</f>
        <v>0</v>
      </c>
      <c r="B306" s="4">
        <f>IF(OR(INDEX($V$2:$V$1001,MATCH(ROWS($U$2:U306),$U$2:$U$1001,0),1)&gt;=100000,INDEX($AB$1005:$AQ$1005,1,MATCH(COLUMNS($AB$1006:AB1006),$AB$1006:$AQ$1006,0))&gt;=100000), " ",IF(INDEX($AB$2:$AQ$1001,MATCH(ROWS($U$2:U306),$U$2:$U$1001,0),MATCH(COLUMNS($AB$1006:AB1006),$AB$1006:$AQ$1006,0)), HYPERLINK("#",""), HYPERLINK(CONCATENATE("#metadata!", ADDRESS(INDEX($W$2:$W$1001,MATCH(ROWS($U$2:U306),$U$2:$U$1001,0),0), INDEX($AB$1004:$AQ$1004,1,MATCH(COLUMNS($AB$1006:AB1006),$AB$1006:$AQ$1006,0)))),"Fix")))</f>
        <v>0</v>
      </c>
      <c r="C306" s="4">
        <f>IF(OR(INDEX($V$2:$V$1001,MATCH(ROWS($U$2:U306),$U$2:$U$1001,0),1)&gt;=100000,INDEX($AB$1005:$AQ$1005,1,MATCH(COLUMNS($AB$1006:AC1006),$AB$1006:$AQ$1006,0))&gt;=100000), " ",IF(INDEX($AB$2:$AQ$1001,MATCH(ROWS($U$2:U306),$U$2:$U$1001,0),MATCH(COLUMNS($AB$1006:AC1006),$AB$1006:$AQ$1006,0)), HYPERLINK("#",""), HYPERLINK(CONCATENATE("#metadata!", ADDRESS(INDEX($W$2:$W$1001,MATCH(ROWS($U$2:U306),$U$2:$U$1001,0),0), INDEX($AB$1004:$AQ$1004,1,MATCH(COLUMNS($AB$1006:AC1006),$AB$1006:$AQ$1006,0)))),"Fix")))</f>
        <v>0</v>
      </c>
      <c r="D306" s="4">
        <f>IF(OR(INDEX($V$2:$V$1001,MATCH(ROWS($U$2:U306),$U$2:$U$1001,0),1)&gt;=100000,INDEX($AB$1005:$AQ$1005,1,MATCH(COLUMNS($AB$1006:AD1006),$AB$1006:$AQ$1006,0))&gt;=100000), " ",IF(INDEX($AB$2:$AQ$1001,MATCH(ROWS($U$2:U306),$U$2:$U$1001,0),MATCH(COLUMNS($AB$1006:AD1006),$AB$1006:$AQ$1006,0)), HYPERLINK("#",""), HYPERLINK(CONCATENATE("#metadata!", ADDRESS(INDEX($W$2:$W$1001,MATCH(ROWS($U$2:U306),$U$2:$U$1001,0),0), INDEX($AB$1004:$AQ$1004,1,MATCH(COLUMNS($AB$1006:AD1006),$AB$1006:$AQ$1006,0)))),"Fix")))</f>
        <v>0</v>
      </c>
      <c r="E306" s="4">
        <f>IF(OR(INDEX($V$2:$V$1001,MATCH(ROWS($U$2:U306),$U$2:$U$1001,0),1)&gt;=100000,INDEX($AB$1005:$AQ$1005,1,MATCH(COLUMNS($AB$1006:AE1006),$AB$1006:$AQ$1006,0))&gt;=100000), " ",IF(INDEX($AB$2:$AQ$1001,MATCH(ROWS($U$2:U306),$U$2:$U$1001,0),MATCH(COLUMNS($AB$1006:AE1006),$AB$1006:$AQ$1006,0)), HYPERLINK("#",""), HYPERLINK(CONCATENATE("#metadata!", ADDRESS(INDEX($W$2:$W$1001,MATCH(ROWS($U$2:U306),$U$2:$U$1001,0),0), INDEX($AB$1004:$AQ$1004,1,MATCH(COLUMNS($AB$1006:AE1006),$AB$1006:$AQ$1006,0)))),"Fix")))</f>
        <v>0</v>
      </c>
      <c r="F306" s="4">
        <f>IF(OR(INDEX($V$2:$V$1001,MATCH(ROWS($U$2:U306),$U$2:$U$1001,0),1)&gt;=100000,INDEX($AB$1005:$AQ$1005,1,MATCH(COLUMNS($AB$1006:AF1006),$AB$1006:$AQ$1006,0))&gt;=100000), " ",IF(INDEX($AB$2:$AQ$1001,MATCH(ROWS($U$2:U306),$U$2:$U$1001,0),MATCH(COLUMNS($AB$1006:AF1006),$AB$1006:$AQ$1006,0)), HYPERLINK("#",""), HYPERLINK(CONCATENATE("#metadata!", ADDRESS(INDEX($W$2:$W$1001,MATCH(ROWS($U$2:U306),$U$2:$U$1001,0),0), INDEX($AB$1004:$AQ$1004,1,MATCH(COLUMNS($AB$1006:AF1006),$AB$1006:$AQ$1006,0)))),"Fix")))</f>
        <v>0</v>
      </c>
      <c r="G306" s="4">
        <f>IF(OR(INDEX($V$2:$V$1001,MATCH(ROWS($U$2:U306),$U$2:$U$1001,0),1)&gt;=100000,INDEX($AB$1005:$AQ$1005,1,MATCH(COLUMNS($AB$1006:AG1006),$AB$1006:$AQ$1006,0))&gt;=100000), " ",IF(INDEX($AB$2:$AQ$1001,MATCH(ROWS($U$2:U306),$U$2:$U$1001,0),MATCH(COLUMNS($AB$1006:AG1006),$AB$1006:$AQ$1006,0)), HYPERLINK("#",""), HYPERLINK(CONCATENATE("#metadata!", ADDRESS(INDEX($W$2:$W$1001,MATCH(ROWS($U$2:U306),$U$2:$U$1001,0),0), INDEX($AB$1004:$AQ$1004,1,MATCH(COLUMNS($AB$1006:AG1006),$AB$1006:$AQ$1006,0)))),"Fix")))</f>
        <v>0</v>
      </c>
      <c r="H306" s="4">
        <f>IF(OR(INDEX($V$2:$V$1001,MATCH(ROWS($U$2:U306),$U$2:$U$1001,0),1)&gt;=100000,INDEX($AB$1005:$AQ$1005,1,MATCH(COLUMNS($AB$1006:AH1006),$AB$1006:$AQ$1006,0))&gt;=100000), " ",IF(INDEX($AB$2:$AQ$1001,MATCH(ROWS($U$2:U306),$U$2:$U$1001,0),MATCH(COLUMNS($AB$1006:AH1006),$AB$1006:$AQ$1006,0)), HYPERLINK("#",""), HYPERLINK(CONCATENATE("#metadata!", ADDRESS(INDEX($W$2:$W$1001,MATCH(ROWS($U$2:U306),$U$2:$U$1001,0),0), INDEX($AB$1004:$AQ$1004,1,MATCH(COLUMNS($AB$1006:AH1006),$AB$1006:$AQ$1006,0)))),"Fix")))</f>
        <v>0</v>
      </c>
      <c r="I306" s="4">
        <f>IF(OR(INDEX($V$2:$V$1001,MATCH(ROWS($U$2:U306),$U$2:$U$1001,0),1)&gt;=100000,INDEX($AB$1005:$AQ$1005,1,MATCH(COLUMNS($AB$1006:AI1006),$AB$1006:$AQ$1006,0))&gt;=100000), " ",IF(INDEX($AB$2:$AQ$1001,MATCH(ROWS($U$2:U306),$U$2:$U$1001,0),MATCH(COLUMNS($AB$1006:AI1006),$AB$1006:$AQ$1006,0)), HYPERLINK("#",""), HYPERLINK(CONCATENATE("#metadata!", ADDRESS(INDEX($W$2:$W$1001,MATCH(ROWS($U$2:U306),$U$2:$U$1001,0),0), INDEX($AB$1004:$AQ$1004,1,MATCH(COLUMNS($AB$1006:AI1006),$AB$1006:$AQ$1006,0)))),"Fix")))</f>
        <v>0</v>
      </c>
      <c r="J306" s="4">
        <f>IF(OR(INDEX($V$2:$V$1001,MATCH(ROWS($U$2:U306),$U$2:$U$1001,0),1)&gt;=100000,INDEX($AB$1005:$AQ$1005,1,MATCH(COLUMNS($AB$1006:AJ1006),$AB$1006:$AQ$1006,0))&gt;=100000), " ",IF(INDEX($AB$2:$AQ$1001,MATCH(ROWS($U$2:U306),$U$2:$U$1001,0),MATCH(COLUMNS($AB$1006:AJ1006),$AB$1006:$AQ$1006,0)), HYPERLINK("#",""), HYPERLINK(CONCATENATE("#metadata!", ADDRESS(INDEX($W$2:$W$1001,MATCH(ROWS($U$2:U306),$U$2:$U$1001,0),0), INDEX($AB$1004:$AQ$1004,1,MATCH(COLUMNS($AB$1006:AJ1006),$AB$1006:$AQ$1006,0)))),"Fix")))</f>
        <v>0</v>
      </c>
      <c r="K306" s="4">
        <f>IF(OR(INDEX($V$2:$V$1001,MATCH(ROWS($U$2:U306),$U$2:$U$1001,0),1)&gt;=100000,INDEX($AB$1005:$AQ$1005,1,MATCH(COLUMNS($AB$1006:AK1006),$AB$1006:$AQ$1006,0))&gt;=100000), " ",IF(INDEX($AB$2:$AQ$1001,MATCH(ROWS($U$2:U306),$U$2:$U$1001,0),MATCH(COLUMNS($AB$1006:AK1006),$AB$1006:$AQ$1006,0)), HYPERLINK("#",""), HYPERLINK(CONCATENATE("#metadata!", ADDRESS(INDEX($W$2:$W$1001,MATCH(ROWS($U$2:U306),$U$2:$U$1001,0),0), INDEX($AB$1004:$AQ$1004,1,MATCH(COLUMNS($AB$1006:AK1006),$AB$1006:$AQ$1006,0)))),"Fix")))</f>
        <v>0</v>
      </c>
      <c r="L306" s="4">
        <f>IF(OR(INDEX($V$2:$V$1001,MATCH(ROWS($U$2:U306),$U$2:$U$1001,0),1)&gt;=100000,INDEX($AB$1005:$AQ$1005,1,MATCH(COLUMNS($AB$1006:AL1006),$AB$1006:$AQ$1006,0))&gt;=100000), " ",IF(INDEX($AB$2:$AQ$1001,MATCH(ROWS($U$2:U306),$U$2:$U$1001,0),MATCH(COLUMNS($AB$1006:AL1006),$AB$1006:$AQ$1006,0)), HYPERLINK("#",""), HYPERLINK(CONCATENATE("#metadata!", ADDRESS(INDEX($W$2:$W$1001,MATCH(ROWS($U$2:U306),$U$2:$U$1001,0),0), INDEX($AB$1004:$AQ$1004,1,MATCH(COLUMNS($AB$1006:AL1006),$AB$1006:$AQ$1006,0)))),"Fix")))</f>
        <v>0</v>
      </c>
      <c r="M306" s="4">
        <f>IF(OR(INDEX($V$2:$V$1001,MATCH(ROWS($U$2:U306),$U$2:$U$1001,0),1)&gt;=100000,INDEX($AB$1005:$AQ$1005,1,MATCH(COLUMNS($AB$1006:AM1006),$AB$1006:$AQ$1006,0))&gt;=100000), " ",IF(INDEX($AB$2:$AQ$1001,MATCH(ROWS($U$2:U306),$U$2:$U$1001,0),MATCH(COLUMNS($AB$1006:AM1006),$AB$1006:$AQ$1006,0)), HYPERLINK("#",""), HYPERLINK(CONCATENATE("#metadata!", ADDRESS(INDEX($W$2:$W$1001,MATCH(ROWS($U$2:U306),$U$2:$U$1001,0),0), INDEX($AB$1004:$AQ$1004,1,MATCH(COLUMNS($AB$1006:AM1006),$AB$1006:$AQ$1006,0)))),"Fix")))</f>
        <v>0</v>
      </c>
      <c r="N306" s="4">
        <f>IF(OR(INDEX($V$2:$V$1001,MATCH(ROWS($U$2:U306),$U$2:$U$1001,0),1)&gt;=100000,INDEX($AB$1005:$AQ$1005,1,MATCH(COLUMNS($AB$1006:AN1006),$AB$1006:$AQ$1006,0))&gt;=100000), " ",IF(INDEX($AB$2:$AQ$1001,MATCH(ROWS($U$2:U306),$U$2:$U$1001,0),MATCH(COLUMNS($AB$1006:AN1006),$AB$1006:$AQ$1006,0)), HYPERLINK("#",""), HYPERLINK(CONCATENATE("#metadata!", ADDRESS(INDEX($W$2:$W$1001,MATCH(ROWS($U$2:U306),$U$2:$U$1001,0),0), INDEX($AB$1004:$AQ$1004,1,MATCH(COLUMNS($AB$1006:AN1006),$AB$1006:$AQ$1006,0)))),"Fix")))</f>
        <v>0</v>
      </c>
      <c r="O306" s="4">
        <f>IF(OR(INDEX($V$2:$V$1001,MATCH(ROWS($U$2:U306),$U$2:$U$1001,0),1)&gt;=100000,INDEX($AB$1005:$AQ$1005,1,MATCH(COLUMNS($AB$1006:AO1006),$AB$1006:$AQ$1006,0))&gt;=100000), " ",IF(INDEX($AB$2:$AQ$1001,MATCH(ROWS($U$2:U306),$U$2:$U$1001,0),MATCH(COLUMNS($AB$1006:AO1006),$AB$1006:$AQ$1006,0)), HYPERLINK("#",""), HYPERLINK(CONCATENATE("#metadata!", ADDRESS(INDEX($W$2:$W$1001,MATCH(ROWS($U$2:U306),$U$2:$U$1001,0),0), INDEX($AB$1004:$AQ$1004,1,MATCH(COLUMNS($AB$1006:AO1006),$AB$1006:$AQ$1006,0)))),"Fix")))</f>
        <v>0</v>
      </c>
      <c r="P306" s="4">
        <f>IF(OR(INDEX($V$2:$V$1001,MATCH(ROWS($U$2:U306),$U$2:$U$1001,0),1)&gt;=100000,INDEX($AB$1005:$AQ$1005,1,MATCH(COLUMNS($AB$1006:AP1006),$AB$1006:$AQ$1006,0))&gt;=100000), " ",IF(INDEX($AB$2:$AQ$1001,MATCH(ROWS($U$2:U306),$U$2:$U$1001,0),MATCH(COLUMNS($AB$1006:AP1006),$AB$1006:$AQ$1006,0)), HYPERLINK("#",""), HYPERLINK(CONCATENATE("#metadata!", ADDRESS(INDEX($W$2:$W$1001,MATCH(ROWS($U$2:U306),$U$2:$U$1001,0),0), INDEX($AB$1004:$AQ$1004,1,MATCH(COLUMNS($AB$1006:AP1006),$AB$1006:$AQ$1006,0)))),"Fix")))</f>
        <v>0</v>
      </c>
      <c r="Q306" s="4">
        <f>IF(OR(INDEX($V$2:$V$1001,MATCH(ROWS($U$2:U306),$U$2:$U$1001,0),1)&gt;=100000,INDEX($AB$1005:$AQ$1005,1,MATCH(COLUMNS($AB$1006:AQ1006),$AB$1006:$AQ$1006,0))&gt;=100000), " ",IF(INDEX($AB$2:$AQ$1001,MATCH(ROWS($U$2:U306),$U$2:$U$1001,0),MATCH(COLUMNS($AB$1006:AQ1006),$AB$1006:$AQ$1006,0)), HYPERLINK("#",""), HYPERLINK(CONCATENATE("#metadata!", ADDRESS(INDEX($W$2:$W$1001,MATCH(ROWS($U$2:U306),$U$2:$U$1001,0),0), INDEX($AB$1004:$AQ$1004,1,MATCH(COLUMNS($AB$1006:AQ1006),$AB$1006:$AQ$1006,0)))),"Fix")))</f>
        <v>0</v>
      </c>
      <c r="U306">
        <v>0</v>
      </c>
      <c r="V306">
        <v>0</v>
      </c>
      <c r="W306">
        <v>0</v>
      </c>
      <c r="X306">
        <f>IF(Y306,TRUE,AND(AB306:AQ306))</f>
        <v>0</v>
      </c>
      <c r="Y306">
        <f>COUNTBLANK(metadata!B306:Q306)=COLUMNS(metadata!B306:Q306)</f>
        <v>0</v>
      </c>
      <c r="Z306">
        <v>0</v>
      </c>
      <c r="AB306">
        <f>AND(IF(metadata!B306="",FALSE,TRUE),COUNTIF(metadata!B:B, metadata!B306) = 1,NOT(ISERROR(SUMPRODUCT(SEARCH(MID(metadata!B306,ROW(INDIRECT("1:"&amp;LEN(metadata!B306))), 1),"0123456789abcdefghijklmnopqrstuvwxyzABCDEFGHIJKLMNOPQRSTUVWXYZ.")))))</f>
        <v>0</v>
      </c>
      <c r="AC306">
        <f>OR(AND(IF(metadata!C306="",FALSE,TRUE),OR(exact(metadata!C306,"missing: not collected"),exact(metadata!C306,"missing: not provided"),exact(metadata!C306,"missing: restricted access"))),AND(IF(metadata!C306="",FALSE,TRUE),AND(AND(IFERROR(INT(LEFT(metadata!C306,4))&gt;1900,FALSE),IFERROR(INT(LEFT(metadata!C306,4))&lt;=YEAR(NOW()),FALSE)), OR(MID(metadata!C306,5,1)="", AND(AND(MID(metadata!C306,5,1)="-",IFERROR(INT(MID(metadata!C306,6,1))&gt;=0,FALSE),IFERROR(INT(MID(metadata!C306,6,1))&lt;=1,FALSE),NOT(MID(metadata!C306,7,1)=""),IFERROR(INT(MID(metadata!C306,6,2))&gt;=1,FALSE),IFERROR(INT(MID(metadata!C306,6,2))&lt;=12,FALSE)), OR(MID(metadata!C306,8,1)="", AND(AND(MID(metadata!C306,8,1)="-",IFERROR(INT(MID(metadata!C306,9,1))&gt;=0,FALSE),IFERROR(INT(MID(metadata!C306,9,1))&lt;=3,FALSE),NOT(MID(metadata!C306,10,1)=""),IFERROR(INT(MID(metadata!C306,9,2))&gt;=1,FALSE),IFERROR(INT(MID(metadata!C306,9,2))&lt;=31,FALSE)), OR(MID(metadata!C306,11,1)="", AND(AND(MID(metadata!C306,11,1)=" ",IFERROR(INT(MID(metadata!C306,12,1))&gt;=0,FALSE),IFERROR(INT(MID(metadata!C306,12,1))&lt;=2,FALSE),NOT(MID(metadata!C306,13,1)=""),IFERROR(INT(MID(metadata!C306,12,2))&gt;=0,FALSE),IFERROR(INT(MID(metadata!C306,12,2))&lt;=23,FALSE)), OR(MID(metadata!C306,14,1)="", AND(AND(MID(metadata!C306,14,1)=":",IFERROR(INT(MID(metadata!C306,15,1))&gt;=0,FALSE),IFERROR(INT(MID(metadata!C306,15,1))&lt;=5,FALSE),NOT(MID(metadata!C306,16,1)=""),IFERROR(INT(MID(metadata!C306,15,2))&gt;=0,FALSE),IFERROR(INT(MID(metadata!C306,15,2))&lt;=59,FALSE)), OR(MID(metadata!C306,17,1)="", AND(AND(MID(metadata!C306,17,1)=":",IFERROR(INT(MID(metadata!C306,18,1))&gt;=0,FALSE),IFERROR(INT(MID(metadata!C306,18,1))&lt;=5,FALSE),NOT(MID(metadata!C306,19,1)=""),IFERROR(INT(MID(metadata!C306,18,2))&gt;=0,FALSE),IFERROR(INT(MID(metadata!C306,18,2))&lt;=59,FALSE)), LEN(metadata!C306)&lt;=19)))))))))))))</f>
        <v>0</v>
      </c>
      <c r="AD306">
        <f>IF(metadata!D306="",FALSE,TRUE)</f>
        <v>0</v>
      </c>
      <c r="AE306">
        <f>OR(AND(IF(metadata!E306="",FALSE,TRUE),OR(exact(metadata!E306,"missing: not collected"),exact(metadata!E306,"missing: not provided"))),AND(IF(metadata!E306="",FALSE,TRUE),OR(exact(metadata!E306,"TRUE"),exact(metadata!E306,"FALSE"))))</f>
        <v>0</v>
      </c>
      <c r="AF306">
        <f>IF(metadata!F306="",FALSE,TRUE)</f>
        <v>0</v>
      </c>
      <c r="AG306">
        <f>IF(metadata!G306="",FALSE,TRUE)</f>
        <v>0</v>
      </c>
      <c r="AH306">
        <f>IF(metadata!H306="",FALSE,TRUE)</f>
        <v>0</v>
      </c>
      <c r="AI306">
        <f>OR(AND(IF(metadata!I306="",FALSE,TRUE),OR(exact(metadata!I306,"missing: not collected"),exact(metadata!I306,"missing: not provided"),exact(metadata!I306,"missing: restricted access"))),AND(IF(metadata!I306="",FALSE,TRUE),OR(exact(metadata!I306,"air"),exact(metadata!I306,"built environment"),exact(metadata!I306,"host-associated"),exact(metadata!I306,"human-associated"),exact(metadata!I306,"human-skin"),exact(metadata!I306,"human-oral"),exact(metadata!I306,"human-gut"),exact(metadata!I306,"human-vaginal"),exact(metadata!I306,"microbial mat/biofilm"),exact(metadata!I306,"misc environment"),exact(metadata!I306,"plant-associated"),exact(metadata!I306,"sediment"),exact(metadata!I306,"soil"),exact(metadata!I306,"wastewater/sludge"),exact(metadata!I306,"water"))))</f>
        <v>0</v>
      </c>
      <c r="AJ306">
        <f>IF(metadata!J306="",FALSE,TRUE)</f>
        <v>0</v>
      </c>
      <c r="AK306">
        <f>OR(AND(IF(metadata!K306="",FALSE,TRUE),OR(exact(metadata!K306,"missing: not collected"),exact(metadata!K306,"missing: not provided"),exact(metadata!K306,"missing: restricted access"))),AND(IF(metadata!K306="",FALSE,ISNUMBER(VALUE(metadata!K306))),metadata!K306&gt;=-90.00,metadata!K306&lt;=90.00))</f>
        <v>0</v>
      </c>
      <c r="AL306">
        <f>OR(AND(IF(metadata!L306="",FALSE,TRUE),OR(exact(metadata!L306,"missing: not collected"),exact(metadata!L306,"missing: not provided"),exact(metadata!L306,"missing: restricted access"))),AND(IF(metadata!L306="",FALSE,ISNUMBER(VALUE(metadata!L306))),metadata!L306&gt;=-180.00,metadata!L306&lt;=180.00))</f>
        <v>0</v>
      </c>
      <c r="AM306">
        <f>IF(metadata!M306="",FALSE,TRUE)</f>
        <v>0</v>
      </c>
      <c r="AN306">
        <f>OR(AND(IF(metadata!N306="",FALSE,TRUE),OR(exact(metadata!N306,"missing: not collected"),exact(metadata!N306,"missing: not provided"),exact(metadata!N306,"missing: restricted access"))),AND(IF(metadata!N306="",FALSE,TRUE),OR(exact(metadata!N306,"TRUE"),exact(metadata!N306,"FALSE"))))</f>
        <v>0</v>
      </c>
      <c r="AO306">
        <f>IF(metadata!O306="",FALSE,TRUE)</f>
        <v>0</v>
      </c>
      <c r="AP306">
        <f>OR(AND(IF(metadata!P306="",FALSE,TRUE),OR(exact(metadata!P306,"missing: not collected"),exact(metadata!P306,"missing: not provided"))),AND(IF(metadata!P306="",FALSE,IF(ISERROR(INT(metadata!P306)),FALSE,INT(metadata!P306)=metadata!P306)),metadata!P306&gt;0))</f>
        <v>0</v>
      </c>
      <c r="AQ306">
        <f>IF(metadata!Q306="",FALSE,TRUE)</f>
        <v>0</v>
      </c>
    </row>
    <row r="307" spans="1:43">
      <c r="A307" s="5">
        <f>IF(B307=" "," ",HYPERLINK(CONCATENATE("#metadata!",ADDRESS(INDEX($W$2:$W$1001,MATCH(ROWS($U$2:U307),$U$2:$U$1001,0),0),1)),INDEX($Z$2:$Z$1001,MATCH(ROWS($U$2:U307),$U$2:$U$1001,0),0)))</f>
        <v>0</v>
      </c>
      <c r="B307" s="4">
        <f>IF(OR(INDEX($V$2:$V$1001,MATCH(ROWS($U$2:U307),$U$2:$U$1001,0),1)&gt;=100000,INDEX($AB$1005:$AQ$1005,1,MATCH(COLUMNS($AB$1006:AB1006),$AB$1006:$AQ$1006,0))&gt;=100000), " ",IF(INDEX($AB$2:$AQ$1001,MATCH(ROWS($U$2:U307),$U$2:$U$1001,0),MATCH(COLUMNS($AB$1006:AB1006),$AB$1006:$AQ$1006,0)), HYPERLINK("#",""), HYPERLINK(CONCATENATE("#metadata!", ADDRESS(INDEX($W$2:$W$1001,MATCH(ROWS($U$2:U307),$U$2:$U$1001,0),0), INDEX($AB$1004:$AQ$1004,1,MATCH(COLUMNS($AB$1006:AB1006),$AB$1006:$AQ$1006,0)))),"Fix")))</f>
        <v>0</v>
      </c>
      <c r="C307" s="4">
        <f>IF(OR(INDEX($V$2:$V$1001,MATCH(ROWS($U$2:U307),$U$2:$U$1001,0),1)&gt;=100000,INDEX($AB$1005:$AQ$1005,1,MATCH(COLUMNS($AB$1006:AC1006),$AB$1006:$AQ$1006,0))&gt;=100000), " ",IF(INDEX($AB$2:$AQ$1001,MATCH(ROWS($U$2:U307),$U$2:$U$1001,0),MATCH(COLUMNS($AB$1006:AC1006),$AB$1006:$AQ$1006,0)), HYPERLINK("#",""), HYPERLINK(CONCATENATE("#metadata!", ADDRESS(INDEX($W$2:$W$1001,MATCH(ROWS($U$2:U307),$U$2:$U$1001,0),0), INDEX($AB$1004:$AQ$1004,1,MATCH(COLUMNS($AB$1006:AC1006),$AB$1006:$AQ$1006,0)))),"Fix")))</f>
        <v>0</v>
      </c>
      <c r="D307" s="4">
        <f>IF(OR(INDEX($V$2:$V$1001,MATCH(ROWS($U$2:U307),$U$2:$U$1001,0),1)&gt;=100000,INDEX($AB$1005:$AQ$1005,1,MATCH(COLUMNS($AB$1006:AD1006),$AB$1006:$AQ$1006,0))&gt;=100000), " ",IF(INDEX($AB$2:$AQ$1001,MATCH(ROWS($U$2:U307),$U$2:$U$1001,0),MATCH(COLUMNS($AB$1006:AD1006),$AB$1006:$AQ$1006,0)), HYPERLINK("#",""), HYPERLINK(CONCATENATE("#metadata!", ADDRESS(INDEX($W$2:$W$1001,MATCH(ROWS($U$2:U307),$U$2:$U$1001,0),0), INDEX($AB$1004:$AQ$1004,1,MATCH(COLUMNS($AB$1006:AD1006),$AB$1006:$AQ$1006,0)))),"Fix")))</f>
        <v>0</v>
      </c>
      <c r="E307" s="4">
        <f>IF(OR(INDEX($V$2:$V$1001,MATCH(ROWS($U$2:U307),$U$2:$U$1001,0),1)&gt;=100000,INDEX($AB$1005:$AQ$1005,1,MATCH(COLUMNS($AB$1006:AE1006),$AB$1006:$AQ$1006,0))&gt;=100000), " ",IF(INDEX($AB$2:$AQ$1001,MATCH(ROWS($U$2:U307),$U$2:$U$1001,0),MATCH(COLUMNS($AB$1006:AE1006),$AB$1006:$AQ$1006,0)), HYPERLINK("#",""), HYPERLINK(CONCATENATE("#metadata!", ADDRESS(INDEX($W$2:$W$1001,MATCH(ROWS($U$2:U307),$U$2:$U$1001,0),0), INDEX($AB$1004:$AQ$1004,1,MATCH(COLUMNS($AB$1006:AE1006),$AB$1006:$AQ$1006,0)))),"Fix")))</f>
        <v>0</v>
      </c>
      <c r="F307" s="4">
        <f>IF(OR(INDEX($V$2:$V$1001,MATCH(ROWS($U$2:U307),$U$2:$U$1001,0),1)&gt;=100000,INDEX($AB$1005:$AQ$1005,1,MATCH(COLUMNS($AB$1006:AF1006),$AB$1006:$AQ$1006,0))&gt;=100000), " ",IF(INDEX($AB$2:$AQ$1001,MATCH(ROWS($U$2:U307),$U$2:$U$1001,0),MATCH(COLUMNS($AB$1006:AF1006),$AB$1006:$AQ$1006,0)), HYPERLINK("#",""), HYPERLINK(CONCATENATE("#metadata!", ADDRESS(INDEX($W$2:$W$1001,MATCH(ROWS($U$2:U307),$U$2:$U$1001,0),0), INDEX($AB$1004:$AQ$1004,1,MATCH(COLUMNS($AB$1006:AF1006),$AB$1006:$AQ$1006,0)))),"Fix")))</f>
        <v>0</v>
      </c>
      <c r="G307" s="4">
        <f>IF(OR(INDEX($V$2:$V$1001,MATCH(ROWS($U$2:U307),$U$2:$U$1001,0),1)&gt;=100000,INDEX($AB$1005:$AQ$1005,1,MATCH(COLUMNS($AB$1006:AG1006),$AB$1006:$AQ$1006,0))&gt;=100000), " ",IF(INDEX($AB$2:$AQ$1001,MATCH(ROWS($U$2:U307),$U$2:$U$1001,0),MATCH(COLUMNS($AB$1006:AG1006),$AB$1006:$AQ$1006,0)), HYPERLINK("#",""), HYPERLINK(CONCATENATE("#metadata!", ADDRESS(INDEX($W$2:$W$1001,MATCH(ROWS($U$2:U307),$U$2:$U$1001,0),0), INDEX($AB$1004:$AQ$1004,1,MATCH(COLUMNS($AB$1006:AG1006),$AB$1006:$AQ$1006,0)))),"Fix")))</f>
        <v>0</v>
      </c>
      <c r="H307" s="4">
        <f>IF(OR(INDEX($V$2:$V$1001,MATCH(ROWS($U$2:U307),$U$2:$U$1001,0),1)&gt;=100000,INDEX($AB$1005:$AQ$1005,1,MATCH(COLUMNS($AB$1006:AH1006),$AB$1006:$AQ$1006,0))&gt;=100000), " ",IF(INDEX($AB$2:$AQ$1001,MATCH(ROWS($U$2:U307),$U$2:$U$1001,0),MATCH(COLUMNS($AB$1006:AH1006),$AB$1006:$AQ$1006,0)), HYPERLINK("#",""), HYPERLINK(CONCATENATE("#metadata!", ADDRESS(INDEX($W$2:$W$1001,MATCH(ROWS($U$2:U307),$U$2:$U$1001,0),0), INDEX($AB$1004:$AQ$1004,1,MATCH(COLUMNS($AB$1006:AH1006),$AB$1006:$AQ$1006,0)))),"Fix")))</f>
        <v>0</v>
      </c>
      <c r="I307" s="4">
        <f>IF(OR(INDEX($V$2:$V$1001,MATCH(ROWS($U$2:U307),$U$2:$U$1001,0),1)&gt;=100000,INDEX($AB$1005:$AQ$1005,1,MATCH(COLUMNS($AB$1006:AI1006),$AB$1006:$AQ$1006,0))&gt;=100000), " ",IF(INDEX($AB$2:$AQ$1001,MATCH(ROWS($U$2:U307),$U$2:$U$1001,0),MATCH(COLUMNS($AB$1006:AI1006),$AB$1006:$AQ$1006,0)), HYPERLINK("#",""), HYPERLINK(CONCATENATE("#metadata!", ADDRESS(INDEX($W$2:$W$1001,MATCH(ROWS($U$2:U307),$U$2:$U$1001,0),0), INDEX($AB$1004:$AQ$1004,1,MATCH(COLUMNS($AB$1006:AI1006),$AB$1006:$AQ$1006,0)))),"Fix")))</f>
        <v>0</v>
      </c>
      <c r="J307" s="4">
        <f>IF(OR(INDEX($V$2:$V$1001,MATCH(ROWS($U$2:U307),$U$2:$U$1001,0),1)&gt;=100000,INDEX($AB$1005:$AQ$1005,1,MATCH(COLUMNS($AB$1006:AJ1006),$AB$1006:$AQ$1006,0))&gt;=100000), " ",IF(INDEX($AB$2:$AQ$1001,MATCH(ROWS($U$2:U307),$U$2:$U$1001,0),MATCH(COLUMNS($AB$1006:AJ1006),$AB$1006:$AQ$1006,0)), HYPERLINK("#",""), HYPERLINK(CONCATENATE("#metadata!", ADDRESS(INDEX($W$2:$W$1001,MATCH(ROWS($U$2:U307),$U$2:$U$1001,0),0), INDEX($AB$1004:$AQ$1004,1,MATCH(COLUMNS($AB$1006:AJ1006),$AB$1006:$AQ$1006,0)))),"Fix")))</f>
        <v>0</v>
      </c>
      <c r="K307" s="4">
        <f>IF(OR(INDEX($V$2:$V$1001,MATCH(ROWS($U$2:U307),$U$2:$U$1001,0),1)&gt;=100000,INDEX($AB$1005:$AQ$1005,1,MATCH(COLUMNS($AB$1006:AK1006),$AB$1006:$AQ$1006,0))&gt;=100000), " ",IF(INDEX($AB$2:$AQ$1001,MATCH(ROWS($U$2:U307),$U$2:$U$1001,0),MATCH(COLUMNS($AB$1006:AK1006),$AB$1006:$AQ$1006,0)), HYPERLINK("#",""), HYPERLINK(CONCATENATE("#metadata!", ADDRESS(INDEX($W$2:$W$1001,MATCH(ROWS($U$2:U307),$U$2:$U$1001,0),0), INDEX($AB$1004:$AQ$1004,1,MATCH(COLUMNS($AB$1006:AK1006),$AB$1006:$AQ$1006,0)))),"Fix")))</f>
        <v>0</v>
      </c>
      <c r="L307" s="4">
        <f>IF(OR(INDEX($V$2:$V$1001,MATCH(ROWS($U$2:U307),$U$2:$U$1001,0),1)&gt;=100000,INDEX($AB$1005:$AQ$1005,1,MATCH(COLUMNS($AB$1006:AL1006),$AB$1006:$AQ$1006,0))&gt;=100000), " ",IF(INDEX($AB$2:$AQ$1001,MATCH(ROWS($U$2:U307),$U$2:$U$1001,0),MATCH(COLUMNS($AB$1006:AL1006),$AB$1006:$AQ$1006,0)), HYPERLINK("#",""), HYPERLINK(CONCATENATE("#metadata!", ADDRESS(INDEX($W$2:$W$1001,MATCH(ROWS($U$2:U307),$U$2:$U$1001,0),0), INDEX($AB$1004:$AQ$1004,1,MATCH(COLUMNS($AB$1006:AL1006),$AB$1006:$AQ$1006,0)))),"Fix")))</f>
        <v>0</v>
      </c>
      <c r="M307" s="4">
        <f>IF(OR(INDEX($V$2:$V$1001,MATCH(ROWS($U$2:U307),$U$2:$U$1001,0),1)&gt;=100000,INDEX($AB$1005:$AQ$1005,1,MATCH(COLUMNS($AB$1006:AM1006),$AB$1006:$AQ$1006,0))&gt;=100000), " ",IF(INDEX($AB$2:$AQ$1001,MATCH(ROWS($U$2:U307),$U$2:$U$1001,0),MATCH(COLUMNS($AB$1006:AM1006),$AB$1006:$AQ$1006,0)), HYPERLINK("#",""), HYPERLINK(CONCATENATE("#metadata!", ADDRESS(INDEX($W$2:$W$1001,MATCH(ROWS($U$2:U307),$U$2:$U$1001,0),0), INDEX($AB$1004:$AQ$1004,1,MATCH(COLUMNS($AB$1006:AM1006),$AB$1006:$AQ$1006,0)))),"Fix")))</f>
        <v>0</v>
      </c>
      <c r="N307" s="4">
        <f>IF(OR(INDEX($V$2:$V$1001,MATCH(ROWS($U$2:U307),$U$2:$U$1001,0),1)&gt;=100000,INDEX($AB$1005:$AQ$1005,1,MATCH(COLUMNS($AB$1006:AN1006),$AB$1006:$AQ$1006,0))&gt;=100000), " ",IF(INDEX($AB$2:$AQ$1001,MATCH(ROWS($U$2:U307),$U$2:$U$1001,0),MATCH(COLUMNS($AB$1006:AN1006),$AB$1006:$AQ$1006,0)), HYPERLINK("#",""), HYPERLINK(CONCATENATE("#metadata!", ADDRESS(INDEX($W$2:$W$1001,MATCH(ROWS($U$2:U307),$U$2:$U$1001,0),0), INDEX($AB$1004:$AQ$1004,1,MATCH(COLUMNS($AB$1006:AN1006),$AB$1006:$AQ$1006,0)))),"Fix")))</f>
        <v>0</v>
      </c>
      <c r="O307" s="4">
        <f>IF(OR(INDEX($V$2:$V$1001,MATCH(ROWS($U$2:U307),$U$2:$U$1001,0),1)&gt;=100000,INDEX($AB$1005:$AQ$1005,1,MATCH(COLUMNS($AB$1006:AO1006),$AB$1006:$AQ$1006,0))&gt;=100000), " ",IF(INDEX($AB$2:$AQ$1001,MATCH(ROWS($U$2:U307),$U$2:$U$1001,0),MATCH(COLUMNS($AB$1006:AO1006),$AB$1006:$AQ$1006,0)), HYPERLINK("#",""), HYPERLINK(CONCATENATE("#metadata!", ADDRESS(INDEX($W$2:$W$1001,MATCH(ROWS($U$2:U307),$U$2:$U$1001,0),0), INDEX($AB$1004:$AQ$1004,1,MATCH(COLUMNS($AB$1006:AO1006),$AB$1006:$AQ$1006,0)))),"Fix")))</f>
        <v>0</v>
      </c>
      <c r="P307" s="4">
        <f>IF(OR(INDEX($V$2:$V$1001,MATCH(ROWS($U$2:U307),$U$2:$U$1001,0),1)&gt;=100000,INDEX($AB$1005:$AQ$1005,1,MATCH(COLUMNS($AB$1006:AP1006),$AB$1006:$AQ$1006,0))&gt;=100000), " ",IF(INDEX($AB$2:$AQ$1001,MATCH(ROWS($U$2:U307),$U$2:$U$1001,0),MATCH(COLUMNS($AB$1006:AP1006),$AB$1006:$AQ$1006,0)), HYPERLINK("#",""), HYPERLINK(CONCATENATE("#metadata!", ADDRESS(INDEX($W$2:$W$1001,MATCH(ROWS($U$2:U307),$U$2:$U$1001,0),0), INDEX($AB$1004:$AQ$1004,1,MATCH(COLUMNS($AB$1006:AP1006),$AB$1006:$AQ$1006,0)))),"Fix")))</f>
        <v>0</v>
      </c>
      <c r="Q307" s="4">
        <f>IF(OR(INDEX($V$2:$V$1001,MATCH(ROWS($U$2:U307),$U$2:$U$1001,0),1)&gt;=100000,INDEX($AB$1005:$AQ$1005,1,MATCH(COLUMNS($AB$1006:AQ1006),$AB$1006:$AQ$1006,0))&gt;=100000), " ",IF(INDEX($AB$2:$AQ$1001,MATCH(ROWS($U$2:U307),$U$2:$U$1001,0),MATCH(COLUMNS($AB$1006:AQ1006),$AB$1006:$AQ$1006,0)), HYPERLINK("#",""), HYPERLINK(CONCATENATE("#metadata!", ADDRESS(INDEX($W$2:$W$1001,MATCH(ROWS($U$2:U307),$U$2:$U$1001,0),0), INDEX($AB$1004:$AQ$1004,1,MATCH(COLUMNS($AB$1006:AQ1006),$AB$1006:$AQ$1006,0)))),"Fix")))</f>
        <v>0</v>
      </c>
      <c r="U307">
        <v>0</v>
      </c>
      <c r="V307">
        <v>0</v>
      </c>
      <c r="W307">
        <v>0</v>
      </c>
      <c r="X307">
        <f>IF(Y307,TRUE,AND(AB307:AQ307))</f>
        <v>0</v>
      </c>
      <c r="Y307">
        <f>COUNTBLANK(metadata!B307:Q307)=COLUMNS(metadata!B307:Q307)</f>
        <v>0</v>
      </c>
      <c r="Z307">
        <v>0</v>
      </c>
      <c r="AB307">
        <f>AND(IF(metadata!B307="",FALSE,TRUE),COUNTIF(metadata!B:B, metadata!B307) = 1,NOT(ISERROR(SUMPRODUCT(SEARCH(MID(metadata!B307,ROW(INDIRECT("1:"&amp;LEN(metadata!B307))), 1),"0123456789abcdefghijklmnopqrstuvwxyzABCDEFGHIJKLMNOPQRSTUVWXYZ.")))))</f>
        <v>0</v>
      </c>
      <c r="AC307">
        <f>OR(AND(IF(metadata!C307="",FALSE,TRUE),OR(exact(metadata!C307,"missing: not collected"),exact(metadata!C307,"missing: not provided"),exact(metadata!C307,"missing: restricted access"))),AND(IF(metadata!C307="",FALSE,TRUE),AND(AND(IFERROR(INT(LEFT(metadata!C307,4))&gt;1900,FALSE),IFERROR(INT(LEFT(metadata!C307,4))&lt;=YEAR(NOW()),FALSE)), OR(MID(metadata!C307,5,1)="", AND(AND(MID(metadata!C307,5,1)="-",IFERROR(INT(MID(metadata!C307,6,1))&gt;=0,FALSE),IFERROR(INT(MID(metadata!C307,6,1))&lt;=1,FALSE),NOT(MID(metadata!C307,7,1)=""),IFERROR(INT(MID(metadata!C307,6,2))&gt;=1,FALSE),IFERROR(INT(MID(metadata!C307,6,2))&lt;=12,FALSE)), OR(MID(metadata!C307,8,1)="", AND(AND(MID(metadata!C307,8,1)="-",IFERROR(INT(MID(metadata!C307,9,1))&gt;=0,FALSE),IFERROR(INT(MID(metadata!C307,9,1))&lt;=3,FALSE),NOT(MID(metadata!C307,10,1)=""),IFERROR(INT(MID(metadata!C307,9,2))&gt;=1,FALSE),IFERROR(INT(MID(metadata!C307,9,2))&lt;=31,FALSE)), OR(MID(metadata!C307,11,1)="", AND(AND(MID(metadata!C307,11,1)=" ",IFERROR(INT(MID(metadata!C307,12,1))&gt;=0,FALSE),IFERROR(INT(MID(metadata!C307,12,1))&lt;=2,FALSE),NOT(MID(metadata!C307,13,1)=""),IFERROR(INT(MID(metadata!C307,12,2))&gt;=0,FALSE),IFERROR(INT(MID(metadata!C307,12,2))&lt;=23,FALSE)), OR(MID(metadata!C307,14,1)="", AND(AND(MID(metadata!C307,14,1)=":",IFERROR(INT(MID(metadata!C307,15,1))&gt;=0,FALSE),IFERROR(INT(MID(metadata!C307,15,1))&lt;=5,FALSE),NOT(MID(metadata!C307,16,1)=""),IFERROR(INT(MID(metadata!C307,15,2))&gt;=0,FALSE),IFERROR(INT(MID(metadata!C307,15,2))&lt;=59,FALSE)), OR(MID(metadata!C307,17,1)="", AND(AND(MID(metadata!C307,17,1)=":",IFERROR(INT(MID(metadata!C307,18,1))&gt;=0,FALSE),IFERROR(INT(MID(metadata!C307,18,1))&lt;=5,FALSE),NOT(MID(metadata!C307,19,1)=""),IFERROR(INT(MID(metadata!C307,18,2))&gt;=0,FALSE),IFERROR(INT(MID(metadata!C307,18,2))&lt;=59,FALSE)), LEN(metadata!C307)&lt;=19)))))))))))))</f>
        <v>0</v>
      </c>
      <c r="AD307">
        <f>IF(metadata!D307="",FALSE,TRUE)</f>
        <v>0</v>
      </c>
      <c r="AE307">
        <f>OR(AND(IF(metadata!E307="",FALSE,TRUE),OR(exact(metadata!E307,"missing: not collected"),exact(metadata!E307,"missing: not provided"))),AND(IF(metadata!E307="",FALSE,TRUE),OR(exact(metadata!E307,"TRUE"),exact(metadata!E307,"FALSE"))))</f>
        <v>0</v>
      </c>
      <c r="AF307">
        <f>IF(metadata!F307="",FALSE,TRUE)</f>
        <v>0</v>
      </c>
      <c r="AG307">
        <f>IF(metadata!G307="",FALSE,TRUE)</f>
        <v>0</v>
      </c>
      <c r="AH307">
        <f>IF(metadata!H307="",FALSE,TRUE)</f>
        <v>0</v>
      </c>
      <c r="AI307">
        <f>OR(AND(IF(metadata!I307="",FALSE,TRUE),OR(exact(metadata!I307,"missing: not collected"),exact(metadata!I307,"missing: not provided"),exact(metadata!I307,"missing: restricted access"))),AND(IF(metadata!I307="",FALSE,TRUE),OR(exact(metadata!I307,"air"),exact(metadata!I307,"built environment"),exact(metadata!I307,"host-associated"),exact(metadata!I307,"human-associated"),exact(metadata!I307,"human-skin"),exact(metadata!I307,"human-oral"),exact(metadata!I307,"human-gut"),exact(metadata!I307,"human-vaginal"),exact(metadata!I307,"microbial mat/biofilm"),exact(metadata!I307,"misc environment"),exact(metadata!I307,"plant-associated"),exact(metadata!I307,"sediment"),exact(metadata!I307,"soil"),exact(metadata!I307,"wastewater/sludge"),exact(metadata!I307,"water"))))</f>
        <v>0</v>
      </c>
      <c r="AJ307">
        <f>IF(metadata!J307="",FALSE,TRUE)</f>
        <v>0</v>
      </c>
      <c r="AK307">
        <f>OR(AND(IF(metadata!K307="",FALSE,TRUE),OR(exact(metadata!K307,"missing: not collected"),exact(metadata!K307,"missing: not provided"),exact(metadata!K307,"missing: restricted access"))),AND(IF(metadata!K307="",FALSE,ISNUMBER(VALUE(metadata!K307))),metadata!K307&gt;=-90.00,metadata!K307&lt;=90.00))</f>
        <v>0</v>
      </c>
      <c r="AL307">
        <f>OR(AND(IF(metadata!L307="",FALSE,TRUE),OR(exact(metadata!L307,"missing: not collected"),exact(metadata!L307,"missing: not provided"),exact(metadata!L307,"missing: restricted access"))),AND(IF(metadata!L307="",FALSE,ISNUMBER(VALUE(metadata!L307))),metadata!L307&gt;=-180.00,metadata!L307&lt;=180.00))</f>
        <v>0</v>
      </c>
      <c r="AM307">
        <f>IF(metadata!M307="",FALSE,TRUE)</f>
        <v>0</v>
      </c>
      <c r="AN307">
        <f>OR(AND(IF(metadata!N307="",FALSE,TRUE),OR(exact(metadata!N307,"missing: not collected"),exact(metadata!N307,"missing: not provided"),exact(metadata!N307,"missing: restricted access"))),AND(IF(metadata!N307="",FALSE,TRUE),OR(exact(metadata!N307,"TRUE"),exact(metadata!N307,"FALSE"))))</f>
        <v>0</v>
      </c>
      <c r="AO307">
        <f>IF(metadata!O307="",FALSE,TRUE)</f>
        <v>0</v>
      </c>
      <c r="AP307">
        <f>OR(AND(IF(metadata!P307="",FALSE,TRUE),OR(exact(metadata!P307,"missing: not collected"),exact(metadata!P307,"missing: not provided"))),AND(IF(metadata!P307="",FALSE,IF(ISERROR(INT(metadata!P307)),FALSE,INT(metadata!P307)=metadata!P307)),metadata!P307&gt;0))</f>
        <v>0</v>
      </c>
      <c r="AQ307">
        <f>IF(metadata!Q307="",FALSE,TRUE)</f>
        <v>0</v>
      </c>
    </row>
    <row r="308" spans="1:43">
      <c r="A308" s="5">
        <f>IF(B308=" "," ",HYPERLINK(CONCATENATE("#metadata!",ADDRESS(INDEX($W$2:$W$1001,MATCH(ROWS($U$2:U308),$U$2:$U$1001,0),0),1)),INDEX($Z$2:$Z$1001,MATCH(ROWS($U$2:U308),$U$2:$U$1001,0),0)))</f>
        <v>0</v>
      </c>
      <c r="B308" s="4">
        <f>IF(OR(INDEX($V$2:$V$1001,MATCH(ROWS($U$2:U308),$U$2:$U$1001,0),1)&gt;=100000,INDEX($AB$1005:$AQ$1005,1,MATCH(COLUMNS($AB$1006:AB1006),$AB$1006:$AQ$1006,0))&gt;=100000), " ",IF(INDEX($AB$2:$AQ$1001,MATCH(ROWS($U$2:U308),$U$2:$U$1001,0),MATCH(COLUMNS($AB$1006:AB1006),$AB$1006:$AQ$1006,0)), HYPERLINK("#",""), HYPERLINK(CONCATENATE("#metadata!", ADDRESS(INDEX($W$2:$W$1001,MATCH(ROWS($U$2:U308),$U$2:$U$1001,0),0), INDEX($AB$1004:$AQ$1004,1,MATCH(COLUMNS($AB$1006:AB1006),$AB$1006:$AQ$1006,0)))),"Fix")))</f>
        <v>0</v>
      </c>
      <c r="C308" s="4">
        <f>IF(OR(INDEX($V$2:$V$1001,MATCH(ROWS($U$2:U308),$U$2:$U$1001,0),1)&gt;=100000,INDEX($AB$1005:$AQ$1005,1,MATCH(COLUMNS($AB$1006:AC1006),$AB$1006:$AQ$1006,0))&gt;=100000), " ",IF(INDEX($AB$2:$AQ$1001,MATCH(ROWS($U$2:U308),$U$2:$U$1001,0),MATCH(COLUMNS($AB$1006:AC1006),$AB$1006:$AQ$1006,0)), HYPERLINK("#",""), HYPERLINK(CONCATENATE("#metadata!", ADDRESS(INDEX($W$2:$W$1001,MATCH(ROWS($U$2:U308),$U$2:$U$1001,0),0), INDEX($AB$1004:$AQ$1004,1,MATCH(COLUMNS($AB$1006:AC1006),$AB$1006:$AQ$1006,0)))),"Fix")))</f>
        <v>0</v>
      </c>
      <c r="D308" s="4">
        <f>IF(OR(INDEX($V$2:$V$1001,MATCH(ROWS($U$2:U308),$U$2:$U$1001,0),1)&gt;=100000,INDEX($AB$1005:$AQ$1005,1,MATCH(COLUMNS($AB$1006:AD1006),$AB$1006:$AQ$1006,0))&gt;=100000), " ",IF(INDEX($AB$2:$AQ$1001,MATCH(ROWS($U$2:U308),$U$2:$U$1001,0),MATCH(COLUMNS($AB$1006:AD1006),$AB$1006:$AQ$1006,0)), HYPERLINK("#",""), HYPERLINK(CONCATENATE("#metadata!", ADDRESS(INDEX($W$2:$W$1001,MATCH(ROWS($U$2:U308),$U$2:$U$1001,0),0), INDEX($AB$1004:$AQ$1004,1,MATCH(COLUMNS($AB$1006:AD1006),$AB$1006:$AQ$1006,0)))),"Fix")))</f>
        <v>0</v>
      </c>
      <c r="E308" s="4">
        <f>IF(OR(INDEX($V$2:$V$1001,MATCH(ROWS($U$2:U308),$U$2:$U$1001,0),1)&gt;=100000,INDEX($AB$1005:$AQ$1005,1,MATCH(COLUMNS($AB$1006:AE1006),$AB$1006:$AQ$1006,0))&gt;=100000), " ",IF(INDEX($AB$2:$AQ$1001,MATCH(ROWS($U$2:U308),$U$2:$U$1001,0),MATCH(COLUMNS($AB$1006:AE1006),$AB$1006:$AQ$1006,0)), HYPERLINK("#",""), HYPERLINK(CONCATENATE("#metadata!", ADDRESS(INDEX($W$2:$W$1001,MATCH(ROWS($U$2:U308),$U$2:$U$1001,0),0), INDEX($AB$1004:$AQ$1004,1,MATCH(COLUMNS($AB$1006:AE1006),$AB$1006:$AQ$1006,0)))),"Fix")))</f>
        <v>0</v>
      </c>
      <c r="F308" s="4">
        <f>IF(OR(INDEX($V$2:$V$1001,MATCH(ROWS($U$2:U308),$U$2:$U$1001,0),1)&gt;=100000,INDEX($AB$1005:$AQ$1005,1,MATCH(COLUMNS($AB$1006:AF1006),$AB$1006:$AQ$1006,0))&gt;=100000), " ",IF(INDEX($AB$2:$AQ$1001,MATCH(ROWS($U$2:U308),$U$2:$U$1001,0),MATCH(COLUMNS($AB$1006:AF1006),$AB$1006:$AQ$1006,0)), HYPERLINK("#",""), HYPERLINK(CONCATENATE("#metadata!", ADDRESS(INDEX($W$2:$W$1001,MATCH(ROWS($U$2:U308),$U$2:$U$1001,0),0), INDEX($AB$1004:$AQ$1004,1,MATCH(COLUMNS($AB$1006:AF1006),$AB$1006:$AQ$1006,0)))),"Fix")))</f>
        <v>0</v>
      </c>
      <c r="G308" s="4">
        <f>IF(OR(INDEX($V$2:$V$1001,MATCH(ROWS($U$2:U308),$U$2:$U$1001,0),1)&gt;=100000,INDEX($AB$1005:$AQ$1005,1,MATCH(COLUMNS($AB$1006:AG1006),$AB$1006:$AQ$1006,0))&gt;=100000), " ",IF(INDEX($AB$2:$AQ$1001,MATCH(ROWS($U$2:U308),$U$2:$U$1001,0),MATCH(COLUMNS($AB$1006:AG1006),$AB$1006:$AQ$1006,0)), HYPERLINK("#",""), HYPERLINK(CONCATENATE("#metadata!", ADDRESS(INDEX($W$2:$W$1001,MATCH(ROWS($U$2:U308),$U$2:$U$1001,0),0), INDEX($AB$1004:$AQ$1004,1,MATCH(COLUMNS($AB$1006:AG1006),$AB$1006:$AQ$1006,0)))),"Fix")))</f>
        <v>0</v>
      </c>
      <c r="H308" s="4">
        <f>IF(OR(INDEX($V$2:$V$1001,MATCH(ROWS($U$2:U308),$U$2:$U$1001,0),1)&gt;=100000,INDEX($AB$1005:$AQ$1005,1,MATCH(COLUMNS($AB$1006:AH1006),$AB$1006:$AQ$1006,0))&gt;=100000), " ",IF(INDEX($AB$2:$AQ$1001,MATCH(ROWS($U$2:U308),$U$2:$U$1001,0),MATCH(COLUMNS($AB$1006:AH1006),$AB$1006:$AQ$1006,0)), HYPERLINK("#",""), HYPERLINK(CONCATENATE("#metadata!", ADDRESS(INDEX($W$2:$W$1001,MATCH(ROWS($U$2:U308),$U$2:$U$1001,0),0), INDEX($AB$1004:$AQ$1004,1,MATCH(COLUMNS($AB$1006:AH1006),$AB$1006:$AQ$1006,0)))),"Fix")))</f>
        <v>0</v>
      </c>
      <c r="I308" s="4">
        <f>IF(OR(INDEX($V$2:$V$1001,MATCH(ROWS($U$2:U308),$U$2:$U$1001,0),1)&gt;=100000,INDEX($AB$1005:$AQ$1005,1,MATCH(COLUMNS($AB$1006:AI1006),$AB$1006:$AQ$1006,0))&gt;=100000), " ",IF(INDEX($AB$2:$AQ$1001,MATCH(ROWS($U$2:U308),$U$2:$U$1001,0),MATCH(COLUMNS($AB$1006:AI1006),$AB$1006:$AQ$1006,0)), HYPERLINK("#",""), HYPERLINK(CONCATENATE("#metadata!", ADDRESS(INDEX($W$2:$W$1001,MATCH(ROWS($U$2:U308),$U$2:$U$1001,0),0), INDEX($AB$1004:$AQ$1004,1,MATCH(COLUMNS($AB$1006:AI1006),$AB$1006:$AQ$1006,0)))),"Fix")))</f>
        <v>0</v>
      </c>
      <c r="J308" s="4">
        <f>IF(OR(INDEX($V$2:$V$1001,MATCH(ROWS($U$2:U308),$U$2:$U$1001,0),1)&gt;=100000,INDEX($AB$1005:$AQ$1005,1,MATCH(COLUMNS($AB$1006:AJ1006),$AB$1006:$AQ$1006,0))&gt;=100000), " ",IF(INDEX($AB$2:$AQ$1001,MATCH(ROWS($U$2:U308),$U$2:$U$1001,0),MATCH(COLUMNS($AB$1006:AJ1006),$AB$1006:$AQ$1006,0)), HYPERLINK("#",""), HYPERLINK(CONCATENATE("#metadata!", ADDRESS(INDEX($W$2:$W$1001,MATCH(ROWS($U$2:U308),$U$2:$U$1001,0),0), INDEX($AB$1004:$AQ$1004,1,MATCH(COLUMNS($AB$1006:AJ1006),$AB$1006:$AQ$1006,0)))),"Fix")))</f>
        <v>0</v>
      </c>
      <c r="K308" s="4">
        <f>IF(OR(INDEX($V$2:$V$1001,MATCH(ROWS($U$2:U308),$U$2:$U$1001,0),1)&gt;=100000,INDEX($AB$1005:$AQ$1005,1,MATCH(COLUMNS($AB$1006:AK1006),$AB$1006:$AQ$1006,0))&gt;=100000), " ",IF(INDEX($AB$2:$AQ$1001,MATCH(ROWS($U$2:U308),$U$2:$U$1001,0),MATCH(COLUMNS($AB$1006:AK1006),$AB$1006:$AQ$1006,0)), HYPERLINK("#",""), HYPERLINK(CONCATENATE("#metadata!", ADDRESS(INDEX($W$2:$W$1001,MATCH(ROWS($U$2:U308),$U$2:$U$1001,0),0), INDEX($AB$1004:$AQ$1004,1,MATCH(COLUMNS($AB$1006:AK1006),$AB$1006:$AQ$1006,0)))),"Fix")))</f>
        <v>0</v>
      </c>
      <c r="L308" s="4">
        <f>IF(OR(INDEX($V$2:$V$1001,MATCH(ROWS($U$2:U308),$U$2:$U$1001,0),1)&gt;=100000,INDEX($AB$1005:$AQ$1005,1,MATCH(COLUMNS($AB$1006:AL1006),$AB$1006:$AQ$1006,0))&gt;=100000), " ",IF(INDEX($AB$2:$AQ$1001,MATCH(ROWS($U$2:U308),$U$2:$U$1001,0),MATCH(COLUMNS($AB$1006:AL1006),$AB$1006:$AQ$1006,0)), HYPERLINK("#",""), HYPERLINK(CONCATENATE("#metadata!", ADDRESS(INDEX($W$2:$W$1001,MATCH(ROWS($U$2:U308),$U$2:$U$1001,0),0), INDEX($AB$1004:$AQ$1004,1,MATCH(COLUMNS($AB$1006:AL1006),$AB$1006:$AQ$1006,0)))),"Fix")))</f>
        <v>0</v>
      </c>
      <c r="M308" s="4">
        <f>IF(OR(INDEX($V$2:$V$1001,MATCH(ROWS($U$2:U308),$U$2:$U$1001,0),1)&gt;=100000,INDEX($AB$1005:$AQ$1005,1,MATCH(COLUMNS($AB$1006:AM1006),$AB$1006:$AQ$1006,0))&gt;=100000), " ",IF(INDEX($AB$2:$AQ$1001,MATCH(ROWS($U$2:U308),$U$2:$U$1001,0),MATCH(COLUMNS($AB$1006:AM1006),$AB$1006:$AQ$1006,0)), HYPERLINK("#",""), HYPERLINK(CONCATENATE("#metadata!", ADDRESS(INDEX($W$2:$W$1001,MATCH(ROWS($U$2:U308),$U$2:$U$1001,0),0), INDEX($AB$1004:$AQ$1004,1,MATCH(COLUMNS($AB$1006:AM1006),$AB$1006:$AQ$1006,0)))),"Fix")))</f>
        <v>0</v>
      </c>
      <c r="N308" s="4">
        <f>IF(OR(INDEX($V$2:$V$1001,MATCH(ROWS($U$2:U308),$U$2:$U$1001,0),1)&gt;=100000,INDEX($AB$1005:$AQ$1005,1,MATCH(COLUMNS($AB$1006:AN1006),$AB$1006:$AQ$1006,0))&gt;=100000), " ",IF(INDEX($AB$2:$AQ$1001,MATCH(ROWS($U$2:U308),$U$2:$U$1001,0),MATCH(COLUMNS($AB$1006:AN1006),$AB$1006:$AQ$1006,0)), HYPERLINK("#",""), HYPERLINK(CONCATENATE("#metadata!", ADDRESS(INDEX($W$2:$W$1001,MATCH(ROWS($U$2:U308),$U$2:$U$1001,0),0), INDEX($AB$1004:$AQ$1004,1,MATCH(COLUMNS($AB$1006:AN1006),$AB$1006:$AQ$1006,0)))),"Fix")))</f>
        <v>0</v>
      </c>
      <c r="O308" s="4">
        <f>IF(OR(INDEX($V$2:$V$1001,MATCH(ROWS($U$2:U308),$U$2:$U$1001,0),1)&gt;=100000,INDEX($AB$1005:$AQ$1005,1,MATCH(COLUMNS($AB$1006:AO1006),$AB$1006:$AQ$1006,0))&gt;=100000), " ",IF(INDEX($AB$2:$AQ$1001,MATCH(ROWS($U$2:U308),$U$2:$U$1001,0),MATCH(COLUMNS($AB$1006:AO1006),$AB$1006:$AQ$1006,0)), HYPERLINK("#",""), HYPERLINK(CONCATENATE("#metadata!", ADDRESS(INDEX($W$2:$W$1001,MATCH(ROWS($U$2:U308),$U$2:$U$1001,0),0), INDEX($AB$1004:$AQ$1004,1,MATCH(COLUMNS($AB$1006:AO1006),$AB$1006:$AQ$1006,0)))),"Fix")))</f>
        <v>0</v>
      </c>
      <c r="P308" s="4">
        <f>IF(OR(INDEX($V$2:$V$1001,MATCH(ROWS($U$2:U308),$U$2:$U$1001,0),1)&gt;=100000,INDEX($AB$1005:$AQ$1005,1,MATCH(COLUMNS($AB$1006:AP1006),$AB$1006:$AQ$1006,0))&gt;=100000), " ",IF(INDEX($AB$2:$AQ$1001,MATCH(ROWS($U$2:U308),$U$2:$U$1001,0),MATCH(COLUMNS($AB$1006:AP1006),$AB$1006:$AQ$1006,0)), HYPERLINK("#",""), HYPERLINK(CONCATENATE("#metadata!", ADDRESS(INDEX($W$2:$W$1001,MATCH(ROWS($U$2:U308),$U$2:$U$1001,0),0), INDEX($AB$1004:$AQ$1004,1,MATCH(COLUMNS($AB$1006:AP1006),$AB$1006:$AQ$1006,0)))),"Fix")))</f>
        <v>0</v>
      </c>
      <c r="Q308" s="4">
        <f>IF(OR(INDEX($V$2:$V$1001,MATCH(ROWS($U$2:U308),$U$2:$U$1001,0),1)&gt;=100000,INDEX($AB$1005:$AQ$1005,1,MATCH(COLUMNS($AB$1006:AQ1006),$AB$1006:$AQ$1006,0))&gt;=100000), " ",IF(INDEX($AB$2:$AQ$1001,MATCH(ROWS($U$2:U308),$U$2:$U$1001,0),MATCH(COLUMNS($AB$1006:AQ1006),$AB$1006:$AQ$1006,0)), HYPERLINK("#",""), HYPERLINK(CONCATENATE("#metadata!", ADDRESS(INDEX($W$2:$W$1001,MATCH(ROWS($U$2:U308),$U$2:$U$1001,0),0), INDEX($AB$1004:$AQ$1004,1,MATCH(COLUMNS($AB$1006:AQ1006),$AB$1006:$AQ$1006,0)))),"Fix")))</f>
        <v>0</v>
      </c>
      <c r="U308">
        <v>0</v>
      </c>
      <c r="V308">
        <v>0</v>
      </c>
      <c r="W308">
        <v>0</v>
      </c>
      <c r="X308">
        <f>IF(Y308,TRUE,AND(AB308:AQ308))</f>
        <v>0</v>
      </c>
      <c r="Y308">
        <f>COUNTBLANK(metadata!B308:Q308)=COLUMNS(metadata!B308:Q308)</f>
        <v>0</v>
      </c>
      <c r="Z308">
        <v>0</v>
      </c>
      <c r="AB308">
        <f>AND(IF(metadata!B308="",FALSE,TRUE),COUNTIF(metadata!B:B, metadata!B308) = 1,NOT(ISERROR(SUMPRODUCT(SEARCH(MID(metadata!B308,ROW(INDIRECT("1:"&amp;LEN(metadata!B308))), 1),"0123456789abcdefghijklmnopqrstuvwxyzABCDEFGHIJKLMNOPQRSTUVWXYZ.")))))</f>
        <v>0</v>
      </c>
      <c r="AC308">
        <f>OR(AND(IF(metadata!C308="",FALSE,TRUE),OR(exact(metadata!C308,"missing: not collected"),exact(metadata!C308,"missing: not provided"),exact(metadata!C308,"missing: restricted access"))),AND(IF(metadata!C308="",FALSE,TRUE),AND(AND(IFERROR(INT(LEFT(metadata!C308,4))&gt;1900,FALSE),IFERROR(INT(LEFT(metadata!C308,4))&lt;=YEAR(NOW()),FALSE)), OR(MID(metadata!C308,5,1)="", AND(AND(MID(metadata!C308,5,1)="-",IFERROR(INT(MID(metadata!C308,6,1))&gt;=0,FALSE),IFERROR(INT(MID(metadata!C308,6,1))&lt;=1,FALSE),NOT(MID(metadata!C308,7,1)=""),IFERROR(INT(MID(metadata!C308,6,2))&gt;=1,FALSE),IFERROR(INT(MID(metadata!C308,6,2))&lt;=12,FALSE)), OR(MID(metadata!C308,8,1)="", AND(AND(MID(metadata!C308,8,1)="-",IFERROR(INT(MID(metadata!C308,9,1))&gt;=0,FALSE),IFERROR(INT(MID(metadata!C308,9,1))&lt;=3,FALSE),NOT(MID(metadata!C308,10,1)=""),IFERROR(INT(MID(metadata!C308,9,2))&gt;=1,FALSE),IFERROR(INT(MID(metadata!C308,9,2))&lt;=31,FALSE)), OR(MID(metadata!C308,11,1)="", AND(AND(MID(metadata!C308,11,1)=" ",IFERROR(INT(MID(metadata!C308,12,1))&gt;=0,FALSE),IFERROR(INT(MID(metadata!C308,12,1))&lt;=2,FALSE),NOT(MID(metadata!C308,13,1)=""),IFERROR(INT(MID(metadata!C308,12,2))&gt;=0,FALSE),IFERROR(INT(MID(metadata!C308,12,2))&lt;=23,FALSE)), OR(MID(metadata!C308,14,1)="", AND(AND(MID(metadata!C308,14,1)=":",IFERROR(INT(MID(metadata!C308,15,1))&gt;=0,FALSE),IFERROR(INT(MID(metadata!C308,15,1))&lt;=5,FALSE),NOT(MID(metadata!C308,16,1)=""),IFERROR(INT(MID(metadata!C308,15,2))&gt;=0,FALSE),IFERROR(INT(MID(metadata!C308,15,2))&lt;=59,FALSE)), OR(MID(metadata!C308,17,1)="", AND(AND(MID(metadata!C308,17,1)=":",IFERROR(INT(MID(metadata!C308,18,1))&gt;=0,FALSE),IFERROR(INT(MID(metadata!C308,18,1))&lt;=5,FALSE),NOT(MID(metadata!C308,19,1)=""),IFERROR(INT(MID(metadata!C308,18,2))&gt;=0,FALSE),IFERROR(INT(MID(metadata!C308,18,2))&lt;=59,FALSE)), LEN(metadata!C308)&lt;=19)))))))))))))</f>
        <v>0</v>
      </c>
      <c r="AD308">
        <f>IF(metadata!D308="",FALSE,TRUE)</f>
        <v>0</v>
      </c>
      <c r="AE308">
        <f>OR(AND(IF(metadata!E308="",FALSE,TRUE),OR(exact(metadata!E308,"missing: not collected"),exact(metadata!E308,"missing: not provided"))),AND(IF(metadata!E308="",FALSE,TRUE),OR(exact(metadata!E308,"TRUE"),exact(metadata!E308,"FALSE"))))</f>
        <v>0</v>
      </c>
      <c r="AF308">
        <f>IF(metadata!F308="",FALSE,TRUE)</f>
        <v>0</v>
      </c>
      <c r="AG308">
        <f>IF(metadata!G308="",FALSE,TRUE)</f>
        <v>0</v>
      </c>
      <c r="AH308">
        <f>IF(metadata!H308="",FALSE,TRUE)</f>
        <v>0</v>
      </c>
      <c r="AI308">
        <f>OR(AND(IF(metadata!I308="",FALSE,TRUE),OR(exact(metadata!I308,"missing: not collected"),exact(metadata!I308,"missing: not provided"),exact(metadata!I308,"missing: restricted access"))),AND(IF(metadata!I308="",FALSE,TRUE),OR(exact(metadata!I308,"air"),exact(metadata!I308,"built environment"),exact(metadata!I308,"host-associated"),exact(metadata!I308,"human-associated"),exact(metadata!I308,"human-skin"),exact(metadata!I308,"human-oral"),exact(metadata!I308,"human-gut"),exact(metadata!I308,"human-vaginal"),exact(metadata!I308,"microbial mat/biofilm"),exact(metadata!I308,"misc environment"),exact(metadata!I308,"plant-associated"),exact(metadata!I308,"sediment"),exact(metadata!I308,"soil"),exact(metadata!I308,"wastewater/sludge"),exact(metadata!I308,"water"))))</f>
        <v>0</v>
      </c>
      <c r="AJ308">
        <f>IF(metadata!J308="",FALSE,TRUE)</f>
        <v>0</v>
      </c>
      <c r="AK308">
        <f>OR(AND(IF(metadata!K308="",FALSE,TRUE),OR(exact(metadata!K308,"missing: not collected"),exact(metadata!K308,"missing: not provided"),exact(metadata!K308,"missing: restricted access"))),AND(IF(metadata!K308="",FALSE,ISNUMBER(VALUE(metadata!K308))),metadata!K308&gt;=-90.00,metadata!K308&lt;=90.00))</f>
        <v>0</v>
      </c>
      <c r="AL308">
        <f>OR(AND(IF(metadata!L308="",FALSE,TRUE),OR(exact(metadata!L308,"missing: not collected"),exact(metadata!L308,"missing: not provided"),exact(metadata!L308,"missing: restricted access"))),AND(IF(metadata!L308="",FALSE,ISNUMBER(VALUE(metadata!L308))),metadata!L308&gt;=-180.00,metadata!L308&lt;=180.00))</f>
        <v>0</v>
      </c>
      <c r="AM308">
        <f>IF(metadata!M308="",FALSE,TRUE)</f>
        <v>0</v>
      </c>
      <c r="AN308">
        <f>OR(AND(IF(metadata!N308="",FALSE,TRUE),OR(exact(metadata!N308,"missing: not collected"),exact(metadata!N308,"missing: not provided"),exact(metadata!N308,"missing: restricted access"))),AND(IF(metadata!N308="",FALSE,TRUE),OR(exact(metadata!N308,"TRUE"),exact(metadata!N308,"FALSE"))))</f>
        <v>0</v>
      </c>
      <c r="AO308">
        <f>IF(metadata!O308="",FALSE,TRUE)</f>
        <v>0</v>
      </c>
      <c r="AP308">
        <f>OR(AND(IF(metadata!P308="",FALSE,TRUE),OR(exact(metadata!P308,"missing: not collected"),exact(metadata!P308,"missing: not provided"))),AND(IF(metadata!P308="",FALSE,IF(ISERROR(INT(metadata!P308)),FALSE,INT(metadata!P308)=metadata!P308)),metadata!P308&gt;0))</f>
        <v>0</v>
      </c>
      <c r="AQ308">
        <f>IF(metadata!Q308="",FALSE,TRUE)</f>
        <v>0</v>
      </c>
    </row>
    <row r="309" spans="1:43">
      <c r="A309" s="5">
        <f>IF(B309=" "," ",HYPERLINK(CONCATENATE("#metadata!",ADDRESS(INDEX($W$2:$W$1001,MATCH(ROWS($U$2:U309),$U$2:$U$1001,0),0),1)),INDEX($Z$2:$Z$1001,MATCH(ROWS($U$2:U309),$U$2:$U$1001,0),0)))</f>
        <v>0</v>
      </c>
      <c r="B309" s="4">
        <f>IF(OR(INDEX($V$2:$V$1001,MATCH(ROWS($U$2:U309),$U$2:$U$1001,0),1)&gt;=100000,INDEX($AB$1005:$AQ$1005,1,MATCH(COLUMNS($AB$1006:AB1006),$AB$1006:$AQ$1006,0))&gt;=100000), " ",IF(INDEX($AB$2:$AQ$1001,MATCH(ROWS($U$2:U309),$U$2:$U$1001,0),MATCH(COLUMNS($AB$1006:AB1006),$AB$1006:$AQ$1006,0)), HYPERLINK("#",""), HYPERLINK(CONCATENATE("#metadata!", ADDRESS(INDEX($W$2:$W$1001,MATCH(ROWS($U$2:U309),$U$2:$U$1001,0),0), INDEX($AB$1004:$AQ$1004,1,MATCH(COLUMNS($AB$1006:AB1006),$AB$1006:$AQ$1006,0)))),"Fix")))</f>
        <v>0</v>
      </c>
      <c r="C309" s="4">
        <f>IF(OR(INDEX($V$2:$V$1001,MATCH(ROWS($U$2:U309),$U$2:$U$1001,0),1)&gt;=100000,INDEX($AB$1005:$AQ$1005,1,MATCH(COLUMNS($AB$1006:AC1006),$AB$1006:$AQ$1006,0))&gt;=100000), " ",IF(INDEX($AB$2:$AQ$1001,MATCH(ROWS($U$2:U309),$U$2:$U$1001,0),MATCH(COLUMNS($AB$1006:AC1006),$AB$1006:$AQ$1006,0)), HYPERLINK("#",""), HYPERLINK(CONCATENATE("#metadata!", ADDRESS(INDEX($W$2:$W$1001,MATCH(ROWS($U$2:U309),$U$2:$U$1001,0),0), INDEX($AB$1004:$AQ$1004,1,MATCH(COLUMNS($AB$1006:AC1006),$AB$1006:$AQ$1006,0)))),"Fix")))</f>
        <v>0</v>
      </c>
      <c r="D309" s="4">
        <f>IF(OR(INDEX($V$2:$V$1001,MATCH(ROWS($U$2:U309),$U$2:$U$1001,0),1)&gt;=100000,INDEX($AB$1005:$AQ$1005,1,MATCH(COLUMNS($AB$1006:AD1006),$AB$1006:$AQ$1006,0))&gt;=100000), " ",IF(INDEX($AB$2:$AQ$1001,MATCH(ROWS($U$2:U309),$U$2:$U$1001,0),MATCH(COLUMNS($AB$1006:AD1006),$AB$1006:$AQ$1006,0)), HYPERLINK("#",""), HYPERLINK(CONCATENATE("#metadata!", ADDRESS(INDEX($W$2:$W$1001,MATCH(ROWS($U$2:U309),$U$2:$U$1001,0),0), INDEX($AB$1004:$AQ$1004,1,MATCH(COLUMNS($AB$1006:AD1006),$AB$1006:$AQ$1006,0)))),"Fix")))</f>
        <v>0</v>
      </c>
      <c r="E309" s="4">
        <f>IF(OR(INDEX($V$2:$V$1001,MATCH(ROWS($U$2:U309),$U$2:$U$1001,0),1)&gt;=100000,INDEX($AB$1005:$AQ$1005,1,MATCH(COLUMNS($AB$1006:AE1006),$AB$1006:$AQ$1006,0))&gt;=100000), " ",IF(INDEX($AB$2:$AQ$1001,MATCH(ROWS($U$2:U309),$U$2:$U$1001,0),MATCH(COLUMNS($AB$1006:AE1006),$AB$1006:$AQ$1006,0)), HYPERLINK("#",""), HYPERLINK(CONCATENATE("#metadata!", ADDRESS(INDEX($W$2:$W$1001,MATCH(ROWS($U$2:U309),$U$2:$U$1001,0),0), INDEX($AB$1004:$AQ$1004,1,MATCH(COLUMNS($AB$1006:AE1006),$AB$1006:$AQ$1006,0)))),"Fix")))</f>
        <v>0</v>
      </c>
      <c r="F309" s="4">
        <f>IF(OR(INDEX($V$2:$V$1001,MATCH(ROWS($U$2:U309),$U$2:$U$1001,0),1)&gt;=100000,INDEX($AB$1005:$AQ$1005,1,MATCH(COLUMNS($AB$1006:AF1006),$AB$1006:$AQ$1006,0))&gt;=100000), " ",IF(INDEX($AB$2:$AQ$1001,MATCH(ROWS($U$2:U309),$U$2:$U$1001,0),MATCH(COLUMNS($AB$1006:AF1006),$AB$1006:$AQ$1006,0)), HYPERLINK("#",""), HYPERLINK(CONCATENATE("#metadata!", ADDRESS(INDEX($W$2:$W$1001,MATCH(ROWS($U$2:U309),$U$2:$U$1001,0),0), INDEX($AB$1004:$AQ$1004,1,MATCH(COLUMNS($AB$1006:AF1006),$AB$1006:$AQ$1006,0)))),"Fix")))</f>
        <v>0</v>
      </c>
      <c r="G309" s="4">
        <f>IF(OR(INDEX($V$2:$V$1001,MATCH(ROWS($U$2:U309),$U$2:$U$1001,0),1)&gt;=100000,INDEX($AB$1005:$AQ$1005,1,MATCH(COLUMNS($AB$1006:AG1006),$AB$1006:$AQ$1006,0))&gt;=100000), " ",IF(INDEX($AB$2:$AQ$1001,MATCH(ROWS($U$2:U309),$U$2:$U$1001,0),MATCH(COLUMNS($AB$1006:AG1006),$AB$1006:$AQ$1006,0)), HYPERLINK("#",""), HYPERLINK(CONCATENATE("#metadata!", ADDRESS(INDEX($W$2:$W$1001,MATCH(ROWS($U$2:U309),$U$2:$U$1001,0),0), INDEX($AB$1004:$AQ$1004,1,MATCH(COLUMNS($AB$1006:AG1006),$AB$1006:$AQ$1006,0)))),"Fix")))</f>
        <v>0</v>
      </c>
      <c r="H309" s="4">
        <f>IF(OR(INDEX($V$2:$V$1001,MATCH(ROWS($U$2:U309),$U$2:$U$1001,0),1)&gt;=100000,INDEX($AB$1005:$AQ$1005,1,MATCH(COLUMNS($AB$1006:AH1006),$AB$1006:$AQ$1006,0))&gt;=100000), " ",IF(INDEX($AB$2:$AQ$1001,MATCH(ROWS($U$2:U309),$U$2:$U$1001,0),MATCH(COLUMNS($AB$1006:AH1006),$AB$1006:$AQ$1006,0)), HYPERLINK("#",""), HYPERLINK(CONCATENATE("#metadata!", ADDRESS(INDEX($W$2:$W$1001,MATCH(ROWS($U$2:U309),$U$2:$U$1001,0),0), INDEX($AB$1004:$AQ$1004,1,MATCH(COLUMNS($AB$1006:AH1006),$AB$1006:$AQ$1006,0)))),"Fix")))</f>
        <v>0</v>
      </c>
      <c r="I309" s="4">
        <f>IF(OR(INDEX($V$2:$V$1001,MATCH(ROWS($U$2:U309),$U$2:$U$1001,0),1)&gt;=100000,INDEX($AB$1005:$AQ$1005,1,MATCH(COLUMNS($AB$1006:AI1006),$AB$1006:$AQ$1006,0))&gt;=100000), " ",IF(INDEX($AB$2:$AQ$1001,MATCH(ROWS($U$2:U309),$U$2:$U$1001,0),MATCH(COLUMNS($AB$1006:AI1006),$AB$1006:$AQ$1006,0)), HYPERLINK("#",""), HYPERLINK(CONCATENATE("#metadata!", ADDRESS(INDEX($W$2:$W$1001,MATCH(ROWS($U$2:U309),$U$2:$U$1001,0),0), INDEX($AB$1004:$AQ$1004,1,MATCH(COLUMNS($AB$1006:AI1006),$AB$1006:$AQ$1006,0)))),"Fix")))</f>
        <v>0</v>
      </c>
      <c r="J309" s="4">
        <f>IF(OR(INDEX($V$2:$V$1001,MATCH(ROWS($U$2:U309),$U$2:$U$1001,0),1)&gt;=100000,INDEX($AB$1005:$AQ$1005,1,MATCH(COLUMNS($AB$1006:AJ1006),$AB$1006:$AQ$1006,0))&gt;=100000), " ",IF(INDEX($AB$2:$AQ$1001,MATCH(ROWS($U$2:U309),$U$2:$U$1001,0),MATCH(COLUMNS($AB$1006:AJ1006),$AB$1006:$AQ$1006,0)), HYPERLINK("#",""), HYPERLINK(CONCATENATE("#metadata!", ADDRESS(INDEX($W$2:$W$1001,MATCH(ROWS($U$2:U309),$U$2:$U$1001,0),0), INDEX($AB$1004:$AQ$1004,1,MATCH(COLUMNS($AB$1006:AJ1006),$AB$1006:$AQ$1006,0)))),"Fix")))</f>
        <v>0</v>
      </c>
      <c r="K309" s="4">
        <f>IF(OR(INDEX($V$2:$V$1001,MATCH(ROWS($U$2:U309),$U$2:$U$1001,0),1)&gt;=100000,INDEX($AB$1005:$AQ$1005,1,MATCH(COLUMNS($AB$1006:AK1006),$AB$1006:$AQ$1006,0))&gt;=100000), " ",IF(INDEX($AB$2:$AQ$1001,MATCH(ROWS($U$2:U309),$U$2:$U$1001,0),MATCH(COLUMNS($AB$1006:AK1006),$AB$1006:$AQ$1006,0)), HYPERLINK("#",""), HYPERLINK(CONCATENATE("#metadata!", ADDRESS(INDEX($W$2:$W$1001,MATCH(ROWS($U$2:U309),$U$2:$U$1001,0),0), INDEX($AB$1004:$AQ$1004,1,MATCH(COLUMNS($AB$1006:AK1006),$AB$1006:$AQ$1006,0)))),"Fix")))</f>
        <v>0</v>
      </c>
      <c r="L309" s="4">
        <f>IF(OR(INDEX($V$2:$V$1001,MATCH(ROWS($U$2:U309),$U$2:$U$1001,0),1)&gt;=100000,INDEX($AB$1005:$AQ$1005,1,MATCH(COLUMNS($AB$1006:AL1006),$AB$1006:$AQ$1006,0))&gt;=100000), " ",IF(INDEX($AB$2:$AQ$1001,MATCH(ROWS($U$2:U309),$U$2:$U$1001,0),MATCH(COLUMNS($AB$1006:AL1006),$AB$1006:$AQ$1006,0)), HYPERLINK("#",""), HYPERLINK(CONCATENATE("#metadata!", ADDRESS(INDEX($W$2:$W$1001,MATCH(ROWS($U$2:U309),$U$2:$U$1001,0),0), INDEX($AB$1004:$AQ$1004,1,MATCH(COLUMNS($AB$1006:AL1006),$AB$1006:$AQ$1006,0)))),"Fix")))</f>
        <v>0</v>
      </c>
      <c r="M309" s="4">
        <f>IF(OR(INDEX($V$2:$V$1001,MATCH(ROWS($U$2:U309),$U$2:$U$1001,0),1)&gt;=100000,INDEX($AB$1005:$AQ$1005,1,MATCH(COLUMNS($AB$1006:AM1006),$AB$1006:$AQ$1006,0))&gt;=100000), " ",IF(INDEX($AB$2:$AQ$1001,MATCH(ROWS($U$2:U309),$U$2:$U$1001,0),MATCH(COLUMNS($AB$1006:AM1006),$AB$1006:$AQ$1006,0)), HYPERLINK("#",""), HYPERLINK(CONCATENATE("#metadata!", ADDRESS(INDEX($W$2:$W$1001,MATCH(ROWS($U$2:U309),$U$2:$U$1001,0),0), INDEX($AB$1004:$AQ$1004,1,MATCH(COLUMNS($AB$1006:AM1006),$AB$1006:$AQ$1006,0)))),"Fix")))</f>
        <v>0</v>
      </c>
      <c r="N309" s="4">
        <f>IF(OR(INDEX($V$2:$V$1001,MATCH(ROWS($U$2:U309),$U$2:$U$1001,0),1)&gt;=100000,INDEX($AB$1005:$AQ$1005,1,MATCH(COLUMNS($AB$1006:AN1006),$AB$1006:$AQ$1006,0))&gt;=100000), " ",IF(INDEX($AB$2:$AQ$1001,MATCH(ROWS($U$2:U309),$U$2:$U$1001,0),MATCH(COLUMNS($AB$1006:AN1006),$AB$1006:$AQ$1006,0)), HYPERLINK("#",""), HYPERLINK(CONCATENATE("#metadata!", ADDRESS(INDEX($W$2:$W$1001,MATCH(ROWS($U$2:U309),$U$2:$U$1001,0),0), INDEX($AB$1004:$AQ$1004,1,MATCH(COLUMNS($AB$1006:AN1006),$AB$1006:$AQ$1006,0)))),"Fix")))</f>
        <v>0</v>
      </c>
      <c r="O309" s="4">
        <f>IF(OR(INDEX($V$2:$V$1001,MATCH(ROWS($U$2:U309),$U$2:$U$1001,0),1)&gt;=100000,INDEX($AB$1005:$AQ$1005,1,MATCH(COLUMNS($AB$1006:AO1006),$AB$1006:$AQ$1006,0))&gt;=100000), " ",IF(INDEX($AB$2:$AQ$1001,MATCH(ROWS($U$2:U309),$U$2:$U$1001,0),MATCH(COLUMNS($AB$1006:AO1006),$AB$1006:$AQ$1006,0)), HYPERLINK("#",""), HYPERLINK(CONCATENATE("#metadata!", ADDRESS(INDEX($W$2:$W$1001,MATCH(ROWS($U$2:U309),$U$2:$U$1001,0),0), INDEX($AB$1004:$AQ$1004,1,MATCH(COLUMNS($AB$1006:AO1006),$AB$1006:$AQ$1006,0)))),"Fix")))</f>
        <v>0</v>
      </c>
      <c r="P309" s="4">
        <f>IF(OR(INDEX($V$2:$V$1001,MATCH(ROWS($U$2:U309),$U$2:$U$1001,0),1)&gt;=100000,INDEX($AB$1005:$AQ$1005,1,MATCH(COLUMNS($AB$1006:AP1006),$AB$1006:$AQ$1006,0))&gt;=100000), " ",IF(INDEX($AB$2:$AQ$1001,MATCH(ROWS($U$2:U309),$U$2:$U$1001,0),MATCH(COLUMNS($AB$1006:AP1006),$AB$1006:$AQ$1006,0)), HYPERLINK("#",""), HYPERLINK(CONCATENATE("#metadata!", ADDRESS(INDEX($W$2:$W$1001,MATCH(ROWS($U$2:U309),$U$2:$U$1001,0),0), INDEX($AB$1004:$AQ$1004,1,MATCH(COLUMNS($AB$1006:AP1006),$AB$1006:$AQ$1006,0)))),"Fix")))</f>
        <v>0</v>
      </c>
      <c r="Q309" s="4">
        <f>IF(OR(INDEX($V$2:$V$1001,MATCH(ROWS($U$2:U309),$U$2:$U$1001,0),1)&gt;=100000,INDEX($AB$1005:$AQ$1005,1,MATCH(COLUMNS($AB$1006:AQ1006),$AB$1006:$AQ$1006,0))&gt;=100000), " ",IF(INDEX($AB$2:$AQ$1001,MATCH(ROWS($U$2:U309),$U$2:$U$1001,0),MATCH(COLUMNS($AB$1006:AQ1006),$AB$1006:$AQ$1006,0)), HYPERLINK("#",""), HYPERLINK(CONCATENATE("#metadata!", ADDRESS(INDEX($W$2:$W$1001,MATCH(ROWS($U$2:U309),$U$2:$U$1001,0),0), INDEX($AB$1004:$AQ$1004,1,MATCH(COLUMNS($AB$1006:AQ1006),$AB$1006:$AQ$1006,0)))),"Fix")))</f>
        <v>0</v>
      </c>
      <c r="U309">
        <v>0</v>
      </c>
      <c r="V309">
        <v>0</v>
      </c>
      <c r="W309">
        <v>0</v>
      </c>
      <c r="X309">
        <f>IF(Y309,TRUE,AND(AB309:AQ309))</f>
        <v>0</v>
      </c>
      <c r="Y309">
        <f>COUNTBLANK(metadata!B309:Q309)=COLUMNS(metadata!B309:Q309)</f>
        <v>0</v>
      </c>
      <c r="Z309">
        <v>0</v>
      </c>
      <c r="AB309">
        <f>AND(IF(metadata!B309="",FALSE,TRUE),COUNTIF(metadata!B:B, metadata!B309) = 1,NOT(ISERROR(SUMPRODUCT(SEARCH(MID(metadata!B309,ROW(INDIRECT("1:"&amp;LEN(metadata!B309))), 1),"0123456789abcdefghijklmnopqrstuvwxyzABCDEFGHIJKLMNOPQRSTUVWXYZ.")))))</f>
        <v>0</v>
      </c>
      <c r="AC309">
        <f>OR(AND(IF(metadata!C309="",FALSE,TRUE),OR(exact(metadata!C309,"missing: not collected"),exact(metadata!C309,"missing: not provided"),exact(metadata!C309,"missing: restricted access"))),AND(IF(metadata!C309="",FALSE,TRUE),AND(AND(IFERROR(INT(LEFT(metadata!C309,4))&gt;1900,FALSE),IFERROR(INT(LEFT(metadata!C309,4))&lt;=YEAR(NOW()),FALSE)), OR(MID(metadata!C309,5,1)="", AND(AND(MID(metadata!C309,5,1)="-",IFERROR(INT(MID(metadata!C309,6,1))&gt;=0,FALSE),IFERROR(INT(MID(metadata!C309,6,1))&lt;=1,FALSE),NOT(MID(metadata!C309,7,1)=""),IFERROR(INT(MID(metadata!C309,6,2))&gt;=1,FALSE),IFERROR(INT(MID(metadata!C309,6,2))&lt;=12,FALSE)), OR(MID(metadata!C309,8,1)="", AND(AND(MID(metadata!C309,8,1)="-",IFERROR(INT(MID(metadata!C309,9,1))&gt;=0,FALSE),IFERROR(INT(MID(metadata!C309,9,1))&lt;=3,FALSE),NOT(MID(metadata!C309,10,1)=""),IFERROR(INT(MID(metadata!C309,9,2))&gt;=1,FALSE),IFERROR(INT(MID(metadata!C309,9,2))&lt;=31,FALSE)), OR(MID(metadata!C309,11,1)="", AND(AND(MID(metadata!C309,11,1)=" ",IFERROR(INT(MID(metadata!C309,12,1))&gt;=0,FALSE),IFERROR(INT(MID(metadata!C309,12,1))&lt;=2,FALSE),NOT(MID(metadata!C309,13,1)=""),IFERROR(INT(MID(metadata!C309,12,2))&gt;=0,FALSE),IFERROR(INT(MID(metadata!C309,12,2))&lt;=23,FALSE)), OR(MID(metadata!C309,14,1)="", AND(AND(MID(metadata!C309,14,1)=":",IFERROR(INT(MID(metadata!C309,15,1))&gt;=0,FALSE),IFERROR(INT(MID(metadata!C309,15,1))&lt;=5,FALSE),NOT(MID(metadata!C309,16,1)=""),IFERROR(INT(MID(metadata!C309,15,2))&gt;=0,FALSE),IFERROR(INT(MID(metadata!C309,15,2))&lt;=59,FALSE)), OR(MID(metadata!C309,17,1)="", AND(AND(MID(metadata!C309,17,1)=":",IFERROR(INT(MID(metadata!C309,18,1))&gt;=0,FALSE),IFERROR(INT(MID(metadata!C309,18,1))&lt;=5,FALSE),NOT(MID(metadata!C309,19,1)=""),IFERROR(INT(MID(metadata!C309,18,2))&gt;=0,FALSE),IFERROR(INT(MID(metadata!C309,18,2))&lt;=59,FALSE)), LEN(metadata!C309)&lt;=19)))))))))))))</f>
        <v>0</v>
      </c>
      <c r="AD309">
        <f>IF(metadata!D309="",FALSE,TRUE)</f>
        <v>0</v>
      </c>
      <c r="AE309">
        <f>OR(AND(IF(metadata!E309="",FALSE,TRUE),OR(exact(metadata!E309,"missing: not collected"),exact(metadata!E309,"missing: not provided"))),AND(IF(metadata!E309="",FALSE,TRUE),OR(exact(metadata!E309,"TRUE"),exact(metadata!E309,"FALSE"))))</f>
        <v>0</v>
      </c>
      <c r="AF309">
        <f>IF(metadata!F309="",FALSE,TRUE)</f>
        <v>0</v>
      </c>
      <c r="AG309">
        <f>IF(metadata!G309="",FALSE,TRUE)</f>
        <v>0</v>
      </c>
      <c r="AH309">
        <f>IF(metadata!H309="",FALSE,TRUE)</f>
        <v>0</v>
      </c>
      <c r="AI309">
        <f>OR(AND(IF(metadata!I309="",FALSE,TRUE),OR(exact(metadata!I309,"missing: not collected"),exact(metadata!I309,"missing: not provided"),exact(metadata!I309,"missing: restricted access"))),AND(IF(metadata!I309="",FALSE,TRUE),OR(exact(metadata!I309,"air"),exact(metadata!I309,"built environment"),exact(metadata!I309,"host-associated"),exact(metadata!I309,"human-associated"),exact(metadata!I309,"human-skin"),exact(metadata!I309,"human-oral"),exact(metadata!I309,"human-gut"),exact(metadata!I309,"human-vaginal"),exact(metadata!I309,"microbial mat/biofilm"),exact(metadata!I309,"misc environment"),exact(metadata!I309,"plant-associated"),exact(metadata!I309,"sediment"),exact(metadata!I309,"soil"),exact(metadata!I309,"wastewater/sludge"),exact(metadata!I309,"water"))))</f>
        <v>0</v>
      </c>
      <c r="AJ309">
        <f>IF(metadata!J309="",FALSE,TRUE)</f>
        <v>0</v>
      </c>
      <c r="AK309">
        <f>OR(AND(IF(metadata!K309="",FALSE,TRUE),OR(exact(metadata!K309,"missing: not collected"),exact(metadata!K309,"missing: not provided"),exact(metadata!K309,"missing: restricted access"))),AND(IF(metadata!K309="",FALSE,ISNUMBER(VALUE(metadata!K309))),metadata!K309&gt;=-90.00,metadata!K309&lt;=90.00))</f>
        <v>0</v>
      </c>
      <c r="AL309">
        <f>OR(AND(IF(metadata!L309="",FALSE,TRUE),OR(exact(metadata!L309,"missing: not collected"),exact(metadata!L309,"missing: not provided"),exact(metadata!L309,"missing: restricted access"))),AND(IF(metadata!L309="",FALSE,ISNUMBER(VALUE(metadata!L309))),metadata!L309&gt;=-180.00,metadata!L309&lt;=180.00))</f>
        <v>0</v>
      </c>
      <c r="AM309">
        <f>IF(metadata!M309="",FALSE,TRUE)</f>
        <v>0</v>
      </c>
      <c r="AN309">
        <f>OR(AND(IF(metadata!N309="",FALSE,TRUE),OR(exact(metadata!N309,"missing: not collected"),exact(metadata!N309,"missing: not provided"),exact(metadata!N309,"missing: restricted access"))),AND(IF(metadata!N309="",FALSE,TRUE),OR(exact(metadata!N309,"TRUE"),exact(metadata!N309,"FALSE"))))</f>
        <v>0</v>
      </c>
      <c r="AO309">
        <f>IF(metadata!O309="",FALSE,TRUE)</f>
        <v>0</v>
      </c>
      <c r="AP309">
        <f>OR(AND(IF(metadata!P309="",FALSE,TRUE),OR(exact(metadata!P309,"missing: not collected"),exact(metadata!P309,"missing: not provided"))),AND(IF(metadata!P309="",FALSE,IF(ISERROR(INT(metadata!P309)),FALSE,INT(metadata!P309)=metadata!P309)),metadata!P309&gt;0))</f>
        <v>0</v>
      </c>
      <c r="AQ309">
        <f>IF(metadata!Q309="",FALSE,TRUE)</f>
        <v>0</v>
      </c>
    </row>
    <row r="310" spans="1:43">
      <c r="A310" s="5">
        <f>IF(B310=" "," ",HYPERLINK(CONCATENATE("#metadata!",ADDRESS(INDEX($W$2:$W$1001,MATCH(ROWS($U$2:U310),$U$2:$U$1001,0),0),1)),INDEX($Z$2:$Z$1001,MATCH(ROWS($U$2:U310),$U$2:$U$1001,0),0)))</f>
        <v>0</v>
      </c>
      <c r="B310" s="4">
        <f>IF(OR(INDEX($V$2:$V$1001,MATCH(ROWS($U$2:U310),$U$2:$U$1001,0),1)&gt;=100000,INDEX($AB$1005:$AQ$1005,1,MATCH(COLUMNS($AB$1006:AB1006),$AB$1006:$AQ$1006,0))&gt;=100000), " ",IF(INDEX($AB$2:$AQ$1001,MATCH(ROWS($U$2:U310),$U$2:$U$1001,0),MATCH(COLUMNS($AB$1006:AB1006),$AB$1006:$AQ$1006,0)), HYPERLINK("#",""), HYPERLINK(CONCATENATE("#metadata!", ADDRESS(INDEX($W$2:$W$1001,MATCH(ROWS($U$2:U310),$U$2:$U$1001,0),0), INDEX($AB$1004:$AQ$1004,1,MATCH(COLUMNS($AB$1006:AB1006),$AB$1006:$AQ$1006,0)))),"Fix")))</f>
        <v>0</v>
      </c>
      <c r="C310" s="4">
        <f>IF(OR(INDEX($V$2:$V$1001,MATCH(ROWS($U$2:U310),$U$2:$U$1001,0),1)&gt;=100000,INDEX($AB$1005:$AQ$1005,1,MATCH(COLUMNS($AB$1006:AC1006),$AB$1006:$AQ$1006,0))&gt;=100000), " ",IF(INDEX($AB$2:$AQ$1001,MATCH(ROWS($U$2:U310),$U$2:$U$1001,0),MATCH(COLUMNS($AB$1006:AC1006),$AB$1006:$AQ$1006,0)), HYPERLINK("#",""), HYPERLINK(CONCATENATE("#metadata!", ADDRESS(INDEX($W$2:$W$1001,MATCH(ROWS($U$2:U310),$U$2:$U$1001,0),0), INDEX($AB$1004:$AQ$1004,1,MATCH(COLUMNS($AB$1006:AC1006),$AB$1006:$AQ$1006,0)))),"Fix")))</f>
        <v>0</v>
      </c>
      <c r="D310" s="4">
        <f>IF(OR(INDEX($V$2:$V$1001,MATCH(ROWS($U$2:U310),$U$2:$U$1001,0),1)&gt;=100000,INDEX($AB$1005:$AQ$1005,1,MATCH(COLUMNS($AB$1006:AD1006),$AB$1006:$AQ$1006,0))&gt;=100000), " ",IF(INDEX($AB$2:$AQ$1001,MATCH(ROWS($U$2:U310),$U$2:$U$1001,0),MATCH(COLUMNS($AB$1006:AD1006),$AB$1006:$AQ$1006,0)), HYPERLINK("#",""), HYPERLINK(CONCATENATE("#metadata!", ADDRESS(INDEX($W$2:$W$1001,MATCH(ROWS($U$2:U310),$U$2:$U$1001,0),0), INDEX($AB$1004:$AQ$1004,1,MATCH(COLUMNS($AB$1006:AD1006),$AB$1006:$AQ$1006,0)))),"Fix")))</f>
        <v>0</v>
      </c>
      <c r="E310" s="4">
        <f>IF(OR(INDEX($V$2:$V$1001,MATCH(ROWS($U$2:U310),$U$2:$U$1001,0),1)&gt;=100000,INDEX($AB$1005:$AQ$1005,1,MATCH(COLUMNS($AB$1006:AE1006),$AB$1006:$AQ$1006,0))&gt;=100000), " ",IF(INDEX($AB$2:$AQ$1001,MATCH(ROWS($U$2:U310),$U$2:$U$1001,0),MATCH(COLUMNS($AB$1006:AE1006),$AB$1006:$AQ$1006,0)), HYPERLINK("#",""), HYPERLINK(CONCATENATE("#metadata!", ADDRESS(INDEX($W$2:$W$1001,MATCH(ROWS($U$2:U310),$U$2:$U$1001,0),0), INDEX($AB$1004:$AQ$1004,1,MATCH(COLUMNS($AB$1006:AE1006),$AB$1006:$AQ$1006,0)))),"Fix")))</f>
        <v>0</v>
      </c>
      <c r="F310" s="4">
        <f>IF(OR(INDEX($V$2:$V$1001,MATCH(ROWS($U$2:U310),$U$2:$U$1001,0),1)&gt;=100000,INDEX($AB$1005:$AQ$1005,1,MATCH(COLUMNS($AB$1006:AF1006),$AB$1006:$AQ$1006,0))&gt;=100000), " ",IF(INDEX($AB$2:$AQ$1001,MATCH(ROWS($U$2:U310),$U$2:$U$1001,0),MATCH(COLUMNS($AB$1006:AF1006),$AB$1006:$AQ$1006,0)), HYPERLINK("#",""), HYPERLINK(CONCATENATE("#metadata!", ADDRESS(INDEX($W$2:$W$1001,MATCH(ROWS($U$2:U310),$U$2:$U$1001,0),0), INDEX($AB$1004:$AQ$1004,1,MATCH(COLUMNS($AB$1006:AF1006),$AB$1006:$AQ$1006,0)))),"Fix")))</f>
        <v>0</v>
      </c>
      <c r="G310" s="4">
        <f>IF(OR(INDEX($V$2:$V$1001,MATCH(ROWS($U$2:U310),$U$2:$U$1001,0),1)&gt;=100000,INDEX($AB$1005:$AQ$1005,1,MATCH(COLUMNS($AB$1006:AG1006),$AB$1006:$AQ$1006,0))&gt;=100000), " ",IF(INDEX($AB$2:$AQ$1001,MATCH(ROWS($U$2:U310),$U$2:$U$1001,0),MATCH(COLUMNS($AB$1006:AG1006),$AB$1006:$AQ$1006,0)), HYPERLINK("#",""), HYPERLINK(CONCATENATE("#metadata!", ADDRESS(INDEX($W$2:$W$1001,MATCH(ROWS($U$2:U310),$U$2:$U$1001,0),0), INDEX($AB$1004:$AQ$1004,1,MATCH(COLUMNS($AB$1006:AG1006),$AB$1006:$AQ$1006,0)))),"Fix")))</f>
        <v>0</v>
      </c>
      <c r="H310" s="4">
        <f>IF(OR(INDEX($V$2:$V$1001,MATCH(ROWS($U$2:U310),$U$2:$U$1001,0),1)&gt;=100000,INDEX($AB$1005:$AQ$1005,1,MATCH(COLUMNS($AB$1006:AH1006),$AB$1006:$AQ$1006,0))&gt;=100000), " ",IF(INDEX($AB$2:$AQ$1001,MATCH(ROWS($U$2:U310),$U$2:$U$1001,0),MATCH(COLUMNS($AB$1006:AH1006),$AB$1006:$AQ$1006,0)), HYPERLINK("#",""), HYPERLINK(CONCATENATE("#metadata!", ADDRESS(INDEX($W$2:$W$1001,MATCH(ROWS($U$2:U310),$U$2:$U$1001,0),0), INDEX($AB$1004:$AQ$1004,1,MATCH(COLUMNS($AB$1006:AH1006),$AB$1006:$AQ$1006,0)))),"Fix")))</f>
        <v>0</v>
      </c>
      <c r="I310" s="4">
        <f>IF(OR(INDEX($V$2:$V$1001,MATCH(ROWS($U$2:U310),$U$2:$U$1001,0),1)&gt;=100000,INDEX($AB$1005:$AQ$1005,1,MATCH(COLUMNS($AB$1006:AI1006),$AB$1006:$AQ$1006,0))&gt;=100000), " ",IF(INDEX($AB$2:$AQ$1001,MATCH(ROWS($U$2:U310),$U$2:$U$1001,0),MATCH(COLUMNS($AB$1006:AI1006),$AB$1006:$AQ$1006,0)), HYPERLINK("#",""), HYPERLINK(CONCATENATE("#metadata!", ADDRESS(INDEX($W$2:$W$1001,MATCH(ROWS($U$2:U310),$U$2:$U$1001,0),0), INDEX($AB$1004:$AQ$1004,1,MATCH(COLUMNS($AB$1006:AI1006),$AB$1006:$AQ$1006,0)))),"Fix")))</f>
        <v>0</v>
      </c>
      <c r="J310" s="4">
        <f>IF(OR(INDEX($V$2:$V$1001,MATCH(ROWS($U$2:U310),$U$2:$U$1001,0),1)&gt;=100000,INDEX($AB$1005:$AQ$1005,1,MATCH(COLUMNS($AB$1006:AJ1006),$AB$1006:$AQ$1006,0))&gt;=100000), " ",IF(INDEX($AB$2:$AQ$1001,MATCH(ROWS($U$2:U310),$U$2:$U$1001,0),MATCH(COLUMNS($AB$1006:AJ1006),$AB$1006:$AQ$1006,0)), HYPERLINK("#",""), HYPERLINK(CONCATENATE("#metadata!", ADDRESS(INDEX($W$2:$W$1001,MATCH(ROWS($U$2:U310),$U$2:$U$1001,0),0), INDEX($AB$1004:$AQ$1004,1,MATCH(COLUMNS($AB$1006:AJ1006),$AB$1006:$AQ$1006,0)))),"Fix")))</f>
        <v>0</v>
      </c>
      <c r="K310" s="4">
        <f>IF(OR(INDEX($V$2:$V$1001,MATCH(ROWS($U$2:U310),$U$2:$U$1001,0),1)&gt;=100000,INDEX($AB$1005:$AQ$1005,1,MATCH(COLUMNS($AB$1006:AK1006),$AB$1006:$AQ$1006,0))&gt;=100000), " ",IF(INDEX($AB$2:$AQ$1001,MATCH(ROWS($U$2:U310),$U$2:$U$1001,0),MATCH(COLUMNS($AB$1006:AK1006),$AB$1006:$AQ$1006,0)), HYPERLINK("#",""), HYPERLINK(CONCATENATE("#metadata!", ADDRESS(INDEX($W$2:$W$1001,MATCH(ROWS($U$2:U310),$U$2:$U$1001,0),0), INDEX($AB$1004:$AQ$1004,1,MATCH(COLUMNS($AB$1006:AK1006),$AB$1006:$AQ$1006,0)))),"Fix")))</f>
        <v>0</v>
      </c>
      <c r="L310" s="4">
        <f>IF(OR(INDEX($V$2:$V$1001,MATCH(ROWS($U$2:U310),$U$2:$U$1001,0),1)&gt;=100000,INDEX($AB$1005:$AQ$1005,1,MATCH(COLUMNS($AB$1006:AL1006),$AB$1006:$AQ$1006,0))&gt;=100000), " ",IF(INDEX($AB$2:$AQ$1001,MATCH(ROWS($U$2:U310),$U$2:$U$1001,0),MATCH(COLUMNS($AB$1006:AL1006),$AB$1006:$AQ$1006,0)), HYPERLINK("#",""), HYPERLINK(CONCATENATE("#metadata!", ADDRESS(INDEX($W$2:$W$1001,MATCH(ROWS($U$2:U310),$U$2:$U$1001,0),0), INDEX($AB$1004:$AQ$1004,1,MATCH(COLUMNS($AB$1006:AL1006),$AB$1006:$AQ$1006,0)))),"Fix")))</f>
        <v>0</v>
      </c>
      <c r="M310" s="4">
        <f>IF(OR(INDEX($V$2:$V$1001,MATCH(ROWS($U$2:U310),$U$2:$U$1001,0),1)&gt;=100000,INDEX($AB$1005:$AQ$1005,1,MATCH(COLUMNS($AB$1006:AM1006),$AB$1006:$AQ$1006,0))&gt;=100000), " ",IF(INDEX($AB$2:$AQ$1001,MATCH(ROWS($U$2:U310),$U$2:$U$1001,0),MATCH(COLUMNS($AB$1006:AM1006),$AB$1006:$AQ$1006,0)), HYPERLINK("#",""), HYPERLINK(CONCATENATE("#metadata!", ADDRESS(INDEX($W$2:$W$1001,MATCH(ROWS($U$2:U310),$U$2:$U$1001,0),0), INDEX($AB$1004:$AQ$1004,1,MATCH(COLUMNS($AB$1006:AM1006),$AB$1006:$AQ$1006,0)))),"Fix")))</f>
        <v>0</v>
      </c>
      <c r="N310" s="4">
        <f>IF(OR(INDEX($V$2:$V$1001,MATCH(ROWS($U$2:U310),$U$2:$U$1001,0),1)&gt;=100000,INDEX($AB$1005:$AQ$1005,1,MATCH(COLUMNS($AB$1006:AN1006),$AB$1006:$AQ$1006,0))&gt;=100000), " ",IF(INDEX($AB$2:$AQ$1001,MATCH(ROWS($U$2:U310),$U$2:$U$1001,0),MATCH(COLUMNS($AB$1006:AN1006),$AB$1006:$AQ$1006,0)), HYPERLINK("#",""), HYPERLINK(CONCATENATE("#metadata!", ADDRESS(INDEX($W$2:$W$1001,MATCH(ROWS($U$2:U310),$U$2:$U$1001,0),0), INDEX($AB$1004:$AQ$1004,1,MATCH(COLUMNS($AB$1006:AN1006),$AB$1006:$AQ$1006,0)))),"Fix")))</f>
        <v>0</v>
      </c>
      <c r="O310" s="4">
        <f>IF(OR(INDEX($V$2:$V$1001,MATCH(ROWS($U$2:U310),$U$2:$U$1001,0),1)&gt;=100000,INDEX($AB$1005:$AQ$1005,1,MATCH(COLUMNS($AB$1006:AO1006),$AB$1006:$AQ$1006,0))&gt;=100000), " ",IF(INDEX($AB$2:$AQ$1001,MATCH(ROWS($U$2:U310),$U$2:$U$1001,0),MATCH(COLUMNS($AB$1006:AO1006),$AB$1006:$AQ$1006,0)), HYPERLINK("#",""), HYPERLINK(CONCATENATE("#metadata!", ADDRESS(INDEX($W$2:$W$1001,MATCH(ROWS($U$2:U310),$U$2:$U$1001,0),0), INDEX($AB$1004:$AQ$1004,1,MATCH(COLUMNS($AB$1006:AO1006),$AB$1006:$AQ$1006,0)))),"Fix")))</f>
        <v>0</v>
      </c>
      <c r="P310" s="4">
        <f>IF(OR(INDEX($V$2:$V$1001,MATCH(ROWS($U$2:U310),$U$2:$U$1001,0),1)&gt;=100000,INDEX($AB$1005:$AQ$1005,1,MATCH(COLUMNS($AB$1006:AP1006),$AB$1006:$AQ$1006,0))&gt;=100000), " ",IF(INDEX($AB$2:$AQ$1001,MATCH(ROWS($U$2:U310),$U$2:$U$1001,0),MATCH(COLUMNS($AB$1006:AP1006),$AB$1006:$AQ$1006,0)), HYPERLINK("#",""), HYPERLINK(CONCATENATE("#metadata!", ADDRESS(INDEX($W$2:$W$1001,MATCH(ROWS($U$2:U310),$U$2:$U$1001,0),0), INDEX($AB$1004:$AQ$1004,1,MATCH(COLUMNS($AB$1006:AP1006),$AB$1006:$AQ$1006,0)))),"Fix")))</f>
        <v>0</v>
      </c>
      <c r="Q310" s="4">
        <f>IF(OR(INDEX($V$2:$V$1001,MATCH(ROWS($U$2:U310),$U$2:$U$1001,0),1)&gt;=100000,INDEX($AB$1005:$AQ$1005,1,MATCH(COLUMNS($AB$1006:AQ1006),$AB$1006:$AQ$1006,0))&gt;=100000), " ",IF(INDEX($AB$2:$AQ$1001,MATCH(ROWS($U$2:U310),$U$2:$U$1001,0),MATCH(COLUMNS($AB$1006:AQ1006),$AB$1006:$AQ$1006,0)), HYPERLINK("#",""), HYPERLINK(CONCATENATE("#metadata!", ADDRESS(INDEX($W$2:$W$1001,MATCH(ROWS($U$2:U310),$U$2:$U$1001,0),0), INDEX($AB$1004:$AQ$1004,1,MATCH(COLUMNS($AB$1006:AQ1006),$AB$1006:$AQ$1006,0)))),"Fix")))</f>
        <v>0</v>
      </c>
      <c r="U310">
        <v>0</v>
      </c>
      <c r="V310">
        <v>0</v>
      </c>
      <c r="W310">
        <v>0</v>
      </c>
      <c r="X310">
        <f>IF(Y310,TRUE,AND(AB310:AQ310))</f>
        <v>0</v>
      </c>
      <c r="Y310">
        <f>COUNTBLANK(metadata!B310:Q310)=COLUMNS(metadata!B310:Q310)</f>
        <v>0</v>
      </c>
      <c r="Z310">
        <v>0</v>
      </c>
      <c r="AB310">
        <f>AND(IF(metadata!B310="",FALSE,TRUE),COUNTIF(metadata!B:B, metadata!B310) = 1,NOT(ISERROR(SUMPRODUCT(SEARCH(MID(metadata!B310,ROW(INDIRECT("1:"&amp;LEN(metadata!B310))), 1),"0123456789abcdefghijklmnopqrstuvwxyzABCDEFGHIJKLMNOPQRSTUVWXYZ.")))))</f>
        <v>0</v>
      </c>
      <c r="AC310">
        <f>OR(AND(IF(metadata!C310="",FALSE,TRUE),OR(exact(metadata!C310,"missing: not collected"),exact(metadata!C310,"missing: not provided"),exact(metadata!C310,"missing: restricted access"))),AND(IF(metadata!C310="",FALSE,TRUE),AND(AND(IFERROR(INT(LEFT(metadata!C310,4))&gt;1900,FALSE),IFERROR(INT(LEFT(metadata!C310,4))&lt;=YEAR(NOW()),FALSE)), OR(MID(metadata!C310,5,1)="", AND(AND(MID(metadata!C310,5,1)="-",IFERROR(INT(MID(metadata!C310,6,1))&gt;=0,FALSE),IFERROR(INT(MID(metadata!C310,6,1))&lt;=1,FALSE),NOT(MID(metadata!C310,7,1)=""),IFERROR(INT(MID(metadata!C310,6,2))&gt;=1,FALSE),IFERROR(INT(MID(metadata!C310,6,2))&lt;=12,FALSE)), OR(MID(metadata!C310,8,1)="", AND(AND(MID(metadata!C310,8,1)="-",IFERROR(INT(MID(metadata!C310,9,1))&gt;=0,FALSE),IFERROR(INT(MID(metadata!C310,9,1))&lt;=3,FALSE),NOT(MID(metadata!C310,10,1)=""),IFERROR(INT(MID(metadata!C310,9,2))&gt;=1,FALSE),IFERROR(INT(MID(metadata!C310,9,2))&lt;=31,FALSE)), OR(MID(metadata!C310,11,1)="", AND(AND(MID(metadata!C310,11,1)=" ",IFERROR(INT(MID(metadata!C310,12,1))&gt;=0,FALSE),IFERROR(INT(MID(metadata!C310,12,1))&lt;=2,FALSE),NOT(MID(metadata!C310,13,1)=""),IFERROR(INT(MID(metadata!C310,12,2))&gt;=0,FALSE),IFERROR(INT(MID(metadata!C310,12,2))&lt;=23,FALSE)), OR(MID(metadata!C310,14,1)="", AND(AND(MID(metadata!C310,14,1)=":",IFERROR(INT(MID(metadata!C310,15,1))&gt;=0,FALSE),IFERROR(INT(MID(metadata!C310,15,1))&lt;=5,FALSE),NOT(MID(metadata!C310,16,1)=""),IFERROR(INT(MID(metadata!C310,15,2))&gt;=0,FALSE),IFERROR(INT(MID(metadata!C310,15,2))&lt;=59,FALSE)), OR(MID(metadata!C310,17,1)="", AND(AND(MID(metadata!C310,17,1)=":",IFERROR(INT(MID(metadata!C310,18,1))&gt;=0,FALSE),IFERROR(INT(MID(metadata!C310,18,1))&lt;=5,FALSE),NOT(MID(metadata!C310,19,1)=""),IFERROR(INT(MID(metadata!C310,18,2))&gt;=0,FALSE),IFERROR(INT(MID(metadata!C310,18,2))&lt;=59,FALSE)), LEN(metadata!C310)&lt;=19)))))))))))))</f>
        <v>0</v>
      </c>
      <c r="AD310">
        <f>IF(metadata!D310="",FALSE,TRUE)</f>
        <v>0</v>
      </c>
      <c r="AE310">
        <f>OR(AND(IF(metadata!E310="",FALSE,TRUE),OR(exact(metadata!E310,"missing: not collected"),exact(metadata!E310,"missing: not provided"))),AND(IF(metadata!E310="",FALSE,TRUE),OR(exact(metadata!E310,"TRUE"),exact(metadata!E310,"FALSE"))))</f>
        <v>0</v>
      </c>
      <c r="AF310">
        <f>IF(metadata!F310="",FALSE,TRUE)</f>
        <v>0</v>
      </c>
      <c r="AG310">
        <f>IF(metadata!G310="",FALSE,TRUE)</f>
        <v>0</v>
      </c>
      <c r="AH310">
        <f>IF(metadata!H310="",FALSE,TRUE)</f>
        <v>0</v>
      </c>
      <c r="AI310">
        <f>OR(AND(IF(metadata!I310="",FALSE,TRUE),OR(exact(metadata!I310,"missing: not collected"),exact(metadata!I310,"missing: not provided"),exact(metadata!I310,"missing: restricted access"))),AND(IF(metadata!I310="",FALSE,TRUE),OR(exact(metadata!I310,"air"),exact(metadata!I310,"built environment"),exact(metadata!I310,"host-associated"),exact(metadata!I310,"human-associated"),exact(metadata!I310,"human-skin"),exact(metadata!I310,"human-oral"),exact(metadata!I310,"human-gut"),exact(metadata!I310,"human-vaginal"),exact(metadata!I310,"microbial mat/biofilm"),exact(metadata!I310,"misc environment"),exact(metadata!I310,"plant-associated"),exact(metadata!I310,"sediment"),exact(metadata!I310,"soil"),exact(metadata!I310,"wastewater/sludge"),exact(metadata!I310,"water"))))</f>
        <v>0</v>
      </c>
      <c r="AJ310">
        <f>IF(metadata!J310="",FALSE,TRUE)</f>
        <v>0</v>
      </c>
      <c r="AK310">
        <f>OR(AND(IF(metadata!K310="",FALSE,TRUE),OR(exact(metadata!K310,"missing: not collected"),exact(metadata!K310,"missing: not provided"),exact(metadata!K310,"missing: restricted access"))),AND(IF(metadata!K310="",FALSE,ISNUMBER(VALUE(metadata!K310))),metadata!K310&gt;=-90.00,metadata!K310&lt;=90.00))</f>
        <v>0</v>
      </c>
      <c r="AL310">
        <f>OR(AND(IF(metadata!L310="",FALSE,TRUE),OR(exact(metadata!L310,"missing: not collected"),exact(metadata!L310,"missing: not provided"),exact(metadata!L310,"missing: restricted access"))),AND(IF(metadata!L310="",FALSE,ISNUMBER(VALUE(metadata!L310))),metadata!L310&gt;=-180.00,metadata!L310&lt;=180.00))</f>
        <v>0</v>
      </c>
      <c r="AM310">
        <f>IF(metadata!M310="",FALSE,TRUE)</f>
        <v>0</v>
      </c>
      <c r="AN310">
        <f>OR(AND(IF(metadata!N310="",FALSE,TRUE),OR(exact(metadata!N310,"missing: not collected"),exact(metadata!N310,"missing: not provided"),exact(metadata!N310,"missing: restricted access"))),AND(IF(metadata!N310="",FALSE,TRUE),OR(exact(metadata!N310,"TRUE"),exact(metadata!N310,"FALSE"))))</f>
        <v>0</v>
      </c>
      <c r="AO310">
        <f>IF(metadata!O310="",FALSE,TRUE)</f>
        <v>0</v>
      </c>
      <c r="AP310">
        <f>OR(AND(IF(metadata!P310="",FALSE,TRUE),OR(exact(metadata!P310,"missing: not collected"),exact(metadata!P310,"missing: not provided"))),AND(IF(metadata!P310="",FALSE,IF(ISERROR(INT(metadata!P310)),FALSE,INT(metadata!P310)=metadata!P310)),metadata!P310&gt;0))</f>
        <v>0</v>
      </c>
      <c r="AQ310">
        <f>IF(metadata!Q310="",FALSE,TRUE)</f>
        <v>0</v>
      </c>
    </row>
    <row r="311" spans="1:43">
      <c r="A311" s="5">
        <f>IF(B311=" "," ",HYPERLINK(CONCATENATE("#metadata!",ADDRESS(INDEX($W$2:$W$1001,MATCH(ROWS($U$2:U311),$U$2:$U$1001,0),0),1)),INDEX($Z$2:$Z$1001,MATCH(ROWS($U$2:U311),$U$2:$U$1001,0),0)))</f>
        <v>0</v>
      </c>
      <c r="B311" s="4">
        <f>IF(OR(INDEX($V$2:$V$1001,MATCH(ROWS($U$2:U311),$U$2:$U$1001,0),1)&gt;=100000,INDEX($AB$1005:$AQ$1005,1,MATCH(COLUMNS($AB$1006:AB1006),$AB$1006:$AQ$1006,0))&gt;=100000), " ",IF(INDEX($AB$2:$AQ$1001,MATCH(ROWS($U$2:U311),$U$2:$U$1001,0),MATCH(COLUMNS($AB$1006:AB1006),$AB$1006:$AQ$1006,0)), HYPERLINK("#",""), HYPERLINK(CONCATENATE("#metadata!", ADDRESS(INDEX($W$2:$W$1001,MATCH(ROWS($U$2:U311),$U$2:$U$1001,0),0), INDEX($AB$1004:$AQ$1004,1,MATCH(COLUMNS($AB$1006:AB1006),$AB$1006:$AQ$1006,0)))),"Fix")))</f>
        <v>0</v>
      </c>
      <c r="C311" s="4">
        <f>IF(OR(INDEX($V$2:$V$1001,MATCH(ROWS($U$2:U311),$U$2:$U$1001,0),1)&gt;=100000,INDEX($AB$1005:$AQ$1005,1,MATCH(COLUMNS($AB$1006:AC1006),$AB$1006:$AQ$1006,0))&gt;=100000), " ",IF(INDEX($AB$2:$AQ$1001,MATCH(ROWS($U$2:U311),$U$2:$U$1001,0),MATCH(COLUMNS($AB$1006:AC1006),$AB$1006:$AQ$1006,0)), HYPERLINK("#",""), HYPERLINK(CONCATENATE("#metadata!", ADDRESS(INDEX($W$2:$W$1001,MATCH(ROWS($U$2:U311),$U$2:$U$1001,0),0), INDEX($AB$1004:$AQ$1004,1,MATCH(COLUMNS($AB$1006:AC1006),$AB$1006:$AQ$1006,0)))),"Fix")))</f>
        <v>0</v>
      </c>
      <c r="D311" s="4">
        <f>IF(OR(INDEX($V$2:$V$1001,MATCH(ROWS($U$2:U311),$U$2:$U$1001,0),1)&gt;=100000,INDEX($AB$1005:$AQ$1005,1,MATCH(COLUMNS($AB$1006:AD1006),$AB$1006:$AQ$1006,0))&gt;=100000), " ",IF(INDEX($AB$2:$AQ$1001,MATCH(ROWS($U$2:U311),$U$2:$U$1001,0),MATCH(COLUMNS($AB$1006:AD1006),$AB$1006:$AQ$1006,0)), HYPERLINK("#",""), HYPERLINK(CONCATENATE("#metadata!", ADDRESS(INDEX($W$2:$W$1001,MATCH(ROWS($U$2:U311),$U$2:$U$1001,0),0), INDEX($AB$1004:$AQ$1004,1,MATCH(COLUMNS($AB$1006:AD1006),$AB$1006:$AQ$1006,0)))),"Fix")))</f>
        <v>0</v>
      </c>
      <c r="E311" s="4">
        <f>IF(OR(INDEX($V$2:$V$1001,MATCH(ROWS($U$2:U311),$U$2:$U$1001,0),1)&gt;=100000,INDEX($AB$1005:$AQ$1005,1,MATCH(COLUMNS($AB$1006:AE1006),$AB$1006:$AQ$1006,0))&gt;=100000), " ",IF(INDEX($AB$2:$AQ$1001,MATCH(ROWS($U$2:U311),$U$2:$U$1001,0),MATCH(COLUMNS($AB$1006:AE1006),$AB$1006:$AQ$1006,0)), HYPERLINK("#",""), HYPERLINK(CONCATENATE("#metadata!", ADDRESS(INDEX($W$2:$W$1001,MATCH(ROWS($U$2:U311),$U$2:$U$1001,0),0), INDEX($AB$1004:$AQ$1004,1,MATCH(COLUMNS($AB$1006:AE1006),$AB$1006:$AQ$1006,0)))),"Fix")))</f>
        <v>0</v>
      </c>
      <c r="F311" s="4">
        <f>IF(OR(INDEX($V$2:$V$1001,MATCH(ROWS($U$2:U311),$U$2:$U$1001,0),1)&gt;=100000,INDEX($AB$1005:$AQ$1005,1,MATCH(COLUMNS($AB$1006:AF1006),$AB$1006:$AQ$1006,0))&gt;=100000), " ",IF(INDEX($AB$2:$AQ$1001,MATCH(ROWS($U$2:U311),$U$2:$U$1001,0),MATCH(COLUMNS($AB$1006:AF1006),$AB$1006:$AQ$1006,0)), HYPERLINK("#",""), HYPERLINK(CONCATENATE("#metadata!", ADDRESS(INDEX($W$2:$W$1001,MATCH(ROWS($U$2:U311),$U$2:$U$1001,0),0), INDEX($AB$1004:$AQ$1004,1,MATCH(COLUMNS($AB$1006:AF1006),$AB$1006:$AQ$1006,0)))),"Fix")))</f>
        <v>0</v>
      </c>
      <c r="G311" s="4">
        <f>IF(OR(INDEX($V$2:$V$1001,MATCH(ROWS($U$2:U311),$U$2:$U$1001,0),1)&gt;=100000,INDEX($AB$1005:$AQ$1005,1,MATCH(COLUMNS($AB$1006:AG1006),$AB$1006:$AQ$1006,0))&gt;=100000), " ",IF(INDEX($AB$2:$AQ$1001,MATCH(ROWS($U$2:U311),$U$2:$U$1001,0),MATCH(COLUMNS($AB$1006:AG1006),$AB$1006:$AQ$1006,0)), HYPERLINK("#",""), HYPERLINK(CONCATENATE("#metadata!", ADDRESS(INDEX($W$2:$W$1001,MATCH(ROWS($U$2:U311),$U$2:$U$1001,0),0), INDEX($AB$1004:$AQ$1004,1,MATCH(COLUMNS($AB$1006:AG1006),$AB$1006:$AQ$1006,0)))),"Fix")))</f>
        <v>0</v>
      </c>
      <c r="H311" s="4">
        <f>IF(OR(INDEX($V$2:$V$1001,MATCH(ROWS($U$2:U311),$U$2:$U$1001,0),1)&gt;=100000,INDEX($AB$1005:$AQ$1005,1,MATCH(COLUMNS($AB$1006:AH1006),$AB$1006:$AQ$1006,0))&gt;=100000), " ",IF(INDEX($AB$2:$AQ$1001,MATCH(ROWS($U$2:U311),$U$2:$U$1001,0),MATCH(COLUMNS($AB$1006:AH1006),$AB$1006:$AQ$1006,0)), HYPERLINK("#",""), HYPERLINK(CONCATENATE("#metadata!", ADDRESS(INDEX($W$2:$W$1001,MATCH(ROWS($U$2:U311),$U$2:$U$1001,0),0), INDEX($AB$1004:$AQ$1004,1,MATCH(COLUMNS($AB$1006:AH1006),$AB$1006:$AQ$1006,0)))),"Fix")))</f>
        <v>0</v>
      </c>
      <c r="I311" s="4">
        <f>IF(OR(INDEX($V$2:$V$1001,MATCH(ROWS($U$2:U311),$U$2:$U$1001,0),1)&gt;=100000,INDEX($AB$1005:$AQ$1005,1,MATCH(COLUMNS($AB$1006:AI1006),$AB$1006:$AQ$1006,0))&gt;=100000), " ",IF(INDEX($AB$2:$AQ$1001,MATCH(ROWS($U$2:U311),$U$2:$U$1001,0),MATCH(COLUMNS($AB$1006:AI1006),$AB$1006:$AQ$1006,0)), HYPERLINK("#",""), HYPERLINK(CONCATENATE("#metadata!", ADDRESS(INDEX($W$2:$W$1001,MATCH(ROWS($U$2:U311),$U$2:$U$1001,0),0), INDEX($AB$1004:$AQ$1004,1,MATCH(COLUMNS($AB$1006:AI1006),$AB$1006:$AQ$1006,0)))),"Fix")))</f>
        <v>0</v>
      </c>
      <c r="J311" s="4">
        <f>IF(OR(INDEX($V$2:$V$1001,MATCH(ROWS($U$2:U311),$U$2:$U$1001,0),1)&gt;=100000,INDEX($AB$1005:$AQ$1005,1,MATCH(COLUMNS($AB$1006:AJ1006),$AB$1006:$AQ$1006,0))&gt;=100000), " ",IF(INDEX($AB$2:$AQ$1001,MATCH(ROWS($U$2:U311),$U$2:$U$1001,0),MATCH(COLUMNS($AB$1006:AJ1006),$AB$1006:$AQ$1006,0)), HYPERLINK("#",""), HYPERLINK(CONCATENATE("#metadata!", ADDRESS(INDEX($W$2:$W$1001,MATCH(ROWS($U$2:U311),$U$2:$U$1001,0),0), INDEX($AB$1004:$AQ$1004,1,MATCH(COLUMNS($AB$1006:AJ1006),$AB$1006:$AQ$1006,0)))),"Fix")))</f>
        <v>0</v>
      </c>
      <c r="K311" s="4">
        <f>IF(OR(INDEX($V$2:$V$1001,MATCH(ROWS($U$2:U311),$U$2:$U$1001,0),1)&gt;=100000,INDEX($AB$1005:$AQ$1005,1,MATCH(COLUMNS($AB$1006:AK1006),$AB$1006:$AQ$1006,0))&gt;=100000), " ",IF(INDEX($AB$2:$AQ$1001,MATCH(ROWS($U$2:U311),$U$2:$U$1001,0),MATCH(COLUMNS($AB$1006:AK1006),$AB$1006:$AQ$1006,0)), HYPERLINK("#",""), HYPERLINK(CONCATENATE("#metadata!", ADDRESS(INDEX($W$2:$W$1001,MATCH(ROWS($U$2:U311),$U$2:$U$1001,0),0), INDEX($AB$1004:$AQ$1004,1,MATCH(COLUMNS($AB$1006:AK1006),$AB$1006:$AQ$1006,0)))),"Fix")))</f>
        <v>0</v>
      </c>
      <c r="L311" s="4">
        <f>IF(OR(INDEX($V$2:$V$1001,MATCH(ROWS($U$2:U311),$U$2:$U$1001,0),1)&gt;=100000,INDEX($AB$1005:$AQ$1005,1,MATCH(COLUMNS($AB$1006:AL1006),$AB$1006:$AQ$1006,0))&gt;=100000), " ",IF(INDEX($AB$2:$AQ$1001,MATCH(ROWS($U$2:U311),$U$2:$U$1001,0),MATCH(COLUMNS($AB$1006:AL1006),$AB$1006:$AQ$1006,0)), HYPERLINK("#",""), HYPERLINK(CONCATENATE("#metadata!", ADDRESS(INDEX($W$2:$W$1001,MATCH(ROWS($U$2:U311),$U$2:$U$1001,0),0), INDEX($AB$1004:$AQ$1004,1,MATCH(COLUMNS($AB$1006:AL1006),$AB$1006:$AQ$1006,0)))),"Fix")))</f>
        <v>0</v>
      </c>
      <c r="M311" s="4">
        <f>IF(OR(INDEX($V$2:$V$1001,MATCH(ROWS($U$2:U311),$U$2:$U$1001,0),1)&gt;=100000,INDEX($AB$1005:$AQ$1005,1,MATCH(COLUMNS($AB$1006:AM1006),$AB$1006:$AQ$1006,0))&gt;=100000), " ",IF(INDEX($AB$2:$AQ$1001,MATCH(ROWS($U$2:U311),$U$2:$U$1001,0),MATCH(COLUMNS($AB$1006:AM1006),$AB$1006:$AQ$1006,0)), HYPERLINK("#",""), HYPERLINK(CONCATENATE("#metadata!", ADDRESS(INDEX($W$2:$W$1001,MATCH(ROWS($U$2:U311),$U$2:$U$1001,0),0), INDEX($AB$1004:$AQ$1004,1,MATCH(COLUMNS($AB$1006:AM1006),$AB$1006:$AQ$1006,0)))),"Fix")))</f>
        <v>0</v>
      </c>
      <c r="N311" s="4">
        <f>IF(OR(INDEX($V$2:$V$1001,MATCH(ROWS($U$2:U311),$U$2:$U$1001,0),1)&gt;=100000,INDEX($AB$1005:$AQ$1005,1,MATCH(COLUMNS($AB$1006:AN1006),$AB$1006:$AQ$1006,0))&gt;=100000), " ",IF(INDEX($AB$2:$AQ$1001,MATCH(ROWS($U$2:U311),$U$2:$U$1001,0),MATCH(COLUMNS($AB$1006:AN1006),$AB$1006:$AQ$1006,0)), HYPERLINK("#",""), HYPERLINK(CONCATENATE("#metadata!", ADDRESS(INDEX($W$2:$W$1001,MATCH(ROWS($U$2:U311),$U$2:$U$1001,0),0), INDEX($AB$1004:$AQ$1004,1,MATCH(COLUMNS($AB$1006:AN1006),$AB$1006:$AQ$1006,0)))),"Fix")))</f>
        <v>0</v>
      </c>
      <c r="O311" s="4">
        <f>IF(OR(INDEX($V$2:$V$1001,MATCH(ROWS($U$2:U311),$U$2:$U$1001,0),1)&gt;=100000,INDEX($AB$1005:$AQ$1005,1,MATCH(COLUMNS($AB$1006:AO1006),$AB$1006:$AQ$1006,0))&gt;=100000), " ",IF(INDEX($AB$2:$AQ$1001,MATCH(ROWS($U$2:U311),$U$2:$U$1001,0),MATCH(COLUMNS($AB$1006:AO1006),$AB$1006:$AQ$1006,0)), HYPERLINK("#",""), HYPERLINK(CONCATENATE("#metadata!", ADDRESS(INDEX($W$2:$W$1001,MATCH(ROWS($U$2:U311),$U$2:$U$1001,0),0), INDEX($AB$1004:$AQ$1004,1,MATCH(COLUMNS($AB$1006:AO1006),$AB$1006:$AQ$1006,0)))),"Fix")))</f>
        <v>0</v>
      </c>
      <c r="P311" s="4">
        <f>IF(OR(INDEX($V$2:$V$1001,MATCH(ROWS($U$2:U311),$U$2:$U$1001,0),1)&gt;=100000,INDEX($AB$1005:$AQ$1005,1,MATCH(COLUMNS($AB$1006:AP1006),$AB$1006:$AQ$1006,0))&gt;=100000), " ",IF(INDEX($AB$2:$AQ$1001,MATCH(ROWS($U$2:U311),$U$2:$U$1001,0),MATCH(COLUMNS($AB$1006:AP1006),$AB$1006:$AQ$1006,0)), HYPERLINK("#",""), HYPERLINK(CONCATENATE("#metadata!", ADDRESS(INDEX($W$2:$W$1001,MATCH(ROWS($U$2:U311),$U$2:$U$1001,0),0), INDEX($AB$1004:$AQ$1004,1,MATCH(COLUMNS($AB$1006:AP1006),$AB$1006:$AQ$1006,0)))),"Fix")))</f>
        <v>0</v>
      </c>
      <c r="Q311" s="4">
        <f>IF(OR(INDEX($V$2:$V$1001,MATCH(ROWS($U$2:U311),$U$2:$U$1001,0),1)&gt;=100000,INDEX($AB$1005:$AQ$1005,1,MATCH(COLUMNS($AB$1006:AQ1006),$AB$1006:$AQ$1006,0))&gt;=100000), " ",IF(INDEX($AB$2:$AQ$1001,MATCH(ROWS($U$2:U311),$U$2:$U$1001,0),MATCH(COLUMNS($AB$1006:AQ1006),$AB$1006:$AQ$1006,0)), HYPERLINK("#",""), HYPERLINK(CONCATENATE("#metadata!", ADDRESS(INDEX($W$2:$W$1001,MATCH(ROWS($U$2:U311),$U$2:$U$1001,0),0), INDEX($AB$1004:$AQ$1004,1,MATCH(COLUMNS($AB$1006:AQ1006),$AB$1006:$AQ$1006,0)))),"Fix")))</f>
        <v>0</v>
      </c>
      <c r="U311">
        <v>0</v>
      </c>
      <c r="V311">
        <v>0</v>
      </c>
      <c r="W311">
        <v>0</v>
      </c>
      <c r="X311">
        <f>IF(Y311,TRUE,AND(AB311:AQ311))</f>
        <v>0</v>
      </c>
      <c r="Y311">
        <f>COUNTBLANK(metadata!B311:Q311)=COLUMNS(metadata!B311:Q311)</f>
        <v>0</v>
      </c>
      <c r="Z311">
        <v>0</v>
      </c>
      <c r="AB311">
        <f>AND(IF(metadata!B311="",FALSE,TRUE),COUNTIF(metadata!B:B, metadata!B311) = 1,NOT(ISERROR(SUMPRODUCT(SEARCH(MID(metadata!B311,ROW(INDIRECT("1:"&amp;LEN(metadata!B311))), 1),"0123456789abcdefghijklmnopqrstuvwxyzABCDEFGHIJKLMNOPQRSTUVWXYZ.")))))</f>
        <v>0</v>
      </c>
      <c r="AC311">
        <f>OR(AND(IF(metadata!C311="",FALSE,TRUE),OR(exact(metadata!C311,"missing: not collected"),exact(metadata!C311,"missing: not provided"),exact(metadata!C311,"missing: restricted access"))),AND(IF(metadata!C311="",FALSE,TRUE),AND(AND(IFERROR(INT(LEFT(metadata!C311,4))&gt;1900,FALSE),IFERROR(INT(LEFT(metadata!C311,4))&lt;=YEAR(NOW()),FALSE)), OR(MID(metadata!C311,5,1)="", AND(AND(MID(metadata!C311,5,1)="-",IFERROR(INT(MID(metadata!C311,6,1))&gt;=0,FALSE),IFERROR(INT(MID(metadata!C311,6,1))&lt;=1,FALSE),NOT(MID(metadata!C311,7,1)=""),IFERROR(INT(MID(metadata!C311,6,2))&gt;=1,FALSE),IFERROR(INT(MID(metadata!C311,6,2))&lt;=12,FALSE)), OR(MID(metadata!C311,8,1)="", AND(AND(MID(metadata!C311,8,1)="-",IFERROR(INT(MID(metadata!C311,9,1))&gt;=0,FALSE),IFERROR(INT(MID(metadata!C311,9,1))&lt;=3,FALSE),NOT(MID(metadata!C311,10,1)=""),IFERROR(INT(MID(metadata!C311,9,2))&gt;=1,FALSE),IFERROR(INT(MID(metadata!C311,9,2))&lt;=31,FALSE)), OR(MID(metadata!C311,11,1)="", AND(AND(MID(metadata!C311,11,1)=" ",IFERROR(INT(MID(metadata!C311,12,1))&gt;=0,FALSE),IFERROR(INT(MID(metadata!C311,12,1))&lt;=2,FALSE),NOT(MID(metadata!C311,13,1)=""),IFERROR(INT(MID(metadata!C311,12,2))&gt;=0,FALSE),IFERROR(INT(MID(metadata!C311,12,2))&lt;=23,FALSE)), OR(MID(metadata!C311,14,1)="", AND(AND(MID(metadata!C311,14,1)=":",IFERROR(INT(MID(metadata!C311,15,1))&gt;=0,FALSE),IFERROR(INT(MID(metadata!C311,15,1))&lt;=5,FALSE),NOT(MID(metadata!C311,16,1)=""),IFERROR(INT(MID(metadata!C311,15,2))&gt;=0,FALSE),IFERROR(INT(MID(metadata!C311,15,2))&lt;=59,FALSE)), OR(MID(metadata!C311,17,1)="", AND(AND(MID(metadata!C311,17,1)=":",IFERROR(INT(MID(metadata!C311,18,1))&gt;=0,FALSE),IFERROR(INT(MID(metadata!C311,18,1))&lt;=5,FALSE),NOT(MID(metadata!C311,19,1)=""),IFERROR(INT(MID(metadata!C311,18,2))&gt;=0,FALSE),IFERROR(INT(MID(metadata!C311,18,2))&lt;=59,FALSE)), LEN(metadata!C311)&lt;=19)))))))))))))</f>
        <v>0</v>
      </c>
      <c r="AD311">
        <f>IF(metadata!D311="",FALSE,TRUE)</f>
        <v>0</v>
      </c>
      <c r="AE311">
        <f>OR(AND(IF(metadata!E311="",FALSE,TRUE),OR(exact(metadata!E311,"missing: not collected"),exact(metadata!E311,"missing: not provided"))),AND(IF(metadata!E311="",FALSE,TRUE),OR(exact(metadata!E311,"TRUE"),exact(metadata!E311,"FALSE"))))</f>
        <v>0</v>
      </c>
      <c r="AF311">
        <f>IF(metadata!F311="",FALSE,TRUE)</f>
        <v>0</v>
      </c>
      <c r="AG311">
        <f>IF(metadata!G311="",FALSE,TRUE)</f>
        <v>0</v>
      </c>
      <c r="AH311">
        <f>IF(metadata!H311="",FALSE,TRUE)</f>
        <v>0</v>
      </c>
      <c r="AI311">
        <f>OR(AND(IF(metadata!I311="",FALSE,TRUE),OR(exact(metadata!I311,"missing: not collected"),exact(metadata!I311,"missing: not provided"),exact(metadata!I311,"missing: restricted access"))),AND(IF(metadata!I311="",FALSE,TRUE),OR(exact(metadata!I311,"air"),exact(metadata!I311,"built environment"),exact(metadata!I311,"host-associated"),exact(metadata!I311,"human-associated"),exact(metadata!I311,"human-skin"),exact(metadata!I311,"human-oral"),exact(metadata!I311,"human-gut"),exact(metadata!I311,"human-vaginal"),exact(metadata!I311,"microbial mat/biofilm"),exact(metadata!I311,"misc environment"),exact(metadata!I311,"plant-associated"),exact(metadata!I311,"sediment"),exact(metadata!I311,"soil"),exact(metadata!I311,"wastewater/sludge"),exact(metadata!I311,"water"))))</f>
        <v>0</v>
      </c>
      <c r="AJ311">
        <f>IF(metadata!J311="",FALSE,TRUE)</f>
        <v>0</v>
      </c>
      <c r="AK311">
        <f>OR(AND(IF(metadata!K311="",FALSE,TRUE),OR(exact(metadata!K311,"missing: not collected"),exact(metadata!K311,"missing: not provided"),exact(metadata!K311,"missing: restricted access"))),AND(IF(metadata!K311="",FALSE,ISNUMBER(VALUE(metadata!K311))),metadata!K311&gt;=-90.00,metadata!K311&lt;=90.00))</f>
        <v>0</v>
      </c>
      <c r="AL311">
        <f>OR(AND(IF(metadata!L311="",FALSE,TRUE),OR(exact(metadata!L311,"missing: not collected"),exact(metadata!L311,"missing: not provided"),exact(metadata!L311,"missing: restricted access"))),AND(IF(metadata!L311="",FALSE,ISNUMBER(VALUE(metadata!L311))),metadata!L311&gt;=-180.00,metadata!L311&lt;=180.00))</f>
        <v>0</v>
      </c>
      <c r="AM311">
        <f>IF(metadata!M311="",FALSE,TRUE)</f>
        <v>0</v>
      </c>
      <c r="AN311">
        <f>OR(AND(IF(metadata!N311="",FALSE,TRUE),OR(exact(metadata!N311,"missing: not collected"),exact(metadata!N311,"missing: not provided"),exact(metadata!N311,"missing: restricted access"))),AND(IF(metadata!N311="",FALSE,TRUE),OR(exact(metadata!N311,"TRUE"),exact(metadata!N311,"FALSE"))))</f>
        <v>0</v>
      </c>
      <c r="AO311">
        <f>IF(metadata!O311="",FALSE,TRUE)</f>
        <v>0</v>
      </c>
      <c r="AP311">
        <f>OR(AND(IF(metadata!P311="",FALSE,TRUE),OR(exact(metadata!P311,"missing: not collected"),exact(metadata!P311,"missing: not provided"))),AND(IF(metadata!P311="",FALSE,IF(ISERROR(INT(metadata!P311)),FALSE,INT(metadata!P311)=metadata!P311)),metadata!P311&gt;0))</f>
        <v>0</v>
      </c>
      <c r="AQ311">
        <f>IF(metadata!Q311="",FALSE,TRUE)</f>
        <v>0</v>
      </c>
    </row>
    <row r="312" spans="1:43">
      <c r="A312" s="5">
        <f>IF(B312=" "," ",HYPERLINK(CONCATENATE("#metadata!",ADDRESS(INDEX($W$2:$W$1001,MATCH(ROWS($U$2:U312),$U$2:$U$1001,0),0),1)),INDEX($Z$2:$Z$1001,MATCH(ROWS($U$2:U312),$U$2:$U$1001,0),0)))</f>
        <v>0</v>
      </c>
      <c r="B312" s="4">
        <f>IF(OR(INDEX($V$2:$V$1001,MATCH(ROWS($U$2:U312),$U$2:$U$1001,0),1)&gt;=100000,INDEX($AB$1005:$AQ$1005,1,MATCH(COLUMNS($AB$1006:AB1006),$AB$1006:$AQ$1006,0))&gt;=100000), " ",IF(INDEX($AB$2:$AQ$1001,MATCH(ROWS($U$2:U312),$U$2:$U$1001,0),MATCH(COLUMNS($AB$1006:AB1006),$AB$1006:$AQ$1006,0)), HYPERLINK("#",""), HYPERLINK(CONCATENATE("#metadata!", ADDRESS(INDEX($W$2:$W$1001,MATCH(ROWS($U$2:U312),$U$2:$U$1001,0),0), INDEX($AB$1004:$AQ$1004,1,MATCH(COLUMNS($AB$1006:AB1006),$AB$1006:$AQ$1006,0)))),"Fix")))</f>
        <v>0</v>
      </c>
      <c r="C312" s="4">
        <f>IF(OR(INDEX($V$2:$V$1001,MATCH(ROWS($U$2:U312),$U$2:$U$1001,0),1)&gt;=100000,INDEX($AB$1005:$AQ$1005,1,MATCH(COLUMNS($AB$1006:AC1006),$AB$1006:$AQ$1006,0))&gt;=100000), " ",IF(INDEX($AB$2:$AQ$1001,MATCH(ROWS($U$2:U312),$U$2:$U$1001,0),MATCH(COLUMNS($AB$1006:AC1006),$AB$1006:$AQ$1006,0)), HYPERLINK("#",""), HYPERLINK(CONCATENATE("#metadata!", ADDRESS(INDEX($W$2:$W$1001,MATCH(ROWS($U$2:U312),$U$2:$U$1001,0),0), INDEX($AB$1004:$AQ$1004,1,MATCH(COLUMNS($AB$1006:AC1006),$AB$1006:$AQ$1006,0)))),"Fix")))</f>
        <v>0</v>
      </c>
      <c r="D312" s="4">
        <f>IF(OR(INDEX($V$2:$V$1001,MATCH(ROWS($U$2:U312),$U$2:$U$1001,0),1)&gt;=100000,INDEX($AB$1005:$AQ$1005,1,MATCH(COLUMNS($AB$1006:AD1006),$AB$1006:$AQ$1006,0))&gt;=100000), " ",IF(INDEX($AB$2:$AQ$1001,MATCH(ROWS($U$2:U312),$U$2:$U$1001,0),MATCH(COLUMNS($AB$1006:AD1006),$AB$1006:$AQ$1006,0)), HYPERLINK("#",""), HYPERLINK(CONCATENATE("#metadata!", ADDRESS(INDEX($W$2:$W$1001,MATCH(ROWS($U$2:U312),$U$2:$U$1001,0),0), INDEX($AB$1004:$AQ$1004,1,MATCH(COLUMNS($AB$1006:AD1006),$AB$1006:$AQ$1006,0)))),"Fix")))</f>
        <v>0</v>
      </c>
      <c r="E312" s="4">
        <f>IF(OR(INDEX($V$2:$V$1001,MATCH(ROWS($U$2:U312),$U$2:$U$1001,0),1)&gt;=100000,INDEX($AB$1005:$AQ$1005,1,MATCH(COLUMNS($AB$1006:AE1006),$AB$1006:$AQ$1006,0))&gt;=100000), " ",IF(INDEX($AB$2:$AQ$1001,MATCH(ROWS($U$2:U312),$U$2:$U$1001,0),MATCH(COLUMNS($AB$1006:AE1006),$AB$1006:$AQ$1006,0)), HYPERLINK("#",""), HYPERLINK(CONCATENATE("#metadata!", ADDRESS(INDEX($W$2:$W$1001,MATCH(ROWS($U$2:U312),$U$2:$U$1001,0),0), INDEX($AB$1004:$AQ$1004,1,MATCH(COLUMNS($AB$1006:AE1006),$AB$1006:$AQ$1006,0)))),"Fix")))</f>
        <v>0</v>
      </c>
      <c r="F312" s="4">
        <f>IF(OR(INDEX($V$2:$V$1001,MATCH(ROWS($U$2:U312),$U$2:$U$1001,0),1)&gt;=100000,INDEX($AB$1005:$AQ$1005,1,MATCH(COLUMNS($AB$1006:AF1006),$AB$1006:$AQ$1006,0))&gt;=100000), " ",IF(INDEX($AB$2:$AQ$1001,MATCH(ROWS($U$2:U312),$U$2:$U$1001,0),MATCH(COLUMNS($AB$1006:AF1006),$AB$1006:$AQ$1006,0)), HYPERLINK("#",""), HYPERLINK(CONCATENATE("#metadata!", ADDRESS(INDEX($W$2:$W$1001,MATCH(ROWS($U$2:U312),$U$2:$U$1001,0),0), INDEX($AB$1004:$AQ$1004,1,MATCH(COLUMNS($AB$1006:AF1006),$AB$1006:$AQ$1006,0)))),"Fix")))</f>
        <v>0</v>
      </c>
      <c r="G312" s="4">
        <f>IF(OR(INDEX($V$2:$V$1001,MATCH(ROWS($U$2:U312),$U$2:$U$1001,0),1)&gt;=100000,INDEX($AB$1005:$AQ$1005,1,MATCH(COLUMNS($AB$1006:AG1006),$AB$1006:$AQ$1006,0))&gt;=100000), " ",IF(INDEX($AB$2:$AQ$1001,MATCH(ROWS($U$2:U312),$U$2:$U$1001,0),MATCH(COLUMNS($AB$1006:AG1006),$AB$1006:$AQ$1006,0)), HYPERLINK("#",""), HYPERLINK(CONCATENATE("#metadata!", ADDRESS(INDEX($W$2:$W$1001,MATCH(ROWS($U$2:U312),$U$2:$U$1001,0),0), INDEX($AB$1004:$AQ$1004,1,MATCH(COLUMNS($AB$1006:AG1006),$AB$1006:$AQ$1006,0)))),"Fix")))</f>
        <v>0</v>
      </c>
      <c r="H312" s="4">
        <f>IF(OR(INDEX($V$2:$V$1001,MATCH(ROWS($U$2:U312),$U$2:$U$1001,0),1)&gt;=100000,INDEX($AB$1005:$AQ$1005,1,MATCH(COLUMNS($AB$1006:AH1006),$AB$1006:$AQ$1006,0))&gt;=100000), " ",IF(INDEX($AB$2:$AQ$1001,MATCH(ROWS($U$2:U312),$U$2:$U$1001,0),MATCH(COLUMNS($AB$1006:AH1006),$AB$1006:$AQ$1006,0)), HYPERLINK("#",""), HYPERLINK(CONCATENATE("#metadata!", ADDRESS(INDEX($W$2:$W$1001,MATCH(ROWS($U$2:U312),$U$2:$U$1001,0),0), INDEX($AB$1004:$AQ$1004,1,MATCH(COLUMNS($AB$1006:AH1006),$AB$1006:$AQ$1006,0)))),"Fix")))</f>
        <v>0</v>
      </c>
      <c r="I312" s="4">
        <f>IF(OR(INDEX($V$2:$V$1001,MATCH(ROWS($U$2:U312),$U$2:$U$1001,0),1)&gt;=100000,INDEX($AB$1005:$AQ$1005,1,MATCH(COLUMNS($AB$1006:AI1006),$AB$1006:$AQ$1006,0))&gt;=100000), " ",IF(INDEX($AB$2:$AQ$1001,MATCH(ROWS($U$2:U312),$U$2:$U$1001,0),MATCH(COLUMNS($AB$1006:AI1006),$AB$1006:$AQ$1006,0)), HYPERLINK("#",""), HYPERLINK(CONCATENATE("#metadata!", ADDRESS(INDEX($W$2:$W$1001,MATCH(ROWS($U$2:U312),$U$2:$U$1001,0),0), INDEX($AB$1004:$AQ$1004,1,MATCH(COLUMNS($AB$1006:AI1006),$AB$1006:$AQ$1006,0)))),"Fix")))</f>
        <v>0</v>
      </c>
      <c r="J312" s="4">
        <f>IF(OR(INDEX($V$2:$V$1001,MATCH(ROWS($U$2:U312),$U$2:$U$1001,0),1)&gt;=100000,INDEX($AB$1005:$AQ$1005,1,MATCH(COLUMNS($AB$1006:AJ1006),$AB$1006:$AQ$1006,0))&gt;=100000), " ",IF(INDEX($AB$2:$AQ$1001,MATCH(ROWS($U$2:U312),$U$2:$U$1001,0),MATCH(COLUMNS($AB$1006:AJ1006),$AB$1006:$AQ$1006,0)), HYPERLINK("#",""), HYPERLINK(CONCATENATE("#metadata!", ADDRESS(INDEX($W$2:$W$1001,MATCH(ROWS($U$2:U312),$U$2:$U$1001,0),0), INDEX($AB$1004:$AQ$1004,1,MATCH(COLUMNS($AB$1006:AJ1006),$AB$1006:$AQ$1006,0)))),"Fix")))</f>
        <v>0</v>
      </c>
      <c r="K312" s="4">
        <f>IF(OR(INDEX($V$2:$V$1001,MATCH(ROWS($U$2:U312),$U$2:$U$1001,0),1)&gt;=100000,INDEX($AB$1005:$AQ$1005,1,MATCH(COLUMNS($AB$1006:AK1006),$AB$1006:$AQ$1006,0))&gt;=100000), " ",IF(INDEX($AB$2:$AQ$1001,MATCH(ROWS($U$2:U312),$U$2:$U$1001,0),MATCH(COLUMNS($AB$1006:AK1006),$AB$1006:$AQ$1006,0)), HYPERLINK("#",""), HYPERLINK(CONCATENATE("#metadata!", ADDRESS(INDEX($W$2:$W$1001,MATCH(ROWS($U$2:U312),$U$2:$U$1001,0),0), INDEX($AB$1004:$AQ$1004,1,MATCH(COLUMNS($AB$1006:AK1006),$AB$1006:$AQ$1006,0)))),"Fix")))</f>
        <v>0</v>
      </c>
      <c r="L312" s="4">
        <f>IF(OR(INDEX($V$2:$V$1001,MATCH(ROWS($U$2:U312),$U$2:$U$1001,0),1)&gt;=100000,INDEX($AB$1005:$AQ$1005,1,MATCH(COLUMNS($AB$1006:AL1006),$AB$1006:$AQ$1006,0))&gt;=100000), " ",IF(INDEX($AB$2:$AQ$1001,MATCH(ROWS($U$2:U312),$U$2:$U$1001,0),MATCH(COLUMNS($AB$1006:AL1006),$AB$1006:$AQ$1006,0)), HYPERLINK("#",""), HYPERLINK(CONCATENATE("#metadata!", ADDRESS(INDEX($W$2:$W$1001,MATCH(ROWS($U$2:U312),$U$2:$U$1001,0),0), INDEX($AB$1004:$AQ$1004,1,MATCH(COLUMNS($AB$1006:AL1006),$AB$1006:$AQ$1006,0)))),"Fix")))</f>
        <v>0</v>
      </c>
      <c r="M312" s="4">
        <f>IF(OR(INDEX($V$2:$V$1001,MATCH(ROWS($U$2:U312),$U$2:$U$1001,0),1)&gt;=100000,INDEX($AB$1005:$AQ$1005,1,MATCH(COLUMNS($AB$1006:AM1006),$AB$1006:$AQ$1006,0))&gt;=100000), " ",IF(INDEX($AB$2:$AQ$1001,MATCH(ROWS($U$2:U312),$U$2:$U$1001,0),MATCH(COLUMNS($AB$1006:AM1006),$AB$1006:$AQ$1006,0)), HYPERLINK("#",""), HYPERLINK(CONCATENATE("#metadata!", ADDRESS(INDEX($W$2:$W$1001,MATCH(ROWS($U$2:U312),$U$2:$U$1001,0),0), INDEX($AB$1004:$AQ$1004,1,MATCH(COLUMNS($AB$1006:AM1006),$AB$1006:$AQ$1006,0)))),"Fix")))</f>
        <v>0</v>
      </c>
      <c r="N312" s="4">
        <f>IF(OR(INDEX($V$2:$V$1001,MATCH(ROWS($U$2:U312),$U$2:$U$1001,0),1)&gt;=100000,INDEX($AB$1005:$AQ$1005,1,MATCH(COLUMNS($AB$1006:AN1006),$AB$1006:$AQ$1006,0))&gt;=100000), " ",IF(INDEX($AB$2:$AQ$1001,MATCH(ROWS($U$2:U312),$U$2:$U$1001,0),MATCH(COLUMNS($AB$1006:AN1006),$AB$1006:$AQ$1006,0)), HYPERLINK("#",""), HYPERLINK(CONCATENATE("#metadata!", ADDRESS(INDEX($W$2:$W$1001,MATCH(ROWS($U$2:U312),$U$2:$U$1001,0),0), INDEX($AB$1004:$AQ$1004,1,MATCH(COLUMNS($AB$1006:AN1006),$AB$1006:$AQ$1006,0)))),"Fix")))</f>
        <v>0</v>
      </c>
      <c r="O312" s="4">
        <f>IF(OR(INDEX($V$2:$V$1001,MATCH(ROWS($U$2:U312),$U$2:$U$1001,0),1)&gt;=100000,INDEX($AB$1005:$AQ$1005,1,MATCH(COLUMNS($AB$1006:AO1006),$AB$1006:$AQ$1006,0))&gt;=100000), " ",IF(INDEX($AB$2:$AQ$1001,MATCH(ROWS($U$2:U312),$U$2:$U$1001,0),MATCH(COLUMNS($AB$1006:AO1006),$AB$1006:$AQ$1006,0)), HYPERLINK("#",""), HYPERLINK(CONCATENATE("#metadata!", ADDRESS(INDEX($W$2:$W$1001,MATCH(ROWS($U$2:U312),$U$2:$U$1001,0),0), INDEX($AB$1004:$AQ$1004,1,MATCH(COLUMNS($AB$1006:AO1006),$AB$1006:$AQ$1006,0)))),"Fix")))</f>
        <v>0</v>
      </c>
      <c r="P312" s="4">
        <f>IF(OR(INDEX($V$2:$V$1001,MATCH(ROWS($U$2:U312),$U$2:$U$1001,0),1)&gt;=100000,INDEX($AB$1005:$AQ$1005,1,MATCH(COLUMNS($AB$1006:AP1006),$AB$1006:$AQ$1006,0))&gt;=100000), " ",IF(INDEX($AB$2:$AQ$1001,MATCH(ROWS($U$2:U312),$U$2:$U$1001,0),MATCH(COLUMNS($AB$1006:AP1006),$AB$1006:$AQ$1006,0)), HYPERLINK("#",""), HYPERLINK(CONCATENATE("#metadata!", ADDRESS(INDEX($W$2:$W$1001,MATCH(ROWS($U$2:U312),$U$2:$U$1001,0),0), INDEX($AB$1004:$AQ$1004,1,MATCH(COLUMNS($AB$1006:AP1006),$AB$1006:$AQ$1006,0)))),"Fix")))</f>
        <v>0</v>
      </c>
      <c r="Q312" s="4">
        <f>IF(OR(INDEX($V$2:$V$1001,MATCH(ROWS($U$2:U312),$U$2:$U$1001,0),1)&gt;=100000,INDEX($AB$1005:$AQ$1005,1,MATCH(COLUMNS($AB$1006:AQ1006),$AB$1006:$AQ$1006,0))&gt;=100000), " ",IF(INDEX($AB$2:$AQ$1001,MATCH(ROWS($U$2:U312),$U$2:$U$1001,0),MATCH(COLUMNS($AB$1006:AQ1006),$AB$1006:$AQ$1006,0)), HYPERLINK("#",""), HYPERLINK(CONCATENATE("#metadata!", ADDRESS(INDEX($W$2:$W$1001,MATCH(ROWS($U$2:U312),$U$2:$U$1001,0),0), INDEX($AB$1004:$AQ$1004,1,MATCH(COLUMNS($AB$1006:AQ1006),$AB$1006:$AQ$1006,0)))),"Fix")))</f>
        <v>0</v>
      </c>
      <c r="U312">
        <v>0</v>
      </c>
      <c r="V312">
        <v>0</v>
      </c>
      <c r="W312">
        <v>0</v>
      </c>
      <c r="X312">
        <f>IF(Y312,TRUE,AND(AB312:AQ312))</f>
        <v>0</v>
      </c>
      <c r="Y312">
        <f>COUNTBLANK(metadata!B312:Q312)=COLUMNS(metadata!B312:Q312)</f>
        <v>0</v>
      </c>
      <c r="Z312">
        <v>0</v>
      </c>
      <c r="AB312">
        <f>AND(IF(metadata!B312="",FALSE,TRUE),COUNTIF(metadata!B:B, metadata!B312) = 1,NOT(ISERROR(SUMPRODUCT(SEARCH(MID(metadata!B312,ROW(INDIRECT("1:"&amp;LEN(metadata!B312))), 1),"0123456789abcdefghijklmnopqrstuvwxyzABCDEFGHIJKLMNOPQRSTUVWXYZ.")))))</f>
        <v>0</v>
      </c>
      <c r="AC312">
        <f>OR(AND(IF(metadata!C312="",FALSE,TRUE),OR(exact(metadata!C312,"missing: not collected"),exact(metadata!C312,"missing: not provided"),exact(metadata!C312,"missing: restricted access"))),AND(IF(metadata!C312="",FALSE,TRUE),AND(AND(IFERROR(INT(LEFT(metadata!C312,4))&gt;1900,FALSE),IFERROR(INT(LEFT(metadata!C312,4))&lt;=YEAR(NOW()),FALSE)), OR(MID(metadata!C312,5,1)="", AND(AND(MID(metadata!C312,5,1)="-",IFERROR(INT(MID(metadata!C312,6,1))&gt;=0,FALSE),IFERROR(INT(MID(metadata!C312,6,1))&lt;=1,FALSE),NOT(MID(metadata!C312,7,1)=""),IFERROR(INT(MID(metadata!C312,6,2))&gt;=1,FALSE),IFERROR(INT(MID(metadata!C312,6,2))&lt;=12,FALSE)), OR(MID(metadata!C312,8,1)="", AND(AND(MID(metadata!C312,8,1)="-",IFERROR(INT(MID(metadata!C312,9,1))&gt;=0,FALSE),IFERROR(INT(MID(metadata!C312,9,1))&lt;=3,FALSE),NOT(MID(metadata!C312,10,1)=""),IFERROR(INT(MID(metadata!C312,9,2))&gt;=1,FALSE),IFERROR(INT(MID(metadata!C312,9,2))&lt;=31,FALSE)), OR(MID(metadata!C312,11,1)="", AND(AND(MID(metadata!C312,11,1)=" ",IFERROR(INT(MID(metadata!C312,12,1))&gt;=0,FALSE),IFERROR(INT(MID(metadata!C312,12,1))&lt;=2,FALSE),NOT(MID(metadata!C312,13,1)=""),IFERROR(INT(MID(metadata!C312,12,2))&gt;=0,FALSE),IFERROR(INT(MID(metadata!C312,12,2))&lt;=23,FALSE)), OR(MID(metadata!C312,14,1)="", AND(AND(MID(metadata!C312,14,1)=":",IFERROR(INT(MID(metadata!C312,15,1))&gt;=0,FALSE),IFERROR(INT(MID(metadata!C312,15,1))&lt;=5,FALSE),NOT(MID(metadata!C312,16,1)=""),IFERROR(INT(MID(metadata!C312,15,2))&gt;=0,FALSE),IFERROR(INT(MID(metadata!C312,15,2))&lt;=59,FALSE)), OR(MID(metadata!C312,17,1)="", AND(AND(MID(metadata!C312,17,1)=":",IFERROR(INT(MID(metadata!C312,18,1))&gt;=0,FALSE),IFERROR(INT(MID(metadata!C312,18,1))&lt;=5,FALSE),NOT(MID(metadata!C312,19,1)=""),IFERROR(INT(MID(metadata!C312,18,2))&gt;=0,FALSE),IFERROR(INT(MID(metadata!C312,18,2))&lt;=59,FALSE)), LEN(metadata!C312)&lt;=19)))))))))))))</f>
        <v>0</v>
      </c>
      <c r="AD312">
        <f>IF(metadata!D312="",FALSE,TRUE)</f>
        <v>0</v>
      </c>
      <c r="AE312">
        <f>OR(AND(IF(metadata!E312="",FALSE,TRUE),OR(exact(metadata!E312,"missing: not collected"),exact(metadata!E312,"missing: not provided"))),AND(IF(metadata!E312="",FALSE,TRUE),OR(exact(metadata!E312,"TRUE"),exact(metadata!E312,"FALSE"))))</f>
        <v>0</v>
      </c>
      <c r="AF312">
        <f>IF(metadata!F312="",FALSE,TRUE)</f>
        <v>0</v>
      </c>
      <c r="AG312">
        <f>IF(metadata!G312="",FALSE,TRUE)</f>
        <v>0</v>
      </c>
      <c r="AH312">
        <f>IF(metadata!H312="",FALSE,TRUE)</f>
        <v>0</v>
      </c>
      <c r="AI312">
        <f>OR(AND(IF(metadata!I312="",FALSE,TRUE),OR(exact(metadata!I312,"missing: not collected"),exact(metadata!I312,"missing: not provided"),exact(metadata!I312,"missing: restricted access"))),AND(IF(metadata!I312="",FALSE,TRUE),OR(exact(metadata!I312,"air"),exact(metadata!I312,"built environment"),exact(metadata!I312,"host-associated"),exact(metadata!I312,"human-associated"),exact(metadata!I312,"human-skin"),exact(metadata!I312,"human-oral"),exact(metadata!I312,"human-gut"),exact(metadata!I312,"human-vaginal"),exact(metadata!I312,"microbial mat/biofilm"),exact(metadata!I312,"misc environment"),exact(metadata!I312,"plant-associated"),exact(metadata!I312,"sediment"),exact(metadata!I312,"soil"),exact(metadata!I312,"wastewater/sludge"),exact(metadata!I312,"water"))))</f>
        <v>0</v>
      </c>
      <c r="AJ312">
        <f>IF(metadata!J312="",FALSE,TRUE)</f>
        <v>0</v>
      </c>
      <c r="AK312">
        <f>OR(AND(IF(metadata!K312="",FALSE,TRUE),OR(exact(metadata!K312,"missing: not collected"),exact(metadata!K312,"missing: not provided"),exact(metadata!K312,"missing: restricted access"))),AND(IF(metadata!K312="",FALSE,ISNUMBER(VALUE(metadata!K312))),metadata!K312&gt;=-90.00,metadata!K312&lt;=90.00))</f>
        <v>0</v>
      </c>
      <c r="AL312">
        <f>OR(AND(IF(metadata!L312="",FALSE,TRUE),OR(exact(metadata!L312,"missing: not collected"),exact(metadata!L312,"missing: not provided"),exact(metadata!L312,"missing: restricted access"))),AND(IF(metadata!L312="",FALSE,ISNUMBER(VALUE(metadata!L312))),metadata!L312&gt;=-180.00,metadata!L312&lt;=180.00))</f>
        <v>0</v>
      </c>
      <c r="AM312">
        <f>IF(metadata!M312="",FALSE,TRUE)</f>
        <v>0</v>
      </c>
      <c r="AN312">
        <f>OR(AND(IF(metadata!N312="",FALSE,TRUE),OR(exact(metadata!N312,"missing: not collected"),exact(metadata!N312,"missing: not provided"),exact(metadata!N312,"missing: restricted access"))),AND(IF(metadata!N312="",FALSE,TRUE),OR(exact(metadata!N312,"TRUE"),exact(metadata!N312,"FALSE"))))</f>
        <v>0</v>
      </c>
      <c r="AO312">
        <f>IF(metadata!O312="",FALSE,TRUE)</f>
        <v>0</v>
      </c>
      <c r="AP312">
        <f>OR(AND(IF(metadata!P312="",FALSE,TRUE),OR(exact(metadata!P312,"missing: not collected"),exact(metadata!P312,"missing: not provided"))),AND(IF(metadata!P312="",FALSE,IF(ISERROR(INT(metadata!P312)),FALSE,INT(metadata!P312)=metadata!P312)),metadata!P312&gt;0))</f>
        <v>0</v>
      </c>
      <c r="AQ312">
        <f>IF(metadata!Q312="",FALSE,TRUE)</f>
        <v>0</v>
      </c>
    </row>
    <row r="313" spans="1:43">
      <c r="A313" s="5">
        <f>IF(B313=" "," ",HYPERLINK(CONCATENATE("#metadata!",ADDRESS(INDEX($W$2:$W$1001,MATCH(ROWS($U$2:U313),$U$2:$U$1001,0),0),1)),INDEX($Z$2:$Z$1001,MATCH(ROWS($U$2:U313),$U$2:$U$1001,0),0)))</f>
        <v>0</v>
      </c>
      <c r="B313" s="4">
        <f>IF(OR(INDEX($V$2:$V$1001,MATCH(ROWS($U$2:U313),$U$2:$U$1001,0),1)&gt;=100000,INDEX($AB$1005:$AQ$1005,1,MATCH(COLUMNS($AB$1006:AB1006),$AB$1006:$AQ$1006,0))&gt;=100000), " ",IF(INDEX($AB$2:$AQ$1001,MATCH(ROWS($U$2:U313),$U$2:$U$1001,0),MATCH(COLUMNS($AB$1006:AB1006),$AB$1006:$AQ$1006,0)), HYPERLINK("#",""), HYPERLINK(CONCATENATE("#metadata!", ADDRESS(INDEX($W$2:$W$1001,MATCH(ROWS($U$2:U313),$U$2:$U$1001,0),0), INDEX($AB$1004:$AQ$1004,1,MATCH(COLUMNS($AB$1006:AB1006),$AB$1006:$AQ$1006,0)))),"Fix")))</f>
        <v>0</v>
      </c>
      <c r="C313" s="4">
        <f>IF(OR(INDEX($V$2:$V$1001,MATCH(ROWS($U$2:U313),$U$2:$U$1001,0),1)&gt;=100000,INDEX($AB$1005:$AQ$1005,1,MATCH(COLUMNS($AB$1006:AC1006),$AB$1006:$AQ$1006,0))&gt;=100000), " ",IF(INDEX($AB$2:$AQ$1001,MATCH(ROWS($U$2:U313),$U$2:$U$1001,0),MATCH(COLUMNS($AB$1006:AC1006),$AB$1006:$AQ$1006,0)), HYPERLINK("#",""), HYPERLINK(CONCATENATE("#metadata!", ADDRESS(INDEX($W$2:$W$1001,MATCH(ROWS($U$2:U313),$U$2:$U$1001,0),0), INDEX($AB$1004:$AQ$1004,1,MATCH(COLUMNS($AB$1006:AC1006),$AB$1006:$AQ$1006,0)))),"Fix")))</f>
        <v>0</v>
      </c>
      <c r="D313" s="4">
        <f>IF(OR(INDEX($V$2:$V$1001,MATCH(ROWS($U$2:U313),$U$2:$U$1001,0),1)&gt;=100000,INDEX($AB$1005:$AQ$1005,1,MATCH(COLUMNS($AB$1006:AD1006),$AB$1006:$AQ$1006,0))&gt;=100000), " ",IF(INDEX($AB$2:$AQ$1001,MATCH(ROWS($U$2:U313),$U$2:$U$1001,0),MATCH(COLUMNS($AB$1006:AD1006),$AB$1006:$AQ$1006,0)), HYPERLINK("#",""), HYPERLINK(CONCATENATE("#metadata!", ADDRESS(INDEX($W$2:$W$1001,MATCH(ROWS($U$2:U313),$U$2:$U$1001,0),0), INDEX($AB$1004:$AQ$1004,1,MATCH(COLUMNS($AB$1006:AD1006),$AB$1006:$AQ$1006,0)))),"Fix")))</f>
        <v>0</v>
      </c>
      <c r="E313" s="4">
        <f>IF(OR(INDEX($V$2:$V$1001,MATCH(ROWS($U$2:U313),$U$2:$U$1001,0),1)&gt;=100000,INDEX($AB$1005:$AQ$1005,1,MATCH(COLUMNS($AB$1006:AE1006),$AB$1006:$AQ$1006,0))&gt;=100000), " ",IF(INDEX($AB$2:$AQ$1001,MATCH(ROWS($U$2:U313),$U$2:$U$1001,0),MATCH(COLUMNS($AB$1006:AE1006),$AB$1006:$AQ$1006,0)), HYPERLINK("#",""), HYPERLINK(CONCATENATE("#metadata!", ADDRESS(INDEX($W$2:$W$1001,MATCH(ROWS($U$2:U313),$U$2:$U$1001,0),0), INDEX($AB$1004:$AQ$1004,1,MATCH(COLUMNS($AB$1006:AE1006),$AB$1006:$AQ$1006,0)))),"Fix")))</f>
        <v>0</v>
      </c>
      <c r="F313" s="4">
        <f>IF(OR(INDEX($V$2:$V$1001,MATCH(ROWS($U$2:U313),$U$2:$U$1001,0),1)&gt;=100000,INDEX($AB$1005:$AQ$1005,1,MATCH(COLUMNS($AB$1006:AF1006),$AB$1006:$AQ$1006,0))&gt;=100000), " ",IF(INDEX($AB$2:$AQ$1001,MATCH(ROWS($U$2:U313),$U$2:$U$1001,0),MATCH(COLUMNS($AB$1006:AF1006),$AB$1006:$AQ$1006,0)), HYPERLINK("#",""), HYPERLINK(CONCATENATE("#metadata!", ADDRESS(INDEX($W$2:$W$1001,MATCH(ROWS($U$2:U313),$U$2:$U$1001,0),0), INDEX($AB$1004:$AQ$1004,1,MATCH(COLUMNS($AB$1006:AF1006),$AB$1006:$AQ$1006,0)))),"Fix")))</f>
        <v>0</v>
      </c>
      <c r="G313" s="4">
        <f>IF(OR(INDEX($V$2:$V$1001,MATCH(ROWS($U$2:U313),$U$2:$U$1001,0),1)&gt;=100000,INDEX($AB$1005:$AQ$1005,1,MATCH(COLUMNS($AB$1006:AG1006),$AB$1006:$AQ$1006,0))&gt;=100000), " ",IF(INDEX($AB$2:$AQ$1001,MATCH(ROWS($U$2:U313),$U$2:$U$1001,0),MATCH(COLUMNS($AB$1006:AG1006),$AB$1006:$AQ$1006,0)), HYPERLINK("#",""), HYPERLINK(CONCATENATE("#metadata!", ADDRESS(INDEX($W$2:$W$1001,MATCH(ROWS($U$2:U313),$U$2:$U$1001,0),0), INDEX($AB$1004:$AQ$1004,1,MATCH(COLUMNS($AB$1006:AG1006),$AB$1006:$AQ$1006,0)))),"Fix")))</f>
        <v>0</v>
      </c>
      <c r="H313" s="4">
        <f>IF(OR(INDEX($V$2:$V$1001,MATCH(ROWS($U$2:U313),$U$2:$U$1001,0),1)&gt;=100000,INDEX($AB$1005:$AQ$1005,1,MATCH(COLUMNS($AB$1006:AH1006),$AB$1006:$AQ$1006,0))&gt;=100000), " ",IF(INDEX($AB$2:$AQ$1001,MATCH(ROWS($U$2:U313),$U$2:$U$1001,0),MATCH(COLUMNS($AB$1006:AH1006),$AB$1006:$AQ$1006,0)), HYPERLINK("#",""), HYPERLINK(CONCATENATE("#metadata!", ADDRESS(INDEX($W$2:$W$1001,MATCH(ROWS($U$2:U313),$U$2:$U$1001,0),0), INDEX($AB$1004:$AQ$1004,1,MATCH(COLUMNS($AB$1006:AH1006),$AB$1006:$AQ$1006,0)))),"Fix")))</f>
        <v>0</v>
      </c>
      <c r="I313" s="4">
        <f>IF(OR(INDEX($V$2:$V$1001,MATCH(ROWS($U$2:U313),$U$2:$U$1001,0),1)&gt;=100000,INDEX($AB$1005:$AQ$1005,1,MATCH(COLUMNS($AB$1006:AI1006),$AB$1006:$AQ$1006,0))&gt;=100000), " ",IF(INDEX($AB$2:$AQ$1001,MATCH(ROWS($U$2:U313),$U$2:$U$1001,0),MATCH(COLUMNS($AB$1006:AI1006),$AB$1006:$AQ$1006,0)), HYPERLINK("#",""), HYPERLINK(CONCATENATE("#metadata!", ADDRESS(INDEX($W$2:$W$1001,MATCH(ROWS($U$2:U313),$U$2:$U$1001,0),0), INDEX($AB$1004:$AQ$1004,1,MATCH(COLUMNS($AB$1006:AI1006),$AB$1006:$AQ$1006,0)))),"Fix")))</f>
        <v>0</v>
      </c>
      <c r="J313" s="4">
        <f>IF(OR(INDEX($V$2:$V$1001,MATCH(ROWS($U$2:U313),$U$2:$U$1001,0),1)&gt;=100000,INDEX($AB$1005:$AQ$1005,1,MATCH(COLUMNS($AB$1006:AJ1006),$AB$1006:$AQ$1006,0))&gt;=100000), " ",IF(INDEX($AB$2:$AQ$1001,MATCH(ROWS($U$2:U313),$U$2:$U$1001,0),MATCH(COLUMNS($AB$1006:AJ1006),$AB$1006:$AQ$1006,0)), HYPERLINK("#",""), HYPERLINK(CONCATENATE("#metadata!", ADDRESS(INDEX($W$2:$W$1001,MATCH(ROWS($U$2:U313),$U$2:$U$1001,0),0), INDEX($AB$1004:$AQ$1004,1,MATCH(COLUMNS($AB$1006:AJ1006),$AB$1006:$AQ$1006,0)))),"Fix")))</f>
        <v>0</v>
      </c>
      <c r="K313" s="4">
        <f>IF(OR(INDEX($V$2:$V$1001,MATCH(ROWS($U$2:U313),$U$2:$U$1001,0),1)&gt;=100000,INDEX($AB$1005:$AQ$1005,1,MATCH(COLUMNS($AB$1006:AK1006),$AB$1006:$AQ$1006,0))&gt;=100000), " ",IF(INDEX($AB$2:$AQ$1001,MATCH(ROWS($U$2:U313),$U$2:$U$1001,0),MATCH(COLUMNS($AB$1006:AK1006),$AB$1006:$AQ$1006,0)), HYPERLINK("#",""), HYPERLINK(CONCATENATE("#metadata!", ADDRESS(INDEX($W$2:$W$1001,MATCH(ROWS($U$2:U313),$U$2:$U$1001,0),0), INDEX($AB$1004:$AQ$1004,1,MATCH(COLUMNS($AB$1006:AK1006),$AB$1006:$AQ$1006,0)))),"Fix")))</f>
        <v>0</v>
      </c>
      <c r="L313" s="4">
        <f>IF(OR(INDEX($V$2:$V$1001,MATCH(ROWS($U$2:U313),$U$2:$U$1001,0),1)&gt;=100000,INDEX($AB$1005:$AQ$1005,1,MATCH(COLUMNS($AB$1006:AL1006),$AB$1006:$AQ$1006,0))&gt;=100000), " ",IF(INDEX($AB$2:$AQ$1001,MATCH(ROWS($U$2:U313),$U$2:$U$1001,0),MATCH(COLUMNS($AB$1006:AL1006),$AB$1006:$AQ$1006,0)), HYPERLINK("#",""), HYPERLINK(CONCATENATE("#metadata!", ADDRESS(INDEX($W$2:$W$1001,MATCH(ROWS($U$2:U313),$U$2:$U$1001,0),0), INDEX($AB$1004:$AQ$1004,1,MATCH(COLUMNS($AB$1006:AL1006),$AB$1006:$AQ$1006,0)))),"Fix")))</f>
        <v>0</v>
      </c>
      <c r="M313" s="4">
        <f>IF(OR(INDEX($V$2:$V$1001,MATCH(ROWS($U$2:U313),$U$2:$U$1001,0),1)&gt;=100000,INDEX($AB$1005:$AQ$1005,1,MATCH(COLUMNS($AB$1006:AM1006),$AB$1006:$AQ$1006,0))&gt;=100000), " ",IF(INDEX($AB$2:$AQ$1001,MATCH(ROWS($U$2:U313),$U$2:$U$1001,0),MATCH(COLUMNS($AB$1006:AM1006),$AB$1006:$AQ$1006,0)), HYPERLINK("#",""), HYPERLINK(CONCATENATE("#metadata!", ADDRESS(INDEX($W$2:$W$1001,MATCH(ROWS($U$2:U313),$U$2:$U$1001,0),0), INDEX($AB$1004:$AQ$1004,1,MATCH(COLUMNS($AB$1006:AM1006),$AB$1006:$AQ$1006,0)))),"Fix")))</f>
        <v>0</v>
      </c>
      <c r="N313" s="4">
        <f>IF(OR(INDEX($V$2:$V$1001,MATCH(ROWS($U$2:U313),$U$2:$U$1001,0),1)&gt;=100000,INDEX($AB$1005:$AQ$1005,1,MATCH(COLUMNS($AB$1006:AN1006),$AB$1006:$AQ$1006,0))&gt;=100000), " ",IF(INDEX($AB$2:$AQ$1001,MATCH(ROWS($U$2:U313),$U$2:$U$1001,0),MATCH(COLUMNS($AB$1006:AN1006),$AB$1006:$AQ$1006,0)), HYPERLINK("#",""), HYPERLINK(CONCATENATE("#metadata!", ADDRESS(INDEX($W$2:$W$1001,MATCH(ROWS($U$2:U313),$U$2:$U$1001,0),0), INDEX($AB$1004:$AQ$1004,1,MATCH(COLUMNS($AB$1006:AN1006),$AB$1006:$AQ$1006,0)))),"Fix")))</f>
        <v>0</v>
      </c>
      <c r="O313" s="4">
        <f>IF(OR(INDEX($V$2:$V$1001,MATCH(ROWS($U$2:U313),$U$2:$U$1001,0),1)&gt;=100000,INDEX($AB$1005:$AQ$1005,1,MATCH(COLUMNS($AB$1006:AO1006),$AB$1006:$AQ$1006,0))&gt;=100000), " ",IF(INDEX($AB$2:$AQ$1001,MATCH(ROWS($U$2:U313),$U$2:$U$1001,0),MATCH(COLUMNS($AB$1006:AO1006),$AB$1006:$AQ$1006,0)), HYPERLINK("#",""), HYPERLINK(CONCATENATE("#metadata!", ADDRESS(INDEX($W$2:$W$1001,MATCH(ROWS($U$2:U313),$U$2:$U$1001,0),0), INDEX($AB$1004:$AQ$1004,1,MATCH(COLUMNS($AB$1006:AO1006),$AB$1006:$AQ$1006,0)))),"Fix")))</f>
        <v>0</v>
      </c>
      <c r="P313" s="4">
        <f>IF(OR(INDEX($V$2:$V$1001,MATCH(ROWS($U$2:U313),$U$2:$U$1001,0),1)&gt;=100000,INDEX($AB$1005:$AQ$1005,1,MATCH(COLUMNS($AB$1006:AP1006),$AB$1006:$AQ$1006,0))&gt;=100000), " ",IF(INDEX($AB$2:$AQ$1001,MATCH(ROWS($U$2:U313),$U$2:$U$1001,0),MATCH(COLUMNS($AB$1006:AP1006),$AB$1006:$AQ$1006,0)), HYPERLINK("#",""), HYPERLINK(CONCATENATE("#metadata!", ADDRESS(INDEX($W$2:$W$1001,MATCH(ROWS($U$2:U313),$U$2:$U$1001,0),0), INDEX($AB$1004:$AQ$1004,1,MATCH(COLUMNS($AB$1006:AP1006),$AB$1006:$AQ$1006,0)))),"Fix")))</f>
        <v>0</v>
      </c>
      <c r="Q313" s="4">
        <f>IF(OR(INDEX($V$2:$V$1001,MATCH(ROWS($U$2:U313),$U$2:$U$1001,0),1)&gt;=100000,INDEX($AB$1005:$AQ$1005,1,MATCH(COLUMNS($AB$1006:AQ1006),$AB$1006:$AQ$1006,0))&gt;=100000), " ",IF(INDEX($AB$2:$AQ$1001,MATCH(ROWS($U$2:U313),$U$2:$U$1001,0),MATCH(COLUMNS($AB$1006:AQ1006),$AB$1006:$AQ$1006,0)), HYPERLINK("#",""), HYPERLINK(CONCATENATE("#metadata!", ADDRESS(INDEX($W$2:$W$1001,MATCH(ROWS($U$2:U313),$U$2:$U$1001,0),0), INDEX($AB$1004:$AQ$1004,1,MATCH(COLUMNS($AB$1006:AQ1006),$AB$1006:$AQ$1006,0)))),"Fix")))</f>
        <v>0</v>
      </c>
      <c r="U313">
        <v>0</v>
      </c>
      <c r="V313">
        <v>0</v>
      </c>
      <c r="W313">
        <v>0</v>
      </c>
      <c r="X313">
        <f>IF(Y313,TRUE,AND(AB313:AQ313))</f>
        <v>0</v>
      </c>
      <c r="Y313">
        <f>COUNTBLANK(metadata!B313:Q313)=COLUMNS(metadata!B313:Q313)</f>
        <v>0</v>
      </c>
      <c r="Z313">
        <v>0</v>
      </c>
      <c r="AB313">
        <f>AND(IF(metadata!B313="",FALSE,TRUE),COUNTIF(metadata!B:B, metadata!B313) = 1,NOT(ISERROR(SUMPRODUCT(SEARCH(MID(metadata!B313,ROW(INDIRECT("1:"&amp;LEN(metadata!B313))), 1),"0123456789abcdefghijklmnopqrstuvwxyzABCDEFGHIJKLMNOPQRSTUVWXYZ.")))))</f>
        <v>0</v>
      </c>
      <c r="AC313">
        <f>OR(AND(IF(metadata!C313="",FALSE,TRUE),OR(exact(metadata!C313,"missing: not collected"),exact(metadata!C313,"missing: not provided"),exact(metadata!C313,"missing: restricted access"))),AND(IF(metadata!C313="",FALSE,TRUE),AND(AND(IFERROR(INT(LEFT(metadata!C313,4))&gt;1900,FALSE),IFERROR(INT(LEFT(metadata!C313,4))&lt;=YEAR(NOW()),FALSE)), OR(MID(metadata!C313,5,1)="", AND(AND(MID(metadata!C313,5,1)="-",IFERROR(INT(MID(metadata!C313,6,1))&gt;=0,FALSE),IFERROR(INT(MID(metadata!C313,6,1))&lt;=1,FALSE),NOT(MID(metadata!C313,7,1)=""),IFERROR(INT(MID(metadata!C313,6,2))&gt;=1,FALSE),IFERROR(INT(MID(metadata!C313,6,2))&lt;=12,FALSE)), OR(MID(metadata!C313,8,1)="", AND(AND(MID(metadata!C313,8,1)="-",IFERROR(INT(MID(metadata!C313,9,1))&gt;=0,FALSE),IFERROR(INT(MID(metadata!C313,9,1))&lt;=3,FALSE),NOT(MID(metadata!C313,10,1)=""),IFERROR(INT(MID(metadata!C313,9,2))&gt;=1,FALSE),IFERROR(INT(MID(metadata!C313,9,2))&lt;=31,FALSE)), OR(MID(metadata!C313,11,1)="", AND(AND(MID(metadata!C313,11,1)=" ",IFERROR(INT(MID(metadata!C313,12,1))&gt;=0,FALSE),IFERROR(INT(MID(metadata!C313,12,1))&lt;=2,FALSE),NOT(MID(metadata!C313,13,1)=""),IFERROR(INT(MID(metadata!C313,12,2))&gt;=0,FALSE),IFERROR(INT(MID(metadata!C313,12,2))&lt;=23,FALSE)), OR(MID(metadata!C313,14,1)="", AND(AND(MID(metadata!C313,14,1)=":",IFERROR(INT(MID(metadata!C313,15,1))&gt;=0,FALSE),IFERROR(INT(MID(metadata!C313,15,1))&lt;=5,FALSE),NOT(MID(metadata!C313,16,1)=""),IFERROR(INT(MID(metadata!C313,15,2))&gt;=0,FALSE),IFERROR(INT(MID(metadata!C313,15,2))&lt;=59,FALSE)), OR(MID(metadata!C313,17,1)="", AND(AND(MID(metadata!C313,17,1)=":",IFERROR(INT(MID(metadata!C313,18,1))&gt;=0,FALSE),IFERROR(INT(MID(metadata!C313,18,1))&lt;=5,FALSE),NOT(MID(metadata!C313,19,1)=""),IFERROR(INT(MID(metadata!C313,18,2))&gt;=0,FALSE),IFERROR(INT(MID(metadata!C313,18,2))&lt;=59,FALSE)), LEN(metadata!C313)&lt;=19)))))))))))))</f>
        <v>0</v>
      </c>
      <c r="AD313">
        <f>IF(metadata!D313="",FALSE,TRUE)</f>
        <v>0</v>
      </c>
      <c r="AE313">
        <f>OR(AND(IF(metadata!E313="",FALSE,TRUE),OR(exact(metadata!E313,"missing: not collected"),exact(metadata!E313,"missing: not provided"))),AND(IF(metadata!E313="",FALSE,TRUE),OR(exact(metadata!E313,"TRUE"),exact(metadata!E313,"FALSE"))))</f>
        <v>0</v>
      </c>
      <c r="AF313">
        <f>IF(metadata!F313="",FALSE,TRUE)</f>
        <v>0</v>
      </c>
      <c r="AG313">
        <f>IF(metadata!G313="",FALSE,TRUE)</f>
        <v>0</v>
      </c>
      <c r="AH313">
        <f>IF(metadata!H313="",FALSE,TRUE)</f>
        <v>0</v>
      </c>
      <c r="AI313">
        <f>OR(AND(IF(metadata!I313="",FALSE,TRUE),OR(exact(metadata!I313,"missing: not collected"),exact(metadata!I313,"missing: not provided"),exact(metadata!I313,"missing: restricted access"))),AND(IF(metadata!I313="",FALSE,TRUE),OR(exact(metadata!I313,"air"),exact(metadata!I313,"built environment"),exact(metadata!I313,"host-associated"),exact(metadata!I313,"human-associated"),exact(metadata!I313,"human-skin"),exact(metadata!I313,"human-oral"),exact(metadata!I313,"human-gut"),exact(metadata!I313,"human-vaginal"),exact(metadata!I313,"microbial mat/biofilm"),exact(metadata!I313,"misc environment"),exact(metadata!I313,"plant-associated"),exact(metadata!I313,"sediment"),exact(metadata!I313,"soil"),exact(metadata!I313,"wastewater/sludge"),exact(metadata!I313,"water"))))</f>
        <v>0</v>
      </c>
      <c r="AJ313">
        <f>IF(metadata!J313="",FALSE,TRUE)</f>
        <v>0</v>
      </c>
      <c r="AK313">
        <f>OR(AND(IF(metadata!K313="",FALSE,TRUE),OR(exact(metadata!K313,"missing: not collected"),exact(metadata!K313,"missing: not provided"),exact(metadata!K313,"missing: restricted access"))),AND(IF(metadata!K313="",FALSE,ISNUMBER(VALUE(metadata!K313))),metadata!K313&gt;=-90.00,metadata!K313&lt;=90.00))</f>
        <v>0</v>
      </c>
      <c r="AL313">
        <f>OR(AND(IF(metadata!L313="",FALSE,TRUE),OR(exact(metadata!L313,"missing: not collected"),exact(metadata!L313,"missing: not provided"),exact(metadata!L313,"missing: restricted access"))),AND(IF(metadata!L313="",FALSE,ISNUMBER(VALUE(metadata!L313))),metadata!L313&gt;=-180.00,metadata!L313&lt;=180.00))</f>
        <v>0</v>
      </c>
      <c r="AM313">
        <f>IF(metadata!M313="",FALSE,TRUE)</f>
        <v>0</v>
      </c>
      <c r="AN313">
        <f>OR(AND(IF(metadata!N313="",FALSE,TRUE),OR(exact(metadata!N313,"missing: not collected"),exact(metadata!N313,"missing: not provided"),exact(metadata!N313,"missing: restricted access"))),AND(IF(metadata!N313="",FALSE,TRUE),OR(exact(metadata!N313,"TRUE"),exact(metadata!N313,"FALSE"))))</f>
        <v>0</v>
      </c>
      <c r="AO313">
        <f>IF(metadata!O313="",FALSE,TRUE)</f>
        <v>0</v>
      </c>
      <c r="AP313">
        <f>OR(AND(IF(metadata!P313="",FALSE,TRUE),OR(exact(metadata!P313,"missing: not collected"),exact(metadata!P313,"missing: not provided"))),AND(IF(metadata!P313="",FALSE,IF(ISERROR(INT(metadata!P313)),FALSE,INT(metadata!P313)=metadata!P313)),metadata!P313&gt;0))</f>
        <v>0</v>
      </c>
      <c r="AQ313">
        <f>IF(metadata!Q313="",FALSE,TRUE)</f>
        <v>0</v>
      </c>
    </row>
    <row r="314" spans="1:43">
      <c r="A314" s="5">
        <f>IF(B314=" "," ",HYPERLINK(CONCATENATE("#metadata!",ADDRESS(INDEX($W$2:$W$1001,MATCH(ROWS($U$2:U314),$U$2:$U$1001,0),0),1)),INDEX($Z$2:$Z$1001,MATCH(ROWS($U$2:U314),$U$2:$U$1001,0),0)))</f>
        <v>0</v>
      </c>
      <c r="B314" s="4">
        <f>IF(OR(INDEX($V$2:$V$1001,MATCH(ROWS($U$2:U314),$U$2:$U$1001,0),1)&gt;=100000,INDEX($AB$1005:$AQ$1005,1,MATCH(COLUMNS($AB$1006:AB1006),$AB$1006:$AQ$1006,0))&gt;=100000), " ",IF(INDEX($AB$2:$AQ$1001,MATCH(ROWS($U$2:U314),$U$2:$U$1001,0),MATCH(COLUMNS($AB$1006:AB1006),$AB$1006:$AQ$1006,0)), HYPERLINK("#",""), HYPERLINK(CONCATENATE("#metadata!", ADDRESS(INDEX($W$2:$W$1001,MATCH(ROWS($U$2:U314),$U$2:$U$1001,0),0), INDEX($AB$1004:$AQ$1004,1,MATCH(COLUMNS($AB$1006:AB1006),$AB$1006:$AQ$1006,0)))),"Fix")))</f>
        <v>0</v>
      </c>
      <c r="C314" s="4">
        <f>IF(OR(INDEX($V$2:$V$1001,MATCH(ROWS($U$2:U314),$U$2:$U$1001,0),1)&gt;=100000,INDEX($AB$1005:$AQ$1005,1,MATCH(COLUMNS($AB$1006:AC1006),$AB$1006:$AQ$1006,0))&gt;=100000), " ",IF(INDEX($AB$2:$AQ$1001,MATCH(ROWS($U$2:U314),$U$2:$U$1001,0),MATCH(COLUMNS($AB$1006:AC1006),$AB$1006:$AQ$1006,0)), HYPERLINK("#",""), HYPERLINK(CONCATENATE("#metadata!", ADDRESS(INDEX($W$2:$W$1001,MATCH(ROWS($U$2:U314),$U$2:$U$1001,0),0), INDEX($AB$1004:$AQ$1004,1,MATCH(COLUMNS($AB$1006:AC1006),$AB$1006:$AQ$1006,0)))),"Fix")))</f>
        <v>0</v>
      </c>
      <c r="D314" s="4">
        <f>IF(OR(INDEX($V$2:$V$1001,MATCH(ROWS($U$2:U314),$U$2:$U$1001,0),1)&gt;=100000,INDEX($AB$1005:$AQ$1005,1,MATCH(COLUMNS($AB$1006:AD1006),$AB$1006:$AQ$1006,0))&gt;=100000), " ",IF(INDEX($AB$2:$AQ$1001,MATCH(ROWS($U$2:U314),$U$2:$U$1001,0),MATCH(COLUMNS($AB$1006:AD1006),$AB$1006:$AQ$1006,0)), HYPERLINK("#",""), HYPERLINK(CONCATENATE("#metadata!", ADDRESS(INDEX($W$2:$W$1001,MATCH(ROWS($U$2:U314),$U$2:$U$1001,0),0), INDEX($AB$1004:$AQ$1004,1,MATCH(COLUMNS($AB$1006:AD1006),$AB$1006:$AQ$1006,0)))),"Fix")))</f>
        <v>0</v>
      </c>
      <c r="E314" s="4">
        <f>IF(OR(INDEX($V$2:$V$1001,MATCH(ROWS($U$2:U314),$U$2:$U$1001,0),1)&gt;=100000,INDEX($AB$1005:$AQ$1005,1,MATCH(COLUMNS($AB$1006:AE1006),$AB$1006:$AQ$1006,0))&gt;=100000), " ",IF(INDEX($AB$2:$AQ$1001,MATCH(ROWS($U$2:U314),$U$2:$U$1001,0),MATCH(COLUMNS($AB$1006:AE1006),$AB$1006:$AQ$1006,0)), HYPERLINK("#",""), HYPERLINK(CONCATENATE("#metadata!", ADDRESS(INDEX($W$2:$W$1001,MATCH(ROWS($U$2:U314),$U$2:$U$1001,0),0), INDEX($AB$1004:$AQ$1004,1,MATCH(COLUMNS($AB$1006:AE1006),$AB$1006:$AQ$1006,0)))),"Fix")))</f>
        <v>0</v>
      </c>
      <c r="F314" s="4">
        <f>IF(OR(INDEX($V$2:$V$1001,MATCH(ROWS($U$2:U314),$U$2:$U$1001,0),1)&gt;=100000,INDEX($AB$1005:$AQ$1005,1,MATCH(COLUMNS($AB$1006:AF1006),$AB$1006:$AQ$1006,0))&gt;=100000), " ",IF(INDEX($AB$2:$AQ$1001,MATCH(ROWS($U$2:U314),$U$2:$U$1001,0),MATCH(COLUMNS($AB$1006:AF1006),$AB$1006:$AQ$1006,0)), HYPERLINK("#",""), HYPERLINK(CONCATENATE("#metadata!", ADDRESS(INDEX($W$2:$W$1001,MATCH(ROWS($U$2:U314),$U$2:$U$1001,0),0), INDEX($AB$1004:$AQ$1004,1,MATCH(COLUMNS($AB$1006:AF1006),$AB$1006:$AQ$1006,0)))),"Fix")))</f>
        <v>0</v>
      </c>
      <c r="G314" s="4">
        <f>IF(OR(INDEX($V$2:$V$1001,MATCH(ROWS($U$2:U314),$U$2:$U$1001,0),1)&gt;=100000,INDEX($AB$1005:$AQ$1005,1,MATCH(COLUMNS($AB$1006:AG1006),$AB$1006:$AQ$1006,0))&gt;=100000), " ",IF(INDEX($AB$2:$AQ$1001,MATCH(ROWS($U$2:U314),$U$2:$U$1001,0),MATCH(COLUMNS($AB$1006:AG1006),$AB$1006:$AQ$1006,0)), HYPERLINK("#",""), HYPERLINK(CONCATENATE("#metadata!", ADDRESS(INDEX($W$2:$W$1001,MATCH(ROWS($U$2:U314),$U$2:$U$1001,0),0), INDEX($AB$1004:$AQ$1004,1,MATCH(COLUMNS($AB$1006:AG1006),$AB$1006:$AQ$1006,0)))),"Fix")))</f>
        <v>0</v>
      </c>
      <c r="H314" s="4">
        <f>IF(OR(INDEX($V$2:$V$1001,MATCH(ROWS($U$2:U314),$U$2:$U$1001,0),1)&gt;=100000,INDEX($AB$1005:$AQ$1005,1,MATCH(COLUMNS($AB$1006:AH1006),$AB$1006:$AQ$1006,0))&gt;=100000), " ",IF(INDEX($AB$2:$AQ$1001,MATCH(ROWS($U$2:U314),$U$2:$U$1001,0),MATCH(COLUMNS($AB$1006:AH1006),$AB$1006:$AQ$1006,0)), HYPERLINK("#",""), HYPERLINK(CONCATENATE("#metadata!", ADDRESS(INDEX($W$2:$W$1001,MATCH(ROWS($U$2:U314),$U$2:$U$1001,0),0), INDEX($AB$1004:$AQ$1004,1,MATCH(COLUMNS($AB$1006:AH1006),$AB$1006:$AQ$1006,0)))),"Fix")))</f>
        <v>0</v>
      </c>
      <c r="I314" s="4">
        <f>IF(OR(INDEX($V$2:$V$1001,MATCH(ROWS($U$2:U314),$U$2:$U$1001,0),1)&gt;=100000,INDEX($AB$1005:$AQ$1005,1,MATCH(COLUMNS($AB$1006:AI1006),$AB$1006:$AQ$1006,0))&gt;=100000), " ",IF(INDEX($AB$2:$AQ$1001,MATCH(ROWS($U$2:U314),$U$2:$U$1001,0),MATCH(COLUMNS($AB$1006:AI1006),$AB$1006:$AQ$1006,0)), HYPERLINK("#",""), HYPERLINK(CONCATENATE("#metadata!", ADDRESS(INDEX($W$2:$W$1001,MATCH(ROWS($U$2:U314),$U$2:$U$1001,0),0), INDEX($AB$1004:$AQ$1004,1,MATCH(COLUMNS($AB$1006:AI1006),$AB$1006:$AQ$1006,0)))),"Fix")))</f>
        <v>0</v>
      </c>
      <c r="J314" s="4">
        <f>IF(OR(INDEX($V$2:$V$1001,MATCH(ROWS($U$2:U314),$U$2:$U$1001,0),1)&gt;=100000,INDEX($AB$1005:$AQ$1005,1,MATCH(COLUMNS($AB$1006:AJ1006),$AB$1006:$AQ$1006,0))&gt;=100000), " ",IF(INDEX($AB$2:$AQ$1001,MATCH(ROWS($U$2:U314),$U$2:$U$1001,0),MATCH(COLUMNS($AB$1006:AJ1006),$AB$1006:$AQ$1006,0)), HYPERLINK("#",""), HYPERLINK(CONCATENATE("#metadata!", ADDRESS(INDEX($W$2:$W$1001,MATCH(ROWS($U$2:U314),$U$2:$U$1001,0),0), INDEX($AB$1004:$AQ$1004,1,MATCH(COLUMNS($AB$1006:AJ1006),$AB$1006:$AQ$1006,0)))),"Fix")))</f>
        <v>0</v>
      </c>
      <c r="K314" s="4">
        <f>IF(OR(INDEX($V$2:$V$1001,MATCH(ROWS($U$2:U314),$U$2:$U$1001,0),1)&gt;=100000,INDEX($AB$1005:$AQ$1005,1,MATCH(COLUMNS($AB$1006:AK1006),$AB$1006:$AQ$1006,0))&gt;=100000), " ",IF(INDEX($AB$2:$AQ$1001,MATCH(ROWS($U$2:U314),$U$2:$U$1001,0),MATCH(COLUMNS($AB$1006:AK1006),$AB$1006:$AQ$1006,0)), HYPERLINK("#",""), HYPERLINK(CONCATENATE("#metadata!", ADDRESS(INDEX($W$2:$W$1001,MATCH(ROWS($U$2:U314),$U$2:$U$1001,0),0), INDEX($AB$1004:$AQ$1004,1,MATCH(COLUMNS($AB$1006:AK1006),$AB$1006:$AQ$1006,0)))),"Fix")))</f>
        <v>0</v>
      </c>
      <c r="L314" s="4">
        <f>IF(OR(INDEX($V$2:$V$1001,MATCH(ROWS($U$2:U314),$U$2:$U$1001,0),1)&gt;=100000,INDEX($AB$1005:$AQ$1005,1,MATCH(COLUMNS($AB$1006:AL1006),$AB$1006:$AQ$1006,0))&gt;=100000), " ",IF(INDEX($AB$2:$AQ$1001,MATCH(ROWS($U$2:U314),$U$2:$U$1001,0),MATCH(COLUMNS($AB$1006:AL1006),$AB$1006:$AQ$1006,0)), HYPERLINK("#",""), HYPERLINK(CONCATENATE("#metadata!", ADDRESS(INDEX($W$2:$W$1001,MATCH(ROWS($U$2:U314),$U$2:$U$1001,0),0), INDEX($AB$1004:$AQ$1004,1,MATCH(COLUMNS($AB$1006:AL1006),$AB$1006:$AQ$1006,0)))),"Fix")))</f>
        <v>0</v>
      </c>
      <c r="M314" s="4">
        <f>IF(OR(INDEX($V$2:$V$1001,MATCH(ROWS($U$2:U314),$U$2:$U$1001,0),1)&gt;=100000,INDEX($AB$1005:$AQ$1005,1,MATCH(COLUMNS($AB$1006:AM1006),$AB$1006:$AQ$1006,0))&gt;=100000), " ",IF(INDEX($AB$2:$AQ$1001,MATCH(ROWS($U$2:U314),$U$2:$U$1001,0),MATCH(COLUMNS($AB$1006:AM1006),$AB$1006:$AQ$1006,0)), HYPERLINK("#",""), HYPERLINK(CONCATENATE("#metadata!", ADDRESS(INDEX($W$2:$W$1001,MATCH(ROWS($U$2:U314),$U$2:$U$1001,0),0), INDEX($AB$1004:$AQ$1004,1,MATCH(COLUMNS($AB$1006:AM1006),$AB$1006:$AQ$1006,0)))),"Fix")))</f>
        <v>0</v>
      </c>
      <c r="N314" s="4">
        <f>IF(OR(INDEX($V$2:$V$1001,MATCH(ROWS($U$2:U314),$U$2:$U$1001,0),1)&gt;=100000,INDEX($AB$1005:$AQ$1005,1,MATCH(COLUMNS($AB$1006:AN1006),$AB$1006:$AQ$1006,0))&gt;=100000), " ",IF(INDEX($AB$2:$AQ$1001,MATCH(ROWS($U$2:U314),$U$2:$U$1001,0),MATCH(COLUMNS($AB$1006:AN1006),$AB$1006:$AQ$1006,0)), HYPERLINK("#",""), HYPERLINK(CONCATENATE("#metadata!", ADDRESS(INDEX($W$2:$W$1001,MATCH(ROWS($U$2:U314),$U$2:$U$1001,0),0), INDEX($AB$1004:$AQ$1004,1,MATCH(COLUMNS($AB$1006:AN1006),$AB$1006:$AQ$1006,0)))),"Fix")))</f>
        <v>0</v>
      </c>
      <c r="O314" s="4">
        <f>IF(OR(INDEX($V$2:$V$1001,MATCH(ROWS($U$2:U314),$U$2:$U$1001,0),1)&gt;=100000,INDEX($AB$1005:$AQ$1005,1,MATCH(COLUMNS($AB$1006:AO1006),$AB$1006:$AQ$1006,0))&gt;=100000), " ",IF(INDEX($AB$2:$AQ$1001,MATCH(ROWS($U$2:U314),$U$2:$U$1001,0),MATCH(COLUMNS($AB$1006:AO1006),$AB$1006:$AQ$1006,0)), HYPERLINK("#",""), HYPERLINK(CONCATENATE("#metadata!", ADDRESS(INDEX($W$2:$W$1001,MATCH(ROWS($U$2:U314),$U$2:$U$1001,0),0), INDEX($AB$1004:$AQ$1004,1,MATCH(COLUMNS($AB$1006:AO1006),$AB$1006:$AQ$1006,0)))),"Fix")))</f>
        <v>0</v>
      </c>
      <c r="P314" s="4">
        <f>IF(OR(INDEX($V$2:$V$1001,MATCH(ROWS($U$2:U314),$U$2:$U$1001,0),1)&gt;=100000,INDEX($AB$1005:$AQ$1005,1,MATCH(COLUMNS($AB$1006:AP1006),$AB$1006:$AQ$1006,0))&gt;=100000), " ",IF(INDEX($AB$2:$AQ$1001,MATCH(ROWS($U$2:U314),$U$2:$U$1001,0),MATCH(COLUMNS($AB$1006:AP1006),$AB$1006:$AQ$1006,0)), HYPERLINK("#",""), HYPERLINK(CONCATENATE("#metadata!", ADDRESS(INDEX($W$2:$W$1001,MATCH(ROWS($U$2:U314),$U$2:$U$1001,0),0), INDEX($AB$1004:$AQ$1004,1,MATCH(COLUMNS($AB$1006:AP1006),$AB$1006:$AQ$1006,0)))),"Fix")))</f>
        <v>0</v>
      </c>
      <c r="Q314" s="4">
        <f>IF(OR(INDEX($V$2:$V$1001,MATCH(ROWS($U$2:U314),$U$2:$U$1001,0),1)&gt;=100000,INDEX($AB$1005:$AQ$1005,1,MATCH(COLUMNS($AB$1006:AQ1006),$AB$1006:$AQ$1006,0))&gt;=100000), " ",IF(INDEX($AB$2:$AQ$1001,MATCH(ROWS($U$2:U314),$U$2:$U$1001,0),MATCH(COLUMNS($AB$1006:AQ1006),$AB$1006:$AQ$1006,0)), HYPERLINK("#",""), HYPERLINK(CONCATENATE("#metadata!", ADDRESS(INDEX($W$2:$W$1001,MATCH(ROWS($U$2:U314),$U$2:$U$1001,0),0), INDEX($AB$1004:$AQ$1004,1,MATCH(COLUMNS($AB$1006:AQ1006),$AB$1006:$AQ$1006,0)))),"Fix")))</f>
        <v>0</v>
      </c>
      <c r="U314">
        <v>0</v>
      </c>
      <c r="V314">
        <v>0</v>
      </c>
      <c r="W314">
        <v>0</v>
      </c>
      <c r="X314">
        <f>IF(Y314,TRUE,AND(AB314:AQ314))</f>
        <v>0</v>
      </c>
      <c r="Y314">
        <f>COUNTBLANK(metadata!B314:Q314)=COLUMNS(metadata!B314:Q314)</f>
        <v>0</v>
      </c>
      <c r="Z314">
        <v>0</v>
      </c>
      <c r="AB314">
        <f>AND(IF(metadata!B314="",FALSE,TRUE),COUNTIF(metadata!B:B, metadata!B314) = 1,NOT(ISERROR(SUMPRODUCT(SEARCH(MID(metadata!B314,ROW(INDIRECT("1:"&amp;LEN(metadata!B314))), 1),"0123456789abcdefghijklmnopqrstuvwxyzABCDEFGHIJKLMNOPQRSTUVWXYZ.")))))</f>
        <v>0</v>
      </c>
      <c r="AC314">
        <f>OR(AND(IF(metadata!C314="",FALSE,TRUE),OR(exact(metadata!C314,"missing: not collected"),exact(metadata!C314,"missing: not provided"),exact(metadata!C314,"missing: restricted access"))),AND(IF(metadata!C314="",FALSE,TRUE),AND(AND(IFERROR(INT(LEFT(metadata!C314,4))&gt;1900,FALSE),IFERROR(INT(LEFT(metadata!C314,4))&lt;=YEAR(NOW()),FALSE)), OR(MID(metadata!C314,5,1)="", AND(AND(MID(metadata!C314,5,1)="-",IFERROR(INT(MID(metadata!C314,6,1))&gt;=0,FALSE),IFERROR(INT(MID(metadata!C314,6,1))&lt;=1,FALSE),NOT(MID(metadata!C314,7,1)=""),IFERROR(INT(MID(metadata!C314,6,2))&gt;=1,FALSE),IFERROR(INT(MID(metadata!C314,6,2))&lt;=12,FALSE)), OR(MID(metadata!C314,8,1)="", AND(AND(MID(metadata!C314,8,1)="-",IFERROR(INT(MID(metadata!C314,9,1))&gt;=0,FALSE),IFERROR(INT(MID(metadata!C314,9,1))&lt;=3,FALSE),NOT(MID(metadata!C314,10,1)=""),IFERROR(INT(MID(metadata!C314,9,2))&gt;=1,FALSE),IFERROR(INT(MID(metadata!C314,9,2))&lt;=31,FALSE)), OR(MID(metadata!C314,11,1)="", AND(AND(MID(metadata!C314,11,1)=" ",IFERROR(INT(MID(metadata!C314,12,1))&gt;=0,FALSE),IFERROR(INT(MID(metadata!C314,12,1))&lt;=2,FALSE),NOT(MID(metadata!C314,13,1)=""),IFERROR(INT(MID(metadata!C314,12,2))&gt;=0,FALSE),IFERROR(INT(MID(metadata!C314,12,2))&lt;=23,FALSE)), OR(MID(metadata!C314,14,1)="", AND(AND(MID(metadata!C314,14,1)=":",IFERROR(INT(MID(metadata!C314,15,1))&gt;=0,FALSE),IFERROR(INT(MID(metadata!C314,15,1))&lt;=5,FALSE),NOT(MID(metadata!C314,16,1)=""),IFERROR(INT(MID(metadata!C314,15,2))&gt;=0,FALSE),IFERROR(INT(MID(metadata!C314,15,2))&lt;=59,FALSE)), OR(MID(metadata!C314,17,1)="", AND(AND(MID(metadata!C314,17,1)=":",IFERROR(INT(MID(metadata!C314,18,1))&gt;=0,FALSE),IFERROR(INT(MID(metadata!C314,18,1))&lt;=5,FALSE),NOT(MID(metadata!C314,19,1)=""),IFERROR(INT(MID(metadata!C314,18,2))&gt;=0,FALSE),IFERROR(INT(MID(metadata!C314,18,2))&lt;=59,FALSE)), LEN(metadata!C314)&lt;=19)))))))))))))</f>
        <v>0</v>
      </c>
      <c r="AD314">
        <f>IF(metadata!D314="",FALSE,TRUE)</f>
        <v>0</v>
      </c>
      <c r="AE314">
        <f>OR(AND(IF(metadata!E314="",FALSE,TRUE),OR(exact(metadata!E314,"missing: not collected"),exact(metadata!E314,"missing: not provided"))),AND(IF(metadata!E314="",FALSE,TRUE),OR(exact(metadata!E314,"TRUE"),exact(metadata!E314,"FALSE"))))</f>
        <v>0</v>
      </c>
      <c r="AF314">
        <f>IF(metadata!F314="",FALSE,TRUE)</f>
        <v>0</v>
      </c>
      <c r="AG314">
        <f>IF(metadata!G314="",FALSE,TRUE)</f>
        <v>0</v>
      </c>
      <c r="AH314">
        <f>IF(metadata!H314="",FALSE,TRUE)</f>
        <v>0</v>
      </c>
      <c r="AI314">
        <f>OR(AND(IF(metadata!I314="",FALSE,TRUE),OR(exact(metadata!I314,"missing: not collected"),exact(metadata!I314,"missing: not provided"),exact(metadata!I314,"missing: restricted access"))),AND(IF(metadata!I314="",FALSE,TRUE),OR(exact(metadata!I314,"air"),exact(metadata!I314,"built environment"),exact(metadata!I314,"host-associated"),exact(metadata!I314,"human-associated"),exact(metadata!I314,"human-skin"),exact(metadata!I314,"human-oral"),exact(metadata!I314,"human-gut"),exact(metadata!I314,"human-vaginal"),exact(metadata!I314,"microbial mat/biofilm"),exact(metadata!I314,"misc environment"),exact(metadata!I314,"plant-associated"),exact(metadata!I314,"sediment"),exact(metadata!I314,"soil"),exact(metadata!I314,"wastewater/sludge"),exact(metadata!I314,"water"))))</f>
        <v>0</v>
      </c>
      <c r="AJ314">
        <f>IF(metadata!J314="",FALSE,TRUE)</f>
        <v>0</v>
      </c>
      <c r="AK314">
        <f>OR(AND(IF(metadata!K314="",FALSE,TRUE),OR(exact(metadata!K314,"missing: not collected"),exact(metadata!K314,"missing: not provided"),exact(metadata!K314,"missing: restricted access"))),AND(IF(metadata!K314="",FALSE,ISNUMBER(VALUE(metadata!K314))),metadata!K314&gt;=-90.00,metadata!K314&lt;=90.00))</f>
        <v>0</v>
      </c>
      <c r="AL314">
        <f>OR(AND(IF(metadata!L314="",FALSE,TRUE),OR(exact(metadata!L314,"missing: not collected"),exact(metadata!L314,"missing: not provided"),exact(metadata!L314,"missing: restricted access"))),AND(IF(metadata!L314="",FALSE,ISNUMBER(VALUE(metadata!L314))),metadata!L314&gt;=-180.00,metadata!L314&lt;=180.00))</f>
        <v>0</v>
      </c>
      <c r="AM314">
        <f>IF(metadata!M314="",FALSE,TRUE)</f>
        <v>0</v>
      </c>
      <c r="AN314">
        <f>OR(AND(IF(metadata!N314="",FALSE,TRUE),OR(exact(metadata!N314,"missing: not collected"),exact(metadata!N314,"missing: not provided"),exact(metadata!N314,"missing: restricted access"))),AND(IF(metadata!N314="",FALSE,TRUE),OR(exact(metadata!N314,"TRUE"),exact(metadata!N314,"FALSE"))))</f>
        <v>0</v>
      </c>
      <c r="AO314">
        <f>IF(metadata!O314="",FALSE,TRUE)</f>
        <v>0</v>
      </c>
      <c r="AP314">
        <f>OR(AND(IF(metadata!P314="",FALSE,TRUE),OR(exact(metadata!P314,"missing: not collected"),exact(metadata!P314,"missing: not provided"))),AND(IF(metadata!P314="",FALSE,IF(ISERROR(INT(metadata!P314)),FALSE,INT(metadata!P314)=metadata!P314)),metadata!P314&gt;0))</f>
        <v>0</v>
      </c>
      <c r="AQ314">
        <f>IF(metadata!Q314="",FALSE,TRUE)</f>
        <v>0</v>
      </c>
    </row>
    <row r="315" spans="1:43">
      <c r="A315" s="5">
        <f>IF(B315=" "," ",HYPERLINK(CONCATENATE("#metadata!",ADDRESS(INDEX($W$2:$W$1001,MATCH(ROWS($U$2:U315),$U$2:$U$1001,0),0),1)),INDEX($Z$2:$Z$1001,MATCH(ROWS($U$2:U315),$U$2:$U$1001,0),0)))</f>
        <v>0</v>
      </c>
      <c r="B315" s="4">
        <f>IF(OR(INDEX($V$2:$V$1001,MATCH(ROWS($U$2:U315),$U$2:$U$1001,0),1)&gt;=100000,INDEX($AB$1005:$AQ$1005,1,MATCH(COLUMNS($AB$1006:AB1006),$AB$1006:$AQ$1006,0))&gt;=100000), " ",IF(INDEX($AB$2:$AQ$1001,MATCH(ROWS($U$2:U315),$U$2:$U$1001,0),MATCH(COLUMNS($AB$1006:AB1006),$AB$1006:$AQ$1006,0)), HYPERLINK("#",""), HYPERLINK(CONCATENATE("#metadata!", ADDRESS(INDEX($W$2:$W$1001,MATCH(ROWS($U$2:U315),$U$2:$U$1001,0),0), INDEX($AB$1004:$AQ$1004,1,MATCH(COLUMNS($AB$1006:AB1006),$AB$1006:$AQ$1006,0)))),"Fix")))</f>
        <v>0</v>
      </c>
      <c r="C315" s="4">
        <f>IF(OR(INDEX($V$2:$V$1001,MATCH(ROWS($U$2:U315),$U$2:$U$1001,0),1)&gt;=100000,INDEX($AB$1005:$AQ$1005,1,MATCH(COLUMNS($AB$1006:AC1006),$AB$1006:$AQ$1006,0))&gt;=100000), " ",IF(INDEX($AB$2:$AQ$1001,MATCH(ROWS($U$2:U315),$U$2:$U$1001,0),MATCH(COLUMNS($AB$1006:AC1006),$AB$1006:$AQ$1006,0)), HYPERLINK("#",""), HYPERLINK(CONCATENATE("#metadata!", ADDRESS(INDEX($W$2:$W$1001,MATCH(ROWS($U$2:U315),$U$2:$U$1001,0),0), INDEX($AB$1004:$AQ$1004,1,MATCH(COLUMNS($AB$1006:AC1006),$AB$1006:$AQ$1006,0)))),"Fix")))</f>
        <v>0</v>
      </c>
      <c r="D315" s="4">
        <f>IF(OR(INDEX($V$2:$V$1001,MATCH(ROWS($U$2:U315),$U$2:$U$1001,0),1)&gt;=100000,INDEX($AB$1005:$AQ$1005,1,MATCH(COLUMNS($AB$1006:AD1006),$AB$1006:$AQ$1006,0))&gt;=100000), " ",IF(INDEX($AB$2:$AQ$1001,MATCH(ROWS($U$2:U315),$U$2:$U$1001,0),MATCH(COLUMNS($AB$1006:AD1006),$AB$1006:$AQ$1006,0)), HYPERLINK("#",""), HYPERLINK(CONCATENATE("#metadata!", ADDRESS(INDEX($W$2:$W$1001,MATCH(ROWS($U$2:U315),$U$2:$U$1001,0),0), INDEX($AB$1004:$AQ$1004,1,MATCH(COLUMNS($AB$1006:AD1006),$AB$1006:$AQ$1006,0)))),"Fix")))</f>
        <v>0</v>
      </c>
      <c r="E315" s="4">
        <f>IF(OR(INDEX($V$2:$V$1001,MATCH(ROWS($U$2:U315),$U$2:$U$1001,0),1)&gt;=100000,INDEX($AB$1005:$AQ$1005,1,MATCH(COLUMNS($AB$1006:AE1006),$AB$1006:$AQ$1006,0))&gt;=100000), " ",IF(INDEX($AB$2:$AQ$1001,MATCH(ROWS($U$2:U315),$U$2:$U$1001,0),MATCH(COLUMNS($AB$1006:AE1006),$AB$1006:$AQ$1006,0)), HYPERLINK("#",""), HYPERLINK(CONCATENATE("#metadata!", ADDRESS(INDEX($W$2:$W$1001,MATCH(ROWS($U$2:U315),$U$2:$U$1001,0),0), INDEX($AB$1004:$AQ$1004,1,MATCH(COLUMNS($AB$1006:AE1006),$AB$1006:$AQ$1006,0)))),"Fix")))</f>
        <v>0</v>
      </c>
      <c r="F315" s="4">
        <f>IF(OR(INDEX($V$2:$V$1001,MATCH(ROWS($U$2:U315),$U$2:$U$1001,0),1)&gt;=100000,INDEX($AB$1005:$AQ$1005,1,MATCH(COLUMNS($AB$1006:AF1006),$AB$1006:$AQ$1006,0))&gt;=100000), " ",IF(INDEX($AB$2:$AQ$1001,MATCH(ROWS($U$2:U315),$U$2:$U$1001,0),MATCH(COLUMNS($AB$1006:AF1006),$AB$1006:$AQ$1006,0)), HYPERLINK("#",""), HYPERLINK(CONCATENATE("#metadata!", ADDRESS(INDEX($W$2:$W$1001,MATCH(ROWS($U$2:U315),$U$2:$U$1001,0),0), INDEX($AB$1004:$AQ$1004,1,MATCH(COLUMNS($AB$1006:AF1006),$AB$1006:$AQ$1006,0)))),"Fix")))</f>
        <v>0</v>
      </c>
      <c r="G315" s="4">
        <f>IF(OR(INDEX($V$2:$V$1001,MATCH(ROWS($U$2:U315),$U$2:$U$1001,0),1)&gt;=100000,INDEX($AB$1005:$AQ$1005,1,MATCH(COLUMNS($AB$1006:AG1006),$AB$1006:$AQ$1006,0))&gt;=100000), " ",IF(INDEX($AB$2:$AQ$1001,MATCH(ROWS($U$2:U315),$U$2:$U$1001,0),MATCH(COLUMNS($AB$1006:AG1006),$AB$1006:$AQ$1006,0)), HYPERLINK("#",""), HYPERLINK(CONCATENATE("#metadata!", ADDRESS(INDEX($W$2:$W$1001,MATCH(ROWS($U$2:U315),$U$2:$U$1001,0),0), INDEX($AB$1004:$AQ$1004,1,MATCH(COLUMNS($AB$1006:AG1006),$AB$1006:$AQ$1006,0)))),"Fix")))</f>
        <v>0</v>
      </c>
      <c r="H315" s="4">
        <f>IF(OR(INDEX($V$2:$V$1001,MATCH(ROWS($U$2:U315),$U$2:$U$1001,0),1)&gt;=100000,INDEX($AB$1005:$AQ$1005,1,MATCH(COLUMNS($AB$1006:AH1006),$AB$1006:$AQ$1006,0))&gt;=100000), " ",IF(INDEX($AB$2:$AQ$1001,MATCH(ROWS($U$2:U315),$U$2:$U$1001,0),MATCH(COLUMNS($AB$1006:AH1006),$AB$1006:$AQ$1006,0)), HYPERLINK("#",""), HYPERLINK(CONCATENATE("#metadata!", ADDRESS(INDEX($W$2:$W$1001,MATCH(ROWS($U$2:U315),$U$2:$U$1001,0),0), INDEX($AB$1004:$AQ$1004,1,MATCH(COLUMNS($AB$1006:AH1006),$AB$1006:$AQ$1006,0)))),"Fix")))</f>
        <v>0</v>
      </c>
      <c r="I315" s="4">
        <f>IF(OR(INDEX($V$2:$V$1001,MATCH(ROWS($U$2:U315),$U$2:$U$1001,0),1)&gt;=100000,INDEX($AB$1005:$AQ$1005,1,MATCH(COLUMNS($AB$1006:AI1006),$AB$1006:$AQ$1006,0))&gt;=100000), " ",IF(INDEX($AB$2:$AQ$1001,MATCH(ROWS($U$2:U315),$U$2:$U$1001,0),MATCH(COLUMNS($AB$1006:AI1006),$AB$1006:$AQ$1006,0)), HYPERLINK("#",""), HYPERLINK(CONCATENATE("#metadata!", ADDRESS(INDEX($W$2:$W$1001,MATCH(ROWS($U$2:U315),$U$2:$U$1001,0),0), INDEX($AB$1004:$AQ$1004,1,MATCH(COLUMNS($AB$1006:AI1006),$AB$1006:$AQ$1006,0)))),"Fix")))</f>
        <v>0</v>
      </c>
      <c r="J315" s="4">
        <f>IF(OR(INDEX($V$2:$V$1001,MATCH(ROWS($U$2:U315),$U$2:$U$1001,0),1)&gt;=100000,INDEX($AB$1005:$AQ$1005,1,MATCH(COLUMNS($AB$1006:AJ1006),$AB$1006:$AQ$1006,0))&gt;=100000), " ",IF(INDEX($AB$2:$AQ$1001,MATCH(ROWS($U$2:U315),$U$2:$U$1001,0),MATCH(COLUMNS($AB$1006:AJ1006),$AB$1006:$AQ$1006,0)), HYPERLINK("#",""), HYPERLINK(CONCATENATE("#metadata!", ADDRESS(INDEX($W$2:$W$1001,MATCH(ROWS($U$2:U315),$U$2:$U$1001,0),0), INDEX($AB$1004:$AQ$1004,1,MATCH(COLUMNS($AB$1006:AJ1006),$AB$1006:$AQ$1006,0)))),"Fix")))</f>
        <v>0</v>
      </c>
      <c r="K315" s="4">
        <f>IF(OR(INDEX($V$2:$V$1001,MATCH(ROWS($U$2:U315),$U$2:$U$1001,0),1)&gt;=100000,INDEX($AB$1005:$AQ$1005,1,MATCH(COLUMNS($AB$1006:AK1006),$AB$1006:$AQ$1006,0))&gt;=100000), " ",IF(INDEX($AB$2:$AQ$1001,MATCH(ROWS($U$2:U315),$U$2:$U$1001,0),MATCH(COLUMNS($AB$1006:AK1006),$AB$1006:$AQ$1006,0)), HYPERLINK("#",""), HYPERLINK(CONCATENATE("#metadata!", ADDRESS(INDEX($W$2:$W$1001,MATCH(ROWS($U$2:U315),$U$2:$U$1001,0),0), INDEX($AB$1004:$AQ$1004,1,MATCH(COLUMNS($AB$1006:AK1006),$AB$1006:$AQ$1006,0)))),"Fix")))</f>
        <v>0</v>
      </c>
      <c r="L315" s="4">
        <f>IF(OR(INDEX($V$2:$V$1001,MATCH(ROWS($U$2:U315),$U$2:$U$1001,0),1)&gt;=100000,INDEX($AB$1005:$AQ$1005,1,MATCH(COLUMNS($AB$1006:AL1006),$AB$1006:$AQ$1006,0))&gt;=100000), " ",IF(INDEX($AB$2:$AQ$1001,MATCH(ROWS($U$2:U315),$U$2:$U$1001,0),MATCH(COLUMNS($AB$1006:AL1006),$AB$1006:$AQ$1006,0)), HYPERLINK("#",""), HYPERLINK(CONCATENATE("#metadata!", ADDRESS(INDEX($W$2:$W$1001,MATCH(ROWS($U$2:U315),$U$2:$U$1001,0),0), INDEX($AB$1004:$AQ$1004,1,MATCH(COLUMNS($AB$1006:AL1006),$AB$1006:$AQ$1006,0)))),"Fix")))</f>
        <v>0</v>
      </c>
      <c r="M315" s="4">
        <f>IF(OR(INDEX($V$2:$V$1001,MATCH(ROWS($U$2:U315),$U$2:$U$1001,0),1)&gt;=100000,INDEX($AB$1005:$AQ$1005,1,MATCH(COLUMNS($AB$1006:AM1006),$AB$1006:$AQ$1006,0))&gt;=100000), " ",IF(INDEX($AB$2:$AQ$1001,MATCH(ROWS($U$2:U315),$U$2:$U$1001,0),MATCH(COLUMNS($AB$1006:AM1006),$AB$1006:$AQ$1006,0)), HYPERLINK("#",""), HYPERLINK(CONCATENATE("#metadata!", ADDRESS(INDEX($W$2:$W$1001,MATCH(ROWS($U$2:U315),$U$2:$U$1001,0),0), INDEX($AB$1004:$AQ$1004,1,MATCH(COLUMNS($AB$1006:AM1006),$AB$1006:$AQ$1006,0)))),"Fix")))</f>
        <v>0</v>
      </c>
      <c r="N315" s="4">
        <f>IF(OR(INDEX($V$2:$V$1001,MATCH(ROWS($U$2:U315),$U$2:$U$1001,0),1)&gt;=100000,INDEX($AB$1005:$AQ$1005,1,MATCH(COLUMNS($AB$1006:AN1006),$AB$1006:$AQ$1006,0))&gt;=100000), " ",IF(INDEX($AB$2:$AQ$1001,MATCH(ROWS($U$2:U315),$U$2:$U$1001,0),MATCH(COLUMNS($AB$1006:AN1006),$AB$1006:$AQ$1006,0)), HYPERLINK("#",""), HYPERLINK(CONCATENATE("#metadata!", ADDRESS(INDEX($W$2:$W$1001,MATCH(ROWS($U$2:U315),$U$2:$U$1001,0),0), INDEX($AB$1004:$AQ$1004,1,MATCH(COLUMNS($AB$1006:AN1006),$AB$1006:$AQ$1006,0)))),"Fix")))</f>
        <v>0</v>
      </c>
      <c r="O315" s="4">
        <f>IF(OR(INDEX($V$2:$V$1001,MATCH(ROWS($U$2:U315),$U$2:$U$1001,0),1)&gt;=100000,INDEX($AB$1005:$AQ$1005,1,MATCH(COLUMNS($AB$1006:AO1006),$AB$1006:$AQ$1006,0))&gt;=100000), " ",IF(INDEX($AB$2:$AQ$1001,MATCH(ROWS($U$2:U315),$U$2:$U$1001,0),MATCH(COLUMNS($AB$1006:AO1006),$AB$1006:$AQ$1006,0)), HYPERLINK("#",""), HYPERLINK(CONCATENATE("#metadata!", ADDRESS(INDEX($W$2:$W$1001,MATCH(ROWS($U$2:U315),$U$2:$U$1001,0),0), INDEX($AB$1004:$AQ$1004,1,MATCH(COLUMNS($AB$1006:AO1006),$AB$1006:$AQ$1006,0)))),"Fix")))</f>
        <v>0</v>
      </c>
      <c r="P315" s="4">
        <f>IF(OR(INDEX($V$2:$V$1001,MATCH(ROWS($U$2:U315),$U$2:$U$1001,0),1)&gt;=100000,INDEX($AB$1005:$AQ$1005,1,MATCH(COLUMNS($AB$1006:AP1006),$AB$1006:$AQ$1006,0))&gt;=100000), " ",IF(INDEX($AB$2:$AQ$1001,MATCH(ROWS($U$2:U315),$U$2:$U$1001,0),MATCH(COLUMNS($AB$1006:AP1006),$AB$1006:$AQ$1006,0)), HYPERLINK("#",""), HYPERLINK(CONCATENATE("#metadata!", ADDRESS(INDEX($W$2:$W$1001,MATCH(ROWS($U$2:U315),$U$2:$U$1001,0),0), INDEX($AB$1004:$AQ$1004,1,MATCH(COLUMNS($AB$1006:AP1006),$AB$1006:$AQ$1006,0)))),"Fix")))</f>
        <v>0</v>
      </c>
      <c r="Q315" s="4">
        <f>IF(OR(INDEX($V$2:$V$1001,MATCH(ROWS($U$2:U315),$U$2:$U$1001,0),1)&gt;=100000,INDEX($AB$1005:$AQ$1005,1,MATCH(COLUMNS($AB$1006:AQ1006),$AB$1006:$AQ$1006,0))&gt;=100000), " ",IF(INDEX($AB$2:$AQ$1001,MATCH(ROWS($U$2:U315),$U$2:$U$1001,0),MATCH(COLUMNS($AB$1006:AQ1006),$AB$1006:$AQ$1006,0)), HYPERLINK("#",""), HYPERLINK(CONCATENATE("#metadata!", ADDRESS(INDEX($W$2:$W$1001,MATCH(ROWS($U$2:U315),$U$2:$U$1001,0),0), INDEX($AB$1004:$AQ$1004,1,MATCH(COLUMNS($AB$1006:AQ1006),$AB$1006:$AQ$1006,0)))),"Fix")))</f>
        <v>0</v>
      </c>
      <c r="U315">
        <v>0</v>
      </c>
      <c r="V315">
        <v>0</v>
      </c>
      <c r="W315">
        <v>0</v>
      </c>
      <c r="X315">
        <f>IF(Y315,TRUE,AND(AB315:AQ315))</f>
        <v>0</v>
      </c>
      <c r="Y315">
        <f>COUNTBLANK(metadata!B315:Q315)=COLUMNS(metadata!B315:Q315)</f>
        <v>0</v>
      </c>
      <c r="Z315">
        <v>0</v>
      </c>
      <c r="AB315">
        <f>AND(IF(metadata!B315="",FALSE,TRUE),COUNTIF(metadata!B:B, metadata!B315) = 1,NOT(ISERROR(SUMPRODUCT(SEARCH(MID(metadata!B315,ROW(INDIRECT("1:"&amp;LEN(metadata!B315))), 1),"0123456789abcdefghijklmnopqrstuvwxyzABCDEFGHIJKLMNOPQRSTUVWXYZ.")))))</f>
        <v>0</v>
      </c>
      <c r="AC315">
        <f>OR(AND(IF(metadata!C315="",FALSE,TRUE),OR(exact(metadata!C315,"missing: not collected"),exact(metadata!C315,"missing: not provided"),exact(metadata!C315,"missing: restricted access"))),AND(IF(metadata!C315="",FALSE,TRUE),AND(AND(IFERROR(INT(LEFT(metadata!C315,4))&gt;1900,FALSE),IFERROR(INT(LEFT(metadata!C315,4))&lt;=YEAR(NOW()),FALSE)), OR(MID(metadata!C315,5,1)="", AND(AND(MID(metadata!C315,5,1)="-",IFERROR(INT(MID(metadata!C315,6,1))&gt;=0,FALSE),IFERROR(INT(MID(metadata!C315,6,1))&lt;=1,FALSE),NOT(MID(metadata!C315,7,1)=""),IFERROR(INT(MID(metadata!C315,6,2))&gt;=1,FALSE),IFERROR(INT(MID(metadata!C315,6,2))&lt;=12,FALSE)), OR(MID(metadata!C315,8,1)="", AND(AND(MID(metadata!C315,8,1)="-",IFERROR(INT(MID(metadata!C315,9,1))&gt;=0,FALSE),IFERROR(INT(MID(metadata!C315,9,1))&lt;=3,FALSE),NOT(MID(metadata!C315,10,1)=""),IFERROR(INT(MID(metadata!C315,9,2))&gt;=1,FALSE),IFERROR(INT(MID(metadata!C315,9,2))&lt;=31,FALSE)), OR(MID(metadata!C315,11,1)="", AND(AND(MID(metadata!C315,11,1)=" ",IFERROR(INT(MID(metadata!C315,12,1))&gt;=0,FALSE),IFERROR(INT(MID(metadata!C315,12,1))&lt;=2,FALSE),NOT(MID(metadata!C315,13,1)=""),IFERROR(INT(MID(metadata!C315,12,2))&gt;=0,FALSE),IFERROR(INT(MID(metadata!C315,12,2))&lt;=23,FALSE)), OR(MID(metadata!C315,14,1)="", AND(AND(MID(metadata!C315,14,1)=":",IFERROR(INT(MID(metadata!C315,15,1))&gt;=0,FALSE),IFERROR(INT(MID(metadata!C315,15,1))&lt;=5,FALSE),NOT(MID(metadata!C315,16,1)=""),IFERROR(INT(MID(metadata!C315,15,2))&gt;=0,FALSE),IFERROR(INT(MID(metadata!C315,15,2))&lt;=59,FALSE)), OR(MID(metadata!C315,17,1)="", AND(AND(MID(metadata!C315,17,1)=":",IFERROR(INT(MID(metadata!C315,18,1))&gt;=0,FALSE),IFERROR(INT(MID(metadata!C315,18,1))&lt;=5,FALSE),NOT(MID(metadata!C315,19,1)=""),IFERROR(INT(MID(metadata!C315,18,2))&gt;=0,FALSE),IFERROR(INT(MID(metadata!C315,18,2))&lt;=59,FALSE)), LEN(metadata!C315)&lt;=19)))))))))))))</f>
        <v>0</v>
      </c>
      <c r="AD315">
        <f>IF(metadata!D315="",FALSE,TRUE)</f>
        <v>0</v>
      </c>
      <c r="AE315">
        <f>OR(AND(IF(metadata!E315="",FALSE,TRUE),OR(exact(metadata!E315,"missing: not collected"),exact(metadata!E315,"missing: not provided"))),AND(IF(metadata!E315="",FALSE,TRUE),OR(exact(metadata!E315,"TRUE"),exact(metadata!E315,"FALSE"))))</f>
        <v>0</v>
      </c>
      <c r="AF315">
        <f>IF(metadata!F315="",FALSE,TRUE)</f>
        <v>0</v>
      </c>
      <c r="AG315">
        <f>IF(metadata!G315="",FALSE,TRUE)</f>
        <v>0</v>
      </c>
      <c r="AH315">
        <f>IF(metadata!H315="",FALSE,TRUE)</f>
        <v>0</v>
      </c>
      <c r="AI315">
        <f>OR(AND(IF(metadata!I315="",FALSE,TRUE),OR(exact(metadata!I315,"missing: not collected"),exact(metadata!I315,"missing: not provided"),exact(metadata!I315,"missing: restricted access"))),AND(IF(metadata!I315="",FALSE,TRUE),OR(exact(metadata!I315,"air"),exact(metadata!I315,"built environment"),exact(metadata!I315,"host-associated"),exact(metadata!I315,"human-associated"),exact(metadata!I315,"human-skin"),exact(metadata!I315,"human-oral"),exact(metadata!I315,"human-gut"),exact(metadata!I315,"human-vaginal"),exact(metadata!I315,"microbial mat/biofilm"),exact(metadata!I315,"misc environment"),exact(metadata!I315,"plant-associated"),exact(metadata!I315,"sediment"),exact(metadata!I315,"soil"),exact(metadata!I315,"wastewater/sludge"),exact(metadata!I315,"water"))))</f>
        <v>0</v>
      </c>
      <c r="AJ315">
        <f>IF(metadata!J315="",FALSE,TRUE)</f>
        <v>0</v>
      </c>
      <c r="AK315">
        <f>OR(AND(IF(metadata!K315="",FALSE,TRUE),OR(exact(metadata!K315,"missing: not collected"),exact(metadata!K315,"missing: not provided"),exact(metadata!K315,"missing: restricted access"))),AND(IF(metadata!K315="",FALSE,ISNUMBER(VALUE(metadata!K315))),metadata!K315&gt;=-90.00,metadata!K315&lt;=90.00))</f>
        <v>0</v>
      </c>
      <c r="AL315">
        <f>OR(AND(IF(metadata!L315="",FALSE,TRUE),OR(exact(metadata!L315,"missing: not collected"),exact(metadata!L315,"missing: not provided"),exact(metadata!L315,"missing: restricted access"))),AND(IF(metadata!L315="",FALSE,ISNUMBER(VALUE(metadata!L315))),metadata!L315&gt;=-180.00,metadata!L315&lt;=180.00))</f>
        <v>0</v>
      </c>
      <c r="AM315">
        <f>IF(metadata!M315="",FALSE,TRUE)</f>
        <v>0</v>
      </c>
      <c r="AN315">
        <f>OR(AND(IF(metadata!N315="",FALSE,TRUE),OR(exact(metadata!N315,"missing: not collected"),exact(metadata!N315,"missing: not provided"),exact(metadata!N315,"missing: restricted access"))),AND(IF(metadata!N315="",FALSE,TRUE),OR(exact(metadata!N315,"TRUE"),exact(metadata!N315,"FALSE"))))</f>
        <v>0</v>
      </c>
      <c r="AO315">
        <f>IF(metadata!O315="",FALSE,TRUE)</f>
        <v>0</v>
      </c>
      <c r="AP315">
        <f>OR(AND(IF(metadata!P315="",FALSE,TRUE),OR(exact(metadata!P315,"missing: not collected"),exact(metadata!P315,"missing: not provided"))),AND(IF(metadata!P315="",FALSE,IF(ISERROR(INT(metadata!P315)),FALSE,INT(metadata!P315)=metadata!P315)),metadata!P315&gt;0))</f>
        <v>0</v>
      </c>
      <c r="AQ315">
        <f>IF(metadata!Q315="",FALSE,TRUE)</f>
        <v>0</v>
      </c>
    </row>
    <row r="316" spans="1:43">
      <c r="A316" s="5">
        <f>IF(B316=" "," ",HYPERLINK(CONCATENATE("#metadata!",ADDRESS(INDEX($W$2:$W$1001,MATCH(ROWS($U$2:U316),$U$2:$U$1001,0),0),1)),INDEX($Z$2:$Z$1001,MATCH(ROWS($U$2:U316),$U$2:$U$1001,0),0)))</f>
        <v>0</v>
      </c>
      <c r="B316" s="4">
        <f>IF(OR(INDEX($V$2:$V$1001,MATCH(ROWS($U$2:U316),$U$2:$U$1001,0),1)&gt;=100000,INDEX($AB$1005:$AQ$1005,1,MATCH(COLUMNS($AB$1006:AB1006),$AB$1006:$AQ$1006,0))&gt;=100000), " ",IF(INDEX($AB$2:$AQ$1001,MATCH(ROWS($U$2:U316),$U$2:$U$1001,0),MATCH(COLUMNS($AB$1006:AB1006),$AB$1006:$AQ$1006,0)), HYPERLINK("#",""), HYPERLINK(CONCATENATE("#metadata!", ADDRESS(INDEX($W$2:$W$1001,MATCH(ROWS($U$2:U316),$U$2:$U$1001,0),0), INDEX($AB$1004:$AQ$1004,1,MATCH(COLUMNS($AB$1006:AB1006),$AB$1006:$AQ$1006,0)))),"Fix")))</f>
        <v>0</v>
      </c>
      <c r="C316" s="4">
        <f>IF(OR(INDEX($V$2:$V$1001,MATCH(ROWS($U$2:U316),$U$2:$U$1001,0),1)&gt;=100000,INDEX($AB$1005:$AQ$1005,1,MATCH(COLUMNS($AB$1006:AC1006),$AB$1006:$AQ$1006,0))&gt;=100000), " ",IF(INDEX($AB$2:$AQ$1001,MATCH(ROWS($U$2:U316),$U$2:$U$1001,0),MATCH(COLUMNS($AB$1006:AC1006),$AB$1006:$AQ$1006,0)), HYPERLINK("#",""), HYPERLINK(CONCATENATE("#metadata!", ADDRESS(INDEX($W$2:$W$1001,MATCH(ROWS($U$2:U316),$U$2:$U$1001,0),0), INDEX($AB$1004:$AQ$1004,1,MATCH(COLUMNS($AB$1006:AC1006),$AB$1006:$AQ$1006,0)))),"Fix")))</f>
        <v>0</v>
      </c>
      <c r="D316" s="4">
        <f>IF(OR(INDEX($V$2:$V$1001,MATCH(ROWS($U$2:U316),$U$2:$U$1001,0),1)&gt;=100000,INDEX($AB$1005:$AQ$1005,1,MATCH(COLUMNS($AB$1006:AD1006),$AB$1006:$AQ$1006,0))&gt;=100000), " ",IF(INDEX($AB$2:$AQ$1001,MATCH(ROWS($U$2:U316),$U$2:$U$1001,0),MATCH(COLUMNS($AB$1006:AD1006),$AB$1006:$AQ$1006,0)), HYPERLINK("#",""), HYPERLINK(CONCATENATE("#metadata!", ADDRESS(INDEX($W$2:$W$1001,MATCH(ROWS($U$2:U316),$U$2:$U$1001,0),0), INDEX($AB$1004:$AQ$1004,1,MATCH(COLUMNS($AB$1006:AD1006),$AB$1006:$AQ$1006,0)))),"Fix")))</f>
        <v>0</v>
      </c>
      <c r="E316" s="4">
        <f>IF(OR(INDEX($V$2:$V$1001,MATCH(ROWS($U$2:U316),$U$2:$U$1001,0),1)&gt;=100000,INDEX($AB$1005:$AQ$1005,1,MATCH(COLUMNS($AB$1006:AE1006),$AB$1006:$AQ$1006,0))&gt;=100000), " ",IF(INDEX($AB$2:$AQ$1001,MATCH(ROWS($U$2:U316),$U$2:$U$1001,0),MATCH(COLUMNS($AB$1006:AE1006),$AB$1006:$AQ$1006,0)), HYPERLINK("#",""), HYPERLINK(CONCATENATE("#metadata!", ADDRESS(INDEX($W$2:$W$1001,MATCH(ROWS($U$2:U316),$U$2:$U$1001,0),0), INDEX($AB$1004:$AQ$1004,1,MATCH(COLUMNS($AB$1006:AE1006),$AB$1006:$AQ$1006,0)))),"Fix")))</f>
        <v>0</v>
      </c>
      <c r="F316" s="4">
        <f>IF(OR(INDEX($V$2:$V$1001,MATCH(ROWS($U$2:U316),$U$2:$U$1001,0),1)&gt;=100000,INDEX($AB$1005:$AQ$1005,1,MATCH(COLUMNS($AB$1006:AF1006),$AB$1006:$AQ$1006,0))&gt;=100000), " ",IF(INDEX($AB$2:$AQ$1001,MATCH(ROWS($U$2:U316),$U$2:$U$1001,0),MATCH(COLUMNS($AB$1006:AF1006),$AB$1006:$AQ$1006,0)), HYPERLINK("#",""), HYPERLINK(CONCATENATE("#metadata!", ADDRESS(INDEX($W$2:$W$1001,MATCH(ROWS($U$2:U316),$U$2:$U$1001,0),0), INDEX($AB$1004:$AQ$1004,1,MATCH(COLUMNS($AB$1006:AF1006),$AB$1006:$AQ$1006,0)))),"Fix")))</f>
        <v>0</v>
      </c>
      <c r="G316" s="4">
        <f>IF(OR(INDEX($V$2:$V$1001,MATCH(ROWS($U$2:U316),$U$2:$U$1001,0),1)&gt;=100000,INDEX($AB$1005:$AQ$1005,1,MATCH(COLUMNS($AB$1006:AG1006),$AB$1006:$AQ$1006,0))&gt;=100000), " ",IF(INDEX($AB$2:$AQ$1001,MATCH(ROWS($U$2:U316),$U$2:$U$1001,0),MATCH(COLUMNS($AB$1006:AG1006),$AB$1006:$AQ$1006,0)), HYPERLINK("#",""), HYPERLINK(CONCATENATE("#metadata!", ADDRESS(INDEX($W$2:$W$1001,MATCH(ROWS($U$2:U316),$U$2:$U$1001,0),0), INDEX($AB$1004:$AQ$1004,1,MATCH(COLUMNS($AB$1006:AG1006),$AB$1006:$AQ$1006,0)))),"Fix")))</f>
        <v>0</v>
      </c>
      <c r="H316" s="4">
        <f>IF(OR(INDEX($V$2:$V$1001,MATCH(ROWS($U$2:U316),$U$2:$U$1001,0),1)&gt;=100000,INDEX($AB$1005:$AQ$1005,1,MATCH(COLUMNS($AB$1006:AH1006),$AB$1006:$AQ$1006,0))&gt;=100000), " ",IF(INDEX($AB$2:$AQ$1001,MATCH(ROWS($U$2:U316),$U$2:$U$1001,0),MATCH(COLUMNS($AB$1006:AH1006),$AB$1006:$AQ$1006,0)), HYPERLINK("#",""), HYPERLINK(CONCATENATE("#metadata!", ADDRESS(INDEX($W$2:$W$1001,MATCH(ROWS($U$2:U316),$U$2:$U$1001,0),0), INDEX($AB$1004:$AQ$1004,1,MATCH(COLUMNS($AB$1006:AH1006),$AB$1006:$AQ$1006,0)))),"Fix")))</f>
        <v>0</v>
      </c>
      <c r="I316" s="4">
        <f>IF(OR(INDEX($V$2:$V$1001,MATCH(ROWS($U$2:U316),$U$2:$U$1001,0),1)&gt;=100000,INDEX($AB$1005:$AQ$1005,1,MATCH(COLUMNS($AB$1006:AI1006),$AB$1006:$AQ$1006,0))&gt;=100000), " ",IF(INDEX($AB$2:$AQ$1001,MATCH(ROWS($U$2:U316),$U$2:$U$1001,0),MATCH(COLUMNS($AB$1006:AI1006),$AB$1006:$AQ$1006,0)), HYPERLINK("#",""), HYPERLINK(CONCATENATE("#metadata!", ADDRESS(INDEX($W$2:$W$1001,MATCH(ROWS($U$2:U316),$U$2:$U$1001,0),0), INDEX($AB$1004:$AQ$1004,1,MATCH(COLUMNS($AB$1006:AI1006),$AB$1006:$AQ$1006,0)))),"Fix")))</f>
        <v>0</v>
      </c>
      <c r="J316" s="4">
        <f>IF(OR(INDEX($V$2:$V$1001,MATCH(ROWS($U$2:U316),$U$2:$U$1001,0),1)&gt;=100000,INDEX($AB$1005:$AQ$1005,1,MATCH(COLUMNS($AB$1006:AJ1006),$AB$1006:$AQ$1006,0))&gt;=100000), " ",IF(INDEX($AB$2:$AQ$1001,MATCH(ROWS($U$2:U316),$U$2:$U$1001,0),MATCH(COLUMNS($AB$1006:AJ1006),$AB$1006:$AQ$1006,0)), HYPERLINK("#",""), HYPERLINK(CONCATENATE("#metadata!", ADDRESS(INDEX($W$2:$W$1001,MATCH(ROWS($U$2:U316),$U$2:$U$1001,0),0), INDEX($AB$1004:$AQ$1004,1,MATCH(COLUMNS($AB$1006:AJ1006),$AB$1006:$AQ$1006,0)))),"Fix")))</f>
        <v>0</v>
      </c>
      <c r="K316" s="4">
        <f>IF(OR(INDEX($V$2:$V$1001,MATCH(ROWS($U$2:U316),$U$2:$U$1001,0),1)&gt;=100000,INDEX($AB$1005:$AQ$1005,1,MATCH(COLUMNS($AB$1006:AK1006),$AB$1006:$AQ$1006,0))&gt;=100000), " ",IF(INDEX($AB$2:$AQ$1001,MATCH(ROWS($U$2:U316),$U$2:$U$1001,0),MATCH(COLUMNS($AB$1006:AK1006),$AB$1006:$AQ$1006,0)), HYPERLINK("#",""), HYPERLINK(CONCATENATE("#metadata!", ADDRESS(INDEX($W$2:$W$1001,MATCH(ROWS($U$2:U316),$U$2:$U$1001,0),0), INDEX($AB$1004:$AQ$1004,1,MATCH(COLUMNS($AB$1006:AK1006),$AB$1006:$AQ$1006,0)))),"Fix")))</f>
        <v>0</v>
      </c>
      <c r="L316" s="4">
        <f>IF(OR(INDEX($V$2:$V$1001,MATCH(ROWS($U$2:U316),$U$2:$U$1001,0),1)&gt;=100000,INDEX($AB$1005:$AQ$1005,1,MATCH(COLUMNS($AB$1006:AL1006),$AB$1006:$AQ$1006,0))&gt;=100000), " ",IF(INDEX($AB$2:$AQ$1001,MATCH(ROWS($U$2:U316),$U$2:$U$1001,0),MATCH(COLUMNS($AB$1006:AL1006),$AB$1006:$AQ$1006,0)), HYPERLINK("#",""), HYPERLINK(CONCATENATE("#metadata!", ADDRESS(INDEX($W$2:$W$1001,MATCH(ROWS($U$2:U316),$U$2:$U$1001,0),0), INDEX($AB$1004:$AQ$1004,1,MATCH(COLUMNS($AB$1006:AL1006),$AB$1006:$AQ$1006,0)))),"Fix")))</f>
        <v>0</v>
      </c>
      <c r="M316" s="4">
        <f>IF(OR(INDEX($V$2:$V$1001,MATCH(ROWS($U$2:U316),$U$2:$U$1001,0),1)&gt;=100000,INDEX($AB$1005:$AQ$1005,1,MATCH(COLUMNS($AB$1006:AM1006),$AB$1006:$AQ$1006,0))&gt;=100000), " ",IF(INDEX($AB$2:$AQ$1001,MATCH(ROWS($U$2:U316),$U$2:$U$1001,0),MATCH(COLUMNS($AB$1006:AM1006),$AB$1006:$AQ$1006,0)), HYPERLINK("#",""), HYPERLINK(CONCATENATE("#metadata!", ADDRESS(INDEX($W$2:$W$1001,MATCH(ROWS($U$2:U316),$U$2:$U$1001,0),0), INDEX($AB$1004:$AQ$1004,1,MATCH(COLUMNS($AB$1006:AM1006),$AB$1006:$AQ$1006,0)))),"Fix")))</f>
        <v>0</v>
      </c>
      <c r="N316" s="4">
        <f>IF(OR(INDEX($V$2:$V$1001,MATCH(ROWS($U$2:U316),$U$2:$U$1001,0),1)&gt;=100000,INDEX($AB$1005:$AQ$1005,1,MATCH(COLUMNS($AB$1006:AN1006),$AB$1006:$AQ$1006,0))&gt;=100000), " ",IF(INDEX($AB$2:$AQ$1001,MATCH(ROWS($U$2:U316),$U$2:$U$1001,0),MATCH(COLUMNS($AB$1006:AN1006),$AB$1006:$AQ$1006,0)), HYPERLINK("#",""), HYPERLINK(CONCATENATE("#metadata!", ADDRESS(INDEX($W$2:$W$1001,MATCH(ROWS($U$2:U316),$U$2:$U$1001,0),0), INDEX($AB$1004:$AQ$1004,1,MATCH(COLUMNS($AB$1006:AN1006),$AB$1006:$AQ$1006,0)))),"Fix")))</f>
        <v>0</v>
      </c>
      <c r="O316" s="4">
        <f>IF(OR(INDEX($V$2:$V$1001,MATCH(ROWS($U$2:U316),$U$2:$U$1001,0),1)&gt;=100000,INDEX($AB$1005:$AQ$1005,1,MATCH(COLUMNS($AB$1006:AO1006),$AB$1006:$AQ$1006,0))&gt;=100000), " ",IF(INDEX($AB$2:$AQ$1001,MATCH(ROWS($U$2:U316),$U$2:$U$1001,0),MATCH(COLUMNS($AB$1006:AO1006),$AB$1006:$AQ$1006,0)), HYPERLINK("#",""), HYPERLINK(CONCATENATE("#metadata!", ADDRESS(INDEX($W$2:$W$1001,MATCH(ROWS($U$2:U316),$U$2:$U$1001,0),0), INDEX($AB$1004:$AQ$1004,1,MATCH(COLUMNS($AB$1006:AO1006),$AB$1006:$AQ$1006,0)))),"Fix")))</f>
        <v>0</v>
      </c>
      <c r="P316" s="4">
        <f>IF(OR(INDEX($V$2:$V$1001,MATCH(ROWS($U$2:U316),$U$2:$U$1001,0),1)&gt;=100000,INDEX($AB$1005:$AQ$1005,1,MATCH(COLUMNS($AB$1006:AP1006),$AB$1006:$AQ$1006,0))&gt;=100000), " ",IF(INDEX($AB$2:$AQ$1001,MATCH(ROWS($U$2:U316),$U$2:$U$1001,0),MATCH(COLUMNS($AB$1006:AP1006),$AB$1006:$AQ$1006,0)), HYPERLINK("#",""), HYPERLINK(CONCATENATE("#metadata!", ADDRESS(INDEX($W$2:$W$1001,MATCH(ROWS($U$2:U316),$U$2:$U$1001,0),0), INDEX($AB$1004:$AQ$1004,1,MATCH(COLUMNS($AB$1006:AP1006),$AB$1006:$AQ$1006,0)))),"Fix")))</f>
        <v>0</v>
      </c>
      <c r="Q316" s="4">
        <f>IF(OR(INDEX($V$2:$V$1001,MATCH(ROWS($U$2:U316),$U$2:$U$1001,0),1)&gt;=100000,INDEX($AB$1005:$AQ$1005,1,MATCH(COLUMNS($AB$1006:AQ1006),$AB$1006:$AQ$1006,0))&gt;=100000), " ",IF(INDEX($AB$2:$AQ$1001,MATCH(ROWS($U$2:U316),$U$2:$U$1001,0),MATCH(COLUMNS($AB$1006:AQ1006),$AB$1006:$AQ$1006,0)), HYPERLINK("#",""), HYPERLINK(CONCATENATE("#metadata!", ADDRESS(INDEX($W$2:$W$1001,MATCH(ROWS($U$2:U316),$U$2:$U$1001,0),0), INDEX($AB$1004:$AQ$1004,1,MATCH(COLUMNS($AB$1006:AQ1006),$AB$1006:$AQ$1006,0)))),"Fix")))</f>
        <v>0</v>
      </c>
      <c r="U316">
        <v>0</v>
      </c>
      <c r="V316">
        <v>0</v>
      </c>
      <c r="W316">
        <v>0</v>
      </c>
      <c r="X316">
        <f>IF(Y316,TRUE,AND(AB316:AQ316))</f>
        <v>0</v>
      </c>
      <c r="Y316">
        <f>COUNTBLANK(metadata!B316:Q316)=COLUMNS(metadata!B316:Q316)</f>
        <v>0</v>
      </c>
      <c r="Z316">
        <v>0</v>
      </c>
      <c r="AB316">
        <f>AND(IF(metadata!B316="",FALSE,TRUE),COUNTIF(metadata!B:B, metadata!B316) = 1,NOT(ISERROR(SUMPRODUCT(SEARCH(MID(metadata!B316,ROW(INDIRECT("1:"&amp;LEN(metadata!B316))), 1),"0123456789abcdefghijklmnopqrstuvwxyzABCDEFGHIJKLMNOPQRSTUVWXYZ.")))))</f>
        <v>0</v>
      </c>
      <c r="AC316">
        <f>OR(AND(IF(metadata!C316="",FALSE,TRUE),OR(exact(metadata!C316,"missing: not collected"),exact(metadata!C316,"missing: not provided"),exact(metadata!C316,"missing: restricted access"))),AND(IF(metadata!C316="",FALSE,TRUE),AND(AND(IFERROR(INT(LEFT(metadata!C316,4))&gt;1900,FALSE),IFERROR(INT(LEFT(metadata!C316,4))&lt;=YEAR(NOW()),FALSE)), OR(MID(metadata!C316,5,1)="", AND(AND(MID(metadata!C316,5,1)="-",IFERROR(INT(MID(metadata!C316,6,1))&gt;=0,FALSE),IFERROR(INT(MID(metadata!C316,6,1))&lt;=1,FALSE),NOT(MID(metadata!C316,7,1)=""),IFERROR(INT(MID(metadata!C316,6,2))&gt;=1,FALSE),IFERROR(INT(MID(metadata!C316,6,2))&lt;=12,FALSE)), OR(MID(metadata!C316,8,1)="", AND(AND(MID(metadata!C316,8,1)="-",IFERROR(INT(MID(metadata!C316,9,1))&gt;=0,FALSE),IFERROR(INT(MID(metadata!C316,9,1))&lt;=3,FALSE),NOT(MID(metadata!C316,10,1)=""),IFERROR(INT(MID(metadata!C316,9,2))&gt;=1,FALSE),IFERROR(INT(MID(metadata!C316,9,2))&lt;=31,FALSE)), OR(MID(metadata!C316,11,1)="", AND(AND(MID(metadata!C316,11,1)=" ",IFERROR(INT(MID(metadata!C316,12,1))&gt;=0,FALSE),IFERROR(INT(MID(metadata!C316,12,1))&lt;=2,FALSE),NOT(MID(metadata!C316,13,1)=""),IFERROR(INT(MID(metadata!C316,12,2))&gt;=0,FALSE),IFERROR(INT(MID(metadata!C316,12,2))&lt;=23,FALSE)), OR(MID(metadata!C316,14,1)="", AND(AND(MID(metadata!C316,14,1)=":",IFERROR(INT(MID(metadata!C316,15,1))&gt;=0,FALSE),IFERROR(INT(MID(metadata!C316,15,1))&lt;=5,FALSE),NOT(MID(metadata!C316,16,1)=""),IFERROR(INT(MID(metadata!C316,15,2))&gt;=0,FALSE),IFERROR(INT(MID(metadata!C316,15,2))&lt;=59,FALSE)), OR(MID(metadata!C316,17,1)="", AND(AND(MID(metadata!C316,17,1)=":",IFERROR(INT(MID(metadata!C316,18,1))&gt;=0,FALSE),IFERROR(INT(MID(metadata!C316,18,1))&lt;=5,FALSE),NOT(MID(metadata!C316,19,1)=""),IFERROR(INT(MID(metadata!C316,18,2))&gt;=0,FALSE),IFERROR(INT(MID(metadata!C316,18,2))&lt;=59,FALSE)), LEN(metadata!C316)&lt;=19)))))))))))))</f>
        <v>0</v>
      </c>
      <c r="AD316">
        <f>IF(metadata!D316="",FALSE,TRUE)</f>
        <v>0</v>
      </c>
      <c r="AE316">
        <f>OR(AND(IF(metadata!E316="",FALSE,TRUE),OR(exact(metadata!E316,"missing: not collected"),exact(metadata!E316,"missing: not provided"))),AND(IF(metadata!E316="",FALSE,TRUE),OR(exact(metadata!E316,"TRUE"),exact(metadata!E316,"FALSE"))))</f>
        <v>0</v>
      </c>
      <c r="AF316">
        <f>IF(metadata!F316="",FALSE,TRUE)</f>
        <v>0</v>
      </c>
      <c r="AG316">
        <f>IF(metadata!G316="",FALSE,TRUE)</f>
        <v>0</v>
      </c>
      <c r="AH316">
        <f>IF(metadata!H316="",FALSE,TRUE)</f>
        <v>0</v>
      </c>
      <c r="AI316">
        <f>OR(AND(IF(metadata!I316="",FALSE,TRUE),OR(exact(metadata!I316,"missing: not collected"),exact(metadata!I316,"missing: not provided"),exact(metadata!I316,"missing: restricted access"))),AND(IF(metadata!I316="",FALSE,TRUE),OR(exact(metadata!I316,"air"),exact(metadata!I316,"built environment"),exact(metadata!I316,"host-associated"),exact(metadata!I316,"human-associated"),exact(metadata!I316,"human-skin"),exact(metadata!I316,"human-oral"),exact(metadata!I316,"human-gut"),exact(metadata!I316,"human-vaginal"),exact(metadata!I316,"microbial mat/biofilm"),exact(metadata!I316,"misc environment"),exact(metadata!I316,"plant-associated"),exact(metadata!I316,"sediment"),exact(metadata!I316,"soil"),exact(metadata!I316,"wastewater/sludge"),exact(metadata!I316,"water"))))</f>
        <v>0</v>
      </c>
      <c r="AJ316">
        <f>IF(metadata!J316="",FALSE,TRUE)</f>
        <v>0</v>
      </c>
      <c r="AK316">
        <f>OR(AND(IF(metadata!K316="",FALSE,TRUE),OR(exact(metadata!K316,"missing: not collected"),exact(metadata!K316,"missing: not provided"),exact(metadata!K316,"missing: restricted access"))),AND(IF(metadata!K316="",FALSE,ISNUMBER(VALUE(metadata!K316))),metadata!K316&gt;=-90.00,metadata!K316&lt;=90.00))</f>
        <v>0</v>
      </c>
      <c r="AL316">
        <f>OR(AND(IF(metadata!L316="",FALSE,TRUE),OR(exact(metadata!L316,"missing: not collected"),exact(metadata!L316,"missing: not provided"),exact(metadata!L316,"missing: restricted access"))),AND(IF(metadata!L316="",FALSE,ISNUMBER(VALUE(metadata!L316))),metadata!L316&gt;=-180.00,metadata!L316&lt;=180.00))</f>
        <v>0</v>
      </c>
      <c r="AM316">
        <f>IF(metadata!M316="",FALSE,TRUE)</f>
        <v>0</v>
      </c>
      <c r="AN316">
        <f>OR(AND(IF(metadata!N316="",FALSE,TRUE),OR(exact(metadata!N316,"missing: not collected"),exact(metadata!N316,"missing: not provided"),exact(metadata!N316,"missing: restricted access"))),AND(IF(metadata!N316="",FALSE,TRUE),OR(exact(metadata!N316,"TRUE"),exact(metadata!N316,"FALSE"))))</f>
        <v>0</v>
      </c>
      <c r="AO316">
        <f>IF(metadata!O316="",FALSE,TRUE)</f>
        <v>0</v>
      </c>
      <c r="AP316">
        <f>OR(AND(IF(metadata!P316="",FALSE,TRUE),OR(exact(metadata!P316,"missing: not collected"),exact(metadata!P316,"missing: not provided"))),AND(IF(metadata!P316="",FALSE,IF(ISERROR(INT(metadata!P316)),FALSE,INT(metadata!P316)=metadata!P316)),metadata!P316&gt;0))</f>
        <v>0</v>
      </c>
      <c r="AQ316">
        <f>IF(metadata!Q316="",FALSE,TRUE)</f>
        <v>0</v>
      </c>
    </row>
    <row r="317" spans="1:43">
      <c r="A317" s="5">
        <f>IF(B317=" "," ",HYPERLINK(CONCATENATE("#metadata!",ADDRESS(INDEX($W$2:$W$1001,MATCH(ROWS($U$2:U317),$U$2:$U$1001,0),0),1)),INDEX($Z$2:$Z$1001,MATCH(ROWS($U$2:U317),$U$2:$U$1001,0),0)))</f>
        <v>0</v>
      </c>
      <c r="B317" s="4">
        <f>IF(OR(INDEX($V$2:$V$1001,MATCH(ROWS($U$2:U317),$U$2:$U$1001,0),1)&gt;=100000,INDEX($AB$1005:$AQ$1005,1,MATCH(COLUMNS($AB$1006:AB1006),$AB$1006:$AQ$1006,0))&gt;=100000), " ",IF(INDEX($AB$2:$AQ$1001,MATCH(ROWS($U$2:U317),$U$2:$U$1001,0),MATCH(COLUMNS($AB$1006:AB1006),$AB$1006:$AQ$1006,0)), HYPERLINK("#",""), HYPERLINK(CONCATENATE("#metadata!", ADDRESS(INDEX($W$2:$W$1001,MATCH(ROWS($U$2:U317),$U$2:$U$1001,0),0), INDEX($AB$1004:$AQ$1004,1,MATCH(COLUMNS($AB$1006:AB1006),$AB$1006:$AQ$1006,0)))),"Fix")))</f>
        <v>0</v>
      </c>
      <c r="C317" s="4">
        <f>IF(OR(INDEX($V$2:$V$1001,MATCH(ROWS($U$2:U317),$U$2:$U$1001,0),1)&gt;=100000,INDEX($AB$1005:$AQ$1005,1,MATCH(COLUMNS($AB$1006:AC1006),$AB$1006:$AQ$1006,0))&gt;=100000), " ",IF(INDEX($AB$2:$AQ$1001,MATCH(ROWS($U$2:U317),$U$2:$U$1001,0),MATCH(COLUMNS($AB$1006:AC1006),$AB$1006:$AQ$1006,0)), HYPERLINK("#",""), HYPERLINK(CONCATENATE("#metadata!", ADDRESS(INDEX($W$2:$W$1001,MATCH(ROWS($U$2:U317),$U$2:$U$1001,0),0), INDEX($AB$1004:$AQ$1004,1,MATCH(COLUMNS($AB$1006:AC1006),$AB$1006:$AQ$1006,0)))),"Fix")))</f>
        <v>0</v>
      </c>
      <c r="D317" s="4">
        <f>IF(OR(INDEX($V$2:$V$1001,MATCH(ROWS($U$2:U317),$U$2:$U$1001,0),1)&gt;=100000,INDEX($AB$1005:$AQ$1005,1,MATCH(COLUMNS($AB$1006:AD1006),$AB$1006:$AQ$1006,0))&gt;=100000), " ",IF(INDEX($AB$2:$AQ$1001,MATCH(ROWS($U$2:U317),$U$2:$U$1001,0),MATCH(COLUMNS($AB$1006:AD1006),$AB$1006:$AQ$1006,0)), HYPERLINK("#",""), HYPERLINK(CONCATENATE("#metadata!", ADDRESS(INDEX($W$2:$W$1001,MATCH(ROWS($U$2:U317),$U$2:$U$1001,0),0), INDEX($AB$1004:$AQ$1004,1,MATCH(COLUMNS($AB$1006:AD1006),$AB$1006:$AQ$1006,0)))),"Fix")))</f>
        <v>0</v>
      </c>
      <c r="E317" s="4">
        <f>IF(OR(INDEX($V$2:$V$1001,MATCH(ROWS($U$2:U317),$U$2:$U$1001,0),1)&gt;=100000,INDEX($AB$1005:$AQ$1005,1,MATCH(COLUMNS($AB$1006:AE1006),$AB$1006:$AQ$1006,0))&gt;=100000), " ",IF(INDEX($AB$2:$AQ$1001,MATCH(ROWS($U$2:U317),$U$2:$U$1001,0),MATCH(COLUMNS($AB$1006:AE1006),$AB$1006:$AQ$1006,0)), HYPERLINK("#",""), HYPERLINK(CONCATENATE("#metadata!", ADDRESS(INDEX($W$2:$W$1001,MATCH(ROWS($U$2:U317),$U$2:$U$1001,0),0), INDEX($AB$1004:$AQ$1004,1,MATCH(COLUMNS($AB$1006:AE1006),$AB$1006:$AQ$1006,0)))),"Fix")))</f>
        <v>0</v>
      </c>
      <c r="F317" s="4">
        <f>IF(OR(INDEX($V$2:$V$1001,MATCH(ROWS($U$2:U317),$U$2:$U$1001,0),1)&gt;=100000,INDEX($AB$1005:$AQ$1005,1,MATCH(COLUMNS($AB$1006:AF1006),$AB$1006:$AQ$1006,0))&gt;=100000), " ",IF(INDEX($AB$2:$AQ$1001,MATCH(ROWS($U$2:U317),$U$2:$U$1001,0),MATCH(COLUMNS($AB$1006:AF1006),$AB$1006:$AQ$1006,0)), HYPERLINK("#",""), HYPERLINK(CONCATENATE("#metadata!", ADDRESS(INDEX($W$2:$W$1001,MATCH(ROWS($U$2:U317),$U$2:$U$1001,0),0), INDEX($AB$1004:$AQ$1004,1,MATCH(COLUMNS($AB$1006:AF1006),$AB$1006:$AQ$1006,0)))),"Fix")))</f>
        <v>0</v>
      </c>
      <c r="G317" s="4">
        <f>IF(OR(INDEX($V$2:$V$1001,MATCH(ROWS($U$2:U317),$U$2:$U$1001,0),1)&gt;=100000,INDEX($AB$1005:$AQ$1005,1,MATCH(COLUMNS($AB$1006:AG1006),$AB$1006:$AQ$1006,0))&gt;=100000), " ",IF(INDEX($AB$2:$AQ$1001,MATCH(ROWS($U$2:U317),$U$2:$U$1001,0),MATCH(COLUMNS($AB$1006:AG1006),$AB$1006:$AQ$1006,0)), HYPERLINK("#",""), HYPERLINK(CONCATENATE("#metadata!", ADDRESS(INDEX($W$2:$W$1001,MATCH(ROWS($U$2:U317),$U$2:$U$1001,0),0), INDEX($AB$1004:$AQ$1004,1,MATCH(COLUMNS($AB$1006:AG1006),$AB$1006:$AQ$1006,0)))),"Fix")))</f>
        <v>0</v>
      </c>
      <c r="H317" s="4">
        <f>IF(OR(INDEX($V$2:$V$1001,MATCH(ROWS($U$2:U317),$U$2:$U$1001,0),1)&gt;=100000,INDEX($AB$1005:$AQ$1005,1,MATCH(COLUMNS($AB$1006:AH1006),$AB$1006:$AQ$1006,0))&gt;=100000), " ",IF(INDEX($AB$2:$AQ$1001,MATCH(ROWS($U$2:U317),$U$2:$U$1001,0),MATCH(COLUMNS($AB$1006:AH1006),$AB$1006:$AQ$1006,0)), HYPERLINK("#",""), HYPERLINK(CONCATENATE("#metadata!", ADDRESS(INDEX($W$2:$W$1001,MATCH(ROWS($U$2:U317),$U$2:$U$1001,0),0), INDEX($AB$1004:$AQ$1004,1,MATCH(COLUMNS($AB$1006:AH1006),$AB$1006:$AQ$1006,0)))),"Fix")))</f>
        <v>0</v>
      </c>
      <c r="I317" s="4">
        <f>IF(OR(INDEX($V$2:$V$1001,MATCH(ROWS($U$2:U317),$U$2:$U$1001,0),1)&gt;=100000,INDEX($AB$1005:$AQ$1005,1,MATCH(COLUMNS($AB$1006:AI1006),$AB$1006:$AQ$1006,0))&gt;=100000), " ",IF(INDEX($AB$2:$AQ$1001,MATCH(ROWS($U$2:U317),$U$2:$U$1001,0),MATCH(COLUMNS($AB$1006:AI1006),$AB$1006:$AQ$1006,0)), HYPERLINK("#",""), HYPERLINK(CONCATENATE("#metadata!", ADDRESS(INDEX($W$2:$W$1001,MATCH(ROWS($U$2:U317),$U$2:$U$1001,0),0), INDEX($AB$1004:$AQ$1004,1,MATCH(COLUMNS($AB$1006:AI1006),$AB$1006:$AQ$1006,0)))),"Fix")))</f>
        <v>0</v>
      </c>
      <c r="J317" s="4">
        <f>IF(OR(INDEX($V$2:$V$1001,MATCH(ROWS($U$2:U317),$U$2:$U$1001,0),1)&gt;=100000,INDEX($AB$1005:$AQ$1005,1,MATCH(COLUMNS($AB$1006:AJ1006),$AB$1006:$AQ$1006,0))&gt;=100000), " ",IF(INDEX($AB$2:$AQ$1001,MATCH(ROWS($U$2:U317),$U$2:$U$1001,0),MATCH(COLUMNS($AB$1006:AJ1006),$AB$1006:$AQ$1006,0)), HYPERLINK("#",""), HYPERLINK(CONCATENATE("#metadata!", ADDRESS(INDEX($W$2:$W$1001,MATCH(ROWS($U$2:U317),$U$2:$U$1001,0),0), INDEX($AB$1004:$AQ$1004,1,MATCH(COLUMNS($AB$1006:AJ1006),$AB$1006:$AQ$1006,0)))),"Fix")))</f>
        <v>0</v>
      </c>
      <c r="K317" s="4">
        <f>IF(OR(INDEX($V$2:$V$1001,MATCH(ROWS($U$2:U317),$U$2:$U$1001,0),1)&gt;=100000,INDEX($AB$1005:$AQ$1005,1,MATCH(COLUMNS($AB$1006:AK1006),$AB$1006:$AQ$1006,0))&gt;=100000), " ",IF(INDEX($AB$2:$AQ$1001,MATCH(ROWS($U$2:U317),$U$2:$U$1001,0),MATCH(COLUMNS($AB$1006:AK1006),$AB$1006:$AQ$1006,0)), HYPERLINK("#",""), HYPERLINK(CONCATENATE("#metadata!", ADDRESS(INDEX($W$2:$W$1001,MATCH(ROWS($U$2:U317),$U$2:$U$1001,0),0), INDEX($AB$1004:$AQ$1004,1,MATCH(COLUMNS($AB$1006:AK1006),$AB$1006:$AQ$1006,0)))),"Fix")))</f>
        <v>0</v>
      </c>
      <c r="L317" s="4">
        <f>IF(OR(INDEX($V$2:$V$1001,MATCH(ROWS($U$2:U317),$U$2:$U$1001,0),1)&gt;=100000,INDEX($AB$1005:$AQ$1005,1,MATCH(COLUMNS($AB$1006:AL1006),$AB$1006:$AQ$1006,0))&gt;=100000), " ",IF(INDEX($AB$2:$AQ$1001,MATCH(ROWS($U$2:U317),$U$2:$U$1001,0),MATCH(COLUMNS($AB$1006:AL1006),$AB$1006:$AQ$1006,0)), HYPERLINK("#",""), HYPERLINK(CONCATENATE("#metadata!", ADDRESS(INDEX($W$2:$W$1001,MATCH(ROWS($U$2:U317),$U$2:$U$1001,0),0), INDEX($AB$1004:$AQ$1004,1,MATCH(COLUMNS($AB$1006:AL1006),$AB$1006:$AQ$1006,0)))),"Fix")))</f>
        <v>0</v>
      </c>
      <c r="M317" s="4">
        <f>IF(OR(INDEX($V$2:$V$1001,MATCH(ROWS($U$2:U317),$U$2:$U$1001,0),1)&gt;=100000,INDEX($AB$1005:$AQ$1005,1,MATCH(COLUMNS($AB$1006:AM1006),$AB$1006:$AQ$1006,0))&gt;=100000), " ",IF(INDEX($AB$2:$AQ$1001,MATCH(ROWS($U$2:U317),$U$2:$U$1001,0),MATCH(COLUMNS($AB$1006:AM1006),$AB$1006:$AQ$1006,0)), HYPERLINK("#",""), HYPERLINK(CONCATENATE("#metadata!", ADDRESS(INDEX($W$2:$W$1001,MATCH(ROWS($U$2:U317),$U$2:$U$1001,0),0), INDEX($AB$1004:$AQ$1004,1,MATCH(COLUMNS($AB$1006:AM1006),$AB$1006:$AQ$1006,0)))),"Fix")))</f>
        <v>0</v>
      </c>
      <c r="N317" s="4">
        <f>IF(OR(INDEX($V$2:$V$1001,MATCH(ROWS($U$2:U317),$U$2:$U$1001,0),1)&gt;=100000,INDEX($AB$1005:$AQ$1005,1,MATCH(COLUMNS($AB$1006:AN1006),$AB$1006:$AQ$1006,0))&gt;=100000), " ",IF(INDEX($AB$2:$AQ$1001,MATCH(ROWS($U$2:U317),$U$2:$U$1001,0),MATCH(COLUMNS($AB$1006:AN1006),$AB$1006:$AQ$1006,0)), HYPERLINK("#",""), HYPERLINK(CONCATENATE("#metadata!", ADDRESS(INDEX($W$2:$W$1001,MATCH(ROWS($U$2:U317),$U$2:$U$1001,0),0), INDEX($AB$1004:$AQ$1004,1,MATCH(COLUMNS($AB$1006:AN1006),$AB$1006:$AQ$1006,0)))),"Fix")))</f>
        <v>0</v>
      </c>
      <c r="O317" s="4">
        <f>IF(OR(INDEX($V$2:$V$1001,MATCH(ROWS($U$2:U317),$U$2:$U$1001,0),1)&gt;=100000,INDEX($AB$1005:$AQ$1005,1,MATCH(COLUMNS($AB$1006:AO1006),$AB$1006:$AQ$1006,0))&gt;=100000), " ",IF(INDEX($AB$2:$AQ$1001,MATCH(ROWS($U$2:U317),$U$2:$U$1001,0),MATCH(COLUMNS($AB$1006:AO1006),$AB$1006:$AQ$1006,0)), HYPERLINK("#",""), HYPERLINK(CONCATENATE("#metadata!", ADDRESS(INDEX($W$2:$W$1001,MATCH(ROWS($U$2:U317),$U$2:$U$1001,0),0), INDEX($AB$1004:$AQ$1004,1,MATCH(COLUMNS($AB$1006:AO1006),$AB$1006:$AQ$1006,0)))),"Fix")))</f>
        <v>0</v>
      </c>
      <c r="P317" s="4">
        <f>IF(OR(INDEX($V$2:$V$1001,MATCH(ROWS($U$2:U317),$U$2:$U$1001,0),1)&gt;=100000,INDEX($AB$1005:$AQ$1005,1,MATCH(COLUMNS($AB$1006:AP1006),$AB$1006:$AQ$1006,0))&gt;=100000), " ",IF(INDEX($AB$2:$AQ$1001,MATCH(ROWS($U$2:U317),$U$2:$U$1001,0),MATCH(COLUMNS($AB$1006:AP1006),$AB$1006:$AQ$1006,0)), HYPERLINK("#",""), HYPERLINK(CONCATENATE("#metadata!", ADDRESS(INDEX($W$2:$W$1001,MATCH(ROWS($U$2:U317),$U$2:$U$1001,0),0), INDEX($AB$1004:$AQ$1004,1,MATCH(COLUMNS($AB$1006:AP1006),$AB$1006:$AQ$1006,0)))),"Fix")))</f>
        <v>0</v>
      </c>
      <c r="Q317" s="4">
        <f>IF(OR(INDEX($V$2:$V$1001,MATCH(ROWS($U$2:U317),$U$2:$U$1001,0),1)&gt;=100000,INDEX($AB$1005:$AQ$1005,1,MATCH(COLUMNS($AB$1006:AQ1006),$AB$1006:$AQ$1006,0))&gt;=100000), " ",IF(INDEX($AB$2:$AQ$1001,MATCH(ROWS($U$2:U317),$U$2:$U$1001,0),MATCH(COLUMNS($AB$1006:AQ1006),$AB$1006:$AQ$1006,0)), HYPERLINK("#",""), HYPERLINK(CONCATENATE("#metadata!", ADDRESS(INDEX($W$2:$W$1001,MATCH(ROWS($U$2:U317),$U$2:$U$1001,0),0), INDEX($AB$1004:$AQ$1004,1,MATCH(COLUMNS($AB$1006:AQ1006),$AB$1006:$AQ$1006,0)))),"Fix")))</f>
        <v>0</v>
      </c>
      <c r="U317">
        <v>0</v>
      </c>
      <c r="V317">
        <v>0</v>
      </c>
      <c r="W317">
        <v>0</v>
      </c>
      <c r="X317">
        <f>IF(Y317,TRUE,AND(AB317:AQ317))</f>
        <v>0</v>
      </c>
      <c r="Y317">
        <f>COUNTBLANK(metadata!B317:Q317)=COLUMNS(metadata!B317:Q317)</f>
        <v>0</v>
      </c>
      <c r="Z317">
        <v>0</v>
      </c>
      <c r="AB317">
        <f>AND(IF(metadata!B317="",FALSE,TRUE),COUNTIF(metadata!B:B, metadata!B317) = 1,NOT(ISERROR(SUMPRODUCT(SEARCH(MID(metadata!B317,ROW(INDIRECT("1:"&amp;LEN(metadata!B317))), 1),"0123456789abcdefghijklmnopqrstuvwxyzABCDEFGHIJKLMNOPQRSTUVWXYZ.")))))</f>
        <v>0</v>
      </c>
      <c r="AC317">
        <f>OR(AND(IF(metadata!C317="",FALSE,TRUE),OR(exact(metadata!C317,"missing: not collected"),exact(metadata!C317,"missing: not provided"),exact(metadata!C317,"missing: restricted access"))),AND(IF(metadata!C317="",FALSE,TRUE),AND(AND(IFERROR(INT(LEFT(metadata!C317,4))&gt;1900,FALSE),IFERROR(INT(LEFT(metadata!C317,4))&lt;=YEAR(NOW()),FALSE)), OR(MID(metadata!C317,5,1)="", AND(AND(MID(metadata!C317,5,1)="-",IFERROR(INT(MID(metadata!C317,6,1))&gt;=0,FALSE),IFERROR(INT(MID(metadata!C317,6,1))&lt;=1,FALSE),NOT(MID(metadata!C317,7,1)=""),IFERROR(INT(MID(metadata!C317,6,2))&gt;=1,FALSE),IFERROR(INT(MID(metadata!C317,6,2))&lt;=12,FALSE)), OR(MID(metadata!C317,8,1)="", AND(AND(MID(metadata!C317,8,1)="-",IFERROR(INT(MID(metadata!C317,9,1))&gt;=0,FALSE),IFERROR(INT(MID(metadata!C317,9,1))&lt;=3,FALSE),NOT(MID(metadata!C317,10,1)=""),IFERROR(INT(MID(metadata!C317,9,2))&gt;=1,FALSE),IFERROR(INT(MID(metadata!C317,9,2))&lt;=31,FALSE)), OR(MID(metadata!C317,11,1)="", AND(AND(MID(metadata!C317,11,1)=" ",IFERROR(INT(MID(metadata!C317,12,1))&gt;=0,FALSE),IFERROR(INT(MID(metadata!C317,12,1))&lt;=2,FALSE),NOT(MID(metadata!C317,13,1)=""),IFERROR(INT(MID(metadata!C317,12,2))&gt;=0,FALSE),IFERROR(INT(MID(metadata!C317,12,2))&lt;=23,FALSE)), OR(MID(metadata!C317,14,1)="", AND(AND(MID(metadata!C317,14,1)=":",IFERROR(INT(MID(metadata!C317,15,1))&gt;=0,FALSE),IFERROR(INT(MID(metadata!C317,15,1))&lt;=5,FALSE),NOT(MID(metadata!C317,16,1)=""),IFERROR(INT(MID(metadata!C317,15,2))&gt;=0,FALSE),IFERROR(INT(MID(metadata!C317,15,2))&lt;=59,FALSE)), OR(MID(metadata!C317,17,1)="", AND(AND(MID(metadata!C317,17,1)=":",IFERROR(INT(MID(metadata!C317,18,1))&gt;=0,FALSE),IFERROR(INT(MID(metadata!C317,18,1))&lt;=5,FALSE),NOT(MID(metadata!C317,19,1)=""),IFERROR(INT(MID(metadata!C317,18,2))&gt;=0,FALSE),IFERROR(INT(MID(metadata!C317,18,2))&lt;=59,FALSE)), LEN(metadata!C317)&lt;=19)))))))))))))</f>
        <v>0</v>
      </c>
      <c r="AD317">
        <f>IF(metadata!D317="",FALSE,TRUE)</f>
        <v>0</v>
      </c>
      <c r="AE317">
        <f>OR(AND(IF(metadata!E317="",FALSE,TRUE),OR(exact(metadata!E317,"missing: not collected"),exact(metadata!E317,"missing: not provided"))),AND(IF(metadata!E317="",FALSE,TRUE),OR(exact(metadata!E317,"TRUE"),exact(metadata!E317,"FALSE"))))</f>
        <v>0</v>
      </c>
      <c r="AF317">
        <f>IF(metadata!F317="",FALSE,TRUE)</f>
        <v>0</v>
      </c>
      <c r="AG317">
        <f>IF(metadata!G317="",FALSE,TRUE)</f>
        <v>0</v>
      </c>
      <c r="AH317">
        <f>IF(metadata!H317="",FALSE,TRUE)</f>
        <v>0</v>
      </c>
      <c r="AI317">
        <f>OR(AND(IF(metadata!I317="",FALSE,TRUE),OR(exact(metadata!I317,"missing: not collected"),exact(metadata!I317,"missing: not provided"),exact(metadata!I317,"missing: restricted access"))),AND(IF(metadata!I317="",FALSE,TRUE),OR(exact(metadata!I317,"air"),exact(metadata!I317,"built environment"),exact(metadata!I317,"host-associated"),exact(metadata!I317,"human-associated"),exact(metadata!I317,"human-skin"),exact(metadata!I317,"human-oral"),exact(metadata!I317,"human-gut"),exact(metadata!I317,"human-vaginal"),exact(metadata!I317,"microbial mat/biofilm"),exact(metadata!I317,"misc environment"),exact(metadata!I317,"plant-associated"),exact(metadata!I317,"sediment"),exact(metadata!I317,"soil"),exact(metadata!I317,"wastewater/sludge"),exact(metadata!I317,"water"))))</f>
        <v>0</v>
      </c>
      <c r="AJ317">
        <f>IF(metadata!J317="",FALSE,TRUE)</f>
        <v>0</v>
      </c>
      <c r="AK317">
        <f>OR(AND(IF(metadata!K317="",FALSE,TRUE),OR(exact(metadata!K317,"missing: not collected"),exact(metadata!K317,"missing: not provided"),exact(metadata!K317,"missing: restricted access"))),AND(IF(metadata!K317="",FALSE,ISNUMBER(VALUE(metadata!K317))),metadata!K317&gt;=-90.00,metadata!K317&lt;=90.00))</f>
        <v>0</v>
      </c>
      <c r="AL317">
        <f>OR(AND(IF(metadata!L317="",FALSE,TRUE),OR(exact(metadata!L317,"missing: not collected"),exact(metadata!L317,"missing: not provided"),exact(metadata!L317,"missing: restricted access"))),AND(IF(metadata!L317="",FALSE,ISNUMBER(VALUE(metadata!L317))),metadata!L317&gt;=-180.00,metadata!L317&lt;=180.00))</f>
        <v>0</v>
      </c>
      <c r="AM317">
        <f>IF(metadata!M317="",FALSE,TRUE)</f>
        <v>0</v>
      </c>
      <c r="AN317">
        <f>OR(AND(IF(metadata!N317="",FALSE,TRUE),OR(exact(metadata!N317,"missing: not collected"),exact(metadata!N317,"missing: not provided"),exact(metadata!N317,"missing: restricted access"))),AND(IF(metadata!N317="",FALSE,TRUE),OR(exact(metadata!N317,"TRUE"),exact(metadata!N317,"FALSE"))))</f>
        <v>0</v>
      </c>
      <c r="AO317">
        <f>IF(metadata!O317="",FALSE,TRUE)</f>
        <v>0</v>
      </c>
      <c r="AP317">
        <f>OR(AND(IF(metadata!P317="",FALSE,TRUE),OR(exact(metadata!P317,"missing: not collected"),exact(metadata!P317,"missing: not provided"))),AND(IF(metadata!P317="",FALSE,IF(ISERROR(INT(metadata!P317)),FALSE,INT(metadata!P317)=metadata!P317)),metadata!P317&gt;0))</f>
        <v>0</v>
      </c>
      <c r="AQ317">
        <f>IF(metadata!Q317="",FALSE,TRUE)</f>
        <v>0</v>
      </c>
    </row>
    <row r="318" spans="1:43">
      <c r="A318" s="5">
        <f>IF(B318=" "," ",HYPERLINK(CONCATENATE("#metadata!",ADDRESS(INDEX($W$2:$W$1001,MATCH(ROWS($U$2:U318),$U$2:$U$1001,0),0),1)),INDEX($Z$2:$Z$1001,MATCH(ROWS($U$2:U318),$U$2:$U$1001,0),0)))</f>
        <v>0</v>
      </c>
      <c r="B318" s="4">
        <f>IF(OR(INDEX($V$2:$V$1001,MATCH(ROWS($U$2:U318),$U$2:$U$1001,0),1)&gt;=100000,INDEX($AB$1005:$AQ$1005,1,MATCH(COLUMNS($AB$1006:AB1006),$AB$1006:$AQ$1006,0))&gt;=100000), " ",IF(INDEX($AB$2:$AQ$1001,MATCH(ROWS($U$2:U318),$U$2:$U$1001,0),MATCH(COLUMNS($AB$1006:AB1006),$AB$1006:$AQ$1006,0)), HYPERLINK("#",""), HYPERLINK(CONCATENATE("#metadata!", ADDRESS(INDEX($W$2:$W$1001,MATCH(ROWS($U$2:U318),$U$2:$U$1001,0),0), INDEX($AB$1004:$AQ$1004,1,MATCH(COLUMNS($AB$1006:AB1006),$AB$1006:$AQ$1006,0)))),"Fix")))</f>
        <v>0</v>
      </c>
      <c r="C318" s="4">
        <f>IF(OR(INDEX($V$2:$V$1001,MATCH(ROWS($U$2:U318),$U$2:$U$1001,0),1)&gt;=100000,INDEX($AB$1005:$AQ$1005,1,MATCH(COLUMNS($AB$1006:AC1006),$AB$1006:$AQ$1006,0))&gt;=100000), " ",IF(INDEX($AB$2:$AQ$1001,MATCH(ROWS($U$2:U318),$U$2:$U$1001,0),MATCH(COLUMNS($AB$1006:AC1006),$AB$1006:$AQ$1006,0)), HYPERLINK("#",""), HYPERLINK(CONCATENATE("#metadata!", ADDRESS(INDEX($W$2:$W$1001,MATCH(ROWS($U$2:U318),$U$2:$U$1001,0),0), INDEX($AB$1004:$AQ$1004,1,MATCH(COLUMNS($AB$1006:AC1006),$AB$1006:$AQ$1006,0)))),"Fix")))</f>
        <v>0</v>
      </c>
      <c r="D318" s="4">
        <f>IF(OR(INDEX($V$2:$V$1001,MATCH(ROWS($U$2:U318),$U$2:$U$1001,0),1)&gt;=100000,INDEX($AB$1005:$AQ$1005,1,MATCH(COLUMNS($AB$1006:AD1006),$AB$1006:$AQ$1006,0))&gt;=100000), " ",IF(INDEX($AB$2:$AQ$1001,MATCH(ROWS($U$2:U318),$U$2:$U$1001,0),MATCH(COLUMNS($AB$1006:AD1006),$AB$1006:$AQ$1006,0)), HYPERLINK("#",""), HYPERLINK(CONCATENATE("#metadata!", ADDRESS(INDEX($W$2:$W$1001,MATCH(ROWS($U$2:U318),$U$2:$U$1001,0),0), INDEX($AB$1004:$AQ$1004,1,MATCH(COLUMNS($AB$1006:AD1006),$AB$1006:$AQ$1006,0)))),"Fix")))</f>
        <v>0</v>
      </c>
      <c r="E318" s="4">
        <f>IF(OR(INDEX($V$2:$V$1001,MATCH(ROWS($U$2:U318),$U$2:$U$1001,0),1)&gt;=100000,INDEX($AB$1005:$AQ$1005,1,MATCH(COLUMNS($AB$1006:AE1006),$AB$1006:$AQ$1006,0))&gt;=100000), " ",IF(INDEX($AB$2:$AQ$1001,MATCH(ROWS($U$2:U318),$U$2:$U$1001,0),MATCH(COLUMNS($AB$1006:AE1006),$AB$1006:$AQ$1006,0)), HYPERLINK("#",""), HYPERLINK(CONCATENATE("#metadata!", ADDRESS(INDEX($W$2:$W$1001,MATCH(ROWS($U$2:U318),$U$2:$U$1001,0),0), INDEX($AB$1004:$AQ$1004,1,MATCH(COLUMNS($AB$1006:AE1006),$AB$1006:$AQ$1006,0)))),"Fix")))</f>
        <v>0</v>
      </c>
      <c r="F318" s="4">
        <f>IF(OR(INDEX($V$2:$V$1001,MATCH(ROWS($U$2:U318),$U$2:$U$1001,0),1)&gt;=100000,INDEX($AB$1005:$AQ$1005,1,MATCH(COLUMNS($AB$1006:AF1006),$AB$1006:$AQ$1006,0))&gt;=100000), " ",IF(INDEX($AB$2:$AQ$1001,MATCH(ROWS($U$2:U318),$U$2:$U$1001,0),MATCH(COLUMNS($AB$1006:AF1006),$AB$1006:$AQ$1006,0)), HYPERLINK("#",""), HYPERLINK(CONCATENATE("#metadata!", ADDRESS(INDEX($W$2:$W$1001,MATCH(ROWS($U$2:U318),$U$2:$U$1001,0),0), INDEX($AB$1004:$AQ$1004,1,MATCH(COLUMNS($AB$1006:AF1006),$AB$1006:$AQ$1006,0)))),"Fix")))</f>
        <v>0</v>
      </c>
      <c r="G318" s="4">
        <f>IF(OR(INDEX($V$2:$V$1001,MATCH(ROWS($U$2:U318),$U$2:$U$1001,0),1)&gt;=100000,INDEX($AB$1005:$AQ$1005,1,MATCH(COLUMNS($AB$1006:AG1006),$AB$1006:$AQ$1006,0))&gt;=100000), " ",IF(INDEX($AB$2:$AQ$1001,MATCH(ROWS($U$2:U318),$U$2:$U$1001,0),MATCH(COLUMNS($AB$1006:AG1006),$AB$1006:$AQ$1006,0)), HYPERLINK("#",""), HYPERLINK(CONCATENATE("#metadata!", ADDRESS(INDEX($W$2:$W$1001,MATCH(ROWS($U$2:U318),$U$2:$U$1001,0),0), INDEX($AB$1004:$AQ$1004,1,MATCH(COLUMNS($AB$1006:AG1006),$AB$1006:$AQ$1006,0)))),"Fix")))</f>
        <v>0</v>
      </c>
      <c r="H318" s="4">
        <f>IF(OR(INDEX($V$2:$V$1001,MATCH(ROWS($U$2:U318),$U$2:$U$1001,0),1)&gt;=100000,INDEX($AB$1005:$AQ$1005,1,MATCH(COLUMNS($AB$1006:AH1006),$AB$1006:$AQ$1006,0))&gt;=100000), " ",IF(INDEX($AB$2:$AQ$1001,MATCH(ROWS($U$2:U318),$U$2:$U$1001,0),MATCH(COLUMNS($AB$1006:AH1006),$AB$1006:$AQ$1006,0)), HYPERLINK("#",""), HYPERLINK(CONCATENATE("#metadata!", ADDRESS(INDEX($W$2:$W$1001,MATCH(ROWS($U$2:U318),$U$2:$U$1001,0),0), INDEX($AB$1004:$AQ$1004,1,MATCH(COLUMNS($AB$1006:AH1006),$AB$1006:$AQ$1006,0)))),"Fix")))</f>
        <v>0</v>
      </c>
      <c r="I318" s="4">
        <f>IF(OR(INDEX($V$2:$V$1001,MATCH(ROWS($U$2:U318),$U$2:$U$1001,0),1)&gt;=100000,INDEX($AB$1005:$AQ$1005,1,MATCH(COLUMNS($AB$1006:AI1006),$AB$1006:$AQ$1006,0))&gt;=100000), " ",IF(INDEX($AB$2:$AQ$1001,MATCH(ROWS($U$2:U318),$U$2:$U$1001,0),MATCH(COLUMNS($AB$1006:AI1006),$AB$1006:$AQ$1006,0)), HYPERLINK("#",""), HYPERLINK(CONCATENATE("#metadata!", ADDRESS(INDEX($W$2:$W$1001,MATCH(ROWS($U$2:U318),$U$2:$U$1001,0),0), INDEX($AB$1004:$AQ$1004,1,MATCH(COLUMNS($AB$1006:AI1006),$AB$1006:$AQ$1006,0)))),"Fix")))</f>
        <v>0</v>
      </c>
      <c r="J318" s="4">
        <f>IF(OR(INDEX($V$2:$V$1001,MATCH(ROWS($U$2:U318),$U$2:$U$1001,0),1)&gt;=100000,INDEX($AB$1005:$AQ$1005,1,MATCH(COLUMNS($AB$1006:AJ1006),$AB$1006:$AQ$1006,0))&gt;=100000), " ",IF(INDEX($AB$2:$AQ$1001,MATCH(ROWS($U$2:U318),$U$2:$U$1001,0),MATCH(COLUMNS($AB$1006:AJ1006),$AB$1006:$AQ$1006,0)), HYPERLINK("#",""), HYPERLINK(CONCATENATE("#metadata!", ADDRESS(INDEX($W$2:$W$1001,MATCH(ROWS($U$2:U318),$U$2:$U$1001,0),0), INDEX($AB$1004:$AQ$1004,1,MATCH(COLUMNS($AB$1006:AJ1006),$AB$1006:$AQ$1006,0)))),"Fix")))</f>
        <v>0</v>
      </c>
      <c r="K318" s="4">
        <f>IF(OR(INDEX($V$2:$V$1001,MATCH(ROWS($U$2:U318),$U$2:$U$1001,0),1)&gt;=100000,INDEX($AB$1005:$AQ$1005,1,MATCH(COLUMNS($AB$1006:AK1006),$AB$1006:$AQ$1006,0))&gt;=100000), " ",IF(INDEX($AB$2:$AQ$1001,MATCH(ROWS($U$2:U318),$U$2:$U$1001,0),MATCH(COLUMNS($AB$1006:AK1006),$AB$1006:$AQ$1006,0)), HYPERLINK("#",""), HYPERLINK(CONCATENATE("#metadata!", ADDRESS(INDEX($W$2:$W$1001,MATCH(ROWS($U$2:U318),$U$2:$U$1001,0),0), INDEX($AB$1004:$AQ$1004,1,MATCH(COLUMNS($AB$1006:AK1006),$AB$1006:$AQ$1006,0)))),"Fix")))</f>
        <v>0</v>
      </c>
      <c r="L318" s="4">
        <f>IF(OR(INDEX($V$2:$V$1001,MATCH(ROWS($U$2:U318),$U$2:$U$1001,0),1)&gt;=100000,INDEX($AB$1005:$AQ$1005,1,MATCH(COLUMNS($AB$1006:AL1006),$AB$1006:$AQ$1006,0))&gt;=100000), " ",IF(INDEX($AB$2:$AQ$1001,MATCH(ROWS($U$2:U318),$U$2:$U$1001,0),MATCH(COLUMNS($AB$1006:AL1006),$AB$1006:$AQ$1006,0)), HYPERLINK("#",""), HYPERLINK(CONCATENATE("#metadata!", ADDRESS(INDEX($W$2:$W$1001,MATCH(ROWS($U$2:U318),$U$2:$U$1001,0),0), INDEX($AB$1004:$AQ$1004,1,MATCH(COLUMNS($AB$1006:AL1006),$AB$1006:$AQ$1006,0)))),"Fix")))</f>
        <v>0</v>
      </c>
      <c r="M318" s="4">
        <f>IF(OR(INDEX($V$2:$V$1001,MATCH(ROWS($U$2:U318),$U$2:$U$1001,0),1)&gt;=100000,INDEX($AB$1005:$AQ$1005,1,MATCH(COLUMNS($AB$1006:AM1006),$AB$1006:$AQ$1006,0))&gt;=100000), " ",IF(INDEX($AB$2:$AQ$1001,MATCH(ROWS($U$2:U318),$U$2:$U$1001,0),MATCH(COLUMNS($AB$1006:AM1006),$AB$1006:$AQ$1006,0)), HYPERLINK("#",""), HYPERLINK(CONCATENATE("#metadata!", ADDRESS(INDEX($W$2:$W$1001,MATCH(ROWS($U$2:U318),$U$2:$U$1001,0),0), INDEX($AB$1004:$AQ$1004,1,MATCH(COLUMNS($AB$1006:AM1006),$AB$1006:$AQ$1006,0)))),"Fix")))</f>
        <v>0</v>
      </c>
      <c r="N318" s="4">
        <f>IF(OR(INDEX($V$2:$V$1001,MATCH(ROWS($U$2:U318),$U$2:$U$1001,0),1)&gt;=100000,INDEX($AB$1005:$AQ$1005,1,MATCH(COLUMNS($AB$1006:AN1006),$AB$1006:$AQ$1006,0))&gt;=100000), " ",IF(INDEX($AB$2:$AQ$1001,MATCH(ROWS($U$2:U318),$U$2:$U$1001,0),MATCH(COLUMNS($AB$1006:AN1006),$AB$1006:$AQ$1006,0)), HYPERLINK("#",""), HYPERLINK(CONCATENATE("#metadata!", ADDRESS(INDEX($W$2:$W$1001,MATCH(ROWS($U$2:U318),$U$2:$U$1001,0),0), INDEX($AB$1004:$AQ$1004,1,MATCH(COLUMNS($AB$1006:AN1006),$AB$1006:$AQ$1006,0)))),"Fix")))</f>
        <v>0</v>
      </c>
      <c r="O318" s="4">
        <f>IF(OR(INDEX($V$2:$V$1001,MATCH(ROWS($U$2:U318),$U$2:$U$1001,0),1)&gt;=100000,INDEX($AB$1005:$AQ$1005,1,MATCH(COLUMNS($AB$1006:AO1006),$AB$1006:$AQ$1006,0))&gt;=100000), " ",IF(INDEX($AB$2:$AQ$1001,MATCH(ROWS($U$2:U318),$U$2:$U$1001,0),MATCH(COLUMNS($AB$1006:AO1006),$AB$1006:$AQ$1006,0)), HYPERLINK("#",""), HYPERLINK(CONCATENATE("#metadata!", ADDRESS(INDEX($W$2:$W$1001,MATCH(ROWS($U$2:U318),$U$2:$U$1001,0),0), INDEX($AB$1004:$AQ$1004,1,MATCH(COLUMNS($AB$1006:AO1006),$AB$1006:$AQ$1006,0)))),"Fix")))</f>
        <v>0</v>
      </c>
      <c r="P318" s="4">
        <f>IF(OR(INDEX($V$2:$V$1001,MATCH(ROWS($U$2:U318),$U$2:$U$1001,0),1)&gt;=100000,INDEX($AB$1005:$AQ$1005,1,MATCH(COLUMNS($AB$1006:AP1006),$AB$1006:$AQ$1006,0))&gt;=100000), " ",IF(INDEX($AB$2:$AQ$1001,MATCH(ROWS($U$2:U318),$U$2:$U$1001,0),MATCH(COLUMNS($AB$1006:AP1006),$AB$1006:$AQ$1006,0)), HYPERLINK("#",""), HYPERLINK(CONCATENATE("#metadata!", ADDRESS(INDEX($W$2:$W$1001,MATCH(ROWS($U$2:U318),$U$2:$U$1001,0),0), INDEX($AB$1004:$AQ$1004,1,MATCH(COLUMNS($AB$1006:AP1006),$AB$1006:$AQ$1006,0)))),"Fix")))</f>
        <v>0</v>
      </c>
      <c r="Q318" s="4">
        <f>IF(OR(INDEX($V$2:$V$1001,MATCH(ROWS($U$2:U318),$U$2:$U$1001,0),1)&gt;=100000,INDEX($AB$1005:$AQ$1005,1,MATCH(COLUMNS($AB$1006:AQ1006),$AB$1006:$AQ$1006,0))&gt;=100000), " ",IF(INDEX($AB$2:$AQ$1001,MATCH(ROWS($U$2:U318),$U$2:$U$1001,0),MATCH(COLUMNS($AB$1006:AQ1006),$AB$1006:$AQ$1006,0)), HYPERLINK("#",""), HYPERLINK(CONCATENATE("#metadata!", ADDRESS(INDEX($W$2:$W$1001,MATCH(ROWS($U$2:U318),$U$2:$U$1001,0),0), INDEX($AB$1004:$AQ$1004,1,MATCH(COLUMNS($AB$1006:AQ1006),$AB$1006:$AQ$1006,0)))),"Fix")))</f>
        <v>0</v>
      </c>
      <c r="U318">
        <v>0</v>
      </c>
      <c r="V318">
        <v>0</v>
      </c>
      <c r="W318">
        <v>0</v>
      </c>
      <c r="X318">
        <f>IF(Y318,TRUE,AND(AB318:AQ318))</f>
        <v>0</v>
      </c>
      <c r="Y318">
        <f>COUNTBLANK(metadata!B318:Q318)=COLUMNS(metadata!B318:Q318)</f>
        <v>0</v>
      </c>
      <c r="Z318">
        <v>0</v>
      </c>
      <c r="AB318">
        <f>AND(IF(metadata!B318="",FALSE,TRUE),COUNTIF(metadata!B:B, metadata!B318) = 1,NOT(ISERROR(SUMPRODUCT(SEARCH(MID(metadata!B318,ROW(INDIRECT("1:"&amp;LEN(metadata!B318))), 1),"0123456789abcdefghijklmnopqrstuvwxyzABCDEFGHIJKLMNOPQRSTUVWXYZ.")))))</f>
        <v>0</v>
      </c>
      <c r="AC318">
        <f>OR(AND(IF(metadata!C318="",FALSE,TRUE),OR(exact(metadata!C318,"missing: not collected"),exact(metadata!C318,"missing: not provided"),exact(metadata!C318,"missing: restricted access"))),AND(IF(metadata!C318="",FALSE,TRUE),AND(AND(IFERROR(INT(LEFT(metadata!C318,4))&gt;1900,FALSE),IFERROR(INT(LEFT(metadata!C318,4))&lt;=YEAR(NOW()),FALSE)), OR(MID(metadata!C318,5,1)="", AND(AND(MID(metadata!C318,5,1)="-",IFERROR(INT(MID(metadata!C318,6,1))&gt;=0,FALSE),IFERROR(INT(MID(metadata!C318,6,1))&lt;=1,FALSE),NOT(MID(metadata!C318,7,1)=""),IFERROR(INT(MID(metadata!C318,6,2))&gt;=1,FALSE),IFERROR(INT(MID(metadata!C318,6,2))&lt;=12,FALSE)), OR(MID(metadata!C318,8,1)="", AND(AND(MID(metadata!C318,8,1)="-",IFERROR(INT(MID(metadata!C318,9,1))&gt;=0,FALSE),IFERROR(INT(MID(metadata!C318,9,1))&lt;=3,FALSE),NOT(MID(metadata!C318,10,1)=""),IFERROR(INT(MID(metadata!C318,9,2))&gt;=1,FALSE),IFERROR(INT(MID(metadata!C318,9,2))&lt;=31,FALSE)), OR(MID(metadata!C318,11,1)="", AND(AND(MID(metadata!C318,11,1)=" ",IFERROR(INT(MID(metadata!C318,12,1))&gt;=0,FALSE),IFERROR(INT(MID(metadata!C318,12,1))&lt;=2,FALSE),NOT(MID(metadata!C318,13,1)=""),IFERROR(INT(MID(metadata!C318,12,2))&gt;=0,FALSE),IFERROR(INT(MID(metadata!C318,12,2))&lt;=23,FALSE)), OR(MID(metadata!C318,14,1)="", AND(AND(MID(metadata!C318,14,1)=":",IFERROR(INT(MID(metadata!C318,15,1))&gt;=0,FALSE),IFERROR(INT(MID(metadata!C318,15,1))&lt;=5,FALSE),NOT(MID(metadata!C318,16,1)=""),IFERROR(INT(MID(metadata!C318,15,2))&gt;=0,FALSE),IFERROR(INT(MID(metadata!C318,15,2))&lt;=59,FALSE)), OR(MID(metadata!C318,17,1)="", AND(AND(MID(metadata!C318,17,1)=":",IFERROR(INT(MID(metadata!C318,18,1))&gt;=0,FALSE),IFERROR(INT(MID(metadata!C318,18,1))&lt;=5,FALSE),NOT(MID(metadata!C318,19,1)=""),IFERROR(INT(MID(metadata!C318,18,2))&gt;=0,FALSE),IFERROR(INT(MID(metadata!C318,18,2))&lt;=59,FALSE)), LEN(metadata!C318)&lt;=19)))))))))))))</f>
        <v>0</v>
      </c>
      <c r="AD318">
        <f>IF(metadata!D318="",FALSE,TRUE)</f>
        <v>0</v>
      </c>
      <c r="AE318">
        <f>OR(AND(IF(metadata!E318="",FALSE,TRUE),OR(exact(metadata!E318,"missing: not collected"),exact(metadata!E318,"missing: not provided"))),AND(IF(metadata!E318="",FALSE,TRUE),OR(exact(metadata!E318,"TRUE"),exact(metadata!E318,"FALSE"))))</f>
        <v>0</v>
      </c>
      <c r="AF318">
        <f>IF(metadata!F318="",FALSE,TRUE)</f>
        <v>0</v>
      </c>
      <c r="AG318">
        <f>IF(metadata!G318="",FALSE,TRUE)</f>
        <v>0</v>
      </c>
      <c r="AH318">
        <f>IF(metadata!H318="",FALSE,TRUE)</f>
        <v>0</v>
      </c>
      <c r="AI318">
        <f>OR(AND(IF(metadata!I318="",FALSE,TRUE),OR(exact(metadata!I318,"missing: not collected"),exact(metadata!I318,"missing: not provided"),exact(metadata!I318,"missing: restricted access"))),AND(IF(metadata!I318="",FALSE,TRUE),OR(exact(metadata!I318,"air"),exact(metadata!I318,"built environment"),exact(metadata!I318,"host-associated"),exact(metadata!I318,"human-associated"),exact(metadata!I318,"human-skin"),exact(metadata!I318,"human-oral"),exact(metadata!I318,"human-gut"),exact(metadata!I318,"human-vaginal"),exact(metadata!I318,"microbial mat/biofilm"),exact(metadata!I318,"misc environment"),exact(metadata!I318,"plant-associated"),exact(metadata!I318,"sediment"),exact(metadata!I318,"soil"),exact(metadata!I318,"wastewater/sludge"),exact(metadata!I318,"water"))))</f>
        <v>0</v>
      </c>
      <c r="AJ318">
        <f>IF(metadata!J318="",FALSE,TRUE)</f>
        <v>0</v>
      </c>
      <c r="AK318">
        <f>OR(AND(IF(metadata!K318="",FALSE,TRUE),OR(exact(metadata!K318,"missing: not collected"),exact(metadata!K318,"missing: not provided"),exact(metadata!K318,"missing: restricted access"))),AND(IF(metadata!K318="",FALSE,ISNUMBER(VALUE(metadata!K318))),metadata!K318&gt;=-90.00,metadata!K318&lt;=90.00))</f>
        <v>0</v>
      </c>
      <c r="AL318">
        <f>OR(AND(IF(metadata!L318="",FALSE,TRUE),OR(exact(metadata!L318,"missing: not collected"),exact(metadata!L318,"missing: not provided"),exact(metadata!L318,"missing: restricted access"))),AND(IF(metadata!L318="",FALSE,ISNUMBER(VALUE(metadata!L318))),metadata!L318&gt;=-180.00,metadata!L318&lt;=180.00))</f>
        <v>0</v>
      </c>
      <c r="AM318">
        <f>IF(metadata!M318="",FALSE,TRUE)</f>
        <v>0</v>
      </c>
      <c r="AN318">
        <f>OR(AND(IF(metadata!N318="",FALSE,TRUE),OR(exact(metadata!N318,"missing: not collected"),exact(metadata!N318,"missing: not provided"),exact(metadata!N318,"missing: restricted access"))),AND(IF(metadata!N318="",FALSE,TRUE),OR(exact(metadata!N318,"TRUE"),exact(metadata!N318,"FALSE"))))</f>
        <v>0</v>
      </c>
      <c r="AO318">
        <f>IF(metadata!O318="",FALSE,TRUE)</f>
        <v>0</v>
      </c>
      <c r="AP318">
        <f>OR(AND(IF(metadata!P318="",FALSE,TRUE),OR(exact(metadata!P318,"missing: not collected"),exact(metadata!P318,"missing: not provided"))),AND(IF(metadata!P318="",FALSE,IF(ISERROR(INT(metadata!P318)),FALSE,INT(metadata!P318)=metadata!P318)),metadata!P318&gt;0))</f>
        <v>0</v>
      </c>
      <c r="AQ318">
        <f>IF(metadata!Q318="",FALSE,TRUE)</f>
        <v>0</v>
      </c>
    </row>
    <row r="319" spans="1:43">
      <c r="A319" s="5">
        <f>IF(B319=" "," ",HYPERLINK(CONCATENATE("#metadata!",ADDRESS(INDEX($W$2:$W$1001,MATCH(ROWS($U$2:U319),$U$2:$U$1001,0),0),1)),INDEX($Z$2:$Z$1001,MATCH(ROWS($U$2:U319),$U$2:$U$1001,0),0)))</f>
        <v>0</v>
      </c>
      <c r="B319" s="4">
        <f>IF(OR(INDEX($V$2:$V$1001,MATCH(ROWS($U$2:U319),$U$2:$U$1001,0),1)&gt;=100000,INDEX($AB$1005:$AQ$1005,1,MATCH(COLUMNS($AB$1006:AB1006),$AB$1006:$AQ$1006,0))&gt;=100000), " ",IF(INDEX($AB$2:$AQ$1001,MATCH(ROWS($U$2:U319),$U$2:$U$1001,0),MATCH(COLUMNS($AB$1006:AB1006),$AB$1006:$AQ$1006,0)), HYPERLINK("#",""), HYPERLINK(CONCATENATE("#metadata!", ADDRESS(INDEX($W$2:$W$1001,MATCH(ROWS($U$2:U319),$U$2:$U$1001,0),0), INDEX($AB$1004:$AQ$1004,1,MATCH(COLUMNS($AB$1006:AB1006),$AB$1006:$AQ$1006,0)))),"Fix")))</f>
        <v>0</v>
      </c>
      <c r="C319" s="4">
        <f>IF(OR(INDEX($V$2:$V$1001,MATCH(ROWS($U$2:U319),$U$2:$U$1001,0),1)&gt;=100000,INDEX($AB$1005:$AQ$1005,1,MATCH(COLUMNS($AB$1006:AC1006),$AB$1006:$AQ$1006,0))&gt;=100000), " ",IF(INDEX($AB$2:$AQ$1001,MATCH(ROWS($U$2:U319),$U$2:$U$1001,0),MATCH(COLUMNS($AB$1006:AC1006),$AB$1006:$AQ$1006,0)), HYPERLINK("#",""), HYPERLINK(CONCATENATE("#metadata!", ADDRESS(INDEX($W$2:$W$1001,MATCH(ROWS($U$2:U319),$U$2:$U$1001,0),0), INDEX($AB$1004:$AQ$1004,1,MATCH(COLUMNS($AB$1006:AC1006),$AB$1006:$AQ$1006,0)))),"Fix")))</f>
        <v>0</v>
      </c>
      <c r="D319" s="4">
        <f>IF(OR(INDEX($V$2:$V$1001,MATCH(ROWS($U$2:U319),$U$2:$U$1001,0),1)&gt;=100000,INDEX($AB$1005:$AQ$1005,1,MATCH(COLUMNS($AB$1006:AD1006),$AB$1006:$AQ$1006,0))&gt;=100000), " ",IF(INDEX($AB$2:$AQ$1001,MATCH(ROWS($U$2:U319),$U$2:$U$1001,0),MATCH(COLUMNS($AB$1006:AD1006),$AB$1006:$AQ$1006,0)), HYPERLINK("#",""), HYPERLINK(CONCATENATE("#metadata!", ADDRESS(INDEX($W$2:$W$1001,MATCH(ROWS($U$2:U319),$U$2:$U$1001,0),0), INDEX($AB$1004:$AQ$1004,1,MATCH(COLUMNS($AB$1006:AD1006),$AB$1006:$AQ$1006,0)))),"Fix")))</f>
        <v>0</v>
      </c>
      <c r="E319" s="4">
        <f>IF(OR(INDEX($V$2:$V$1001,MATCH(ROWS($U$2:U319),$U$2:$U$1001,0),1)&gt;=100000,INDEX($AB$1005:$AQ$1005,1,MATCH(COLUMNS($AB$1006:AE1006),$AB$1006:$AQ$1006,0))&gt;=100000), " ",IF(INDEX($AB$2:$AQ$1001,MATCH(ROWS($U$2:U319),$U$2:$U$1001,0),MATCH(COLUMNS($AB$1006:AE1006),$AB$1006:$AQ$1006,0)), HYPERLINK("#",""), HYPERLINK(CONCATENATE("#metadata!", ADDRESS(INDEX($W$2:$W$1001,MATCH(ROWS($U$2:U319),$U$2:$U$1001,0),0), INDEX($AB$1004:$AQ$1004,1,MATCH(COLUMNS($AB$1006:AE1006),$AB$1006:$AQ$1006,0)))),"Fix")))</f>
        <v>0</v>
      </c>
      <c r="F319" s="4">
        <f>IF(OR(INDEX($V$2:$V$1001,MATCH(ROWS($U$2:U319),$U$2:$U$1001,0),1)&gt;=100000,INDEX($AB$1005:$AQ$1005,1,MATCH(COLUMNS($AB$1006:AF1006),$AB$1006:$AQ$1006,0))&gt;=100000), " ",IF(INDEX($AB$2:$AQ$1001,MATCH(ROWS($U$2:U319),$U$2:$U$1001,0),MATCH(COLUMNS($AB$1006:AF1006),$AB$1006:$AQ$1006,0)), HYPERLINK("#",""), HYPERLINK(CONCATENATE("#metadata!", ADDRESS(INDEX($W$2:$W$1001,MATCH(ROWS($U$2:U319),$U$2:$U$1001,0),0), INDEX($AB$1004:$AQ$1004,1,MATCH(COLUMNS($AB$1006:AF1006),$AB$1006:$AQ$1006,0)))),"Fix")))</f>
        <v>0</v>
      </c>
      <c r="G319" s="4">
        <f>IF(OR(INDEX($V$2:$V$1001,MATCH(ROWS($U$2:U319),$U$2:$U$1001,0),1)&gt;=100000,INDEX($AB$1005:$AQ$1005,1,MATCH(COLUMNS($AB$1006:AG1006),$AB$1006:$AQ$1006,0))&gt;=100000), " ",IF(INDEX($AB$2:$AQ$1001,MATCH(ROWS($U$2:U319),$U$2:$U$1001,0),MATCH(COLUMNS($AB$1006:AG1006),$AB$1006:$AQ$1006,0)), HYPERLINK("#",""), HYPERLINK(CONCATENATE("#metadata!", ADDRESS(INDEX($W$2:$W$1001,MATCH(ROWS($U$2:U319),$U$2:$U$1001,0),0), INDEX($AB$1004:$AQ$1004,1,MATCH(COLUMNS($AB$1006:AG1006),$AB$1006:$AQ$1006,0)))),"Fix")))</f>
        <v>0</v>
      </c>
      <c r="H319" s="4">
        <f>IF(OR(INDEX($V$2:$V$1001,MATCH(ROWS($U$2:U319),$U$2:$U$1001,0),1)&gt;=100000,INDEX($AB$1005:$AQ$1005,1,MATCH(COLUMNS($AB$1006:AH1006),$AB$1006:$AQ$1006,0))&gt;=100000), " ",IF(INDEX($AB$2:$AQ$1001,MATCH(ROWS($U$2:U319),$U$2:$U$1001,0),MATCH(COLUMNS($AB$1006:AH1006),$AB$1006:$AQ$1006,0)), HYPERLINK("#",""), HYPERLINK(CONCATENATE("#metadata!", ADDRESS(INDEX($W$2:$W$1001,MATCH(ROWS($U$2:U319),$U$2:$U$1001,0),0), INDEX($AB$1004:$AQ$1004,1,MATCH(COLUMNS($AB$1006:AH1006),$AB$1006:$AQ$1006,0)))),"Fix")))</f>
        <v>0</v>
      </c>
      <c r="I319" s="4">
        <f>IF(OR(INDEX($V$2:$V$1001,MATCH(ROWS($U$2:U319),$U$2:$U$1001,0),1)&gt;=100000,INDEX($AB$1005:$AQ$1005,1,MATCH(COLUMNS($AB$1006:AI1006),$AB$1006:$AQ$1006,0))&gt;=100000), " ",IF(INDEX($AB$2:$AQ$1001,MATCH(ROWS($U$2:U319),$U$2:$U$1001,0),MATCH(COLUMNS($AB$1006:AI1006),$AB$1006:$AQ$1006,0)), HYPERLINK("#",""), HYPERLINK(CONCATENATE("#metadata!", ADDRESS(INDEX($W$2:$W$1001,MATCH(ROWS($U$2:U319),$U$2:$U$1001,0),0), INDEX($AB$1004:$AQ$1004,1,MATCH(COLUMNS($AB$1006:AI1006),$AB$1006:$AQ$1006,0)))),"Fix")))</f>
        <v>0</v>
      </c>
      <c r="J319" s="4">
        <f>IF(OR(INDEX($V$2:$V$1001,MATCH(ROWS($U$2:U319),$U$2:$U$1001,0),1)&gt;=100000,INDEX($AB$1005:$AQ$1005,1,MATCH(COLUMNS($AB$1006:AJ1006),$AB$1006:$AQ$1006,0))&gt;=100000), " ",IF(INDEX($AB$2:$AQ$1001,MATCH(ROWS($U$2:U319),$U$2:$U$1001,0),MATCH(COLUMNS($AB$1006:AJ1006),$AB$1006:$AQ$1006,0)), HYPERLINK("#",""), HYPERLINK(CONCATENATE("#metadata!", ADDRESS(INDEX($W$2:$W$1001,MATCH(ROWS($U$2:U319),$U$2:$U$1001,0),0), INDEX($AB$1004:$AQ$1004,1,MATCH(COLUMNS($AB$1006:AJ1006),$AB$1006:$AQ$1006,0)))),"Fix")))</f>
        <v>0</v>
      </c>
      <c r="K319" s="4">
        <f>IF(OR(INDEX($V$2:$V$1001,MATCH(ROWS($U$2:U319),$U$2:$U$1001,0),1)&gt;=100000,INDEX($AB$1005:$AQ$1005,1,MATCH(COLUMNS($AB$1006:AK1006),$AB$1006:$AQ$1006,0))&gt;=100000), " ",IF(INDEX($AB$2:$AQ$1001,MATCH(ROWS($U$2:U319),$U$2:$U$1001,0),MATCH(COLUMNS($AB$1006:AK1006),$AB$1006:$AQ$1006,0)), HYPERLINK("#",""), HYPERLINK(CONCATENATE("#metadata!", ADDRESS(INDEX($W$2:$W$1001,MATCH(ROWS($U$2:U319),$U$2:$U$1001,0),0), INDEX($AB$1004:$AQ$1004,1,MATCH(COLUMNS($AB$1006:AK1006),$AB$1006:$AQ$1006,0)))),"Fix")))</f>
        <v>0</v>
      </c>
      <c r="L319" s="4">
        <f>IF(OR(INDEX($V$2:$V$1001,MATCH(ROWS($U$2:U319),$U$2:$U$1001,0),1)&gt;=100000,INDEX($AB$1005:$AQ$1005,1,MATCH(COLUMNS($AB$1006:AL1006),$AB$1006:$AQ$1006,0))&gt;=100000), " ",IF(INDEX($AB$2:$AQ$1001,MATCH(ROWS($U$2:U319),$U$2:$U$1001,0),MATCH(COLUMNS($AB$1006:AL1006),$AB$1006:$AQ$1006,0)), HYPERLINK("#",""), HYPERLINK(CONCATENATE("#metadata!", ADDRESS(INDEX($W$2:$W$1001,MATCH(ROWS($U$2:U319),$U$2:$U$1001,0),0), INDEX($AB$1004:$AQ$1004,1,MATCH(COLUMNS($AB$1006:AL1006),$AB$1006:$AQ$1006,0)))),"Fix")))</f>
        <v>0</v>
      </c>
      <c r="M319" s="4">
        <f>IF(OR(INDEX($V$2:$V$1001,MATCH(ROWS($U$2:U319),$U$2:$U$1001,0),1)&gt;=100000,INDEX($AB$1005:$AQ$1005,1,MATCH(COLUMNS($AB$1006:AM1006),$AB$1006:$AQ$1006,0))&gt;=100000), " ",IF(INDEX($AB$2:$AQ$1001,MATCH(ROWS($U$2:U319),$U$2:$U$1001,0),MATCH(COLUMNS($AB$1006:AM1006),$AB$1006:$AQ$1006,0)), HYPERLINK("#",""), HYPERLINK(CONCATENATE("#metadata!", ADDRESS(INDEX($W$2:$W$1001,MATCH(ROWS($U$2:U319),$U$2:$U$1001,0),0), INDEX($AB$1004:$AQ$1004,1,MATCH(COLUMNS($AB$1006:AM1006),$AB$1006:$AQ$1006,0)))),"Fix")))</f>
        <v>0</v>
      </c>
      <c r="N319" s="4">
        <f>IF(OR(INDEX($V$2:$V$1001,MATCH(ROWS($U$2:U319),$U$2:$U$1001,0),1)&gt;=100000,INDEX($AB$1005:$AQ$1005,1,MATCH(COLUMNS($AB$1006:AN1006),$AB$1006:$AQ$1006,0))&gt;=100000), " ",IF(INDEX($AB$2:$AQ$1001,MATCH(ROWS($U$2:U319),$U$2:$U$1001,0),MATCH(COLUMNS($AB$1006:AN1006),$AB$1006:$AQ$1006,0)), HYPERLINK("#",""), HYPERLINK(CONCATENATE("#metadata!", ADDRESS(INDEX($W$2:$W$1001,MATCH(ROWS($U$2:U319),$U$2:$U$1001,0),0), INDEX($AB$1004:$AQ$1004,1,MATCH(COLUMNS($AB$1006:AN1006),$AB$1006:$AQ$1006,0)))),"Fix")))</f>
        <v>0</v>
      </c>
      <c r="O319" s="4">
        <f>IF(OR(INDEX($V$2:$V$1001,MATCH(ROWS($U$2:U319),$U$2:$U$1001,0),1)&gt;=100000,INDEX($AB$1005:$AQ$1005,1,MATCH(COLUMNS($AB$1006:AO1006),$AB$1006:$AQ$1006,0))&gt;=100000), " ",IF(INDEX($AB$2:$AQ$1001,MATCH(ROWS($U$2:U319),$U$2:$U$1001,0),MATCH(COLUMNS($AB$1006:AO1006),$AB$1006:$AQ$1006,0)), HYPERLINK("#",""), HYPERLINK(CONCATENATE("#metadata!", ADDRESS(INDEX($W$2:$W$1001,MATCH(ROWS($U$2:U319),$U$2:$U$1001,0),0), INDEX($AB$1004:$AQ$1004,1,MATCH(COLUMNS($AB$1006:AO1006),$AB$1006:$AQ$1006,0)))),"Fix")))</f>
        <v>0</v>
      </c>
      <c r="P319" s="4">
        <f>IF(OR(INDEX($V$2:$V$1001,MATCH(ROWS($U$2:U319),$U$2:$U$1001,0),1)&gt;=100000,INDEX($AB$1005:$AQ$1005,1,MATCH(COLUMNS($AB$1006:AP1006),$AB$1006:$AQ$1006,0))&gt;=100000), " ",IF(INDEX($AB$2:$AQ$1001,MATCH(ROWS($U$2:U319),$U$2:$U$1001,0),MATCH(COLUMNS($AB$1006:AP1006),$AB$1006:$AQ$1006,0)), HYPERLINK("#",""), HYPERLINK(CONCATENATE("#metadata!", ADDRESS(INDEX($W$2:$W$1001,MATCH(ROWS($U$2:U319),$U$2:$U$1001,0),0), INDEX($AB$1004:$AQ$1004,1,MATCH(COLUMNS($AB$1006:AP1006),$AB$1006:$AQ$1006,0)))),"Fix")))</f>
        <v>0</v>
      </c>
      <c r="Q319" s="4">
        <f>IF(OR(INDEX($V$2:$V$1001,MATCH(ROWS($U$2:U319),$U$2:$U$1001,0),1)&gt;=100000,INDEX($AB$1005:$AQ$1005,1,MATCH(COLUMNS($AB$1006:AQ1006),$AB$1006:$AQ$1006,0))&gt;=100000), " ",IF(INDEX($AB$2:$AQ$1001,MATCH(ROWS($U$2:U319),$U$2:$U$1001,0),MATCH(COLUMNS($AB$1006:AQ1006),$AB$1006:$AQ$1006,0)), HYPERLINK("#",""), HYPERLINK(CONCATENATE("#metadata!", ADDRESS(INDEX($W$2:$W$1001,MATCH(ROWS($U$2:U319),$U$2:$U$1001,0),0), INDEX($AB$1004:$AQ$1004,1,MATCH(COLUMNS($AB$1006:AQ1006),$AB$1006:$AQ$1006,0)))),"Fix")))</f>
        <v>0</v>
      </c>
      <c r="U319">
        <v>0</v>
      </c>
      <c r="V319">
        <v>0</v>
      </c>
      <c r="W319">
        <v>0</v>
      </c>
      <c r="X319">
        <f>IF(Y319,TRUE,AND(AB319:AQ319))</f>
        <v>0</v>
      </c>
      <c r="Y319">
        <f>COUNTBLANK(metadata!B319:Q319)=COLUMNS(metadata!B319:Q319)</f>
        <v>0</v>
      </c>
      <c r="Z319">
        <v>0</v>
      </c>
      <c r="AB319">
        <f>AND(IF(metadata!B319="",FALSE,TRUE),COUNTIF(metadata!B:B, metadata!B319) = 1,NOT(ISERROR(SUMPRODUCT(SEARCH(MID(metadata!B319,ROW(INDIRECT("1:"&amp;LEN(metadata!B319))), 1),"0123456789abcdefghijklmnopqrstuvwxyzABCDEFGHIJKLMNOPQRSTUVWXYZ.")))))</f>
        <v>0</v>
      </c>
      <c r="AC319">
        <f>OR(AND(IF(metadata!C319="",FALSE,TRUE),OR(exact(metadata!C319,"missing: not collected"),exact(metadata!C319,"missing: not provided"),exact(metadata!C319,"missing: restricted access"))),AND(IF(metadata!C319="",FALSE,TRUE),AND(AND(IFERROR(INT(LEFT(metadata!C319,4))&gt;1900,FALSE),IFERROR(INT(LEFT(metadata!C319,4))&lt;=YEAR(NOW()),FALSE)), OR(MID(metadata!C319,5,1)="", AND(AND(MID(metadata!C319,5,1)="-",IFERROR(INT(MID(metadata!C319,6,1))&gt;=0,FALSE),IFERROR(INT(MID(metadata!C319,6,1))&lt;=1,FALSE),NOT(MID(metadata!C319,7,1)=""),IFERROR(INT(MID(metadata!C319,6,2))&gt;=1,FALSE),IFERROR(INT(MID(metadata!C319,6,2))&lt;=12,FALSE)), OR(MID(metadata!C319,8,1)="", AND(AND(MID(metadata!C319,8,1)="-",IFERROR(INT(MID(metadata!C319,9,1))&gt;=0,FALSE),IFERROR(INT(MID(metadata!C319,9,1))&lt;=3,FALSE),NOT(MID(metadata!C319,10,1)=""),IFERROR(INT(MID(metadata!C319,9,2))&gt;=1,FALSE),IFERROR(INT(MID(metadata!C319,9,2))&lt;=31,FALSE)), OR(MID(metadata!C319,11,1)="", AND(AND(MID(metadata!C319,11,1)=" ",IFERROR(INT(MID(metadata!C319,12,1))&gt;=0,FALSE),IFERROR(INT(MID(metadata!C319,12,1))&lt;=2,FALSE),NOT(MID(metadata!C319,13,1)=""),IFERROR(INT(MID(metadata!C319,12,2))&gt;=0,FALSE),IFERROR(INT(MID(metadata!C319,12,2))&lt;=23,FALSE)), OR(MID(metadata!C319,14,1)="", AND(AND(MID(metadata!C319,14,1)=":",IFERROR(INT(MID(metadata!C319,15,1))&gt;=0,FALSE),IFERROR(INT(MID(metadata!C319,15,1))&lt;=5,FALSE),NOT(MID(metadata!C319,16,1)=""),IFERROR(INT(MID(metadata!C319,15,2))&gt;=0,FALSE),IFERROR(INT(MID(metadata!C319,15,2))&lt;=59,FALSE)), OR(MID(metadata!C319,17,1)="", AND(AND(MID(metadata!C319,17,1)=":",IFERROR(INT(MID(metadata!C319,18,1))&gt;=0,FALSE),IFERROR(INT(MID(metadata!C319,18,1))&lt;=5,FALSE),NOT(MID(metadata!C319,19,1)=""),IFERROR(INT(MID(metadata!C319,18,2))&gt;=0,FALSE),IFERROR(INT(MID(metadata!C319,18,2))&lt;=59,FALSE)), LEN(metadata!C319)&lt;=19)))))))))))))</f>
        <v>0</v>
      </c>
      <c r="AD319">
        <f>IF(metadata!D319="",FALSE,TRUE)</f>
        <v>0</v>
      </c>
      <c r="AE319">
        <f>OR(AND(IF(metadata!E319="",FALSE,TRUE),OR(exact(metadata!E319,"missing: not collected"),exact(metadata!E319,"missing: not provided"))),AND(IF(metadata!E319="",FALSE,TRUE),OR(exact(metadata!E319,"TRUE"),exact(metadata!E319,"FALSE"))))</f>
        <v>0</v>
      </c>
      <c r="AF319">
        <f>IF(metadata!F319="",FALSE,TRUE)</f>
        <v>0</v>
      </c>
      <c r="AG319">
        <f>IF(metadata!G319="",FALSE,TRUE)</f>
        <v>0</v>
      </c>
      <c r="AH319">
        <f>IF(metadata!H319="",FALSE,TRUE)</f>
        <v>0</v>
      </c>
      <c r="AI319">
        <f>OR(AND(IF(metadata!I319="",FALSE,TRUE),OR(exact(metadata!I319,"missing: not collected"),exact(metadata!I319,"missing: not provided"),exact(metadata!I319,"missing: restricted access"))),AND(IF(metadata!I319="",FALSE,TRUE),OR(exact(metadata!I319,"air"),exact(metadata!I319,"built environment"),exact(metadata!I319,"host-associated"),exact(metadata!I319,"human-associated"),exact(metadata!I319,"human-skin"),exact(metadata!I319,"human-oral"),exact(metadata!I319,"human-gut"),exact(metadata!I319,"human-vaginal"),exact(metadata!I319,"microbial mat/biofilm"),exact(metadata!I319,"misc environment"),exact(metadata!I319,"plant-associated"),exact(metadata!I319,"sediment"),exact(metadata!I319,"soil"),exact(metadata!I319,"wastewater/sludge"),exact(metadata!I319,"water"))))</f>
        <v>0</v>
      </c>
      <c r="AJ319">
        <f>IF(metadata!J319="",FALSE,TRUE)</f>
        <v>0</v>
      </c>
      <c r="AK319">
        <f>OR(AND(IF(metadata!K319="",FALSE,TRUE),OR(exact(metadata!K319,"missing: not collected"),exact(metadata!K319,"missing: not provided"),exact(metadata!K319,"missing: restricted access"))),AND(IF(metadata!K319="",FALSE,ISNUMBER(VALUE(metadata!K319))),metadata!K319&gt;=-90.00,metadata!K319&lt;=90.00))</f>
        <v>0</v>
      </c>
      <c r="AL319">
        <f>OR(AND(IF(metadata!L319="",FALSE,TRUE),OR(exact(metadata!L319,"missing: not collected"),exact(metadata!L319,"missing: not provided"),exact(metadata!L319,"missing: restricted access"))),AND(IF(metadata!L319="",FALSE,ISNUMBER(VALUE(metadata!L319))),metadata!L319&gt;=-180.00,metadata!L319&lt;=180.00))</f>
        <v>0</v>
      </c>
      <c r="AM319">
        <f>IF(metadata!M319="",FALSE,TRUE)</f>
        <v>0</v>
      </c>
      <c r="AN319">
        <f>OR(AND(IF(metadata!N319="",FALSE,TRUE),OR(exact(metadata!N319,"missing: not collected"),exact(metadata!N319,"missing: not provided"),exact(metadata!N319,"missing: restricted access"))),AND(IF(metadata!N319="",FALSE,TRUE),OR(exact(metadata!N319,"TRUE"),exact(metadata!N319,"FALSE"))))</f>
        <v>0</v>
      </c>
      <c r="AO319">
        <f>IF(metadata!O319="",FALSE,TRUE)</f>
        <v>0</v>
      </c>
      <c r="AP319">
        <f>OR(AND(IF(metadata!P319="",FALSE,TRUE),OR(exact(metadata!P319,"missing: not collected"),exact(metadata!P319,"missing: not provided"))),AND(IF(metadata!P319="",FALSE,IF(ISERROR(INT(metadata!P319)),FALSE,INT(metadata!P319)=metadata!P319)),metadata!P319&gt;0))</f>
        <v>0</v>
      </c>
      <c r="AQ319">
        <f>IF(metadata!Q319="",FALSE,TRUE)</f>
        <v>0</v>
      </c>
    </row>
    <row r="320" spans="1:43">
      <c r="A320" s="5">
        <f>IF(B320=" "," ",HYPERLINK(CONCATENATE("#metadata!",ADDRESS(INDEX($W$2:$W$1001,MATCH(ROWS($U$2:U320),$U$2:$U$1001,0),0),1)),INDEX($Z$2:$Z$1001,MATCH(ROWS($U$2:U320),$U$2:$U$1001,0),0)))</f>
        <v>0</v>
      </c>
      <c r="B320" s="4">
        <f>IF(OR(INDEX($V$2:$V$1001,MATCH(ROWS($U$2:U320),$U$2:$U$1001,0),1)&gt;=100000,INDEX($AB$1005:$AQ$1005,1,MATCH(COLUMNS($AB$1006:AB1006),$AB$1006:$AQ$1006,0))&gt;=100000), " ",IF(INDEX($AB$2:$AQ$1001,MATCH(ROWS($U$2:U320),$U$2:$U$1001,0),MATCH(COLUMNS($AB$1006:AB1006),$AB$1006:$AQ$1006,0)), HYPERLINK("#",""), HYPERLINK(CONCATENATE("#metadata!", ADDRESS(INDEX($W$2:$W$1001,MATCH(ROWS($U$2:U320),$U$2:$U$1001,0),0), INDEX($AB$1004:$AQ$1004,1,MATCH(COLUMNS($AB$1006:AB1006),$AB$1006:$AQ$1006,0)))),"Fix")))</f>
        <v>0</v>
      </c>
      <c r="C320" s="4">
        <f>IF(OR(INDEX($V$2:$V$1001,MATCH(ROWS($U$2:U320),$U$2:$U$1001,0),1)&gt;=100000,INDEX($AB$1005:$AQ$1005,1,MATCH(COLUMNS($AB$1006:AC1006),$AB$1006:$AQ$1006,0))&gt;=100000), " ",IF(INDEX($AB$2:$AQ$1001,MATCH(ROWS($U$2:U320),$U$2:$U$1001,0),MATCH(COLUMNS($AB$1006:AC1006),$AB$1006:$AQ$1006,0)), HYPERLINK("#",""), HYPERLINK(CONCATENATE("#metadata!", ADDRESS(INDEX($W$2:$W$1001,MATCH(ROWS($U$2:U320),$U$2:$U$1001,0),0), INDEX($AB$1004:$AQ$1004,1,MATCH(COLUMNS($AB$1006:AC1006),$AB$1006:$AQ$1006,0)))),"Fix")))</f>
        <v>0</v>
      </c>
      <c r="D320" s="4">
        <f>IF(OR(INDEX($V$2:$V$1001,MATCH(ROWS($U$2:U320),$U$2:$U$1001,0),1)&gt;=100000,INDEX($AB$1005:$AQ$1005,1,MATCH(COLUMNS($AB$1006:AD1006),$AB$1006:$AQ$1006,0))&gt;=100000), " ",IF(INDEX($AB$2:$AQ$1001,MATCH(ROWS($U$2:U320),$U$2:$U$1001,0),MATCH(COLUMNS($AB$1006:AD1006),$AB$1006:$AQ$1006,0)), HYPERLINK("#",""), HYPERLINK(CONCATENATE("#metadata!", ADDRESS(INDEX($W$2:$W$1001,MATCH(ROWS($U$2:U320),$U$2:$U$1001,0),0), INDEX($AB$1004:$AQ$1004,1,MATCH(COLUMNS($AB$1006:AD1006),$AB$1006:$AQ$1006,0)))),"Fix")))</f>
        <v>0</v>
      </c>
      <c r="E320" s="4">
        <f>IF(OR(INDEX($V$2:$V$1001,MATCH(ROWS($U$2:U320),$U$2:$U$1001,0),1)&gt;=100000,INDEX($AB$1005:$AQ$1005,1,MATCH(COLUMNS($AB$1006:AE1006),$AB$1006:$AQ$1006,0))&gt;=100000), " ",IF(INDEX($AB$2:$AQ$1001,MATCH(ROWS($U$2:U320),$U$2:$U$1001,0),MATCH(COLUMNS($AB$1006:AE1006),$AB$1006:$AQ$1006,0)), HYPERLINK("#",""), HYPERLINK(CONCATENATE("#metadata!", ADDRESS(INDEX($W$2:$W$1001,MATCH(ROWS($U$2:U320),$U$2:$U$1001,0),0), INDEX($AB$1004:$AQ$1004,1,MATCH(COLUMNS($AB$1006:AE1006),$AB$1006:$AQ$1006,0)))),"Fix")))</f>
        <v>0</v>
      </c>
      <c r="F320" s="4">
        <f>IF(OR(INDEX($V$2:$V$1001,MATCH(ROWS($U$2:U320),$U$2:$U$1001,0),1)&gt;=100000,INDEX($AB$1005:$AQ$1005,1,MATCH(COLUMNS($AB$1006:AF1006),$AB$1006:$AQ$1006,0))&gt;=100000), " ",IF(INDEX($AB$2:$AQ$1001,MATCH(ROWS($U$2:U320),$U$2:$U$1001,0),MATCH(COLUMNS($AB$1006:AF1006),$AB$1006:$AQ$1006,0)), HYPERLINK("#",""), HYPERLINK(CONCATENATE("#metadata!", ADDRESS(INDEX($W$2:$W$1001,MATCH(ROWS($U$2:U320),$U$2:$U$1001,0),0), INDEX($AB$1004:$AQ$1004,1,MATCH(COLUMNS($AB$1006:AF1006),$AB$1006:$AQ$1006,0)))),"Fix")))</f>
        <v>0</v>
      </c>
      <c r="G320" s="4">
        <f>IF(OR(INDEX($V$2:$V$1001,MATCH(ROWS($U$2:U320),$U$2:$U$1001,0),1)&gt;=100000,INDEX($AB$1005:$AQ$1005,1,MATCH(COLUMNS($AB$1006:AG1006),$AB$1006:$AQ$1006,0))&gt;=100000), " ",IF(INDEX($AB$2:$AQ$1001,MATCH(ROWS($U$2:U320),$U$2:$U$1001,0),MATCH(COLUMNS($AB$1006:AG1006),$AB$1006:$AQ$1006,0)), HYPERLINK("#",""), HYPERLINK(CONCATENATE("#metadata!", ADDRESS(INDEX($W$2:$W$1001,MATCH(ROWS($U$2:U320),$U$2:$U$1001,0),0), INDEX($AB$1004:$AQ$1004,1,MATCH(COLUMNS($AB$1006:AG1006),$AB$1006:$AQ$1006,0)))),"Fix")))</f>
        <v>0</v>
      </c>
      <c r="H320" s="4">
        <f>IF(OR(INDEX($V$2:$V$1001,MATCH(ROWS($U$2:U320),$U$2:$U$1001,0),1)&gt;=100000,INDEX($AB$1005:$AQ$1005,1,MATCH(COLUMNS($AB$1006:AH1006),$AB$1006:$AQ$1006,0))&gt;=100000), " ",IF(INDEX($AB$2:$AQ$1001,MATCH(ROWS($U$2:U320),$U$2:$U$1001,0),MATCH(COLUMNS($AB$1006:AH1006),$AB$1006:$AQ$1006,0)), HYPERLINK("#",""), HYPERLINK(CONCATENATE("#metadata!", ADDRESS(INDEX($W$2:$W$1001,MATCH(ROWS($U$2:U320),$U$2:$U$1001,0),0), INDEX($AB$1004:$AQ$1004,1,MATCH(COLUMNS($AB$1006:AH1006),$AB$1006:$AQ$1006,0)))),"Fix")))</f>
        <v>0</v>
      </c>
      <c r="I320" s="4">
        <f>IF(OR(INDEX($V$2:$V$1001,MATCH(ROWS($U$2:U320),$U$2:$U$1001,0),1)&gt;=100000,INDEX($AB$1005:$AQ$1005,1,MATCH(COLUMNS($AB$1006:AI1006),$AB$1006:$AQ$1006,0))&gt;=100000), " ",IF(INDEX($AB$2:$AQ$1001,MATCH(ROWS($U$2:U320),$U$2:$U$1001,0),MATCH(COLUMNS($AB$1006:AI1006),$AB$1006:$AQ$1006,0)), HYPERLINK("#",""), HYPERLINK(CONCATENATE("#metadata!", ADDRESS(INDEX($W$2:$W$1001,MATCH(ROWS($U$2:U320),$U$2:$U$1001,0),0), INDEX($AB$1004:$AQ$1004,1,MATCH(COLUMNS($AB$1006:AI1006),$AB$1006:$AQ$1006,0)))),"Fix")))</f>
        <v>0</v>
      </c>
      <c r="J320" s="4">
        <f>IF(OR(INDEX($V$2:$V$1001,MATCH(ROWS($U$2:U320),$U$2:$U$1001,0),1)&gt;=100000,INDEX($AB$1005:$AQ$1005,1,MATCH(COLUMNS($AB$1006:AJ1006),$AB$1006:$AQ$1006,0))&gt;=100000), " ",IF(INDEX($AB$2:$AQ$1001,MATCH(ROWS($U$2:U320),$U$2:$U$1001,0),MATCH(COLUMNS($AB$1006:AJ1006),$AB$1006:$AQ$1006,0)), HYPERLINK("#",""), HYPERLINK(CONCATENATE("#metadata!", ADDRESS(INDEX($W$2:$W$1001,MATCH(ROWS($U$2:U320),$U$2:$U$1001,0),0), INDEX($AB$1004:$AQ$1004,1,MATCH(COLUMNS($AB$1006:AJ1006),$AB$1006:$AQ$1006,0)))),"Fix")))</f>
        <v>0</v>
      </c>
      <c r="K320" s="4">
        <f>IF(OR(INDEX($V$2:$V$1001,MATCH(ROWS($U$2:U320),$U$2:$U$1001,0),1)&gt;=100000,INDEX($AB$1005:$AQ$1005,1,MATCH(COLUMNS($AB$1006:AK1006),$AB$1006:$AQ$1006,0))&gt;=100000), " ",IF(INDEX($AB$2:$AQ$1001,MATCH(ROWS($U$2:U320),$U$2:$U$1001,0),MATCH(COLUMNS($AB$1006:AK1006),$AB$1006:$AQ$1006,0)), HYPERLINK("#",""), HYPERLINK(CONCATENATE("#metadata!", ADDRESS(INDEX($W$2:$W$1001,MATCH(ROWS($U$2:U320),$U$2:$U$1001,0),0), INDEX($AB$1004:$AQ$1004,1,MATCH(COLUMNS($AB$1006:AK1006),$AB$1006:$AQ$1006,0)))),"Fix")))</f>
        <v>0</v>
      </c>
      <c r="L320" s="4">
        <f>IF(OR(INDEX($V$2:$V$1001,MATCH(ROWS($U$2:U320),$U$2:$U$1001,0),1)&gt;=100000,INDEX($AB$1005:$AQ$1005,1,MATCH(COLUMNS($AB$1006:AL1006),$AB$1006:$AQ$1006,0))&gt;=100000), " ",IF(INDEX($AB$2:$AQ$1001,MATCH(ROWS($U$2:U320),$U$2:$U$1001,0),MATCH(COLUMNS($AB$1006:AL1006),$AB$1006:$AQ$1006,0)), HYPERLINK("#",""), HYPERLINK(CONCATENATE("#metadata!", ADDRESS(INDEX($W$2:$W$1001,MATCH(ROWS($U$2:U320),$U$2:$U$1001,0),0), INDEX($AB$1004:$AQ$1004,1,MATCH(COLUMNS($AB$1006:AL1006),$AB$1006:$AQ$1006,0)))),"Fix")))</f>
        <v>0</v>
      </c>
      <c r="M320" s="4">
        <f>IF(OR(INDEX($V$2:$V$1001,MATCH(ROWS($U$2:U320),$U$2:$U$1001,0),1)&gt;=100000,INDEX($AB$1005:$AQ$1005,1,MATCH(COLUMNS($AB$1006:AM1006),$AB$1006:$AQ$1006,0))&gt;=100000), " ",IF(INDEX($AB$2:$AQ$1001,MATCH(ROWS($U$2:U320),$U$2:$U$1001,0),MATCH(COLUMNS($AB$1006:AM1006),$AB$1006:$AQ$1006,0)), HYPERLINK("#",""), HYPERLINK(CONCATENATE("#metadata!", ADDRESS(INDEX($W$2:$W$1001,MATCH(ROWS($U$2:U320),$U$2:$U$1001,0),0), INDEX($AB$1004:$AQ$1004,1,MATCH(COLUMNS($AB$1006:AM1006),$AB$1006:$AQ$1006,0)))),"Fix")))</f>
        <v>0</v>
      </c>
      <c r="N320" s="4">
        <f>IF(OR(INDEX($V$2:$V$1001,MATCH(ROWS($U$2:U320),$U$2:$U$1001,0),1)&gt;=100000,INDEX($AB$1005:$AQ$1005,1,MATCH(COLUMNS($AB$1006:AN1006),$AB$1006:$AQ$1006,0))&gt;=100000), " ",IF(INDEX($AB$2:$AQ$1001,MATCH(ROWS($U$2:U320),$U$2:$U$1001,0),MATCH(COLUMNS($AB$1006:AN1006),$AB$1006:$AQ$1006,0)), HYPERLINK("#",""), HYPERLINK(CONCATENATE("#metadata!", ADDRESS(INDEX($W$2:$W$1001,MATCH(ROWS($U$2:U320),$U$2:$U$1001,0),0), INDEX($AB$1004:$AQ$1004,1,MATCH(COLUMNS($AB$1006:AN1006),$AB$1006:$AQ$1006,0)))),"Fix")))</f>
        <v>0</v>
      </c>
      <c r="O320" s="4">
        <f>IF(OR(INDEX($V$2:$V$1001,MATCH(ROWS($U$2:U320),$U$2:$U$1001,0),1)&gt;=100000,INDEX($AB$1005:$AQ$1005,1,MATCH(COLUMNS($AB$1006:AO1006),$AB$1006:$AQ$1006,0))&gt;=100000), " ",IF(INDEX($AB$2:$AQ$1001,MATCH(ROWS($U$2:U320),$U$2:$U$1001,0),MATCH(COLUMNS($AB$1006:AO1006),$AB$1006:$AQ$1006,0)), HYPERLINK("#",""), HYPERLINK(CONCATENATE("#metadata!", ADDRESS(INDEX($W$2:$W$1001,MATCH(ROWS($U$2:U320),$U$2:$U$1001,0),0), INDEX($AB$1004:$AQ$1004,1,MATCH(COLUMNS($AB$1006:AO1006),$AB$1006:$AQ$1006,0)))),"Fix")))</f>
        <v>0</v>
      </c>
      <c r="P320" s="4">
        <f>IF(OR(INDEX($V$2:$V$1001,MATCH(ROWS($U$2:U320),$U$2:$U$1001,0),1)&gt;=100000,INDEX($AB$1005:$AQ$1005,1,MATCH(COLUMNS($AB$1006:AP1006),$AB$1006:$AQ$1006,0))&gt;=100000), " ",IF(INDEX($AB$2:$AQ$1001,MATCH(ROWS($U$2:U320),$U$2:$U$1001,0),MATCH(COLUMNS($AB$1006:AP1006),$AB$1006:$AQ$1006,0)), HYPERLINK("#",""), HYPERLINK(CONCATENATE("#metadata!", ADDRESS(INDEX($W$2:$W$1001,MATCH(ROWS($U$2:U320),$U$2:$U$1001,0),0), INDEX($AB$1004:$AQ$1004,1,MATCH(COLUMNS($AB$1006:AP1006),$AB$1006:$AQ$1006,0)))),"Fix")))</f>
        <v>0</v>
      </c>
      <c r="Q320" s="4">
        <f>IF(OR(INDEX($V$2:$V$1001,MATCH(ROWS($U$2:U320),$U$2:$U$1001,0),1)&gt;=100000,INDEX($AB$1005:$AQ$1005,1,MATCH(COLUMNS($AB$1006:AQ1006),$AB$1006:$AQ$1006,0))&gt;=100000), " ",IF(INDEX($AB$2:$AQ$1001,MATCH(ROWS($U$2:U320),$U$2:$U$1001,0),MATCH(COLUMNS($AB$1006:AQ1006),$AB$1006:$AQ$1006,0)), HYPERLINK("#",""), HYPERLINK(CONCATENATE("#metadata!", ADDRESS(INDEX($W$2:$W$1001,MATCH(ROWS($U$2:U320),$U$2:$U$1001,0),0), INDEX($AB$1004:$AQ$1004,1,MATCH(COLUMNS($AB$1006:AQ1006),$AB$1006:$AQ$1006,0)))),"Fix")))</f>
        <v>0</v>
      </c>
      <c r="U320">
        <v>0</v>
      </c>
      <c r="V320">
        <v>0</v>
      </c>
      <c r="W320">
        <v>0</v>
      </c>
      <c r="X320">
        <f>IF(Y320,TRUE,AND(AB320:AQ320))</f>
        <v>0</v>
      </c>
      <c r="Y320">
        <f>COUNTBLANK(metadata!B320:Q320)=COLUMNS(metadata!B320:Q320)</f>
        <v>0</v>
      </c>
      <c r="Z320">
        <v>0</v>
      </c>
      <c r="AB320">
        <f>AND(IF(metadata!B320="",FALSE,TRUE),COUNTIF(metadata!B:B, metadata!B320) = 1,NOT(ISERROR(SUMPRODUCT(SEARCH(MID(metadata!B320,ROW(INDIRECT("1:"&amp;LEN(metadata!B320))), 1),"0123456789abcdefghijklmnopqrstuvwxyzABCDEFGHIJKLMNOPQRSTUVWXYZ.")))))</f>
        <v>0</v>
      </c>
      <c r="AC320">
        <f>OR(AND(IF(metadata!C320="",FALSE,TRUE),OR(exact(metadata!C320,"missing: not collected"),exact(metadata!C320,"missing: not provided"),exact(metadata!C320,"missing: restricted access"))),AND(IF(metadata!C320="",FALSE,TRUE),AND(AND(IFERROR(INT(LEFT(metadata!C320,4))&gt;1900,FALSE),IFERROR(INT(LEFT(metadata!C320,4))&lt;=YEAR(NOW()),FALSE)), OR(MID(metadata!C320,5,1)="", AND(AND(MID(metadata!C320,5,1)="-",IFERROR(INT(MID(metadata!C320,6,1))&gt;=0,FALSE),IFERROR(INT(MID(metadata!C320,6,1))&lt;=1,FALSE),NOT(MID(metadata!C320,7,1)=""),IFERROR(INT(MID(metadata!C320,6,2))&gt;=1,FALSE),IFERROR(INT(MID(metadata!C320,6,2))&lt;=12,FALSE)), OR(MID(metadata!C320,8,1)="", AND(AND(MID(metadata!C320,8,1)="-",IFERROR(INT(MID(metadata!C320,9,1))&gt;=0,FALSE),IFERROR(INT(MID(metadata!C320,9,1))&lt;=3,FALSE),NOT(MID(metadata!C320,10,1)=""),IFERROR(INT(MID(metadata!C320,9,2))&gt;=1,FALSE),IFERROR(INT(MID(metadata!C320,9,2))&lt;=31,FALSE)), OR(MID(metadata!C320,11,1)="", AND(AND(MID(metadata!C320,11,1)=" ",IFERROR(INT(MID(metadata!C320,12,1))&gt;=0,FALSE),IFERROR(INT(MID(metadata!C320,12,1))&lt;=2,FALSE),NOT(MID(metadata!C320,13,1)=""),IFERROR(INT(MID(metadata!C320,12,2))&gt;=0,FALSE),IFERROR(INT(MID(metadata!C320,12,2))&lt;=23,FALSE)), OR(MID(metadata!C320,14,1)="", AND(AND(MID(metadata!C320,14,1)=":",IFERROR(INT(MID(metadata!C320,15,1))&gt;=0,FALSE),IFERROR(INT(MID(metadata!C320,15,1))&lt;=5,FALSE),NOT(MID(metadata!C320,16,1)=""),IFERROR(INT(MID(metadata!C320,15,2))&gt;=0,FALSE),IFERROR(INT(MID(metadata!C320,15,2))&lt;=59,FALSE)), OR(MID(metadata!C320,17,1)="", AND(AND(MID(metadata!C320,17,1)=":",IFERROR(INT(MID(metadata!C320,18,1))&gt;=0,FALSE),IFERROR(INT(MID(metadata!C320,18,1))&lt;=5,FALSE),NOT(MID(metadata!C320,19,1)=""),IFERROR(INT(MID(metadata!C320,18,2))&gt;=0,FALSE),IFERROR(INT(MID(metadata!C320,18,2))&lt;=59,FALSE)), LEN(metadata!C320)&lt;=19)))))))))))))</f>
        <v>0</v>
      </c>
      <c r="AD320">
        <f>IF(metadata!D320="",FALSE,TRUE)</f>
        <v>0</v>
      </c>
      <c r="AE320">
        <f>OR(AND(IF(metadata!E320="",FALSE,TRUE),OR(exact(metadata!E320,"missing: not collected"),exact(metadata!E320,"missing: not provided"))),AND(IF(metadata!E320="",FALSE,TRUE),OR(exact(metadata!E320,"TRUE"),exact(metadata!E320,"FALSE"))))</f>
        <v>0</v>
      </c>
      <c r="AF320">
        <f>IF(metadata!F320="",FALSE,TRUE)</f>
        <v>0</v>
      </c>
      <c r="AG320">
        <f>IF(metadata!G320="",FALSE,TRUE)</f>
        <v>0</v>
      </c>
      <c r="AH320">
        <f>IF(metadata!H320="",FALSE,TRUE)</f>
        <v>0</v>
      </c>
      <c r="AI320">
        <f>OR(AND(IF(metadata!I320="",FALSE,TRUE),OR(exact(metadata!I320,"missing: not collected"),exact(metadata!I320,"missing: not provided"),exact(metadata!I320,"missing: restricted access"))),AND(IF(metadata!I320="",FALSE,TRUE),OR(exact(metadata!I320,"air"),exact(metadata!I320,"built environment"),exact(metadata!I320,"host-associated"),exact(metadata!I320,"human-associated"),exact(metadata!I320,"human-skin"),exact(metadata!I320,"human-oral"),exact(metadata!I320,"human-gut"),exact(metadata!I320,"human-vaginal"),exact(metadata!I320,"microbial mat/biofilm"),exact(metadata!I320,"misc environment"),exact(metadata!I320,"plant-associated"),exact(metadata!I320,"sediment"),exact(metadata!I320,"soil"),exact(metadata!I320,"wastewater/sludge"),exact(metadata!I320,"water"))))</f>
        <v>0</v>
      </c>
      <c r="AJ320">
        <f>IF(metadata!J320="",FALSE,TRUE)</f>
        <v>0</v>
      </c>
      <c r="AK320">
        <f>OR(AND(IF(metadata!K320="",FALSE,TRUE),OR(exact(metadata!K320,"missing: not collected"),exact(metadata!K320,"missing: not provided"),exact(metadata!K320,"missing: restricted access"))),AND(IF(metadata!K320="",FALSE,ISNUMBER(VALUE(metadata!K320))),metadata!K320&gt;=-90.00,metadata!K320&lt;=90.00))</f>
        <v>0</v>
      </c>
      <c r="AL320">
        <f>OR(AND(IF(metadata!L320="",FALSE,TRUE),OR(exact(metadata!L320,"missing: not collected"),exact(metadata!L320,"missing: not provided"),exact(metadata!L320,"missing: restricted access"))),AND(IF(metadata!L320="",FALSE,ISNUMBER(VALUE(metadata!L320))),metadata!L320&gt;=-180.00,metadata!L320&lt;=180.00))</f>
        <v>0</v>
      </c>
      <c r="AM320">
        <f>IF(metadata!M320="",FALSE,TRUE)</f>
        <v>0</v>
      </c>
      <c r="AN320">
        <f>OR(AND(IF(metadata!N320="",FALSE,TRUE),OR(exact(metadata!N320,"missing: not collected"),exact(metadata!N320,"missing: not provided"),exact(metadata!N320,"missing: restricted access"))),AND(IF(metadata!N320="",FALSE,TRUE),OR(exact(metadata!N320,"TRUE"),exact(metadata!N320,"FALSE"))))</f>
        <v>0</v>
      </c>
      <c r="AO320">
        <f>IF(metadata!O320="",FALSE,TRUE)</f>
        <v>0</v>
      </c>
      <c r="AP320">
        <f>OR(AND(IF(metadata!P320="",FALSE,TRUE),OR(exact(metadata!P320,"missing: not collected"),exact(metadata!P320,"missing: not provided"))),AND(IF(metadata!P320="",FALSE,IF(ISERROR(INT(metadata!P320)),FALSE,INT(metadata!P320)=metadata!P320)),metadata!P320&gt;0))</f>
        <v>0</v>
      </c>
      <c r="AQ320">
        <f>IF(metadata!Q320="",FALSE,TRUE)</f>
        <v>0</v>
      </c>
    </row>
    <row r="321" spans="1:43">
      <c r="A321" s="5">
        <f>IF(B321=" "," ",HYPERLINK(CONCATENATE("#metadata!",ADDRESS(INDEX($W$2:$W$1001,MATCH(ROWS($U$2:U321),$U$2:$U$1001,0),0),1)),INDEX($Z$2:$Z$1001,MATCH(ROWS($U$2:U321),$U$2:$U$1001,0),0)))</f>
        <v>0</v>
      </c>
      <c r="B321" s="4">
        <f>IF(OR(INDEX($V$2:$V$1001,MATCH(ROWS($U$2:U321),$U$2:$U$1001,0),1)&gt;=100000,INDEX($AB$1005:$AQ$1005,1,MATCH(COLUMNS($AB$1006:AB1006),$AB$1006:$AQ$1006,0))&gt;=100000), " ",IF(INDEX($AB$2:$AQ$1001,MATCH(ROWS($U$2:U321),$U$2:$U$1001,0),MATCH(COLUMNS($AB$1006:AB1006),$AB$1006:$AQ$1006,0)), HYPERLINK("#",""), HYPERLINK(CONCATENATE("#metadata!", ADDRESS(INDEX($W$2:$W$1001,MATCH(ROWS($U$2:U321),$U$2:$U$1001,0),0), INDEX($AB$1004:$AQ$1004,1,MATCH(COLUMNS($AB$1006:AB1006),$AB$1006:$AQ$1006,0)))),"Fix")))</f>
        <v>0</v>
      </c>
      <c r="C321" s="4">
        <f>IF(OR(INDEX($V$2:$V$1001,MATCH(ROWS($U$2:U321),$U$2:$U$1001,0),1)&gt;=100000,INDEX($AB$1005:$AQ$1005,1,MATCH(COLUMNS($AB$1006:AC1006),$AB$1006:$AQ$1006,0))&gt;=100000), " ",IF(INDEX($AB$2:$AQ$1001,MATCH(ROWS($U$2:U321),$U$2:$U$1001,0),MATCH(COLUMNS($AB$1006:AC1006),$AB$1006:$AQ$1006,0)), HYPERLINK("#",""), HYPERLINK(CONCATENATE("#metadata!", ADDRESS(INDEX($W$2:$W$1001,MATCH(ROWS($U$2:U321),$U$2:$U$1001,0),0), INDEX($AB$1004:$AQ$1004,1,MATCH(COLUMNS($AB$1006:AC1006),$AB$1006:$AQ$1006,0)))),"Fix")))</f>
        <v>0</v>
      </c>
      <c r="D321" s="4">
        <f>IF(OR(INDEX($V$2:$V$1001,MATCH(ROWS($U$2:U321),$U$2:$U$1001,0),1)&gt;=100000,INDEX($AB$1005:$AQ$1005,1,MATCH(COLUMNS($AB$1006:AD1006),$AB$1006:$AQ$1006,0))&gt;=100000), " ",IF(INDEX($AB$2:$AQ$1001,MATCH(ROWS($U$2:U321),$U$2:$U$1001,0),MATCH(COLUMNS($AB$1006:AD1006),$AB$1006:$AQ$1006,0)), HYPERLINK("#",""), HYPERLINK(CONCATENATE("#metadata!", ADDRESS(INDEX($W$2:$W$1001,MATCH(ROWS($U$2:U321),$U$2:$U$1001,0),0), INDEX($AB$1004:$AQ$1004,1,MATCH(COLUMNS($AB$1006:AD1006),$AB$1006:$AQ$1006,0)))),"Fix")))</f>
        <v>0</v>
      </c>
      <c r="E321" s="4">
        <f>IF(OR(INDEX($V$2:$V$1001,MATCH(ROWS($U$2:U321),$U$2:$U$1001,0),1)&gt;=100000,INDEX($AB$1005:$AQ$1005,1,MATCH(COLUMNS($AB$1006:AE1006),$AB$1006:$AQ$1006,0))&gt;=100000), " ",IF(INDEX($AB$2:$AQ$1001,MATCH(ROWS($U$2:U321),$U$2:$U$1001,0),MATCH(COLUMNS($AB$1006:AE1006),$AB$1006:$AQ$1006,0)), HYPERLINK("#",""), HYPERLINK(CONCATENATE("#metadata!", ADDRESS(INDEX($W$2:$W$1001,MATCH(ROWS($U$2:U321),$U$2:$U$1001,0),0), INDEX($AB$1004:$AQ$1004,1,MATCH(COLUMNS($AB$1006:AE1006),$AB$1006:$AQ$1006,0)))),"Fix")))</f>
        <v>0</v>
      </c>
      <c r="F321" s="4">
        <f>IF(OR(INDEX($V$2:$V$1001,MATCH(ROWS($U$2:U321),$U$2:$U$1001,0),1)&gt;=100000,INDEX($AB$1005:$AQ$1005,1,MATCH(COLUMNS($AB$1006:AF1006),$AB$1006:$AQ$1006,0))&gt;=100000), " ",IF(INDEX($AB$2:$AQ$1001,MATCH(ROWS($U$2:U321),$U$2:$U$1001,0),MATCH(COLUMNS($AB$1006:AF1006),$AB$1006:$AQ$1006,0)), HYPERLINK("#",""), HYPERLINK(CONCATENATE("#metadata!", ADDRESS(INDEX($W$2:$W$1001,MATCH(ROWS($U$2:U321),$U$2:$U$1001,0),0), INDEX($AB$1004:$AQ$1004,1,MATCH(COLUMNS($AB$1006:AF1006),$AB$1006:$AQ$1006,0)))),"Fix")))</f>
        <v>0</v>
      </c>
      <c r="G321" s="4">
        <f>IF(OR(INDEX($V$2:$V$1001,MATCH(ROWS($U$2:U321),$U$2:$U$1001,0),1)&gt;=100000,INDEX($AB$1005:$AQ$1005,1,MATCH(COLUMNS($AB$1006:AG1006),$AB$1006:$AQ$1006,0))&gt;=100000), " ",IF(INDEX($AB$2:$AQ$1001,MATCH(ROWS($U$2:U321),$U$2:$U$1001,0),MATCH(COLUMNS($AB$1006:AG1006),$AB$1006:$AQ$1006,0)), HYPERLINK("#",""), HYPERLINK(CONCATENATE("#metadata!", ADDRESS(INDEX($W$2:$W$1001,MATCH(ROWS($U$2:U321),$U$2:$U$1001,0),0), INDEX($AB$1004:$AQ$1004,1,MATCH(COLUMNS($AB$1006:AG1006),$AB$1006:$AQ$1006,0)))),"Fix")))</f>
        <v>0</v>
      </c>
      <c r="H321" s="4">
        <f>IF(OR(INDEX($V$2:$V$1001,MATCH(ROWS($U$2:U321),$U$2:$U$1001,0),1)&gt;=100000,INDEX($AB$1005:$AQ$1005,1,MATCH(COLUMNS($AB$1006:AH1006),$AB$1006:$AQ$1006,0))&gt;=100000), " ",IF(INDEX($AB$2:$AQ$1001,MATCH(ROWS($U$2:U321),$U$2:$U$1001,0),MATCH(COLUMNS($AB$1006:AH1006),$AB$1006:$AQ$1006,0)), HYPERLINK("#",""), HYPERLINK(CONCATENATE("#metadata!", ADDRESS(INDEX($W$2:$W$1001,MATCH(ROWS($U$2:U321),$U$2:$U$1001,0),0), INDEX($AB$1004:$AQ$1004,1,MATCH(COLUMNS($AB$1006:AH1006),$AB$1006:$AQ$1006,0)))),"Fix")))</f>
        <v>0</v>
      </c>
      <c r="I321" s="4">
        <f>IF(OR(INDEX($V$2:$V$1001,MATCH(ROWS($U$2:U321),$U$2:$U$1001,0),1)&gt;=100000,INDEX($AB$1005:$AQ$1005,1,MATCH(COLUMNS($AB$1006:AI1006),$AB$1006:$AQ$1006,0))&gt;=100000), " ",IF(INDEX($AB$2:$AQ$1001,MATCH(ROWS($U$2:U321),$U$2:$U$1001,0),MATCH(COLUMNS($AB$1006:AI1006),$AB$1006:$AQ$1006,0)), HYPERLINK("#",""), HYPERLINK(CONCATENATE("#metadata!", ADDRESS(INDEX($W$2:$W$1001,MATCH(ROWS($U$2:U321),$U$2:$U$1001,0),0), INDEX($AB$1004:$AQ$1004,1,MATCH(COLUMNS($AB$1006:AI1006),$AB$1006:$AQ$1006,0)))),"Fix")))</f>
        <v>0</v>
      </c>
      <c r="J321" s="4">
        <f>IF(OR(INDEX($V$2:$V$1001,MATCH(ROWS($U$2:U321),$U$2:$U$1001,0),1)&gt;=100000,INDEX($AB$1005:$AQ$1005,1,MATCH(COLUMNS($AB$1006:AJ1006),$AB$1006:$AQ$1006,0))&gt;=100000), " ",IF(INDEX($AB$2:$AQ$1001,MATCH(ROWS($U$2:U321),$U$2:$U$1001,0),MATCH(COLUMNS($AB$1006:AJ1006),$AB$1006:$AQ$1006,0)), HYPERLINK("#",""), HYPERLINK(CONCATENATE("#metadata!", ADDRESS(INDEX($W$2:$W$1001,MATCH(ROWS($U$2:U321),$U$2:$U$1001,0),0), INDEX($AB$1004:$AQ$1004,1,MATCH(COLUMNS($AB$1006:AJ1006),$AB$1006:$AQ$1006,0)))),"Fix")))</f>
        <v>0</v>
      </c>
      <c r="K321" s="4">
        <f>IF(OR(INDEX($V$2:$V$1001,MATCH(ROWS($U$2:U321),$U$2:$U$1001,0),1)&gt;=100000,INDEX($AB$1005:$AQ$1005,1,MATCH(COLUMNS($AB$1006:AK1006),$AB$1006:$AQ$1006,0))&gt;=100000), " ",IF(INDEX($AB$2:$AQ$1001,MATCH(ROWS($U$2:U321),$U$2:$U$1001,0),MATCH(COLUMNS($AB$1006:AK1006),$AB$1006:$AQ$1006,0)), HYPERLINK("#",""), HYPERLINK(CONCATENATE("#metadata!", ADDRESS(INDEX($W$2:$W$1001,MATCH(ROWS($U$2:U321),$U$2:$U$1001,0),0), INDEX($AB$1004:$AQ$1004,1,MATCH(COLUMNS($AB$1006:AK1006),$AB$1006:$AQ$1006,0)))),"Fix")))</f>
        <v>0</v>
      </c>
      <c r="L321" s="4">
        <f>IF(OR(INDEX($V$2:$V$1001,MATCH(ROWS($U$2:U321),$U$2:$U$1001,0),1)&gt;=100000,INDEX($AB$1005:$AQ$1005,1,MATCH(COLUMNS($AB$1006:AL1006),$AB$1006:$AQ$1006,0))&gt;=100000), " ",IF(INDEX($AB$2:$AQ$1001,MATCH(ROWS($U$2:U321),$U$2:$U$1001,0),MATCH(COLUMNS($AB$1006:AL1006),$AB$1006:$AQ$1006,0)), HYPERLINK("#",""), HYPERLINK(CONCATENATE("#metadata!", ADDRESS(INDEX($W$2:$W$1001,MATCH(ROWS($U$2:U321),$U$2:$U$1001,0),0), INDEX($AB$1004:$AQ$1004,1,MATCH(COLUMNS($AB$1006:AL1006),$AB$1006:$AQ$1006,0)))),"Fix")))</f>
        <v>0</v>
      </c>
      <c r="M321" s="4">
        <f>IF(OR(INDEX($V$2:$V$1001,MATCH(ROWS($U$2:U321),$U$2:$U$1001,0),1)&gt;=100000,INDEX($AB$1005:$AQ$1005,1,MATCH(COLUMNS($AB$1006:AM1006),$AB$1006:$AQ$1006,0))&gt;=100000), " ",IF(INDEX($AB$2:$AQ$1001,MATCH(ROWS($U$2:U321),$U$2:$U$1001,0),MATCH(COLUMNS($AB$1006:AM1006),$AB$1006:$AQ$1006,0)), HYPERLINK("#",""), HYPERLINK(CONCATENATE("#metadata!", ADDRESS(INDEX($W$2:$W$1001,MATCH(ROWS($U$2:U321),$U$2:$U$1001,0),0), INDEX($AB$1004:$AQ$1004,1,MATCH(COLUMNS($AB$1006:AM1006),$AB$1006:$AQ$1006,0)))),"Fix")))</f>
        <v>0</v>
      </c>
      <c r="N321" s="4">
        <f>IF(OR(INDEX($V$2:$V$1001,MATCH(ROWS($U$2:U321),$U$2:$U$1001,0),1)&gt;=100000,INDEX($AB$1005:$AQ$1005,1,MATCH(COLUMNS($AB$1006:AN1006),$AB$1006:$AQ$1006,0))&gt;=100000), " ",IF(INDEX($AB$2:$AQ$1001,MATCH(ROWS($U$2:U321),$U$2:$U$1001,0),MATCH(COLUMNS($AB$1006:AN1006),$AB$1006:$AQ$1006,0)), HYPERLINK("#",""), HYPERLINK(CONCATENATE("#metadata!", ADDRESS(INDEX($W$2:$W$1001,MATCH(ROWS($U$2:U321),$U$2:$U$1001,0),0), INDEX($AB$1004:$AQ$1004,1,MATCH(COLUMNS($AB$1006:AN1006),$AB$1006:$AQ$1006,0)))),"Fix")))</f>
        <v>0</v>
      </c>
      <c r="O321" s="4">
        <f>IF(OR(INDEX($V$2:$V$1001,MATCH(ROWS($U$2:U321),$U$2:$U$1001,0),1)&gt;=100000,INDEX($AB$1005:$AQ$1005,1,MATCH(COLUMNS($AB$1006:AO1006),$AB$1006:$AQ$1006,0))&gt;=100000), " ",IF(INDEX($AB$2:$AQ$1001,MATCH(ROWS($U$2:U321),$U$2:$U$1001,0),MATCH(COLUMNS($AB$1006:AO1006),$AB$1006:$AQ$1006,0)), HYPERLINK("#",""), HYPERLINK(CONCATENATE("#metadata!", ADDRESS(INDEX($W$2:$W$1001,MATCH(ROWS($U$2:U321),$U$2:$U$1001,0),0), INDEX($AB$1004:$AQ$1004,1,MATCH(COLUMNS($AB$1006:AO1006),$AB$1006:$AQ$1006,0)))),"Fix")))</f>
        <v>0</v>
      </c>
      <c r="P321" s="4">
        <f>IF(OR(INDEX($V$2:$V$1001,MATCH(ROWS($U$2:U321),$U$2:$U$1001,0),1)&gt;=100000,INDEX($AB$1005:$AQ$1005,1,MATCH(COLUMNS($AB$1006:AP1006),$AB$1006:$AQ$1006,0))&gt;=100000), " ",IF(INDEX($AB$2:$AQ$1001,MATCH(ROWS($U$2:U321),$U$2:$U$1001,0),MATCH(COLUMNS($AB$1006:AP1006),$AB$1006:$AQ$1006,0)), HYPERLINK("#",""), HYPERLINK(CONCATENATE("#metadata!", ADDRESS(INDEX($W$2:$W$1001,MATCH(ROWS($U$2:U321),$U$2:$U$1001,0),0), INDEX($AB$1004:$AQ$1004,1,MATCH(COLUMNS($AB$1006:AP1006),$AB$1006:$AQ$1006,0)))),"Fix")))</f>
        <v>0</v>
      </c>
      <c r="Q321" s="4">
        <f>IF(OR(INDEX($V$2:$V$1001,MATCH(ROWS($U$2:U321),$U$2:$U$1001,0),1)&gt;=100000,INDEX($AB$1005:$AQ$1005,1,MATCH(COLUMNS($AB$1006:AQ1006),$AB$1006:$AQ$1006,0))&gt;=100000), " ",IF(INDEX($AB$2:$AQ$1001,MATCH(ROWS($U$2:U321),$U$2:$U$1001,0),MATCH(COLUMNS($AB$1006:AQ1006),$AB$1006:$AQ$1006,0)), HYPERLINK("#",""), HYPERLINK(CONCATENATE("#metadata!", ADDRESS(INDEX($W$2:$W$1001,MATCH(ROWS($U$2:U321),$U$2:$U$1001,0),0), INDEX($AB$1004:$AQ$1004,1,MATCH(COLUMNS($AB$1006:AQ1006),$AB$1006:$AQ$1006,0)))),"Fix")))</f>
        <v>0</v>
      </c>
      <c r="U321">
        <v>0</v>
      </c>
      <c r="V321">
        <v>0</v>
      </c>
      <c r="W321">
        <v>0</v>
      </c>
      <c r="X321">
        <f>IF(Y321,TRUE,AND(AB321:AQ321))</f>
        <v>0</v>
      </c>
      <c r="Y321">
        <f>COUNTBLANK(metadata!B321:Q321)=COLUMNS(metadata!B321:Q321)</f>
        <v>0</v>
      </c>
      <c r="Z321">
        <v>0</v>
      </c>
      <c r="AB321">
        <f>AND(IF(metadata!B321="",FALSE,TRUE),COUNTIF(metadata!B:B, metadata!B321) = 1,NOT(ISERROR(SUMPRODUCT(SEARCH(MID(metadata!B321,ROW(INDIRECT("1:"&amp;LEN(metadata!B321))), 1),"0123456789abcdefghijklmnopqrstuvwxyzABCDEFGHIJKLMNOPQRSTUVWXYZ.")))))</f>
        <v>0</v>
      </c>
      <c r="AC321">
        <f>OR(AND(IF(metadata!C321="",FALSE,TRUE),OR(exact(metadata!C321,"missing: not collected"),exact(metadata!C321,"missing: not provided"),exact(metadata!C321,"missing: restricted access"))),AND(IF(metadata!C321="",FALSE,TRUE),AND(AND(IFERROR(INT(LEFT(metadata!C321,4))&gt;1900,FALSE),IFERROR(INT(LEFT(metadata!C321,4))&lt;=YEAR(NOW()),FALSE)), OR(MID(metadata!C321,5,1)="", AND(AND(MID(metadata!C321,5,1)="-",IFERROR(INT(MID(metadata!C321,6,1))&gt;=0,FALSE),IFERROR(INT(MID(metadata!C321,6,1))&lt;=1,FALSE),NOT(MID(metadata!C321,7,1)=""),IFERROR(INT(MID(metadata!C321,6,2))&gt;=1,FALSE),IFERROR(INT(MID(metadata!C321,6,2))&lt;=12,FALSE)), OR(MID(metadata!C321,8,1)="", AND(AND(MID(metadata!C321,8,1)="-",IFERROR(INT(MID(metadata!C321,9,1))&gt;=0,FALSE),IFERROR(INT(MID(metadata!C321,9,1))&lt;=3,FALSE),NOT(MID(metadata!C321,10,1)=""),IFERROR(INT(MID(metadata!C321,9,2))&gt;=1,FALSE),IFERROR(INT(MID(metadata!C321,9,2))&lt;=31,FALSE)), OR(MID(metadata!C321,11,1)="", AND(AND(MID(metadata!C321,11,1)=" ",IFERROR(INT(MID(metadata!C321,12,1))&gt;=0,FALSE),IFERROR(INT(MID(metadata!C321,12,1))&lt;=2,FALSE),NOT(MID(metadata!C321,13,1)=""),IFERROR(INT(MID(metadata!C321,12,2))&gt;=0,FALSE),IFERROR(INT(MID(metadata!C321,12,2))&lt;=23,FALSE)), OR(MID(metadata!C321,14,1)="", AND(AND(MID(metadata!C321,14,1)=":",IFERROR(INT(MID(metadata!C321,15,1))&gt;=0,FALSE),IFERROR(INT(MID(metadata!C321,15,1))&lt;=5,FALSE),NOT(MID(metadata!C321,16,1)=""),IFERROR(INT(MID(metadata!C321,15,2))&gt;=0,FALSE),IFERROR(INT(MID(metadata!C321,15,2))&lt;=59,FALSE)), OR(MID(metadata!C321,17,1)="", AND(AND(MID(metadata!C321,17,1)=":",IFERROR(INT(MID(metadata!C321,18,1))&gt;=0,FALSE),IFERROR(INT(MID(metadata!C321,18,1))&lt;=5,FALSE),NOT(MID(metadata!C321,19,1)=""),IFERROR(INT(MID(metadata!C321,18,2))&gt;=0,FALSE),IFERROR(INT(MID(metadata!C321,18,2))&lt;=59,FALSE)), LEN(metadata!C321)&lt;=19)))))))))))))</f>
        <v>0</v>
      </c>
      <c r="AD321">
        <f>IF(metadata!D321="",FALSE,TRUE)</f>
        <v>0</v>
      </c>
      <c r="AE321">
        <f>OR(AND(IF(metadata!E321="",FALSE,TRUE),OR(exact(metadata!E321,"missing: not collected"),exact(metadata!E321,"missing: not provided"))),AND(IF(metadata!E321="",FALSE,TRUE),OR(exact(metadata!E321,"TRUE"),exact(metadata!E321,"FALSE"))))</f>
        <v>0</v>
      </c>
      <c r="AF321">
        <f>IF(metadata!F321="",FALSE,TRUE)</f>
        <v>0</v>
      </c>
      <c r="AG321">
        <f>IF(metadata!G321="",FALSE,TRUE)</f>
        <v>0</v>
      </c>
      <c r="AH321">
        <f>IF(metadata!H321="",FALSE,TRUE)</f>
        <v>0</v>
      </c>
      <c r="AI321">
        <f>OR(AND(IF(metadata!I321="",FALSE,TRUE),OR(exact(metadata!I321,"missing: not collected"),exact(metadata!I321,"missing: not provided"),exact(metadata!I321,"missing: restricted access"))),AND(IF(metadata!I321="",FALSE,TRUE),OR(exact(metadata!I321,"air"),exact(metadata!I321,"built environment"),exact(metadata!I321,"host-associated"),exact(metadata!I321,"human-associated"),exact(metadata!I321,"human-skin"),exact(metadata!I321,"human-oral"),exact(metadata!I321,"human-gut"),exact(metadata!I321,"human-vaginal"),exact(metadata!I321,"microbial mat/biofilm"),exact(metadata!I321,"misc environment"),exact(metadata!I321,"plant-associated"),exact(metadata!I321,"sediment"),exact(metadata!I321,"soil"),exact(metadata!I321,"wastewater/sludge"),exact(metadata!I321,"water"))))</f>
        <v>0</v>
      </c>
      <c r="AJ321">
        <f>IF(metadata!J321="",FALSE,TRUE)</f>
        <v>0</v>
      </c>
      <c r="AK321">
        <f>OR(AND(IF(metadata!K321="",FALSE,TRUE),OR(exact(metadata!K321,"missing: not collected"),exact(metadata!K321,"missing: not provided"),exact(metadata!K321,"missing: restricted access"))),AND(IF(metadata!K321="",FALSE,ISNUMBER(VALUE(metadata!K321))),metadata!K321&gt;=-90.00,metadata!K321&lt;=90.00))</f>
        <v>0</v>
      </c>
      <c r="AL321">
        <f>OR(AND(IF(metadata!L321="",FALSE,TRUE),OR(exact(metadata!L321,"missing: not collected"),exact(metadata!L321,"missing: not provided"),exact(metadata!L321,"missing: restricted access"))),AND(IF(metadata!L321="",FALSE,ISNUMBER(VALUE(metadata!L321))),metadata!L321&gt;=-180.00,metadata!L321&lt;=180.00))</f>
        <v>0</v>
      </c>
      <c r="AM321">
        <f>IF(metadata!M321="",FALSE,TRUE)</f>
        <v>0</v>
      </c>
      <c r="AN321">
        <f>OR(AND(IF(metadata!N321="",FALSE,TRUE),OR(exact(metadata!N321,"missing: not collected"),exact(metadata!N321,"missing: not provided"),exact(metadata!N321,"missing: restricted access"))),AND(IF(metadata!N321="",FALSE,TRUE),OR(exact(metadata!N321,"TRUE"),exact(metadata!N321,"FALSE"))))</f>
        <v>0</v>
      </c>
      <c r="AO321">
        <f>IF(metadata!O321="",FALSE,TRUE)</f>
        <v>0</v>
      </c>
      <c r="AP321">
        <f>OR(AND(IF(metadata!P321="",FALSE,TRUE),OR(exact(metadata!P321,"missing: not collected"),exact(metadata!P321,"missing: not provided"))),AND(IF(metadata!P321="",FALSE,IF(ISERROR(INT(metadata!P321)),FALSE,INT(metadata!P321)=metadata!P321)),metadata!P321&gt;0))</f>
        <v>0</v>
      </c>
      <c r="AQ321">
        <f>IF(metadata!Q321="",FALSE,TRUE)</f>
        <v>0</v>
      </c>
    </row>
    <row r="322" spans="1:43">
      <c r="A322" s="5">
        <f>IF(B322=" "," ",HYPERLINK(CONCATENATE("#metadata!",ADDRESS(INDEX($W$2:$W$1001,MATCH(ROWS($U$2:U322),$U$2:$U$1001,0),0),1)),INDEX($Z$2:$Z$1001,MATCH(ROWS($U$2:U322),$U$2:$U$1001,0),0)))</f>
        <v>0</v>
      </c>
      <c r="B322" s="4">
        <f>IF(OR(INDEX($V$2:$V$1001,MATCH(ROWS($U$2:U322),$U$2:$U$1001,0),1)&gt;=100000,INDEX($AB$1005:$AQ$1005,1,MATCH(COLUMNS($AB$1006:AB1006),$AB$1006:$AQ$1006,0))&gt;=100000), " ",IF(INDEX($AB$2:$AQ$1001,MATCH(ROWS($U$2:U322),$U$2:$U$1001,0),MATCH(COLUMNS($AB$1006:AB1006),$AB$1006:$AQ$1006,0)), HYPERLINK("#",""), HYPERLINK(CONCATENATE("#metadata!", ADDRESS(INDEX($W$2:$W$1001,MATCH(ROWS($U$2:U322),$U$2:$U$1001,0),0), INDEX($AB$1004:$AQ$1004,1,MATCH(COLUMNS($AB$1006:AB1006),$AB$1006:$AQ$1006,0)))),"Fix")))</f>
        <v>0</v>
      </c>
      <c r="C322" s="4">
        <f>IF(OR(INDEX($V$2:$V$1001,MATCH(ROWS($U$2:U322),$U$2:$U$1001,0),1)&gt;=100000,INDEX($AB$1005:$AQ$1005,1,MATCH(COLUMNS($AB$1006:AC1006),$AB$1006:$AQ$1006,0))&gt;=100000), " ",IF(INDEX($AB$2:$AQ$1001,MATCH(ROWS($U$2:U322),$U$2:$U$1001,0),MATCH(COLUMNS($AB$1006:AC1006),$AB$1006:$AQ$1006,0)), HYPERLINK("#",""), HYPERLINK(CONCATENATE("#metadata!", ADDRESS(INDEX($W$2:$W$1001,MATCH(ROWS($U$2:U322),$U$2:$U$1001,0),0), INDEX($AB$1004:$AQ$1004,1,MATCH(COLUMNS($AB$1006:AC1006),$AB$1006:$AQ$1006,0)))),"Fix")))</f>
        <v>0</v>
      </c>
      <c r="D322" s="4">
        <f>IF(OR(INDEX($V$2:$V$1001,MATCH(ROWS($U$2:U322),$U$2:$U$1001,0),1)&gt;=100000,INDEX($AB$1005:$AQ$1005,1,MATCH(COLUMNS($AB$1006:AD1006),$AB$1006:$AQ$1006,0))&gt;=100000), " ",IF(INDEX($AB$2:$AQ$1001,MATCH(ROWS($U$2:U322),$U$2:$U$1001,0),MATCH(COLUMNS($AB$1006:AD1006),$AB$1006:$AQ$1006,0)), HYPERLINK("#",""), HYPERLINK(CONCATENATE("#metadata!", ADDRESS(INDEX($W$2:$W$1001,MATCH(ROWS($U$2:U322),$U$2:$U$1001,0),0), INDEX($AB$1004:$AQ$1004,1,MATCH(COLUMNS($AB$1006:AD1006),$AB$1006:$AQ$1006,0)))),"Fix")))</f>
        <v>0</v>
      </c>
      <c r="E322" s="4">
        <f>IF(OR(INDEX($V$2:$V$1001,MATCH(ROWS($U$2:U322),$U$2:$U$1001,0),1)&gt;=100000,INDEX($AB$1005:$AQ$1005,1,MATCH(COLUMNS($AB$1006:AE1006),$AB$1006:$AQ$1006,0))&gt;=100000), " ",IF(INDEX($AB$2:$AQ$1001,MATCH(ROWS($U$2:U322),$U$2:$U$1001,0),MATCH(COLUMNS($AB$1006:AE1006),$AB$1006:$AQ$1006,0)), HYPERLINK("#",""), HYPERLINK(CONCATENATE("#metadata!", ADDRESS(INDEX($W$2:$W$1001,MATCH(ROWS($U$2:U322),$U$2:$U$1001,0),0), INDEX($AB$1004:$AQ$1004,1,MATCH(COLUMNS($AB$1006:AE1006),$AB$1006:$AQ$1006,0)))),"Fix")))</f>
        <v>0</v>
      </c>
      <c r="F322" s="4">
        <f>IF(OR(INDEX($V$2:$V$1001,MATCH(ROWS($U$2:U322),$U$2:$U$1001,0),1)&gt;=100000,INDEX($AB$1005:$AQ$1005,1,MATCH(COLUMNS($AB$1006:AF1006),$AB$1006:$AQ$1006,0))&gt;=100000), " ",IF(INDEX($AB$2:$AQ$1001,MATCH(ROWS($U$2:U322),$U$2:$U$1001,0),MATCH(COLUMNS($AB$1006:AF1006),$AB$1006:$AQ$1006,0)), HYPERLINK("#",""), HYPERLINK(CONCATENATE("#metadata!", ADDRESS(INDEX($W$2:$W$1001,MATCH(ROWS($U$2:U322),$U$2:$U$1001,0),0), INDEX($AB$1004:$AQ$1004,1,MATCH(COLUMNS($AB$1006:AF1006),$AB$1006:$AQ$1006,0)))),"Fix")))</f>
        <v>0</v>
      </c>
      <c r="G322" s="4">
        <f>IF(OR(INDEX($V$2:$V$1001,MATCH(ROWS($U$2:U322),$U$2:$U$1001,0),1)&gt;=100000,INDEX($AB$1005:$AQ$1005,1,MATCH(COLUMNS($AB$1006:AG1006),$AB$1006:$AQ$1006,0))&gt;=100000), " ",IF(INDEX($AB$2:$AQ$1001,MATCH(ROWS($U$2:U322),$U$2:$U$1001,0),MATCH(COLUMNS($AB$1006:AG1006),$AB$1006:$AQ$1006,0)), HYPERLINK("#",""), HYPERLINK(CONCATENATE("#metadata!", ADDRESS(INDEX($W$2:$W$1001,MATCH(ROWS($U$2:U322),$U$2:$U$1001,0),0), INDEX($AB$1004:$AQ$1004,1,MATCH(COLUMNS($AB$1006:AG1006),$AB$1006:$AQ$1006,0)))),"Fix")))</f>
        <v>0</v>
      </c>
      <c r="H322" s="4">
        <f>IF(OR(INDEX($V$2:$V$1001,MATCH(ROWS($U$2:U322),$U$2:$U$1001,0),1)&gt;=100000,INDEX($AB$1005:$AQ$1005,1,MATCH(COLUMNS($AB$1006:AH1006),$AB$1006:$AQ$1006,0))&gt;=100000), " ",IF(INDEX($AB$2:$AQ$1001,MATCH(ROWS($U$2:U322),$U$2:$U$1001,0),MATCH(COLUMNS($AB$1006:AH1006),$AB$1006:$AQ$1006,0)), HYPERLINK("#",""), HYPERLINK(CONCATENATE("#metadata!", ADDRESS(INDEX($W$2:$W$1001,MATCH(ROWS($U$2:U322),$U$2:$U$1001,0),0), INDEX($AB$1004:$AQ$1004,1,MATCH(COLUMNS($AB$1006:AH1006),$AB$1006:$AQ$1006,0)))),"Fix")))</f>
        <v>0</v>
      </c>
      <c r="I322" s="4">
        <f>IF(OR(INDEX($V$2:$V$1001,MATCH(ROWS($U$2:U322),$U$2:$U$1001,0),1)&gt;=100000,INDEX($AB$1005:$AQ$1005,1,MATCH(COLUMNS($AB$1006:AI1006),$AB$1006:$AQ$1006,0))&gt;=100000), " ",IF(INDEX($AB$2:$AQ$1001,MATCH(ROWS($U$2:U322),$U$2:$U$1001,0),MATCH(COLUMNS($AB$1006:AI1006),$AB$1006:$AQ$1006,0)), HYPERLINK("#",""), HYPERLINK(CONCATENATE("#metadata!", ADDRESS(INDEX($W$2:$W$1001,MATCH(ROWS($U$2:U322),$U$2:$U$1001,0),0), INDEX($AB$1004:$AQ$1004,1,MATCH(COLUMNS($AB$1006:AI1006),$AB$1006:$AQ$1006,0)))),"Fix")))</f>
        <v>0</v>
      </c>
      <c r="J322" s="4">
        <f>IF(OR(INDEX($V$2:$V$1001,MATCH(ROWS($U$2:U322),$U$2:$U$1001,0),1)&gt;=100000,INDEX($AB$1005:$AQ$1005,1,MATCH(COLUMNS($AB$1006:AJ1006),$AB$1006:$AQ$1006,0))&gt;=100000), " ",IF(INDEX($AB$2:$AQ$1001,MATCH(ROWS($U$2:U322),$U$2:$U$1001,0),MATCH(COLUMNS($AB$1006:AJ1006),$AB$1006:$AQ$1006,0)), HYPERLINK("#",""), HYPERLINK(CONCATENATE("#metadata!", ADDRESS(INDEX($W$2:$W$1001,MATCH(ROWS($U$2:U322),$U$2:$U$1001,0),0), INDEX($AB$1004:$AQ$1004,1,MATCH(COLUMNS($AB$1006:AJ1006),$AB$1006:$AQ$1006,0)))),"Fix")))</f>
        <v>0</v>
      </c>
      <c r="K322" s="4">
        <f>IF(OR(INDEX($V$2:$V$1001,MATCH(ROWS($U$2:U322),$U$2:$U$1001,0),1)&gt;=100000,INDEX($AB$1005:$AQ$1005,1,MATCH(COLUMNS($AB$1006:AK1006),$AB$1006:$AQ$1006,0))&gt;=100000), " ",IF(INDEX($AB$2:$AQ$1001,MATCH(ROWS($U$2:U322),$U$2:$U$1001,0),MATCH(COLUMNS($AB$1006:AK1006),$AB$1006:$AQ$1006,0)), HYPERLINK("#",""), HYPERLINK(CONCATENATE("#metadata!", ADDRESS(INDEX($W$2:$W$1001,MATCH(ROWS($U$2:U322),$U$2:$U$1001,0),0), INDEX($AB$1004:$AQ$1004,1,MATCH(COLUMNS($AB$1006:AK1006),$AB$1006:$AQ$1006,0)))),"Fix")))</f>
        <v>0</v>
      </c>
      <c r="L322" s="4">
        <f>IF(OR(INDEX($V$2:$V$1001,MATCH(ROWS($U$2:U322),$U$2:$U$1001,0),1)&gt;=100000,INDEX($AB$1005:$AQ$1005,1,MATCH(COLUMNS($AB$1006:AL1006),$AB$1006:$AQ$1006,0))&gt;=100000), " ",IF(INDEX($AB$2:$AQ$1001,MATCH(ROWS($U$2:U322),$U$2:$U$1001,0),MATCH(COLUMNS($AB$1006:AL1006),$AB$1006:$AQ$1006,0)), HYPERLINK("#",""), HYPERLINK(CONCATENATE("#metadata!", ADDRESS(INDEX($W$2:$W$1001,MATCH(ROWS($U$2:U322),$U$2:$U$1001,0),0), INDEX($AB$1004:$AQ$1004,1,MATCH(COLUMNS($AB$1006:AL1006),$AB$1006:$AQ$1006,0)))),"Fix")))</f>
        <v>0</v>
      </c>
      <c r="M322" s="4">
        <f>IF(OR(INDEX($V$2:$V$1001,MATCH(ROWS($U$2:U322),$U$2:$U$1001,0),1)&gt;=100000,INDEX($AB$1005:$AQ$1005,1,MATCH(COLUMNS($AB$1006:AM1006),$AB$1006:$AQ$1006,0))&gt;=100000), " ",IF(INDEX($AB$2:$AQ$1001,MATCH(ROWS($U$2:U322),$U$2:$U$1001,0),MATCH(COLUMNS($AB$1006:AM1006),$AB$1006:$AQ$1006,0)), HYPERLINK("#",""), HYPERLINK(CONCATENATE("#metadata!", ADDRESS(INDEX($W$2:$W$1001,MATCH(ROWS($U$2:U322),$U$2:$U$1001,0),0), INDEX($AB$1004:$AQ$1004,1,MATCH(COLUMNS($AB$1006:AM1006),$AB$1006:$AQ$1006,0)))),"Fix")))</f>
        <v>0</v>
      </c>
      <c r="N322" s="4">
        <f>IF(OR(INDEX($V$2:$V$1001,MATCH(ROWS($U$2:U322),$U$2:$U$1001,0),1)&gt;=100000,INDEX($AB$1005:$AQ$1005,1,MATCH(COLUMNS($AB$1006:AN1006),$AB$1006:$AQ$1006,0))&gt;=100000), " ",IF(INDEX($AB$2:$AQ$1001,MATCH(ROWS($U$2:U322),$U$2:$U$1001,0),MATCH(COLUMNS($AB$1006:AN1006),$AB$1006:$AQ$1006,0)), HYPERLINK("#",""), HYPERLINK(CONCATENATE("#metadata!", ADDRESS(INDEX($W$2:$W$1001,MATCH(ROWS($U$2:U322),$U$2:$U$1001,0),0), INDEX($AB$1004:$AQ$1004,1,MATCH(COLUMNS($AB$1006:AN1006),$AB$1006:$AQ$1006,0)))),"Fix")))</f>
        <v>0</v>
      </c>
      <c r="O322" s="4">
        <f>IF(OR(INDEX($V$2:$V$1001,MATCH(ROWS($U$2:U322),$U$2:$U$1001,0),1)&gt;=100000,INDEX($AB$1005:$AQ$1005,1,MATCH(COLUMNS($AB$1006:AO1006),$AB$1006:$AQ$1006,0))&gt;=100000), " ",IF(INDEX($AB$2:$AQ$1001,MATCH(ROWS($U$2:U322),$U$2:$U$1001,0),MATCH(COLUMNS($AB$1006:AO1006),$AB$1006:$AQ$1006,0)), HYPERLINK("#",""), HYPERLINK(CONCATENATE("#metadata!", ADDRESS(INDEX($W$2:$W$1001,MATCH(ROWS($U$2:U322),$U$2:$U$1001,0),0), INDEX($AB$1004:$AQ$1004,1,MATCH(COLUMNS($AB$1006:AO1006),$AB$1006:$AQ$1006,0)))),"Fix")))</f>
        <v>0</v>
      </c>
      <c r="P322" s="4">
        <f>IF(OR(INDEX($V$2:$V$1001,MATCH(ROWS($U$2:U322),$U$2:$U$1001,0),1)&gt;=100000,INDEX($AB$1005:$AQ$1005,1,MATCH(COLUMNS($AB$1006:AP1006),$AB$1006:$AQ$1006,0))&gt;=100000), " ",IF(INDEX($AB$2:$AQ$1001,MATCH(ROWS($U$2:U322),$U$2:$U$1001,0),MATCH(COLUMNS($AB$1006:AP1006),$AB$1006:$AQ$1006,0)), HYPERLINK("#",""), HYPERLINK(CONCATENATE("#metadata!", ADDRESS(INDEX($W$2:$W$1001,MATCH(ROWS($U$2:U322),$U$2:$U$1001,0),0), INDEX($AB$1004:$AQ$1004,1,MATCH(COLUMNS($AB$1006:AP1006),$AB$1006:$AQ$1006,0)))),"Fix")))</f>
        <v>0</v>
      </c>
      <c r="Q322" s="4">
        <f>IF(OR(INDEX($V$2:$V$1001,MATCH(ROWS($U$2:U322),$U$2:$U$1001,0),1)&gt;=100000,INDEX($AB$1005:$AQ$1005,1,MATCH(COLUMNS($AB$1006:AQ1006),$AB$1006:$AQ$1006,0))&gt;=100000), " ",IF(INDEX($AB$2:$AQ$1001,MATCH(ROWS($U$2:U322),$U$2:$U$1001,0),MATCH(COLUMNS($AB$1006:AQ1006),$AB$1006:$AQ$1006,0)), HYPERLINK("#",""), HYPERLINK(CONCATENATE("#metadata!", ADDRESS(INDEX($W$2:$W$1001,MATCH(ROWS($U$2:U322),$U$2:$U$1001,0),0), INDEX($AB$1004:$AQ$1004,1,MATCH(COLUMNS($AB$1006:AQ1006),$AB$1006:$AQ$1006,0)))),"Fix")))</f>
        <v>0</v>
      </c>
      <c r="U322">
        <v>0</v>
      </c>
      <c r="V322">
        <v>0</v>
      </c>
      <c r="W322">
        <v>0</v>
      </c>
      <c r="X322">
        <f>IF(Y322,TRUE,AND(AB322:AQ322))</f>
        <v>0</v>
      </c>
      <c r="Y322">
        <f>COUNTBLANK(metadata!B322:Q322)=COLUMNS(metadata!B322:Q322)</f>
        <v>0</v>
      </c>
      <c r="Z322">
        <v>0</v>
      </c>
      <c r="AB322">
        <f>AND(IF(metadata!B322="",FALSE,TRUE),COUNTIF(metadata!B:B, metadata!B322) = 1,NOT(ISERROR(SUMPRODUCT(SEARCH(MID(metadata!B322,ROW(INDIRECT("1:"&amp;LEN(metadata!B322))), 1),"0123456789abcdefghijklmnopqrstuvwxyzABCDEFGHIJKLMNOPQRSTUVWXYZ.")))))</f>
        <v>0</v>
      </c>
      <c r="AC322">
        <f>OR(AND(IF(metadata!C322="",FALSE,TRUE),OR(exact(metadata!C322,"missing: not collected"),exact(metadata!C322,"missing: not provided"),exact(metadata!C322,"missing: restricted access"))),AND(IF(metadata!C322="",FALSE,TRUE),AND(AND(IFERROR(INT(LEFT(metadata!C322,4))&gt;1900,FALSE),IFERROR(INT(LEFT(metadata!C322,4))&lt;=YEAR(NOW()),FALSE)), OR(MID(metadata!C322,5,1)="", AND(AND(MID(metadata!C322,5,1)="-",IFERROR(INT(MID(metadata!C322,6,1))&gt;=0,FALSE),IFERROR(INT(MID(metadata!C322,6,1))&lt;=1,FALSE),NOT(MID(metadata!C322,7,1)=""),IFERROR(INT(MID(metadata!C322,6,2))&gt;=1,FALSE),IFERROR(INT(MID(metadata!C322,6,2))&lt;=12,FALSE)), OR(MID(metadata!C322,8,1)="", AND(AND(MID(metadata!C322,8,1)="-",IFERROR(INT(MID(metadata!C322,9,1))&gt;=0,FALSE),IFERROR(INT(MID(metadata!C322,9,1))&lt;=3,FALSE),NOT(MID(metadata!C322,10,1)=""),IFERROR(INT(MID(metadata!C322,9,2))&gt;=1,FALSE),IFERROR(INT(MID(metadata!C322,9,2))&lt;=31,FALSE)), OR(MID(metadata!C322,11,1)="", AND(AND(MID(metadata!C322,11,1)=" ",IFERROR(INT(MID(metadata!C322,12,1))&gt;=0,FALSE),IFERROR(INT(MID(metadata!C322,12,1))&lt;=2,FALSE),NOT(MID(metadata!C322,13,1)=""),IFERROR(INT(MID(metadata!C322,12,2))&gt;=0,FALSE),IFERROR(INT(MID(metadata!C322,12,2))&lt;=23,FALSE)), OR(MID(metadata!C322,14,1)="", AND(AND(MID(metadata!C322,14,1)=":",IFERROR(INT(MID(metadata!C322,15,1))&gt;=0,FALSE),IFERROR(INT(MID(metadata!C322,15,1))&lt;=5,FALSE),NOT(MID(metadata!C322,16,1)=""),IFERROR(INT(MID(metadata!C322,15,2))&gt;=0,FALSE),IFERROR(INT(MID(metadata!C322,15,2))&lt;=59,FALSE)), OR(MID(metadata!C322,17,1)="", AND(AND(MID(metadata!C322,17,1)=":",IFERROR(INT(MID(metadata!C322,18,1))&gt;=0,FALSE),IFERROR(INT(MID(metadata!C322,18,1))&lt;=5,FALSE),NOT(MID(metadata!C322,19,1)=""),IFERROR(INT(MID(metadata!C322,18,2))&gt;=0,FALSE),IFERROR(INT(MID(metadata!C322,18,2))&lt;=59,FALSE)), LEN(metadata!C322)&lt;=19)))))))))))))</f>
        <v>0</v>
      </c>
      <c r="AD322">
        <f>IF(metadata!D322="",FALSE,TRUE)</f>
        <v>0</v>
      </c>
      <c r="AE322">
        <f>OR(AND(IF(metadata!E322="",FALSE,TRUE),OR(exact(metadata!E322,"missing: not collected"),exact(metadata!E322,"missing: not provided"))),AND(IF(metadata!E322="",FALSE,TRUE),OR(exact(metadata!E322,"TRUE"),exact(metadata!E322,"FALSE"))))</f>
        <v>0</v>
      </c>
      <c r="AF322">
        <f>IF(metadata!F322="",FALSE,TRUE)</f>
        <v>0</v>
      </c>
      <c r="AG322">
        <f>IF(metadata!G322="",FALSE,TRUE)</f>
        <v>0</v>
      </c>
      <c r="AH322">
        <f>IF(metadata!H322="",FALSE,TRUE)</f>
        <v>0</v>
      </c>
      <c r="AI322">
        <f>OR(AND(IF(metadata!I322="",FALSE,TRUE),OR(exact(metadata!I322,"missing: not collected"),exact(metadata!I322,"missing: not provided"),exact(metadata!I322,"missing: restricted access"))),AND(IF(metadata!I322="",FALSE,TRUE),OR(exact(metadata!I322,"air"),exact(metadata!I322,"built environment"),exact(metadata!I322,"host-associated"),exact(metadata!I322,"human-associated"),exact(metadata!I322,"human-skin"),exact(metadata!I322,"human-oral"),exact(metadata!I322,"human-gut"),exact(metadata!I322,"human-vaginal"),exact(metadata!I322,"microbial mat/biofilm"),exact(metadata!I322,"misc environment"),exact(metadata!I322,"plant-associated"),exact(metadata!I322,"sediment"),exact(metadata!I322,"soil"),exact(metadata!I322,"wastewater/sludge"),exact(metadata!I322,"water"))))</f>
        <v>0</v>
      </c>
      <c r="AJ322">
        <f>IF(metadata!J322="",FALSE,TRUE)</f>
        <v>0</v>
      </c>
      <c r="AK322">
        <f>OR(AND(IF(metadata!K322="",FALSE,TRUE),OR(exact(metadata!K322,"missing: not collected"),exact(metadata!K322,"missing: not provided"),exact(metadata!K322,"missing: restricted access"))),AND(IF(metadata!K322="",FALSE,ISNUMBER(VALUE(metadata!K322))),metadata!K322&gt;=-90.00,metadata!K322&lt;=90.00))</f>
        <v>0</v>
      </c>
      <c r="AL322">
        <f>OR(AND(IF(metadata!L322="",FALSE,TRUE),OR(exact(metadata!L322,"missing: not collected"),exact(metadata!L322,"missing: not provided"),exact(metadata!L322,"missing: restricted access"))),AND(IF(metadata!L322="",FALSE,ISNUMBER(VALUE(metadata!L322))),metadata!L322&gt;=-180.00,metadata!L322&lt;=180.00))</f>
        <v>0</v>
      </c>
      <c r="AM322">
        <f>IF(metadata!M322="",FALSE,TRUE)</f>
        <v>0</v>
      </c>
      <c r="AN322">
        <f>OR(AND(IF(metadata!N322="",FALSE,TRUE),OR(exact(metadata!N322,"missing: not collected"),exact(metadata!N322,"missing: not provided"),exact(metadata!N322,"missing: restricted access"))),AND(IF(metadata!N322="",FALSE,TRUE),OR(exact(metadata!N322,"TRUE"),exact(metadata!N322,"FALSE"))))</f>
        <v>0</v>
      </c>
      <c r="AO322">
        <f>IF(metadata!O322="",FALSE,TRUE)</f>
        <v>0</v>
      </c>
      <c r="AP322">
        <f>OR(AND(IF(metadata!P322="",FALSE,TRUE),OR(exact(metadata!P322,"missing: not collected"),exact(metadata!P322,"missing: not provided"))),AND(IF(metadata!P322="",FALSE,IF(ISERROR(INT(metadata!P322)),FALSE,INT(metadata!P322)=metadata!P322)),metadata!P322&gt;0))</f>
        <v>0</v>
      </c>
      <c r="AQ322">
        <f>IF(metadata!Q322="",FALSE,TRUE)</f>
        <v>0</v>
      </c>
    </row>
    <row r="323" spans="1:43">
      <c r="A323" s="5">
        <f>IF(B323=" "," ",HYPERLINK(CONCATENATE("#metadata!",ADDRESS(INDEX($W$2:$W$1001,MATCH(ROWS($U$2:U323),$U$2:$U$1001,0),0),1)),INDEX($Z$2:$Z$1001,MATCH(ROWS($U$2:U323),$U$2:$U$1001,0),0)))</f>
        <v>0</v>
      </c>
      <c r="B323" s="4">
        <f>IF(OR(INDEX($V$2:$V$1001,MATCH(ROWS($U$2:U323),$U$2:$U$1001,0),1)&gt;=100000,INDEX($AB$1005:$AQ$1005,1,MATCH(COLUMNS($AB$1006:AB1006),$AB$1006:$AQ$1006,0))&gt;=100000), " ",IF(INDEX($AB$2:$AQ$1001,MATCH(ROWS($U$2:U323),$U$2:$U$1001,0),MATCH(COLUMNS($AB$1006:AB1006),$AB$1006:$AQ$1006,0)), HYPERLINK("#",""), HYPERLINK(CONCATENATE("#metadata!", ADDRESS(INDEX($W$2:$W$1001,MATCH(ROWS($U$2:U323),$U$2:$U$1001,0),0), INDEX($AB$1004:$AQ$1004,1,MATCH(COLUMNS($AB$1006:AB1006),$AB$1006:$AQ$1006,0)))),"Fix")))</f>
        <v>0</v>
      </c>
      <c r="C323" s="4">
        <f>IF(OR(INDEX($V$2:$V$1001,MATCH(ROWS($U$2:U323),$U$2:$U$1001,0),1)&gt;=100000,INDEX($AB$1005:$AQ$1005,1,MATCH(COLUMNS($AB$1006:AC1006),$AB$1006:$AQ$1006,0))&gt;=100000), " ",IF(INDEX($AB$2:$AQ$1001,MATCH(ROWS($U$2:U323),$U$2:$U$1001,0),MATCH(COLUMNS($AB$1006:AC1006),$AB$1006:$AQ$1006,0)), HYPERLINK("#",""), HYPERLINK(CONCATENATE("#metadata!", ADDRESS(INDEX($W$2:$W$1001,MATCH(ROWS($U$2:U323),$U$2:$U$1001,0),0), INDEX($AB$1004:$AQ$1004,1,MATCH(COLUMNS($AB$1006:AC1006),$AB$1006:$AQ$1006,0)))),"Fix")))</f>
        <v>0</v>
      </c>
      <c r="D323" s="4">
        <f>IF(OR(INDEX($V$2:$V$1001,MATCH(ROWS($U$2:U323),$U$2:$U$1001,0),1)&gt;=100000,INDEX($AB$1005:$AQ$1005,1,MATCH(COLUMNS($AB$1006:AD1006),$AB$1006:$AQ$1006,0))&gt;=100000), " ",IF(INDEX($AB$2:$AQ$1001,MATCH(ROWS($U$2:U323),$U$2:$U$1001,0),MATCH(COLUMNS($AB$1006:AD1006),$AB$1006:$AQ$1006,0)), HYPERLINK("#",""), HYPERLINK(CONCATENATE("#metadata!", ADDRESS(INDEX($W$2:$W$1001,MATCH(ROWS($U$2:U323),$U$2:$U$1001,0),0), INDEX($AB$1004:$AQ$1004,1,MATCH(COLUMNS($AB$1006:AD1006),$AB$1006:$AQ$1006,0)))),"Fix")))</f>
        <v>0</v>
      </c>
      <c r="E323" s="4">
        <f>IF(OR(INDEX($V$2:$V$1001,MATCH(ROWS($U$2:U323),$U$2:$U$1001,0),1)&gt;=100000,INDEX($AB$1005:$AQ$1005,1,MATCH(COLUMNS($AB$1006:AE1006),$AB$1006:$AQ$1006,0))&gt;=100000), " ",IF(INDEX($AB$2:$AQ$1001,MATCH(ROWS($U$2:U323),$U$2:$U$1001,0),MATCH(COLUMNS($AB$1006:AE1006),$AB$1006:$AQ$1006,0)), HYPERLINK("#",""), HYPERLINK(CONCATENATE("#metadata!", ADDRESS(INDEX($W$2:$W$1001,MATCH(ROWS($U$2:U323),$U$2:$U$1001,0),0), INDEX($AB$1004:$AQ$1004,1,MATCH(COLUMNS($AB$1006:AE1006),$AB$1006:$AQ$1006,0)))),"Fix")))</f>
        <v>0</v>
      </c>
      <c r="F323" s="4">
        <f>IF(OR(INDEX($V$2:$V$1001,MATCH(ROWS($U$2:U323),$U$2:$U$1001,0),1)&gt;=100000,INDEX($AB$1005:$AQ$1005,1,MATCH(COLUMNS($AB$1006:AF1006),$AB$1006:$AQ$1006,0))&gt;=100000), " ",IF(INDEX($AB$2:$AQ$1001,MATCH(ROWS($U$2:U323),$U$2:$U$1001,0),MATCH(COLUMNS($AB$1006:AF1006),$AB$1006:$AQ$1006,0)), HYPERLINK("#",""), HYPERLINK(CONCATENATE("#metadata!", ADDRESS(INDEX($W$2:$W$1001,MATCH(ROWS($U$2:U323),$U$2:$U$1001,0),0), INDEX($AB$1004:$AQ$1004,1,MATCH(COLUMNS($AB$1006:AF1006),$AB$1006:$AQ$1006,0)))),"Fix")))</f>
        <v>0</v>
      </c>
      <c r="G323" s="4">
        <f>IF(OR(INDEX($V$2:$V$1001,MATCH(ROWS($U$2:U323),$U$2:$U$1001,0),1)&gt;=100000,INDEX($AB$1005:$AQ$1005,1,MATCH(COLUMNS($AB$1006:AG1006),$AB$1006:$AQ$1006,0))&gt;=100000), " ",IF(INDEX($AB$2:$AQ$1001,MATCH(ROWS($U$2:U323),$U$2:$U$1001,0),MATCH(COLUMNS($AB$1006:AG1006),$AB$1006:$AQ$1006,0)), HYPERLINK("#",""), HYPERLINK(CONCATENATE("#metadata!", ADDRESS(INDEX($W$2:$W$1001,MATCH(ROWS($U$2:U323),$U$2:$U$1001,0),0), INDEX($AB$1004:$AQ$1004,1,MATCH(COLUMNS($AB$1006:AG1006),$AB$1006:$AQ$1006,0)))),"Fix")))</f>
        <v>0</v>
      </c>
      <c r="H323" s="4">
        <f>IF(OR(INDEX($V$2:$V$1001,MATCH(ROWS($U$2:U323),$U$2:$U$1001,0),1)&gt;=100000,INDEX($AB$1005:$AQ$1005,1,MATCH(COLUMNS($AB$1006:AH1006),$AB$1006:$AQ$1006,0))&gt;=100000), " ",IF(INDEX($AB$2:$AQ$1001,MATCH(ROWS($U$2:U323),$U$2:$U$1001,0),MATCH(COLUMNS($AB$1006:AH1006),$AB$1006:$AQ$1006,0)), HYPERLINK("#",""), HYPERLINK(CONCATENATE("#metadata!", ADDRESS(INDEX($W$2:$W$1001,MATCH(ROWS($U$2:U323),$U$2:$U$1001,0),0), INDEX($AB$1004:$AQ$1004,1,MATCH(COLUMNS($AB$1006:AH1006),$AB$1006:$AQ$1006,0)))),"Fix")))</f>
        <v>0</v>
      </c>
      <c r="I323" s="4">
        <f>IF(OR(INDEX($V$2:$V$1001,MATCH(ROWS($U$2:U323),$U$2:$U$1001,0),1)&gt;=100000,INDEX($AB$1005:$AQ$1005,1,MATCH(COLUMNS($AB$1006:AI1006),$AB$1006:$AQ$1006,0))&gt;=100000), " ",IF(INDEX($AB$2:$AQ$1001,MATCH(ROWS($U$2:U323),$U$2:$U$1001,0),MATCH(COLUMNS($AB$1006:AI1006),$AB$1006:$AQ$1006,0)), HYPERLINK("#",""), HYPERLINK(CONCATENATE("#metadata!", ADDRESS(INDEX($W$2:$W$1001,MATCH(ROWS($U$2:U323),$U$2:$U$1001,0),0), INDEX($AB$1004:$AQ$1004,1,MATCH(COLUMNS($AB$1006:AI1006),$AB$1006:$AQ$1006,0)))),"Fix")))</f>
        <v>0</v>
      </c>
      <c r="J323" s="4">
        <f>IF(OR(INDEX($V$2:$V$1001,MATCH(ROWS($U$2:U323),$U$2:$U$1001,0),1)&gt;=100000,INDEX($AB$1005:$AQ$1005,1,MATCH(COLUMNS($AB$1006:AJ1006),$AB$1006:$AQ$1006,0))&gt;=100000), " ",IF(INDEX($AB$2:$AQ$1001,MATCH(ROWS($U$2:U323),$U$2:$U$1001,0),MATCH(COLUMNS($AB$1006:AJ1006),$AB$1006:$AQ$1006,0)), HYPERLINK("#",""), HYPERLINK(CONCATENATE("#metadata!", ADDRESS(INDEX($W$2:$W$1001,MATCH(ROWS($U$2:U323),$U$2:$U$1001,0),0), INDEX($AB$1004:$AQ$1004,1,MATCH(COLUMNS($AB$1006:AJ1006),$AB$1006:$AQ$1006,0)))),"Fix")))</f>
        <v>0</v>
      </c>
      <c r="K323" s="4">
        <f>IF(OR(INDEX($V$2:$V$1001,MATCH(ROWS($U$2:U323),$U$2:$U$1001,0),1)&gt;=100000,INDEX($AB$1005:$AQ$1005,1,MATCH(COLUMNS($AB$1006:AK1006),$AB$1006:$AQ$1006,0))&gt;=100000), " ",IF(INDEX($AB$2:$AQ$1001,MATCH(ROWS($U$2:U323),$U$2:$U$1001,0),MATCH(COLUMNS($AB$1006:AK1006),$AB$1006:$AQ$1006,0)), HYPERLINK("#",""), HYPERLINK(CONCATENATE("#metadata!", ADDRESS(INDEX($W$2:$W$1001,MATCH(ROWS($U$2:U323),$U$2:$U$1001,0),0), INDEX($AB$1004:$AQ$1004,1,MATCH(COLUMNS($AB$1006:AK1006),$AB$1006:$AQ$1006,0)))),"Fix")))</f>
        <v>0</v>
      </c>
      <c r="L323" s="4">
        <f>IF(OR(INDEX($V$2:$V$1001,MATCH(ROWS($U$2:U323),$U$2:$U$1001,0),1)&gt;=100000,INDEX($AB$1005:$AQ$1005,1,MATCH(COLUMNS($AB$1006:AL1006),$AB$1006:$AQ$1006,0))&gt;=100000), " ",IF(INDEX($AB$2:$AQ$1001,MATCH(ROWS($U$2:U323),$U$2:$U$1001,0),MATCH(COLUMNS($AB$1006:AL1006),$AB$1006:$AQ$1006,0)), HYPERLINK("#",""), HYPERLINK(CONCATENATE("#metadata!", ADDRESS(INDEX($W$2:$W$1001,MATCH(ROWS($U$2:U323),$U$2:$U$1001,0),0), INDEX($AB$1004:$AQ$1004,1,MATCH(COLUMNS($AB$1006:AL1006),$AB$1006:$AQ$1006,0)))),"Fix")))</f>
        <v>0</v>
      </c>
      <c r="M323" s="4">
        <f>IF(OR(INDEX($V$2:$V$1001,MATCH(ROWS($U$2:U323),$U$2:$U$1001,0),1)&gt;=100000,INDEX($AB$1005:$AQ$1005,1,MATCH(COLUMNS($AB$1006:AM1006),$AB$1006:$AQ$1006,0))&gt;=100000), " ",IF(INDEX($AB$2:$AQ$1001,MATCH(ROWS($U$2:U323),$U$2:$U$1001,0),MATCH(COLUMNS($AB$1006:AM1006),$AB$1006:$AQ$1006,0)), HYPERLINK("#",""), HYPERLINK(CONCATENATE("#metadata!", ADDRESS(INDEX($W$2:$W$1001,MATCH(ROWS($U$2:U323),$U$2:$U$1001,0),0), INDEX($AB$1004:$AQ$1004,1,MATCH(COLUMNS($AB$1006:AM1006),$AB$1006:$AQ$1006,0)))),"Fix")))</f>
        <v>0</v>
      </c>
      <c r="N323" s="4">
        <f>IF(OR(INDEX($V$2:$V$1001,MATCH(ROWS($U$2:U323),$U$2:$U$1001,0),1)&gt;=100000,INDEX($AB$1005:$AQ$1005,1,MATCH(COLUMNS($AB$1006:AN1006),$AB$1006:$AQ$1006,0))&gt;=100000), " ",IF(INDEX($AB$2:$AQ$1001,MATCH(ROWS($U$2:U323),$U$2:$U$1001,0),MATCH(COLUMNS($AB$1006:AN1006),$AB$1006:$AQ$1006,0)), HYPERLINK("#",""), HYPERLINK(CONCATENATE("#metadata!", ADDRESS(INDEX($W$2:$W$1001,MATCH(ROWS($U$2:U323),$U$2:$U$1001,0),0), INDEX($AB$1004:$AQ$1004,1,MATCH(COLUMNS($AB$1006:AN1006),$AB$1006:$AQ$1006,0)))),"Fix")))</f>
        <v>0</v>
      </c>
      <c r="O323" s="4">
        <f>IF(OR(INDEX($V$2:$V$1001,MATCH(ROWS($U$2:U323),$U$2:$U$1001,0),1)&gt;=100000,INDEX($AB$1005:$AQ$1005,1,MATCH(COLUMNS($AB$1006:AO1006),$AB$1006:$AQ$1006,0))&gt;=100000), " ",IF(INDEX($AB$2:$AQ$1001,MATCH(ROWS($U$2:U323),$U$2:$U$1001,0),MATCH(COLUMNS($AB$1006:AO1006),$AB$1006:$AQ$1006,0)), HYPERLINK("#",""), HYPERLINK(CONCATENATE("#metadata!", ADDRESS(INDEX($W$2:$W$1001,MATCH(ROWS($U$2:U323),$U$2:$U$1001,0),0), INDEX($AB$1004:$AQ$1004,1,MATCH(COLUMNS($AB$1006:AO1006),$AB$1006:$AQ$1006,0)))),"Fix")))</f>
        <v>0</v>
      </c>
      <c r="P323" s="4">
        <f>IF(OR(INDEX($V$2:$V$1001,MATCH(ROWS($U$2:U323),$U$2:$U$1001,0),1)&gt;=100000,INDEX($AB$1005:$AQ$1005,1,MATCH(COLUMNS($AB$1006:AP1006),$AB$1006:$AQ$1006,0))&gt;=100000), " ",IF(INDEX($AB$2:$AQ$1001,MATCH(ROWS($U$2:U323),$U$2:$U$1001,0),MATCH(COLUMNS($AB$1006:AP1006),$AB$1006:$AQ$1006,0)), HYPERLINK("#",""), HYPERLINK(CONCATENATE("#metadata!", ADDRESS(INDEX($W$2:$W$1001,MATCH(ROWS($U$2:U323),$U$2:$U$1001,0),0), INDEX($AB$1004:$AQ$1004,1,MATCH(COLUMNS($AB$1006:AP1006),$AB$1006:$AQ$1006,0)))),"Fix")))</f>
        <v>0</v>
      </c>
      <c r="Q323" s="4">
        <f>IF(OR(INDEX($V$2:$V$1001,MATCH(ROWS($U$2:U323),$U$2:$U$1001,0),1)&gt;=100000,INDEX($AB$1005:$AQ$1005,1,MATCH(COLUMNS($AB$1006:AQ1006),$AB$1006:$AQ$1006,0))&gt;=100000), " ",IF(INDEX($AB$2:$AQ$1001,MATCH(ROWS($U$2:U323),$U$2:$U$1001,0),MATCH(COLUMNS($AB$1006:AQ1006),$AB$1006:$AQ$1006,0)), HYPERLINK("#",""), HYPERLINK(CONCATENATE("#metadata!", ADDRESS(INDEX($W$2:$W$1001,MATCH(ROWS($U$2:U323),$U$2:$U$1001,0),0), INDEX($AB$1004:$AQ$1004,1,MATCH(COLUMNS($AB$1006:AQ1006),$AB$1006:$AQ$1006,0)))),"Fix")))</f>
        <v>0</v>
      </c>
      <c r="U323">
        <v>0</v>
      </c>
      <c r="V323">
        <v>0</v>
      </c>
      <c r="W323">
        <v>0</v>
      </c>
      <c r="X323">
        <f>IF(Y323,TRUE,AND(AB323:AQ323))</f>
        <v>0</v>
      </c>
      <c r="Y323">
        <f>COUNTBLANK(metadata!B323:Q323)=COLUMNS(metadata!B323:Q323)</f>
        <v>0</v>
      </c>
      <c r="Z323">
        <v>0</v>
      </c>
      <c r="AB323">
        <f>AND(IF(metadata!B323="",FALSE,TRUE),COUNTIF(metadata!B:B, metadata!B323) = 1,NOT(ISERROR(SUMPRODUCT(SEARCH(MID(metadata!B323,ROW(INDIRECT("1:"&amp;LEN(metadata!B323))), 1),"0123456789abcdefghijklmnopqrstuvwxyzABCDEFGHIJKLMNOPQRSTUVWXYZ.")))))</f>
        <v>0</v>
      </c>
      <c r="AC323">
        <f>OR(AND(IF(metadata!C323="",FALSE,TRUE),OR(exact(metadata!C323,"missing: not collected"),exact(metadata!C323,"missing: not provided"),exact(metadata!C323,"missing: restricted access"))),AND(IF(metadata!C323="",FALSE,TRUE),AND(AND(IFERROR(INT(LEFT(metadata!C323,4))&gt;1900,FALSE),IFERROR(INT(LEFT(metadata!C323,4))&lt;=YEAR(NOW()),FALSE)), OR(MID(metadata!C323,5,1)="", AND(AND(MID(metadata!C323,5,1)="-",IFERROR(INT(MID(metadata!C323,6,1))&gt;=0,FALSE),IFERROR(INT(MID(metadata!C323,6,1))&lt;=1,FALSE),NOT(MID(metadata!C323,7,1)=""),IFERROR(INT(MID(metadata!C323,6,2))&gt;=1,FALSE),IFERROR(INT(MID(metadata!C323,6,2))&lt;=12,FALSE)), OR(MID(metadata!C323,8,1)="", AND(AND(MID(metadata!C323,8,1)="-",IFERROR(INT(MID(metadata!C323,9,1))&gt;=0,FALSE),IFERROR(INT(MID(metadata!C323,9,1))&lt;=3,FALSE),NOT(MID(metadata!C323,10,1)=""),IFERROR(INT(MID(metadata!C323,9,2))&gt;=1,FALSE),IFERROR(INT(MID(metadata!C323,9,2))&lt;=31,FALSE)), OR(MID(metadata!C323,11,1)="", AND(AND(MID(metadata!C323,11,1)=" ",IFERROR(INT(MID(metadata!C323,12,1))&gt;=0,FALSE),IFERROR(INT(MID(metadata!C323,12,1))&lt;=2,FALSE),NOT(MID(metadata!C323,13,1)=""),IFERROR(INT(MID(metadata!C323,12,2))&gt;=0,FALSE),IFERROR(INT(MID(metadata!C323,12,2))&lt;=23,FALSE)), OR(MID(metadata!C323,14,1)="", AND(AND(MID(metadata!C323,14,1)=":",IFERROR(INT(MID(metadata!C323,15,1))&gt;=0,FALSE),IFERROR(INT(MID(metadata!C323,15,1))&lt;=5,FALSE),NOT(MID(metadata!C323,16,1)=""),IFERROR(INT(MID(metadata!C323,15,2))&gt;=0,FALSE),IFERROR(INT(MID(metadata!C323,15,2))&lt;=59,FALSE)), OR(MID(metadata!C323,17,1)="", AND(AND(MID(metadata!C323,17,1)=":",IFERROR(INT(MID(metadata!C323,18,1))&gt;=0,FALSE),IFERROR(INT(MID(metadata!C323,18,1))&lt;=5,FALSE),NOT(MID(metadata!C323,19,1)=""),IFERROR(INT(MID(metadata!C323,18,2))&gt;=0,FALSE),IFERROR(INT(MID(metadata!C323,18,2))&lt;=59,FALSE)), LEN(metadata!C323)&lt;=19)))))))))))))</f>
        <v>0</v>
      </c>
      <c r="AD323">
        <f>IF(metadata!D323="",FALSE,TRUE)</f>
        <v>0</v>
      </c>
      <c r="AE323">
        <f>OR(AND(IF(metadata!E323="",FALSE,TRUE),OR(exact(metadata!E323,"missing: not collected"),exact(metadata!E323,"missing: not provided"))),AND(IF(metadata!E323="",FALSE,TRUE),OR(exact(metadata!E323,"TRUE"),exact(metadata!E323,"FALSE"))))</f>
        <v>0</v>
      </c>
      <c r="AF323">
        <f>IF(metadata!F323="",FALSE,TRUE)</f>
        <v>0</v>
      </c>
      <c r="AG323">
        <f>IF(metadata!G323="",FALSE,TRUE)</f>
        <v>0</v>
      </c>
      <c r="AH323">
        <f>IF(metadata!H323="",FALSE,TRUE)</f>
        <v>0</v>
      </c>
      <c r="AI323">
        <f>OR(AND(IF(metadata!I323="",FALSE,TRUE),OR(exact(metadata!I323,"missing: not collected"),exact(metadata!I323,"missing: not provided"),exact(metadata!I323,"missing: restricted access"))),AND(IF(metadata!I323="",FALSE,TRUE),OR(exact(metadata!I323,"air"),exact(metadata!I323,"built environment"),exact(metadata!I323,"host-associated"),exact(metadata!I323,"human-associated"),exact(metadata!I323,"human-skin"),exact(metadata!I323,"human-oral"),exact(metadata!I323,"human-gut"),exact(metadata!I323,"human-vaginal"),exact(metadata!I323,"microbial mat/biofilm"),exact(metadata!I323,"misc environment"),exact(metadata!I323,"plant-associated"),exact(metadata!I323,"sediment"),exact(metadata!I323,"soil"),exact(metadata!I323,"wastewater/sludge"),exact(metadata!I323,"water"))))</f>
        <v>0</v>
      </c>
      <c r="AJ323">
        <f>IF(metadata!J323="",FALSE,TRUE)</f>
        <v>0</v>
      </c>
      <c r="AK323">
        <f>OR(AND(IF(metadata!K323="",FALSE,TRUE),OR(exact(metadata!K323,"missing: not collected"),exact(metadata!K323,"missing: not provided"),exact(metadata!K323,"missing: restricted access"))),AND(IF(metadata!K323="",FALSE,ISNUMBER(VALUE(metadata!K323))),metadata!K323&gt;=-90.00,metadata!K323&lt;=90.00))</f>
        <v>0</v>
      </c>
      <c r="AL323">
        <f>OR(AND(IF(metadata!L323="",FALSE,TRUE),OR(exact(metadata!L323,"missing: not collected"),exact(metadata!L323,"missing: not provided"),exact(metadata!L323,"missing: restricted access"))),AND(IF(metadata!L323="",FALSE,ISNUMBER(VALUE(metadata!L323))),metadata!L323&gt;=-180.00,metadata!L323&lt;=180.00))</f>
        <v>0</v>
      </c>
      <c r="AM323">
        <f>IF(metadata!M323="",FALSE,TRUE)</f>
        <v>0</v>
      </c>
      <c r="AN323">
        <f>OR(AND(IF(metadata!N323="",FALSE,TRUE),OR(exact(metadata!N323,"missing: not collected"),exact(metadata!N323,"missing: not provided"),exact(metadata!N323,"missing: restricted access"))),AND(IF(metadata!N323="",FALSE,TRUE),OR(exact(metadata!N323,"TRUE"),exact(metadata!N323,"FALSE"))))</f>
        <v>0</v>
      </c>
      <c r="AO323">
        <f>IF(metadata!O323="",FALSE,TRUE)</f>
        <v>0</v>
      </c>
      <c r="AP323">
        <f>OR(AND(IF(metadata!P323="",FALSE,TRUE),OR(exact(metadata!P323,"missing: not collected"),exact(metadata!P323,"missing: not provided"))),AND(IF(metadata!P323="",FALSE,IF(ISERROR(INT(metadata!P323)),FALSE,INT(metadata!P323)=metadata!P323)),metadata!P323&gt;0))</f>
        <v>0</v>
      </c>
      <c r="AQ323">
        <f>IF(metadata!Q323="",FALSE,TRUE)</f>
        <v>0</v>
      </c>
    </row>
    <row r="324" spans="1:43">
      <c r="A324" s="5">
        <f>IF(B324=" "," ",HYPERLINK(CONCATENATE("#metadata!",ADDRESS(INDEX($W$2:$W$1001,MATCH(ROWS($U$2:U324),$U$2:$U$1001,0),0),1)),INDEX($Z$2:$Z$1001,MATCH(ROWS($U$2:U324),$U$2:$U$1001,0),0)))</f>
        <v>0</v>
      </c>
      <c r="B324" s="4">
        <f>IF(OR(INDEX($V$2:$V$1001,MATCH(ROWS($U$2:U324),$U$2:$U$1001,0),1)&gt;=100000,INDEX($AB$1005:$AQ$1005,1,MATCH(COLUMNS($AB$1006:AB1006),$AB$1006:$AQ$1006,0))&gt;=100000), " ",IF(INDEX($AB$2:$AQ$1001,MATCH(ROWS($U$2:U324),$U$2:$U$1001,0),MATCH(COLUMNS($AB$1006:AB1006),$AB$1006:$AQ$1006,0)), HYPERLINK("#",""), HYPERLINK(CONCATENATE("#metadata!", ADDRESS(INDEX($W$2:$W$1001,MATCH(ROWS($U$2:U324),$U$2:$U$1001,0),0), INDEX($AB$1004:$AQ$1004,1,MATCH(COLUMNS($AB$1006:AB1006),$AB$1006:$AQ$1006,0)))),"Fix")))</f>
        <v>0</v>
      </c>
      <c r="C324" s="4">
        <f>IF(OR(INDEX($V$2:$V$1001,MATCH(ROWS($U$2:U324),$U$2:$U$1001,0),1)&gt;=100000,INDEX($AB$1005:$AQ$1005,1,MATCH(COLUMNS($AB$1006:AC1006),$AB$1006:$AQ$1006,0))&gt;=100000), " ",IF(INDEX($AB$2:$AQ$1001,MATCH(ROWS($U$2:U324),$U$2:$U$1001,0),MATCH(COLUMNS($AB$1006:AC1006),$AB$1006:$AQ$1006,0)), HYPERLINK("#",""), HYPERLINK(CONCATENATE("#metadata!", ADDRESS(INDEX($W$2:$W$1001,MATCH(ROWS($U$2:U324),$U$2:$U$1001,0),0), INDEX($AB$1004:$AQ$1004,1,MATCH(COLUMNS($AB$1006:AC1006),$AB$1006:$AQ$1006,0)))),"Fix")))</f>
        <v>0</v>
      </c>
      <c r="D324" s="4">
        <f>IF(OR(INDEX($V$2:$V$1001,MATCH(ROWS($U$2:U324),$U$2:$U$1001,0),1)&gt;=100000,INDEX($AB$1005:$AQ$1005,1,MATCH(COLUMNS($AB$1006:AD1006),$AB$1006:$AQ$1006,0))&gt;=100000), " ",IF(INDEX($AB$2:$AQ$1001,MATCH(ROWS($U$2:U324),$U$2:$U$1001,0),MATCH(COLUMNS($AB$1006:AD1006),$AB$1006:$AQ$1006,0)), HYPERLINK("#",""), HYPERLINK(CONCATENATE("#metadata!", ADDRESS(INDEX($W$2:$W$1001,MATCH(ROWS($U$2:U324),$U$2:$U$1001,0),0), INDEX($AB$1004:$AQ$1004,1,MATCH(COLUMNS($AB$1006:AD1006),$AB$1006:$AQ$1006,0)))),"Fix")))</f>
        <v>0</v>
      </c>
      <c r="E324" s="4">
        <f>IF(OR(INDEX($V$2:$V$1001,MATCH(ROWS($U$2:U324),$U$2:$U$1001,0),1)&gt;=100000,INDEX($AB$1005:$AQ$1005,1,MATCH(COLUMNS($AB$1006:AE1006),$AB$1006:$AQ$1006,0))&gt;=100000), " ",IF(INDEX($AB$2:$AQ$1001,MATCH(ROWS($U$2:U324),$U$2:$U$1001,0),MATCH(COLUMNS($AB$1006:AE1006),$AB$1006:$AQ$1006,0)), HYPERLINK("#",""), HYPERLINK(CONCATENATE("#metadata!", ADDRESS(INDEX($W$2:$W$1001,MATCH(ROWS($U$2:U324),$U$2:$U$1001,0),0), INDEX($AB$1004:$AQ$1004,1,MATCH(COLUMNS($AB$1006:AE1006),$AB$1006:$AQ$1006,0)))),"Fix")))</f>
        <v>0</v>
      </c>
      <c r="F324" s="4">
        <f>IF(OR(INDEX($V$2:$V$1001,MATCH(ROWS($U$2:U324),$U$2:$U$1001,0),1)&gt;=100000,INDEX($AB$1005:$AQ$1005,1,MATCH(COLUMNS($AB$1006:AF1006),$AB$1006:$AQ$1006,0))&gt;=100000), " ",IF(INDEX($AB$2:$AQ$1001,MATCH(ROWS($U$2:U324),$U$2:$U$1001,0),MATCH(COLUMNS($AB$1006:AF1006),$AB$1006:$AQ$1006,0)), HYPERLINK("#",""), HYPERLINK(CONCATENATE("#metadata!", ADDRESS(INDEX($W$2:$W$1001,MATCH(ROWS($U$2:U324),$U$2:$U$1001,0),0), INDEX($AB$1004:$AQ$1004,1,MATCH(COLUMNS($AB$1006:AF1006),$AB$1006:$AQ$1006,0)))),"Fix")))</f>
        <v>0</v>
      </c>
      <c r="G324" s="4">
        <f>IF(OR(INDEX($V$2:$V$1001,MATCH(ROWS($U$2:U324),$U$2:$U$1001,0),1)&gt;=100000,INDEX($AB$1005:$AQ$1005,1,MATCH(COLUMNS($AB$1006:AG1006),$AB$1006:$AQ$1006,0))&gt;=100000), " ",IF(INDEX($AB$2:$AQ$1001,MATCH(ROWS($U$2:U324),$U$2:$U$1001,0),MATCH(COLUMNS($AB$1006:AG1006),$AB$1006:$AQ$1006,0)), HYPERLINK("#",""), HYPERLINK(CONCATENATE("#metadata!", ADDRESS(INDEX($W$2:$W$1001,MATCH(ROWS($U$2:U324),$U$2:$U$1001,0),0), INDEX($AB$1004:$AQ$1004,1,MATCH(COLUMNS($AB$1006:AG1006),$AB$1006:$AQ$1006,0)))),"Fix")))</f>
        <v>0</v>
      </c>
      <c r="H324" s="4">
        <f>IF(OR(INDEX($V$2:$V$1001,MATCH(ROWS($U$2:U324),$U$2:$U$1001,0),1)&gt;=100000,INDEX($AB$1005:$AQ$1005,1,MATCH(COLUMNS($AB$1006:AH1006),$AB$1006:$AQ$1006,0))&gt;=100000), " ",IF(INDEX($AB$2:$AQ$1001,MATCH(ROWS($U$2:U324),$U$2:$U$1001,0),MATCH(COLUMNS($AB$1006:AH1006),$AB$1006:$AQ$1006,0)), HYPERLINK("#",""), HYPERLINK(CONCATENATE("#metadata!", ADDRESS(INDEX($W$2:$W$1001,MATCH(ROWS($U$2:U324),$U$2:$U$1001,0),0), INDEX($AB$1004:$AQ$1004,1,MATCH(COLUMNS($AB$1006:AH1006),$AB$1006:$AQ$1006,0)))),"Fix")))</f>
        <v>0</v>
      </c>
      <c r="I324" s="4">
        <f>IF(OR(INDEX($V$2:$V$1001,MATCH(ROWS($U$2:U324),$U$2:$U$1001,0),1)&gt;=100000,INDEX($AB$1005:$AQ$1005,1,MATCH(COLUMNS($AB$1006:AI1006),$AB$1006:$AQ$1006,0))&gt;=100000), " ",IF(INDEX($AB$2:$AQ$1001,MATCH(ROWS($U$2:U324),$U$2:$U$1001,0),MATCH(COLUMNS($AB$1006:AI1006),$AB$1006:$AQ$1006,0)), HYPERLINK("#",""), HYPERLINK(CONCATENATE("#metadata!", ADDRESS(INDEX($W$2:$W$1001,MATCH(ROWS($U$2:U324),$U$2:$U$1001,0),0), INDEX($AB$1004:$AQ$1004,1,MATCH(COLUMNS($AB$1006:AI1006),$AB$1006:$AQ$1006,0)))),"Fix")))</f>
        <v>0</v>
      </c>
      <c r="J324" s="4">
        <f>IF(OR(INDEX($V$2:$V$1001,MATCH(ROWS($U$2:U324),$U$2:$U$1001,0),1)&gt;=100000,INDEX($AB$1005:$AQ$1005,1,MATCH(COLUMNS($AB$1006:AJ1006),$AB$1006:$AQ$1006,0))&gt;=100000), " ",IF(INDEX($AB$2:$AQ$1001,MATCH(ROWS($U$2:U324),$U$2:$U$1001,0),MATCH(COLUMNS($AB$1006:AJ1006),$AB$1006:$AQ$1006,0)), HYPERLINK("#",""), HYPERLINK(CONCATENATE("#metadata!", ADDRESS(INDEX($W$2:$W$1001,MATCH(ROWS($U$2:U324),$U$2:$U$1001,0),0), INDEX($AB$1004:$AQ$1004,1,MATCH(COLUMNS($AB$1006:AJ1006),$AB$1006:$AQ$1006,0)))),"Fix")))</f>
        <v>0</v>
      </c>
      <c r="K324" s="4">
        <f>IF(OR(INDEX($V$2:$V$1001,MATCH(ROWS($U$2:U324),$U$2:$U$1001,0),1)&gt;=100000,INDEX($AB$1005:$AQ$1005,1,MATCH(COLUMNS($AB$1006:AK1006),$AB$1006:$AQ$1006,0))&gt;=100000), " ",IF(INDEX($AB$2:$AQ$1001,MATCH(ROWS($U$2:U324),$U$2:$U$1001,0),MATCH(COLUMNS($AB$1006:AK1006),$AB$1006:$AQ$1006,0)), HYPERLINK("#",""), HYPERLINK(CONCATENATE("#metadata!", ADDRESS(INDEX($W$2:$W$1001,MATCH(ROWS($U$2:U324),$U$2:$U$1001,0),0), INDEX($AB$1004:$AQ$1004,1,MATCH(COLUMNS($AB$1006:AK1006),$AB$1006:$AQ$1006,0)))),"Fix")))</f>
        <v>0</v>
      </c>
      <c r="L324" s="4">
        <f>IF(OR(INDEX($V$2:$V$1001,MATCH(ROWS($U$2:U324),$U$2:$U$1001,0),1)&gt;=100000,INDEX($AB$1005:$AQ$1005,1,MATCH(COLUMNS($AB$1006:AL1006),$AB$1006:$AQ$1006,0))&gt;=100000), " ",IF(INDEX($AB$2:$AQ$1001,MATCH(ROWS($U$2:U324),$U$2:$U$1001,0),MATCH(COLUMNS($AB$1006:AL1006),$AB$1006:$AQ$1006,0)), HYPERLINK("#",""), HYPERLINK(CONCATENATE("#metadata!", ADDRESS(INDEX($W$2:$W$1001,MATCH(ROWS($U$2:U324),$U$2:$U$1001,0),0), INDEX($AB$1004:$AQ$1004,1,MATCH(COLUMNS($AB$1006:AL1006),$AB$1006:$AQ$1006,0)))),"Fix")))</f>
        <v>0</v>
      </c>
      <c r="M324" s="4">
        <f>IF(OR(INDEX($V$2:$V$1001,MATCH(ROWS($U$2:U324),$U$2:$U$1001,0),1)&gt;=100000,INDEX($AB$1005:$AQ$1005,1,MATCH(COLUMNS($AB$1006:AM1006),$AB$1006:$AQ$1006,0))&gt;=100000), " ",IF(INDEX($AB$2:$AQ$1001,MATCH(ROWS($U$2:U324),$U$2:$U$1001,0),MATCH(COLUMNS($AB$1006:AM1006),$AB$1006:$AQ$1006,0)), HYPERLINK("#",""), HYPERLINK(CONCATENATE("#metadata!", ADDRESS(INDEX($W$2:$W$1001,MATCH(ROWS($U$2:U324),$U$2:$U$1001,0),0), INDEX($AB$1004:$AQ$1004,1,MATCH(COLUMNS($AB$1006:AM1006),$AB$1006:$AQ$1006,0)))),"Fix")))</f>
        <v>0</v>
      </c>
      <c r="N324" s="4">
        <f>IF(OR(INDEX($V$2:$V$1001,MATCH(ROWS($U$2:U324),$U$2:$U$1001,0),1)&gt;=100000,INDEX($AB$1005:$AQ$1005,1,MATCH(COLUMNS($AB$1006:AN1006),$AB$1006:$AQ$1006,0))&gt;=100000), " ",IF(INDEX($AB$2:$AQ$1001,MATCH(ROWS($U$2:U324),$U$2:$U$1001,0),MATCH(COLUMNS($AB$1006:AN1006),$AB$1006:$AQ$1006,0)), HYPERLINK("#",""), HYPERLINK(CONCATENATE("#metadata!", ADDRESS(INDEX($W$2:$W$1001,MATCH(ROWS($U$2:U324),$U$2:$U$1001,0),0), INDEX($AB$1004:$AQ$1004,1,MATCH(COLUMNS($AB$1006:AN1006),$AB$1006:$AQ$1006,0)))),"Fix")))</f>
        <v>0</v>
      </c>
      <c r="O324" s="4">
        <f>IF(OR(INDEX($V$2:$V$1001,MATCH(ROWS($U$2:U324),$U$2:$U$1001,0),1)&gt;=100000,INDEX($AB$1005:$AQ$1005,1,MATCH(COLUMNS($AB$1006:AO1006),$AB$1006:$AQ$1006,0))&gt;=100000), " ",IF(INDEX($AB$2:$AQ$1001,MATCH(ROWS($U$2:U324),$U$2:$U$1001,0),MATCH(COLUMNS($AB$1006:AO1006),$AB$1006:$AQ$1006,0)), HYPERLINK("#",""), HYPERLINK(CONCATENATE("#metadata!", ADDRESS(INDEX($W$2:$W$1001,MATCH(ROWS($U$2:U324),$U$2:$U$1001,0),0), INDEX($AB$1004:$AQ$1004,1,MATCH(COLUMNS($AB$1006:AO1006),$AB$1006:$AQ$1006,0)))),"Fix")))</f>
        <v>0</v>
      </c>
      <c r="P324" s="4">
        <f>IF(OR(INDEX($V$2:$V$1001,MATCH(ROWS($U$2:U324),$U$2:$U$1001,0),1)&gt;=100000,INDEX($AB$1005:$AQ$1005,1,MATCH(COLUMNS($AB$1006:AP1006),$AB$1006:$AQ$1006,0))&gt;=100000), " ",IF(INDEX($AB$2:$AQ$1001,MATCH(ROWS($U$2:U324),$U$2:$U$1001,0),MATCH(COLUMNS($AB$1006:AP1006),$AB$1006:$AQ$1006,0)), HYPERLINK("#",""), HYPERLINK(CONCATENATE("#metadata!", ADDRESS(INDEX($W$2:$W$1001,MATCH(ROWS($U$2:U324),$U$2:$U$1001,0),0), INDEX($AB$1004:$AQ$1004,1,MATCH(COLUMNS($AB$1006:AP1006),$AB$1006:$AQ$1006,0)))),"Fix")))</f>
        <v>0</v>
      </c>
      <c r="Q324" s="4">
        <f>IF(OR(INDEX($V$2:$V$1001,MATCH(ROWS($U$2:U324),$U$2:$U$1001,0),1)&gt;=100000,INDEX($AB$1005:$AQ$1005,1,MATCH(COLUMNS($AB$1006:AQ1006),$AB$1006:$AQ$1006,0))&gt;=100000), " ",IF(INDEX($AB$2:$AQ$1001,MATCH(ROWS($U$2:U324),$U$2:$U$1001,0),MATCH(COLUMNS($AB$1006:AQ1006),$AB$1006:$AQ$1006,0)), HYPERLINK("#",""), HYPERLINK(CONCATENATE("#metadata!", ADDRESS(INDEX($W$2:$W$1001,MATCH(ROWS($U$2:U324),$U$2:$U$1001,0),0), INDEX($AB$1004:$AQ$1004,1,MATCH(COLUMNS($AB$1006:AQ1006),$AB$1006:$AQ$1006,0)))),"Fix")))</f>
        <v>0</v>
      </c>
      <c r="U324">
        <v>0</v>
      </c>
      <c r="V324">
        <v>0</v>
      </c>
      <c r="W324">
        <v>0</v>
      </c>
      <c r="X324">
        <f>IF(Y324,TRUE,AND(AB324:AQ324))</f>
        <v>0</v>
      </c>
      <c r="Y324">
        <f>COUNTBLANK(metadata!B324:Q324)=COLUMNS(metadata!B324:Q324)</f>
        <v>0</v>
      </c>
      <c r="Z324">
        <v>0</v>
      </c>
      <c r="AB324">
        <f>AND(IF(metadata!B324="",FALSE,TRUE),COUNTIF(metadata!B:B, metadata!B324) = 1,NOT(ISERROR(SUMPRODUCT(SEARCH(MID(metadata!B324,ROW(INDIRECT("1:"&amp;LEN(metadata!B324))), 1),"0123456789abcdefghijklmnopqrstuvwxyzABCDEFGHIJKLMNOPQRSTUVWXYZ.")))))</f>
        <v>0</v>
      </c>
      <c r="AC324">
        <f>OR(AND(IF(metadata!C324="",FALSE,TRUE),OR(exact(metadata!C324,"missing: not collected"),exact(metadata!C324,"missing: not provided"),exact(metadata!C324,"missing: restricted access"))),AND(IF(metadata!C324="",FALSE,TRUE),AND(AND(IFERROR(INT(LEFT(metadata!C324,4))&gt;1900,FALSE),IFERROR(INT(LEFT(metadata!C324,4))&lt;=YEAR(NOW()),FALSE)), OR(MID(metadata!C324,5,1)="", AND(AND(MID(metadata!C324,5,1)="-",IFERROR(INT(MID(metadata!C324,6,1))&gt;=0,FALSE),IFERROR(INT(MID(metadata!C324,6,1))&lt;=1,FALSE),NOT(MID(metadata!C324,7,1)=""),IFERROR(INT(MID(metadata!C324,6,2))&gt;=1,FALSE),IFERROR(INT(MID(metadata!C324,6,2))&lt;=12,FALSE)), OR(MID(metadata!C324,8,1)="", AND(AND(MID(metadata!C324,8,1)="-",IFERROR(INT(MID(metadata!C324,9,1))&gt;=0,FALSE),IFERROR(INT(MID(metadata!C324,9,1))&lt;=3,FALSE),NOT(MID(metadata!C324,10,1)=""),IFERROR(INT(MID(metadata!C324,9,2))&gt;=1,FALSE),IFERROR(INT(MID(metadata!C324,9,2))&lt;=31,FALSE)), OR(MID(metadata!C324,11,1)="", AND(AND(MID(metadata!C324,11,1)=" ",IFERROR(INT(MID(metadata!C324,12,1))&gt;=0,FALSE),IFERROR(INT(MID(metadata!C324,12,1))&lt;=2,FALSE),NOT(MID(metadata!C324,13,1)=""),IFERROR(INT(MID(metadata!C324,12,2))&gt;=0,FALSE),IFERROR(INT(MID(metadata!C324,12,2))&lt;=23,FALSE)), OR(MID(metadata!C324,14,1)="", AND(AND(MID(metadata!C324,14,1)=":",IFERROR(INT(MID(metadata!C324,15,1))&gt;=0,FALSE),IFERROR(INT(MID(metadata!C324,15,1))&lt;=5,FALSE),NOT(MID(metadata!C324,16,1)=""),IFERROR(INT(MID(metadata!C324,15,2))&gt;=0,FALSE),IFERROR(INT(MID(metadata!C324,15,2))&lt;=59,FALSE)), OR(MID(metadata!C324,17,1)="", AND(AND(MID(metadata!C324,17,1)=":",IFERROR(INT(MID(metadata!C324,18,1))&gt;=0,FALSE),IFERROR(INT(MID(metadata!C324,18,1))&lt;=5,FALSE),NOT(MID(metadata!C324,19,1)=""),IFERROR(INT(MID(metadata!C324,18,2))&gt;=0,FALSE),IFERROR(INT(MID(metadata!C324,18,2))&lt;=59,FALSE)), LEN(metadata!C324)&lt;=19)))))))))))))</f>
        <v>0</v>
      </c>
      <c r="AD324">
        <f>IF(metadata!D324="",FALSE,TRUE)</f>
        <v>0</v>
      </c>
      <c r="AE324">
        <f>OR(AND(IF(metadata!E324="",FALSE,TRUE),OR(exact(metadata!E324,"missing: not collected"),exact(metadata!E324,"missing: not provided"))),AND(IF(metadata!E324="",FALSE,TRUE),OR(exact(metadata!E324,"TRUE"),exact(metadata!E324,"FALSE"))))</f>
        <v>0</v>
      </c>
      <c r="AF324">
        <f>IF(metadata!F324="",FALSE,TRUE)</f>
        <v>0</v>
      </c>
      <c r="AG324">
        <f>IF(metadata!G324="",FALSE,TRUE)</f>
        <v>0</v>
      </c>
      <c r="AH324">
        <f>IF(metadata!H324="",FALSE,TRUE)</f>
        <v>0</v>
      </c>
      <c r="AI324">
        <f>OR(AND(IF(metadata!I324="",FALSE,TRUE),OR(exact(metadata!I324,"missing: not collected"),exact(metadata!I324,"missing: not provided"),exact(metadata!I324,"missing: restricted access"))),AND(IF(metadata!I324="",FALSE,TRUE),OR(exact(metadata!I324,"air"),exact(metadata!I324,"built environment"),exact(metadata!I324,"host-associated"),exact(metadata!I324,"human-associated"),exact(metadata!I324,"human-skin"),exact(metadata!I324,"human-oral"),exact(metadata!I324,"human-gut"),exact(metadata!I324,"human-vaginal"),exact(metadata!I324,"microbial mat/biofilm"),exact(metadata!I324,"misc environment"),exact(metadata!I324,"plant-associated"),exact(metadata!I324,"sediment"),exact(metadata!I324,"soil"),exact(metadata!I324,"wastewater/sludge"),exact(metadata!I324,"water"))))</f>
        <v>0</v>
      </c>
      <c r="AJ324">
        <f>IF(metadata!J324="",FALSE,TRUE)</f>
        <v>0</v>
      </c>
      <c r="AK324">
        <f>OR(AND(IF(metadata!K324="",FALSE,TRUE),OR(exact(metadata!K324,"missing: not collected"),exact(metadata!K324,"missing: not provided"),exact(metadata!K324,"missing: restricted access"))),AND(IF(metadata!K324="",FALSE,ISNUMBER(VALUE(metadata!K324))),metadata!K324&gt;=-90.00,metadata!K324&lt;=90.00))</f>
        <v>0</v>
      </c>
      <c r="AL324">
        <f>OR(AND(IF(metadata!L324="",FALSE,TRUE),OR(exact(metadata!L324,"missing: not collected"),exact(metadata!L324,"missing: not provided"),exact(metadata!L324,"missing: restricted access"))),AND(IF(metadata!L324="",FALSE,ISNUMBER(VALUE(metadata!L324))),metadata!L324&gt;=-180.00,metadata!L324&lt;=180.00))</f>
        <v>0</v>
      </c>
      <c r="AM324">
        <f>IF(metadata!M324="",FALSE,TRUE)</f>
        <v>0</v>
      </c>
      <c r="AN324">
        <f>OR(AND(IF(metadata!N324="",FALSE,TRUE),OR(exact(metadata!N324,"missing: not collected"),exact(metadata!N324,"missing: not provided"),exact(metadata!N324,"missing: restricted access"))),AND(IF(metadata!N324="",FALSE,TRUE),OR(exact(metadata!N324,"TRUE"),exact(metadata!N324,"FALSE"))))</f>
        <v>0</v>
      </c>
      <c r="AO324">
        <f>IF(metadata!O324="",FALSE,TRUE)</f>
        <v>0</v>
      </c>
      <c r="AP324">
        <f>OR(AND(IF(metadata!P324="",FALSE,TRUE),OR(exact(metadata!P324,"missing: not collected"),exact(metadata!P324,"missing: not provided"))),AND(IF(metadata!P324="",FALSE,IF(ISERROR(INT(metadata!P324)),FALSE,INT(metadata!P324)=metadata!P324)),metadata!P324&gt;0))</f>
        <v>0</v>
      </c>
      <c r="AQ324">
        <f>IF(metadata!Q324="",FALSE,TRUE)</f>
        <v>0</v>
      </c>
    </row>
    <row r="325" spans="1:43">
      <c r="A325" s="5">
        <f>IF(B325=" "," ",HYPERLINK(CONCATENATE("#metadata!",ADDRESS(INDEX($W$2:$W$1001,MATCH(ROWS($U$2:U325),$U$2:$U$1001,0),0),1)),INDEX($Z$2:$Z$1001,MATCH(ROWS($U$2:U325),$U$2:$U$1001,0),0)))</f>
        <v>0</v>
      </c>
      <c r="B325" s="4">
        <f>IF(OR(INDEX($V$2:$V$1001,MATCH(ROWS($U$2:U325),$U$2:$U$1001,0),1)&gt;=100000,INDEX($AB$1005:$AQ$1005,1,MATCH(COLUMNS($AB$1006:AB1006),$AB$1006:$AQ$1006,0))&gt;=100000), " ",IF(INDEX($AB$2:$AQ$1001,MATCH(ROWS($U$2:U325),$U$2:$U$1001,0),MATCH(COLUMNS($AB$1006:AB1006),$AB$1006:$AQ$1006,0)), HYPERLINK("#",""), HYPERLINK(CONCATENATE("#metadata!", ADDRESS(INDEX($W$2:$W$1001,MATCH(ROWS($U$2:U325),$U$2:$U$1001,0),0), INDEX($AB$1004:$AQ$1004,1,MATCH(COLUMNS($AB$1006:AB1006),$AB$1006:$AQ$1006,0)))),"Fix")))</f>
        <v>0</v>
      </c>
      <c r="C325" s="4">
        <f>IF(OR(INDEX($V$2:$V$1001,MATCH(ROWS($U$2:U325),$U$2:$U$1001,0),1)&gt;=100000,INDEX($AB$1005:$AQ$1005,1,MATCH(COLUMNS($AB$1006:AC1006),$AB$1006:$AQ$1006,0))&gt;=100000), " ",IF(INDEX($AB$2:$AQ$1001,MATCH(ROWS($U$2:U325),$U$2:$U$1001,0),MATCH(COLUMNS($AB$1006:AC1006),$AB$1006:$AQ$1006,0)), HYPERLINK("#",""), HYPERLINK(CONCATENATE("#metadata!", ADDRESS(INDEX($W$2:$W$1001,MATCH(ROWS($U$2:U325),$U$2:$U$1001,0),0), INDEX($AB$1004:$AQ$1004,1,MATCH(COLUMNS($AB$1006:AC1006),$AB$1006:$AQ$1006,0)))),"Fix")))</f>
        <v>0</v>
      </c>
      <c r="D325" s="4">
        <f>IF(OR(INDEX($V$2:$V$1001,MATCH(ROWS($U$2:U325),$U$2:$U$1001,0),1)&gt;=100000,INDEX($AB$1005:$AQ$1005,1,MATCH(COLUMNS($AB$1006:AD1006),$AB$1006:$AQ$1006,0))&gt;=100000), " ",IF(INDEX($AB$2:$AQ$1001,MATCH(ROWS($U$2:U325),$U$2:$U$1001,0),MATCH(COLUMNS($AB$1006:AD1006),$AB$1006:$AQ$1006,0)), HYPERLINK("#",""), HYPERLINK(CONCATENATE("#metadata!", ADDRESS(INDEX($W$2:$W$1001,MATCH(ROWS($U$2:U325),$U$2:$U$1001,0),0), INDEX($AB$1004:$AQ$1004,1,MATCH(COLUMNS($AB$1006:AD1006),$AB$1006:$AQ$1006,0)))),"Fix")))</f>
        <v>0</v>
      </c>
      <c r="E325" s="4">
        <f>IF(OR(INDEX($V$2:$V$1001,MATCH(ROWS($U$2:U325),$U$2:$U$1001,0),1)&gt;=100000,INDEX($AB$1005:$AQ$1005,1,MATCH(COLUMNS($AB$1006:AE1006),$AB$1006:$AQ$1006,0))&gt;=100000), " ",IF(INDEX($AB$2:$AQ$1001,MATCH(ROWS($U$2:U325),$U$2:$U$1001,0),MATCH(COLUMNS($AB$1006:AE1006),$AB$1006:$AQ$1006,0)), HYPERLINK("#",""), HYPERLINK(CONCATENATE("#metadata!", ADDRESS(INDEX($W$2:$W$1001,MATCH(ROWS($U$2:U325),$U$2:$U$1001,0),0), INDEX($AB$1004:$AQ$1004,1,MATCH(COLUMNS($AB$1006:AE1006),$AB$1006:$AQ$1006,0)))),"Fix")))</f>
        <v>0</v>
      </c>
      <c r="F325" s="4">
        <f>IF(OR(INDEX($V$2:$V$1001,MATCH(ROWS($U$2:U325),$U$2:$U$1001,0),1)&gt;=100000,INDEX($AB$1005:$AQ$1005,1,MATCH(COLUMNS($AB$1006:AF1006),$AB$1006:$AQ$1006,0))&gt;=100000), " ",IF(INDEX($AB$2:$AQ$1001,MATCH(ROWS($U$2:U325),$U$2:$U$1001,0),MATCH(COLUMNS($AB$1006:AF1006),$AB$1006:$AQ$1006,0)), HYPERLINK("#",""), HYPERLINK(CONCATENATE("#metadata!", ADDRESS(INDEX($W$2:$W$1001,MATCH(ROWS($U$2:U325),$U$2:$U$1001,0),0), INDEX($AB$1004:$AQ$1004,1,MATCH(COLUMNS($AB$1006:AF1006),$AB$1006:$AQ$1006,0)))),"Fix")))</f>
        <v>0</v>
      </c>
      <c r="G325" s="4">
        <f>IF(OR(INDEX($V$2:$V$1001,MATCH(ROWS($U$2:U325),$U$2:$U$1001,0),1)&gt;=100000,INDEX($AB$1005:$AQ$1005,1,MATCH(COLUMNS($AB$1006:AG1006),$AB$1006:$AQ$1006,0))&gt;=100000), " ",IF(INDEX($AB$2:$AQ$1001,MATCH(ROWS($U$2:U325),$U$2:$U$1001,0),MATCH(COLUMNS($AB$1006:AG1006),$AB$1006:$AQ$1006,0)), HYPERLINK("#",""), HYPERLINK(CONCATENATE("#metadata!", ADDRESS(INDEX($W$2:$W$1001,MATCH(ROWS($U$2:U325),$U$2:$U$1001,0),0), INDEX($AB$1004:$AQ$1004,1,MATCH(COLUMNS($AB$1006:AG1006),$AB$1006:$AQ$1006,0)))),"Fix")))</f>
        <v>0</v>
      </c>
      <c r="H325" s="4">
        <f>IF(OR(INDEX($V$2:$V$1001,MATCH(ROWS($U$2:U325),$U$2:$U$1001,0),1)&gt;=100000,INDEX($AB$1005:$AQ$1005,1,MATCH(COLUMNS($AB$1006:AH1006),$AB$1006:$AQ$1006,0))&gt;=100000), " ",IF(INDEX($AB$2:$AQ$1001,MATCH(ROWS($U$2:U325),$U$2:$U$1001,0),MATCH(COLUMNS($AB$1006:AH1006),$AB$1006:$AQ$1006,0)), HYPERLINK("#",""), HYPERLINK(CONCATENATE("#metadata!", ADDRESS(INDEX($W$2:$W$1001,MATCH(ROWS($U$2:U325),$U$2:$U$1001,0),0), INDEX($AB$1004:$AQ$1004,1,MATCH(COLUMNS($AB$1006:AH1006),$AB$1006:$AQ$1006,0)))),"Fix")))</f>
        <v>0</v>
      </c>
      <c r="I325" s="4">
        <f>IF(OR(INDEX($V$2:$V$1001,MATCH(ROWS($U$2:U325),$U$2:$U$1001,0),1)&gt;=100000,INDEX($AB$1005:$AQ$1005,1,MATCH(COLUMNS($AB$1006:AI1006),$AB$1006:$AQ$1006,0))&gt;=100000), " ",IF(INDEX($AB$2:$AQ$1001,MATCH(ROWS($U$2:U325),$U$2:$U$1001,0),MATCH(COLUMNS($AB$1006:AI1006),$AB$1006:$AQ$1006,0)), HYPERLINK("#",""), HYPERLINK(CONCATENATE("#metadata!", ADDRESS(INDEX($W$2:$W$1001,MATCH(ROWS($U$2:U325),$U$2:$U$1001,0),0), INDEX($AB$1004:$AQ$1004,1,MATCH(COLUMNS($AB$1006:AI1006),$AB$1006:$AQ$1006,0)))),"Fix")))</f>
        <v>0</v>
      </c>
      <c r="J325" s="4">
        <f>IF(OR(INDEX($V$2:$V$1001,MATCH(ROWS($U$2:U325),$U$2:$U$1001,0),1)&gt;=100000,INDEX($AB$1005:$AQ$1005,1,MATCH(COLUMNS($AB$1006:AJ1006),$AB$1006:$AQ$1006,0))&gt;=100000), " ",IF(INDEX($AB$2:$AQ$1001,MATCH(ROWS($U$2:U325),$U$2:$U$1001,0),MATCH(COLUMNS($AB$1006:AJ1006),$AB$1006:$AQ$1006,0)), HYPERLINK("#",""), HYPERLINK(CONCATENATE("#metadata!", ADDRESS(INDEX($W$2:$W$1001,MATCH(ROWS($U$2:U325),$U$2:$U$1001,0),0), INDEX($AB$1004:$AQ$1004,1,MATCH(COLUMNS($AB$1006:AJ1006),$AB$1006:$AQ$1006,0)))),"Fix")))</f>
        <v>0</v>
      </c>
      <c r="K325" s="4">
        <f>IF(OR(INDEX($V$2:$V$1001,MATCH(ROWS($U$2:U325),$U$2:$U$1001,0),1)&gt;=100000,INDEX($AB$1005:$AQ$1005,1,MATCH(COLUMNS($AB$1006:AK1006),$AB$1006:$AQ$1006,0))&gt;=100000), " ",IF(INDEX($AB$2:$AQ$1001,MATCH(ROWS($U$2:U325),$U$2:$U$1001,0),MATCH(COLUMNS($AB$1006:AK1006),$AB$1006:$AQ$1006,0)), HYPERLINK("#",""), HYPERLINK(CONCATENATE("#metadata!", ADDRESS(INDEX($W$2:$W$1001,MATCH(ROWS($U$2:U325),$U$2:$U$1001,0),0), INDEX($AB$1004:$AQ$1004,1,MATCH(COLUMNS($AB$1006:AK1006),$AB$1006:$AQ$1006,0)))),"Fix")))</f>
        <v>0</v>
      </c>
      <c r="L325" s="4">
        <f>IF(OR(INDEX($V$2:$V$1001,MATCH(ROWS($U$2:U325),$U$2:$U$1001,0),1)&gt;=100000,INDEX($AB$1005:$AQ$1005,1,MATCH(COLUMNS($AB$1006:AL1006),$AB$1006:$AQ$1006,0))&gt;=100000), " ",IF(INDEX($AB$2:$AQ$1001,MATCH(ROWS($U$2:U325),$U$2:$U$1001,0),MATCH(COLUMNS($AB$1006:AL1006),$AB$1006:$AQ$1006,0)), HYPERLINK("#",""), HYPERLINK(CONCATENATE("#metadata!", ADDRESS(INDEX($W$2:$W$1001,MATCH(ROWS($U$2:U325),$U$2:$U$1001,0),0), INDEX($AB$1004:$AQ$1004,1,MATCH(COLUMNS($AB$1006:AL1006),$AB$1006:$AQ$1006,0)))),"Fix")))</f>
        <v>0</v>
      </c>
      <c r="M325" s="4">
        <f>IF(OR(INDEX($V$2:$V$1001,MATCH(ROWS($U$2:U325),$U$2:$U$1001,0),1)&gt;=100000,INDEX($AB$1005:$AQ$1005,1,MATCH(COLUMNS($AB$1006:AM1006),$AB$1006:$AQ$1006,0))&gt;=100000), " ",IF(INDEX($AB$2:$AQ$1001,MATCH(ROWS($U$2:U325),$U$2:$U$1001,0),MATCH(COLUMNS($AB$1006:AM1006),$AB$1006:$AQ$1006,0)), HYPERLINK("#",""), HYPERLINK(CONCATENATE("#metadata!", ADDRESS(INDEX($W$2:$W$1001,MATCH(ROWS($U$2:U325),$U$2:$U$1001,0),0), INDEX($AB$1004:$AQ$1004,1,MATCH(COLUMNS($AB$1006:AM1006),$AB$1006:$AQ$1006,0)))),"Fix")))</f>
        <v>0</v>
      </c>
      <c r="N325" s="4">
        <f>IF(OR(INDEX($V$2:$V$1001,MATCH(ROWS($U$2:U325),$U$2:$U$1001,0),1)&gt;=100000,INDEX($AB$1005:$AQ$1005,1,MATCH(COLUMNS($AB$1006:AN1006),$AB$1006:$AQ$1006,0))&gt;=100000), " ",IF(INDEX($AB$2:$AQ$1001,MATCH(ROWS($U$2:U325),$U$2:$U$1001,0),MATCH(COLUMNS($AB$1006:AN1006),$AB$1006:$AQ$1006,0)), HYPERLINK("#",""), HYPERLINK(CONCATENATE("#metadata!", ADDRESS(INDEX($W$2:$W$1001,MATCH(ROWS($U$2:U325),$U$2:$U$1001,0),0), INDEX($AB$1004:$AQ$1004,1,MATCH(COLUMNS($AB$1006:AN1006),$AB$1006:$AQ$1006,0)))),"Fix")))</f>
        <v>0</v>
      </c>
      <c r="O325" s="4">
        <f>IF(OR(INDEX($V$2:$V$1001,MATCH(ROWS($U$2:U325),$U$2:$U$1001,0),1)&gt;=100000,INDEX($AB$1005:$AQ$1005,1,MATCH(COLUMNS($AB$1006:AO1006),$AB$1006:$AQ$1006,0))&gt;=100000), " ",IF(INDEX($AB$2:$AQ$1001,MATCH(ROWS($U$2:U325),$U$2:$U$1001,0),MATCH(COLUMNS($AB$1006:AO1006),$AB$1006:$AQ$1006,0)), HYPERLINK("#",""), HYPERLINK(CONCATENATE("#metadata!", ADDRESS(INDEX($W$2:$W$1001,MATCH(ROWS($U$2:U325),$U$2:$U$1001,0),0), INDEX($AB$1004:$AQ$1004,1,MATCH(COLUMNS($AB$1006:AO1006),$AB$1006:$AQ$1006,0)))),"Fix")))</f>
        <v>0</v>
      </c>
      <c r="P325" s="4">
        <f>IF(OR(INDEX($V$2:$V$1001,MATCH(ROWS($U$2:U325),$U$2:$U$1001,0),1)&gt;=100000,INDEX($AB$1005:$AQ$1005,1,MATCH(COLUMNS($AB$1006:AP1006),$AB$1006:$AQ$1006,0))&gt;=100000), " ",IF(INDEX($AB$2:$AQ$1001,MATCH(ROWS($U$2:U325),$U$2:$U$1001,0),MATCH(COLUMNS($AB$1006:AP1006),$AB$1006:$AQ$1006,0)), HYPERLINK("#",""), HYPERLINK(CONCATENATE("#metadata!", ADDRESS(INDEX($W$2:$W$1001,MATCH(ROWS($U$2:U325),$U$2:$U$1001,0),0), INDEX($AB$1004:$AQ$1004,1,MATCH(COLUMNS($AB$1006:AP1006),$AB$1006:$AQ$1006,0)))),"Fix")))</f>
        <v>0</v>
      </c>
      <c r="Q325" s="4">
        <f>IF(OR(INDEX($V$2:$V$1001,MATCH(ROWS($U$2:U325),$U$2:$U$1001,0),1)&gt;=100000,INDEX($AB$1005:$AQ$1005,1,MATCH(COLUMNS($AB$1006:AQ1006),$AB$1006:$AQ$1006,0))&gt;=100000), " ",IF(INDEX($AB$2:$AQ$1001,MATCH(ROWS($U$2:U325),$U$2:$U$1001,0),MATCH(COLUMNS($AB$1006:AQ1006),$AB$1006:$AQ$1006,0)), HYPERLINK("#",""), HYPERLINK(CONCATENATE("#metadata!", ADDRESS(INDEX($W$2:$W$1001,MATCH(ROWS($U$2:U325),$U$2:$U$1001,0),0), INDEX($AB$1004:$AQ$1004,1,MATCH(COLUMNS($AB$1006:AQ1006),$AB$1006:$AQ$1006,0)))),"Fix")))</f>
        <v>0</v>
      </c>
      <c r="U325">
        <v>0</v>
      </c>
      <c r="V325">
        <v>0</v>
      </c>
      <c r="W325">
        <v>0</v>
      </c>
      <c r="X325">
        <f>IF(Y325,TRUE,AND(AB325:AQ325))</f>
        <v>0</v>
      </c>
      <c r="Y325">
        <f>COUNTBLANK(metadata!B325:Q325)=COLUMNS(metadata!B325:Q325)</f>
        <v>0</v>
      </c>
      <c r="Z325">
        <v>0</v>
      </c>
      <c r="AB325">
        <f>AND(IF(metadata!B325="",FALSE,TRUE),COUNTIF(metadata!B:B, metadata!B325) = 1,NOT(ISERROR(SUMPRODUCT(SEARCH(MID(metadata!B325,ROW(INDIRECT("1:"&amp;LEN(metadata!B325))), 1),"0123456789abcdefghijklmnopqrstuvwxyzABCDEFGHIJKLMNOPQRSTUVWXYZ.")))))</f>
        <v>0</v>
      </c>
      <c r="AC325">
        <f>OR(AND(IF(metadata!C325="",FALSE,TRUE),OR(exact(metadata!C325,"missing: not collected"),exact(metadata!C325,"missing: not provided"),exact(metadata!C325,"missing: restricted access"))),AND(IF(metadata!C325="",FALSE,TRUE),AND(AND(IFERROR(INT(LEFT(metadata!C325,4))&gt;1900,FALSE),IFERROR(INT(LEFT(metadata!C325,4))&lt;=YEAR(NOW()),FALSE)), OR(MID(metadata!C325,5,1)="", AND(AND(MID(metadata!C325,5,1)="-",IFERROR(INT(MID(metadata!C325,6,1))&gt;=0,FALSE),IFERROR(INT(MID(metadata!C325,6,1))&lt;=1,FALSE),NOT(MID(metadata!C325,7,1)=""),IFERROR(INT(MID(metadata!C325,6,2))&gt;=1,FALSE),IFERROR(INT(MID(metadata!C325,6,2))&lt;=12,FALSE)), OR(MID(metadata!C325,8,1)="", AND(AND(MID(metadata!C325,8,1)="-",IFERROR(INT(MID(metadata!C325,9,1))&gt;=0,FALSE),IFERROR(INT(MID(metadata!C325,9,1))&lt;=3,FALSE),NOT(MID(metadata!C325,10,1)=""),IFERROR(INT(MID(metadata!C325,9,2))&gt;=1,FALSE),IFERROR(INT(MID(metadata!C325,9,2))&lt;=31,FALSE)), OR(MID(metadata!C325,11,1)="", AND(AND(MID(metadata!C325,11,1)=" ",IFERROR(INT(MID(metadata!C325,12,1))&gt;=0,FALSE),IFERROR(INT(MID(metadata!C325,12,1))&lt;=2,FALSE),NOT(MID(metadata!C325,13,1)=""),IFERROR(INT(MID(metadata!C325,12,2))&gt;=0,FALSE),IFERROR(INT(MID(metadata!C325,12,2))&lt;=23,FALSE)), OR(MID(metadata!C325,14,1)="", AND(AND(MID(metadata!C325,14,1)=":",IFERROR(INT(MID(metadata!C325,15,1))&gt;=0,FALSE),IFERROR(INT(MID(metadata!C325,15,1))&lt;=5,FALSE),NOT(MID(metadata!C325,16,1)=""),IFERROR(INT(MID(metadata!C325,15,2))&gt;=0,FALSE),IFERROR(INT(MID(metadata!C325,15,2))&lt;=59,FALSE)), OR(MID(metadata!C325,17,1)="", AND(AND(MID(metadata!C325,17,1)=":",IFERROR(INT(MID(metadata!C325,18,1))&gt;=0,FALSE),IFERROR(INT(MID(metadata!C325,18,1))&lt;=5,FALSE),NOT(MID(metadata!C325,19,1)=""),IFERROR(INT(MID(metadata!C325,18,2))&gt;=0,FALSE),IFERROR(INT(MID(metadata!C325,18,2))&lt;=59,FALSE)), LEN(metadata!C325)&lt;=19)))))))))))))</f>
        <v>0</v>
      </c>
      <c r="AD325">
        <f>IF(metadata!D325="",FALSE,TRUE)</f>
        <v>0</v>
      </c>
      <c r="AE325">
        <f>OR(AND(IF(metadata!E325="",FALSE,TRUE),OR(exact(metadata!E325,"missing: not collected"),exact(metadata!E325,"missing: not provided"))),AND(IF(metadata!E325="",FALSE,TRUE),OR(exact(metadata!E325,"TRUE"),exact(metadata!E325,"FALSE"))))</f>
        <v>0</v>
      </c>
      <c r="AF325">
        <f>IF(metadata!F325="",FALSE,TRUE)</f>
        <v>0</v>
      </c>
      <c r="AG325">
        <f>IF(metadata!G325="",FALSE,TRUE)</f>
        <v>0</v>
      </c>
      <c r="AH325">
        <f>IF(metadata!H325="",FALSE,TRUE)</f>
        <v>0</v>
      </c>
      <c r="AI325">
        <f>OR(AND(IF(metadata!I325="",FALSE,TRUE),OR(exact(metadata!I325,"missing: not collected"),exact(metadata!I325,"missing: not provided"),exact(metadata!I325,"missing: restricted access"))),AND(IF(metadata!I325="",FALSE,TRUE),OR(exact(metadata!I325,"air"),exact(metadata!I325,"built environment"),exact(metadata!I325,"host-associated"),exact(metadata!I325,"human-associated"),exact(metadata!I325,"human-skin"),exact(metadata!I325,"human-oral"),exact(metadata!I325,"human-gut"),exact(metadata!I325,"human-vaginal"),exact(metadata!I325,"microbial mat/biofilm"),exact(metadata!I325,"misc environment"),exact(metadata!I325,"plant-associated"),exact(metadata!I325,"sediment"),exact(metadata!I325,"soil"),exact(metadata!I325,"wastewater/sludge"),exact(metadata!I325,"water"))))</f>
        <v>0</v>
      </c>
      <c r="AJ325">
        <f>IF(metadata!J325="",FALSE,TRUE)</f>
        <v>0</v>
      </c>
      <c r="AK325">
        <f>OR(AND(IF(metadata!K325="",FALSE,TRUE),OR(exact(metadata!K325,"missing: not collected"),exact(metadata!K325,"missing: not provided"),exact(metadata!K325,"missing: restricted access"))),AND(IF(metadata!K325="",FALSE,ISNUMBER(VALUE(metadata!K325))),metadata!K325&gt;=-90.00,metadata!K325&lt;=90.00))</f>
        <v>0</v>
      </c>
      <c r="AL325">
        <f>OR(AND(IF(metadata!L325="",FALSE,TRUE),OR(exact(metadata!L325,"missing: not collected"),exact(metadata!L325,"missing: not provided"),exact(metadata!L325,"missing: restricted access"))),AND(IF(metadata!L325="",FALSE,ISNUMBER(VALUE(metadata!L325))),metadata!L325&gt;=-180.00,metadata!L325&lt;=180.00))</f>
        <v>0</v>
      </c>
      <c r="AM325">
        <f>IF(metadata!M325="",FALSE,TRUE)</f>
        <v>0</v>
      </c>
      <c r="AN325">
        <f>OR(AND(IF(metadata!N325="",FALSE,TRUE),OR(exact(metadata!N325,"missing: not collected"),exact(metadata!N325,"missing: not provided"),exact(metadata!N325,"missing: restricted access"))),AND(IF(metadata!N325="",FALSE,TRUE),OR(exact(metadata!N325,"TRUE"),exact(metadata!N325,"FALSE"))))</f>
        <v>0</v>
      </c>
      <c r="AO325">
        <f>IF(metadata!O325="",FALSE,TRUE)</f>
        <v>0</v>
      </c>
      <c r="AP325">
        <f>OR(AND(IF(metadata!P325="",FALSE,TRUE),OR(exact(metadata!P325,"missing: not collected"),exact(metadata!P325,"missing: not provided"))),AND(IF(metadata!P325="",FALSE,IF(ISERROR(INT(metadata!P325)),FALSE,INT(metadata!P325)=metadata!P325)),metadata!P325&gt;0))</f>
        <v>0</v>
      </c>
      <c r="AQ325">
        <f>IF(metadata!Q325="",FALSE,TRUE)</f>
        <v>0</v>
      </c>
    </row>
    <row r="326" spans="1:43">
      <c r="A326" s="5">
        <f>IF(B326=" "," ",HYPERLINK(CONCATENATE("#metadata!",ADDRESS(INDEX($W$2:$W$1001,MATCH(ROWS($U$2:U326),$U$2:$U$1001,0),0),1)),INDEX($Z$2:$Z$1001,MATCH(ROWS($U$2:U326),$U$2:$U$1001,0),0)))</f>
        <v>0</v>
      </c>
      <c r="B326" s="4">
        <f>IF(OR(INDEX($V$2:$V$1001,MATCH(ROWS($U$2:U326),$U$2:$U$1001,0),1)&gt;=100000,INDEX($AB$1005:$AQ$1005,1,MATCH(COLUMNS($AB$1006:AB1006),$AB$1006:$AQ$1006,0))&gt;=100000), " ",IF(INDEX($AB$2:$AQ$1001,MATCH(ROWS($U$2:U326),$U$2:$U$1001,0),MATCH(COLUMNS($AB$1006:AB1006),$AB$1006:$AQ$1006,0)), HYPERLINK("#",""), HYPERLINK(CONCATENATE("#metadata!", ADDRESS(INDEX($W$2:$W$1001,MATCH(ROWS($U$2:U326),$U$2:$U$1001,0),0), INDEX($AB$1004:$AQ$1004,1,MATCH(COLUMNS($AB$1006:AB1006),$AB$1006:$AQ$1006,0)))),"Fix")))</f>
        <v>0</v>
      </c>
      <c r="C326" s="4">
        <f>IF(OR(INDEX($V$2:$V$1001,MATCH(ROWS($U$2:U326),$U$2:$U$1001,0),1)&gt;=100000,INDEX($AB$1005:$AQ$1005,1,MATCH(COLUMNS($AB$1006:AC1006),$AB$1006:$AQ$1006,0))&gt;=100000), " ",IF(INDEX($AB$2:$AQ$1001,MATCH(ROWS($U$2:U326),$U$2:$U$1001,0),MATCH(COLUMNS($AB$1006:AC1006),$AB$1006:$AQ$1006,0)), HYPERLINK("#",""), HYPERLINK(CONCATENATE("#metadata!", ADDRESS(INDEX($W$2:$W$1001,MATCH(ROWS($U$2:U326),$U$2:$U$1001,0),0), INDEX($AB$1004:$AQ$1004,1,MATCH(COLUMNS($AB$1006:AC1006),$AB$1006:$AQ$1006,0)))),"Fix")))</f>
        <v>0</v>
      </c>
      <c r="D326" s="4">
        <f>IF(OR(INDEX($V$2:$V$1001,MATCH(ROWS($U$2:U326),$U$2:$U$1001,0),1)&gt;=100000,INDEX($AB$1005:$AQ$1005,1,MATCH(COLUMNS($AB$1006:AD1006),$AB$1006:$AQ$1006,0))&gt;=100000), " ",IF(INDEX($AB$2:$AQ$1001,MATCH(ROWS($U$2:U326),$U$2:$U$1001,0),MATCH(COLUMNS($AB$1006:AD1006),$AB$1006:$AQ$1006,0)), HYPERLINK("#",""), HYPERLINK(CONCATENATE("#metadata!", ADDRESS(INDEX($W$2:$W$1001,MATCH(ROWS($U$2:U326),$U$2:$U$1001,0),0), INDEX($AB$1004:$AQ$1004,1,MATCH(COLUMNS($AB$1006:AD1006),$AB$1006:$AQ$1006,0)))),"Fix")))</f>
        <v>0</v>
      </c>
      <c r="E326" s="4">
        <f>IF(OR(INDEX($V$2:$V$1001,MATCH(ROWS($U$2:U326),$U$2:$U$1001,0),1)&gt;=100000,INDEX($AB$1005:$AQ$1005,1,MATCH(COLUMNS($AB$1006:AE1006),$AB$1006:$AQ$1006,0))&gt;=100000), " ",IF(INDEX($AB$2:$AQ$1001,MATCH(ROWS($U$2:U326),$U$2:$U$1001,0),MATCH(COLUMNS($AB$1006:AE1006),$AB$1006:$AQ$1006,0)), HYPERLINK("#",""), HYPERLINK(CONCATENATE("#metadata!", ADDRESS(INDEX($W$2:$W$1001,MATCH(ROWS($U$2:U326),$U$2:$U$1001,0),0), INDEX($AB$1004:$AQ$1004,1,MATCH(COLUMNS($AB$1006:AE1006),$AB$1006:$AQ$1006,0)))),"Fix")))</f>
        <v>0</v>
      </c>
      <c r="F326" s="4">
        <f>IF(OR(INDEX($V$2:$V$1001,MATCH(ROWS($U$2:U326),$U$2:$U$1001,0),1)&gt;=100000,INDEX($AB$1005:$AQ$1005,1,MATCH(COLUMNS($AB$1006:AF1006),$AB$1006:$AQ$1006,0))&gt;=100000), " ",IF(INDEX($AB$2:$AQ$1001,MATCH(ROWS($U$2:U326),$U$2:$U$1001,0),MATCH(COLUMNS($AB$1006:AF1006),$AB$1006:$AQ$1006,0)), HYPERLINK("#",""), HYPERLINK(CONCATENATE("#metadata!", ADDRESS(INDEX($W$2:$W$1001,MATCH(ROWS($U$2:U326),$U$2:$U$1001,0),0), INDEX($AB$1004:$AQ$1004,1,MATCH(COLUMNS($AB$1006:AF1006),$AB$1006:$AQ$1006,0)))),"Fix")))</f>
        <v>0</v>
      </c>
      <c r="G326" s="4">
        <f>IF(OR(INDEX($V$2:$V$1001,MATCH(ROWS($U$2:U326),$U$2:$U$1001,0),1)&gt;=100000,INDEX($AB$1005:$AQ$1005,1,MATCH(COLUMNS($AB$1006:AG1006),$AB$1006:$AQ$1006,0))&gt;=100000), " ",IF(INDEX($AB$2:$AQ$1001,MATCH(ROWS($U$2:U326),$U$2:$U$1001,0),MATCH(COLUMNS($AB$1006:AG1006),$AB$1006:$AQ$1006,0)), HYPERLINK("#",""), HYPERLINK(CONCATENATE("#metadata!", ADDRESS(INDEX($W$2:$W$1001,MATCH(ROWS($U$2:U326),$U$2:$U$1001,0),0), INDEX($AB$1004:$AQ$1004,1,MATCH(COLUMNS($AB$1006:AG1006),$AB$1006:$AQ$1006,0)))),"Fix")))</f>
        <v>0</v>
      </c>
      <c r="H326" s="4">
        <f>IF(OR(INDEX($V$2:$V$1001,MATCH(ROWS($U$2:U326),$U$2:$U$1001,0),1)&gt;=100000,INDEX($AB$1005:$AQ$1005,1,MATCH(COLUMNS($AB$1006:AH1006),$AB$1006:$AQ$1006,0))&gt;=100000), " ",IF(INDEX($AB$2:$AQ$1001,MATCH(ROWS($U$2:U326),$U$2:$U$1001,0),MATCH(COLUMNS($AB$1006:AH1006),$AB$1006:$AQ$1006,0)), HYPERLINK("#",""), HYPERLINK(CONCATENATE("#metadata!", ADDRESS(INDEX($W$2:$W$1001,MATCH(ROWS($U$2:U326),$U$2:$U$1001,0),0), INDEX($AB$1004:$AQ$1004,1,MATCH(COLUMNS($AB$1006:AH1006),$AB$1006:$AQ$1006,0)))),"Fix")))</f>
        <v>0</v>
      </c>
      <c r="I326" s="4">
        <f>IF(OR(INDEX($V$2:$V$1001,MATCH(ROWS($U$2:U326),$U$2:$U$1001,0),1)&gt;=100000,INDEX($AB$1005:$AQ$1005,1,MATCH(COLUMNS($AB$1006:AI1006),$AB$1006:$AQ$1006,0))&gt;=100000), " ",IF(INDEX($AB$2:$AQ$1001,MATCH(ROWS($U$2:U326),$U$2:$U$1001,0),MATCH(COLUMNS($AB$1006:AI1006),$AB$1006:$AQ$1006,0)), HYPERLINK("#",""), HYPERLINK(CONCATENATE("#metadata!", ADDRESS(INDEX($W$2:$W$1001,MATCH(ROWS($U$2:U326),$U$2:$U$1001,0),0), INDEX($AB$1004:$AQ$1004,1,MATCH(COLUMNS($AB$1006:AI1006),$AB$1006:$AQ$1006,0)))),"Fix")))</f>
        <v>0</v>
      </c>
      <c r="J326" s="4">
        <f>IF(OR(INDEX($V$2:$V$1001,MATCH(ROWS($U$2:U326),$U$2:$U$1001,0),1)&gt;=100000,INDEX($AB$1005:$AQ$1005,1,MATCH(COLUMNS($AB$1006:AJ1006),$AB$1006:$AQ$1006,0))&gt;=100000), " ",IF(INDEX($AB$2:$AQ$1001,MATCH(ROWS($U$2:U326),$U$2:$U$1001,0),MATCH(COLUMNS($AB$1006:AJ1006),$AB$1006:$AQ$1006,0)), HYPERLINK("#",""), HYPERLINK(CONCATENATE("#metadata!", ADDRESS(INDEX($W$2:$W$1001,MATCH(ROWS($U$2:U326),$U$2:$U$1001,0),0), INDEX($AB$1004:$AQ$1004,1,MATCH(COLUMNS($AB$1006:AJ1006),$AB$1006:$AQ$1006,0)))),"Fix")))</f>
        <v>0</v>
      </c>
      <c r="K326" s="4">
        <f>IF(OR(INDEX($V$2:$V$1001,MATCH(ROWS($U$2:U326),$U$2:$U$1001,0),1)&gt;=100000,INDEX($AB$1005:$AQ$1005,1,MATCH(COLUMNS($AB$1006:AK1006),$AB$1006:$AQ$1006,0))&gt;=100000), " ",IF(INDEX($AB$2:$AQ$1001,MATCH(ROWS($U$2:U326),$U$2:$U$1001,0),MATCH(COLUMNS($AB$1006:AK1006),$AB$1006:$AQ$1006,0)), HYPERLINK("#",""), HYPERLINK(CONCATENATE("#metadata!", ADDRESS(INDEX($W$2:$W$1001,MATCH(ROWS($U$2:U326),$U$2:$U$1001,0),0), INDEX($AB$1004:$AQ$1004,1,MATCH(COLUMNS($AB$1006:AK1006),$AB$1006:$AQ$1006,0)))),"Fix")))</f>
        <v>0</v>
      </c>
      <c r="L326" s="4">
        <f>IF(OR(INDEX($V$2:$V$1001,MATCH(ROWS($U$2:U326),$U$2:$U$1001,0),1)&gt;=100000,INDEX($AB$1005:$AQ$1005,1,MATCH(COLUMNS($AB$1006:AL1006),$AB$1006:$AQ$1006,0))&gt;=100000), " ",IF(INDEX($AB$2:$AQ$1001,MATCH(ROWS($U$2:U326),$U$2:$U$1001,0),MATCH(COLUMNS($AB$1006:AL1006),$AB$1006:$AQ$1006,0)), HYPERLINK("#",""), HYPERLINK(CONCATENATE("#metadata!", ADDRESS(INDEX($W$2:$W$1001,MATCH(ROWS($U$2:U326),$U$2:$U$1001,0),0), INDEX($AB$1004:$AQ$1004,1,MATCH(COLUMNS($AB$1006:AL1006),$AB$1006:$AQ$1006,0)))),"Fix")))</f>
        <v>0</v>
      </c>
      <c r="M326" s="4">
        <f>IF(OR(INDEX($V$2:$V$1001,MATCH(ROWS($U$2:U326),$U$2:$U$1001,0),1)&gt;=100000,INDEX($AB$1005:$AQ$1005,1,MATCH(COLUMNS($AB$1006:AM1006),$AB$1006:$AQ$1006,0))&gt;=100000), " ",IF(INDEX($AB$2:$AQ$1001,MATCH(ROWS($U$2:U326),$U$2:$U$1001,0),MATCH(COLUMNS($AB$1006:AM1006),$AB$1006:$AQ$1006,0)), HYPERLINK("#",""), HYPERLINK(CONCATENATE("#metadata!", ADDRESS(INDEX($W$2:$W$1001,MATCH(ROWS($U$2:U326),$U$2:$U$1001,0),0), INDEX($AB$1004:$AQ$1004,1,MATCH(COLUMNS($AB$1006:AM1006),$AB$1006:$AQ$1006,0)))),"Fix")))</f>
        <v>0</v>
      </c>
      <c r="N326" s="4">
        <f>IF(OR(INDEX($V$2:$V$1001,MATCH(ROWS($U$2:U326),$U$2:$U$1001,0),1)&gt;=100000,INDEX($AB$1005:$AQ$1005,1,MATCH(COLUMNS($AB$1006:AN1006),$AB$1006:$AQ$1006,0))&gt;=100000), " ",IF(INDEX($AB$2:$AQ$1001,MATCH(ROWS($U$2:U326),$U$2:$U$1001,0),MATCH(COLUMNS($AB$1006:AN1006),$AB$1006:$AQ$1006,0)), HYPERLINK("#",""), HYPERLINK(CONCATENATE("#metadata!", ADDRESS(INDEX($W$2:$W$1001,MATCH(ROWS($U$2:U326),$U$2:$U$1001,0),0), INDEX($AB$1004:$AQ$1004,1,MATCH(COLUMNS($AB$1006:AN1006),$AB$1006:$AQ$1006,0)))),"Fix")))</f>
        <v>0</v>
      </c>
      <c r="O326" s="4">
        <f>IF(OR(INDEX($V$2:$V$1001,MATCH(ROWS($U$2:U326),$U$2:$U$1001,0),1)&gt;=100000,INDEX($AB$1005:$AQ$1005,1,MATCH(COLUMNS($AB$1006:AO1006),$AB$1006:$AQ$1006,0))&gt;=100000), " ",IF(INDEX($AB$2:$AQ$1001,MATCH(ROWS($U$2:U326),$U$2:$U$1001,0),MATCH(COLUMNS($AB$1006:AO1006),$AB$1006:$AQ$1006,0)), HYPERLINK("#",""), HYPERLINK(CONCATENATE("#metadata!", ADDRESS(INDEX($W$2:$W$1001,MATCH(ROWS($U$2:U326),$U$2:$U$1001,0),0), INDEX($AB$1004:$AQ$1004,1,MATCH(COLUMNS($AB$1006:AO1006),$AB$1006:$AQ$1006,0)))),"Fix")))</f>
        <v>0</v>
      </c>
      <c r="P326" s="4">
        <f>IF(OR(INDEX($V$2:$V$1001,MATCH(ROWS($U$2:U326),$U$2:$U$1001,0),1)&gt;=100000,INDEX($AB$1005:$AQ$1005,1,MATCH(COLUMNS($AB$1006:AP1006),$AB$1006:$AQ$1006,0))&gt;=100000), " ",IF(INDEX($AB$2:$AQ$1001,MATCH(ROWS($U$2:U326),$U$2:$U$1001,0),MATCH(COLUMNS($AB$1006:AP1006),$AB$1006:$AQ$1006,0)), HYPERLINK("#",""), HYPERLINK(CONCATENATE("#metadata!", ADDRESS(INDEX($W$2:$W$1001,MATCH(ROWS($U$2:U326),$U$2:$U$1001,0),0), INDEX($AB$1004:$AQ$1004,1,MATCH(COLUMNS($AB$1006:AP1006),$AB$1006:$AQ$1006,0)))),"Fix")))</f>
        <v>0</v>
      </c>
      <c r="Q326" s="4">
        <f>IF(OR(INDEX($V$2:$V$1001,MATCH(ROWS($U$2:U326),$U$2:$U$1001,0),1)&gt;=100000,INDEX($AB$1005:$AQ$1005,1,MATCH(COLUMNS($AB$1006:AQ1006),$AB$1006:$AQ$1006,0))&gt;=100000), " ",IF(INDEX($AB$2:$AQ$1001,MATCH(ROWS($U$2:U326),$U$2:$U$1001,0),MATCH(COLUMNS($AB$1006:AQ1006),$AB$1006:$AQ$1006,0)), HYPERLINK("#",""), HYPERLINK(CONCATENATE("#metadata!", ADDRESS(INDEX($W$2:$W$1001,MATCH(ROWS($U$2:U326),$U$2:$U$1001,0),0), INDEX($AB$1004:$AQ$1004,1,MATCH(COLUMNS($AB$1006:AQ1006),$AB$1006:$AQ$1006,0)))),"Fix")))</f>
        <v>0</v>
      </c>
      <c r="U326">
        <v>0</v>
      </c>
      <c r="V326">
        <v>0</v>
      </c>
      <c r="W326">
        <v>0</v>
      </c>
      <c r="X326">
        <f>IF(Y326,TRUE,AND(AB326:AQ326))</f>
        <v>0</v>
      </c>
      <c r="Y326">
        <f>COUNTBLANK(metadata!B326:Q326)=COLUMNS(metadata!B326:Q326)</f>
        <v>0</v>
      </c>
      <c r="Z326">
        <v>0</v>
      </c>
      <c r="AB326">
        <f>AND(IF(metadata!B326="",FALSE,TRUE),COUNTIF(metadata!B:B, metadata!B326) = 1,NOT(ISERROR(SUMPRODUCT(SEARCH(MID(metadata!B326,ROW(INDIRECT("1:"&amp;LEN(metadata!B326))), 1),"0123456789abcdefghijklmnopqrstuvwxyzABCDEFGHIJKLMNOPQRSTUVWXYZ.")))))</f>
        <v>0</v>
      </c>
      <c r="AC326">
        <f>OR(AND(IF(metadata!C326="",FALSE,TRUE),OR(exact(metadata!C326,"missing: not collected"),exact(metadata!C326,"missing: not provided"),exact(metadata!C326,"missing: restricted access"))),AND(IF(metadata!C326="",FALSE,TRUE),AND(AND(IFERROR(INT(LEFT(metadata!C326,4))&gt;1900,FALSE),IFERROR(INT(LEFT(metadata!C326,4))&lt;=YEAR(NOW()),FALSE)), OR(MID(metadata!C326,5,1)="", AND(AND(MID(metadata!C326,5,1)="-",IFERROR(INT(MID(metadata!C326,6,1))&gt;=0,FALSE),IFERROR(INT(MID(metadata!C326,6,1))&lt;=1,FALSE),NOT(MID(metadata!C326,7,1)=""),IFERROR(INT(MID(metadata!C326,6,2))&gt;=1,FALSE),IFERROR(INT(MID(metadata!C326,6,2))&lt;=12,FALSE)), OR(MID(metadata!C326,8,1)="", AND(AND(MID(metadata!C326,8,1)="-",IFERROR(INT(MID(metadata!C326,9,1))&gt;=0,FALSE),IFERROR(INT(MID(metadata!C326,9,1))&lt;=3,FALSE),NOT(MID(metadata!C326,10,1)=""),IFERROR(INT(MID(metadata!C326,9,2))&gt;=1,FALSE),IFERROR(INT(MID(metadata!C326,9,2))&lt;=31,FALSE)), OR(MID(metadata!C326,11,1)="", AND(AND(MID(metadata!C326,11,1)=" ",IFERROR(INT(MID(metadata!C326,12,1))&gt;=0,FALSE),IFERROR(INT(MID(metadata!C326,12,1))&lt;=2,FALSE),NOT(MID(metadata!C326,13,1)=""),IFERROR(INT(MID(metadata!C326,12,2))&gt;=0,FALSE),IFERROR(INT(MID(metadata!C326,12,2))&lt;=23,FALSE)), OR(MID(metadata!C326,14,1)="", AND(AND(MID(metadata!C326,14,1)=":",IFERROR(INT(MID(metadata!C326,15,1))&gt;=0,FALSE),IFERROR(INT(MID(metadata!C326,15,1))&lt;=5,FALSE),NOT(MID(metadata!C326,16,1)=""),IFERROR(INT(MID(metadata!C326,15,2))&gt;=0,FALSE),IFERROR(INT(MID(metadata!C326,15,2))&lt;=59,FALSE)), OR(MID(metadata!C326,17,1)="", AND(AND(MID(metadata!C326,17,1)=":",IFERROR(INT(MID(metadata!C326,18,1))&gt;=0,FALSE),IFERROR(INT(MID(metadata!C326,18,1))&lt;=5,FALSE),NOT(MID(metadata!C326,19,1)=""),IFERROR(INT(MID(metadata!C326,18,2))&gt;=0,FALSE),IFERROR(INT(MID(metadata!C326,18,2))&lt;=59,FALSE)), LEN(metadata!C326)&lt;=19)))))))))))))</f>
        <v>0</v>
      </c>
      <c r="AD326">
        <f>IF(metadata!D326="",FALSE,TRUE)</f>
        <v>0</v>
      </c>
      <c r="AE326">
        <f>OR(AND(IF(metadata!E326="",FALSE,TRUE),OR(exact(metadata!E326,"missing: not collected"),exact(metadata!E326,"missing: not provided"))),AND(IF(metadata!E326="",FALSE,TRUE),OR(exact(metadata!E326,"TRUE"),exact(metadata!E326,"FALSE"))))</f>
        <v>0</v>
      </c>
      <c r="AF326">
        <f>IF(metadata!F326="",FALSE,TRUE)</f>
        <v>0</v>
      </c>
      <c r="AG326">
        <f>IF(metadata!G326="",FALSE,TRUE)</f>
        <v>0</v>
      </c>
      <c r="AH326">
        <f>IF(metadata!H326="",FALSE,TRUE)</f>
        <v>0</v>
      </c>
      <c r="AI326">
        <f>OR(AND(IF(metadata!I326="",FALSE,TRUE),OR(exact(metadata!I326,"missing: not collected"),exact(metadata!I326,"missing: not provided"),exact(metadata!I326,"missing: restricted access"))),AND(IF(metadata!I326="",FALSE,TRUE),OR(exact(metadata!I326,"air"),exact(metadata!I326,"built environment"),exact(metadata!I326,"host-associated"),exact(metadata!I326,"human-associated"),exact(metadata!I326,"human-skin"),exact(metadata!I326,"human-oral"),exact(metadata!I326,"human-gut"),exact(metadata!I326,"human-vaginal"),exact(metadata!I326,"microbial mat/biofilm"),exact(metadata!I326,"misc environment"),exact(metadata!I326,"plant-associated"),exact(metadata!I326,"sediment"),exact(metadata!I326,"soil"),exact(metadata!I326,"wastewater/sludge"),exact(metadata!I326,"water"))))</f>
        <v>0</v>
      </c>
      <c r="AJ326">
        <f>IF(metadata!J326="",FALSE,TRUE)</f>
        <v>0</v>
      </c>
      <c r="AK326">
        <f>OR(AND(IF(metadata!K326="",FALSE,TRUE),OR(exact(metadata!K326,"missing: not collected"),exact(metadata!K326,"missing: not provided"),exact(metadata!K326,"missing: restricted access"))),AND(IF(metadata!K326="",FALSE,ISNUMBER(VALUE(metadata!K326))),metadata!K326&gt;=-90.00,metadata!K326&lt;=90.00))</f>
        <v>0</v>
      </c>
      <c r="AL326">
        <f>OR(AND(IF(metadata!L326="",FALSE,TRUE),OR(exact(metadata!L326,"missing: not collected"),exact(metadata!L326,"missing: not provided"),exact(metadata!L326,"missing: restricted access"))),AND(IF(metadata!L326="",FALSE,ISNUMBER(VALUE(metadata!L326))),metadata!L326&gt;=-180.00,metadata!L326&lt;=180.00))</f>
        <v>0</v>
      </c>
      <c r="AM326">
        <f>IF(metadata!M326="",FALSE,TRUE)</f>
        <v>0</v>
      </c>
      <c r="AN326">
        <f>OR(AND(IF(metadata!N326="",FALSE,TRUE),OR(exact(metadata!N326,"missing: not collected"),exact(metadata!N326,"missing: not provided"),exact(metadata!N326,"missing: restricted access"))),AND(IF(metadata!N326="",FALSE,TRUE),OR(exact(metadata!N326,"TRUE"),exact(metadata!N326,"FALSE"))))</f>
        <v>0</v>
      </c>
      <c r="AO326">
        <f>IF(metadata!O326="",FALSE,TRUE)</f>
        <v>0</v>
      </c>
      <c r="AP326">
        <f>OR(AND(IF(metadata!P326="",FALSE,TRUE),OR(exact(metadata!P326,"missing: not collected"),exact(metadata!P326,"missing: not provided"))),AND(IF(metadata!P326="",FALSE,IF(ISERROR(INT(metadata!P326)),FALSE,INT(metadata!P326)=metadata!P326)),metadata!P326&gt;0))</f>
        <v>0</v>
      </c>
      <c r="AQ326">
        <f>IF(metadata!Q326="",FALSE,TRUE)</f>
        <v>0</v>
      </c>
    </row>
    <row r="327" spans="1:43">
      <c r="A327" s="5">
        <f>IF(B327=" "," ",HYPERLINK(CONCATENATE("#metadata!",ADDRESS(INDEX($W$2:$W$1001,MATCH(ROWS($U$2:U327),$U$2:$U$1001,0),0),1)),INDEX($Z$2:$Z$1001,MATCH(ROWS($U$2:U327),$U$2:$U$1001,0),0)))</f>
        <v>0</v>
      </c>
      <c r="B327" s="4">
        <f>IF(OR(INDEX($V$2:$V$1001,MATCH(ROWS($U$2:U327),$U$2:$U$1001,0),1)&gt;=100000,INDEX($AB$1005:$AQ$1005,1,MATCH(COLUMNS($AB$1006:AB1006),$AB$1006:$AQ$1006,0))&gt;=100000), " ",IF(INDEX($AB$2:$AQ$1001,MATCH(ROWS($U$2:U327),$U$2:$U$1001,0),MATCH(COLUMNS($AB$1006:AB1006),$AB$1006:$AQ$1006,0)), HYPERLINK("#",""), HYPERLINK(CONCATENATE("#metadata!", ADDRESS(INDEX($W$2:$W$1001,MATCH(ROWS($U$2:U327),$U$2:$U$1001,0),0), INDEX($AB$1004:$AQ$1004,1,MATCH(COLUMNS($AB$1006:AB1006),$AB$1006:$AQ$1006,0)))),"Fix")))</f>
        <v>0</v>
      </c>
      <c r="C327" s="4">
        <f>IF(OR(INDEX($V$2:$V$1001,MATCH(ROWS($U$2:U327),$U$2:$U$1001,0),1)&gt;=100000,INDEX($AB$1005:$AQ$1005,1,MATCH(COLUMNS($AB$1006:AC1006),$AB$1006:$AQ$1006,0))&gt;=100000), " ",IF(INDEX($AB$2:$AQ$1001,MATCH(ROWS($U$2:U327),$U$2:$U$1001,0),MATCH(COLUMNS($AB$1006:AC1006),$AB$1006:$AQ$1006,0)), HYPERLINK("#",""), HYPERLINK(CONCATENATE("#metadata!", ADDRESS(INDEX($W$2:$W$1001,MATCH(ROWS($U$2:U327),$U$2:$U$1001,0),0), INDEX($AB$1004:$AQ$1004,1,MATCH(COLUMNS($AB$1006:AC1006),$AB$1006:$AQ$1006,0)))),"Fix")))</f>
        <v>0</v>
      </c>
      <c r="D327" s="4">
        <f>IF(OR(INDEX($V$2:$V$1001,MATCH(ROWS($U$2:U327),$U$2:$U$1001,0),1)&gt;=100000,INDEX($AB$1005:$AQ$1005,1,MATCH(COLUMNS($AB$1006:AD1006),$AB$1006:$AQ$1006,0))&gt;=100000), " ",IF(INDEX($AB$2:$AQ$1001,MATCH(ROWS($U$2:U327),$U$2:$U$1001,0),MATCH(COLUMNS($AB$1006:AD1006),$AB$1006:$AQ$1006,0)), HYPERLINK("#",""), HYPERLINK(CONCATENATE("#metadata!", ADDRESS(INDEX($W$2:$W$1001,MATCH(ROWS($U$2:U327),$U$2:$U$1001,0),0), INDEX($AB$1004:$AQ$1004,1,MATCH(COLUMNS($AB$1006:AD1006),$AB$1006:$AQ$1006,0)))),"Fix")))</f>
        <v>0</v>
      </c>
      <c r="E327" s="4">
        <f>IF(OR(INDEX($V$2:$V$1001,MATCH(ROWS($U$2:U327),$U$2:$U$1001,0),1)&gt;=100000,INDEX($AB$1005:$AQ$1005,1,MATCH(COLUMNS($AB$1006:AE1006),$AB$1006:$AQ$1006,0))&gt;=100000), " ",IF(INDEX($AB$2:$AQ$1001,MATCH(ROWS($U$2:U327),$U$2:$U$1001,0),MATCH(COLUMNS($AB$1006:AE1006),$AB$1006:$AQ$1006,0)), HYPERLINK("#",""), HYPERLINK(CONCATENATE("#metadata!", ADDRESS(INDEX($W$2:$W$1001,MATCH(ROWS($U$2:U327),$U$2:$U$1001,0),0), INDEX($AB$1004:$AQ$1004,1,MATCH(COLUMNS($AB$1006:AE1006),$AB$1006:$AQ$1006,0)))),"Fix")))</f>
        <v>0</v>
      </c>
      <c r="F327" s="4">
        <f>IF(OR(INDEX($V$2:$V$1001,MATCH(ROWS($U$2:U327),$U$2:$U$1001,0),1)&gt;=100000,INDEX($AB$1005:$AQ$1005,1,MATCH(COLUMNS($AB$1006:AF1006),$AB$1006:$AQ$1006,0))&gt;=100000), " ",IF(INDEX($AB$2:$AQ$1001,MATCH(ROWS($U$2:U327),$U$2:$U$1001,0),MATCH(COLUMNS($AB$1006:AF1006),$AB$1006:$AQ$1006,0)), HYPERLINK("#",""), HYPERLINK(CONCATENATE("#metadata!", ADDRESS(INDEX($W$2:$W$1001,MATCH(ROWS($U$2:U327),$U$2:$U$1001,0),0), INDEX($AB$1004:$AQ$1004,1,MATCH(COLUMNS($AB$1006:AF1006),$AB$1006:$AQ$1006,0)))),"Fix")))</f>
        <v>0</v>
      </c>
      <c r="G327" s="4">
        <f>IF(OR(INDEX($V$2:$V$1001,MATCH(ROWS($U$2:U327),$U$2:$U$1001,0),1)&gt;=100000,INDEX($AB$1005:$AQ$1005,1,MATCH(COLUMNS($AB$1006:AG1006),$AB$1006:$AQ$1006,0))&gt;=100000), " ",IF(INDEX($AB$2:$AQ$1001,MATCH(ROWS($U$2:U327),$U$2:$U$1001,0),MATCH(COLUMNS($AB$1006:AG1006),$AB$1006:$AQ$1006,0)), HYPERLINK("#",""), HYPERLINK(CONCATENATE("#metadata!", ADDRESS(INDEX($W$2:$W$1001,MATCH(ROWS($U$2:U327),$U$2:$U$1001,0),0), INDEX($AB$1004:$AQ$1004,1,MATCH(COLUMNS($AB$1006:AG1006),$AB$1006:$AQ$1006,0)))),"Fix")))</f>
        <v>0</v>
      </c>
      <c r="H327" s="4">
        <f>IF(OR(INDEX($V$2:$V$1001,MATCH(ROWS($U$2:U327),$U$2:$U$1001,0),1)&gt;=100000,INDEX($AB$1005:$AQ$1005,1,MATCH(COLUMNS($AB$1006:AH1006),$AB$1006:$AQ$1006,0))&gt;=100000), " ",IF(INDEX($AB$2:$AQ$1001,MATCH(ROWS($U$2:U327),$U$2:$U$1001,0),MATCH(COLUMNS($AB$1006:AH1006),$AB$1006:$AQ$1006,0)), HYPERLINK("#",""), HYPERLINK(CONCATENATE("#metadata!", ADDRESS(INDEX($W$2:$W$1001,MATCH(ROWS($U$2:U327),$U$2:$U$1001,0),0), INDEX($AB$1004:$AQ$1004,1,MATCH(COLUMNS($AB$1006:AH1006),$AB$1006:$AQ$1006,0)))),"Fix")))</f>
        <v>0</v>
      </c>
      <c r="I327" s="4">
        <f>IF(OR(INDEX($V$2:$V$1001,MATCH(ROWS($U$2:U327),$U$2:$U$1001,0),1)&gt;=100000,INDEX($AB$1005:$AQ$1005,1,MATCH(COLUMNS($AB$1006:AI1006),$AB$1006:$AQ$1006,0))&gt;=100000), " ",IF(INDEX($AB$2:$AQ$1001,MATCH(ROWS($U$2:U327),$U$2:$U$1001,0),MATCH(COLUMNS($AB$1006:AI1006),$AB$1006:$AQ$1006,0)), HYPERLINK("#",""), HYPERLINK(CONCATENATE("#metadata!", ADDRESS(INDEX($W$2:$W$1001,MATCH(ROWS($U$2:U327),$U$2:$U$1001,0),0), INDEX($AB$1004:$AQ$1004,1,MATCH(COLUMNS($AB$1006:AI1006),$AB$1006:$AQ$1006,0)))),"Fix")))</f>
        <v>0</v>
      </c>
      <c r="J327" s="4">
        <f>IF(OR(INDEX($V$2:$V$1001,MATCH(ROWS($U$2:U327),$U$2:$U$1001,0),1)&gt;=100000,INDEX($AB$1005:$AQ$1005,1,MATCH(COLUMNS($AB$1006:AJ1006),$AB$1006:$AQ$1006,0))&gt;=100000), " ",IF(INDEX($AB$2:$AQ$1001,MATCH(ROWS($U$2:U327),$U$2:$U$1001,0),MATCH(COLUMNS($AB$1006:AJ1006),$AB$1006:$AQ$1006,0)), HYPERLINK("#",""), HYPERLINK(CONCATENATE("#metadata!", ADDRESS(INDEX($W$2:$W$1001,MATCH(ROWS($U$2:U327),$U$2:$U$1001,0),0), INDEX($AB$1004:$AQ$1004,1,MATCH(COLUMNS($AB$1006:AJ1006),$AB$1006:$AQ$1006,0)))),"Fix")))</f>
        <v>0</v>
      </c>
      <c r="K327" s="4">
        <f>IF(OR(INDEX($V$2:$V$1001,MATCH(ROWS($U$2:U327),$U$2:$U$1001,0),1)&gt;=100000,INDEX($AB$1005:$AQ$1005,1,MATCH(COLUMNS($AB$1006:AK1006),$AB$1006:$AQ$1006,0))&gt;=100000), " ",IF(INDEX($AB$2:$AQ$1001,MATCH(ROWS($U$2:U327),$U$2:$U$1001,0),MATCH(COLUMNS($AB$1006:AK1006),$AB$1006:$AQ$1006,0)), HYPERLINK("#",""), HYPERLINK(CONCATENATE("#metadata!", ADDRESS(INDEX($W$2:$W$1001,MATCH(ROWS($U$2:U327),$U$2:$U$1001,0),0), INDEX($AB$1004:$AQ$1004,1,MATCH(COLUMNS($AB$1006:AK1006),$AB$1006:$AQ$1006,0)))),"Fix")))</f>
        <v>0</v>
      </c>
      <c r="L327" s="4">
        <f>IF(OR(INDEX($V$2:$V$1001,MATCH(ROWS($U$2:U327),$U$2:$U$1001,0),1)&gt;=100000,INDEX($AB$1005:$AQ$1005,1,MATCH(COLUMNS($AB$1006:AL1006),$AB$1006:$AQ$1006,0))&gt;=100000), " ",IF(INDEX($AB$2:$AQ$1001,MATCH(ROWS($U$2:U327),$U$2:$U$1001,0),MATCH(COLUMNS($AB$1006:AL1006),$AB$1006:$AQ$1006,0)), HYPERLINK("#",""), HYPERLINK(CONCATENATE("#metadata!", ADDRESS(INDEX($W$2:$W$1001,MATCH(ROWS($U$2:U327),$U$2:$U$1001,0),0), INDEX($AB$1004:$AQ$1004,1,MATCH(COLUMNS($AB$1006:AL1006),$AB$1006:$AQ$1006,0)))),"Fix")))</f>
        <v>0</v>
      </c>
      <c r="M327" s="4">
        <f>IF(OR(INDEX($V$2:$V$1001,MATCH(ROWS($U$2:U327),$U$2:$U$1001,0),1)&gt;=100000,INDEX($AB$1005:$AQ$1005,1,MATCH(COLUMNS($AB$1006:AM1006),$AB$1006:$AQ$1006,0))&gt;=100000), " ",IF(INDEX($AB$2:$AQ$1001,MATCH(ROWS($U$2:U327),$U$2:$U$1001,0),MATCH(COLUMNS($AB$1006:AM1006),$AB$1006:$AQ$1006,0)), HYPERLINK("#",""), HYPERLINK(CONCATENATE("#metadata!", ADDRESS(INDEX($W$2:$W$1001,MATCH(ROWS($U$2:U327),$U$2:$U$1001,0),0), INDEX($AB$1004:$AQ$1004,1,MATCH(COLUMNS($AB$1006:AM1006),$AB$1006:$AQ$1006,0)))),"Fix")))</f>
        <v>0</v>
      </c>
      <c r="N327" s="4">
        <f>IF(OR(INDEX($V$2:$V$1001,MATCH(ROWS($U$2:U327),$U$2:$U$1001,0),1)&gt;=100000,INDEX($AB$1005:$AQ$1005,1,MATCH(COLUMNS($AB$1006:AN1006),$AB$1006:$AQ$1006,0))&gt;=100000), " ",IF(INDEX($AB$2:$AQ$1001,MATCH(ROWS($U$2:U327),$U$2:$U$1001,0),MATCH(COLUMNS($AB$1006:AN1006),$AB$1006:$AQ$1006,0)), HYPERLINK("#",""), HYPERLINK(CONCATENATE("#metadata!", ADDRESS(INDEX($W$2:$W$1001,MATCH(ROWS($U$2:U327),$U$2:$U$1001,0),0), INDEX($AB$1004:$AQ$1004,1,MATCH(COLUMNS($AB$1006:AN1006),$AB$1006:$AQ$1006,0)))),"Fix")))</f>
        <v>0</v>
      </c>
      <c r="O327" s="4">
        <f>IF(OR(INDEX($V$2:$V$1001,MATCH(ROWS($U$2:U327),$U$2:$U$1001,0),1)&gt;=100000,INDEX($AB$1005:$AQ$1005,1,MATCH(COLUMNS($AB$1006:AO1006),$AB$1006:$AQ$1006,0))&gt;=100000), " ",IF(INDEX($AB$2:$AQ$1001,MATCH(ROWS($U$2:U327),$U$2:$U$1001,0),MATCH(COLUMNS($AB$1006:AO1006),$AB$1006:$AQ$1006,0)), HYPERLINK("#",""), HYPERLINK(CONCATENATE("#metadata!", ADDRESS(INDEX($W$2:$W$1001,MATCH(ROWS($U$2:U327),$U$2:$U$1001,0),0), INDEX($AB$1004:$AQ$1004,1,MATCH(COLUMNS($AB$1006:AO1006),$AB$1006:$AQ$1006,0)))),"Fix")))</f>
        <v>0</v>
      </c>
      <c r="P327" s="4">
        <f>IF(OR(INDEX($V$2:$V$1001,MATCH(ROWS($U$2:U327),$U$2:$U$1001,0),1)&gt;=100000,INDEX($AB$1005:$AQ$1005,1,MATCH(COLUMNS($AB$1006:AP1006),$AB$1006:$AQ$1006,0))&gt;=100000), " ",IF(INDEX($AB$2:$AQ$1001,MATCH(ROWS($U$2:U327),$U$2:$U$1001,0),MATCH(COLUMNS($AB$1006:AP1006),$AB$1006:$AQ$1006,0)), HYPERLINK("#",""), HYPERLINK(CONCATENATE("#metadata!", ADDRESS(INDEX($W$2:$W$1001,MATCH(ROWS($U$2:U327),$U$2:$U$1001,0),0), INDEX($AB$1004:$AQ$1004,1,MATCH(COLUMNS($AB$1006:AP1006),$AB$1006:$AQ$1006,0)))),"Fix")))</f>
        <v>0</v>
      </c>
      <c r="Q327" s="4">
        <f>IF(OR(INDEX($V$2:$V$1001,MATCH(ROWS($U$2:U327),$U$2:$U$1001,0),1)&gt;=100000,INDEX($AB$1005:$AQ$1005,1,MATCH(COLUMNS($AB$1006:AQ1006),$AB$1006:$AQ$1006,0))&gt;=100000), " ",IF(INDEX($AB$2:$AQ$1001,MATCH(ROWS($U$2:U327),$U$2:$U$1001,0),MATCH(COLUMNS($AB$1006:AQ1006),$AB$1006:$AQ$1006,0)), HYPERLINK("#",""), HYPERLINK(CONCATENATE("#metadata!", ADDRESS(INDEX($W$2:$W$1001,MATCH(ROWS($U$2:U327),$U$2:$U$1001,0),0), INDEX($AB$1004:$AQ$1004,1,MATCH(COLUMNS($AB$1006:AQ1006),$AB$1006:$AQ$1006,0)))),"Fix")))</f>
        <v>0</v>
      </c>
      <c r="U327">
        <v>0</v>
      </c>
      <c r="V327">
        <v>0</v>
      </c>
      <c r="W327">
        <v>0</v>
      </c>
      <c r="X327">
        <f>IF(Y327,TRUE,AND(AB327:AQ327))</f>
        <v>0</v>
      </c>
      <c r="Y327">
        <f>COUNTBLANK(metadata!B327:Q327)=COLUMNS(metadata!B327:Q327)</f>
        <v>0</v>
      </c>
      <c r="Z327">
        <v>0</v>
      </c>
      <c r="AB327">
        <f>AND(IF(metadata!B327="",FALSE,TRUE),COUNTIF(metadata!B:B, metadata!B327) = 1,NOT(ISERROR(SUMPRODUCT(SEARCH(MID(metadata!B327,ROW(INDIRECT("1:"&amp;LEN(metadata!B327))), 1),"0123456789abcdefghijklmnopqrstuvwxyzABCDEFGHIJKLMNOPQRSTUVWXYZ.")))))</f>
        <v>0</v>
      </c>
      <c r="AC327">
        <f>OR(AND(IF(metadata!C327="",FALSE,TRUE),OR(exact(metadata!C327,"missing: not collected"),exact(metadata!C327,"missing: not provided"),exact(metadata!C327,"missing: restricted access"))),AND(IF(metadata!C327="",FALSE,TRUE),AND(AND(IFERROR(INT(LEFT(metadata!C327,4))&gt;1900,FALSE),IFERROR(INT(LEFT(metadata!C327,4))&lt;=YEAR(NOW()),FALSE)), OR(MID(metadata!C327,5,1)="", AND(AND(MID(metadata!C327,5,1)="-",IFERROR(INT(MID(metadata!C327,6,1))&gt;=0,FALSE),IFERROR(INT(MID(metadata!C327,6,1))&lt;=1,FALSE),NOT(MID(metadata!C327,7,1)=""),IFERROR(INT(MID(metadata!C327,6,2))&gt;=1,FALSE),IFERROR(INT(MID(metadata!C327,6,2))&lt;=12,FALSE)), OR(MID(metadata!C327,8,1)="", AND(AND(MID(metadata!C327,8,1)="-",IFERROR(INT(MID(metadata!C327,9,1))&gt;=0,FALSE),IFERROR(INT(MID(metadata!C327,9,1))&lt;=3,FALSE),NOT(MID(metadata!C327,10,1)=""),IFERROR(INT(MID(metadata!C327,9,2))&gt;=1,FALSE),IFERROR(INT(MID(metadata!C327,9,2))&lt;=31,FALSE)), OR(MID(metadata!C327,11,1)="", AND(AND(MID(metadata!C327,11,1)=" ",IFERROR(INT(MID(metadata!C327,12,1))&gt;=0,FALSE),IFERROR(INT(MID(metadata!C327,12,1))&lt;=2,FALSE),NOT(MID(metadata!C327,13,1)=""),IFERROR(INT(MID(metadata!C327,12,2))&gt;=0,FALSE),IFERROR(INT(MID(metadata!C327,12,2))&lt;=23,FALSE)), OR(MID(metadata!C327,14,1)="", AND(AND(MID(metadata!C327,14,1)=":",IFERROR(INT(MID(metadata!C327,15,1))&gt;=0,FALSE),IFERROR(INT(MID(metadata!C327,15,1))&lt;=5,FALSE),NOT(MID(metadata!C327,16,1)=""),IFERROR(INT(MID(metadata!C327,15,2))&gt;=0,FALSE),IFERROR(INT(MID(metadata!C327,15,2))&lt;=59,FALSE)), OR(MID(metadata!C327,17,1)="", AND(AND(MID(metadata!C327,17,1)=":",IFERROR(INT(MID(metadata!C327,18,1))&gt;=0,FALSE),IFERROR(INT(MID(metadata!C327,18,1))&lt;=5,FALSE),NOT(MID(metadata!C327,19,1)=""),IFERROR(INT(MID(metadata!C327,18,2))&gt;=0,FALSE),IFERROR(INT(MID(metadata!C327,18,2))&lt;=59,FALSE)), LEN(metadata!C327)&lt;=19)))))))))))))</f>
        <v>0</v>
      </c>
      <c r="AD327">
        <f>IF(metadata!D327="",FALSE,TRUE)</f>
        <v>0</v>
      </c>
      <c r="AE327">
        <f>OR(AND(IF(metadata!E327="",FALSE,TRUE),OR(exact(metadata!E327,"missing: not collected"),exact(metadata!E327,"missing: not provided"))),AND(IF(metadata!E327="",FALSE,TRUE),OR(exact(metadata!E327,"TRUE"),exact(metadata!E327,"FALSE"))))</f>
        <v>0</v>
      </c>
      <c r="AF327">
        <f>IF(metadata!F327="",FALSE,TRUE)</f>
        <v>0</v>
      </c>
      <c r="AG327">
        <f>IF(metadata!G327="",FALSE,TRUE)</f>
        <v>0</v>
      </c>
      <c r="AH327">
        <f>IF(metadata!H327="",FALSE,TRUE)</f>
        <v>0</v>
      </c>
      <c r="AI327">
        <f>OR(AND(IF(metadata!I327="",FALSE,TRUE),OR(exact(metadata!I327,"missing: not collected"),exact(metadata!I327,"missing: not provided"),exact(metadata!I327,"missing: restricted access"))),AND(IF(metadata!I327="",FALSE,TRUE),OR(exact(metadata!I327,"air"),exact(metadata!I327,"built environment"),exact(metadata!I327,"host-associated"),exact(metadata!I327,"human-associated"),exact(metadata!I327,"human-skin"),exact(metadata!I327,"human-oral"),exact(metadata!I327,"human-gut"),exact(metadata!I327,"human-vaginal"),exact(metadata!I327,"microbial mat/biofilm"),exact(metadata!I327,"misc environment"),exact(metadata!I327,"plant-associated"),exact(metadata!I327,"sediment"),exact(metadata!I327,"soil"),exact(metadata!I327,"wastewater/sludge"),exact(metadata!I327,"water"))))</f>
        <v>0</v>
      </c>
      <c r="AJ327">
        <f>IF(metadata!J327="",FALSE,TRUE)</f>
        <v>0</v>
      </c>
      <c r="AK327">
        <f>OR(AND(IF(metadata!K327="",FALSE,TRUE),OR(exact(metadata!K327,"missing: not collected"),exact(metadata!K327,"missing: not provided"),exact(metadata!K327,"missing: restricted access"))),AND(IF(metadata!K327="",FALSE,ISNUMBER(VALUE(metadata!K327))),metadata!K327&gt;=-90.00,metadata!K327&lt;=90.00))</f>
        <v>0</v>
      </c>
      <c r="AL327">
        <f>OR(AND(IF(metadata!L327="",FALSE,TRUE),OR(exact(metadata!L327,"missing: not collected"),exact(metadata!L327,"missing: not provided"),exact(metadata!L327,"missing: restricted access"))),AND(IF(metadata!L327="",FALSE,ISNUMBER(VALUE(metadata!L327))),metadata!L327&gt;=-180.00,metadata!L327&lt;=180.00))</f>
        <v>0</v>
      </c>
      <c r="AM327">
        <f>IF(metadata!M327="",FALSE,TRUE)</f>
        <v>0</v>
      </c>
      <c r="AN327">
        <f>OR(AND(IF(metadata!N327="",FALSE,TRUE),OR(exact(metadata!N327,"missing: not collected"),exact(metadata!N327,"missing: not provided"),exact(metadata!N327,"missing: restricted access"))),AND(IF(metadata!N327="",FALSE,TRUE),OR(exact(metadata!N327,"TRUE"),exact(metadata!N327,"FALSE"))))</f>
        <v>0</v>
      </c>
      <c r="AO327">
        <f>IF(metadata!O327="",FALSE,TRUE)</f>
        <v>0</v>
      </c>
      <c r="AP327">
        <f>OR(AND(IF(metadata!P327="",FALSE,TRUE),OR(exact(metadata!P327,"missing: not collected"),exact(metadata!P327,"missing: not provided"))),AND(IF(metadata!P327="",FALSE,IF(ISERROR(INT(metadata!P327)),FALSE,INT(metadata!P327)=metadata!P327)),metadata!P327&gt;0))</f>
        <v>0</v>
      </c>
      <c r="AQ327">
        <f>IF(metadata!Q327="",FALSE,TRUE)</f>
        <v>0</v>
      </c>
    </row>
    <row r="328" spans="1:43">
      <c r="A328" s="5">
        <f>IF(B328=" "," ",HYPERLINK(CONCATENATE("#metadata!",ADDRESS(INDEX($W$2:$W$1001,MATCH(ROWS($U$2:U328),$U$2:$U$1001,0),0),1)),INDEX($Z$2:$Z$1001,MATCH(ROWS($U$2:U328),$U$2:$U$1001,0),0)))</f>
        <v>0</v>
      </c>
      <c r="B328" s="4">
        <f>IF(OR(INDEX($V$2:$V$1001,MATCH(ROWS($U$2:U328),$U$2:$U$1001,0),1)&gt;=100000,INDEX($AB$1005:$AQ$1005,1,MATCH(COLUMNS($AB$1006:AB1006),$AB$1006:$AQ$1006,0))&gt;=100000), " ",IF(INDEX($AB$2:$AQ$1001,MATCH(ROWS($U$2:U328),$U$2:$U$1001,0),MATCH(COLUMNS($AB$1006:AB1006),$AB$1006:$AQ$1006,0)), HYPERLINK("#",""), HYPERLINK(CONCATENATE("#metadata!", ADDRESS(INDEX($W$2:$W$1001,MATCH(ROWS($U$2:U328),$U$2:$U$1001,0),0), INDEX($AB$1004:$AQ$1004,1,MATCH(COLUMNS($AB$1006:AB1006),$AB$1006:$AQ$1006,0)))),"Fix")))</f>
        <v>0</v>
      </c>
      <c r="C328" s="4">
        <f>IF(OR(INDEX($V$2:$V$1001,MATCH(ROWS($U$2:U328),$U$2:$U$1001,0),1)&gt;=100000,INDEX($AB$1005:$AQ$1005,1,MATCH(COLUMNS($AB$1006:AC1006),$AB$1006:$AQ$1006,0))&gt;=100000), " ",IF(INDEX($AB$2:$AQ$1001,MATCH(ROWS($U$2:U328),$U$2:$U$1001,0),MATCH(COLUMNS($AB$1006:AC1006),$AB$1006:$AQ$1006,0)), HYPERLINK("#",""), HYPERLINK(CONCATENATE("#metadata!", ADDRESS(INDEX($W$2:$W$1001,MATCH(ROWS($U$2:U328),$U$2:$U$1001,0),0), INDEX($AB$1004:$AQ$1004,1,MATCH(COLUMNS($AB$1006:AC1006),$AB$1006:$AQ$1006,0)))),"Fix")))</f>
        <v>0</v>
      </c>
      <c r="D328" s="4">
        <f>IF(OR(INDEX($V$2:$V$1001,MATCH(ROWS($U$2:U328),$U$2:$U$1001,0),1)&gt;=100000,INDEX($AB$1005:$AQ$1005,1,MATCH(COLUMNS($AB$1006:AD1006),$AB$1006:$AQ$1006,0))&gt;=100000), " ",IF(INDEX($AB$2:$AQ$1001,MATCH(ROWS($U$2:U328),$U$2:$U$1001,0),MATCH(COLUMNS($AB$1006:AD1006),$AB$1006:$AQ$1006,0)), HYPERLINK("#",""), HYPERLINK(CONCATENATE("#metadata!", ADDRESS(INDEX($W$2:$W$1001,MATCH(ROWS($U$2:U328),$U$2:$U$1001,0),0), INDEX($AB$1004:$AQ$1004,1,MATCH(COLUMNS($AB$1006:AD1006),$AB$1006:$AQ$1006,0)))),"Fix")))</f>
        <v>0</v>
      </c>
      <c r="E328" s="4">
        <f>IF(OR(INDEX($V$2:$V$1001,MATCH(ROWS($U$2:U328),$U$2:$U$1001,0),1)&gt;=100000,INDEX($AB$1005:$AQ$1005,1,MATCH(COLUMNS($AB$1006:AE1006),$AB$1006:$AQ$1006,0))&gt;=100000), " ",IF(INDEX($AB$2:$AQ$1001,MATCH(ROWS($U$2:U328),$U$2:$U$1001,0),MATCH(COLUMNS($AB$1006:AE1006),$AB$1006:$AQ$1006,0)), HYPERLINK("#",""), HYPERLINK(CONCATENATE("#metadata!", ADDRESS(INDEX($W$2:$W$1001,MATCH(ROWS($U$2:U328),$U$2:$U$1001,0),0), INDEX($AB$1004:$AQ$1004,1,MATCH(COLUMNS($AB$1006:AE1006),$AB$1006:$AQ$1006,0)))),"Fix")))</f>
        <v>0</v>
      </c>
      <c r="F328" s="4">
        <f>IF(OR(INDEX($V$2:$V$1001,MATCH(ROWS($U$2:U328),$U$2:$U$1001,0),1)&gt;=100000,INDEX($AB$1005:$AQ$1005,1,MATCH(COLUMNS($AB$1006:AF1006),$AB$1006:$AQ$1006,0))&gt;=100000), " ",IF(INDEX($AB$2:$AQ$1001,MATCH(ROWS($U$2:U328),$U$2:$U$1001,0),MATCH(COLUMNS($AB$1006:AF1006),$AB$1006:$AQ$1006,0)), HYPERLINK("#",""), HYPERLINK(CONCATENATE("#metadata!", ADDRESS(INDEX($W$2:$W$1001,MATCH(ROWS($U$2:U328),$U$2:$U$1001,0),0), INDEX($AB$1004:$AQ$1004,1,MATCH(COLUMNS($AB$1006:AF1006),$AB$1006:$AQ$1006,0)))),"Fix")))</f>
        <v>0</v>
      </c>
      <c r="G328" s="4">
        <f>IF(OR(INDEX($V$2:$V$1001,MATCH(ROWS($U$2:U328),$U$2:$U$1001,0),1)&gt;=100000,INDEX($AB$1005:$AQ$1005,1,MATCH(COLUMNS($AB$1006:AG1006),$AB$1006:$AQ$1006,0))&gt;=100000), " ",IF(INDEX($AB$2:$AQ$1001,MATCH(ROWS($U$2:U328),$U$2:$U$1001,0),MATCH(COLUMNS($AB$1006:AG1006),$AB$1006:$AQ$1006,0)), HYPERLINK("#",""), HYPERLINK(CONCATENATE("#metadata!", ADDRESS(INDEX($W$2:$W$1001,MATCH(ROWS($U$2:U328),$U$2:$U$1001,0),0), INDEX($AB$1004:$AQ$1004,1,MATCH(COLUMNS($AB$1006:AG1006),$AB$1006:$AQ$1006,0)))),"Fix")))</f>
        <v>0</v>
      </c>
      <c r="H328" s="4">
        <f>IF(OR(INDEX($V$2:$V$1001,MATCH(ROWS($U$2:U328),$U$2:$U$1001,0),1)&gt;=100000,INDEX($AB$1005:$AQ$1005,1,MATCH(COLUMNS($AB$1006:AH1006),$AB$1006:$AQ$1006,0))&gt;=100000), " ",IF(INDEX($AB$2:$AQ$1001,MATCH(ROWS($U$2:U328),$U$2:$U$1001,0),MATCH(COLUMNS($AB$1006:AH1006),$AB$1006:$AQ$1006,0)), HYPERLINK("#",""), HYPERLINK(CONCATENATE("#metadata!", ADDRESS(INDEX($W$2:$W$1001,MATCH(ROWS($U$2:U328),$U$2:$U$1001,0),0), INDEX($AB$1004:$AQ$1004,1,MATCH(COLUMNS($AB$1006:AH1006),$AB$1006:$AQ$1006,0)))),"Fix")))</f>
        <v>0</v>
      </c>
      <c r="I328" s="4">
        <f>IF(OR(INDEX($V$2:$V$1001,MATCH(ROWS($U$2:U328),$U$2:$U$1001,0),1)&gt;=100000,INDEX($AB$1005:$AQ$1005,1,MATCH(COLUMNS($AB$1006:AI1006),$AB$1006:$AQ$1006,0))&gt;=100000), " ",IF(INDEX($AB$2:$AQ$1001,MATCH(ROWS($U$2:U328),$U$2:$U$1001,0),MATCH(COLUMNS($AB$1006:AI1006),$AB$1006:$AQ$1006,0)), HYPERLINK("#",""), HYPERLINK(CONCATENATE("#metadata!", ADDRESS(INDEX($W$2:$W$1001,MATCH(ROWS($U$2:U328),$U$2:$U$1001,0),0), INDEX($AB$1004:$AQ$1004,1,MATCH(COLUMNS($AB$1006:AI1006),$AB$1006:$AQ$1006,0)))),"Fix")))</f>
        <v>0</v>
      </c>
      <c r="J328" s="4">
        <f>IF(OR(INDEX($V$2:$V$1001,MATCH(ROWS($U$2:U328),$U$2:$U$1001,0),1)&gt;=100000,INDEX($AB$1005:$AQ$1005,1,MATCH(COLUMNS($AB$1006:AJ1006),$AB$1006:$AQ$1006,0))&gt;=100000), " ",IF(INDEX($AB$2:$AQ$1001,MATCH(ROWS($U$2:U328),$U$2:$U$1001,0),MATCH(COLUMNS($AB$1006:AJ1006),$AB$1006:$AQ$1006,0)), HYPERLINK("#",""), HYPERLINK(CONCATENATE("#metadata!", ADDRESS(INDEX($W$2:$W$1001,MATCH(ROWS($U$2:U328),$U$2:$U$1001,0),0), INDEX($AB$1004:$AQ$1004,1,MATCH(COLUMNS($AB$1006:AJ1006),$AB$1006:$AQ$1006,0)))),"Fix")))</f>
        <v>0</v>
      </c>
      <c r="K328" s="4">
        <f>IF(OR(INDEX($V$2:$V$1001,MATCH(ROWS($U$2:U328),$U$2:$U$1001,0),1)&gt;=100000,INDEX($AB$1005:$AQ$1005,1,MATCH(COLUMNS($AB$1006:AK1006),$AB$1006:$AQ$1006,0))&gt;=100000), " ",IF(INDEX($AB$2:$AQ$1001,MATCH(ROWS($U$2:U328),$U$2:$U$1001,0),MATCH(COLUMNS($AB$1006:AK1006),$AB$1006:$AQ$1006,0)), HYPERLINK("#",""), HYPERLINK(CONCATENATE("#metadata!", ADDRESS(INDEX($W$2:$W$1001,MATCH(ROWS($U$2:U328),$U$2:$U$1001,0),0), INDEX($AB$1004:$AQ$1004,1,MATCH(COLUMNS($AB$1006:AK1006),$AB$1006:$AQ$1006,0)))),"Fix")))</f>
        <v>0</v>
      </c>
      <c r="L328" s="4">
        <f>IF(OR(INDEX($V$2:$V$1001,MATCH(ROWS($U$2:U328),$U$2:$U$1001,0),1)&gt;=100000,INDEX($AB$1005:$AQ$1005,1,MATCH(COLUMNS($AB$1006:AL1006),$AB$1006:$AQ$1006,0))&gt;=100000), " ",IF(INDEX($AB$2:$AQ$1001,MATCH(ROWS($U$2:U328),$U$2:$U$1001,0),MATCH(COLUMNS($AB$1006:AL1006),$AB$1006:$AQ$1006,0)), HYPERLINK("#",""), HYPERLINK(CONCATENATE("#metadata!", ADDRESS(INDEX($W$2:$W$1001,MATCH(ROWS($U$2:U328),$U$2:$U$1001,0),0), INDEX($AB$1004:$AQ$1004,1,MATCH(COLUMNS($AB$1006:AL1006),$AB$1006:$AQ$1006,0)))),"Fix")))</f>
        <v>0</v>
      </c>
      <c r="M328" s="4">
        <f>IF(OR(INDEX($V$2:$V$1001,MATCH(ROWS($U$2:U328),$U$2:$U$1001,0),1)&gt;=100000,INDEX($AB$1005:$AQ$1005,1,MATCH(COLUMNS($AB$1006:AM1006),$AB$1006:$AQ$1006,0))&gt;=100000), " ",IF(INDEX($AB$2:$AQ$1001,MATCH(ROWS($U$2:U328),$U$2:$U$1001,0),MATCH(COLUMNS($AB$1006:AM1006),$AB$1006:$AQ$1006,0)), HYPERLINK("#",""), HYPERLINK(CONCATENATE("#metadata!", ADDRESS(INDEX($W$2:$W$1001,MATCH(ROWS($U$2:U328),$U$2:$U$1001,0),0), INDEX($AB$1004:$AQ$1004,1,MATCH(COLUMNS($AB$1006:AM1006),$AB$1006:$AQ$1006,0)))),"Fix")))</f>
        <v>0</v>
      </c>
      <c r="N328" s="4">
        <f>IF(OR(INDEX($V$2:$V$1001,MATCH(ROWS($U$2:U328),$U$2:$U$1001,0),1)&gt;=100000,INDEX($AB$1005:$AQ$1005,1,MATCH(COLUMNS($AB$1006:AN1006),$AB$1006:$AQ$1006,0))&gt;=100000), " ",IF(INDEX($AB$2:$AQ$1001,MATCH(ROWS($U$2:U328),$U$2:$U$1001,0),MATCH(COLUMNS($AB$1006:AN1006),$AB$1006:$AQ$1006,0)), HYPERLINK("#",""), HYPERLINK(CONCATENATE("#metadata!", ADDRESS(INDEX($W$2:$W$1001,MATCH(ROWS($U$2:U328),$U$2:$U$1001,0),0), INDEX($AB$1004:$AQ$1004,1,MATCH(COLUMNS($AB$1006:AN1006),$AB$1006:$AQ$1006,0)))),"Fix")))</f>
        <v>0</v>
      </c>
      <c r="O328" s="4">
        <f>IF(OR(INDEX($V$2:$V$1001,MATCH(ROWS($U$2:U328),$U$2:$U$1001,0),1)&gt;=100000,INDEX($AB$1005:$AQ$1005,1,MATCH(COLUMNS($AB$1006:AO1006),$AB$1006:$AQ$1006,0))&gt;=100000), " ",IF(INDEX($AB$2:$AQ$1001,MATCH(ROWS($U$2:U328),$U$2:$U$1001,0),MATCH(COLUMNS($AB$1006:AO1006),$AB$1006:$AQ$1006,0)), HYPERLINK("#",""), HYPERLINK(CONCATENATE("#metadata!", ADDRESS(INDEX($W$2:$W$1001,MATCH(ROWS($U$2:U328),$U$2:$U$1001,0),0), INDEX($AB$1004:$AQ$1004,1,MATCH(COLUMNS($AB$1006:AO1006),$AB$1006:$AQ$1006,0)))),"Fix")))</f>
        <v>0</v>
      </c>
      <c r="P328" s="4">
        <f>IF(OR(INDEX($V$2:$V$1001,MATCH(ROWS($U$2:U328),$U$2:$U$1001,0),1)&gt;=100000,INDEX($AB$1005:$AQ$1005,1,MATCH(COLUMNS($AB$1006:AP1006),$AB$1006:$AQ$1006,0))&gt;=100000), " ",IF(INDEX($AB$2:$AQ$1001,MATCH(ROWS($U$2:U328),$U$2:$U$1001,0),MATCH(COLUMNS($AB$1006:AP1006),$AB$1006:$AQ$1006,0)), HYPERLINK("#",""), HYPERLINK(CONCATENATE("#metadata!", ADDRESS(INDEX($W$2:$W$1001,MATCH(ROWS($U$2:U328),$U$2:$U$1001,0),0), INDEX($AB$1004:$AQ$1004,1,MATCH(COLUMNS($AB$1006:AP1006),$AB$1006:$AQ$1006,0)))),"Fix")))</f>
        <v>0</v>
      </c>
      <c r="Q328" s="4">
        <f>IF(OR(INDEX($V$2:$V$1001,MATCH(ROWS($U$2:U328),$U$2:$U$1001,0),1)&gt;=100000,INDEX($AB$1005:$AQ$1005,1,MATCH(COLUMNS($AB$1006:AQ1006),$AB$1006:$AQ$1006,0))&gt;=100000), " ",IF(INDEX($AB$2:$AQ$1001,MATCH(ROWS($U$2:U328),$U$2:$U$1001,0),MATCH(COLUMNS($AB$1006:AQ1006),$AB$1006:$AQ$1006,0)), HYPERLINK("#",""), HYPERLINK(CONCATENATE("#metadata!", ADDRESS(INDEX($W$2:$W$1001,MATCH(ROWS($U$2:U328),$U$2:$U$1001,0),0), INDEX($AB$1004:$AQ$1004,1,MATCH(COLUMNS($AB$1006:AQ1006),$AB$1006:$AQ$1006,0)))),"Fix")))</f>
        <v>0</v>
      </c>
      <c r="U328">
        <v>0</v>
      </c>
      <c r="V328">
        <v>0</v>
      </c>
      <c r="W328">
        <v>0</v>
      </c>
      <c r="X328">
        <f>IF(Y328,TRUE,AND(AB328:AQ328))</f>
        <v>0</v>
      </c>
      <c r="Y328">
        <f>COUNTBLANK(metadata!B328:Q328)=COLUMNS(metadata!B328:Q328)</f>
        <v>0</v>
      </c>
      <c r="Z328">
        <v>0</v>
      </c>
      <c r="AB328">
        <f>AND(IF(metadata!B328="",FALSE,TRUE),COUNTIF(metadata!B:B, metadata!B328) = 1,NOT(ISERROR(SUMPRODUCT(SEARCH(MID(metadata!B328,ROW(INDIRECT("1:"&amp;LEN(metadata!B328))), 1),"0123456789abcdefghijklmnopqrstuvwxyzABCDEFGHIJKLMNOPQRSTUVWXYZ.")))))</f>
        <v>0</v>
      </c>
      <c r="AC328">
        <f>OR(AND(IF(metadata!C328="",FALSE,TRUE),OR(exact(metadata!C328,"missing: not collected"),exact(metadata!C328,"missing: not provided"),exact(metadata!C328,"missing: restricted access"))),AND(IF(metadata!C328="",FALSE,TRUE),AND(AND(IFERROR(INT(LEFT(metadata!C328,4))&gt;1900,FALSE),IFERROR(INT(LEFT(metadata!C328,4))&lt;=YEAR(NOW()),FALSE)), OR(MID(metadata!C328,5,1)="", AND(AND(MID(metadata!C328,5,1)="-",IFERROR(INT(MID(metadata!C328,6,1))&gt;=0,FALSE),IFERROR(INT(MID(metadata!C328,6,1))&lt;=1,FALSE),NOT(MID(metadata!C328,7,1)=""),IFERROR(INT(MID(metadata!C328,6,2))&gt;=1,FALSE),IFERROR(INT(MID(metadata!C328,6,2))&lt;=12,FALSE)), OR(MID(metadata!C328,8,1)="", AND(AND(MID(metadata!C328,8,1)="-",IFERROR(INT(MID(metadata!C328,9,1))&gt;=0,FALSE),IFERROR(INT(MID(metadata!C328,9,1))&lt;=3,FALSE),NOT(MID(metadata!C328,10,1)=""),IFERROR(INT(MID(metadata!C328,9,2))&gt;=1,FALSE),IFERROR(INT(MID(metadata!C328,9,2))&lt;=31,FALSE)), OR(MID(metadata!C328,11,1)="", AND(AND(MID(metadata!C328,11,1)=" ",IFERROR(INT(MID(metadata!C328,12,1))&gt;=0,FALSE),IFERROR(INT(MID(metadata!C328,12,1))&lt;=2,FALSE),NOT(MID(metadata!C328,13,1)=""),IFERROR(INT(MID(metadata!C328,12,2))&gt;=0,FALSE),IFERROR(INT(MID(metadata!C328,12,2))&lt;=23,FALSE)), OR(MID(metadata!C328,14,1)="", AND(AND(MID(metadata!C328,14,1)=":",IFERROR(INT(MID(metadata!C328,15,1))&gt;=0,FALSE),IFERROR(INT(MID(metadata!C328,15,1))&lt;=5,FALSE),NOT(MID(metadata!C328,16,1)=""),IFERROR(INT(MID(metadata!C328,15,2))&gt;=0,FALSE),IFERROR(INT(MID(metadata!C328,15,2))&lt;=59,FALSE)), OR(MID(metadata!C328,17,1)="", AND(AND(MID(metadata!C328,17,1)=":",IFERROR(INT(MID(metadata!C328,18,1))&gt;=0,FALSE),IFERROR(INT(MID(metadata!C328,18,1))&lt;=5,FALSE),NOT(MID(metadata!C328,19,1)=""),IFERROR(INT(MID(metadata!C328,18,2))&gt;=0,FALSE),IFERROR(INT(MID(metadata!C328,18,2))&lt;=59,FALSE)), LEN(metadata!C328)&lt;=19)))))))))))))</f>
        <v>0</v>
      </c>
      <c r="AD328">
        <f>IF(metadata!D328="",FALSE,TRUE)</f>
        <v>0</v>
      </c>
      <c r="AE328">
        <f>OR(AND(IF(metadata!E328="",FALSE,TRUE),OR(exact(metadata!E328,"missing: not collected"),exact(metadata!E328,"missing: not provided"))),AND(IF(metadata!E328="",FALSE,TRUE),OR(exact(metadata!E328,"TRUE"),exact(metadata!E328,"FALSE"))))</f>
        <v>0</v>
      </c>
      <c r="AF328">
        <f>IF(metadata!F328="",FALSE,TRUE)</f>
        <v>0</v>
      </c>
      <c r="AG328">
        <f>IF(metadata!G328="",FALSE,TRUE)</f>
        <v>0</v>
      </c>
      <c r="AH328">
        <f>IF(metadata!H328="",FALSE,TRUE)</f>
        <v>0</v>
      </c>
      <c r="AI328">
        <f>OR(AND(IF(metadata!I328="",FALSE,TRUE),OR(exact(metadata!I328,"missing: not collected"),exact(metadata!I328,"missing: not provided"),exact(metadata!I328,"missing: restricted access"))),AND(IF(metadata!I328="",FALSE,TRUE),OR(exact(metadata!I328,"air"),exact(metadata!I328,"built environment"),exact(metadata!I328,"host-associated"),exact(metadata!I328,"human-associated"),exact(metadata!I328,"human-skin"),exact(metadata!I328,"human-oral"),exact(metadata!I328,"human-gut"),exact(metadata!I328,"human-vaginal"),exact(metadata!I328,"microbial mat/biofilm"),exact(metadata!I328,"misc environment"),exact(metadata!I328,"plant-associated"),exact(metadata!I328,"sediment"),exact(metadata!I328,"soil"),exact(metadata!I328,"wastewater/sludge"),exact(metadata!I328,"water"))))</f>
        <v>0</v>
      </c>
      <c r="AJ328">
        <f>IF(metadata!J328="",FALSE,TRUE)</f>
        <v>0</v>
      </c>
      <c r="AK328">
        <f>OR(AND(IF(metadata!K328="",FALSE,TRUE),OR(exact(metadata!K328,"missing: not collected"),exact(metadata!K328,"missing: not provided"),exact(metadata!K328,"missing: restricted access"))),AND(IF(metadata!K328="",FALSE,ISNUMBER(VALUE(metadata!K328))),metadata!K328&gt;=-90.00,metadata!K328&lt;=90.00))</f>
        <v>0</v>
      </c>
      <c r="AL328">
        <f>OR(AND(IF(metadata!L328="",FALSE,TRUE),OR(exact(metadata!L328,"missing: not collected"),exact(metadata!L328,"missing: not provided"),exact(metadata!L328,"missing: restricted access"))),AND(IF(metadata!L328="",FALSE,ISNUMBER(VALUE(metadata!L328))),metadata!L328&gt;=-180.00,metadata!L328&lt;=180.00))</f>
        <v>0</v>
      </c>
      <c r="AM328">
        <f>IF(metadata!M328="",FALSE,TRUE)</f>
        <v>0</v>
      </c>
      <c r="AN328">
        <f>OR(AND(IF(metadata!N328="",FALSE,TRUE),OR(exact(metadata!N328,"missing: not collected"),exact(metadata!N328,"missing: not provided"),exact(metadata!N328,"missing: restricted access"))),AND(IF(metadata!N328="",FALSE,TRUE),OR(exact(metadata!N328,"TRUE"),exact(metadata!N328,"FALSE"))))</f>
        <v>0</v>
      </c>
      <c r="AO328">
        <f>IF(metadata!O328="",FALSE,TRUE)</f>
        <v>0</v>
      </c>
      <c r="AP328">
        <f>OR(AND(IF(metadata!P328="",FALSE,TRUE),OR(exact(metadata!P328,"missing: not collected"),exact(metadata!P328,"missing: not provided"))),AND(IF(metadata!P328="",FALSE,IF(ISERROR(INT(metadata!P328)),FALSE,INT(metadata!P328)=metadata!P328)),metadata!P328&gt;0))</f>
        <v>0</v>
      </c>
      <c r="AQ328">
        <f>IF(metadata!Q328="",FALSE,TRUE)</f>
        <v>0</v>
      </c>
    </row>
    <row r="329" spans="1:43">
      <c r="A329" s="5">
        <f>IF(B329=" "," ",HYPERLINK(CONCATENATE("#metadata!",ADDRESS(INDEX($W$2:$W$1001,MATCH(ROWS($U$2:U329),$U$2:$U$1001,0),0),1)),INDEX($Z$2:$Z$1001,MATCH(ROWS($U$2:U329),$U$2:$U$1001,0),0)))</f>
        <v>0</v>
      </c>
      <c r="B329" s="4">
        <f>IF(OR(INDEX($V$2:$V$1001,MATCH(ROWS($U$2:U329),$U$2:$U$1001,0),1)&gt;=100000,INDEX($AB$1005:$AQ$1005,1,MATCH(COLUMNS($AB$1006:AB1006),$AB$1006:$AQ$1006,0))&gt;=100000), " ",IF(INDEX($AB$2:$AQ$1001,MATCH(ROWS($U$2:U329),$U$2:$U$1001,0),MATCH(COLUMNS($AB$1006:AB1006),$AB$1006:$AQ$1006,0)), HYPERLINK("#",""), HYPERLINK(CONCATENATE("#metadata!", ADDRESS(INDEX($W$2:$W$1001,MATCH(ROWS($U$2:U329),$U$2:$U$1001,0),0), INDEX($AB$1004:$AQ$1004,1,MATCH(COLUMNS($AB$1006:AB1006),$AB$1006:$AQ$1006,0)))),"Fix")))</f>
        <v>0</v>
      </c>
      <c r="C329" s="4">
        <f>IF(OR(INDEX($V$2:$V$1001,MATCH(ROWS($U$2:U329),$U$2:$U$1001,0),1)&gt;=100000,INDEX($AB$1005:$AQ$1005,1,MATCH(COLUMNS($AB$1006:AC1006),$AB$1006:$AQ$1006,0))&gt;=100000), " ",IF(INDEX($AB$2:$AQ$1001,MATCH(ROWS($U$2:U329),$U$2:$U$1001,0),MATCH(COLUMNS($AB$1006:AC1006),$AB$1006:$AQ$1006,0)), HYPERLINK("#",""), HYPERLINK(CONCATENATE("#metadata!", ADDRESS(INDEX($W$2:$W$1001,MATCH(ROWS($U$2:U329),$U$2:$U$1001,0),0), INDEX($AB$1004:$AQ$1004,1,MATCH(COLUMNS($AB$1006:AC1006),$AB$1006:$AQ$1006,0)))),"Fix")))</f>
        <v>0</v>
      </c>
      <c r="D329" s="4">
        <f>IF(OR(INDEX($V$2:$V$1001,MATCH(ROWS($U$2:U329),$U$2:$U$1001,0),1)&gt;=100000,INDEX($AB$1005:$AQ$1005,1,MATCH(COLUMNS($AB$1006:AD1006),$AB$1006:$AQ$1006,0))&gt;=100000), " ",IF(INDEX($AB$2:$AQ$1001,MATCH(ROWS($U$2:U329),$U$2:$U$1001,0),MATCH(COLUMNS($AB$1006:AD1006),$AB$1006:$AQ$1006,0)), HYPERLINK("#",""), HYPERLINK(CONCATENATE("#metadata!", ADDRESS(INDEX($W$2:$W$1001,MATCH(ROWS($U$2:U329),$U$2:$U$1001,0),0), INDEX($AB$1004:$AQ$1004,1,MATCH(COLUMNS($AB$1006:AD1006),$AB$1006:$AQ$1006,0)))),"Fix")))</f>
        <v>0</v>
      </c>
      <c r="E329" s="4">
        <f>IF(OR(INDEX($V$2:$V$1001,MATCH(ROWS($U$2:U329),$U$2:$U$1001,0),1)&gt;=100000,INDEX($AB$1005:$AQ$1005,1,MATCH(COLUMNS($AB$1006:AE1006),$AB$1006:$AQ$1006,0))&gt;=100000), " ",IF(INDEX($AB$2:$AQ$1001,MATCH(ROWS($U$2:U329),$U$2:$U$1001,0),MATCH(COLUMNS($AB$1006:AE1006),$AB$1006:$AQ$1006,0)), HYPERLINK("#",""), HYPERLINK(CONCATENATE("#metadata!", ADDRESS(INDEX($W$2:$W$1001,MATCH(ROWS($U$2:U329),$U$2:$U$1001,0),0), INDEX($AB$1004:$AQ$1004,1,MATCH(COLUMNS($AB$1006:AE1006),$AB$1006:$AQ$1006,0)))),"Fix")))</f>
        <v>0</v>
      </c>
      <c r="F329" s="4">
        <f>IF(OR(INDEX($V$2:$V$1001,MATCH(ROWS($U$2:U329),$U$2:$U$1001,0),1)&gt;=100000,INDEX($AB$1005:$AQ$1005,1,MATCH(COLUMNS($AB$1006:AF1006),$AB$1006:$AQ$1006,0))&gt;=100000), " ",IF(INDEX($AB$2:$AQ$1001,MATCH(ROWS($U$2:U329),$U$2:$U$1001,0),MATCH(COLUMNS($AB$1006:AF1006),$AB$1006:$AQ$1006,0)), HYPERLINK("#",""), HYPERLINK(CONCATENATE("#metadata!", ADDRESS(INDEX($W$2:$W$1001,MATCH(ROWS($U$2:U329),$U$2:$U$1001,0),0), INDEX($AB$1004:$AQ$1004,1,MATCH(COLUMNS($AB$1006:AF1006),$AB$1006:$AQ$1006,0)))),"Fix")))</f>
        <v>0</v>
      </c>
      <c r="G329" s="4">
        <f>IF(OR(INDEX($V$2:$V$1001,MATCH(ROWS($U$2:U329),$U$2:$U$1001,0),1)&gt;=100000,INDEX($AB$1005:$AQ$1005,1,MATCH(COLUMNS($AB$1006:AG1006),$AB$1006:$AQ$1006,0))&gt;=100000), " ",IF(INDEX($AB$2:$AQ$1001,MATCH(ROWS($U$2:U329),$U$2:$U$1001,0),MATCH(COLUMNS($AB$1006:AG1006),$AB$1006:$AQ$1006,0)), HYPERLINK("#",""), HYPERLINK(CONCATENATE("#metadata!", ADDRESS(INDEX($W$2:$W$1001,MATCH(ROWS($U$2:U329),$U$2:$U$1001,0),0), INDEX($AB$1004:$AQ$1004,1,MATCH(COLUMNS($AB$1006:AG1006),$AB$1006:$AQ$1006,0)))),"Fix")))</f>
        <v>0</v>
      </c>
      <c r="H329" s="4">
        <f>IF(OR(INDEX($V$2:$V$1001,MATCH(ROWS($U$2:U329),$U$2:$U$1001,0),1)&gt;=100000,INDEX($AB$1005:$AQ$1005,1,MATCH(COLUMNS($AB$1006:AH1006),$AB$1006:$AQ$1006,0))&gt;=100000), " ",IF(INDEX($AB$2:$AQ$1001,MATCH(ROWS($U$2:U329),$U$2:$U$1001,0),MATCH(COLUMNS($AB$1006:AH1006),$AB$1006:$AQ$1006,0)), HYPERLINK("#",""), HYPERLINK(CONCATENATE("#metadata!", ADDRESS(INDEX($W$2:$W$1001,MATCH(ROWS($U$2:U329),$U$2:$U$1001,0),0), INDEX($AB$1004:$AQ$1004,1,MATCH(COLUMNS($AB$1006:AH1006),$AB$1006:$AQ$1006,0)))),"Fix")))</f>
        <v>0</v>
      </c>
      <c r="I329" s="4">
        <f>IF(OR(INDEX($V$2:$V$1001,MATCH(ROWS($U$2:U329),$U$2:$U$1001,0),1)&gt;=100000,INDEX($AB$1005:$AQ$1005,1,MATCH(COLUMNS($AB$1006:AI1006),$AB$1006:$AQ$1006,0))&gt;=100000), " ",IF(INDEX($AB$2:$AQ$1001,MATCH(ROWS($U$2:U329),$U$2:$U$1001,0),MATCH(COLUMNS($AB$1006:AI1006),$AB$1006:$AQ$1006,0)), HYPERLINK("#",""), HYPERLINK(CONCATENATE("#metadata!", ADDRESS(INDEX($W$2:$W$1001,MATCH(ROWS($U$2:U329),$U$2:$U$1001,0),0), INDEX($AB$1004:$AQ$1004,1,MATCH(COLUMNS($AB$1006:AI1006),$AB$1006:$AQ$1006,0)))),"Fix")))</f>
        <v>0</v>
      </c>
      <c r="J329" s="4">
        <f>IF(OR(INDEX($V$2:$V$1001,MATCH(ROWS($U$2:U329),$U$2:$U$1001,0),1)&gt;=100000,INDEX($AB$1005:$AQ$1005,1,MATCH(COLUMNS($AB$1006:AJ1006),$AB$1006:$AQ$1006,0))&gt;=100000), " ",IF(INDEX($AB$2:$AQ$1001,MATCH(ROWS($U$2:U329),$U$2:$U$1001,0),MATCH(COLUMNS($AB$1006:AJ1006),$AB$1006:$AQ$1006,0)), HYPERLINK("#",""), HYPERLINK(CONCATENATE("#metadata!", ADDRESS(INDEX($W$2:$W$1001,MATCH(ROWS($U$2:U329),$U$2:$U$1001,0),0), INDEX($AB$1004:$AQ$1004,1,MATCH(COLUMNS($AB$1006:AJ1006),$AB$1006:$AQ$1006,0)))),"Fix")))</f>
        <v>0</v>
      </c>
      <c r="K329" s="4">
        <f>IF(OR(INDEX($V$2:$V$1001,MATCH(ROWS($U$2:U329),$U$2:$U$1001,0),1)&gt;=100000,INDEX($AB$1005:$AQ$1005,1,MATCH(COLUMNS($AB$1006:AK1006),$AB$1006:$AQ$1006,0))&gt;=100000), " ",IF(INDEX($AB$2:$AQ$1001,MATCH(ROWS($U$2:U329),$U$2:$U$1001,0),MATCH(COLUMNS($AB$1006:AK1006),$AB$1006:$AQ$1006,0)), HYPERLINK("#",""), HYPERLINK(CONCATENATE("#metadata!", ADDRESS(INDEX($W$2:$W$1001,MATCH(ROWS($U$2:U329),$U$2:$U$1001,0),0), INDEX($AB$1004:$AQ$1004,1,MATCH(COLUMNS($AB$1006:AK1006),$AB$1006:$AQ$1006,0)))),"Fix")))</f>
        <v>0</v>
      </c>
      <c r="L329" s="4">
        <f>IF(OR(INDEX($V$2:$V$1001,MATCH(ROWS($U$2:U329),$U$2:$U$1001,0),1)&gt;=100000,INDEX($AB$1005:$AQ$1005,1,MATCH(COLUMNS($AB$1006:AL1006),$AB$1006:$AQ$1006,0))&gt;=100000), " ",IF(INDEX($AB$2:$AQ$1001,MATCH(ROWS($U$2:U329),$U$2:$U$1001,0),MATCH(COLUMNS($AB$1006:AL1006),$AB$1006:$AQ$1006,0)), HYPERLINK("#",""), HYPERLINK(CONCATENATE("#metadata!", ADDRESS(INDEX($W$2:$W$1001,MATCH(ROWS($U$2:U329),$U$2:$U$1001,0),0), INDEX($AB$1004:$AQ$1004,1,MATCH(COLUMNS($AB$1006:AL1006),$AB$1006:$AQ$1006,0)))),"Fix")))</f>
        <v>0</v>
      </c>
      <c r="M329" s="4">
        <f>IF(OR(INDEX($V$2:$V$1001,MATCH(ROWS($U$2:U329),$U$2:$U$1001,0),1)&gt;=100000,INDEX($AB$1005:$AQ$1005,1,MATCH(COLUMNS($AB$1006:AM1006),$AB$1006:$AQ$1006,0))&gt;=100000), " ",IF(INDEX($AB$2:$AQ$1001,MATCH(ROWS($U$2:U329),$U$2:$U$1001,0),MATCH(COLUMNS($AB$1006:AM1006),$AB$1006:$AQ$1006,0)), HYPERLINK("#",""), HYPERLINK(CONCATENATE("#metadata!", ADDRESS(INDEX($W$2:$W$1001,MATCH(ROWS($U$2:U329),$U$2:$U$1001,0),0), INDEX($AB$1004:$AQ$1004,1,MATCH(COLUMNS($AB$1006:AM1006),$AB$1006:$AQ$1006,0)))),"Fix")))</f>
        <v>0</v>
      </c>
      <c r="N329" s="4">
        <f>IF(OR(INDEX($V$2:$V$1001,MATCH(ROWS($U$2:U329),$U$2:$U$1001,0),1)&gt;=100000,INDEX($AB$1005:$AQ$1005,1,MATCH(COLUMNS($AB$1006:AN1006),$AB$1006:$AQ$1006,0))&gt;=100000), " ",IF(INDEX($AB$2:$AQ$1001,MATCH(ROWS($U$2:U329),$U$2:$U$1001,0),MATCH(COLUMNS($AB$1006:AN1006),$AB$1006:$AQ$1006,0)), HYPERLINK("#",""), HYPERLINK(CONCATENATE("#metadata!", ADDRESS(INDEX($W$2:$W$1001,MATCH(ROWS($U$2:U329),$U$2:$U$1001,0),0), INDEX($AB$1004:$AQ$1004,1,MATCH(COLUMNS($AB$1006:AN1006),$AB$1006:$AQ$1006,0)))),"Fix")))</f>
        <v>0</v>
      </c>
      <c r="O329" s="4">
        <f>IF(OR(INDEX($V$2:$V$1001,MATCH(ROWS($U$2:U329),$U$2:$U$1001,0),1)&gt;=100000,INDEX($AB$1005:$AQ$1005,1,MATCH(COLUMNS($AB$1006:AO1006),$AB$1006:$AQ$1006,0))&gt;=100000), " ",IF(INDEX($AB$2:$AQ$1001,MATCH(ROWS($U$2:U329),$U$2:$U$1001,0),MATCH(COLUMNS($AB$1006:AO1006),$AB$1006:$AQ$1006,0)), HYPERLINK("#",""), HYPERLINK(CONCATENATE("#metadata!", ADDRESS(INDEX($W$2:$W$1001,MATCH(ROWS($U$2:U329),$U$2:$U$1001,0),0), INDEX($AB$1004:$AQ$1004,1,MATCH(COLUMNS($AB$1006:AO1006),$AB$1006:$AQ$1006,0)))),"Fix")))</f>
        <v>0</v>
      </c>
      <c r="P329" s="4">
        <f>IF(OR(INDEX($V$2:$V$1001,MATCH(ROWS($U$2:U329),$U$2:$U$1001,0),1)&gt;=100000,INDEX($AB$1005:$AQ$1005,1,MATCH(COLUMNS($AB$1006:AP1006),$AB$1006:$AQ$1006,0))&gt;=100000), " ",IF(INDEX($AB$2:$AQ$1001,MATCH(ROWS($U$2:U329),$U$2:$U$1001,0),MATCH(COLUMNS($AB$1006:AP1006),$AB$1006:$AQ$1006,0)), HYPERLINK("#",""), HYPERLINK(CONCATENATE("#metadata!", ADDRESS(INDEX($W$2:$W$1001,MATCH(ROWS($U$2:U329),$U$2:$U$1001,0),0), INDEX($AB$1004:$AQ$1004,1,MATCH(COLUMNS($AB$1006:AP1006),$AB$1006:$AQ$1006,0)))),"Fix")))</f>
        <v>0</v>
      </c>
      <c r="Q329" s="4">
        <f>IF(OR(INDEX($V$2:$V$1001,MATCH(ROWS($U$2:U329),$U$2:$U$1001,0),1)&gt;=100000,INDEX($AB$1005:$AQ$1005,1,MATCH(COLUMNS($AB$1006:AQ1006),$AB$1006:$AQ$1006,0))&gt;=100000), " ",IF(INDEX($AB$2:$AQ$1001,MATCH(ROWS($U$2:U329),$U$2:$U$1001,0),MATCH(COLUMNS($AB$1006:AQ1006),$AB$1006:$AQ$1006,0)), HYPERLINK("#",""), HYPERLINK(CONCATENATE("#metadata!", ADDRESS(INDEX($W$2:$W$1001,MATCH(ROWS($U$2:U329),$U$2:$U$1001,0),0), INDEX($AB$1004:$AQ$1004,1,MATCH(COLUMNS($AB$1006:AQ1006),$AB$1006:$AQ$1006,0)))),"Fix")))</f>
        <v>0</v>
      </c>
      <c r="U329">
        <v>0</v>
      </c>
      <c r="V329">
        <v>0</v>
      </c>
      <c r="W329">
        <v>0</v>
      </c>
      <c r="X329">
        <f>IF(Y329,TRUE,AND(AB329:AQ329))</f>
        <v>0</v>
      </c>
      <c r="Y329">
        <f>COUNTBLANK(metadata!B329:Q329)=COLUMNS(metadata!B329:Q329)</f>
        <v>0</v>
      </c>
      <c r="Z329">
        <v>0</v>
      </c>
      <c r="AB329">
        <f>AND(IF(metadata!B329="",FALSE,TRUE),COUNTIF(metadata!B:B, metadata!B329) = 1,NOT(ISERROR(SUMPRODUCT(SEARCH(MID(metadata!B329,ROW(INDIRECT("1:"&amp;LEN(metadata!B329))), 1),"0123456789abcdefghijklmnopqrstuvwxyzABCDEFGHIJKLMNOPQRSTUVWXYZ.")))))</f>
        <v>0</v>
      </c>
      <c r="AC329">
        <f>OR(AND(IF(metadata!C329="",FALSE,TRUE),OR(exact(metadata!C329,"missing: not collected"),exact(metadata!C329,"missing: not provided"),exact(metadata!C329,"missing: restricted access"))),AND(IF(metadata!C329="",FALSE,TRUE),AND(AND(IFERROR(INT(LEFT(metadata!C329,4))&gt;1900,FALSE),IFERROR(INT(LEFT(metadata!C329,4))&lt;=YEAR(NOW()),FALSE)), OR(MID(metadata!C329,5,1)="", AND(AND(MID(metadata!C329,5,1)="-",IFERROR(INT(MID(metadata!C329,6,1))&gt;=0,FALSE),IFERROR(INT(MID(metadata!C329,6,1))&lt;=1,FALSE),NOT(MID(metadata!C329,7,1)=""),IFERROR(INT(MID(metadata!C329,6,2))&gt;=1,FALSE),IFERROR(INT(MID(metadata!C329,6,2))&lt;=12,FALSE)), OR(MID(metadata!C329,8,1)="", AND(AND(MID(metadata!C329,8,1)="-",IFERROR(INT(MID(metadata!C329,9,1))&gt;=0,FALSE),IFERROR(INT(MID(metadata!C329,9,1))&lt;=3,FALSE),NOT(MID(metadata!C329,10,1)=""),IFERROR(INT(MID(metadata!C329,9,2))&gt;=1,FALSE),IFERROR(INT(MID(metadata!C329,9,2))&lt;=31,FALSE)), OR(MID(metadata!C329,11,1)="", AND(AND(MID(metadata!C329,11,1)=" ",IFERROR(INT(MID(metadata!C329,12,1))&gt;=0,FALSE),IFERROR(INT(MID(metadata!C329,12,1))&lt;=2,FALSE),NOT(MID(metadata!C329,13,1)=""),IFERROR(INT(MID(metadata!C329,12,2))&gt;=0,FALSE),IFERROR(INT(MID(metadata!C329,12,2))&lt;=23,FALSE)), OR(MID(metadata!C329,14,1)="", AND(AND(MID(metadata!C329,14,1)=":",IFERROR(INT(MID(metadata!C329,15,1))&gt;=0,FALSE),IFERROR(INT(MID(metadata!C329,15,1))&lt;=5,FALSE),NOT(MID(metadata!C329,16,1)=""),IFERROR(INT(MID(metadata!C329,15,2))&gt;=0,FALSE),IFERROR(INT(MID(metadata!C329,15,2))&lt;=59,FALSE)), OR(MID(metadata!C329,17,1)="", AND(AND(MID(metadata!C329,17,1)=":",IFERROR(INT(MID(metadata!C329,18,1))&gt;=0,FALSE),IFERROR(INT(MID(metadata!C329,18,1))&lt;=5,FALSE),NOT(MID(metadata!C329,19,1)=""),IFERROR(INT(MID(metadata!C329,18,2))&gt;=0,FALSE),IFERROR(INT(MID(metadata!C329,18,2))&lt;=59,FALSE)), LEN(metadata!C329)&lt;=19)))))))))))))</f>
        <v>0</v>
      </c>
      <c r="AD329">
        <f>IF(metadata!D329="",FALSE,TRUE)</f>
        <v>0</v>
      </c>
      <c r="AE329">
        <f>OR(AND(IF(metadata!E329="",FALSE,TRUE),OR(exact(metadata!E329,"missing: not collected"),exact(metadata!E329,"missing: not provided"))),AND(IF(metadata!E329="",FALSE,TRUE),OR(exact(metadata!E329,"TRUE"),exact(metadata!E329,"FALSE"))))</f>
        <v>0</v>
      </c>
      <c r="AF329">
        <f>IF(metadata!F329="",FALSE,TRUE)</f>
        <v>0</v>
      </c>
      <c r="AG329">
        <f>IF(metadata!G329="",FALSE,TRUE)</f>
        <v>0</v>
      </c>
      <c r="AH329">
        <f>IF(metadata!H329="",FALSE,TRUE)</f>
        <v>0</v>
      </c>
      <c r="AI329">
        <f>OR(AND(IF(metadata!I329="",FALSE,TRUE),OR(exact(metadata!I329,"missing: not collected"),exact(metadata!I329,"missing: not provided"),exact(metadata!I329,"missing: restricted access"))),AND(IF(metadata!I329="",FALSE,TRUE),OR(exact(metadata!I329,"air"),exact(metadata!I329,"built environment"),exact(metadata!I329,"host-associated"),exact(metadata!I329,"human-associated"),exact(metadata!I329,"human-skin"),exact(metadata!I329,"human-oral"),exact(metadata!I329,"human-gut"),exact(metadata!I329,"human-vaginal"),exact(metadata!I329,"microbial mat/biofilm"),exact(metadata!I329,"misc environment"),exact(metadata!I329,"plant-associated"),exact(metadata!I329,"sediment"),exact(metadata!I329,"soil"),exact(metadata!I329,"wastewater/sludge"),exact(metadata!I329,"water"))))</f>
        <v>0</v>
      </c>
      <c r="AJ329">
        <f>IF(metadata!J329="",FALSE,TRUE)</f>
        <v>0</v>
      </c>
      <c r="AK329">
        <f>OR(AND(IF(metadata!K329="",FALSE,TRUE),OR(exact(metadata!K329,"missing: not collected"),exact(metadata!K329,"missing: not provided"),exact(metadata!K329,"missing: restricted access"))),AND(IF(metadata!K329="",FALSE,ISNUMBER(VALUE(metadata!K329))),metadata!K329&gt;=-90.00,metadata!K329&lt;=90.00))</f>
        <v>0</v>
      </c>
      <c r="AL329">
        <f>OR(AND(IF(metadata!L329="",FALSE,TRUE),OR(exact(metadata!L329,"missing: not collected"),exact(metadata!L329,"missing: not provided"),exact(metadata!L329,"missing: restricted access"))),AND(IF(metadata!L329="",FALSE,ISNUMBER(VALUE(metadata!L329))),metadata!L329&gt;=-180.00,metadata!L329&lt;=180.00))</f>
        <v>0</v>
      </c>
      <c r="AM329">
        <f>IF(metadata!M329="",FALSE,TRUE)</f>
        <v>0</v>
      </c>
      <c r="AN329">
        <f>OR(AND(IF(metadata!N329="",FALSE,TRUE),OR(exact(metadata!N329,"missing: not collected"),exact(metadata!N329,"missing: not provided"),exact(metadata!N329,"missing: restricted access"))),AND(IF(metadata!N329="",FALSE,TRUE),OR(exact(metadata!N329,"TRUE"),exact(metadata!N329,"FALSE"))))</f>
        <v>0</v>
      </c>
      <c r="AO329">
        <f>IF(metadata!O329="",FALSE,TRUE)</f>
        <v>0</v>
      </c>
      <c r="AP329">
        <f>OR(AND(IF(metadata!P329="",FALSE,TRUE),OR(exact(metadata!P329,"missing: not collected"),exact(metadata!P329,"missing: not provided"))),AND(IF(metadata!P329="",FALSE,IF(ISERROR(INT(metadata!P329)),FALSE,INT(metadata!P329)=metadata!P329)),metadata!P329&gt;0))</f>
        <v>0</v>
      </c>
      <c r="AQ329">
        <f>IF(metadata!Q329="",FALSE,TRUE)</f>
        <v>0</v>
      </c>
    </row>
    <row r="330" spans="1:43">
      <c r="A330" s="5">
        <f>IF(B330=" "," ",HYPERLINK(CONCATENATE("#metadata!",ADDRESS(INDEX($W$2:$W$1001,MATCH(ROWS($U$2:U330),$U$2:$U$1001,0),0),1)),INDEX($Z$2:$Z$1001,MATCH(ROWS($U$2:U330),$U$2:$U$1001,0),0)))</f>
        <v>0</v>
      </c>
      <c r="B330" s="4">
        <f>IF(OR(INDEX($V$2:$V$1001,MATCH(ROWS($U$2:U330),$U$2:$U$1001,0),1)&gt;=100000,INDEX($AB$1005:$AQ$1005,1,MATCH(COLUMNS($AB$1006:AB1006),$AB$1006:$AQ$1006,0))&gt;=100000), " ",IF(INDEX($AB$2:$AQ$1001,MATCH(ROWS($U$2:U330),$U$2:$U$1001,0),MATCH(COLUMNS($AB$1006:AB1006),$AB$1006:$AQ$1006,0)), HYPERLINK("#",""), HYPERLINK(CONCATENATE("#metadata!", ADDRESS(INDEX($W$2:$W$1001,MATCH(ROWS($U$2:U330),$U$2:$U$1001,0),0), INDEX($AB$1004:$AQ$1004,1,MATCH(COLUMNS($AB$1006:AB1006),$AB$1006:$AQ$1006,0)))),"Fix")))</f>
        <v>0</v>
      </c>
      <c r="C330" s="4">
        <f>IF(OR(INDEX($V$2:$V$1001,MATCH(ROWS($U$2:U330),$U$2:$U$1001,0),1)&gt;=100000,INDEX($AB$1005:$AQ$1005,1,MATCH(COLUMNS($AB$1006:AC1006),$AB$1006:$AQ$1006,0))&gt;=100000), " ",IF(INDEX($AB$2:$AQ$1001,MATCH(ROWS($U$2:U330),$U$2:$U$1001,0),MATCH(COLUMNS($AB$1006:AC1006),$AB$1006:$AQ$1006,0)), HYPERLINK("#",""), HYPERLINK(CONCATENATE("#metadata!", ADDRESS(INDEX($W$2:$W$1001,MATCH(ROWS($U$2:U330),$U$2:$U$1001,0),0), INDEX($AB$1004:$AQ$1004,1,MATCH(COLUMNS($AB$1006:AC1006),$AB$1006:$AQ$1006,0)))),"Fix")))</f>
        <v>0</v>
      </c>
      <c r="D330" s="4">
        <f>IF(OR(INDEX($V$2:$V$1001,MATCH(ROWS($U$2:U330),$U$2:$U$1001,0),1)&gt;=100000,INDEX($AB$1005:$AQ$1005,1,MATCH(COLUMNS($AB$1006:AD1006),$AB$1006:$AQ$1006,0))&gt;=100000), " ",IF(INDEX($AB$2:$AQ$1001,MATCH(ROWS($U$2:U330),$U$2:$U$1001,0),MATCH(COLUMNS($AB$1006:AD1006),$AB$1006:$AQ$1006,0)), HYPERLINK("#",""), HYPERLINK(CONCATENATE("#metadata!", ADDRESS(INDEX($W$2:$W$1001,MATCH(ROWS($U$2:U330),$U$2:$U$1001,0),0), INDEX($AB$1004:$AQ$1004,1,MATCH(COLUMNS($AB$1006:AD1006),$AB$1006:$AQ$1006,0)))),"Fix")))</f>
        <v>0</v>
      </c>
      <c r="E330" s="4">
        <f>IF(OR(INDEX($V$2:$V$1001,MATCH(ROWS($U$2:U330),$U$2:$U$1001,0),1)&gt;=100000,INDEX($AB$1005:$AQ$1005,1,MATCH(COLUMNS($AB$1006:AE1006),$AB$1006:$AQ$1006,0))&gt;=100000), " ",IF(INDEX($AB$2:$AQ$1001,MATCH(ROWS($U$2:U330),$U$2:$U$1001,0),MATCH(COLUMNS($AB$1006:AE1006),$AB$1006:$AQ$1006,0)), HYPERLINK("#",""), HYPERLINK(CONCATENATE("#metadata!", ADDRESS(INDEX($W$2:$W$1001,MATCH(ROWS($U$2:U330),$U$2:$U$1001,0),0), INDEX($AB$1004:$AQ$1004,1,MATCH(COLUMNS($AB$1006:AE1006),$AB$1006:$AQ$1006,0)))),"Fix")))</f>
        <v>0</v>
      </c>
      <c r="F330" s="4">
        <f>IF(OR(INDEX($V$2:$V$1001,MATCH(ROWS($U$2:U330),$U$2:$U$1001,0),1)&gt;=100000,INDEX($AB$1005:$AQ$1005,1,MATCH(COLUMNS($AB$1006:AF1006),$AB$1006:$AQ$1006,0))&gt;=100000), " ",IF(INDEX($AB$2:$AQ$1001,MATCH(ROWS($U$2:U330),$U$2:$U$1001,0),MATCH(COLUMNS($AB$1006:AF1006),$AB$1006:$AQ$1006,0)), HYPERLINK("#",""), HYPERLINK(CONCATENATE("#metadata!", ADDRESS(INDEX($W$2:$W$1001,MATCH(ROWS($U$2:U330),$U$2:$U$1001,0),0), INDEX($AB$1004:$AQ$1004,1,MATCH(COLUMNS($AB$1006:AF1006),$AB$1006:$AQ$1006,0)))),"Fix")))</f>
        <v>0</v>
      </c>
      <c r="G330" s="4">
        <f>IF(OR(INDEX($V$2:$V$1001,MATCH(ROWS($U$2:U330),$U$2:$U$1001,0),1)&gt;=100000,INDEX($AB$1005:$AQ$1005,1,MATCH(COLUMNS($AB$1006:AG1006),$AB$1006:$AQ$1006,0))&gt;=100000), " ",IF(INDEX($AB$2:$AQ$1001,MATCH(ROWS($U$2:U330),$U$2:$U$1001,0),MATCH(COLUMNS($AB$1006:AG1006),$AB$1006:$AQ$1006,0)), HYPERLINK("#",""), HYPERLINK(CONCATENATE("#metadata!", ADDRESS(INDEX($W$2:$W$1001,MATCH(ROWS($U$2:U330),$U$2:$U$1001,0),0), INDEX($AB$1004:$AQ$1004,1,MATCH(COLUMNS($AB$1006:AG1006),$AB$1006:$AQ$1006,0)))),"Fix")))</f>
        <v>0</v>
      </c>
      <c r="H330" s="4">
        <f>IF(OR(INDEX($V$2:$V$1001,MATCH(ROWS($U$2:U330),$U$2:$U$1001,0),1)&gt;=100000,INDEX($AB$1005:$AQ$1005,1,MATCH(COLUMNS($AB$1006:AH1006),$AB$1006:$AQ$1006,0))&gt;=100000), " ",IF(INDEX($AB$2:$AQ$1001,MATCH(ROWS($U$2:U330),$U$2:$U$1001,0),MATCH(COLUMNS($AB$1006:AH1006),$AB$1006:$AQ$1006,0)), HYPERLINK("#",""), HYPERLINK(CONCATENATE("#metadata!", ADDRESS(INDEX($W$2:$W$1001,MATCH(ROWS($U$2:U330),$U$2:$U$1001,0),0), INDEX($AB$1004:$AQ$1004,1,MATCH(COLUMNS($AB$1006:AH1006),$AB$1006:$AQ$1006,0)))),"Fix")))</f>
        <v>0</v>
      </c>
      <c r="I330" s="4">
        <f>IF(OR(INDEX($V$2:$V$1001,MATCH(ROWS($U$2:U330),$U$2:$U$1001,0),1)&gt;=100000,INDEX($AB$1005:$AQ$1005,1,MATCH(COLUMNS($AB$1006:AI1006),$AB$1006:$AQ$1006,0))&gt;=100000), " ",IF(INDEX($AB$2:$AQ$1001,MATCH(ROWS($U$2:U330),$U$2:$U$1001,0),MATCH(COLUMNS($AB$1006:AI1006),$AB$1006:$AQ$1006,0)), HYPERLINK("#",""), HYPERLINK(CONCATENATE("#metadata!", ADDRESS(INDEX($W$2:$W$1001,MATCH(ROWS($U$2:U330),$U$2:$U$1001,0),0), INDEX($AB$1004:$AQ$1004,1,MATCH(COLUMNS($AB$1006:AI1006),$AB$1006:$AQ$1006,0)))),"Fix")))</f>
        <v>0</v>
      </c>
      <c r="J330" s="4">
        <f>IF(OR(INDEX($V$2:$V$1001,MATCH(ROWS($U$2:U330),$U$2:$U$1001,0),1)&gt;=100000,INDEX($AB$1005:$AQ$1005,1,MATCH(COLUMNS($AB$1006:AJ1006),$AB$1006:$AQ$1006,0))&gt;=100000), " ",IF(INDEX($AB$2:$AQ$1001,MATCH(ROWS($U$2:U330),$U$2:$U$1001,0),MATCH(COLUMNS($AB$1006:AJ1006),$AB$1006:$AQ$1006,0)), HYPERLINK("#",""), HYPERLINK(CONCATENATE("#metadata!", ADDRESS(INDEX($W$2:$W$1001,MATCH(ROWS($U$2:U330),$U$2:$U$1001,0),0), INDEX($AB$1004:$AQ$1004,1,MATCH(COLUMNS($AB$1006:AJ1006),$AB$1006:$AQ$1006,0)))),"Fix")))</f>
        <v>0</v>
      </c>
      <c r="K330" s="4">
        <f>IF(OR(INDEX($V$2:$V$1001,MATCH(ROWS($U$2:U330),$U$2:$U$1001,0),1)&gt;=100000,INDEX($AB$1005:$AQ$1005,1,MATCH(COLUMNS($AB$1006:AK1006),$AB$1006:$AQ$1006,0))&gt;=100000), " ",IF(INDEX($AB$2:$AQ$1001,MATCH(ROWS($U$2:U330),$U$2:$U$1001,0),MATCH(COLUMNS($AB$1006:AK1006),$AB$1006:$AQ$1006,0)), HYPERLINK("#",""), HYPERLINK(CONCATENATE("#metadata!", ADDRESS(INDEX($W$2:$W$1001,MATCH(ROWS($U$2:U330),$U$2:$U$1001,0),0), INDEX($AB$1004:$AQ$1004,1,MATCH(COLUMNS($AB$1006:AK1006),$AB$1006:$AQ$1006,0)))),"Fix")))</f>
        <v>0</v>
      </c>
      <c r="L330" s="4">
        <f>IF(OR(INDEX($V$2:$V$1001,MATCH(ROWS($U$2:U330),$U$2:$U$1001,0),1)&gt;=100000,INDEX($AB$1005:$AQ$1005,1,MATCH(COLUMNS($AB$1006:AL1006),$AB$1006:$AQ$1006,0))&gt;=100000), " ",IF(INDEX($AB$2:$AQ$1001,MATCH(ROWS($U$2:U330),$U$2:$U$1001,0),MATCH(COLUMNS($AB$1006:AL1006),$AB$1006:$AQ$1006,0)), HYPERLINK("#",""), HYPERLINK(CONCATENATE("#metadata!", ADDRESS(INDEX($W$2:$W$1001,MATCH(ROWS($U$2:U330),$U$2:$U$1001,0),0), INDEX($AB$1004:$AQ$1004,1,MATCH(COLUMNS($AB$1006:AL1006),$AB$1006:$AQ$1006,0)))),"Fix")))</f>
        <v>0</v>
      </c>
      <c r="M330" s="4">
        <f>IF(OR(INDEX($V$2:$V$1001,MATCH(ROWS($U$2:U330),$U$2:$U$1001,0),1)&gt;=100000,INDEX($AB$1005:$AQ$1005,1,MATCH(COLUMNS($AB$1006:AM1006),$AB$1006:$AQ$1006,0))&gt;=100000), " ",IF(INDEX($AB$2:$AQ$1001,MATCH(ROWS($U$2:U330),$U$2:$U$1001,0),MATCH(COLUMNS($AB$1006:AM1006),$AB$1006:$AQ$1006,0)), HYPERLINK("#",""), HYPERLINK(CONCATENATE("#metadata!", ADDRESS(INDEX($W$2:$W$1001,MATCH(ROWS($U$2:U330),$U$2:$U$1001,0),0), INDEX($AB$1004:$AQ$1004,1,MATCH(COLUMNS($AB$1006:AM1006),$AB$1006:$AQ$1006,0)))),"Fix")))</f>
        <v>0</v>
      </c>
      <c r="N330" s="4">
        <f>IF(OR(INDEX($V$2:$V$1001,MATCH(ROWS($U$2:U330),$U$2:$U$1001,0),1)&gt;=100000,INDEX($AB$1005:$AQ$1005,1,MATCH(COLUMNS($AB$1006:AN1006),$AB$1006:$AQ$1006,0))&gt;=100000), " ",IF(INDEX($AB$2:$AQ$1001,MATCH(ROWS($U$2:U330),$U$2:$U$1001,0),MATCH(COLUMNS($AB$1006:AN1006),$AB$1006:$AQ$1006,0)), HYPERLINK("#",""), HYPERLINK(CONCATENATE("#metadata!", ADDRESS(INDEX($W$2:$W$1001,MATCH(ROWS($U$2:U330),$U$2:$U$1001,0),0), INDEX($AB$1004:$AQ$1004,1,MATCH(COLUMNS($AB$1006:AN1006),$AB$1006:$AQ$1006,0)))),"Fix")))</f>
        <v>0</v>
      </c>
      <c r="O330" s="4">
        <f>IF(OR(INDEX($V$2:$V$1001,MATCH(ROWS($U$2:U330),$U$2:$U$1001,0),1)&gt;=100000,INDEX($AB$1005:$AQ$1005,1,MATCH(COLUMNS($AB$1006:AO1006),$AB$1006:$AQ$1006,0))&gt;=100000), " ",IF(INDEX($AB$2:$AQ$1001,MATCH(ROWS($U$2:U330),$U$2:$U$1001,0),MATCH(COLUMNS($AB$1006:AO1006),$AB$1006:$AQ$1006,0)), HYPERLINK("#",""), HYPERLINK(CONCATENATE("#metadata!", ADDRESS(INDEX($W$2:$W$1001,MATCH(ROWS($U$2:U330),$U$2:$U$1001,0),0), INDEX($AB$1004:$AQ$1004,1,MATCH(COLUMNS($AB$1006:AO1006),$AB$1006:$AQ$1006,0)))),"Fix")))</f>
        <v>0</v>
      </c>
      <c r="P330" s="4">
        <f>IF(OR(INDEX($V$2:$V$1001,MATCH(ROWS($U$2:U330),$U$2:$U$1001,0),1)&gt;=100000,INDEX($AB$1005:$AQ$1005,1,MATCH(COLUMNS($AB$1006:AP1006),$AB$1006:$AQ$1006,0))&gt;=100000), " ",IF(INDEX($AB$2:$AQ$1001,MATCH(ROWS($U$2:U330),$U$2:$U$1001,0),MATCH(COLUMNS($AB$1006:AP1006),$AB$1006:$AQ$1006,0)), HYPERLINK("#",""), HYPERLINK(CONCATENATE("#metadata!", ADDRESS(INDEX($W$2:$W$1001,MATCH(ROWS($U$2:U330),$U$2:$U$1001,0),0), INDEX($AB$1004:$AQ$1004,1,MATCH(COLUMNS($AB$1006:AP1006),$AB$1006:$AQ$1006,0)))),"Fix")))</f>
        <v>0</v>
      </c>
      <c r="Q330" s="4">
        <f>IF(OR(INDEX($V$2:$V$1001,MATCH(ROWS($U$2:U330),$U$2:$U$1001,0),1)&gt;=100000,INDEX($AB$1005:$AQ$1005,1,MATCH(COLUMNS($AB$1006:AQ1006),$AB$1006:$AQ$1006,0))&gt;=100000), " ",IF(INDEX($AB$2:$AQ$1001,MATCH(ROWS($U$2:U330),$U$2:$U$1001,0),MATCH(COLUMNS($AB$1006:AQ1006),$AB$1006:$AQ$1006,0)), HYPERLINK("#",""), HYPERLINK(CONCATENATE("#metadata!", ADDRESS(INDEX($W$2:$W$1001,MATCH(ROWS($U$2:U330),$U$2:$U$1001,0),0), INDEX($AB$1004:$AQ$1004,1,MATCH(COLUMNS($AB$1006:AQ1006),$AB$1006:$AQ$1006,0)))),"Fix")))</f>
        <v>0</v>
      </c>
      <c r="U330">
        <v>0</v>
      </c>
      <c r="V330">
        <v>0</v>
      </c>
      <c r="W330">
        <v>0</v>
      </c>
      <c r="X330">
        <f>IF(Y330,TRUE,AND(AB330:AQ330))</f>
        <v>0</v>
      </c>
      <c r="Y330">
        <f>COUNTBLANK(metadata!B330:Q330)=COLUMNS(metadata!B330:Q330)</f>
        <v>0</v>
      </c>
      <c r="Z330">
        <v>0</v>
      </c>
      <c r="AB330">
        <f>AND(IF(metadata!B330="",FALSE,TRUE),COUNTIF(metadata!B:B, metadata!B330) = 1,NOT(ISERROR(SUMPRODUCT(SEARCH(MID(metadata!B330,ROW(INDIRECT("1:"&amp;LEN(metadata!B330))), 1),"0123456789abcdefghijklmnopqrstuvwxyzABCDEFGHIJKLMNOPQRSTUVWXYZ.")))))</f>
        <v>0</v>
      </c>
      <c r="AC330">
        <f>OR(AND(IF(metadata!C330="",FALSE,TRUE),OR(exact(metadata!C330,"missing: not collected"),exact(metadata!C330,"missing: not provided"),exact(metadata!C330,"missing: restricted access"))),AND(IF(metadata!C330="",FALSE,TRUE),AND(AND(IFERROR(INT(LEFT(metadata!C330,4))&gt;1900,FALSE),IFERROR(INT(LEFT(metadata!C330,4))&lt;=YEAR(NOW()),FALSE)), OR(MID(metadata!C330,5,1)="", AND(AND(MID(metadata!C330,5,1)="-",IFERROR(INT(MID(metadata!C330,6,1))&gt;=0,FALSE),IFERROR(INT(MID(metadata!C330,6,1))&lt;=1,FALSE),NOT(MID(metadata!C330,7,1)=""),IFERROR(INT(MID(metadata!C330,6,2))&gt;=1,FALSE),IFERROR(INT(MID(metadata!C330,6,2))&lt;=12,FALSE)), OR(MID(metadata!C330,8,1)="", AND(AND(MID(metadata!C330,8,1)="-",IFERROR(INT(MID(metadata!C330,9,1))&gt;=0,FALSE),IFERROR(INT(MID(metadata!C330,9,1))&lt;=3,FALSE),NOT(MID(metadata!C330,10,1)=""),IFERROR(INT(MID(metadata!C330,9,2))&gt;=1,FALSE),IFERROR(INT(MID(metadata!C330,9,2))&lt;=31,FALSE)), OR(MID(metadata!C330,11,1)="", AND(AND(MID(metadata!C330,11,1)=" ",IFERROR(INT(MID(metadata!C330,12,1))&gt;=0,FALSE),IFERROR(INT(MID(metadata!C330,12,1))&lt;=2,FALSE),NOT(MID(metadata!C330,13,1)=""),IFERROR(INT(MID(metadata!C330,12,2))&gt;=0,FALSE),IFERROR(INT(MID(metadata!C330,12,2))&lt;=23,FALSE)), OR(MID(metadata!C330,14,1)="", AND(AND(MID(metadata!C330,14,1)=":",IFERROR(INT(MID(metadata!C330,15,1))&gt;=0,FALSE),IFERROR(INT(MID(metadata!C330,15,1))&lt;=5,FALSE),NOT(MID(metadata!C330,16,1)=""),IFERROR(INT(MID(metadata!C330,15,2))&gt;=0,FALSE),IFERROR(INT(MID(metadata!C330,15,2))&lt;=59,FALSE)), OR(MID(metadata!C330,17,1)="", AND(AND(MID(metadata!C330,17,1)=":",IFERROR(INT(MID(metadata!C330,18,1))&gt;=0,FALSE),IFERROR(INT(MID(metadata!C330,18,1))&lt;=5,FALSE),NOT(MID(metadata!C330,19,1)=""),IFERROR(INT(MID(metadata!C330,18,2))&gt;=0,FALSE),IFERROR(INT(MID(metadata!C330,18,2))&lt;=59,FALSE)), LEN(metadata!C330)&lt;=19)))))))))))))</f>
        <v>0</v>
      </c>
      <c r="AD330">
        <f>IF(metadata!D330="",FALSE,TRUE)</f>
        <v>0</v>
      </c>
      <c r="AE330">
        <f>OR(AND(IF(metadata!E330="",FALSE,TRUE),OR(exact(metadata!E330,"missing: not collected"),exact(metadata!E330,"missing: not provided"))),AND(IF(metadata!E330="",FALSE,TRUE),OR(exact(metadata!E330,"TRUE"),exact(metadata!E330,"FALSE"))))</f>
        <v>0</v>
      </c>
      <c r="AF330">
        <f>IF(metadata!F330="",FALSE,TRUE)</f>
        <v>0</v>
      </c>
      <c r="AG330">
        <f>IF(metadata!G330="",FALSE,TRUE)</f>
        <v>0</v>
      </c>
      <c r="AH330">
        <f>IF(metadata!H330="",FALSE,TRUE)</f>
        <v>0</v>
      </c>
      <c r="AI330">
        <f>OR(AND(IF(metadata!I330="",FALSE,TRUE),OR(exact(metadata!I330,"missing: not collected"),exact(metadata!I330,"missing: not provided"),exact(metadata!I330,"missing: restricted access"))),AND(IF(metadata!I330="",FALSE,TRUE),OR(exact(metadata!I330,"air"),exact(metadata!I330,"built environment"),exact(metadata!I330,"host-associated"),exact(metadata!I330,"human-associated"),exact(metadata!I330,"human-skin"),exact(metadata!I330,"human-oral"),exact(metadata!I330,"human-gut"),exact(metadata!I330,"human-vaginal"),exact(metadata!I330,"microbial mat/biofilm"),exact(metadata!I330,"misc environment"),exact(metadata!I330,"plant-associated"),exact(metadata!I330,"sediment"),exact(metadata!I330,"soil"),exact(metadata!I330,"wastewater/sludge"),exact(metadata!I330,"water"))))</f>
        <v>0</v>
      </c>
      <c r="AJ330">
        <f>IF(metadata!J330="",FALSE,TRUE)</f>
        <v>0</v>
      </c>
      <c r="AK330">
        <f>OR(AND(IF(metadata!K330="",FALSE,TRUE),OR(exact(metadata!K330,"missing: not collected"),exact(metadata!K330,"missing: not provided"),exact(metadata!K330,"missing: restricted access"))),AND(IF(metadata!K330="",FALSE,ISNUMBER(VALUE(metadata!K330))),metadata!K330&gt;=-90.00,metadata!K330&lt;=90.00))</f>
        <v>0</v>
      </c>
      <c r="AL330">
        <f>OR(AND(IF(metadata!L330="",FALSE,TRUE),OR(exact(metadata!L330,"missing: not collected"),exact(metadata!L330,"missing: not provided"),exact(metadata!L330,"missing: restricted access"))),AND(IF(metadata!L330="",FALSE,ISNUMBER(VALUE(metadata!L330))),metadata!L330&gt;=-180.00,metadata!L330&lt;=180.00))</f>
        <v>0</v>
      </c>
      <c r="AM330">
        <f>IF(metadata!M330="",FALSE,TRUE)</f>
        <v>0</v>
      </c>
      <c r="AN330">
        <f>OR(AND(IF(metadata!N330="",FALSE,TRUE),OR(exact(metadata!N330,"missing: not collected"),exact(metadata!N330,"missing: not provided"),exact(metadata!N330,"missing: restricted access"))),AND(IF(metadata!N330="",FALSE,TRUE),OR(exact(metadata!N330,"TRUE"),exact(metadata!N330,"FALSE"))))</f>
        <v>0</v>
      </c>
      <c r="AO330">
        <f>IF(metadata!O330="",FALSE,TRUE)</f>
        <v>0</v>
      </c>
      <c r="AP330">
        <f>OR(AND(IF(metadata!P330="",FALSE,TRUE),OR(exact(metadata!P330,"missing: not collected"),exact(metadata!P330,"missing: not provided"))),AND(IF(metadata!P330="",FALSE,IF(ISERROR(INT(metadata!P330)),FALSE,INT(metadata!P330)=metadata!P330)),metadata!P330&gt;0))</f>
        <v>0</v>
      </c>
      <c r="AQ330">
        <f>IF(metadata!Q330="",FALSE,TRUE)</f>
        <v>0</v>
      </c>
    </row>
    <row r="331" spans="1:43">
      <c r="A331" s="5">
        <f>IF(B331=" "," ",HYPERLINK(CONCATENATE("#metadata!",ADDRESS(INDEX($W$2:$W$1001,MATCH(ROWS($U$2:U331),$U$2:$U$1001,0),0),1)),INDEX($Z$2:$Z$1001,MATCH(ROWS($U$2:U331),$U$2:$U$1001,0),0)))</f>
        <v>0</v>
      </c>
      <c r="B331" s="4">
        <f>IF(OR(INDEX($V$2:$V$1001,MATCH(ROWS($U$2:U331),$U$2:$U$1001,0),1)&gt;=100000,INDEX($AB$1005:$AQ$1005,1,MATCH(COLUMNS($AB$1006:AB1006),$AB$1006:$AQ$1006,0))&gt;=100000), " ",IF(INDEX($AB$2:$AQ$1001,MATCH(ROWS($U$2:U331),$U$2:$U$1001,0),MATCH(COLUMNS($AB$1006:AB1006),$AB$1006:$AQ$1006,0)), HYPERLINK("#",""), HYPERLINK(CONCATENATE("#metadata!", ADDRESS(INDEX($W$2:$W$1001,MATCH(ROWS($U$2:U331),$U$2:$U$1001,0),0), INDEX($AB$1004:$AQ$1004,1,MATCH(COLUMNS($AB$1006:AB1006),$AB$1006:$AQ$1006,0)))),"Fix")))</f>
        <v>0</v>
      </c>
      <c r="C331" s="4">
        <f>IF(OR(INDEX($V$2:$V$1001,MATCH(ROWS($U$2:U331),$U$2:$U$1001,0),1)&gt;=100000,INDEX($AB$1005:$AQ$1005,1,MATCH(COLUMNS($AB$1006:AC1006),$AB$1006:$AQ$1006,0))&gt;=100000), " ",IF(INDEX($AB$2:$AQ$1001,MATCH(ROWS($U$2:U331),$U$2:$U$1001,0),MATCH(COLUMNS($AB$1006:AC1006),$AB$1006:$AQ$1006,0)), HYPERLINK("#",""), HYPERLINK(CONCATENATE("#metadata!", ADDRESS(INDEX($W$2:$W$1001,MATCH(ROWS($U$2:U331),$U$2:$U$1001,0),0), INDEX($AB$1004:$AQ$1004,1,MATCH(COLUMNS($AB$1006:AC1006),$AB$1006:$AQ$1006,0)))),"Fix")))</f>
        <v>0</v>
      </c>
      <c r="D331" s="4">
        <f>IF(OR(INDEX($V$2:$V$1001,MATCH(ROWS($U$2:U331),$U$2:$U$1001,0),1)&gt;=100000,INDEX($AB$1005:$AQ$1005,1,MATCH(COLUMNS($AB$1006:AD1006),$AB$1006:$AQ$1006,0))&gt;=100000), " ",IF(INDEX($AB$2:$AQ$1001,MATCH(ROWS($U$2:U331),$U$2:$U$1001,0),MATCH(COLUMNS($AB$1006:AD1006),$AB$1006:$AQ$1006,0)), HYPERLINK("#",""), HYPERLINK(CONCATENATE("#metadata!", ADDRESS(INDEX($W$2:$W$1001,MATCH(ROWS($U$2:U331),$U$2:$U$1001,0),0), INDEX($AB$1004:$AQ$1004,1,MATCH(COLUMNS($AB$1006:AD1006),$AB$1006:$AQ$1006,0)))),"Fix")))</f>
        <v>0</v>
      </c>
      <c r="E331" s="4">
        <f>IF(OR(INDEX($V$2:$V$1001,MATCH(ROWS($U$2:U331),$U$2:$U$1001,0),1)&gt;=100000,INDEX($AB$1005:$AQ$1005,1,MATCH(COLUMNS($AB$1006:AE1006),$AB$1006:$AQ$1006,0))&gt;=100000), " ",IF(INDEX($AB$2:$AQ$1001,MATCH(ROWS($U$2:U331),$U$2:$U$1001,0),MATCH(COLUMNS($AB$1006:AE1006),$AB$1006:$AQ$1006,0)), HYPERLINK("#",""), HYPERLINK(CONCATENATE("#metadata!", ADDRESS(INDEX($W$2:$W$1001,MATCH(ROWS($U$2:U331),$U$2:$U$1001,0),0), INDEX($AB$1004:$AQ$1004,1,MATCH(COLUMNS($AB$1006:AE1006),$AB$1006:$AQ$1006,0)))),"Fix")))</f>
        <v>0</v>
      </c>
      <c r="F331" s="4">
        <f>IF(OR(INDEX($V$2:$V$1001,MATCH(ROWS($U$2:U331),$U$2:$U$1001,0),1)&gt;=100000,INDEX($AB$1005:$AQ$1005,1,MATCH(COLUMNS($AB$1006:AF1006),$AB$1006:$AQ$1006,0))&gt;=100000), " ",IF(INDEX($AB$2:$AQ$1001,MATCH(ROWS($U$2:U331),$U$2:$U$1001,0),MATCH(COLUMNS($AB$1006:AF1006),$AB$1006:$AQ$1006,0)), HYPERLINK("#",""), HYPERLINK(CONCATENATE("#metadata!", ADDRESS(INDEX($W$2:$W$1001,MATCH(ROWS($U$2:U331),$U$2:$U$1001,0),0), INDEX($AB$1004:$AQ$1004,1,MATCH(COLUMNS($AB$1006:AF1006),$AB$1006:$AQ$1006,0)))),"Fix")))</f>
        <v>0</v>
      </c>
      <c r="G331" s="4">
        <f>IF(OR(INDEX($V$2:$V$1001,MATCH(ROWS($U$2:U331),$U$2:$U$1001,0),1)&gt;=100000,INDEX($AB$1005:$AQ$1005,1,MATCH(COLUMNS($AB$1006:AG1006),$AB$1006:$AQ$1006,0))&gt;=100000), " ",IF(INDEX($AB$2:$AQ$1001,MATCH(ROWS($U$2:U331),$U$2:$U$1001,0),MATCH(COLUMNS($AB$1006:AG1006),$AB$1006:$AQ$1006,0)), HYPERLINK("#",""), HYPERLINK(CONCATENATE("#metadata!", ADDRESS(INDEX($W$2:$W$1001,MATCH(ROWS($U$2:U331),$U$2:$U$1001,0),0), INDEX($AB$1004:$AQ$1004,1,MATCH(COLUMNS($AB$1006:AG1006),$AB$1006:$AQ$1006,0)))),"Fix")))</f>
        <v>0</v>
      </c>
      <c r="H331" s="4">
        <f>IF(OR(INDEX($V$2:$V$1001,MATCH(ROWS($U$2:U331),$U$2:$U$1001,0),1)&gt;=100000,INDEX($AB$1005:$AQ$1005,1,MATCH(COLUMNS($AB$1006:AH1006),$AB$1006:$AQ$1006,0))&gt;=100000), " ",IF(INDEX($AB$2:$AQ$1001,MATCH(ROWS($U$2:U331),$U$2:$U$1001,0),MATCH(COLUMNS($AB$1006:AH1006),$AB$1006:$AQ$1006,0)), HYPERLINK("#",""), HYPERLINK(CONCATENATE("#metadata!", ADDRESS(INDEX($W$2:$W$1001,MATCH(ROWS($U$2:U331),$U$2:$U$1001,0),0), INDEX($AB$1004:$AQ$1004,1,MATCH(COLUMNS($AB$1006:AH1006),$AB$1006:$AQ$1006,0)))),"Fix")))</f>
        <v>0</v>
      </c>
      <c r="I331" s="4">
        <f>IF(OR(INDEX($V$2:$V$1001,MATCH(ROWS($U$2:U331),$U$2:$U$1001,0),1)&gt;=100000,INDEX($AB$1005:$AQ$1005,1,MATCH(COLUMNS($AB$1006:AI1006),$AB$1006:$AQ$1006,0))&gt;=100000), " ",IF(INDEX($AB$2:$AQ$1001,MATCH(ROWS($U$2:U331),$U$2:$U$1001,0),MATCH(COLUMNS($AB$1006:AI1006),$AB$1006:$AQ$1006,0)), HYPERLINK("#",""), HYPERLINK(CONCATENATE("#metadata!", ADDRESS(INDEX($W$2:$W$1001,MATCH(ROWS($U$2:U331),$U$2:$U$1001,0),0), INDEX($AB$1004:$AQ$1004,1,MATCH(COLUMNS($AB$1006:AI1006),$AB$1006:$AQ$1006,0)))),"Fix")))</f>
        <v>0</v>
      </c>
      <c r="J331" s="4">
        <f>IF(OR(INDEX($V$2:$V$1001,MATCH(ROWS($U$2:U331),$U$2:$U$1001,0),1)&gt;=100000,INDEX($AB$1005:$AQ$1005,1,MATCH(COLUMNS($AB$1006:AJ1006),$AB$1006:$AQ$1006,0))&gt;=100000), " ",IF(INDEX($AB$2:$AQ$1001,MATCH(ROWS($U$2:U331),$U$2:$U$1001,0),MATCH(COLUMNS($AB$1006:AJ1006),$AB$1006:$AQ$1006,0)), HYPERLINK("#",""), HYPERLINK(CONCATENATE("#metadata!", ADDRESS(INDEX($W$2:$W$1001,MATCH(ROWS($U$2:U331),$U$2:$U$1001,0),0), INDEX($AB$1004:$AQ$1004,1,MATCH(COLUMNS($AB$1006:AJ1006),$AB$1006:$AQ$1006,0)))),"Fix")))</f>
        <v>0</v>
      </c>
      <c r="K331" s="4">
        <f>IF(OR(INDEX($V$2:$V$1001,MATCH(ROWS($U$2:U331),$U$2:$U$1001,0),1)&gt;=100000,INDEX($AB$1005:$AQ$1005,1,MATCH(COLUMNS($AB$1006:AK1006),$AB$1006:$AQ$1006,0))&gt;=100000), " ",IF(INDEX($AB$2:$AQ$1001,MATCH(ROWS($U$2:U331),$U$2:$U$1001,0),MATCH(COLUMNS($AB$1006:AK1006),$AB$1006:$AQ$1006,0)), HYPERLINK("#",""), HYPERLINK(CONCATENATE("#metadata!", ADDRESS(INDEX($W$2:$W$1001,MATCH(ROWS($U$2:U331),$U$2:$U$1001,0),0), INDEX($AB$1004:$AQ$1004,1,MATCH(COLUMNS($AB$1006:AK1006),$AB$1006:$AQ$1006,0)))),"Fix")))</f>
        <v>0</v>
      </c>
      <c r="L331" s="4">
        <f>IF(OR(INDEX($V$2:$V$1001,MATCH(ROWS($U$2:U331),$U$2:$U$1001,0),1)&gt;=100000,INDEX($AB$1005:$AQ$1005,1,MATCH(COLUMNS($AB$1006:AL1006),$AB$1006:$AQ$1006,0))&gt;=100000), " ",IF(INDEX($AB$2:$AQ$1001,MATCH(ROWS($U$2:U331),$U$2:$U$1001,0),MATCH(COLUMNS($AB$1006:AL1006),$AB$1006:$AQ$1006,0)), HYPERLINK("#",""), HYPERLINK(CONCATENATE("#metadata!", ADDRESS(INDEX($W$2:$W$1001,MATCH(ROWS($U$2:U331),$U$2:$U$1001,0),0), INDEX($AB$1004:$AQ$1004,1,MATCH(COLUMNS($AB$1006:AL1006),$AB$1006:$AQ$1006,0)))),"Fix")))</f>
        <v>0</v>
      </c>
      <c r="M331" s="4">
        <f>IF(OR(INDEX($V$2:$V$1001,MATCH(ROWS($U$2:U331),$U$2:$U$1001,0),1)&gt;=100000,INDEX($AB$1005:$AQ$1005,1,MATCH(COLUMNS($AB$1006:AM1006),$AB$1006:$AQ$1006,0))&gt;=100000), " ",IF(INDEX($AB$2:$AQ$1001,MATCH(ROWS($U$2:U331),$U$2:$U$1001,0),MATCH(COLUMNS($AB$1006:AM1006),$AB$1006:$AQ$1006,0)), HYPERLINK("#",""), HYPERLINK(CONCATENATE("#metadata!", ADDRESS(INDEX($W$2:$W$1001,MATCH(ROWS($U$2:U331),$U$2:$U$1001,0),0), INDEX($AB$1004:$AQ$1004,1,MATCH(COLUMNS($AB$1006:AM1006),$AB$1006:$AQ$1006,0)))),"Fix")))</f>
        <v>0</v>
      </c>
      <c r="N331" s="4">
        <f>IF(OR(INDEX($V$2:$V$1001,MATCH(ROWS($U$2:U331),$U$2:$U$1001,0),1)&gt;=100000,INDEX($AB$1005:$AQ$1005,1,MATCH(COLUMNS($AB$1006:AN1006),$AB$1006:$AQ$1006,0))&gt;=100000), " ",IF(INDEX($AB$2:$AQ$1001,MATCH(ROWS($U$2:U331),$U$2:$U$1001,0),MATCH(COLUMNS($AB$1006:AN1006),$AB$1006:$AQ$1006,0)), HYPERLINK("#",""), HYPERLINK(CONCATENATE("#metadata!", ADDRESS(INDEX($W$2:$W$1001,MATCH(ROWS($U$2:U331),$U$2:$U$1001,0),0), INDEX($AB$1004:$AQ$1004,1,MATCH(COLUMNS($AB$1006:AN1006),$AB$1006:$AQ$1006,0)))),"Fix")))</f>
        <v>0</v>
      </c>
      <c r="O331" s="4">
        <f>IF(OR(INDEX($V$2:$V$1001,MATCH(ROWS($U$2:U331),$U$2:$U$1001,0),1)&gt;=100000,INDEX($AB$1005:$AQ$1005,1,MATCH(COLUMNS($AB$1006:AO1006),$AB$1006:$AQ$1006,0))&gt;=100000), " ",IF(INDEX($AB$2:$AQ$1001,MATCH(ROWS($U$2:U331),$U$2:$U$1001,0),MATCH(COLUMNS($AB$1006:AO1006),$AB$1006:$AQ$1006,0)), HYPERLINK("#",""), HYPERLINK(CONCATENATE("#metadata!", ADDRESS(INDEX($W$2:$W$1001,MATCH(ROWS($U$2:U331),$U$2:$U$1001,0),0), INDEX($AB$1004:$AQ$1004,1,MATCH(COLUMNS($AB$1006:AO1006),$AB$1006:$AQ$1006,0)))),"Fix")))</f>
        <v>0</v>
      </c>
      <c r="P331" s="4">
        <f>IF(OR(INDEX($V$2:$V$1001,MATCH(ROWS($U$2:U331),$U$2:$U$1001,0),1)&gt;=100000,INDEX($AB$1005:$AQ$1005,1,MATCH(COLUMNS($AB$1006:AP1006),$AB$1006:$AQ$1006,0))&gt;=100000), " ",IF(INDEX($AB$2:$AQ$1001,MATCH(ROWS($U$2:U331),$U$2:$U$1001,0),MATCH(COLUMNS($AB$1006:AP1006),$AB$1006:$AQ$1006,0)), HYPERLINK("#",""), HYPERLINK(CONCATENATE("#metadata!", ADDRESS(INDEX($W$2:$W$1001,MATCH(ROWS($U$2:U331),$U$2:$U$1001,0),0), INDEX($AB$1004:$AQ$1004,1,MATCH(COLUMNS($AB$1006:AP1006),$AB$1006:$AQ$1006,0)))),"Fix")))</f>
        <v>0</v>
      </c>
      <c r="Q331" s="4">
        <f>IF(OR(INDEX($V$2:$V$1001,MATCH(ROWS($U$2:U331),$U$2:$U$1001,0),1)&gt;=100000,INDEX($AB$1005:$AQ$1005,1,MATCH(COLUMNS($AB$1006:AQ1006),$AB$1006:$AQ$1006,0))&gt;=100000), " ",IF(INDEX($AB$2:$AQ$1001,MATCH(ROWS($U$2:U331),$U$2:$U$1001,0),MATCH(COLUMNS($AB$1006:AQ1006),$AB$1006:$AQ$1006,0)), HYPERLINK("#",""), HYPERLINK(CONCATENATE("#metadata!", ADDRESS(INDEX($W$2:$W$1001,MATCH(ROWS($U$2:U331),$U$2:$U$1001,0),0), INDEX($AB$1004:$AQ$1004,1,MATCH(COLUMNS($AB$1006:AQ1006),$AB$1006:$AQ$1006,0)))),"Fix")))</f>
        <v>0</v>
      </c>
      <c r="U331">
        <v>0</v>
      </c>
      <c r="V331">
        <v>0</v>
      </c>
      <c r="W331">
        <v>0</v>
      </c>
      <c r="X331">
        <f>IF(Y331,TRUE,AND(AB331:AQ331))</f>
        <v>0</v>
      </c>
      <c r="Y331">
        <f>COUNTBLANK(metadata!B331:Q331)=COLUMNS(metadata!B331:Q331)</f>
        <v>0</v>
      </c>
      <c r="Z331">
        <v>0</v>
      </c>
      <c r="AB331">
        <f>AND(IF(metadata!B331="",FALSE,TRUE),COUNTIF(metadata!B:B, metadata!B331) = 1,NOT(ISERROR(SUMPRODUCT(SEARCH(MID(metadata!B331,ROW(INDIRECT("1:"&amp;LEN(metadata!B331))), 1),"0123456789abcdefghijklmnopqrstuvwxyzABCDEFGHIJKLMNOPQRSTUVWXYZ.")))))</f>
        <v>0</v>
      </c>
      <c r="AC331">
        <f>OR(AND(IF(metadata!C331="",FALSE,TRUE),OR(exact(metadata!C331,"missing: not collected"),exact(metadata!C331,"missing: not provided"),exact(metadata!C331,"missing: restricted access"))),AND(IF(metadata!C331="",FALSE,TRUE),AND(AND(IFERROR(INT(LEFT(metadata!C331,4))&gt;1900,FALSE),IFERROR(INT(LEFT(metadata!C331,4))&lt;=YEAR(NOW()),FALSE)), OR(MID(metadata!C331,5,1)="", AND(AND(MID(metadata!C331,5,1)="-",IFERROR(INT(MID(metadata!C331,6,1))&gt;=0,FALSE),IFERROR(INT(MID(metadata!C331,6,1))&lt;=1,FALSE),NOT(MID(metadata!C331,7,1)=""),IFERROR(INT(MID(metadata!C331,6,2))&gt;=1,FALSE),IFERROR(INT(MID(metadata!C331,6,2))&lt;=12,FALSE)), OR(MID(metadata!C331,8,1)="", AND(AND(MID(metadata!C331,8,1)="-",IFERROR(INT(MID(metadata!C331,9,1))&gt;=0,FALSE),IFERROR(INT(MID(metadata!C331,9,1))&lt;=3,FALSE),NOT(MID(metadata!C331,10,1)=""),IFERROR(INT(MID(metadata!C331,9,2))&gt;=1,FALSE),IFERROR(INT(MID(metadata!C331,9,2))&lt;=31,FALSE)), OR(MID(metadata!C331,11,1)="", AND(AND(MID(metadata!C331,11,1)=" ",IFERROR(INT(MID(metadata!C331,12,1))&gt;=0,FALSE),IFERROR(INT(MID(metadata!C331,12,1))&lt;=2,FALSE),NOT(MID(metadata!C331,13,1)=""),IFERROR(INT(MID(metadata!C331,12,2))&gt;=0,FALSE),IFERROR(INT(MID(metadata!C331,12,2))&lt;=23,FALSE)), OR(MID(metadata!C331,14,1)="", AND(AND(MID(metadata!C331,14,1)=":",IFERROR(INT(MID(metadata!C331,15,1))&gt;=0,FALSE),IFERROR(INT(MID(metadata!C331,15,1))&lt;=5,FALSE),NOT(MID(metadata!C331,16,1)=""),IFERROR(INT(MID(metadata!C331,15,2))&gt;=0,FALSE),IFERROR(INT(MID(metadata!C331,15,2))&lt;=59,FALSE)), OR(MID(metadata!C331,17,1)="", AND(AND(MID(metadata!C331,17,1)=":",IFERROR(INT(MID(metadata!C331,18,1))&gt;=0,FALSE),IFERROR(INT(MID(metadata!C331,18,1))&lt;=5,FALSE),NOT(MID(metadata!C331,19,1)=""),IFERROR(INT(MID(metadata!C331,18,2))&gt;=0,FALSE),IFERROR(INT(MID(metadata!C331,18,2))&lt;=59,FALSE)), LEN(metadata!C331)&lt;=19)))))))))))))</f>
        <v>0</v>
      </c>
      <c r="AD331">
        <f>IF(metadata!D331="",FALSE,TRUE)</f>
        <v>0</v>
      </c>
      <c r="AE331">
        <f>OR(AND(IF(metadata!E331="",FALSE,TRUE),OR(exact(metadata!E331,"missing: not collected"),exact(metadata!E331,"missing: not provided"))),AND(IF(metadata!E331="",FALSE,TRUE),OR(exact(metadata!E331,"TRUE"),exact(metadata!E331,"FALSE"))))</f>
        <v>0</v>
      </c>
      <c r="AF331">
        <f>IF(metadata!F331="",FALSE,TRUE)</f>
        <v>0</v>
      </c>
      <c r="AG331">
        <f>IF(metadata!G331="",FALSE,TRUE)</f>
        <v>0</v>
      </c>
      <c r="AH331">
        <f>IF(metadata!H331="",FALSE,TRUE)</f>
        <v>0</v>
      </c>
      <c r="AI331">
        <f>OR(AND(IF(metadata!I331="",FALSE,TRUE),OR(exact(metadata!I331,"missing: not collected"),exact(metadata!I331,"missing: not provided"),exact(metadata!I331,"missing: restricted access"))),AND(IF(metadata!I331="",FALSE,TRUE),OR(exact(metadata!I331,"air"),exact(metadata!I331,"built environment"),exact(metadata!I331,"host-associated"),exact(metadata!I331,"human-associated"),exact(metadata!I331,"human-skin"),exact(metadata!I331,"human-oral"),exact(metadata!I331,"human-gut"),exact(metadata!I331,"human-vaginal"),exact(metadata!I331,"microbial mat/biofilm"),exact(metadata!I331,"misc environment"),exact(metadata!I331,"plant-associated"),exact(metadata!I331,"sediment"),exact(metadata!I331,"soil"),exact(metadata!I331,"wastewater/sludge"),exact(metadata!I331,"water"))))</f>
        <v>0</v>
      </c>
      <c r="AJ331">
        <f>IF(metadata!J331="",FALSE,TRUE)</f>
        <v>0</v>
      </c>
      <c r="AK331">
        <f>OR(AND(IF(metadata!K331="",FALSE,TRUE),OR(exact(metadata!K331,"missing: not collected"),exact(metadata!K331,"missing: not provided"),exact(metadata!K331,"missing: restricted access"))),AND(IF(metadata!K331="",FALSE,ISNUMBER(VALUE(metadata!K331))),metadata!K331&gt;=-90.00,metadata!K331&lt;=90.00))</f>
        <v>0</v>
      </c>
      <c r="AL331">
        <f>OR(AND(IF(metadata!L331="",FALSE,TRUE),OR(exact(metadata!L331,"missing: not collected"),exact(metadata!L331,"missing: not provided"),exact(metadata!L331,"missing: restricted access"))),AND(IF(metadata!L331="",FALSE,ISNUMBER(VALUE(metadata!L331))),metadata!L331&gt;=-180.00,metadata!L331&lt;=180.00))</f>
        <v>0</v>
      </c>
      <c r="AM331">
        <f>IF(metadata!M331="",FALSE,TRUE)</f>
        <v>0</v>
      </c>
      <c r="AN331">
        <f>OR(AND(IF(metadata!N331="",FALSE,TRUE),OR(exact(metadata!N331,"missing: not collected"),exact(metadata!N331,"missing: not provided"),exact(metadata!N331,"missing: restricted access"))),AND(IF(metadata!N331="",FALSE,TRUE),OR(exact(metadata!N331,"TRUE"),exact(metadata!N331,"FALSE"))))</f>
        <v>0</v>
      </c>
      <c r="AO331">
        <f>IF(metadata!O331="",FALSE,TRUE)</f>
        <v>0</v>
      </c>
      <c r="AP331">
        <f>OR(AND(IF(metadata!P331="",FALSE,TRUE),OR(exact(metadata!P331,"missing: not collected"),exact(metadata!P331,"missing: not provided"))),AND(IF(metadata!P331="",FALSE,IF(ISERROR(INT(metadata!P331)),FALSE,INT(metadata!P331)=metadata!P331)),metadata!P331&gt;0))</f>
        <v>0</v>
      </c>
      <c r="AQ331">
        <f>IF(metadata!Q331="",FALSE,TRUE)</f>
        <v>0</v>
      </c>
    </row>
    <row r="332" spans="1:43">
      <c r="A332" s="5">
        <f>IF(B332=" "," ",HYPERLINK(CONCATENATE("#metadata!",ADDRESS(INDEX($W$2:$W$1001,MATCH(ROWS($U$2:U332),$U$2:$U$1001,0),0),1)),INDEX($Z$2:$Z$1001,MATCH(ROWS($U$2:U332),$U$2:$U$1001,0),0)))</f>
        <v>0</v>
      </c>
      <c r="B332" s="4">
        <f>IF(OR(INDEX($V$2:$V$1001,MATCH(ROWS($U$2:U332),$U$2:$U$1001,0),1)&gt;=100000,INDEX($AB$1005:$AQ$1005,1,MATCH(COLUMNS($AB$1006:AB1006),$AB$1006:$AQ$1006,0))&gt;=100000), " ",IF(INDEX($AB$2:$AQ$1001,MATCH(ROWS($U$2:U332),$U$2:$U$1001,0),MATCH(COLUMNS($AB$1006:AB1006),$AB$1006:$AQ$1006,0)), HYPERLINK("#",""), HYPERLINK(CONCATENATE("#metadata!", ADDRESS(INDEX($W$2:$W$1001,MATCH(ROWS($U$2:U332),$U$2:$U$1001,0),0), INDEX($AB$1004:$AQ$1004,1,MATCH(COLUMNS($AB$1006:AB1006),$AB$1006:$AQ$1006,0)))),"Fix")))</f>
        <v>0</v>
      </c>
      <c r="C332" s="4">
        <f>IF(OR(INDEX($V$2:$V$1001,MATCH(ROWS($U$2:U332),$U$2:$U$1001,0),1)&gt;=100000,INDEX($AB$1005:$AQ$1005,1,MATCH(COLUMNS($AB$1006:AC1006),$AB$1006:$AQ$1006,0))&gt;=100000), " ",IF(INDEX($AB$2:$AQ$1001,MATCH(ROWS($U$2:U332),$U$2:$U$1001,0),MATCH(COLUMNS($AB$1006:AC1006),$AB$1006:$AQ$1006,0)), HYPERLINK("#",""), HYPERLINK(CONCATENATE("#metadata!", ADDRESS(INDEX($W$2:$W$1001,MATCH(ROWS($U$2:U332),$U$2:$U$1001,0),0), INDEX($AB$1004:$AQ$1004,1,MATCH(COLUMNS($AB$1006:AC1006),$AB$1006:$AQ$1006,0)))),"Fix")))</f>
        <v>0</v>
      </c>
      <c r="D332" s="4">
        <f>IF(OR(INDEX($V$2:$V$1001,MATCH(ROWS($U$2:U332),$U$2:$U$1001,0),1)&gt;=100000,INDEX($AB$1005:$AQ$1005,1,MATCH(COLUMNS($AB$1006:AD1006),$AB$1006:$AQ$1006,0))&gt;=100000), " ",IF(INDEX($AB$2:$AQ$1001,MATCH(ROWS($U$2:U332),$U$2:$U$1001,0),MATCH(COLUMNS($AB$1006:AD1006),$AB$1006:$AQ$1006,0)), HYPERLINK("#",""), HYPERLINK(CONCATENATE("#metadata!", ADDRESS(INDEX($W$2:$W$1001,MATCH(ROWS($U$2:U332),$U$2:$U$1001,0),0), INDEX($AB$1004:$AQ$1004,1,MATCH(COLUMNS($AB$1006:AD1006),$AB$1006:$AQ$1006,0)))),"Fix")))</f>
        <v>0</v>
      </c>
      <c r="E332" s="4">
        <f>IF(OR(INDEX($V$2:$V$1001,MATCH(ROWS($U$2:U332),$U$2:$U$1001,0),1)&gt;=100000,INDEX($AB$1005:$AQ$1005,1,MATCH(COLUMNS($AB$1006:AE1006),$AB$1006:$AQ$1006,0))&gt;=100000), " ",IF(INDEX($AB$2:$AQ$1001,MATCH(ROWS($U$2:U332),$U$2:$U$1001,0),MATCH(COLUMNS($AB$1006:AE1006),$AB$1006:$AQ$1006,0)), HYPERLINK("#",""), HYPERLINK(CONCATENATE("#metadata!", ADDRESS(INDEX($W$2:$W$1001,MATCH(ROWS($U$2:U332),$U$2:$U$1001,0),0), INDEX($AB$1004:$AQ$1004,1,MATCH(COLUMNS($AB$1006:AE1006),$AB$1006:$AQ$1006,0)))),"Fix")))</f>
        <v>0</v>
      </c>
      <c r="F332" s="4">
        <f>IF(OR(INDEX($V$2:$V$1001,MATCH(ROWS($U$2:U332),$U$2:$U$1001,0),1)&gt;=100000,INDEX($AB$1005:$AQ$1005,1,MATCH(COLUMNS($AB$1006:AF1006),$AB$1006:$AQ$1006,0))&gt;=100000), " ",IF(INDEX($AB$2:$AQ$1001,MATCH(ROWS($U$2:U332),$U$2:$U$1001,0),MATCH(COLUMNS($AB$1006:AF1006),$AB$1006:$AQ$1006,0)), HYPERLINK("#",""), HYPERLINK(CONCATENATE("#metadata!", ADDRESS(INDEX($W$2:$W$1001,MATCH(ROWS($U$2:U332),$U$2:$U$1001,0),0), INDEX($AB$1004:$AQ$1004,1,MATCH(COLUMNS($AB$1006:AF1006),$AB$1006:$AQ$1006,0)))),"Fix")))</f>
        <v>0</v>
      </c>
      <c r="G332" s="4">
        <f>IF(OR(INDEX($V$2:$V$1001,MATCH(ROWS($U$2:U332),$U$2:$U$1001,0),1)&gt;=100000,INDEX($AB$1005:$AQ$1005,1,MATCH(COLUMNS($AB$1006:AG1006),$AB$1006:$AQ$1006,0))&gt;=100000), " ",IF(INDEX($AB$2:$AQ$1001,MATCH(ROWS($U$2:U332),$U$2:$U$1001,0),MATCH(COLUMNS($AB$1006:AG1006),$AB$1006:$AQ$1006,0)), HYPERLINK("#",""), HYPERLINK(CONCATENATE("#metadata!", ADDRESS(INDEX($W$2:$W$1001,MATCH(ROWS($U$2:U332),$U$2:$U$1001,0),0), INDEX($AB$1004:$AQ$1004,1,MATCH(COLUMNS($AB$1006:AG1006),$AB$1006:$AQ$1006,0)))),"Fix")))</f>
        <v>0</v>
      </c>
      <c r="H332" s="4">
        <f>IF(OR(INDEX($V$2:$V$1001,MATCH(ROWS($U$2:U332),$U$2:$U$1001,0),1)&gt;=100000,INDEX($AB$1005:$AQ$1005,1,MATCH(COLUMNS($AB$1006:AH1006),$AB$1006:$AQ$1006,0))&gt;=100000), " ",IF(INDEX($AB$2:$AQ$1001,MATCH(ROWS($U$2:U332),$U$2:$U$1001,0),MATCH(COLUMNS($AB$1006:AH1006),$AB$1006:$AQ$1006,0)), HYPERLINK("#",""), HYPERLINK(CONCATENATE("#metadata!", ADDRESS(INDEX($W$2:$W$1001,MATCH(ROWS($U$2:U332),$U$2:$U$1001,0),0), INDEX($AB$1004:$AQ$1004,1,MATCH(COLUMNS($AB$1006:AH1006),$AB$1006:$AQ$1006,0)))),"Fix")))</f>
        <v>0</v>
      </c>
      <c r="I332" s="4">
        <f>IF(OR(INDEX($V$2:$V$1001,MATCH(ROWS($U$2:U332),$U$2:$U$1001,0),1)&gt;=100000,INDEX($AB$1005:$AQ$1005,1,MATCH(COLUMNS($AB$1006:AI1006),$AB$1006:$AQ$1006,0))&gt;=100000), " ",IF(INDEX($AB$2:$AQ$1001,MATCH(ROWS($U$2:U332),$U$2:$U$1001,0),MATCH(COLUMNS($AB$1006:AI1006),$AB$1006:$AQ$1006,0)), HYPERLINK("#",""), HYPERLINK(CONCATENATE("#metadata!", ADDRESS(INDEX($W$2:$W$1001,MATCH(ROWS($U$2:U332),$U$2:$U$1001,0),0), INDEX($AB$1004:$AQ$1004,1,MATCH(COLUMNS($AB$1006:AI1006),$AB$1006:$AQ$1006,0)))),"Fix")))</f>
        <v>0</v>
      </c>
      <c r="J332" s="4">
        <f>IF(OR(INDEX($V$2:$V$1001,MATCH(ROWS($U$2:U332),$U$2:$U$1001,0),1)&gt;=100000,INDEX($AB$1005:$AQ$1005,1,MATCH(COLUMNS($AB$1006:AJ1006),$AB$1006:$AQ$1006,0))&gt;=100000), " ",IF(INDEX($AB$2:$AQ$1001,MATCH(ROWS($U$2:U332),$U$2:$U$1001,0),MATCH(COLUMNS($AB$1006:AJ1006),$AB$1006:$AQ$1006,0)), HYPERLINK("#",""), HYPERLINK(CONCATENATE("#metadata!", ADDRESS(INDEX($W$2:$W$1001,MATCH(ROWS($U$2:U332),$U$2:$U$1001,0),0), INDEX($AB$1004:$AQ$1004,1,MATCH(COLUMNS($AB$1006:AJ1006),$AB$1006:$AQ$1006,0)))),"Fix")))</f>
        <v>0</v>
      </c>
      <c r="K332" s="4">
        <f>IF(OR(INDEX($V$2:$V$1001,MATCH(ROWS($U$2:U332),$U$2:$U$1001,0),1)&gt;=100000,INDEX($AB$1005:$AQ$1005,1,MATCH(COLUMNS($AB$1006:AK1006),$AB$1006:$AQ$1006,0))&gt;=100000), " ",IF(INDEX($AB$2:$AQ$1001,MATCH(ROWS($U$2:U332),$U$2:$U$1001,0),MATCH(COLUMNS($AB$1006:AK1006),$AB$1006:$AQ$1006,0)), HYPERLINK("#",""), HYPERLINK(CONCATENATE("#metadata!", ADDRESS(INDEX($W$2:$W$1001,MATCH(ROWS($U$2:U332),$U$2:$U$1001,0),0), INDEX($AB$1004:$AQ$1004,1,MATCH(COLUMNS($AB$1006:AK1006),$AB$1006:$AQ$1006,0)))),"Fix")))</f>
        <v>0</v>
      </c>
      <c r="L332" s="4">
        <f>IF(OR(INDEX($V$2:$V$1001,MATCH(ROWS($U$2:U332),$U$2:$U$1001,0),1)&gt;=100000,INDEX($AB$1005:$AQ$1005,1,MATCH(COLUMNS($AB$1006:AL1006),$AB$1006:$AQ$1006,0))&gt;=100000), " ",IF(INDEX($AB$2:$AQ$1001,MATCH(ROWS($U$2:U332),$U$2:$U$1001,0),MATCH(COLUMNS($AB$1006:AL1006),$AB$1006:$AQ$1006,0)), HYPERLINK("#",""), HYPERLINK(CONCATENATE("#metadata!", ADDRESS(INDEX($W$2:$W$1001,MATCH(ROWS($U$2:U332),$U$2:$U$1001,0),0), INDEX($AB$1004:$AQ$1004,1,MATCH(COLUMNS($AB$1006:AL1006),$AB$1006:$AQ$1006,0)))),"Fix")))</f>
        <v>0</v>
      </c>
      <c r="M332" s="4">
        <f>IF(OR(INDEX($V$2:$V$1001,MATCH(ROWS($U$2:U332),$U$2:$U$1001,0),1)&gt;=100000,INDEX($AB$1005:$AQ$1005,1,MATCH(COLUMNS($AB$1006:AM1006),$AB$1006:$AQ$1006,0))&gt;=100000), " ",IF(INDEX($AB$2:$AQ$1001,MATCH(ROWS($U$2:U332),$U$2:$U$1001,0),MATCH(COLUMNS($AB$1006:AM1006),$AB$1006:$AQ$1006,0)), HYPERLINK("#",""), HYPERLINK(CONCATENATE("#metadata!", ADDRESS(INDEX($W$2:$W$1001,MATCH(ROWS($U$2:U332),$U$2:$U$1001,0),0), INDEX($AB$1004:$AQ$1004,1,MATCH(COLUMNS($AB$1006:AM1006),$AB$1006:$AQ$1006,0)))),"Fix")))</f>
        <v>0</v>
      </c>
      <c r="N332" s="4">
        <f>IF(OR(INDEX($V$2:$V$1001,MATCH(ROWS($U$2:U332),$U$2:$U$1001,0),1)&gt;=100000,INDEX($AB$1005:$AQ$1005,1,MATCH(COLUMNS($AB$1006:AN1006),$AB$1006:$AQ$1006,0))&gt;=100000), " ",IF(INDEX($AB$2:$AQ$1001,MATCH(ROWS($U$2:U332),$U$2:$U$1001,0),MATCH(COLUMNS($AB$1006:AN1006),$AB$1006:$AQ$1006,0)), HYPERLINK("#",""), HYPERLINK(CONCATENATE("#metadata!", ADDRESS(INDEX($W$2:$W$1001,MATCH(ROWS($U$2:U332),$U$2:$U$1001,0),0), INDEX($AB$1004:$AQ$1004,1,MATCH(COLUMNS($AB$1006:AN1006),$AB$1006:$AQ$1006,0)))),"Fix")))</f>
        <v>0</v>
      </c>
      <c r="O332" s="4">
        <f>IF(OR(INDEX($V$2:$V$1001,MATCH(ROWS($U$2:U332),$U$2:$U$1001,0),1)&gt;=100000,INDEX($AB$1005:$AQ$1005,1,MATCH(COLUMNS($AB$1006:AO1006),$AB$1006:$AQ$1006,0))&gt;=100000), " ",IF(INDEX($AB$2:$AQ$1001,MATCH(ROWS($U$2:U332),$U$2:$U$1001,0),MATCH(COLUMNS($AB$1006:AO1006),$AB$1006:$AQ$1006,0)), HYPERLINK("#",""), HYPERLINK(CONCATENATE("#metadata!", ADDRESS(INDEX($W$2:$W$1001,MATCH(ROWS($U$2:U332),$U$2:$U$1001,0),0), INDEX($AB$1004:$AQ$1004,1,MATCH(COLUMNS($AB$1006:AO1006),$AB$1006:$AQ$1006,0)))),"Fix")))</f>
        <v>0</v>
      </c>
      <c r="P332" s="4">
        <f>IF(OR(INDEX($V$2:$V$1001,MATCH(ROWS($U$2:U332),$U$2:$U$1001,0),1)&gt;=100000,INDEX($AB$1005:$AQ$1005,1,MATCH(COLUMNS($AB$1006:AP1006),$AB$1006:$AQ$1006,0))&gt;=100000), " ",IF(INDEX($AB$2:$AQ$1001,MATCH(ROWS($U$2:U332),$U$2:$U$1001,0),MATCH(COLUMNS($AB$1006:AP1006),$AB$1006:$AQ$1006,0)), HYPERLINK("#",""), HYPERLINK(CONCATENATE("#metadata!", ADDRESS(INDEX($W$2:$W$1001,MATCH(ROWS($U$2:U332),$U$2:$U$1001,0),0), INDEX($AB$1004:$AQ$1004,1,MATCH(COLUMNS($AB$1006:AP1006),$AB$1006:$AQ$1006,0)))),"Fix")))</f>
        <v>0</v>
      </c>
      <c r="Q332" s="4">
        <f>IF(OR(INDEX($V$2:$V$1001,MATCH(ROWS($U$2:U332),$U$2:$U$1001,0),1)&gt;=100000,INDEX($AB$1005:$AQ$1005,1,MATCH(COLUMNS($AB$1006:AQ1006),$AB$1006:$AQ$1006,0))&gt;=100000), " ",IF(INDEX($AB$2:$AQ$1001,MATCH(ROWS($U$2:U332),$U$2:$U$1001,0),MATCH(COLUMNS($AB$1006:AQ1006),$AB$1006:$AQ$1006,0)), HYPERLINK("#",""), HYPERLINK(CONCATENATE("#metadata!", ADDRESS(INDEX($W$2:$W$1001,MATCH(ROWS($U$2:U332),$U$2:$U$1001,0),0), INDEX($AB$1004:$AQ$1004,1,MATCH(COLUMNS($AB$1006:AQ1006),$AB$1006:$AQ$1006,0)))),"Fix")))</f>
        <v>0</v>
      </c>
      <c r="U332">
        <v>0</v>
      </c>
      <c r="V332">
        <v>0</v>
      </c>
      <c r="W332">
        <v>0</v>
      </c>
      <c r="X332">
        <f>IF(Y332,TRUE,AND(AB332:AQ332))</f>
        <v>0</v>
      </c>
      <c r="Y332">
        <f>COUNTBLANK(metadata!B332:Q332)=COLUMNS(metadata!B332:Q332)</f>
        <v>0</v>
      </c>
      <c r="Z332">
        <v>0</v>
      </c>
      <c r="AB332">
        <f>AND(IF(metadata!B332="",FALSE,TRUE),COUNTIF(metadata!B:B, metadata!B332) = 1,NOT(ISERROR(SUMPRODUCT(SEARCH(MID(metadata!B332,ROW(INDIRECT("1:"&amp;LEN(metadata!B332))), 1),"0123456789abcdefghijklmnopqrstuvwxyzABCDEFGHIJKLMNOPQRSTUVWXYZ.")))))</f>
        <v>0</v>
      </c>
      <c r="AC332">
        <f>OR(AND(IF(metadata!C332="",FALSE,TRUE),OR(exact(metadata!C332,"missing: not collected"),exact(metadata!C332,"missing: not provided"),exact(metadata!C332,"missing: restricted access"))),AND(IF(metadata!C332="",FALSE,TRUE),AND(AND(IFERROR(INT(LEFT(metadata!C332,4))&gt;1900,FALSE),IFERROR(INT(LEFT(metadata!C332,4))&lt;=YEAR(NOW()),FALSE)), OR(MID(metadata!C332,5,1)="", AND(AND(MID(metadata!C332,5,1)="-",IFERROR(INT(MID(metadata!C332,6,1))&gt;=0,FALSE),IFERROR(INT(MID(metadata!C332,6,1))&lt;=1,FALSE),NOT(MID(metadata!C332,7,1)=""),IFERROR(INT(MID(metadata!C332,6,2))&gt;=1,FALSE),IFERROR(INT(MID(metadata!C332,6,2))&lt;=12,FALSE)), OR(MID(metadata!C332,8,1)="", AND(AND(MID(metadata!C332,8,1)="-",IFERROR(INT(MID(metadata!C332,9,1))&gt;=0,FALSE),IFERROR(INT(MID(metadata!C332,9,1))&lt;=3,FALSE),NOT(MID(metadata!C332,10,1)=""),IFERROR(INT(MID(metadata!C332,9,2))&gt;=1,FALSE),IFERROR(INT(MID(metadata!C332,9,2))&lt;=31,FALSE)), OR(MID(metadata!C332,11,1)="", AND(AND(MID(metadata!C332,11,1)=" ",IFERROR(INT(MID(metadata!C332,12,1))&gt;=0,FALSE),IFERROR(INT(MID(metadata!C332,12,1))&lt;=2,FALSE),NOT(MID(metadata!C332,13,1)=""),IFERROR(INT(MID(metadata!C332,12,2))&gt;=0,FALSE),IFERROR(INT(MID(metadata!C332,12,2))&lt;=23,FALSE)), OR(MID(metadata!C332,14,1)="", AND(AND(MID(metadata!C332,14,1)=":",IFERROR(INT(MID(metadata!C332,15,1))&gt;=0,FALSE),IFERROR(INT(MID(metadata!C332,15,1))&lt;=5,FALSE),NOT(MID(metadata!C332,16,1)=""),IFERROR(INT(MID(metadata!C332,15,2))&gt;=0,FALSE),IFERROR(INT(MID(metadata!C332,15,2))&lt;=59,FALSE)), OR(MID(metadata!C332,17,1)="", AND(AND(MID(metadata!C332,17,1)=":",IFERROR(INT(MID(metadata!C332,18,1))&gt;=0,FALSE),IFERROR(INT(MID(metadata!C332,18,1))&lt;=5,FALSE),NOT(MID(metadata!C332,19,1)=""),IFERROR(INT(MID(metadata!C332,18,2))&gt;=0,FALSE),IFERROR(INT(MID(metadata!C332,18,2))&lt;=59,FALSE)), LEN(metadata!C332)&lt;=19)))))))))))))</f>
        <v>0</v>
      </c>
      <c r="AD332">
        <f>IF(metadata!D332="",FALSE,TRUE)</f>
        <v>0</v>
      </c>
      <c r="AE332">
        <f>OR(AND(IF(metadata!E332="",FALSE,TRUE),OR(exact(metadata!E332,"missing: not collected"),exact(metadata!E332,"missing: not provided"))),AND(IF(metadata!E332="",FALSE,TRUE),OR(exact(metadata!E332,"TRUE"),exact(metadata!E332,"FALSE"))))</f>
        <v>0</v>
      </c>
      <c r="AF332">
        <f>IF(metadata!F332="",FALSE,TRUE)</f>
        <v>0</v>
      </c>
      <c r="AG332">
        <f>IF(metadata!G332="",FALSE,TRUE)</f>
        <v>0</v>
      </c>
      <c r="AH332">
        <f>IF(metadata!H332="",FALSE,TRUE)</f>
        <v>0</v>
      </c>
      <c r="AI332">
        <f>OR(AND(IF(metadata!I332="",FALSE,TRUE),OR(exact(metadata!I332,"missing: not collected"),exact(metadata!I332,"missing: not provided"),exact(metadata!I332,"missing: restricted access"))),AND(IF(metadata!I332="",FALSE,TRUE),OR(exact(metadata!I332,"air"),exact(metadata!I332,"built environment"),exact(metadata!I332,"host-associated"),exact(metadata!I332,"human-associated"),exact(metadata!I332,"human-skin"),exact(metadata!I332,"human-oral"),exact(metadata!I332,"human-gut"),exact(metadata!I332,"human-vaginal"),exact(metadata!I332,"microbial mat/biofilm"),exact(metadata!I332,"misc environment"),exact(metadata!I332,"plant-associated"),exact(metadata!I332,"sediment"),exact(metadata!I332,"soil"),exact(metadata!I332,"wastewater/sludge"),exact(metadata!I332,"water"))))</f>
        <v>0</v>
      </c>
      <c r="AJ332">
        <f>IF(metadata!J332="",FALSE,TRUE)</f>
        <v>0</v>
      </c>
      <c r="AK332">
        <f>OR(AND(IF(metadata!K332="",FALSE,TRUE),OR(exact(metadata!K332,"missing: not collected"),exact(metadata!K332,"missing: not provided"),exact(metadata!K332,"missing: restricted access"))),AND(IF(metadata!K332="",FALSE,ISNUMBER(VALUE(metadata!K332))),metadata!K332&gt;=-90.00,metadata!K332&lt;=90.00))</f>
        <v>0</v>
      </c>
      <c r="AL332">
        <f>OR(AND(IF(metadata!L332="",FALSE,TRUE),OR(exact(metadata!L332,"missing: not collected"),exact(metadata!L332,"missing: not provided"),exact(metadata!L332,"missing: restricted access"))),AND(IF(metadata!L332="",FALSE,ISNUMBER(VALUE(metadata!L332))),metadata!L332&gt;=-180.00,metadata!L332&lt;=180.00))</f>
        <v>0</v>
      </c>
      <c r="AM332">
        <f>IF(metadata!M332="",FALSE,TRUE)</f>
        <v>0</v>
      </c>
      <c r="AN332">
        <f>OR(AND(IF(metadata!N332="",FALSE,TRUE),OR(exact(metadata!N332,"missing: not collected"),exact(metadata!N332,"missing: not provided"),exact(metadata!N332,"missing: restricted access"))),AND(IF(metadata!N332="",FALSE,TRUE),OR(exact(metadata!N332,"TRUE"),exact(metadata!N332,"FALSE"))))</f>
        <v>0</v>
      </c>
      <c r="AO332">
        <f>IF(metadata!O332="",FALSE,TRUE)</f>
        <v>0</v>
      </c>
      <c r="AP332">
        <f>OR(AND(IF(metadata!P332="",FALSE,TRUE),OR(exact(metadata!P332,"missing: not collected"),exact(metadata!P332,"missing: not provided"))),AND(IF(metadata!P332="",FALSE,IF(ISERROR(INT(metadata!P332)),FALSE,INT(metadata!P332)=metadata!P332)),metadata!P332&gt;0))</f>
        <v>0</v>
      </c>
      <c r="AQ332">
        <f>IF(metadata!Q332="",FALSE,TRUE)</f>
        <v>0</v>
      </c>
    </row>
    <row r="333" spans="1:43">
      <c r="A333" s="5">
        <f>IF(B333=" "," ",HYPERLINK(CONCATENATE("#metadata!",ADDRESS(INDEX($W$2:$W$1001,MATCH(ROWS($U$2:U333),$U$2:$U$1001,0),0),1)),INDEX($Z$2:$Z$1001,MATCH(ROWS($U$2:U333),$U$2:$U$1001,0),0)))</f>
        <v>0</v>
      </c>
      <c r="B333" s="4">
        <f>IF(OR(INDEX($V$2:$V$1001,MATCH(ROWS($U$2:U333),$U$2:$U$1001,0),1)&gt;=100000,INDEX($AB$1005:$AQ$1005,1,MATCH(COLUMNS($AB$1006:AB1006),$AB$1006:$AQ$1006,0))&gt;=100000), " ",IF(INDEX($AB$2:$AQ$1001,MATCH(ROWS($U$2:U333),$U$2:$U$1001,0),MATCH(COLUMNS($AB$1006:AB1006),$AB$1006:$AQ$1006,0)), HYPERLINK("#",""), HYPERLINK(CONCATENATE("#metadata!", ADDRESS(INDEX($W$2:$W$1001,MATCH(ROWS($U$2:U333),$U$2:$U$1001,0),0), INDEX($AB$1004:$AQ$1004,1,MATCH(COLUMNS($AB$1006:AB1006),$AB$1006:$AQ$1006,0)))),"Fix")))</f>
        <v>0</v>
      </c>
      <c r="C333" s="4">
        <f>IF(OR(INDEX($V$2:$V$1001,MATCH(ROWS($U$2:U333),$U$2:$U$1001,0),1)&gt;=100000,INDEX($AB$1005:$AQ$1005,1,MATCH(COLUMNS($AB$1006:AC1006),$AB$1006:$AQ$1006,0))&gt;=100000), " ",IF(INDEX($AB$2:$AQ$1001,MATCH(ROWS($U$2:U333),$U$2:$U$1001,0),MATCH(COLUMNS($AB$1006:AC1006),$AB$1006:$AQ$1006,0)), HYPERLINK("#",""), HYPERLINK(CONCATENATE("#metadata!", ADDRESS(INDEX($W$2:$W$1001,MATCH(ROWS($U$2:U333),$U$2:$U$1001,0),0), INDEX($AB$1004:$AQ$1004,1,MATCH(COLUMNS($AB$1006:AC1006),$AB$1006:$AQ$1006,0)))),"Fix")))</f>
        <v>0</v>
      </c>
      <c r="D333" s="4">
        <f>IF(OR(INDEX($V$2:$V$1001,MATCH(ROWS($U$2:U333),$U$2:$U$1001,0),1)&gt;=100000,INDEX($AB$1005:$AQ$1005,1,MATCH(COLUMNS($AB$1006:AD1006),$AB$1006:$AQ$1006,0))&gt;=100000), " ",IF(INDEX($AB$2:$AQ$1001,MATCH(ROWS($U$2:U333),$U$2:$U$1001,0),MATCH(COLUMNS($AB$1006:AD1006),$AB$1006:$AQ$1006,0)), HYPERLINK("#",""), HYPERLINK(CONCATENATE("#metadata!", ADDRESS(INDEX($W$2:$W$1001,MATCH(ROWS($U$2:U333),$U$2:$U$1001,0),0), INDEX($AB$1004:$AQ$1004,1,MATCH(COLUMNS($AB$1006:AD1006),$AB$1006:$AQ$1006,0)))),"Fix")))</f>
        <v>0</v>
      </c>
      <c r="E333" s="4">
        <f>IF(OR(INDEX($V$2:$V$1001,MATCH(ROWS($U$2:U333),$U$2:$U$1001,0),1)&gt;=100000,INDEX($AB$1005:$AQ$1005,1,MATCH(COLUMNS($AB$1006:AE1006),$AB$1006:$AQ$1006,0))&gt;=100000), " ",IF(INDEX($AB$2:$AQ$1001,MATCH(ROWS($U$2:U333),$U$2:$U$1001,0),MATCH(COLUMNS($AB$1006:AE1006),$AB$1006:$AQ$1006,0)), HYPERLINK("#",""), HYPERLINK(CONCATENATE("#metadata!", ADDRESS(INDEX($W$2:$W$1001,MATCH(ROWS($U$2:U333),$U$2:$U$1001,0),0), INDEX($AB$1004:$AQ$1004,1,MATCH(COLUMNS($AB$1006:AE1006),$AB$1006:$AQ$1006,0)))),"Fix")))</f>
        <v>0</v>
      </c>
      <c r="F333" s="4">
        <f>IF(OR(INDEX($V$2:$V$1001,MATCH(ROWS($U$2:U333),$U$2:$U$1001,0),1)&gt;=100000,INDEX($AB$1005:$AQ$1005,1,MATCH(COLUMNS($AB$1006:AF1006),$AB$1006:$AQ$1006,0))&gt;=100000), " ",IF(INDEX($AB$2:$AQ$1001,MATCH(ROWS($U$2:U333),$U$2:$U$1001,0),MATCH(COLUMNS($AB$1006:AF1006),$AB$1006:$AQ$1006,0)), HYPERLINK("#",""), HYPERLINK(CONCATENATE("#metadata!", ADDRESS(INDEX($W$2:$W$1001,MATCH(ROWS($U$2:U333),$U$2:$U$1001,0),0), INDEX($AB$1004:$AQ$1004,1,MATCH(COLUMNS($AB$1006:AF1006),$AB$1006:$AQ$1006,0)))),"Fix")))</f>
        <v>0</v>
      </c>
      <c r="G333" s="4">
        <f>IF(OR(INDEX($V$2:$V$1001,MATCH(ROWS($U$2:U333),$U$2:$U$1001,0),1)&gt;=100000,INDEX($AB$1005:$AQ$1005,1,MATCH(COLUMNS($AB$1006:AG1006),$AB$1006:$AQ$1006,0))&gt;=100000), " ",IF(INDEX($AB$2:$AQ$1001,MATCH(ROWS($U$2:U333),$U$2:$U$1001,0),MATCH(COLUMNS($AB$1006:AG1006),$AB$1006:$AQ$1006,0)), HYPERLINK("#",""), HYPERLINK(CONCATENATE("#metadata!", ADDRESS(INDEX($W$2:$W$1001,MATCH(ROWS($U$2:U333),$U$2:$U$1001,0),0), INDEX($AB$1004:$AQ$1004,1,MATCH(COLUMNS($AB$1006:AG1006),$AB$1006:$AQ$1006,0)))),"Fix")))</f>
        <v>0</v>
      </c>
      <c r="H333" s="4">
        <f>IF(OR(INDEX($V$2:$V$1001,MATCH(ROWS($U$2:U333),$U$2:$U$1001,0),1)&gt;=100000,INDEX($AB$1005:$AQ$1005,1,MATCH(COLUMNS($AB$1006:AH1006),$AB$1006:$AQ$1006,0))&gt;=100000), " ",IF(INDEX($AB$2:$AQ$1001,MATCH(ROWS($U$2:U333),$U$2:$U$1001,0),MATCH(COLUMNS($AB$1006:AH1006),$AB$1006:$AQ$1006,0)), HYPERLINK("#",""), HYPERLINK(CONCATENATE("#metadata!", ADDRESS(INDEX($W$2:$W$1001,MATCH(ROWS($U$2:U333),$U$2:$U$1001,0),0), INDEX($AB$1004:$AQ$1004,1,MATCH(COLUMNS($AB$1006:AH1006),$AB$1006:$AQ$1006,0)))),"Fix")))</f>
        <v>0</v>
      </c>
      <c r="I333" s="4">
        <f>IF(OR(INDEX($V$2:$V$1001,MATCH(ROWS($U$2:U333),$U$2:$U$1001,0),1)&gt;=100000,INDEX($AB$1005:$AQ$1005,1,MATCH(COLUMNS($AB$1006:AI1006),$AB$1006:$AQ$1006,0))&gt;=100000), " ",IF(INDEX($AB$2:$AQ$1001,MATCH(ROWS($U$2:U333),$U$2:$U$1001,0),MATCH(COLUMNS($AB$1006:AI1006),$AB$1006:$AQ$1006,0)), HYPERLINK("#",""), HYPERLINK(CONCATENATE("#metadata!", ADDRESS(INDEX($W$2:$W$1001,MATCH(ROWS($U$2:U333),$U$2:$U$1001,0),0), INDEX($AB$1004:$AQ$1004,1,MATCH(COLUMNS($AB$1006:AI1006),$AB$1006:$AQ$1006,0)))),"Fix")))</f>
        <v>0</v>
      </c>
      <c r="J333" s="4">
        <f>IF(OR(INDEX($V$2:$V$1001,MATCH(ROWS($U$2:U333),$U$2:$U$1001,0),1)&gt;=100000,INDEX($AB$1005:$AQ$1005,1,MATCH(COLUMNS($AB$1006:AJ1006),$AB$1006:$AQ$1006,0))&gt;=100000), " ",IF(INDEX($AB$2:$AQ$1001,MATCH(ROWS($U$2:U333),$U$2:$U$1001,0),MATCH(COLUMNS($AB$1006:AJ1006),$AB$1006:$AQ$1006,0)), HYPERLINK("#",""), HYPERLINK(CONCATENATE("#metadata!", ADDRESS(INDEX($W$2:$W$1001,MATCH(ROWS($U$2:U333),$U$2:$U$1001,0),0), INDEX($AB$1004:$AQ$1004,1,MATCH(COLUMNS($AB$1006:AJ1006),$AB$1006:$AQ$1006,0)))),"Fix")))</f>
        <v>0</v>
      </c>
      <c r="K333" s="4">
        <f>IF(OR(INDEX($V$2:$V$1001,MATCH(ROWS($U$2:U333),$U$2:$U$1001,0),1)&gt;=100000,INDEX($AB$1005:$AQ$1005,1,MATCH(COLUMNS($AB$1006:AK1006),$AB$1006:$AQ$1006,0))&gt;=100000), " ",IF(INDEX($AB$2:$AQ$1001,MATCH(ROWS($U$2:U333),$U$2:$U$1001,0),MATCH(COLUMNS($AB$1006:AK1006),$AB$1006:$AQ$1006,0)), HYPERLINK("#",""), HYPERLINK(CONCATENATE("#metadata!", ADDRESS(INDEX($W$2:$W$1001,MATCH(ROWS($U$2:U333),$U$2:$U$1001,0),0), INDEX($AB$1004:$AQ$1004,1,MATCH(COLUMNS($AB$1006:AK1006),$AB$1006:$AQ$1006,0)))),"Fix")))</f>
        <v>0</v>
      </c>
      <c r="L333" s="4">
        <f>IF(OR(INDEX($V$2:$V$1001,MATCH(ROWS($U$2:U333),$U$2:$U$1001,0),1)&gt;=100000,INDEX($AB$1005:$AQ$1005,1,MATCH(COLUMNS($AB$1006:AL1006),$AB$1006:$AQ$1006,0))&gt;=100000), " ",IF(INDEX($AB$2:$AQ$1001,MATCH(ROWS($U$2:U333),$U$2:$U$1001,0),MATCH(COLUMNS($AB$1006:AL1006),$AB$1006:$AQ$1006,0)), HYPERLINK("#",""), HYPERLINK(CONCATENATE("#metadata!", ADDRESS(INDEX($W$2:$W$1001,MATCH(ROWS($U$2:U333),$U$2:$U$1001,0),0), INDEX($AB$1004:$AQ$1004,1,MATCH(COLUMNS($AB$1006:AL1006),$AB$1006:$AQ$1006,0)))),"Fix")))</f>
        <v>0</v>
      </c>
      <c r="M333" s="4">
        <f>IF(OR(INDEX($V$2:$V$1001,MATCH(ROWS($U$2:U333),$U$2:$U$1001,0),1)&gt;=100000,INDEX($AB$1005:$AQ$1005,1,MATCH(COLUMNS($AB$1006:AM1006),$AB$1006:$AQ$1006,0))&gt;=100000), " ",IF(INDEX($AB$2:$AQ$1001,MATCH(ROWS($U$2:U333),$U$2:$U$1001,0),MATCH(COLUMNS($AB$1006:AM1006),$AB$1006:$AQ$1006,0)), HYPERLINK("#",""), HYPERLINK(CONCATENATE("#metadata!", ADDRESS(INDEX($W$2:$W$1001,MATCH(ROWS($U$2:U333),$U$2:$U$1001,0),0), INDEX($AB$1004:$AQ$1004,1,MATCH(COLUMNS($AB$1006:AM1006),$AB$1006:$AQ$1006,0)))),"Fix")))</f>
        <v>0</v>
      </c>
      <c r="N333" s="4">
        <f>IF(OR(INDEX($V$2:$V$1001,MATCH(ROWS($U$2:U333),$U$2:$U$1001,0),1)&gt;=100000,INDEX($AB$1005:$AQ$1005,1,MATCH(COLUMNS($AB$1006:AN1006),$AB$1006:$AQ$1006,0))&gt;=100000), " ",IF(INDEX($AB$2:$AQ$1001,MATCH(ROWS($U$2:U333),$U$2:$U$1001,0),MATCH(COLUMNS($AB$1006:AN1006),$AB$1006:$AQ$1006,0)), HYPERLINK("#",""), HYPERLINK(CONCATENATE("#metadata!", ADDRESS(INDEX($W$2:$W$1001,MATCH(ROWS($U$2:U333),$U$2:$U$1001,0),0), INDEX($AB$1004:$AQ$1004,1,MATCH(COLUMNS($AB$1006:AN1006),$AB$1006:$AQ$1006,0)))),"Fix")))</f>
        <v>0</v>
      </c>
      <c r="O333" s="4">
        <f>IF(OR(INDEX($V$2:$V$1001,MATCH(ROWS($U$2:U333),$U$2:$U$1001,0),1)&gt;=100000,INDEX($AB$1005:$AQ$1005,1,MATCH(COLUMNS($AB$1006:AO1006),$AB$1006:$AQ$1006,0))&gt;=100000), " ",IF(INDEX($AB$2:$AQ$1001,MATCH(ROWS($U$2:U333),$U$2:$U$1001,0),MATCH(COLUMNS($AB$1006:AO1006),$AB$1006:$AQ$1006,0)), HYPERLINK("#",""), HYPERLINK(CONCATENATE("#metadata!", ADDRESS(INDEX($W$2:$W$1001,MATCH(ROWS($U$2:U333),$U$2:$U$1001,0),0), INDEX($AB$1004:$AQ$1004,1,MATCH(COLUMNS($AB$1006:AO1006),$AB$1006:$AQ$1006,0)))),"Fix")))</f>
        <v>0</v>
      </c>
      <c r="P333" s="4">
        <f>IF(OR(INDEX($V$2:$V$1001,MATCH(ROWS($U$2:U333),$U$2:$U$1001,0),1)&gt;=100000,INDEX($AB$1005:$AQ$1005,1,MATCH(COLUMNS($AB$1006:AP1006),$AB$1006:$AQ$1006,0))&gt;=100000), " ",IF(INDEX($AB$2:$AQ$1001,MATCH(ROWS($U$2:U333),$U$2:$U$1001,0),MATCH(COLUMNS($AB$1006:AP1006),$AB$1006:$AQ$1006,0)), HYPERLINK("#",""), HYPERLINK(CONCATENATE("#metadata!", ADDRESS(INDEX($W$2:$W$1001,MATCH(ROWS($U$2:U333),$U$2:$U$1001,0),0), INDEX($AB$1004:$AQ$1004,1,MATCH(COLUMNS($AB$1006:AP1006),$AB$1006:$AQ$1006,0)))),"Fix")))</f>
        <v>0</v>
      </c>
      <c r="Q333" s="4">
        <f>IF(OR(INDEX($V$2:$V$1001,MATCH(ROWS($U$2:U333),$U$2:$U$1001,0),1)&gt;=100000,INDEX($AB$1005:$AQ$1005,1,MATCH(COLUMNS($AB$1006:AQ1006),$AB$1006:$AQ$1006,0))&gt;=100000), " ",IF(INDEX($AB$2:$AQ$1001,MATCH(ROWS($U$2:U333),$U$2:$U$1001,0),MATCH(COLUMNS($AB$1006:AQ1006),$AB$1006:$AQ$1006,0)), HYPERLINK("#",""), HYPERLINK(CONCATENATE("#metadata!", ADDRESS(INDEX($W$2:$W$1001,MATCH(ROWS($U$2:U333),$U$2:$U$1001,0),0), INDEX($AB$1004:$AQ$1004,1,MATCH(COLUMNS($AB$1006:AQ1006),$AB$1006:$AQ$1006,0)))),"Fix")))</f>
        <v>0</v>
      </c>
      <c r="U333">
        <v>0</v>
      </c>
      <c r="V333">
        <v>0</v>
      </c>
      <c r="W333">
        <v>0</v>
      </c>
      <c r="X333">
        <f>IF(Y333,TRUE,AND(AB333:AQ333))</f>
        <v>0</v>
      </c>
      <c r="Y333">
        <f>COUNTBLANK(metadata!B333:Q333)=COLUMNS(metadata!B333:Q333)</f>
        <v>0</v>
      </c>
      <c r="Z333">
        <v>0</v>
      </c>
      <c r="AB333">
        <f>AND(IF(metadata!B333="",FALSE,TRUE),COUNTIF(metadata!B:B, metadata!B333) = 1,NOT(ISERROR(SUMPRODUCT(SEARCH(MID(metadata!B333,ROW(INDIRECT("1:"&amp;LEN(metadata!B333))), 1),"0123456789abcdefghijklmnopqrstuvwxyzABCDEFGHIJKLMNOPQRSTUVWXYZ.")))))</f>
        <v>0</v>
      </c>
      <c r="AC333">
        <f>OR(AND(IF(metadata!C333="",FALSE,TRUE),OR(exact(metadata!C333,"missing: not collected"),exact(metadata!C333,"missing: not provided"),exact(metadata!C333,"missing: restricted access"))),AND(IF(metadata!C333="",FALSE,TRUE),AND(AND(IFERROR(INT(LEFT(metadata!C333,4))&gt;1900,FALSE),IFERROR(INT(LEFT(metadata!C333,4))&lt;=YEAR(NOW()),FALSE)), OR(MID(metadata!C333,5,1)="", AND(AND(MID(metadata!C333,5,1)="-",IFERROR(INT(MID(metadata!C333,6,1))&gt;=0,FALSE),IFERROR(INT(MID(metadata!C333,6,1))&lt;=1,FALSE),NOT(MID(metadata!C333,7,1)=""),IFERROR(INT(MID(metadata!C333,6,2))&gt;=1,FALSE),IFERROR(INT(MID(metadata!C333,6,2))&lt;=12,FALSE)), OR(MID(metadata!C333,8,1)="", AND(AND(MID(metadata!C333,8,1)="-",IFERROR(INT(MID(metadata!C333,9,1))&gt;=0,FALSE),IFERROR(INT(MID(metadata!C333,9,1))&lt;=3,FALSE),NOT(MID(metadata!C333,10,1)=""),IFERROR(INT(MID(metadata!C333,9,2))&gt;=1,FALSE),IFERROR(INT(MID(metadata!C333,9,2))&lt;=31,FALSE)), OR(MID(metadata!C333,11,1)="", AND(AND(MID(metadata!C333,11,1)=" ",IFERROR(INT(MID(metadata!C333,12,1))&gt;=0,FALSE),IFERROR(INT(MID(metadata!C333,12,1))&lt;=2,FALSE),NOT(MID(metadata!C333,13,1)=""),IFERROR(INT(MID(metadata!C333,12,2))&gt;=0,FALSE),IFERROR(INT(MID(metadata!C333,12,2))&lt;=23,FALSE)), OR(MID(metadata!C333,14,1)="", AND(AND(MID(metadata!C333,14,1)=":",IFERROR(INT(MID(metadata!C333,15,1))&gt;=0,FALSE),IFERROR(INT(MID(metadata!C333,15,1))&lt;=5,FALSE),NOT(MID(metadata!C333,16,1)=""),IFERROR(INT(MID(metadata!C333,15,2))&gt;=0,FALSE),IFERROR(INT(MID(metadata!C333,15,2))&lt;=59,FALSE)), OR(MID(metadata!C333,17,1)="", AND(AND(MID(metadata!C333,17,1)=":",IFERROR(INT(MID(metadata!C333,18,1))&gt;=0,FALSE),IFERROR(INT(MID(metadata!C333,18,1))&lt;=5,FALSE),NOT(MID(metadata!C333,19,1)=""),IFERROR(INT(MID(metadata!C333,18,2))&gt;=0,FALSE),IFERROR(INT(MID(metadata!C333,18,2))&lt;=59,FALSE)), LEN(metadata!C333)&lt;=19)))))))))))))</f>
        <v>0</v>
      </c>
      <c r="AD333">
        <f>IF(metadata!D333="",FALSE,TRUE)</f>
        <v>0</v>
      </c>
      <c r="AE333">
        <f>OR(AND(IF(metadata!E333="",FALSE,TRUE),OR(exact(metadata!E333,"missing: not collected"),exact(metadata!E333,"missing: not provided"))),AND(IF(metadata!E333="",FALSE,TRUE),OR(exact(metadata!E333,"TRUE"),exact(metadata!E333,"FALSE"))))</f>
        <v>0</v>
      </c>
      <c r="AF333">
        <f>IF(metadata!F333="",FALSE,TRUE)</f>
        <v>0</v>
      </c>
      <c r="AG333">
        <f>IF(metadata!G333="",FALSE,TRUE)</f>
        <v>0</v>
      </c>
      <c r="AH333">
        <f>IF(metadata!H333="",FALSE,TRUE)</f>
        <v>0</v>
      </c>
      <c r="AI333">
        <f>OR(AND(IF(metadata!I333="",FALSE,TRUE),OR(exact(metadata!I333,"missing: not collected"),exact(metadata!I333,"missing: not provided"),exact(metadata!I333,"missing: restricted access"))),AND(IF(metadata!I333="",FALSE,TRUE),OR(exact(metadata!I333,"air"),exact(metadata!I333,"built environment"),exact(metadata!I333,"host-associated"),exact(metadata!I333,"human-associated"),exact(metadata!I333,"human-skin"),exact(metadata!I333,"human-oral"),exact(metadata!I333,"human-gut"),exact(metadata!I333,"human-vaginal"),exact(metadata!I333,"microbial mat/biofilm"),exact(metadata!I333,"misc environment"),exact(metadata!I333,"plant-associated"),exact(metadata!I333,"sediment"),exact(metadata!I333,"soil"),exact(metadata!I333,"wastewater/sludge"),exact(metadata!I333,"water"))))</f>
        <v>0</v>
      </c>
      <c r="AJ333">
        <f>IF(metadata!J333="",FALSE,TRUE)</f>
        <v>0</v>
      </c>
      <c r="AK333">
        <f>OR(AND(IF(metadata!K333="",FALSE,TRUE),OR(exact(metadata!K333,"missing: not collected"),exact(metadata!K333,"missing: not provided"),exact(metadata!K333,"missing: restricted access"))),AND(IF(metadata!K333="",FALSE,ISNUMBER(VALUE(metadata!K333))),metadata!K333&gt;=-90.00,metadata!K333&lt;=90.00))</f>
        <v>0</v>
      </c>
      <c r="AL333">
        <f>OR(AND(IF(metadata!L333="",FALSE,TRUE),OR(exact(metadata!L333,"missing: not collected"),exact(metadata!L333,"missing: not provided"),exact(metadata!L333,"missing: restricted access"))),AND(IF(metadata!L333="",FALSE,ISNUMBER(VALUE(metadata!L333))),metadata!L333&gt;=-180.00,metadata!L333&lt;=180.00))</f>
        <v>0</v>
      </c>
      <c r="AM333">
        <f>IF(metadata!M333="",FALSE,TRUE)</f>
        <v>0</v>
      </c>
      <c r="AN333">
        <f>OR(AND(IF(metadata!N333="",FALSE,TRUE),OR(exact(metadata!N333,"missing: not collected"),exact(metadata!N333,"missing: not provided"),exact(metadata!N333,"missing: restricted access"))),AND(IF(metadata!N333="",FALSE,TRUE),OR(exact(metadata!N333,"TRUE"),exact(metadata!N333,"FALSE"))))</f>
        <v>0</v>
      </c>
      <c r="AO333">
        <f>IF(metadata!O333="",FALSE,TRUE)</f>
        <v>0</v>
      </c>
      <c r="AP333">
        <f>OR(AND(IF(metadata!P333="",FALSE,TRUE),OR(exact(metadata!P333,"missing: not collected"),exact(metadata!P333,"missing: not provided"))),AND(IF(metadata!P333="",FALSE,IF(ISERROR(INT(metadata!P333)),FALSE,INT(metadata!P333)=metadata!P333)),metadata!P333&gt;0))</f>
        <v>0</v>
      </c>
      <c r="AQ333">
        <f>IF(metadata!Q333="",FALSE,TRUE)</f>
        <v>0</v>
      </c>
    </row>
    <row r="334" spans="1:43">
      <c r="A334" s="5">
        <f>IF(B334=" "," ",HYPERLINK(CONCATENATE("#metadata!",ADDRESS(INDEX($W$2:$W$1001,MATCH(ROWS($U$2:U334),$U$2:$U$1001,0),0),1)),INDEX($Z$2:$Z$1001,MATCH(ROWS($U$2:U334),$U$2:$U$1001,0),0)))</f>
        <v>0</v>
      </c>
      <c r="B334" s="4">
        <f>IF(OR(INDEX($V$2:$V$1001,MATCH(ROWS($U$2:U334),$U$2:$U$1001,0),1)&gt;=100000,INDEX($AB$1005:$AQ$1005,1,MATCH(COLUMNS($AB$1006:AB1006),$AB$1006:$AQ$1006,0))&gt;=100000), " ",IF(INDEX($AB$2:$AQ$1001,MATCH(ROWS($U$2:U334),$U$2:$U$1001,0),MATCH(COLUMNS($AB$1006:AB1006),$AB$1006:$AQ$1006,0)), HYPERLINK("#",""), HYPERLINK(CONCATENATE("#metadata!", ADDRESS(INDEX($W$2:$W$1001,MATCH(ROWS($U$2:U334),$U$2:$U$1001,0),0), INDEX($AB$1004:$AQ$1004,1,MATCH(COLUMNS($AB$1006:AB1006),$AB$1006:$AQ$1006,0)))),"Fix")))</f>
        <v>0</v>
      </c>
      <c r="C334" s="4">
        <f>IF(OR(INDEX($V$2:$V$1001,MATCH(ROWS($U$2:U334),$U$2:$U$1001,0),1)&gt;=100000,INDEX($AB$1005:$AQ$1005,1,MATCH(COLUMNS($AB$1006:AC1006),$AB$1006:$AQ$1006,0))&gt;=100000), " ",IF(INDEX($AB$2:$AQ$1001,MATCH(ROWS($U$2:U334),$U$2:$U$1001,0),MATCH(COLUMNS($AB$1006:AC1006),$AB$1006:$AQ$1006,0)), HYPERLINK("#",""), HYPERLINK(CONCATENATE("#metadata!", ADDRESS(INDEX($W$2:$W$1001,MATCH(ROWS($U$2:U334),$U$2:$U$1001,0),0), INDEX($AB$1004:$AQ$1004,1,MATCH(COLUMNS($AB$1006:AC1006),$AB$1006:$AQ$1006,0)))),"Fix")))</f>
        <v>0</v>
      </c>
      <c r="D334" s="4">
        <f>IF(OR(INDEX($V$2:$V$1001,MATCH(ROWS($U$2:U334),$U$2:$U$1001,0),1)&gt;=100000,INDEX($AB$1005:$AQ$1005,1,MATCH(COLUMNS($AB$1006:AD1006),$AB$1006:$AQ$1006,0))&gt;=100000), " ",IF(INDEX($AB$2:$AQ$1001,MATCH(ROWS($U$2:U334),$U$2:$U$1001,0),MATCH(COLUMNS($AB$1006:AD1006),$AB$1006:$AQ$1006,0)), HYPERLINK("#",""), HYPERLINK(CONCATENATE("#metadata!", ADDRESS(INDEX($W$2:$W$1001,MATCH(ROWS($U$2:U334),$U$2:$U$1001,0),0), INDEX($AB$1004:$AQ$1004,1,MATCH(COLUMNS($AB$1006:AD1006),$AB$1006:$AQ$1006,0)))),"Fix")))</f>
        <v>0</v>
      </c>
      <c r="E334" s="4">
        <f>IF(OR(INDEX($V$2:$V$1001,MATCH(ROWS($U$2:U334),$U$2:$U$1001,0),1)&gt;=100000,INDEX($AB$1005:$AQ$1005,1,MATCH(COLUMNS($AB$1006:AE1006),$AB$1006:$AQ$1006,0))&gt;=100000), " ",IF(INDEX($AB$2:$AQ$1001,MATCH(ROWS($U$2:U334),$U$2:$U$1001,0),MATCH(COLUMNS($AB$1006:AE1006),$AB$1006:$AQ$1006,0)), HYPERLINK("#",""), HYPERLINK(CONCATENATE("#metadata!", ADDRESS(INDEX($W$2:$W$1001,MATCH(ROWS($U$2:U334),$U$2:$U$1001,0),0), INDEX($AB$1004:$AQ$1004,1,MATCH(COLUMNS($AB$1006:AE1006),$AB$1006:$AQ$1006,0)))),"Fix")))</f>
        <v>0</v>
      </c>
      <c r="F334" s="4">
        <f>IF(OR(INDEX($V$2:$V$1001,MATCH(ROWS($U$2:U334),$U$2:$U$1001,0),1)&gt;=100000,INDEX($AB$1005:$AQ$1005,1,MATCH(COLUMNS($AB$1006:AF1006),$AB$1006:$AQ$1006,0))&gt;=100000), " ",IF(INDEX($AB$2:$AQ$1001,MATCH(ROWS($U$2:U334),$U$2:$U$1001,0),MATCH(COLUMNS($AB$1006:AF1006),$AB$1006:$AQ$1006,0)), HYPERLINK("#",""), HYPERLINK(CONCATENATE("#metadata!", ADDRESS(INDEX($W$2:$W$1001,MATCH(ROWS($U$2:U334),$U$2:$U$1001,0),0), INDEX($AB$1004:$AQ$1004,1,MATCH(COLUMNS($AB$1006:AF1006),$AB$1006:$AQ$1006,0)))),"Fix")))</f>
        <v>0</v>
      </c>
      <c r="G334" s="4">
        <f>IF(OR(INDEX($V$2:$V$1001,MATCH(ROWS($U$2:U334),$U$2:$U$1001,0),1)&gt;=100000,INDEX($AB$1005:$AQ$1005,1,MATCH(COLUMNS($AB$1006:AG1006),$AB$1006:$AQ$1006,0))&gt;=100000), " ",IF(INDEX($AB$2:$AQ$1001,MATCH(ROWS($U$2:U334),$U$2:$U$1001,0),MATCH(COLUMNS($AB$1006:AG1006),$AB$1006:$AQ$1006,0)), HYPERLINK("#",""), HYPERLINK(CONCATENATE("#metadata!", ADDRESS(INDEX($W$2:$W$1001,MATCH(ROWS($U$2:U334),$U$2:$U$1001,0),0), INDEX($AB$1004:$AQ$1004,1,MATCH(COLUMNS($AB$1006:AG1006),$AB$1006:$AQ$1006,0)))),"Fix")))</f>
        <v>0</v>
      </c>
      <c r="H334" s="4">
        <f>IF(OR(INDEX($V$2:$V$1001,MATCH(ROWS($U$2:U334),$U$2:$U$1001,0),1)&gt;=100000,INDEX($AB$1005:$AQ$1005,1,MATCH(COLUMNS($AB$1006:AH1006),$AB$1006:$AQ$1006,0))&gt;=100000), " ",IF(INDEX($AB$2:$AQ$1001,MATCH(ROWS($U$2:U334),$U$2:$U$1001,0),MATCH(COLUMNS($AB$1006:AH1006),$AB$1006:$AQ$1006,0)), HYPERLINK("#",""), HYPERLINK(CONCATENATE("#metadata!", ADDRESS(INDEX($W$2:$W$1001,MATCH(ROWS($U$2:U334),$U$2:$U$1001,0),0), INDEX($AB$1004:$AQ$1004,1,MATCH(COLUMNS($AB$1006:AH1006),$AB$1006:$AQ$1006,0)))),"Fix")))</f>
        <v>0</v>
      </c>
      <c r="I334" s="4">
        <f>IF(OR(INDEX($V$2:$V$1001,MATCH(ROWS($U$2:U334),$U$2:$U$1001,0),1)&gt;=100000,INDEX($AB$1005:$AQ$1005,1,MATCH(COLUMNS($AB$1006:AI1006),$AB$1006:$AQ$1006,0))&gt;=100000), " ",IF(INDEX($AB$2:$AQ$1001,MATCH(ROWS($U$2:U334),$U$2:$U$1001,0),MATCH(COLUMNS($AB$1006:AI1006),$AB$1006:$AQ$1006,0)), HYPERLINK("#",""), HYPERLINK(CONCATENATE("#metadata!", ADDRESS(INDEX($W$2:$W$1001,MATCH(ROWS($U$2:U334),$U$2:$U$1001,0),0), INDEX($AB$1004:$AQ$1004,1,MATCH(COLUMNS($AB$1006:AI1006),$AB$1006:$AQ$1006,0)))),"Fix")))</f>
        <v>0</v>
      </c>
      <c r="J334" s="4">
        <f>IF(OR(INDEX($V$2:$V$1001,MATCH(ROWS($U$2:U334),$U$2:$U$1001,0),1)&gt;=100000,INDEX($AB$1005:$AQ$1005,1,MATCH(COLUMNS($AB$1006:AJ1006),$AB$1006:$AQ$1006,0))&gt;=100000), " ",IF(INDEX($AB$2:$AQ$1001,MATCH(ROWS($U$2:U334),$U$2:$U$1001,0),MATCH(COLUMNS($AB$1006:AJ1006),$AB$1006:$AQ$1006,0)), HYPERLINK("#",""), HYPERLINK(CONCATENATE("#metadata!", ADDRESS(INDEX($W$2:$W$1001,MATCH(ROWS($U$2:U334),$U$2:$U$1001,0),0), INDEX($AB$1004:$AQ$1004,1,MATCH(COLUMNS($AB$1006:AJ1006),$AB$1006:$AQ$1006,0)))),"Fix")))</f>
        <v>0</v>
      </c>
      <c r="K334" s="4">
        <f>IF(OR(INDEX($V$2:$V$1001,MATCH(ROWS($U$2:U334),$U$2:$U$1001,0),1)&gt;=100000,INDEX($AB$1005:$AQ$1005,1,MATCH(COLUMNS($AB$1006:AK1006),$AB$1006:$AQ$1006,0))&gt;=100000), " ",IF(INDEX($AB$2:$AQ$1001,MATCH(ROWS($U$2:U334),$U$2:$U$1001,0),MATCH(COLUMNS($AB$1006:AK1006),$AB$1006:$AQ$1006,0)), HYPERLINK("#",""), HYPERLINK(CONCATENATE("#metadata!", ADDRESS(INDEX($W$2:$W$1001,MATCH(ROWS($U$2:U334),$U$2:$U$1001,0),0), INDEX($AB$1004:$AQ$1004,1,MATCH(COLUMNS($AB$1006:AK1006),$AB$1006:$AQ$1006,0)))),"Fix")))</f>
        <v>0</v>
      </c>
      <c r="L334" s="4">
        <f>IF(OR(INDEX($V$2:$V$1001,MATCH(ROWS($U$2:U334),$U$2:$U$1001,0),1)&gt;=100000,INDEX($AB$1005:$AQ$1005,1,MATCH(COLUMNS($AB$1006:AL1006),$AB$1006:$AQ$1006,0))&gt;=100000), " ",IF(INDEX($AB$2:$AQ$1001,MATCH(ROWS($U$2:U334),$U$2:$U$1001,0),MATCH(COLUMNS($AB$1006:AL1006),$AB$1006:$AQ$1006,0)), HYPERLINK("#",""), HYPERLINK(CONCATENATE("#metadata!", ADDRESS(INDEX($W$2:$W$1001,MATCH(ROWS($U$2:U334),$U$2:$U$1001,0),0), INDEX($AB$1004:$AQ$1004,1,MATCH(COLUMNS($AB$1006:AL1006),$AB$1006:$AQ$1006,0)))),"Fix")))</f>
        <v>0</v>
      </c>
      <c r="M334" s="4">
        <f>IF(OR(INDEX($V$2:$V$1001,MATCH(ROWS($U$2:U334),$U$2:$U$1001,0),1)&gt;=100000,INDEX($AB$1005:$AQ$1005,1,MATCH(COLUMNS($AB$1006:AM1006),$AB$1006:$AQ$1006,0))&gt;=100000), " ",IF(INDEX($AB$2:$AQ$1001,MATCH(ROWS($U$2:U334),$U$2:$U$1001,0),MATCH(COLUMNS($AB$1006:AM1006),$AB$1006:$AQ$1006,0)), HYPERLINK("#",""), HYPERLINK(CONCATENATE("#metadata!", ADDRESS(INDEX($W$2:$W$1001,MATCH(ROWS($U$2:U334),$U$2:$U$1001,0),0), INDEX($AB$1004:$AQ$1004,1,MATCH(COLUMNS($AB$1006:AM1006),$AB$1006:$AQ$1006,0)))),"Fix")))</f>
        <v>0</v>
      </c>
      <c r="N334" s="4">
        <f>IF(OR(INDEX($V$2:$V$1001,MATCH(ROWS($U$2:U334),$U$2:$U$1001,0),1)&gt;=100000,INDEX($AB$1005:$AQ$1005,1,MATCH(COLUMNS($AB$1006:AN1006),$AB$1006:$AQ$1006,0))&gt;=100000), " ",IF(INDEX($AB$2:$AQ$1001,MATCH(ROWS($U$2:U334),$U$2:$U$1001,0),MATCH(COLUMNS($AB$1006:AN1006),$AB$1006:$AQ$1006,0)), HYPERLINK("#",""), HYPERLINK(CONCATENATE("#metadata!", ADDRESS(INDEX($W$2:$W$1001,MATCH(ROWS($U$2:U334),$U$2:$U$1001,0),0), INDEX($AB$1004:$AQ$1004,1,MATCH(COLUMNS($AB$1006:AN1006),$AB$1006:$AQ$1006,0)))),"Fix")))</f>
        <v>0</v>
      </c>
      <c r="O334" s="4">
        <f>IF(OR(INDEX($V$2:$V$1001,MATCH(ROWS($U$2:U334),$U$2:$U$1001,0),1)&gt;=100000,INDEX($AB$1005:$AQ$1005,1,MATCH(COLUMNS($AB$1006:AO1006),$AB$1006:$AQ$1006,0))&gt;=100000), " ",IF(INDEX($AB$2:$AQ$1001,MATCH(ROWS($U$2:U334),$U$2:$U$1001,0),MATCH(COLUMNS($AB$1006:AO1006),$AB$1006:$AQ$1006,0)), HYPERLINK("#",""), HYPERLINK(CONCATENATE("#metadata!", ADDRESS(INDEX($W$2:$W$1001,MATCH(ROWS($U$2:U334),$U$2:$U$1001,0),0), INDEX($AB$1004:$AQ$1004,1,MATCH(COLUMNS($AB$1006:AO1006),$AB$1006:$AQ$1006,0)))),"Fix")))</f>
        <v>0</v>
      </c>
      <c r="P334" s="4">
        <f>IF(OR(INDEX($V$2:$V$1001,MATCH(ROWS($U$2:U334),$U$2:$U$1001,0),1)&gt;=100000,INDEX($AB$1005:$AQ$1005,1,MATCH(COLUMNS($AB$1006:AP1006),$AB$1006:$AQ$1006,0))&gt;=100000), " ",IF(INDEX($AB$2:$AQ$1001,MATCH(ROWS($U$2:U334),$U$2:$U$1001,0),MATCH(COLUMNS($AB$1006:AP1006),$AB$1006:$AQ$1006,0)), HYPERLINK("#",""), HYPERLINK(CONCATENATE("#metadata!", ADDRESS(INDEX($W$2:$W$1001,MATCH(ROWS($U$2:U334),$U$2:$U$1001,0),0), INDEX($AB$1004:$AQ$1004,1,MATCH(COLUMNS($AB$1006:AP1006),$AB$1006:$AQ$1006,0)))),"Fix")))</f>
        <v>0</v>
      </c>
      <c r="Q334" s="4">
        <f>IF(OR(INDEX($V$2:$V$1001,MATCH(ROWS($U$2:U334),$U$2:$U$1001,0),1)&gt;=100000,INDEX($AB$1005:$AQ$1005,1,MATCH(COLUMNS($AB$1006:AQ1006),$AB$1006:$AQ$1006,0))&gt;=100000), " ",IF(INDEX($AB$2:$AQ$1001,MATCH(ROWS($U$2:U334),$U$2:$U$1001,0),MATCH(COLUMNS($AB$1006:AQ1006),$AB$1006:$AQ$1006,0)), HYPERLINK("#",""), HYPERLINK(CONCATENATE("#metadata!", ADDRESS(INDEX($W$2:$W$1001,MATCH(ROWS($U$2:U334),$U$2:$U$1001,0),0), INDEX($AB$1004:$AQ$1004,1,MATCH(COLUMNS($AB$1006:AQ1006),$AB$1006:$AQ$1006,0)))),"Fix")))</f>
        <v>0</v>
      </c>
      <c r="U334">
        <v>0</v>
      </c>
      <c r="V334">
        <v>0</v>
      </c>
      <c r="W334">
        <v>0</v>
      </c>
      <c r="X334">
        <f>IF(Y334,TRUE,AND(AB334:AQ334))</f>
        <v>0</v>
      </c>
      <c r="Y334">
        <f>COUNTBLANK(metadata!B334:Q334)=COLUMNS(metadata!B334:Q334)</f>
        <v>0</v>
      </c>
      <c r="Z334">
        <v>0</v>
      </c>
      <c r="AB334">
        <f>AND(IF(metadata!B334="",FALSE,TRUE),COUNTIF(metadata!B:B, metadata!B334) = 1,NOT(ISERROR(SUMPRODUCT(SEARCH(MID(metadata!B334,ROW(INDIRECT("1:"&amp;LEN(metadata!B334))), 1),"0123456789abcdefghijklmnopqrstuvwxyzABCDEFGHIJKLMNOPQRSTUVWXYZ.")))))</f>
        <v>0</v>
      </c>
      <c r="AC334">
        <f>OR(AND(IF(metadata!C334="",FALSE,TRUE),OR(exact(metadata!C334,"missing: not collected"),exact(metadata!C334,"missing: not provided"),exact(metadata!C334,"missing: restricted access"))),AND(IF(metadata!C334="",FALSE,TRUE),AND(AND(IFERROR(INT(LEFT(metadata!C334,4))&gt;1900,FALSE),IFERROR(INT(LEFT(metadata!C334,4))&lt;=YEAR(NOW()),FALSE)), OR(MID(metadata!C334,5,1)="", AND(AND(MID(metadata!C334,5,1)="-",IFERROR(INT(MID(metadata!C334,6,1))&gt;=0,FALSE),IFERROR(INT(MID(metadata!C334,6,1))&lt;=1,FALSE),NOT(MID(metadata!C334,7,1)=""),IFERROR(INT(MID(metadata!C334,6,2))&gt;=1,FALSE),IFERROR(INT(MID(metadata!C334,6,2))&lt;=12,FALSE)), OR(MID(metadata!C334,8,1)="", AND(AND(MID(metadata!C334,8,1)="-",IFERROR(INT(MID(metadata!C334,9,1))&gt;=0,FALSE),IFERROR(INT(MID(metadata!C334,9,1))&lt;=3,FALSE),NOT(MID(metadata!C334,10,1)=""),IFERROR(INT(MID(metadata!C334,9,2))&gt;=1,FALSE),IFERROR(INT(MID(metadata!C334,9,2))&lt;=31,FALSE)), OR(MID(metadata!C334,11,1)="", AND(AND(MID(metadata!C334,11,1)=" ",IFERROR(INT(MID(metadata!C334,12,1))&gt;=0,FALSE),IFERROR(INT(MID(metadata!C334,12,1))&lt;=2,FALSE),NOT(MID(metadata!C334,13,1)=""),IFERROR(INT(MID(metadata!C334,12,2))&gt;=0,FALSE),IFERROR(INT(MID(metadata!C334,12,2))&lt;=23,FALSE)), OR(MID(metadata!C334,14,1)="", AND(AND(MID(metadata!C334,14,1)=":",IFERROR(INT(MID(metadata!C334,15,1))&gt;=0,FALSE),IFERROR(INT(MID(metadata!C334,15,1))&lt;=5,FALSE),NOT(MID(metadata!C334,16,1)=""),IFERROR(INT(MID(metadata!C334,15,2))&gt;=0,FALSE),IFERROR(INT(MID(metadata!C334,15,2))&lt;=59,FALSE)), OR(MID(metadata!C334,17,1)="", AND(AND(MID(metadata!C334,17,1)=":",IFERROR(INT(MID(metadata!C334,18,1))&gt;=0,FALSE),IFERROR(INT(MID(metadata!C334,18,1))&lt;=5,FALSE),NOT(MID(metadata!C334,19,1)=""),IFERROR(INT(MID(metadata!C334,18,2))&gt;=0,FALSE),IFERROR(INT(MID(metadata!C334,18,2))&lt;=59,FALSE)), LEN(metadata!C334)&lt;=19)))))))))))))</f>
        <v>0</v>
      </c>
      <c r="AD334">
        <f>IF(metadata!D334="",FALSE,TRUE)</f>
        <v>0</v>
      </c>
      <c r="AE334">
        <f>OR(AND(IF(metadata!E334="",FALSE,TRUE),OR(exact(metadata!E334,"missing: not collected"),exact(metadata!E334,"missing: not provided"))),AND(IF(metadata!E334="",FALSE,TRUE),OR(exact(metadata!E334,"TRUE"),exact(metadata!E334,"FALSE"))))</f>
        <v>0</v>
      </c>
      <c r="AF334">
        <f>IF(metadata!F334="",FALSE,TRUE)</f>
        <v>0</v>
      </c>
      <c r="AG334">
        <f>IF(metadata!G334="",FALSE,TRUE)</f>
        <v>0</v>
      </c>
      <c r="AH334">
        <f>IF(metadata!H334="",FALSE,TRUE)</f>
        <v>0</v>
      </c>
      <c r="AI334">
        <f>OR(AND(IF(metadata!I334="",FALSE,TRUE),OR(exact(metadata!I334,"missing: not collected"),exact(metadata!I334,"missing: not provided"),exact(metadata!I334,"missing: restricted access"))),AND(IF(metadata!I334="",FALSE,TRUE),OR(exact(metadata!I334,"air"),exact(metadata!I334,"built environment"),exact(metadata!I334,"host-associated"),exact(metadata!I334,"human-associated"),exact(metadata!I334,"human-skin"),exact(metadata!I334,"human-oral"),exact(metadata!I334,"human-gut"),exact(metadata!I334,"human-vaginal"),exact(metadata!I334,"microbial mat/biofilm"),exact(metadata!I334,"misc environment"),exact(metadata!I334,"plant-associated"),exact(metadata!I334,"sediment"),exact(metadata!I334,"soil"),exact(metadata!I334,"wastewater/sludge"),exact(metadata!I334,"water"))))</f>
        <v>0</v>
      </c>
      <c r="AJ334">
        <f>IF(metadata!J334="",FALSE,TRUE)</f>
        <v>0</v>
      </c>
      <c r="AK334">
        <f>OR(AND(IF(metadata!K334="",FALSE,TRUE),OR(exact(metadata!K334,"missing: not collected"),exact(metadata!K334,"missing: not provided"),exact(metadata!K334,"missing: restricted access"))),AND(IF(metadata!K334="",FALSE,ISNUMBER(VALUE(metadata!K334))),metadata!K334&gt;=-90.00,metadata!K334&lt;=90.00))</f>
        <v>0</v>
      </c>
      <c r="AL334">
        <f>OR(AND(IF(metadata!L334="",FALSE,TRUE),OR(exact(metadata!L334,"missing: not collected"),exact(metadata!L334,"missing: not provided"),exact(metadata!L334,"missing: restricted access"))),AND(IF(metadata!L334="",FALSE,ISNUMBER(VALUE(metadata!L334))),metadata!L334&gt;=-180.00,metadata!L334&lt;=180.00))</f>
        <v>0</v>
      </c>
      <c r="AM334">
        <f>IF(metadata!M334="",FALSE,TRUE)</f>
        <v>0</v>
      </c>
      <c r="AN334">
        <f>OR(AND(IF(metadata!N334="",FALSE,TRUE),OR(exact(metadata!N334,"missing: not collected"),exact(metadata!N334,"missing: not provided"),exact(metadata!N334,"missing: restricted access"))),AND(IF(metadata!N334="",FALSE,TRUE),OR(exact(metadata!N334,"TRUE"),exact(metadata!N334,"FALSE"))))</f>
        <v>0</v>
      </c>
      <c r="AO334">
        <f>IF(metadata!O334="",FALSE,TRUE)</f>
        <v>0</v>
      </c>
      <c r="AP334">
        <f>OR(AND(IF(metadata!P334="",FALSE,TRUE),OR(exact(metadata!P334,"missing: not collected"),exact(metadata!P334,"missing: not provided"))),AND(IF(metadata!P334="",FALSE,IF(ISERROR(INT(metadata!P334)),FALSE,INT(metadata!P334)=metadata!P334)),metadata!P334&gt;0))</f>
        <v>0</v>
      </c>
      <c r="AQ334">
        <f>IF(metadata!Q334="",FALSE,TRUE)</f>
        <v>0</v>
      </c>
    </row>
    <row r="335" spans="1:43">
      <c r="A335" s="5">
        <f>IF(B335=" "," ",HYPERLINK(CONCATENATE("#metadata!",ADDRESS(INDEX($W$2:$W$1001,MATCH(ROWS($U$2:U335),$U$2:$U$1001,0),0),1)),INDEX($Z$2:$Z$1001,MATCH(ROWS($U$2:U335),$U$2:$U$1001,0),0)))</f>
        <v>0</v>
      </c>
      <c r="B335" s="4">
        <f>IF(OR(INDEX($V$2:$V$1001,MATCH(ROWS($U$2:U335),$U$2:$U$1001,0),1)&gt;=100000,INDEX($AB$1005:$AQ$1005,1,MATCH(COLUMNS($AB$1006:AB1006),$AB$1006:$AQ$1006,0))&gt;=100000), " ",IF(INDEX($AB$2:$AQ$1001,MATCH(ROWS($U$2:U335),$U$2:$U$1001,0),MATCH(COLUMNS($AB$1006:AB1006),$AB$1006:$AQ$1006,0)), HYPERLINK("#",""), HYPERLINK(CONCATENATE("#metadata!", ADDRESS(INDEX($W$2:$W$1001,MATCH(ROWS($U$2:U335),$U$2:$U$1001,0),0), INDEX($AB$1004:$AQ$1004,1,MATCH(COLUMNS($AB$1006:AB1006),$AB$1006:$AQ$1006,0)))),"Fix")))</f>
        <v>0</v>
      </c>
      <c r="C335" s="4">
        <f>IF(OR(INDEX($V$2:$V$1001,MATCH(ROWS($U$2:U335),$U$2:$U$1001,0),1)&gt;=100000,INDEX($AB$1005:$AQ$1005,1,MATCH(COLUMNS($AB$1006:AC1006),$AB$1006:$AQ$1006,0))&gt;=100000), " ",IF(INDEX($AB$2:$AQ$1001,MATCH(ROWS($U$2:U335),$U$2:$U$1001,0),MATCH(COLUMNS($AB$1006:AC1006),$AB$1006:$AQ$1006,0)), HYPERLINK("#",""), HYPERLINK(CONCATENATE("#metadata!", ADDRESS(INDEX($W$2:$W$1001,MATCH(ROWS($U$2:U335),$U$2:$U$1001,0),0), INDEX($AB$1004:$AQ$1004,1,MATCH(COLUMNS($AB$1006:AC1006),$AB$1006:$AQ$1006,0)))),"Fix")))</f>
        <v>0</v>
      </c>
      <c r="D335" s="4">
        <f>IF(OR(INDEX($V$2:$V$1001,MATCH(ROWS($U$2:U335),$U$2:$U$1001,0),1)&gt;=100000,INDEX($AB$1005:$AQ$1005,1,MATCH(COLUMNS($AB$1006:AD1006),$AB$1006:$AQ$1006,0))&gt;=100000), " ",IF(INDEX($AB$2:$AQ$1001,MATCH(ROWS($U$2:U335),$U$2:$U$1001,0),MATCH(COLUMNS($AB$1006:AD1006),$AB$1006:$AQ$1006,0)), HYPERLINK("#",""), HYPERLINK(CONCATENATE("#metadata!", ADDRESS(INDEX($W$2:$W$1001,MATCH(ROWS($U$2:U335),$U$2:$U$1001,0),0), INDEX($AB$1004:$AQ$1004,1,MATCH(COLUMNS($AB$1006:AD1006),$AB$1006:$AQ$1006,0)))),"Fix")))</f>
        <v>0</v>
      </c>
      <c r="E335" s="4">
        <f>IF(OR(INDEX($V$2:$V$1001,MATCH(ROWS($U$2:U335),$U$2:$U$1001,0),1)&gt;=100000,INDEX($AB$1005:$AQ$1005,1,MATCH(COLUMNS($AB$1006:AE1006),$AB$1006:$AQ$1006,0))&gt;=100000), " ",IF(INDEX($AB$2:$AQ$1001,MATCH(ROWS($U$2:U335),$U$2:$U$1001,0),MATCH(COLUMNS($AB$1006:AE1006),$AB$1006:$AQ$1006,0)), HYPERLINK("#",""), HYPERLINK(CONCATENATE("#metadata!", ADDRESS(INDEX($W$2:$W$1001,MATCH(ROWS($U$2:U335),$U$2:$U$1001,0),0), INDEX($AB$1004:$AQ$1004,1,MATCH(COLUMNS($AB$1006:AE1006),$AB$1006:$AQ$1006,0)))),"Fix")))</f>
        <v>0</v>
      </c>
      <c r="F335" s="4">
        <f>IF(OR(INDEX($V$2:$V$1001,MATCH(ROWS($U$2:U335),$U$2:$U$1001,0),1)&gt;=100000,INDEX($AB$1005:$AQ$1005,1,MATCH(COLUMNS($AB$1006:AF1006),$AB$1006:$AQ$1006,0))&gt;=100000), " ",IF(INDEX($AB$2:$AQ$1001,MATCH(ROWS($U$2:U335),$U$2:$U$1001,0),MATCH(COLUMNS($AB$1006:AF1006),$AB$1006:$AQ$1006,0)), HYPERLINK("#",""), HYPERLINK(CONCATENATE("#metadata!", ADDRESS(INDEX($W$2:$W$1001,MATCH(ROWS($U$2:U335),$U$2:$U$1001,0),0), INDEX($AB$1004:$AQ$1004,1,MATCH(COLUMNS($AB$1006:AF1006),$AB$1006:$AQ$1006,0)))),"Fix")))</f>
        <v>0</v>
      </c>
      <c r="G335" s="4">
        <f>IF(OR(INDEX($V$2:$V$1001,MATCH(ROWS($U$2:U335),$U$2:$U$1001,0),1)&gt;=100000,INDEX($AB$1005:$AQ$1005,1,MATCH(COLUMNS($AB$1006:AG1006),$AB$1006:$AQ$1006,0))&gt;=100000), " ",IF(INDEX($AB$2:$AQ$1001,MATCH(ROWS($U$2:U335),$U$2:$U$1001,0),MATCH(COLUMNS($AB$1006:AG1006),$AB$1006:$AQ$1006,0)), HYPERLINK("#",""), HYPERLINK(CONCATENATE("#metadata!", ADDRESS(INDEX($W$2:$W$1001,MATCH(ROWS($U$2:U335),$U$2:$U$1001,0),0), INDEX($AB$1004:$AQ$1004,1,MATCH(COLUMNS($AB$1006:AG1006),$AB$1006:$AQ$1006,0)))),"Fix")))</f>
        <v>0</v>
      </c>
      <c r="H335" s="4">
        <f>IF(OR(INDEX($V$2:$V$1001,MATCH(ROWS($U$2:U335),$U$2:$U$1001,0),1)&gt;=100000,INDEX($AB$1005:$AQ$1005,1,MATCH(COLUMNS($AB$1006:AH1006),$AB$1006:$AQ$1006,0))&gt;=100000), " ",IF(INDEX($AB$2:$AQ$1001,MATCH(ROWS($U$2:U335),$U$2:$U$1001,0),MATCH(COLUMNS($AB$1006:AH1006),$AB$1006:$AQ$1006,0)), HYPERLINK("#",""), HYPERLINK(CONCATENATE("#metadata!", ADDRESS(INDEX($W$2:$W$1001,MATCH(ROWS($U$2:U335),$U$2:$U$1001,0),0), INDEX($AB$1004:$AQ$1004,1,MATCH(COLUMNS($AB$1006:AH1006),$AB$1006:$AQ$1006,0)))),"Fix")))</f>
        <v>0</v>
      </c>
      <c r="I335" s="4">
        <f>IF(OR(INDEX($V$2:$V$1001,MATCH(ROWS($U$2:U335),$U$2:$U$1001,0),1)&gt;=100000,INDEX($AB$1005:$AQ$1005,1,MATCH(COLUMNS($AB$1006:AI1006),$AB$1006:$AQ$1006,0))&gt;=100000), " ",IF(INDEX($AB$2:$AQ$1001,MATCH(ROWS($U$2:U335),$U$2:$U$1001,0),MATCH(COLUMNS($AB$1006:AI1006),$AB$1006:$AQ$1006,0)), HYPERLINK("#",""), HYPERLINK(CONCATENATE("#metadata!", ADDRESS(INDEX($W$2:$W$1001,MATCH(ROWS($U$2:U335),$U$2:$U$1001,0),0), INDEX($AB$1004:$AQ$1004,1,MATCH(COLUMNS($AB$1006:AI1006),$AB$1006:$AQ$1006,0)))),"Fix")))</f>
        <v>0</v>
      </c>
      <c r="J335" s="4">
        <f>IF(OR(INDEX($V$2:$V$1001,MATCH(ROWS($U$2:U335),$U$2:$U$1001,0),1)&gt;=100000,INDEX($AB$1005:$AQ$1005,1,MATCH(COLUMNS($AB$1006:AJ1006),$AB$1006:$AQ$1006,0))&gt;=100000), " ",IF(INDEX($AB$2:$AQ$1001,MATCH(ROWS($U$2:U335),$U$2:$U$1001,0),MATCH(COLUMNS($AB$1006:AJ1006),$AB$1006:$AQ$1006,0)), HYPERLINK("#",""), HYPERLINK(CONCATENATE("#metadata!", ADDRESS(INDEX($W$2:$W$1001,MATCH(ROWS($U$2:U335),$U$2:$U$1001,0),0), INDEX($AB$1004:$AQ$1004,1,MATCH(COLUMNS($AB$1006:AJ1006),$AB$1006:$AQ$1006,0)))),"Fix")))</f>
        <v>0</v>
      </c>
      <c r="K335" s="4">
        <f>IF(OR(INDEX($V$2:$V$1001,MATCH(ROWS($U$2:U335),$U$2:$U$1001,0),1)&gt;=100000,INDEX($AB$1005:$AQ$1005,1,MATCH(COLUMNS($AB$1006:AK1006),$AB$1006:$AQ$1006,0))&gt;=100000), " ",IF(INDEX($AB$2:$AQ$1001,MATCH(ROWS($U$2:U335),$U$2:$U$1001,0),MATCH(COLUMNS($AB$1006:AK1006),$AB$1006:$AQ$1006,0)), HYPERLINK("#",""), HYPERLINK(CONCATENATE("#metadata!", ADDRESS(INDEX($W$2:$W$1001,MATCH(ROWS($U$2:U335),$U$2:$U$1001,0),0), INDEX($AB$1004:$AQ$1004,1,MATCH(COLUMNS($AB$1006:AK1006),$AB$1006:$AQ$1006,0)))),"Fix")))</f>
        <v>0</v>
      </c>
      <c r="L335" s="4">
        <f>IF(OR(INDEX($V$2:$V$1001,MATCH(ROWS($U$2:U335),$U$2:$U$1001,0),1)&gt;=100000,INDEX($AB$1005:$AQ$1005,1,MATCH(COLUMNS($AB$1006:AL1006),$AB$1006:$AQ$1006,0))&gt;=100000), " ",IF(INDEX($AB$2:$AQ$1001,MATCH(ROWS($U$2:U335),$U$2:$U$1001,0),MATCH(COLUMNS($AB$1006:AL1006),$AB$1006:$AQ$1006,0)), HYPERLINK("#",""), HYPERLINK(CONCATENATE("#metadata!", ADDRESS(INDEX($W$2:$W$1001,MATCH(ROWS($U$2:U335),$U$2:$U$1001,0),0), INDEX($AB$1004:$AQ$1004,1,MATCH(COLUMNS($AB$1006:AL1006),$AB$1006:$AQ$1006,0)))),"Fix")))</f>
        <v>0</v>
      </c>
      <c r="M335" s="4">
        <f>IF(OR(INDEX($V$2:$V$1001,MATCH(ROWS($U$2:U335),$U$2:$U$1001,0),1)&gt;=100000,INDEX($AB$1005:$AQ$1005,1,MATCH(COLUMNS($AB$1006:AM1006),$AB$1006:$AQ$1006,0))&gt;=100000), " ",IF(INDEX($AB$2:$AQ$1001,MATCH(ROWS($U$2:U335),$U$2:$U$1001,0),MATCH(COLUMNS($AB$1006:AM1006),$AB$1006:$AQ$1006,0)), HYPERLINK("#",""), HYPERLINK(CONCATENATE("#metadata!", ADDRESS(INDEX($W$2:$W$1001,MATCH(ROWS($U$2:U335),$U$2:$U$1001,0),0), INDEX($AB$1004:$AQ$1004,1,MATCH(COLUMNS($AB$1006:AM1006),$AB$1006:$AQ$1006,0)))),"Fix")))</f>
        <v>0</v>
      </c>
      <c r="N335" s="4">
        <f>IF(OR(INDEX($V$2:$V$1001,MATCH(ROWS($U$2:U335),$U$2:$U$1001,0),1)&gt;=100000,INDEX($AB$1005:$AQ$1005,1,MATCH(COLUMNS($AB$1006:AN1006),$AB$1006:$AQ$1006,0))&gt;=100000), " ",IF(INDEX($AB$2:$AQ$1001,MATCH(ROWS($U$2:U335),$U$2:$U$1001,0),MATCH(COLUMNS($AB$1006:AN1006),$AB$1006:$AQ$1006,0)), HYPERLINK("#",""), HYPERLINK(CONCATENATE("#metadata!", ADDRESS(INDEX($W$2:$W$1001,MATCH(ROWS($U$2:U335),$U$2:$U$1001,0),0), INDEX($AB$1004:$AQ$1004,1,MATCH(COLUMNS($AB$1006:AN1006),$AB$1006:$AQ$1006,0)))),"Fix")))</f>
        <v>0</v>
      </c>
      <c r="O335" s="4">
        <f>IF(OR(INDEX($V$2:$V$1001,MATCH(ROWS($U$2:U335),$U$2:$U$1001,0),1)&gt;=100000,INDEX($AB$1005:$AQ$1005,1,MATCH(COLUMNS($AB$1006:AO1006),$AB$1006:$AQ$1006,0))&gt;=100000), " ",IF(INDEX($AB$2:$AQ$1001,MATCH(ROWS($U$2:U335),$U$2:$U$1001,0),MATCH(COLUMNS($AB$1006:AO1006),$AB$1006:$AQ$1006,0)), HYPERLINK("#",""), HYPERLINK(CONCATENATE("#metadata!", ADDRESS(INDEX($W$2:$W$1001,MATCH(ROWS($U$2:U335),$U$2:$U$1001,0),0), INDEX($AB$1004:$AQ$1004,1,MATCH(COLUMNS($AB$1006:AO1006),$AB$1006:$AQ$1006,0)))),"Fix")))</f>
        <v>0</v>
      </c>
      <c r="P335" s="4">
        <f>IF(OR(INDEX($V$2:$V$1001,MATCH(ROWS($U$2:U335),$U$2:$U$1001,0),1)&gt;=100000,INDEX($AB$1005:$AQ$1005,1,MATCH(COLUMNS($AB$1006:AP1006),$AB$1006:$AQ$1006,0))&gt;=100000), " ",IF(INDEX($AB$2:$AQ$1001,MATCH(ROWS($U$2:U335),$U$2:$U$1001,0),MATCH(COLUMNS($AB$1006:AP1006),$AB$1006:$AQ$1006,0)), HYPERLINK("#",""), HYPERLINK(CONCATENATE("#metadata!", ADDRESS(INDEX($W$2:$W$1001,MATCH(ROWS($U$2:U335),$U$2:$U$1001,0),0), INDEX($AB$1004:$AQ$1004,1,MATCH(COLUMNS($AB$1006:AP1006),$AB$1006:$AQ$1006,0)))),"Fix")))</f>
        <v>0</v>
      </c>
      <c r="Q335" s="4">
        <f>IF(OR(INDEX($V$2:$V$1001,MATCH(ROWS($U$2:U335),$U$2:$U$1001,0),1)&gt;=100000,INDEX($AB$1005:$AQ$1005,1,MATCH(COLUMNS($AB$1006:AQ1006),$AB$1006:$AQ$1006,0))&gt;=100000), " ",IF(INDEX($AB$2:$AQ$1001,MATCH(ROWS($U$2:U335),$U$2:$U$1001,0),MATCH(COLUMNS($AB$1006:AQ1006),$AB$1006:$AQ$1006,0)), HYPERLINK("#",""), HYPERLINK(CONCATENATE("#metadata!", ADDRESS(INDEX($W$2:$W$1001,MATCH(ROWS($U$2:U335),$U$2:$U$1001,0),0), INDEX($AB$1004:$AQ$1004,1,MATCH(COLUMNS($AB$1006:AQ1006),$AB$1006:$AQ$1006,0)))),"Fix")))</f>
        <v>0</v>
      </c>
      <c r="U335">
        <v>0</v>
      </c>
      <c r="V335">
        <v>0</v>
      </c>
      <c r="W335">
        <v>0</v>
      </c>
      <c r="X335">
        <f>IF(Y335,TRUE,AND(AB335:AQ335))</f>
        <v>0</v>
      </c>
      <c r="Y335">
        <f>COUNTBLANK(metadata!B335:Q335)=COLUMNS(metadata!B335:Q335)</f>
        <v>0</v>
      </c>
      <c r="Z335">
        <v>0</v>
      </c>
      <c r="AB335">
        <f>AND(IF(metadata!B335="",FALSE,TRUE),COUNTIF(metadata!B:B, metadata!B335) = 1,NOT(ISERROR(SUMPRODUCT(SEARCH(MID(metadata!B335,ROW(INDIRECT("1:"&amp;LEN(metadata!B335))), 1),"0123456789abcdefghijklmnopqrstuvwxyzABCDEFGHIJKLMNOPQRSTUVWXYZ.")))))</f>
        <v>0</v>
      </c>
      <c r="AC335">
        <f>OR(AND(IF(metadata!C335="",FALSE,TRUE),OR(exact(metadata!C335,"missing: not collected"),exact(metadata!C335,"missing: not provided"),exact(metadata!C335,"missing: restricted access"))),AND(IF(metadata!C335="",FALSE,TRUE),AND(AND(IFERROR(INT(LEFT(metadata!C335,4))&gt;1900,FALSE),IFERROR(INT(LEFT(metadata!C335,4))&lt;=YEAR(NOW()),FALSE)), OR(MID(metadata!C335,5,1)="", AND(AND(MID(metadata!C335,5,1)="-",IFERROR(INT(MID(metadata!C335,6,1))&gt;=0,FALSE),IFERROR(INT(MID(metadata!C335,6,1))&lt;=1,FALSE),NOT(MID(metadata!C335,7,1)=""),IFERROR(INT(MID(metadata!C335,6,2))&gt;=1,FALSE),IFERROR(INT(MID(metadata!C335,6,2))&lt;=12,FALSE)), OR(MID(metadata!C335,8,1)="", AND(AND(MID(metadata!C335,8,1)="-",IFERROR(INT(MID(metadata!C335,9,1))&gt;=0,FALSE),IFERROR(INT(MID(metadata!C335,9,1))&lt;=3,FALSE),NOT(MID(metadata!C335,10,1)=""),IFERROR(INT(MID(metadata!C335,9,2))&gt;=1,FALSE),IFERROR(INT(MID(metadata!C335,9,2))&lt;=31,FALSE)), OR(MID(metadata!C335,11,1)="", AND(AND(MID(metadata!C335,11,1)=" ",IFERROR(INT(MID(metadata!C335,12,1))&gt;=0,FALSE),IFERROR(INT(MID(metadata!C335,12,1))&lt;=2,FALSE),NOT(MID(metadata!C335,13,1)=""),IFERROR(INT(MID(metadata!C335,12,2))&gt;=0,FALSE),IFERROR(INT(MID(metadata!C335,12,2))&lt;=23,FALSE)), OR(MID(metadata!C335,14,1)="", AND(AND(MID(metadata!C335,14,1)=":",IFERROR(INT(MID(metadata!C335,15,1))&gt;=0,FALSE),IFERROR(INT(MID(metadata!C335,15,1))&lt;=5,FALSE),NOT(MID(metadata!C335,16,1)=""),IFERROR(INT(MID(metadata!C335,15,2))&gt;=0,FALSE),IFERROR(INT(MID(metadata!C335,15,2))&lt;=59,FALSE)), OR(MID(metadata!C335,17,1)="", AND(AND(MID(metadata!C335,17,1)=":",IFERROR(INT(MID(metadata!C335,18,1))&gt;=0,FALSE),IFERROR(INT(MID(metadata!C335,18,1))&lt;=5,FALSE),NOT(MID(metadata!C335,19,1)=""),IFERROR(INT(MID(metadata!C335,18,2))&gt;=0,FALSE),IFERROR(INT(MID(metadata!C335,18,2))&lt;=59,FALSE)), LEN(metadata!C335)&lt;=19)))))))))))))</f>
        <v>0</v>
      </c>
      <c r="AD335">
        <f>IF(metadata!D335="",FALSE,TRUE)</f>
        <v>0</v>
      </c>
      <c r="AE335">
        <f>OR(AND(IF(metadata!E335="",FALSE,TRUE),OR(exact(metadata!E335,"missing: not collected"),exact(metadata!E335,"missing: not provided"))),AND(IF(metadata!E335="",FALSE,TRUE),OR(exact(metadata!E335,"TRUE"),exact(metadata!E335,"FALSE"))))</f>
        <v>0</v>
      </c>
      <c r="AF335">
        <f>IF(metadata!F335="",FALSE,TRUE)</f>
        <v>0</v>
      </c>
      <c r="AG335">
        <f>IF(metadata!G335="",FALSE,TRUE)</f>
        <v>0</v>
      </c>
      <c r="AH335">
        <f>IF(metadata!H335="",FALSE,TRUE)</f>
        <v>0</v>
      </c>
      <c r="AI335">
        <f>OR(AND(IF(metadata!I335="",FALSE,TRUE),OR(exact(metadata!I335,"missing: not collected"),exact(metadata!I335,"missing: not provided"),exact(metadata!I335,"missing: restricted access"))),AND(IF(metadata!I335="",FALSE,TRUE),OR(exact(metadata!I335,"air"),exact(metadata!I335,"built environment"),exact(metadata!I335,"host-associated"),exact(metadata!I335,"human-associated"),exact(metadata!I335,"human-skin"),exact(metadata!I335,"human-oral"),exact(metadata!I335,"human-gut"),exact(metadata!I335,"human-vaginal"),exact(metadata!I335,"microbial mat/biofilm"),exact(metadata!I335,"misc environment"),exact(metadata!I335,"plant-associated"),exact(metadata!I335,"sediment"),exact(metadata!I335,"soil"),exact(metadata!I335,"wastewater/sludge"),exact(metadata!I335,"water"))))</f>
        <v>0</v>
      </c>
      <c r="AJ335">
        <f>IF(metadata!J335="",FALSE,TRUE)</f>
        <v>0</v>
      </c>
      <c r="AK335">
        <f>OR(AND(IF(metadata!K335="",FALSE,TRUE),OR(exact(metadata!K335,"missing: not collected"),exact(metadata!K335,"missing: not provided"),exact(metadata!K335,"missing: restricted access"))),AND(IF(metadata!K335="",FALSE,ISNUMBER(VALUE(metadata!K335))),metadata!K335&gt;=-90.00,metadata!K335&lt;=90.00))</f>
        <v>0</v>
      </c>
      <c r="AL335">
        <f>OR(AND(IF(metadata!L335="",FALSE,TRUE),OR(exact(metadata!L335,"missing: not collected"),exact(metadata!L335,"missing: not provided"),exact(metadata!L335,"missing: restricted access"))),AND(IF(metadata!L335="",FALSE,ISNUMBER(VALUE(metadata!L335))),metadata!L335&gt;=-180.00,metadata!L335&lt;=180.00))</f>
        <v>0</v>
      </c>
      <c r="AM335">
        <f>IF(metadata!M335="",FALSE,TRUE)</f>
        <v>0</v>
      </c>
      <c r="AN335">
        <f>OR(AND(IF(metadata!N335="",FALSE,TRUE),OR(exact(metadata!N335,"missing: not collected"),exact(metadata!N335,"missing: not provided"),exact(metadata!N335,"missing: restricted access"))),AND(IF(metadata!N335="",FALSE,TRUE),OR(exact(metadata!N335,"TRUE"),exact(metadata!N335,"FALSE"))))</f>
        <v>0</v>
      </c>
      <c r="AO335">
        <f>IF(metadata!O335="",FALSE,TRUE)</f>
        <v>0</v>
      </c>
      <c r="AP335">
        <f>OR(AND(IF(metadata!P335="",FALSE,TRUE),OR(exact(metadata!P335,"missing: not collected"),exact(metadata!P335,"missing: not provided"))),AND(IF(metadata!P335="",FALSE,IF(ISERROR(INT(metadata!P335)),FALSE,INT(metadata!P335)=metadata!P335)),metadata!P335&gt;0))</f>
        <v>0</v>
      </c>
      <c r="AQ335">
        <f>IF(metadata!Q335="",FALSE,TRUE)</f>
        <v>0</v>
      </c>
    </row>
    <row r="336" spans="1:43">
      <c r="A336" s="5">
        <f>IF(B336=" "," ",HYPERLINK(CONCATENATE("#metadata!",ADDRESS(INDEX($W$2:$W$1001,MATCH(ROWS($U$2:U336),$U$2:$U$1001,0),0),1)),INDEX($Z$2:$Z$1001,MATCH(ROWS($U$2:U336),$U$2:$U$1001,0),0)))</f>
        <v>0</v>
      </c>
      <c r="B336" s="4">
        <f>IF(OR(INDEX($V$2:$V$1001,MATCH(ROWS($U$2:U336),$U$2:$U$1001,0),1)&gt;=100000,INDEX($AB$1005:$AQ$1005,1,MATCH(COLUMNS($AB$1006:AB1006),$AB$1006:$AQ$1006,0))&gt;=100000), " ",IF(INDEX($AB$2:$AQ$1001,MATCH(ROWS($U$2:U336),$U$2:$U$1001,0),MATCH(COLUMNS($AB$1006:AB1006),$AB$1006:$AQ$1006,0)), HYPERLINK("#",""), HYPERLINK(CONCATENATE("#metadata!", ADDRESS(INDEX($W$2:$W$1001,MATCH(ROWS($U$2:U336),$U$2:$U$1001,0),0), INDEX($AB$1004:$AQ$1004,1,MATCH(COLUMNS($AB$1006:AB1006),$AB$1006:$AQ$1006,0)))),"Fix")))</f>
        <v>0</v>
      </c>
      <c r="C336" s="4">
        <f>IF(OR(INDEX($V$2:$V$1001,MATCH(ROWS($U$2:U336),$U$2:$U$1001,0),1)&gt;=100000,INDEX($AB$1005:$AQ$1005,1,MATCH(COLUMNS($AB$1006:AC1006),$AB$1006:$AQ$1006,0))&gt;=100000), " ",IF(INDEX($AB$2:$AQ$1001,MATCH(ROWS($U$2:U336),$U$2:$U$1001,0),MATCH(COLUMNS($AB$1006:AC1006),$AB$1006:$AQ$1006,0)), HYPERLINK("#",""), HYPERLINK(CONCATENATE("#metadata!", ADDRESS(INDEX($W$2:$W$1001,MATCH(ROWS($U$2:U336),$U$2:$U$1001,0),0), INDEX($AB$1004:$AQ$1004,1,MATCH(COLUMNS($AB$1006:AC1006),$AB$1006:$AQ$1006,0)))),"Fix")))</f>
        <v>0</v>
      </c>
      <c r="D336" s="4">
        <f>IF(OR(INDEX($V$2:$V$1001,MATCH(ROWS($U$2:U336),$U$2:$U$1001,0),1)&gt;=100000,INDEX($AB$1005:$AQ$1005,1,MATCH(COLUMNS($AB$1006:AD1006),$AB$1006:$AQ$1006,0))&gt;=100000), " ",IF(INDEX($AB$2:$AQ$1001,MATCH(ROWS($U$2:U336),$U$2:$U$1001,0),MATCH(COLUMNS($AB$1006:AD1006),$AB$1006:$AQ$1006,0)), HYPERLINK("#",""), HYPERLINK(CONCATENATE("#metadata!", ADDRESS(INDEX($W$2:$W$1001,MATCH(ROWS($U$2:U336),$U$2:$U$1001,0),0), INDEX($AB$1004:$AQ$1004,1,MATCH(COLUMNS($AB$1006:AD1006),$AB$1006:$AQ$1006,0)))),"Fix")))</f>
        <v>0</v>
      </c>
      <c r="E336" s="4">
        <f>IF(OR(INDEX($V$2:$V$1001,MATCH(ROWS($U$2:U336),$U$2:$U$1001,0),1)&gt;=100000,INDEX($AB$1005:$AQ$1005,1,MATCH(COLUMNS($AB$1006:AE1006),$AB$1006:$AQ$1006,0))&gt;=100000), " ",IF(INDEX($AB$2:$AQ$1001,MATCH(ROWS($U$2:U336),$U$2:$U$1001,0),MATCH(COLUMNS($AB$1006:AE1006),$AB$1006:$AQ$1006,0)), HYPERLINK("#",""), HYPERLINK(CONCATENATE("#metadata!", ADDRESS(INDEX($W$2:$W$1001,MATCH(ROWS($U$2:U336),$U$2:$U$1001,0),0), INDEX($AB$1004:$AQ$1004,1,MATCH(COLUMNS($AB$1006:AE1006),$AB$1006:$AQ$1006,0)))),"Fix")))</f>
        <v>0</v>
      </c>
      <c r="F336" s="4">
        <f>IF(OR(INDEX($V$2:$V$1001,MATCH(ROWS($U$2:U336),$U$2:$U$1001,0),1)&gt;=100000,INDEX($AB$1005:$AQ$1005,1,MATCH(COLUMNS($AB$1006:AF1006),$AB$1006:$AQ$1006,0))&gt;=100000), " ",IF(INDEX($AB$2:$AQ$1001,MATCH(ROWS($U$2:U336),$U$2:$U$1001,0),MATCH(COLUMNS($AB$1006:AF1006),$AB$1006:$AQ$1006,0)), HYPERLINK("#",""), HYPERLINK(CONCATENATE("#metadata!", ADDRESS(INDEX($W$2:$W$1001,MATCH(ROWS($U$2:U336),$U$2:$U$1001,0),0), INDEX($AB$1004:$AQ$1004,1,MATCH(COLUMNS($AB$1006:AF1006),$AB$1006:$AQ$1006,0)))),"Fix")))</f>
        <v>0</v>
      </c>
      <c r="G336" s="4">
        <f>IF(OR(INDEX($V$2:$V$1001,MATCH(ROWS($U$2:U336),$U$2:$U$1001,0),1)&gt;=100000,INDEX($AB$1005:$AQ$1005,1,MATCH(COLUMNS($AB$1006:AG1006),$AB$1006:$AQ$1006,0))&gt;=100000), " ",IF(INDEX($AB$2:$AQ$1001,MATCH(ROWS($U$2:U336),$U$2:$U$1001,0),MATCH(COLUMNS($AB$1006:AG1006),$AB$1006:$AQ$1006,0)), HYPERLINK("#",""), HYPERLINK(CONCATENATE("#metadata!", ADDRESS(INDEX($W$2:$W$1001,MATCH(ROWS($U$2:U336),$U$2:$U$1001,0),0), INDEX($AB$1004:$AQ$1004,1,MATCH(COLUMNS($AB$1006:AG1006),$AB$1006:$AQ$1006,0)))),"Fix")))</f>
        <v>0</v>
      </c>
      <c r="H336" s="4">
        <f>IF(OR(INDEX($V$2:$V$1001,MATCH(ROWS($U$2:U336),$U$2:$U$1001,0),1)&gt;=100000,INDEX($AB$1005:$AQ$1005,1,MATCH(COLUMNS($AB$1006:AH1006),$AB$1006:$AQ$1006,0))&gt;=100000), " ",IF(INDEX($AB$2:$AQ$1001,MATCH(ROWS($U$2:U336),$U$2:$U$1001,0),MATCH(COLUMNS($AB$1006:AH1006),$AB$1006:$AQ$1006,0)), HYPERLINK("#",""), HYPERLINK(CONCATENATE("#metadata!", ADDRESS(INDEX($W$2:$W$1001,MATCH(ROWS($U$2:U336),$U$2:$U$1001,0),0), INDEX($AB$1004:$AQ$1004,1,MATCH(COLUMNS($AB$1006:AH1006),$AB$1006:$AQ$1006,0)))),"Fix")))</f>
        <v>0</v>
      </c>
      <c r="I336" s="4">
        <f>IF(OR(INDEX($V$2:$V$1001,MATCH(ROWS($U$2:U336),$U$2:$U$1001,0),1)&gt;=100000,INDEX($AB$1005:$AQ$1005,1,MATCH(COLUMNS($AB$1006:AI1006),$AB$1006:$AQ$1006,0))&gt;=100000), " ",IF(INDEX($AB$2:$AQ$1001,MATCH(ROWS($U$2:U336),$U$2:$U$1001,0),MATCH(COLUMNS($AB$1006:AI1006),$AB$1006:$AQ$1006,0)), HYPERLINK("#",""), HYPERLINK(CONCATENATE("#metadata!", ADDRESS(INDEX($W$2:$W$1001,MATCH(ROWS($U$2:U336),$U$2:$U$1001,0),0), INDEX($AB$1004:$AQ$1004,1,MATCH(COLUMNS($AB$1006:AI1006),$AB$1006:$AQ$1006,0)))),"Fix")))</f>
        <v>0</v>
      </c>
      <c r="J336" s="4">
        <f>IF(OR(INDEX($V$2:$V$1001,MATCH(ROWS($U$2:U336),$U$2:$U$1001,0),1)&gt;=100000,INDEX($AB$1005:$AQ$1005,1,MATCH(COLUMNS($AB$1006:AJ1006),$AB$1006:$AQ$1006,0))&gt;=100000), " ",IF(INDEX($AB$2:$AQ$1001,MATCH(ROWS($U$2:U336),$U$2:$U$1001,0),MATCH(COLUMNS($AB$1006:AJ1006),$AB$1006:$AQ$1006,0)), HYPERLINK("#",""), HYPERLINK(CONCATENATE("#metadata!", ADDRESS(INDEX($W$2:$W$1001,MATCH(ROWS($U$2:U336),$U$2:$U$1001,0),0), INDEX($AB$1004:$AQ$1004,1,MATCH(COLUMNS($AB$1006:AJ1006),$AB$1006:$AQ$1006,0)))),"Fix")))</f>
        <v>0</v>
      </c>
      <c r="K336" s="4">
        <f>IF(OR(INDEX($V$2:$V$1001,MATCH(ROWS($U$2:U336),$U$2:$U$1001,0),1)&gt;=100000,INDEX($AB$1005:$AQ$1005,1,MATCH(COLUMNS($AB$1006:AK1006),$AB$1006:$AQ$1006,0))&gt;=100000), " ",IF(INDEX($AB$2:$AQ$1001,MATCH(ROWS($U$2:U336),$U$2:$U$1001,0),MATCH(COLUMNS($AB$1006:AK1006),$AB$1006:$AQ$1006,0)), HYPERLINK("#",""), HYPERLINK(CONCATENATE("#metadata!", ADDRESS(INDEX($W$2:$W$1001,MATCH(ROWS($U$2:U336),$U$2:$U$1001,0),0), INDEX($AB$1004:$AQ$1004,1,MATCH(COLUMNS($AB$1006:AK1006),$AB$1006:$AQ$1006,0)))),"Fix")))</f>
        <v>0</v>
      </c>
      <c r="L336" s="4">
        <f>IF(OR(INDEX($V$2:$V$1001,MATCH(ROWS($U$2:U336),$U$2:$U$1001,0),1)&gt;=100000,INDEX($AB$1005:$AQ$1005,1,MATCH(COLUMNS($AB$1006:AL1006),$AB$1006:$AQ$1006,0))&gt;=100000), " ",IF(INDEX($AB$2:$AQ$1001,MATCH(ROWS($U$2:U336),$U$2:$U$1001,0),MATCH(COLUMNS($AB$1006:AL1006),$AB$1006:$AQ$1006,0)), HYPERLINK("#",""), HYPERLINK(CONCATENATE("#metadata!", ADDRESS(INDEX($W$2:$W$1001,MATCH(ROWS($U$2:U336),$U$2:$U$1001,0),0), INDEX($AB$1004:$AQ$1004,1,MATCH(COLUMNS($AB$1006:AL1006),$AB$1006:$AQ$1006,0)))),"Fix")))</f>
        <v>0</v>
      </c>
      <c r="M336" s="4">
        <f>IF(OR(INDEX($V$2:$V$1001,MATCH(ROWS($U$2:U336),$U$2:$U$1001,0),1)&gt;=100000,INDEX($AB$1005:$AQ$1005,1,MATCH(COLUMNS($AB$1006:AM1006),$AB$1006:$AQ$1006,0))&gt;=100000), " ",IF(INDEX($AB$2:$AQ$1001,MATCH(ROWS($U$2:U336),$U$2:$U$1001,0),MATCH(COLUMNS($AB$1006:AM1006),$AB$1006:$AQ$1006,0)), HYPERLINK("#",""), HYPERLINK(CONCATENATE("#metadata!", ADDRESS(INDEX($W$2:$W$1001,MATCH(ROWS($U$2:U336),$U$2:$U$1001,0),0), INDEX($AB$1004:$AQ$1004,1,MATCH(COLUMNS($AB$1006:AM1006),$AB$1006:$AQ$1006,0)))),"Fix")))</f>
        <v>0</v>
      </c>
      <c r="N336" s="4">
        <f>IF(OR(INDEX($V$2:$V$1001,MATCH(ROWS($U$2:U336),$U$2:$U$1001,0),1)&gt;=100000,INDEX($AB$1005:$AQ$1005,1,MATCH(COLUMNS($AB$1006:AN1006),$AB$1006:$AQ$1006,0))&gt;=100000), " ",IF(INDEX($AB$2:$AQ$1001,MATCH(ROWS($U$2:U336),$U$2:$U$1001,0),MATCH(COLUMNS($AB$1006:AN1006),$AB$1006:$AQ$1006,0)), HYPERLINK("#",""), HYPERLINK(CONCATENATE("#metadata!", ADDRESS(INDEX($W$2:$W$1001,MATCH(ROWS($U$2:U336),$U$2:$U$1001,0),0), INDEX($AB$1004:$AQ$1004,1,MATCH(COLUMNS($AB$1006:AN1006),$AB$1006:$AQ$1006,0)))),"Fix")))</f>
        <v>0</v>
      </c>
      <c r="O336" s="4">
        <f>IF(OR(INDEX($V$2:$V$1001,MATCH(ROWS($U$2:U336),$U$2:$U$1001,0),1)&gt;=100000,INDEX($AB$1005:$AQ$1005,1,MATCH(COLUMNS($AB$1006:AO1006),$AB$1006:$AQ$1006,0))&gt;=100000), " ",IF(INDEX($AB$2:$AQ$1001,MATCH(ROWS($U$2:U336),$U$2:$U$1001,0),MATCH(COLUMNS($AB$1006:AO1006),$AB$1006:$AQ$1006,0)), HYPERLINK("#",""), HYPERLINK(CONCATENATE("#metadata!", ADDRESS(INDEX($W$2:$W$1001,MATCH(ROWS($U$2:U336),$U$2:$U$1001,0),0), INDEX($AB$1004:$AQ$1004,1,MATCH(COLUMNS($AB$1006:AO1006),$AB$1006:$AQ$1006,0)))),"Fix")))</f>
        <v>0</v>
      </c>
      <c r="P336" s="4">
        <f>IF(OR(INDEX($V$2:$V$1001,MATCH(ROWS($U$2:U336),$U$2:$U$1001,0),1)&gt;=100000,INDEX($AB$1005:$AQ$1005,1,MATCH(COLUMNS($AB$1006:AP1006),$AB$1006:$AQ$1006,0))&gt;=100000), " ",IF(INDEX($AB$2:$AQ$1001,MATCH(ROWS($U$2:U336),$U$2:$U$1001,0),MATCH(COLUMNS($AB$1006:AP1006),$AB$1006:$AQ$1006,0)), HYPERLINK("#",""), HYPERLINK(CONCATENATE("#metadata!", ADDRESS(INDEX($W$2:$W$1001,MATCH(ROWS($U$2:U336),$U$2:$U$1001,0),0), INDEX($AB$1004:$AQ$1004,1,MATCH(COLUMNS($AB$1006:AP1006),$AB$1006:$AQ$1006,0)))),"Fix")))</f>
        <v>0</v>
      </c>
      <c r="Q336" s="4">
        <f>IF(OR(INDEX($V$2:$V$1001,MATCH(ROWS($U$2:U336),$U$2:$U$1001,0),1)&gt;=100000,INDEX($AB$1005:$AQ$1005,1,MATCH(COLUMNS($AB$1006:AQ1006),$AB$1006:$AQ$1006,0))&gt;=100000), " ",IF(INDEX($AB$2:$AQ$1001,MATCH(ROWS($U$2:U336),$U$2:$U$1001,0),MATCH(COLUMNS($AB$1006:AQ1006),$AB$1006:$AQ$1006,0)), HYPERLINK("#",""), HYPERLINK(CONCATENATE("#metadata!", ADDRESS(INDEX($W$2:$W$1001,MATCH(ROWS($U$2:U336),$U$2:$U$1001,0),0), INDEX($AB$1004:$AQ$1004,1,MATCH(COLUMNS($AB$1006:AQ1006),$AB$1006:$AQ$1006,0)))),"Fix")))</f>
        <v>0</v>
      </c>
      <c r="U336">
        <v>0</v>
      </c>
      <c r="V336">
        <v>0</v>
      </c>
      <c r="W336">
        <v>0</v>
      </c>
      <c r="X336">
        <f>IF(Y336,TRUE,AND(AB336:AQ336))</f>
        <v>0</v>
      </c>
      <c r="Y336">
        <f>COUNTBLANK(metadata!B336:Q336)=COLUMNS(metadata!B336:Q336)</f>
        <v>0</v>
      </c>
      <c r="Z336">
        <v>0</v>
      </c>
      <c r="AB336">
        <f>AND(IF(metadata!B336="",FALSE,TRUE),COUNTIF(metadata!B:B, metadata!B336) = 1,NOT(ISERROR(SUMPRODUCT(SEARCH(MID(metadata!B336,ROW(INDIRECT("1:"&amp;LEN(metadata!B336))), 1),"0123456789abcdefghijklmnopqrstuvwxyzABCDEFGHIJKLMNOPQRSTUVWXYZ.")))))</f>
        <v>0</v>
      </c>
      <c r="AC336">
        <f>OR(AND(IF(metadata!C336="",FALSE,TRUE),OR(exact(metadata!C336,"missing: not collected"),exact(metadata!C336,"missing: not provided"),exact(metadata!C336,"missing: restricted access"))),AND(IF(metadata!C336="",FALSE,TRUE),AND(AND(IFERROR(INT(LEFT(metadata!C336,4))&gt;1900,FALSE),IFERROR(INT(LEFT(metadata!C336,4))&lt;=YEAR(NOW()),FALSE)), OR(MID(metadata!C336,5,1)="", AND(AND(MID(metadata!C336,5,1)="-",IFERROR(INT(MID(metadata!C336,6,1))&gt;=0,FALSE),IFERROR(INT(MID(metadata!C336,6,1))&lt;=1,FALSE),NOT(MID(metadata!C336,7,1)=""),IFERROR(INT(MID(metadata!C336,6,2))&gt;=1,FALSE),IFERROR(INT(MID(metadata!C336,6,2))&lt;=12,FALSE)), OR(MID(metadata!C336,8,1)="", AND(AND(MID(metadata!C336,8,1)="-",IFERROR(INT(MID(metadata!C336,9,1))&gt;=0,FALSE),IFERROR(INT(MID(metadata!C336,9,1))&lt;=3,FALSE),NOT(MID(metadata!C336,10,1)=""),IFERROR(INT(MID(metadata!C336,9,2))&gt;=1,FALSE),IFERROR(INT(MID(metadata!C336,9,2))&lt;=31,FALSE)), OR(MID(metadata!C336,11,1)="", AND(AND(MID(metadata!C336,11,1)=" ",IFERROR(INT(MID(metadata!C336,12,1))&gt;=0,FALSE),IFERROR(INT(MID(metadata!C336,12,1))&lt;=2,FALSE),NOT(MID(metadata!C336,13,1)=""),IFERROR(INT(MID(metadata!C336,12,2))&gt;=0,FALSE),IFERROR(INT(MID(metadata!C336,12,2))&lt;=23,FALSE)), OR(MID(metadata!C336,14,1)="", AND(AND(MID(metadata!C336,14,1)=":",IFERROR(INT(MID(metadata!C336,15,1))&gt;=0,FALSE),IFERROR(INT(MID(metadata!C336,15,1))&lt;=5,FALSE),NOT(MID(metadata!C336,16,1)=""),IFERROR(INT(MID(metadata!C336,15,2))&gt;=0,FALSE),IFERROR(INT(MID(metadata!C336,15,2))&lt;=59,FALSE)), OR(MID(metadata!C336,17,1)="", AND(AND(MID(metadata!C336,17,1)=":",IFERROR(INT(MID(metadata!C336,18,1))&gt;=0,FALSE),IFERROR(INT(MID(metadata!C336,18,1))&lt;=5,FALSE),NOT(MID(metadata!C336,19,1)=""),IFERROR(INT(MID(metadata!C336,18,2))&gt;=0,FALSE),IFERROR(INT(MID(metadata!C336,18,2))&lt;=59,FALSE)), LEN(metadata!C336)&lt;=19)))))))))))))</f>
        <v>0</v>
      </c>
      <c r="AD336">
        <f>IF(metadata!D336="",FALSE,TRUE)</f>
        <v>0</v>
      </c>
      <c r="AE336">
        <f>OR(AND(IF(metadata!E336="",FALSE,TRUE),OR(exact(metadata!E336,"missing: not collected"),exact(metadata!E336,"missing: not provided"))),AND(IF(metadata!E336="",FALSE,TRUE),OR(exact(metadata!E336,"TRUE"),exact(metadata!E336,"FALSE"))))</f>
        <v>0</v>
      </c>
      <c r="AF336">
        <f>IF(metadata!F336="",FALSE,TRUE)</f>
        <v>0</v>
      </c>
      <c r="AG336">
        <f>IF(metadata!G336="",FALSE,TRUE)</f>
        <v>0</v>
      </c>
      <c r="AH336">
        <f>IF(metadata!H336="",FALSE,TRUE)</f>
        <v>0</v>
      </c>
      <c r="AI336">
        <f>OR(AND(IF(metadata!I336="",FALSE,TRUE),OR(exact(metadata!I336,"missing: not collected"),exact(metadata!I336,"missing: not provided"),exact(metadata!I336,"missing: restricted access"))),AND(IF(metadata!I336="",FALSE,TRUE),OR(exact(metadata!I336,"air"),exact(metadata!I336,"built environment"),exact(metadata!I336,"host-associated"),exact(metadata!I336,"human-associated"),exact(metadata!I336,"human-skin"),exact(metadata!I336,"human-oral"),exact(metadata!I336,"human-gut"),exact(metadata!I336,"human-vaginal"),exact(metadata!I336,"microbial mat/biofilm"),exact(metadata!I336,"misc environment"),exact(metadata!I336,"plant-associated"),exact(metadata!I336,"sediment"),exact(metadata!I336,"soil"),exact(metadata!I336,"wastewater/sludge"),exact(metadata!I336,"water"))))</f>
        <v>0</v>
      </c>
      <c r="AJ336">
        <f>IF(metadata!J336="",FALSE,TRUE)</f>
        <v>0</v>
      </c>
      <c r="AK336">
        <f>OR(AND(IF(metadata!K336="",FALSE,TRUE),OR(exact(metadata!K336,"missing: not collected"),exact(metadata!K336,"missing: not provided"),exact(metadata!K336,"missing: restricted access"))),AND(IF(metadata!K336="",FALSE,ISNUMBER(VALUE(metadata!K336))),metadata!K336&gt;=-90.00,metadata!K336&lt;=90.00))</f>
        <v>0</v>
      </c>
      <c r="AL336">
        <f>OR(AND(IF(metadata!L336="",FALSE,TRUE),OR(exact(metadata!L336,"missing: not collected"),exact(metadata!L336,"missing: not provided"),exact(metadata!L336,"missing: restricted access"))),AND(IF(metadata!L336="",FALSE,ISNUMBER(VALUE(metadata!L336))),metadata!L336&gt;=-180.00,metadata!L336&lt;=180.00))</f>
        <v>0</v>
      </c>
      <c r="AM336">
        <f>IF(metadata!M336="",FALSE,TRUE)</f>
        <v>0</v>
      </c>
      <c r="AN336">
        <f>OR(AND(IF(metadata!N336="",FALSE,TRUE),OR(exact(metadata!N336,"missing: not collected"),exact(metadata!N336,"missing: not provided"),exact(metadata!N336,"missing: restricted access"))),AND(IF(metadata!N336="",FALSE,TRUE),OR(exact(metadata!N336,"TRUE"),exact(metadata!N336,"FALSE"))))</f>
        <v>0</v>
      </c>
      <c r="AO336">
        <f>IF(metadata!O336="",FALSE,TRUE)</f>
        <v>0</v>
      </c>
      <c r="AP336">
        <f>OR(AND(IF(metadata!P336="",FALSE,TRUE),OR(exact(metadata!P336,"missing: not collected"),exact(metadata!P336,"missing: not provided"))),AND(IF(metadata!P336="",FALSE,IF(ISERROR(INT(metadata!P336)),FALSE,INT(metadata!P336)=metadata!P336)),metadata!P336&gt;0))</f>
        <v>0</v>
      </c>
      <c r="AQ336">
        <f>IF(metadata!Q336="",FALSE,TRUE)</f>
        <v>0</v>
      </c>
    </row>
    <row r="337" spans="1:43">
      <c r="A337" s="5">
        <f>IF(B337=" "," ",HYPERLINK(CONCATENATE("#metadata!",ADDRESS(INDEX($W$2:$W$1001,MATCH(ROWS($U$2:U337),$U$2:$U$1001,0),0),1)),INDEX($Z$2:$Z$1001,MATCH(ROWS($U$2:U337),$U$2:$U$1001,0),0)))</f>
        <v>0</v>
      </c>
      <c r="B337" s="4">
        <f>IF(OR(INDEX($V$2:$V$1001,MATCH(ROWS($U$2:U337),$U$2:$U$1001,0),1)&gt;=100000,INDEX($AB$1005:$AQ$1005,1,MATCH(COLUMNS($AB$1006:AB1006),$AB$1006:$AQ$1006,0))&gt;=100000), " ",IF(INDEX($AB$2:$AQ$1001,MATCH(ROWS($U$2:U337),$U$2:$U$1001,0),MATCH(COLUMNS($AB$1006:AB1006),$AB$1006:$AQ$1006,0)), HYPERLINK("#",""), HYPERLINK(CONCATENATE("#metadata!", ADDRESS(INDEX($W$2:$W$1001,MATCH(ROWS($U$2:U337),$U$2:$U$1001,0),0), INDEX($AB$1004:$AQ$1004,1,MATCH(COLUMNS($AB$1006:AB1006),$AB$1006:$AQ$1006,0)))),"Fix")))</f>
        <v>0</v>
      </c>
      <c r="C337" s="4">
        <f>IF(OR(INDEX($V$2:$V$1001,MATCH(ROWS($U$2:U337),$U$2:$U$1001,0),1)&gt;=100000,INDEX($AB$1005:$AQ$1005,1,MATCH(COLUMNS($AB$1006:AC1006),$AB$1006:$AQ$1006,0))&gt;=100000), " ",IF(INDEX($AB$2:$AQ$1001,MATCH(ROWS($U$2:U337),$U$2:$U$1001,0),MATCH(COLUMNS($AB$1006:AC1006),$AB$1006:$AQ$1006,0)), HYPERLINK("#",""), HYPERLINK(CONCATENATE("#metadata!", ADDRESS(INDEX($W$2:$W$1001,MATCH(ROWS($U$2:U337),$U$2:$U$1001,0),0), INDEX($AB$1004:$AQ$1004,1,MATCH(COLUMNS($AB$1006:AC1006),$AB$1006:$AQ$1006,0)))),"Fix")))</f>
        <v>0</v>
      </c>
      <c r="D337" s="4">
        <f>IF(OR(INDEX($V$2:$V$1001,MATCH(ROWS($U$2:U337),$U$2:$U$1001,0),1)&gt;=100000,INDEX($AB$1005:$AQ$1005,1,MATCH(COLUMNS($AB$1006:AD1006),$AB$1006:$AQ$1006,0))&gt;=100000), " ",IF(INDEX($AB$2:$AQ$1001,MATCH(ROWS($U$2:U337),$U$2:$U$1001,0),MATCH(COLUMNS($AB$1006:AD1006),$AB$1006:$AQ$1006,0)), HYPERLINK("#",""), HYPERLINK(CONCATENATE("#metadata!", ADDRESS(INDEX($W$2:$W$1001,MATCH(ROWS($U$2:U337),$U$2:$U$1001,0),0), INDEX($AB$1004:$AQ$1004,1,MATCH(COLUMNS($AB$1006:AD1006),$AB$1006:$AQ$1006,0)))),"Fix")))</f>
        <v>0</v>
      </c>
      <c r="E337" s="4">
        <f>IF(OR(INDEX($V$2:$V$1001,MATCH(ROWS($U$2:U337),$U$2:$U$1001,0),1)&gt;=100000,INDEX($AB$1005:$AQ$1005,1,MATCH(COLUMNS($AB$1006:AE1006),$AB$1006:$AQ$1006,0))&gt;=100000), " ",IF(INDEX($AB$2:$AQ$1001,MATCH(ROWS($U$2:U337),$U$2:$U$1001,0),MATCH(COLUMNS($AB$1006:AE1006),$AB$1006:$AQ$1006,0)), HYPERLINK("#",""), HYPERLINK(CONCATENATE("#metadata!", ADDRESS(INDEX($W$2:$W$1001,MATCH(ROWS($U$2:U337),$U$2:$U$1001,0),0), INDEX($AB$1004:$AQ$1004,1,MATCH(COLUMNS($AB$1006:AE1006),$AB$1006:$AQ$1006,0)))),"Fix")))</f>
        <v>0</v>
      </c>
      <c r="F337" s="4">
        <f>IF(OR(INDEX($V$2:$V$1001,MATCH(ROWS($U$2:U337),$U$2:$U$1001,0),1)&gt;=100000,INDEX($AB$1005:$AQ$1005,1,MATCH(COLUMNS($AB$1006:AF1006),$AB$1006:$AQ$1006,0))&gt;=100000), " ",IF(INDEX($AB$2:$AQ$1001,MATCH(ROWS($U$2:U337),$U$2:$U$1001,0),MATCH(COLUMNS($AB$1006:AF1006),$AB$1006:$AQ$1006,0)), HYPERLINK("#",""), HYPERLINK(CONCATENATE("#metadata!", ADDRESS(INDEX($W$2:$W$1001,MATCH(ROWS($U$2:U337),$U$2:$U$1001,0),0), INDEX($AB$1004:$AQ$1004,1,MATCH(COLUMNS($AB$1006:AF1006),$AB$1006:$AQ$1006,0)))),"Fix")))</f>
        <v>0</v>
      </c>
      <c r="G337" s="4">
        <f>IF(OR(INDEX($V$2:$V$1001,MATCH(ROWS($U$2:U337),$U$2:$U$1001,0),1)&gt;=100000,INDEX($AB$1005:$AQ$1005,1,MATCH(COLUMNS($AB$1006:AG1006),$AB$1006:$AQ$1006,0))&gt;=100000), " ",IF(INDEX($AB$2:$AQ$1001,MATCH(ROWS($U$2:U337),$U$2:$U$1001,0),MATCH(COLUMNS($AB$1006:AG1006),$AB$1006:$AQ$1006,0)), HYPERLINK("#",""), HYPERLINK(CONCATENATE("#metadata!", ADDRESS(INDEX($W$2:$W$1001,MATCH(ROWS($U$2:U337),$U$2:$U$1001,0),0), INDEX($AB$1004:$AQ$1004,1,MATCH(COLUMNS($AB$1006:AG1006),$AB$1006:$AQ$1006,0)))),"Fix")))</f>
        <v>0</v>
      </c>
      <c r="H337" s="4">
        <f>IF(OR(INDEX($V$2:$V$1001,MATCH(ROWS($U$2:U337),$U$2:$U$1001,0),1)&gt;=100000,INDEX($AB$1005:$AQ$1005,1,MATCH(COLUMNS($AB$1006:AH1006),$AB$1006:$AQ$1006,0))&gt;=100000), " ",IF(INDEX($AB$2:$AQ$1001,MATCH(ROWS($U$2:U337),$U$2:$U$1001,0),MATCH(COLUMNS($AB$1006:AH1006),$AB$1006:$AQ$1006,0)), HYPERLINK("#",""), HYPERLINK(CONCATENATE("#metadata!", ADDRESS(INDEX($W$2:$W$1001,MATCH(ROWS($U$2:U337),$U$2:$U$1001,0),0), INDEX($AB$1004:$AQ$1004,1,MATCH(COLUMNS($AB$1006:AH1006),$AB$1006:$AQ$1006,0)))),"Fix")))</f>
        <v>0</v>
      </c>
      <c r="I337" s="4">
        <f>IF(OR(INDEX($V$2:$V$1001,MATCH(ROWS($U$2:U337),$U$2:$U$1001,0),1)&gt;=100000,INDEX($AB$1005:$AQ$1005,1,MATCH(COLUMNS($AB$1006:AI1006),$AB$1006:$AQ$1006,0))&gt;=100000), " ",IF(INDEX($AB$2:$AQ$1001,MATCH(ROWS($U$2:U337),$U$2:$U$1001,0),MATCH(COLUMNS($AB$1006:AI1006),$AB$1006:$AQ$1006,0)), HYPERLINK("#",""), HYPERLINK(CONCATENATE("#metadata!", ADDRESS(INDEX($W$2:$W$1001,MATCH(ROWS($U$2:U337),$U$2:$U$1001,0),0), INDEX($AB$1004:$AQ$1004,1,MATCH(COLUMNS($AB$1006:AI1006),$AB$1006:$AQ$1006,0)))),"Fix")))</f>
        <v>0</v>
      </c>
      <c r="J337" s="4">
        <f>IF(OR(INDEX($V$2:$V$1001,MATCH(ROWS($U$2:U337),$U$2:$U$1001,0),1)&gt;=100000,INDEX($AB$1005:$AQ$1005,1,MATCH(COLUMNS($AB$1006:AJ1006),$AB$1006:$AQ$1006,0))&gt;=100000), " ",IF(INDEX($AB$2:$AQ$1001,MATCH(ROWS($U$2:U337),$U$2:$U$1001,0),MATCH(COLUMNS($AB$1006:AJ1006),$AB$1006:$AQ$1006,0)), HYPERLINK("#",""), HYPERLINK(CONCATENATE("#metadata!", ADDRESS(INDEX($W$2:$W$1001,MATCH(ROWS($U$2:U337),$U$2:$U$1001,0),0), INDEX($AB$1004:$AQ$1004,1,MATCH(COLUMNS($AB$1006:AJ1006),$AB$1006:$AQ$1006,0)))),"Fix")))</f>
        <v>0</v>
      </c>
      <c r="K337" s="4">
        <f>IF(OR(INDEX($V$2:$V$1001,MATCH(ROWS($U$2:U337),$U$2:$U$1001,0),1)&gt;=100000,INDEX($AB$1005:$AQ$1005,1,MATCH(COLUMNS($AB$1006:AK1006),$AB$1006:$AQ$1006,0))&gt;=100000), " ",IF(INDEX($AB$2:$AQ$1001,MATCH(ROWS($U$2:U337),$U$2:$U$1001,0),MATCH(COLUMNS($AB$1006:AK1006),$AB$1006:$AQ$1006,0)), HYPERLINK("#",""), HYPERLINK(CONCATENATE("#metadata!", ADDRESS(INDEX($W$2:$W$1001,MATCH(ROWS($U$2:U337),$U$2:$U$1001,0),0), INDEX($AB$1004:$AQ$1004,1,MATCH(COLUMNS($AB$1006:AK1006),$AB$1006:$AQ$1006,0)))),"Fix")))</f>
        <v>0</v>
      </c>
      <c r="L337" s="4">
        <f>IF(OR(INDEX($V$2:$V$1001,MATCH(ROWS($U$2:U337),$U$2:$U$1001,0),1)&gt;=100000,INDEX($AB$1005:$AQ$1005,1,MATCH(COLUMNS($AB$1006:AL1006),$AB$1006:$AQ$1006,0))&gt;=100000), " ",IF(INDEX($AB$2:$AQ$1001,MATCH(ROWS($U$2:U337),$U$2:$U$1001,0),MATCH(COLUMNS($AB$1006:AL1006),$AB$1006:$AQ$1006,0)), HYPERLINK("#",""), HYPERLINK(CONCATENATE("#metadata!", ADDRESS(INDEX($W$2:$W$1001,MATCH(ROWS($U$2:U337),$U$2:$U$1001,0),0), INDEX($AB$1004:$AQ$1004,1,MATCH(COLUMNS($AB$1006:AL1006),$AB$1006:$AQ$1006,0)))),"Fix")))</f>
        <v>0</v>
      </c>
      <c r="M337" s="4">
        <f>IF(OR(INDEX($V$2:$V$1001,MATCH(ROWS($U$2:U337),$U$2:$U$1001,0),1)&gt;=100000,INDEX($AB$1005:$AQ$1005,1,MATCH(COLUMNS($AB$1006:AM1006),$AB$1006:$AQ$1006,0))&gt;=100000), " ",IF(INDEX($AB$2:$AQ$1001,MATCH(ROWS($U$2:U337),$U$2:$U$1001,0),MATCH(COLUMNS($AB$1006:AM1006),$AB$1006:$AQ$1006,0)), HYPERLINK("#",""), HYPERLINK(CONCATENATE("#metadata!", ADDRESS(INDEX($W$2:$W$1001,MATCH(ROWS($U$2:U337),$U$2:$U$1001,0),0), INDEX($AB$1004:$AQ$1004,1,MATCH(COLUMNS($AB$1006:AM1006),$AB$1006:$AQ$1006,0)))),"Fix")))</f>
        <v>0</v>
      </c>
      <c r="N337" s="4">
        <f>IF(OR(INDEX($V$2:$V$1001,MATCH(ROWS($U$2:U337),$U$2:$U$1001,0),1)&gt;=100000,INDEX($AB$1005:$AQ$1005,1,MATCH(COLUMNS($AB$1006:AN1006),$AB$1006:$AQ$1006,0))&gt;=100000), " ",IF(INDEX($AB$2:$AQ$1001,MATCH(ROWS($U$2:U337),$U$2:$U$1001,0),MATCH(COLUMNS($AB$1006:AN1006),$AB$1006:$AQ$1006,0)), HYPERLINK("#",""), HYPERLINK(CONCATENATE("#metadata!", ADDRESS(INDEX($W$2:$W$1001,MATCH(ROWS($U$2:U337),$U$2:$U$1001,0),0), INDEX($AB$1004:$AQ$1004,1,MATCH(COLUMNS($AB$1006:AN1006),$AB$1006:$AQ$1006,0)))),"Fix")))</f>
        <v>0</v>
      </c>
      <c r="O337" s="4">
        <f>IF(OR(INDEX($V$2:$V$1001,MATCH(ROWS($U$2:U337),$U$2:$U$1001,0),1)&gt;=100000,INDEX($AB$1005:$AQ$1005,1,MATCH(COLUMNS($AB$1006:AO1006),$AB$1006:$AQ$1006,0))&gt;=100000), " ",IF(INDEX($AB$2:$AQ$1001,MATCH(ROWS($U$2:U337),$U$2:$U$1001,0),MATCH(COLUMNS($AB$1006:AO1006),$AB$1006:$AQ$1006,0)), HYPERLINK("#",""), HYPERLINK(CONCATENATE("#metadata!", ADDRESS(INDEX($W$2:$W$1001,MATCH(ROWS($U$2:U337),$U$2:$U$1001,0),0), INDEX($AB$1004:$AQ$1004,1,MATCH(COLUMNS($AB$1006:AO1006),$AB$1006:$AQ$1006,0)))),"Fix")))</f>
        <v>0</v>
      </c>
      <c r="P337" s="4">
        <f>IF(OR(INDEX($V$2:$V$1001,MATCH(ROWS($U$2:U337),$U$2:$U$1001,0),1)&gt;=100000,INDEX($AB$1005:$AQ$1005,1,MATCH(COLUMNS($AB$1006:AP1006),$AB$1006:$AQ$1006,0))&gt;=100000), " ",IF(INDEX($AB$2:$AQ$1001,MATCH(ROWS($U$2:U337),$U$2:$U$1001,0),MATCH(COLUMNS($AB$1006:AP1006),$AB$1006:$AQ$1006,0)), HYPERLINK("#",""), HYPERLINK(CONCATENATE("#metadata!", ADDRESS(INDEX($W$2:$W$1001,MATCH(ROWS($U$2:U337),$U$2:$U$1001,0),0), INDEX($AB$1004:$AQ$1004,1,MATCH(COLUMNS($AB$1006:AP1006),$AB$1006:$AQ$1006,0)))),"Fix")))</f>
        <v>0</v>
      </c>
      <c r="Q337" s="4">
        <f>IF(OR(INDEX($V$2:$V$1001,MATCH(ROWS($U$2:U337),$U$2:$U$1001,0),1)&gt;=100000,INDEX($AB$1005:$AQ$1005,1,MATCH(COLUMNS($AB$1006:AQ1006),$AB$1006:$AQ$1006,0))&gt;=100000), " ",IF(INDEX($AB$2:$AQ$1001,MATCH(ROWS($U$2:U337),$U$2:$U$1001,0),MATCH(COLUMNS($AB$1006:AQ1006),$AB$1006:$AQ$1006,0)), HYPERLINK("#",""), HYPERLINK(CONCATENATE("#metadata!", ADDRESS(INDEX($W$2:$W$1001,MATCH(ROWS($U$2:U337),$U$2:$U$1001,0),0), INDEX($AB$1004:$AQ$1004,1,MATCH(COLUMNS($AB$1006:AQ1006),$AB$1006:$AQ$1006,0)))),"Fix")))</f>
        <v>0</v>
      </c>
      <c r="U337">
        <v>0</v>
      </c>
      <c r="V337">
        <v>0</v>
      </c>
      <c r="W337">
        <v>0</v>
      </c>
      <c r="X337">
        <f>IF(Y337,TRUE,AND(AB337:AQ337))</f>
        <v>0</v>
      </c>
      <c r="Y337">
        <f>COUNTBLANK(metadata!B337:Q337)=COLUMNS(metadata!B337:Q337)</f>
        <v>0</v>
      </c>
      <c r="Z337">
        <v>0</v>
      </c>
      <c r="AB337">
        <f>AND(IF(metadata!B337="",FALSE,TRUE),COUNTIF(metadata!B:B, metadata!B337) = 1,NOT(ISERROR(SUMPRODUCT(SEARCH(MID(metadata!B337,ROW(INDIRECT("1:"&amp;LEN(metadata!B337))), 1),"0123456789abcdefghijklmnopqrstuvwxyzABCDEFGHIJKLMNOPQRSTUVWXYZ.")))))</f>
        <v>0</v>
      </c>
      <c r="AC337">
        <f>OR(AND(IF(metadata!C337="",FALSE,TRUE),OR(exact(metadata!C337,"missing: not collected"),exact(metadata!C337,"missing: not provided"),exact(metadata!C337,"missing: restricted access"))),AND(IF(metadata!C337="",FALSE,TRUE),AND(AND(IFERROR(INT(LEFT(metadata!C337,4))&gt;1900,FALSE),IFERROR(INT(LEFT(metadata!C337,4))&lt;=YEAR(NOW()),FALSE)), OR(MID(metadata!C337,5,1)="", AND(AND(MID(metadata!C337,5,1)="-",IFERROR(INT(MID(metadata!C337,6,1))&gt;=0,FALSE),IFERROR(INT(MID(metadata!C337,6,1))&lt;=1,FALSE),NOT(MID(metadata!C337,7,1)=""),IFERROR(INT(MID(metadata!C337,6,2))&gt;=1,FALSE),IFERROR(INT(MID(metadata!C337,6,2))&lt;=12,FALSE)), OR(MID(metadata!C337,8,1)="", AND(AND(MID(metadata!C337,8,1)="-",IFERROR(INT(MID(metadata!C337,9,1))&gt;=0,FALSE),IFERROR(INT(MID(metadata!C337,9,1))&lt;=3,FALSE),NOT(MID(metadata!C337,10,1)=""),IFERROR(INT(MID(metadata!C337,9,2))&gt;=1,FALSE),IFERROR(INT(MID(metadata!C337,9,2))&lt;=31,FALSE)), OR(MID(metadata!C337,11,1)="", AND(AND(MID(metadata!C337,11,1)=" ",IFERROR(INT(MID(metadata!C337,12,1))&gt;=0,FALSE),IFERROR(INT(MID(metadata!C337,12,1))&lt;=2,FALSE),NOT(MID(metadata!C337,13,1)=""),IFERROR(INT(MID(metadata!C337,12,2))&gt;=0,FALSE),IFERROR(INT(MID(metadata!C337,12,2))&lt;=23,FALSE)), OR(MID(metadata!C337,14,1)="", AND(AND(MID(metadata!C337,14,1)=":",IFERROR(INT(MID(metadata!C337,15,1))&gt;=0,FALSE),IFERROR(INT(MID(metadata!C337,15,1))&lt;=5,FALSE),NOT(MID(metadata!C337,16,1)=""),IFERROR(INT(MID(metadata!C337,15,2))&gt;=0,FALSE),IFERROR(INT(MID(metadata!C337,15,2))&lt;=59,FALSE)), OR(MID(metadata!C337,17,1)="", AND(AND(MID(metadata!C337,17,1)=":",IFERROR(INT(MID(metadata!C337,18,1))&gt;=0,FALSE),IFERROR(INT(MID(metadata!C337,18,1))&lt;=5,FALSE),NOT(MID(metadata!C337,19,1)=""),IFERROR(INT(MID(metadata!C337,18,2))&gt;=0,FALSE),IFERROR(INT(MID(metadata!C337,18,2))&lt;=59,FALSE)), LEN(metadata!C337)&lt;=19)))))))))))))</f>
        <v>0</v>
      </c>
      <c r="AD337">
        <f>IF(metadata!D337="",FALSE,TRUE)</f>
        <v>0</v>
      </c>
      <c r="AE337">
        <f>OR(AND(IF(metadata!E337="",FALSE,TRUE),OR(exact(metadata!E337,"missing: not collected"),exact(metadata!E337,"missing: not provided"))),AND(IF(metadata!E337="",FALSE,TRUE),OR(exact(metadata!E337,"TRUE"),exact(metadata!E337,"FALSE"))))</f>
        <v>0</v>
      </c>
      <c r="AF337">
        <f>IF(metadata!F337="",FALSE,TRUE)</f>
        <v>0</v>
      </c>
      <c r="AG337">
        <f>IF(metadata!G337="",FALSE,TRUE)</f>
        <v>0</v>
      </c>
      <c r="AH337">
        <f>IF(metadata!H337="",FALSE,TRUE)</f>
        <v>0</v>
      </c>
      <c r="AI337">
        <f>OR(AND(IF(metadata!I337="",FALSE,TRUE),OR(exact(metadata!I337,"missing: not collected"),exact(metadata!I337,"missing: not provided"),exact(metadata!I337,"missing: restricted access"))),AND(IF(metadata!I337="",FALSE,TRUE),OR(exact(metadata!I337,"air"),exact(metadata!I337,"built environment"),exact(metadata!I337,"host-associated"),exact(metadata!I337,"human-associated"),exact(metadata!I337,"human-skin"),exact(metadata!I337,"human-oral"),exact(metadata!I337,"human-gut"),exact(metadata!I337,"human-vaginal"),exact(metadata!I337,"microbial mat/biofilm"),exact(metadata!I337,"misc environment"),exact(metadata!I337,"plant-associated"),exact(metadata!I337,"sediment"),exact(metadata!I337,"soil"),exact(metadata!I337,"wastewater/sludge"),exact(metadata!I337,"water"))))</f>
        <v>0</v>
      </c>
      <c r="AJ337">
        <f>IF(metadata!J337="",FALSE,TRUE)</f>
        <v>0</v>
      </c>
      <c r="AK337">
        <f>OR(AND(IF(metadata!K337="",FALSE,TRUE),OR(exact(metadata!K337,"missing: not collected"),exact(metadata!K337,"missing: not provided"),exact(metadata!K337,"missing: restricted access"))),AND(IF(metadata!K337="",FALSE,ISNUMBER(VALUE(metadata!K337))),metadata!K337&gt;=-90.00,metadata!K337&lt;=90.00))</f>
        <v>0</v>
      </c>
      <c r="AL337">
        <f>OR(AND(IF(metadata!L337="",FALSE,TRUE),OR(exact(metadata!L337,"missing: not collected"),exact(metadata!L337,"missing: not provided"),exact(metadata!L337,"missing: restricted access"))),AND(IF(metadata!L337="",FALSE,ISNUMBER(VALUE(metadata!L337))),metadata!L337&gt;=-180.00,metadata!L337&lt;=180.00))</f>
        <v>0</v>
      </c>
      <c r="AM337">
        <f>IF(metadata!M337="",FALSE,TRUE)</f>
        <v>0</v>
      </c>
      <c r="AN337">
        <f>OR(AND(IF(metadata!N337="",FALSE,TRUE),OR(exact(metadata!N337,"missing: not collected"),exact(metadata!N337,"missing: not provided"),exact(metadata!N337,"missing: restricted access"))),AND(IF(metadata!N337="",FALSE,TRUE),OR(exact(metadata!N337,"TRUE"),exact(metadata!N337,"FALSE"))))</f>
        <v>0</v>
      </c>
      <c r="AO337">
        <f>IF(metadata!O337="",FALSE,TRUE)</f>
        <v>0</v>
      </c>
      <c r="AP337">
        <f>OR(AND(IF(metadata!P337="",FALSE,TRUE),OR(exact(metadata!P337,"missing: not collected"),exact(metadata!P337,"missing: not provided"))),AND(IF(metadata!P337="",FALSE,IF(ISERROR(INT(metadata!P337)),FALSE,INT(metadata!P337)=metadata!P337)),metadata!P337&gt;0))</f>
        <v>0</v>
      </c>
      <c r="AQ337">
        <f>IF(metadata!Q337="",FALSE,TRUE)</f>
        <v>0</v>
      </c>
    </row>
    <row r="338" spans="1:43">
      <c r="A338" s="5">
        <f>IF(B338=" "," ",HYPERLINK(CONCATENATE("#metadata!",ADDRESS(INDEX($W$2:$W$1001,MATCH(ROWS($U$2:U338),$U$2:$U$1001,0),0),1)),INDEX($Z$2:$Z$1001,MATCH(ROWS($U$2:U338),$U$2:$U$1001,0),0)))</f>
        <v>0</v>
      </c>
      <c r="B338" s="4">
        <f>IF(OR(INDEX($V$2:$V$1001,MATCH(ROWS($U$2:U338),$U$2:$U$1001,0),1)&gt;=100000,INDEX($AB$1005:$AQ$1005,1,MATCH(COLUMNS($AB$1006:AB1006),$AB$1006:$AQ$1006,0))&gt;=100000), " ",IF(INDEX($AB$2:$AQ$1001,MATCH(ROWS($U$2:U338),$U$2:$U$1001,0),MATCH(COLUMNS($AB$1006:AB1006),$AB$1006:$AQ$1006,0)), HYPERLINK("#",""), HYPERLINK(CONCATENATE("#metadata!", ADDRESS(INDEX($W$2:$W$1001,MATCH(ROWS($U$2:U338),$U$2:$U$1001,0),0), INDEX($AB$1004:$AQ$1004,1,MATCH(COLUMNS($AB$1006:AB1006),$AB$1006:$AQ$1006,0)))),"Fix")))</f>
        <v>0</v>
      </c>
      <c r="C338" s="4">
        <f>IF(OR(INDEX($V$2:$V$1001,MATCH(ROWS($U$2:U338),$U$2:$U$1001,0),1)&gt;=100000,INDEX($AB$1005:$AQ$1005,1,MATCH(COLUMNS($AB$1006:AC1006),$AB$1006:$AQ$1006,0))&gt;=100000), " ",IF(INDEX($AB$2:$AQ$1001,MATCH(ROWS($U$2:U338),$U$2:$U$1001,0),MATCH(COLUMNS($AB$1006:AC1006),$AB$1006:$AQ$1006,0)), HYPERLINK("#",""), HYPERLINK(CONCATENATE("#metadata!", ADDRESS(INDEX($W$2:$W$1001,MATCH(ROWS($U$2:U338),$U$2:$U$1001,0),0), INDEX($AB$1004:$AQ$1004,1,MATCH(COLUMNS($AB$1006:AC1006),$AB$1006:$AQ$1006,0)))),"Fix")))</f>
        <v>0</v>
      </c>
      <c r="D338" s="4">
        <f>IF(OR(INDEX($V$2:$V$1001,MATCH(ROWS($U$2:U338),$U$2:$U$1001,0),1)&gt;=100000,INDEX($AB$1005:$AQ$1005,1,MATCH(COLUMNS($AB$1006:AD1006),$AB$1006:$AQ$1006,0))&gt;=100000), " ",IF(INDEX($AB$2:$AQ$1001,MATCH(ROWS($U$2:U338),$U$2:$U$1001,0),MATCH(COLUMNS($AB$1006:AD1006),$AB$1006:$AQ$1006,0)), HYPERLINK("#",""), HYPERLINK(CONCATENATE("#metadata!", ADDRESS(INDEX($W$2:$W$1001,MATCH(ROWS($U$2:U338),$U$2:$U$1001,0),0), INDEX($AB$1004:$AQ$1004,1,MATCH(COLUMNS($AB$1006:AD1006),$AB$1006:$AQ$1006,0)))),"Fix")))</f>
        <v>0</v>
      </c>
      <c r="E338" s="4">
        <f>IF(OR(INDEX($V$2:$V$1001,MATCH(ROWS($U$2:U338),$U$2:$U$1001,0),1)&gt;=100000,INDEX($AB$1005:$AQ$1005,1,MATCH(COLUMNS($AB$1006:AE1006),$AB$1006:$AQ$1006,0))&gt;=100000), " ",IF(INDEX($AB$2:$AQ$1001,MATCH(ROWS($U$2:U338),$U$2:$U$1001,0),MATCH(COLUMNS($AB$1006:AE1006),$AB$1006:$AQ$1006,0)), HYPERLINK("#",""), HYPERLINK(CONCATENATE("#metadata!", ADDRESS(INDEX($W$2:$W$1001,MATCH(ROWS($U$2:U338),$U$2:$U$1001,0),0), INDEX($AB$1004:$AQ$1004,1,MATCH(COLUMNS($AB$1006:AE1006),$AB$1006:$AQ$1006,0)))),"Fix")))</f>
        <v>0</v>
      </c>
      <c r="F338" s="4">
        <f>IF(OR(INDEX($V$2:$V$1001,MATCH(ROWS($U$2:U338),$U$2:$U$1001,0),1)&gt;=100000,INDEX($AB$1005:$AQ$1005,1,MATCH(COLUMNS($AB$1006:AF1006),$AB$1006:$AQ$1006,0))&gt;=100000), " ",IF(INDEX($AB$2:$AQ$1001,MATCH(ROWS($U$2:U338),$U$2:$U$1001,0),MATCH(COLUMNS($AB$1006:AF1006),$AB$1006:$AQ$1006,0)), HYPERLINK("#",""), HYPERLINK(CONCATENATE("#metadata!", ADDRESS(INDEX($W$2:$W$1001,MATCH(ROWS($U$2:U338),$U$2:$U$1001,0),0), INDEX($AB$1004:$AQ$1004,1,MATCH(COLUMNS($AB$1006:AF1006),$AB$1006:$AQ$1006,0)))),"Fix")))</f>
        <v>0</v>
      </c>
      <c r="G338" s="4">
        <f>IF(OR(INDEX($V$2:$V$1001,MATCH(ROWS($U$2:U338),$U$2:$U$1001,0),1)&gt;=100000,INDEX($AB$1005:$AQ$1005,1,MATCH(COLUMNS($AB$1006:AG1006),$AB$1006:$AQ$1006,0))&gt;=100000), " ",IF(INDEX($AB$2:$AQ$1001,MATCH(ROWS($U$2:U338),$U$2:$U$1001,0),MATCH(COLUMNS($AB$1006:AG1006),$AB$1006:$AQ$1006,0)), HYPERLINK("#",""), HYPERLINK(CONCATENATE("#metadata!", ADDRESS(INDEX($W$2:$W$1001,MATCH(ROWS($U$2:U338),$U$2:$U$1001,0),0), INDEX($AB$1004:$AQ$1004,1,MATCH(COLUMNS($AB$1006:AG1006),$AB$1006:$AQ$1006,0)))),"Fix")))</f>
        <v>0</v>
      </c>
      <c r="H338" s="4">
        <f>IF(OR(INDEX($V$2:$V$1001,MATCH(ROWS($U$2:U338),$U$2:$U$1001,0),1)&gt;=100000,INDEX($AB$1005:$AQ$1005,1,MATCH(COLUMNS($AB$1006:AH1006),$AB$1006:$AQ$1006,0))&gt;=100000), " ",IF(INDEX($AB$2:$AQ$1001,MATCH(ROWS($U$2:U338),$U$2:$U$1001,0),MATCH(COLUMNS($AB$1006:AH1006),$AB$1006:$AQ$1006,0)), HYPERLINK("#",""), HYPERLINK(CONCATENATE("#metadata!", ADDRESS(INDEX($W$2:$W$1001,MATCH(ROWS($U$2:U338),$U$2:$U$1001,0),0), INDEX($AB$1004:$AQ$1004,1,MATCH(COLUMNS($AB$1006:AH1006),$AB$1006:$AQ$1006,0)))),"Fix")))</f>
        <v>0</v>
      </c>
      <c r="I338" s="4">
        <f>IF(OR(INDEX($V$2:$V$1001,MATCH(ROWS($U$2:U338),$U$2:$U$1001,0),1)&gt;=100000,INDEX($AB$1005:$AQ$1005,1,MATCH(COLUMNS($AB$1006:AI1006),$AB$1006:$AQ$1006,0))&gt;=100000), " ",IF(INDEX($AB$2:$AQ$1001,MATCH(ROWS($U$2:U338),$U$2:$U$1001,0),MATCH(COLUMNS($AB$1006:AI1006),$AB$1006:$AQ$1006,0)), HYPERLINK("#",""), HYPERLINK(CONCATENATE("#metadata!", ADDRESS(INDEX($W$2:$W$1001,MATCH(ROWS($U$2:U338),$U$2:$U$1001,0),0), INDEX($AB$1004:$AQ$1004,1,MATCH(COLUMNS($AB$1006:AI1006),$AB$1006:$AQ$1006,0)))),"Fix")))</f>
        <v>0</v>
      </c>
      <c r="J338" s="4">
        <f>IF(OR(INDEX($V$2:$V$1001,MATCH(ROWS($U$2:U338),$U$2:$U$1001,0),1)&gt;=100000,INDEX($AB$1005:$AQ$1005,1,MATCH(COLUMNS($AB$1006:AJ1006),$AB$1006:$AQ$1006,0))&gt;=100000), " ",IF(INDEX($AB$2:$AQ$1001,MATCH(ROWS($U$2:U338),$U$2:$U$1001,0),MATCH(COLUMNS($AB$1006:AJ1006),$AB$1006:$AQ$1006,0)), HYPERLINK("#",""), HYPERLINK(CONCATENATE("#metadata!", ADDRESS(INDEX($W$2:$W$1001,MATCH(ROWS($U$2:U338),$U$2:$U$1001,0),0), INDEX($AB$1004:$AQ$1004,1,MATCH(COLUMNS($AB$1006:AJ1006),$AB$1006:$AQ$1006,0)))),"Fix")))</f>
        <v>0</v>
      </c>
      <c r="K338" s="4">
        <f>IF(OR(INDEX($V$2:$V$1001,MATCH(ROWS($U$2:U338),$U$2:$U$1001,0),1)&gt;=100000,INDEX($AB$1005:$AQ$1005,1,MATCH(COLUMNS($AB$1006:AK1006),$AB$1006:$AQ$1006,0))&gt;=100000), " ",IF(INDEX($AB$2:$AQ$1001,MATCH(ROWS($U$2:U338),$U$2:$U$1001,0),MATCH(COLUMNS($AB$1006:AK1006),$AB$1006:$AQ$1006,0)), HYPERLINK("#",""), HYPERLINK(CONCATENATE("#metadata!", ADDRESS(INDEX($W$2:$W$1001,MATCH(ROWS($U$2:U338),$U$2:$U$1001,0),0), INDEX($AB$1004:$AQ$1004,1,MATCH(COLUMNS($AB$1006:AK1006),$AB$1006:$AQ$1006,0)))),"Fix")))</f>
        <v>0</v>
      </c>
      <c r="L338" s="4">
        <f>IF(OR(INDEX($V$2:$V$1001,MATCH(ROWS($U$2:U338),$U$2:$U$1001,0),1)&gt;=100000,INDEX($AB$1005:$AQ$1005,1,MATCH(COLUMNS($AB$1006:AL1006),$AB$1006:$AQ$1006,0))&gt;=100000), " ",IF(INDEX($AB$2:$AQ$1001,MATCH(ROWS($U$2:U338),$U$2:$U$1001,0),MATCH(COLUMNS($AB$1006:AL1006),$AB$1006:$AQ$1006,0)), HYPERLINK("#",""), HYPERLINK(CONCATENATE("#metadata!", ADDRESS(INDEX($W$2:$W$1001,MATCH(ROWS($U$2:U338),$U$2:$U$1001,0),0), INDEX($AB$1004:$AQ$1004,1,MATCH(COLUMNS($AB$1006:AL1006),$AB$1006:$AQ$1006,0)))),"Fix")))</f>
        <v>0</v>
      </c>
      <c r="M338" s="4">
        <f>IF(OR(INDEX($V$2:$V$1001,MATCH(ROWS($U$2:U338),$U$2:$U$1001,0),1)&gt;=100000,INDEX($AB$1005:$AQ$1005,1,MATCH(COLUMNS($AB$1006:AM1006),$AB$1006:$AQ$1006,0))&gt;=100000), " ",IF(INDEX($AB$2:$AQ$1001,MATCH(ROWS($U$2:U338),$U$2:$U$1001,0),MATCH(COLUMNS($AB$1006:AM1006),$AB$1006:$AQ$1006,0)), HYPERLINK("#",""), HYPERLINK(CONCATENATE("#metadata!", ADDRESS(INDEX($W$2:$W$1001,MATCH(ROWS($U$2:U338),$U$2:$U$1001,0),0), INDEX($AB$1004:$AQ$1004,1,MATCH(COLUMNS($AB$1006:AM1006),$AB$1006:$AQ$1006,0)))),"Fix")))</f>
        <v>0</v>
      </c>
      <c r="N338" s="4">
        <f>IF(OR(INDEX($V$2:$V$1001,MATCH(ROWS($U$2:U338),$U$2:$U$1001,0),1)&gt;=100000,INDEX($AB$1005:$AQ$1005,1,MATCH(COLUMNS($AB$1006:AN1006),$AB$1006:$AQ$1006,0))&gt;=100000), " ",IF(INDEX($AB$2:$AQ$1001,MATCH(ROWS($U$2:U338),$U$2:$U$1001,0),MATCH(COLUMNS($AB$1006:AN1006),$AB$1006:$AQ$1006,0)), HYPERLINK("#",""), HYPERLINK(CONCATENATE("#metadata!", ADDRESS(INDEX($W$2:$W$1001,MATCH(ROWS($U$2:U338),$U$2:$U$1001,0),0), INDEX($AB$1004:$AQ$1004,1,MATCH(COLUMNS($AB$1006:AN1006),$AB$1006:$AQ$1006,0)))),"Fix")))</f>
        <v>0</v>
      </c>
      <c r="O338" s="4">
        <f>IF(OR(INDEX($V$2:$V$1001,MATCH(ROWS($U$2:U338),$U$2:$U$1001,0),1)&gt;=100000,INDEX($AB$1005:$AQ$1005,1,MATCH(COLUMNS($AB$1006:AO1006),$AB$1006:$AQ$1006,0))&gt;=100000), " ",IF(INDEX($AB$2:$AQ$1001,MATCH(ROWS($U$2:U338),$U$2:$U$1001,0),MATCH(COLUMNS($AB$1006:AO1006),$AB$1006:$AQ$1006,0)), HYPERLINK("#",""), HYPERLINK(CONCATENATE("#metadata!", ADDRESS(INDEX($W$2:$W$1001,MATCH(ROWS($U$2:U338),$U$2:$U$1001,0),0), INDEX($AB$1004:$AQ$1004,1,MATCH(COLUMNS($AB$1006:AO1006),$AB$1006:$AQ$1006,0)))),"Fix")))</f>
        <v>0</v>
      </c>
      <c r="P338" s="4">
        <f>IF(OR(INDEX($V$2:$V$1001,MATCH(ROWS($U$2:U338),$U$2:$U$1001,0),1)&gt;=100000,INDEX($AB$1005:$AQ$1005,1,MATCH(COLUMNS($AB$1006:AP1006),$AB$1006:$AQ$1006,0))&gt;=100000), " ",IF(INDEX($AB$2:$AQ$1001,MATCH(ROWS($U$2:U338),$U$2:$U$1001,0),MATCH(COLUMNS($AB$1006:AP1006),$AB$1006:$AQ$1006,0)), HYPERLINK("#",""), HYPERLINK(CONCATENATE("#metadata!", ADDRESS(INDEX($W$2:$W$1001,MATCH(ROWS($U$2:U338),$U$2:$U$1001,0),0), INDEX($AB$1004:$AQ$1004,1,MATCH(COLUMNS($AB$1006:AP1006),$AB$1006:$AQ$1006,0)))),"Fix")))</f>
        <v>0</v>
      </c>
      <c r="Q338" s="4">
        <f>IF(OR(INDEX($V$2:$V$1001,MATCH(ROWS($U$2:U338),$U$2:$U$1001,0),1)&gt;=100000,INDEX($AB$1005:$AQ$1005,1,MATCH(COLUMNS($AB$1006:AQ1006),$AB$1006:$AQ$1006,0))&gt;=100000), " ",IF(INDEX($AB$2:$AQ$1001,MATCH(ROWS($U$2:U338),$U$2:$U$1001,0),MATCH(COLUMNS($AB$1006:AQ1006),$AB$1006:$AQ$1006,0)), HYPERLINK("#",""), HYPERLINK(CONCATENATE("#metadata!", ADDRESS(INDEX($W$2:$W$1001,MATCH(ROWS($U$2:U338),$U$2:$U$1001,0),0), INDEX($AB$1004:$AQ$1004,1,MATCH(COLUMNS($AB$1006:AQ1006),$AB$1006:$AQ$1006,0)))),"Fix")))</f>
        <v>0</v>
      </c>
      <c r="U338">
        <v>0</v>
      </c>
      <c r="V338">
        <v>0</v>
      </c>
      <c r="W338">
        <v>0</v>
      </c>
      <c r="X338">
        <f>IF(Y338,TRUE,AND(AB338:AQ338))</f>
        <v>0</v>
      </c>
      <c r="Y338">
        <f>COUNTBLANK(metadata!B338:Q338)=COLUMNS(metadata!B338:Q338)</f>
        <v>0</v>
      </c>
      <c r="Z338">
        <v>0</v>
      </c>
      <c r="AB338">
        <f>AND(IF(metadata!B338="",FALSE,TRUE),COUNTIF(metadata!B:B, metadata!B338) = 1,NOT(ISERROR(SUMPRODUCT(SEARCH(MID(metadata!B338,ROW(INDIRECT("1:"&amp;LEN(metadata!B338))), 1),"0123456789abcdefghijklmnopqrstuvwxyzABCDEFGHIJKLMNOPQRSTUVWXYZ.")))))</f>
        <v>0</v>
      </c>
      <c r="AC338">
        <f>OR(AND(IF(metadata!C338="",FALSE,TRUE),OR(exact(metadata!C338,"missing: not collected"),exact(metadata!C338,"missing: not provided"),exact(metadata!C338,"missing: restricted access"))),AND(IF(metadata!C338="",FALSE,TRUE),AND(AND(IFERROR(INT(LEFT(metadata!C338,4))&gt;1900,FALSE),IFERROR(INT(LEFT(metadata!C338,4))&lt;=YEAR(NOW()),FALSE)), OR(MID(metadata!C338,5,1)="", AND(AND(MID(metadata!C338,5,1)="-",IFERROR(INT(MID(metadata!C338,6,1))&gt;=0,FALSE),IFERROR(INT(MID(metadata!C338,6,1))&lt;=1,FALSE),NOT(MID(metadata!C338,7,1)=""),IFERROR(INT(MID(metadata!C338,6,2))&gt;=1,FALSE),IFERROR(INT(MID(metadata!C338,6,2))&lt;=12,FALSE)), OR(MID(metadata!C338,8,1)="", AND(AND(MID(metadata!C338,8,1)="-",IFERROR(INT(MID(metadata!C338,9,1))&gt;=0,FALSE),IFERROR(INT(MID(metadata!C338,9,1))&lt;=3,FALSE),NOT(MID(metadata!C338,10,1)=""),IFERROR(INT(MID(metadata!C338,9,2))&gt;=1,FALSE),IFERROR(INT(MID(metadata!C338,9,2))&lt;=31,FALSE)), OR(MID(metadata!C338,11,1)="", AND(AND(MID(metadata!C338,11,1)=" ",IFERROR(INT(MID(metadata!C338,12,1))&gt;=0,FALSE),IFERROR(INT(MID(metadata!C338,12,1))&lt;=2,FALSE),NOT(MID(metadata!C338,13,1)=""),IFERROR(INT(MID(metadata!C338,12,2))&gt;=0,FALSE),IFERROR(INT(MID(metadata!C338,12,2))&lt;=23,FALSE)), OR(MID(metadata!C338,14,1)="", AND(AND(MID(metadata!C338,14,1)=":",IFERROR(INT(MID(metadata!C338,15,1))&gt;=0,FALSE),IFERROR(INT(MID(metadata!C338,15,1))&lt;=5,FALSE),NOT(MID(metadata!C338,16,1)=""),IFERROR(INT(MID(metadata!C338,15,2))&gt;=0,FALSE),IFERROR(INT(MID(metadata!C338,15,2))&lt;=59,FALSE)), OR(MID(metadata!C338,17,1)="", AND(AND(MID(metadata!C338,17,1)=":",IFERROR(INT(MID(metadata!C338,18,1))&gt;=0,FALSE),IFERROR(INT(MID(metadata!C338,18,1))&lt;=5,FALSE),NOT(MID(metadata!C338,19,1)=""),IFERROR(INT(MID(metadata!C338,18,2))&gt;=0,FALSE),IFERROR(INT(MID(metadata!C338,18,2))&lt;=59,FALSE)), LEN(metadata!C338)&lt;=19)))))))))))))</f>
        <v>0</v>
      </c>
      <c r="AD338">
        <f>IF(metadata!D338="",FALSE,TRUE)</f>
        <v>0</v>
      </c>
      <c r="AE338">
        <f>OR(AND(IF(metadata!E338="",FALSE,TRUE),OR(exact(metadata!E338,"missing: not collected"),exact(metadata!E338,"missing: not provided"))),AND(IF(metadata!E338="",FALSE,TRUE),OR(exact(metadata!E338,"TRUE"),exact(metadata!E338,"FALSE"))))</f>
        <v>0</v>
      </c>
      <c r="AF338">
        <f>IF(metadata!F338="",FALSE,TRUE)</f>
        <v>0</v>
      </c>
      <c r="AG338">
        <f>IF(metadata!G338="",FALSE,TRUE)</f>
        <v>0</v>
      </c>
      <c r="AH338">
        <f>IF(metadata!H338="",FALSE,TRUE)</f>
        <v>0</v>
      </c>
      <c r="AI338">
        <f>OR(AND(IF(metadata!I338="",FALSE,TRUE),OR(exact(metadata!I338,"missing: not collected"),exact(metadata!I338,"missing: not provided"),exact(metadata!I338,"missing: restricted access"))),AND(IF(metadata!I338="",FALSE,TRUE),OR(exact(metadata!I338,"air"),exact(metadata!I338,"built environment"),exact(metadata!I338,"host-associated"),exact(metadata!I338,"human-associated"),exact(metadata!I338,"human-skin"),exact(metadata!I338,"human-oral"),exact(metadata!I338,"human-gut"),exact(metadata!I338,"human-vaginal"),exact(metadata!I338,"microbial mat/biofilm"),exact(metadata!I338,"misc environment"),exact(metadata!I338,"plant-associated"),exact(metadata!I338,"sediment"),exact(metadata!I338,"soil"),exact(metadata!I338,"wastewater/sludge"),exact(metadata!I338,"water"))))</f>
        <v>0</v>
      </c>
      <c r="AJ338">
        <f>IF(metadata!J338="",FALSE,TRUE)</f>
        <v>0</v>
      </c>
      <c r="AK338">
        <f>OR(AND(IF(metadata!K338="",FALSE,TRUE),OR(exact(metadata!K338,"missing: not collected"),exact(metadata!K338,"missing: not provided"),exact(metadata!K338,"missing: restricted access"))),AND(IF(metadata!K338="",FALSE,ISNUMBER(VALUE(metadata!K338))),metadata!K338&gt;=-90.00,metadata!K338&lt;=90.00))</f>
        <v>0</v>
      </c>
      <c r="AL338">
        <f>OR(AND(IF(metadata!L338="",FALSE,TRUE),OR(exact(metadata!L338,"missing: not collected"),exact(metadata!L338,"missing: not provided"),exact(metadata!L338,"missing: restricted access"))),AND(IF(metadata!L338="",FALSE,ISNUMBER(VALUE(metadata!L338))),metadata!L338&gt;=-180.00,metadata!L338&lt;=180.00))</f>
        <v>0</v>
      </c>
      <c r="AM338">
        <f>IF(metadata!M338="",FALSE,TRUE)</f>
        <v>0</v>
      </c>
      <c r="AN338">
        <f>OR(AND(IF(metadata!N338="",FALSE,TRUE),OR(exact(metadata!N338,"missing: not collected"),exact(metadata!N338,"missing: not provided"),exact(metadata!N338,"missing: restricted access"))),AND(IF(metadata!N338="",FALSE,TRUE),OR(exact(metadata!N338,"TRUE"),exact(metadata!N338,"FALSE"))))</f>
        <v>0</v>
      </c>
      <c r="AO338">
        <f>IF(metadata!O338="",FALSE,TRUE)</f>
        <v>0</v>
      </c>
      <c r="AP338">
        <f>OR(AND(IF(metadata!P338="",FALSE,TRUE),OR(exact(metadata!P338,"missing: not collected"),exact(metadata!P338,"missing: not provided"))),AND(IF(metadata!P338="",FALSE,IF(ISERROR(INT(metadata!P338)),FALSE,INT(metadata!P338)=metadata!P338)),metadata!P338&gt;0))</f>
        <v>0</v>
      </c>
      <c r="AQ338">
        <f>IF(metadata!Q338="",FALSE,TRUE)</f>
        <v>0</v>
      </c>
    </row>
    <row r="339" spans="1:43">
      <c r="A339" s="5">
        <f>IF(B339=" "," ",HYPERLINK(CONCATENATE("#metadata!",ADDRESS(INDEX($W$2:$W$1001,MATCH(ROWS($U$2:U339),$U$2:$U$1001,0),0),1)),INDEX($Z$2:$Z$1001,MATCH(ROWS($U$2:U339),$U$2:$U$1001,0),0)))</f>
        <v>0</v>
      </c>
      <c r="B339" s="4">
        <f>IF(OR(INDEX($V$2:$V$1001,MATCH(ROWS($U$2:U339),$U$2:$U$1001,0),1)&gt;=100000,INDEX($AB$1005:$AQ$1005,1,MATCH(COLUMNS($AB$1006:AB1006),$AB$1006:$AQ$1006,0))&gt;=100000), " ",IF(INDEX($AB$2:$AQ$1001,MATCH(ROWS($U$2:U339),$U$2:$U$1001,0),MATCH(COLUMNS($AB$1006:AB1006),$AB$1006:$AQ$1006,0)), HYPERLINK("#",""), HYPERLINK(CONCATENATE("#metadata!", ADDRESS(INDEX($W$2:$W$1001,MATCH(ROWS($U$2:U339),$U$2:$U$1001,0),0), INDEX($AB$1004:$AQ$1004,1,MATCH(COLUMNS($AB$1006:AB1006),$AB$1006:$AQ$1006,0)))),"Fix")))</f>
        <v>0</v>
      </c>
      <c r="C339" s="4">
        <f>IF(OR(INDEX($V$2:$V$1001,MATCH(ROWS($U$2:U339),$U$2:$U$1001,0),1)&gt;=100000,INDEX($AB$1005:$AQ$1005,1,MATCH(COLUMNS($AB$1006:AC1006),$AB$1006:$AQ$1006,0))&gt;=100000), " ",IF(INDEX($AB$2:$AQ$1001,MATCH(ROWS($U$2:U339),$U$2:$U$1001,0),MATCH(COLUMNS($AB$1006:AC1006),$AB$1006:$AQ$1006,0)), HYPERLINK("#",""), HYPERLINK(CONCATENATE("#metadata!", ADDRESS(INDEX($W$2:$W$1001,MATCH(ROWS($U$2:U339),$U$2:$U$1001,0),0), INDEX($AB$1004:$AQ$1004,1,MATCH(COLUMNS($AB$1006:AC1006),$AB$1006:$AQ$1006,0)))),"Fix")))</f>
        <v>0</v>
      </c>
      <c r="D339" s="4">
        <f>IF(OR(INDEX($V$2:$V$1001,MATCH(ROWS($U$2:U339),$U$2:$U$1001,0),1)&gt;=100000,INDEX($AB$1005:$AQ$1005,1,MATCH(COLUMNS($AB$1006:AD1006),$AB$1006:$AQ$1006,0))&gt;=100000), " ",IF(INDEX($AB$2:$AQ$1001,MATCH(ROWS($U$2:U339),$U$2:$U$1001,0),MATCH(COLUMNS($AB$1006:AD1006),$AB$1006:$AQ$1006,0)), HYPERLINK("#",""), HYPERLINK(CONCATENATE("#metadata!", ADDRESS(INDEX($W$2:$W$1001,MATCH(ROWS($U$2:U339),$U$2:$U$1001,0),0), INDEX($AB$1004:$AQ$1004,1,MATCH(COLUMNS($AB$1006:AD1006),$AB$1006:$AQ$1006,0)))),"Fix")))</f>
        <v>0</v>
      </c>
      <c r="E339" s="4">
        <f>IF(OR(INDEX($V$2:$V$1001,MATCH(ROWS($U$2:U339),$U$2:$U$1001,0),1)&gt;=100000,INDEX($AB$1005:$AQ$1005,1,MATCH(COLUMNS($AB$1006:AE1006),$AB$1006:$AQ$1006,0))&gt;=100000), " ",IF(INDEX($AB$2:$AQ$1001,MATCH(ROWS($U$2:U339),$U$2:$U$1001,0),MATCH(COLUMNS($AB$1006:AE1006),$AB$1006:$AQ$1006,0)), HYPERLINK("#",""), HYPERLINK(CONCATENATE("#metadata!", ADDRESS(INDEX($W$2:$W$1001,MATCH(ROWS($U$2:U339),$U$2:$U$1001,0),0), INDEX($AB$1004:$AQ$1004,1,MATCH(COLUMNS($AB$1006:AE1006),$AB$1006:$AQ$1006,0)))),"Fix")))</f>
        <v>0</v>
      </c>
      <c r="F339" s="4">
        <f>IF(OR(INDEX($V$2:$V$1001,MATCH(ROWS($U$2:U339),$U$2:$U$1001,0),1)&gt;=100000,INDEX($AB$1005:$AQ$1005,1,MATCH(COLUMNS($AB$1006:AF1006),$AB$1006:$AQ$1006,0))&gt;=100000), " ",IF(INDEX($AB$2:$AQ$1001,MATCH(ROWS($U$2:U339),$U$2:$U$1001,0),MATCH(COLUMNS($AB$1006:AF1006),$AB$1006:$AQ$1006,0)), HYPERLINK("#",""), HYPERLINK(CONCATENATE("#metadata!", ADDRESS(INDEX($W$2:$W$1001,MATCH(ROWS($U$2:U339),$U$2:$U$1001,0),0), INDEX($AB$1004:$AQ$1004,1,MATCH(COLUMNS($AB$1006:AF1006),$AB$1006:$AQ$1006,0)))),"Fix")))</f>
        <v>0</v>
      </c>
      <c r="G339" s="4">
        <f>IF(OR(INDEX($V$2:$V$1001,MATCH(ROWS($U$2:U339),$U$2:$U$1001,0),1)&gt;=100000,INDEX($AB$1005:$AQ$1005,1,MATCH(COLUMNS($AB$1006:AG1006),$AB$1006:$AQ$1006,0))&gt;=100000), " ",IF(INDEX($AB$2:$AQ$1001,MATCH(ROWS($U$2:U339),$U$2:$U$1001,0),MATCH(COLUMNS($AB$1006:AG1006),$AB$1006:$AQ$1006,0)), HYPERLINK("#",""), HYPERLINK(CONCATENATE("#metadata!", ADDRESS(INDEX($W$2:$W$1001,MATCH(ROWS($U$2:U339),$U$2:$U$1001,0),0), INDEX($AB$1004:$AQ$1004,1,MATCH(COLUMNS($AB$1006:AG1006),$AB$1006:$AQ$1006,0)))),"Fix")))</f>
        <v>0</v>
      </c>
      <c r="H339" s="4">
        <f>IF(OR(INDEX($V$2:$V$1001,MATCH(ROWS($U$2:U339),$U$2:$U$1001,0),1)&gt;=100000,INDEX($AB$1005:$AQ$1005,1,MATCH(COLUMNS($AB$1006:AH1006),$AB$1006:$AQ$1006,0))&gt;=100000), " ",IF(INDEX($AB$2:$AQ$1001,MATCH(ROWS($U$2:U339),$U$2:$U$1001,0),MATCH(COLUMNS($AB$1006:AH1006),$AB$1006:$AQ$1006,0)), HYPERLINK("#",""), HYPERLINK(CONCATENATE("#metadata!", ADDRESS(INDEX($W$2:$W$1001,MATCH(ROWS($U$2:U339),$U$2:$U$1001,0),0), INDEX($AB$1004:$AQ$1004,1,MATCH(COLUMNS($AB$1006:AH1006),$AB$1006:$AQ$1006,0)))),"Fix")))</f>
        <v>0</v>
      </c>
      <c r="I339" s="4">
        <f>IF(OR(INDEX($V$2:$V$1001,MATCH(ROWS($U$2:U339),$U$2:$U$1001,0),1)&gt;=100000,INDEX($AB$1005:$AQ$1005,1,MATCH(COLUMNS($AB$1006:AI1006),$AB$1006:$AQ$1006,0))&gt;=100000), " ",IF(INDEX($AB$2:$AQ$1001,MATCH(ROWS($U$2:U339),$U$2:$U$1001,0),MATCH(COLUMNS($AB$1006:AI1006),$AB$1006:$AQ$1006,0)), HYPERLINK("#",""), HYPERLINK(CONCATENATE("#metadata!", ADDRESS(INDEX($W$2:$W$1001,MATCH(ROWS($U$2:U339),$U$2:$U$1001,0),0), INDEX($AB$1004:$AQ$1004,1,MATCH(COLUMNS($AB$1006:AI1006),$AB$1006:$AQ$1006,0)))),"Fix")))</f>
        <v>0</v>
      </c>
      <c r="J339" s="4">
        <f>IF(OR(INDEX($V$2:$V$1001,MATCH(ROWS($U$2:U339),$U$2:$U$1001,0),1)&gt;=100000,INDEX($AB$1005:$AQ$1005,1,MATCH(COLUMNS($AB$1006:AJ1006),$AB$1006:$AQ$1006,0))&gt;=100000), " ",IF(INDEX($AB$2:$AQ$1001,MATCH(ROWS($U$2:U339),$U$2:$U$1001,0),MATCH(COLUMNS($AB$1006:AJ1006),$AB$1006:$AQ$1006,0)), HYPERLINK("#",""), HYPERLINK(CONCATENATE("#metadata!", ADDRESS(INDEX($W$2:$W$1001,MATCH(ROWS($U$2:U339),$U$2:$U$1001,0),0), INDEX($AB$1004:$AQ$1004,1,MATCH(COLUMNS($AB$1006:AJ1006),$AB$1006:$AQ$1006,0)))),"Fix")))</f>
        <v>0</v>
      </c>
      <c r="K339" s="4">
        <f>IF(OR(INDEX($V$2:$V$1001,MATCH(ROWS($U$2:U339),$U$2:$U$1001,0),1)&gt;=100000,INDEX($AB$1005:$AQ$1005,1,MATCH(COLUMNS($AB$1006:AK1006),$AB$1006:$AQ$1006,0))&gt;=100000), " ",IF(INDEX($AB$2:$AQ$1001,MATCH(ROWS($U$2:U339),$U$2:$U$1001,0),MATCH(COLUMNS($AB$1006:AK1006),$AB$1006:$AQ$1006,0)), HYPERLINK("#",""), HYPERLINK(CONCATENATE("#metadata!", ADDRESS(INDEX($W$2:$W$1001,MATCH(ROWS($U$2:U339),$U$2:$U$1001,0),0), INDEX($AB$1004:$AQ$1004,1,MATCH(COLUMNS($AB$1006:AK1006),$AB$1006:$AQ$1006,0)))),"Fix")))</f>
        <v>0</v>
      </c>
      <c r="L339" s="4">
        <f>IF(OR(INDEX($V$2:$V$1001,MATCH(ROWS($U$2:U339),$U$2:$U$1001,0),1)&gt;=100000,INDEX($AB$1005:$AQ$1005,1,MATCH(COLUMNS($AB$1006:AL1006),$AB$1006:$AQ$1006,0))&gt;=100000), " ",IF(INDEX($AB$2:$AQ$1001,MATCH(ROWS($U$2:U339),$U$2:$U$1001,0),MATCH(COLUMNS($AB$1006:AL1006),$AB$1006:$AQ$1006,0)), HYPERLINK("#",""), HYPERLINK(CONCATENATE("#metadata!", ADDRESS(INDEX($W$2:$W$1001,MATCH(ROWS($U$2:U339),$U$2:$U$1001,0),0), INDEX($AB$1004:$AQ$1004,1,MATCH(COLUMNS($AB$1006:AL1006),$AB$1006:$AQ$1006,0)))),"Fix")))</f>
        <v>0</v>
      </c>
      <c r="M339" s="4">
        <f>IF(OR(INDEX($V$2:$V$1001,MATCH(ROWS($U$2:U339),$U$2:$U$1001,0),1)&gt;=100000,INDEX($AB$1005:$AQ$1005,1,MATCH(COLUMNS($AB$1006:AM1006),$AB$1006:$AQ$1006,0))&gt;=100000), " ",IF(INDEX($AB$2:$AQ$1001,MATCH(ROWS($U$2:U339),$U$2:$U$1001,0),MATCH(COLUMNS($AB$1006:AM1006),$AB$1006:$AQ$1006,0)), HYPERLINK("#",""), HYPERLINK(CONCATENATE("#metadata!", ADDRESS(INDEX($W$2:$W$1001,MATCH(ROWS($U$2:U339),$U$2:$U$1001,0),0), INDEX($AB$1004:$AQ$1004,1,MATCH(COLUMNS($AB$1006:AM1006),$AB$1006:$AQ$1006,0)))),"Fix")))</f>
        <v>0</v>
      </c>
      <c r="N339" s="4">
        <f>IF(OR(INDEX($V$2:$V$1001,MATCH(ROWS($U$2:U339),$U$2:$U$1001,0),1)&gt;=100000,INDEX($AB$1005:$AQ$1005,1,MATCH(COLUMNS($AB$1006:AN1006),$AB$1006:$AQ$1006,0))&gt;=100000), " ",IF(INDEX($AB$2:$AQ$1001,MATCH(ROWS($U$2:U339),$U$2:$U$1001,0),MATCH(COLUMNS($AB$1006:AN1006),$AB$1006:$AQ$1006,0)), HYPERLINK("#",""), HYPERLINK(CONCATENATE("#metadata!", ADDRESS(INDEX($W$2:$W$1001,MATCH(ROWS($U$2:U339),$U$2:$U$1001,0),0), INDEX($AB$1004:$AQ$1004,1,MATCH(COLUMNS($AB$1006:AN1006),$AB$1006:$AQ$1006,0)))),"Fix")))</f>
        <v>0</v>
      </c>
      <c r="O339" s="4">
        <f>IF(OR(INDEX($V$2:$V$1001,MATCH(ROWS($U$2:U339),$U$2:$U$1001,0),1)&gt;=100000,INDEX($AB$1005:$AQ$1005,1,MATCH(COLUMNS($AB$1006:AO1006),$AB$1006:$AQ$1006,0))&gt;=100000), " ",IF(INDEX($AB$2:$AQ$1001,MATCH(ROWS($U$2:U339),$U$2:$U$1001,0),MATCH(COLUMNS($AB$1006:AO1006),$AB$1006:$AQ$1006,0)), HYPERLINK("#",""), HYPERLINK(CONCATENATE("#metadata!", ADDRESS(INDEX($W$2:$W$1001,MATCH(ROWS($U$2:U339),$U$2:$U$1001,0),0), INDEX($AB$1004:$AQ$1004,1,MATCH(COLUMNS($AB$1006:AO1006),$AB$1006:$AQ$1006,0)))),"Fix")))</f>
        <v>0</v>
      </c>
      <c r="P339" s="4">
        <f>IF(OR(INDEX($V$2:$V$1001,MATCH(ROWS($U$2:U339),$U$2:$U$1001,0),1)&gt;=100000,INDEX($AB$1005:$AQ$1005,1,MATCH(COLUMNS($AB$1006:AP1006),$AB$1006:$AQ$1006,0))&gt;=100000), " ",IF(INDEX($AB$2:$AQ$1001,MATCH(ROWS($U$2:U339),$U$2:$U$1001,0),MATCH(COLUMNS($AB$1006:AP1006),$AB$1006:$AQ$1006,0)), HYPERLINK("#",""), HYPERLINK(CONCATENATE("#metadata!", ADDRESS(INDEX($W$2:$W$1001,MATCH(ROWS($U$2:U339),$U$2:$U$1001,0),0), INDEX($AB$1004:$AQ$1004,1,MATCH(COLUMNS($AB$1006:AP1006),$AB$1006:$AQ$1006,0)))),"Fix")))</f>
        <v>0</v>
      </c>
      <c r="Q339" s="4">
        <f>IF(OR(INDEX($V$2:$V$1001,MATCH(ROWS($U$2:U339),$U$2:$U$1001,0),1)&gt;=100000,INDEX($AB$1005:$AQ$1005,1,MATCH(COLUMNS($AB$1006:AQ1006),$AB$1006:$AQ$1006,0))&gt;=100000), " ",IF(INDEX($AB$2:$AQ$1001,MATCH(ROWS($U$2:U339),$U$2:$U$1001,0),MATCH(COLUMNS($AB$1006:AQ1006),$AB$1006:$AQ$1006,0)), HYPERLINK("#",""), HYPERLINK(CONCATENATE("#metadata!", ADDRESS(INDEX($W$2:$W$1001,MATCH(ROWS($U$2:U339),$U$2:$U$1001,0),0), INDEX($AB$1004:$AQ$1004,1,MATCH(COLUMNS($AB$1006:AQ1006),$AB$1006:$AQ$1006,0)))),"Fix")))</f>
        <v>0</v>
      </c>
      <c r="U339">
        <v>0</v>
      </c>
      <c r="V339">
        <v>0</v>
      </c>
      <c r="W339">
        <v>0</v>
      </c>
      <c r="X339">
        <f>IF(Y339,TRUE,AND(AB339:AQ339))</f>
        <v>0</v>
      </c>
      <c r="Y339">
        <f>COUNTBLANK(metadata!B339:Q339)=COLUMNS(metadata!B339:Q339)</f>
        <v>0</v>
      </c>
      <c r="Z339">
        <v>0</v>
      </c>
      <c r="AB339">
        <f>AND(IF(metadata!B339="",FALSE,TRUE),COUNTIF(metadata!B:B, metadata!B339) = 1,NOT(ISERROR(SUMPRODUCT(SEARCH(MID(metadata!B339,ROW(INDIRECT("1:"&amp;LEN(metadata!B339))), 1),"0123456789abcdefghijklmnopqrstuvwxyzABCDEFGHIJKLMNOPQRSTUVWXYZ.")))))</f>
        <v>0</v>
      </c>
      <c r="AC339">
        <f>OR(AND(IF(metadata!C339="",FALSE,TRUE),OR(exact(metadata!C339,"missing: not collected"),exact(metadata!C339,"missing: not provided"),exact(metadata!C339,"missing: restricted access"))),AND(IF(metadata!C339="",FALSE,TRUE),AND(AND(IFERROR(INT(LEFT(metadata!C339,4))&gt;1900,FALSE),IFERROR(INT(LEFT(metadata!C339,4))&lt;=YEAR(NOW()),FALSE)), OR(MID(metadata!C339,5,1)="", AND(AND(MID(metadata!C339,5,1)="-",IFERROR(INT(MID(metadata!C339,6,1))&gt;=0,FALSE),IFERROR(INT(MID(metadata!C339,6,1))&lt;=1,FALSE),NOT(MID(metadata!C339,7,1)=""),IFERROR(INT(MID(metadata!C339,6,2))&gt;=1,FALSE),IFERROR(INT(MID(metadata!C339,6,2))&lt;=12,FALSE)), OR(MID(metadata!C339,8,1)="", AND(AND(MID(metadata!C339,8,1)="-",IFERROR(INT(MID(metadata!C339,9,1))&gt;=0,FALSE),IFERROR(INT(MID(metadata!C339,9,1))&lt;=3,FALSE),NOT(MID(metadata!C339,10,1)=""),IFERROR(INT(MID(metadata!C339,9,2))&gt;=1,FALSE),IFERROR(INT(MID(metadata!C339,9,2))&lt;=31,FALSE)), OR(MID(metadata!C339,11,1)="", AND(AND(MID(metadata!C339,11,1)=" ",IFERROR(INT(MID(metadata!C339,12,1))&gt;=0,FALSE),IFERROR(INT(MID(metadata!C339,12,1))&lt;=2,FALSE),NOT(MID(metadata!C339,13,1)=""),IFERROR(INT(MID(metadata!C339,12,2))&gt;=0,FALSE),IFERROR(INT(MID(metadata!C339,12,2))&lt;=23,FALSE)), OR(MID(metadata!C339,14,1)="", AND(AND(MID(metadata!C339,14,1)=":",IFERROR(INT(MID(metadata!C339,15,1))&gt;=0,FALSE),IFERROR(INT(MID(metadata!C339,15,1))&lt;=5,FALSE),NOT(MID(metadata!C339,16,1)=""),IFERROR(INT(MID(metadata!C339,15,2))&gt;=0,FALSE),IFERROR(INT(MID(metadata!C339,15,2))&lt;=59,FALSE)), OR(MID(metadata!C339,17,1)="", AND(AND(MID(metadata!C339,17,1)=":",IFERROR(INT(MID(metadata!C339,18,1))&gt;=0,FALSE),IFERROR(INT(MID(metadata!C339,18,1))&lt;=5,FALSE),NOT(MID(metadata!C339,19,1)=""),IFERROR(INT(MID(metadata!C339,18,2))&gt;=0,FALSE),IFERROR(INT(MID(metadata!C339,18,2))&lt;=59,FALSE)), LEN(metadata!C339)&lt;=19)))))))))))))</f>
        <v>0</v>
      </c>
      <c r="AD339">
        <f>IF(metadata!D339="",FALSE,TRUE)</f>
        <v>0</v>
      </c>
      <c r="AE339">
        <f>OR(AND(IF(metadata!E339="",FALSE,TRUE),OR(exact(metadata!E339,"missing: not collected"),exact(metadata!E339,"missing: not provided"))),AND(IF(metadata!E339="",FALSE,TRUE),OR(exact(metadata!E339,"TRUE"),exact(metadata!E339,"FALSE"))))</f>
        <v>0</v>
      </c>
      <c r="AF339">
        <f>IF(metadata!F339="",FALSE,TRUE)</f>
        <v>0</v>
      </c>
      <c r="AG339">
        <f>IF(metadata!G339="",FALSE,TRUE)</f>
        <v>0</v>
      </c>
      <c r="AH339">
        <f>IF(metadata!H339="",FALSE,TRUE)</f>
        <v>0</v>
      </c>
      <c r="AI339">
        <f>OR(AND(IF(metadata!I339="",FALSE,TRUE),OR(exact(metadata!I339,"missing: not collected"),exact(metadata!I339,"missing: not provided"),exact(metadata!I339,"missing: restricted access"))),AND(IF(metadata!I339="",FALSE,TRUE),OR(exact(metadata!I339,"air"),exact(metadata!I339,"built environment"),exact(metadata!I339,"host-associated"),exact(metadata!I339,"human-associated"),exact(metadata!I339,"human-skin"),exact(metadata!I339,"human-oral"),exact(metadata!I339,"human-gut"),exact(metadata!I339,"human-vaginal"),exact(metadata!I339,"microbial mat/biofilm"),exact(metadata!I339,"misc environment"),exact(metadata!I339,"plant-associated"),exact(metadata!I339,"sediment"),exact(metadata!I339,"soil"),exact(metadata!I339,"wastewater/sludge"),exact(metadata!I339,"water"))))</f>
        <v>0</v>
      </c>
      <c r="AJ339">
        <f>IF(metadata!J339="",FALSE,TRUE)</f>
        <v>0</v>
      </c>
      <c r="AK339">
        <f>OR(AND(IF(metadata!K339="",FALSE,TRUE),OR(exact(metadata!K339,"missing: not collected"),exact(metadata!K339,"missing: not provided"),exact(metadata!K339,"missing: restricted access"))),AND(IF(metadata!K339="",FALSE,ISNUMBER(VALUE(metadata!K339))),metadata!K339&gt;=-90.00,metadata!K339&lt;=90.00))</f>
        <v>0</v>
      </c>
      <c r="AL339">
        <f>OR(AND(IF(metadata!L339="",FALSE,TRUE),OR(exact(metadata!L339,"missing: not collected"),exact(metadata!L339,"missing: not provided"),exact(metadata!L339,"missing: restricted access"))),AND(IF(metadata!L339="",FALSE,ISNUMBER(VALUE(metadata!L339))),metadata!L339&gt;=-180.00,metadata!L339&lt;=180.00))</f>
        <v>0</v>
      </c>
      <c r="AM339">
        <f>IF(metadata!M339="",FALSE,TRUE)</f>
        <v>0</v>
      </c>
      <c r="AN339">
        <f>OR(AND(IF(metadata!N339="",FALSE,TRUE),OR(exact(metadata!N339,"missing: not collected"),exact(metadata!N339,"missing: not provided"),exact(metadata!N339,"missing: restricted access"))),AND(IF(metadata!N339="",FALSE,TRUE),OR(exact(metadata!N339,"TRUE"),exact(metadata!N339,"FALSE"))))</f>
        <v>0</v>
      </c>
      <c r="AO339">
        <f>IF(metadata!O339="",FALSE,TRUE)</f>
        <v>0</v>
      </c>
      <c r="AP339">
        <f>OR(AND(IF(metadata!P339="",FALSE,TRUE),OR(exact(metadata!P339,"missing: not collected"),exact(metadata!P339,"missing: not provided"))),AND(IF(metadata!P339="",FALSE,IF(ISERROR(INT(metadata!P339)),FALSE,INT(metadata!P339)=metadata!P339)),metadata!P339&gt;0))</f>
        <v>0</v>
      </c>
      <c r="AQ339">
        <f>IF(metadata!Q339="",FALSE,TRUE)</f>
        <v>0</v>
      </c>
    </row>
    <row r="340" spans="1:43">
      <c r="A340" s="5">
        <f>IF(B340=" "," ",HYPERLINK(CONCATENATE("#metadata!",ADDRESS(INDEX($W$2:$W$1001,MATCH(ROWS($U$2:U340),$U$2:$U$1001,0),0),1)),INDEX($Z$2:$Z$1001,MATCH(ROWS($U$2:U340),$U$2:$U$1001,0),0)))</f>
        <v>0</v>
      </c>
      <c r="B340" s="4">
        <f>IF(OR(INDEX($V$2:$V$1001,MATCH(ROWS($U$2:U340),$U$2:$U$1001,0),1)&gt;=100000,INDEX($AB$1005:$AQ$1005,1,MATCH(COLUMNS($AB$1006:AB1006),$AB$1006:$AQ$1006,0))&gt;=100000), " ",IF(INDEX($AB$2:$AQ$1001,MATCH(ROWS($U$2:U340),$U$2:$U$1001,0),MATCH(COLUMNS($AB$1006:AB1006),$AB$1006:$AQ$1006,0)), HYPERLINK("#",""), HYPERLINK(CONCATENATE("#metadata!", ADDRESS(INDEX($W$2:$W$1001,MATCH(ROWS($U$2:U340),$U$2:$U$1001,0),0), INDEX($AB$1004:$AQ$1004,1,MATCH(COLUMNS($AB$1006:AB1006),$AB$1006:$AQ$1006,0)))),"Fix")))</f>
        <v>0</v>
      </c>
      <c r="C340" s="4">
        <f>IF(OR(INDEX($V$2:$V$1001,MATCH(ROWS($U$2:U340),$U$2:$U$1001,0),1)&gt;=100000,INDEX($AB$1005:$AQ$1005,1,MATCH(COLUMNS($AB$1006:AC1006),$AB$1006:$AQ$1006,0))&gt;=100000), " ",IF(INDEX($AB$2:$AQ$1001,MATCH(ROWS($U$2:U340),$U$2:$U$1001,0),MATCH(COLUMNS($AB$1006:AC1006),$AB$1006:$AQ$1006,0)), HYPERLINK("#",""), HYPERLINK(CONCATENATE("#metadata!", ADDRESS(INDEX($W$2:$W$1001,MATCH(ROWS($U$2:U340),$U$2:$U$1001,0),0), INDEX($AB$1004:$AQ$1004,1,MATCH(COLUMNS($AB$1006:AC1006),$AB$1006:$AQ$1006,0)))),"Fix")))</f>
        <v>0</v>
      </c>
      <c r="D340" s="4">
        <f>IF(OR(INDEX($V$2:$V$1001,MATCH(ROWS($U$2:U340),$U$2:$U$1001,0),1)&gt;=100000,INDEX($AB$1005:$AQ$1005,1,MATCH(COLUMNS($AB$1006:AD1006),$AB$1006:$AQ$1006,0))&gt;=100000), " ",IF(INDEX($AB$2:$AQ$1001,MATCH(ROWS($U$2:U340),$U$2:$U$1001,0),MATCH(COLUMNS($AB$1006:AD1006),$AB$1006:$AQ$1006,0)), HYPERLINK("#",""), HYPERLINK(CONCATENATE("#metadata!", ADDRESS(INDEX($W$2:$W$1001,MATCH(ROWS($U$2:U340),$U$2:$U$1001,0),0), INDEX($AB$1004:$AQ$1004,1,MATCH(COLUMNS($AB$1006:AD1006),$AB$1006:$AQ$1006,0)))),"Fix")))</f>
        <v>0</v>
      </c>
      <c r="E340" s="4">
        <f>IF(OR(INDEX($V$2:$V$1001,MATCH(ROWS($U$2:U340),$U$2:$U$1001,0),1)&gt;=100000,INDEX($AB$1005:$AQ$1005,1,MATCH(COLUMNS($AB$1006:AE1006),$AB$1006:$AQ$1006,0))&gt;=100000), " ",IF(INDEX($AB$2:$AQ$1001,MATCH(ROWS($U$2:U340),$U$2:$U$1001,0),MATCH(COLUMNS($AB$1006:AE1006),$AB$1006:$AQ$1006,0)), HYPERLINK("#",""), HYPERLINK(CONCATENATE("#metadata!", ADDRESS(INDEX($W$2:$W$1001,MATCH(ROWS($U$2:U340),$U$2:$U$1001,0),0), INDEX($AB$1004:$AQ$1004,1,MATCH(COLUMNS($AB$1006:AE1006),$AB$1006:$AQ$1006,0)))),"Fix")))</f>
        <v>0</v>
      </c>
      <c r="F340" s="4">
        <f>IF(OR(INDEX($V$2:$V$1001,MATCH(ROWS($U$2:U340),$U$2:$U$1001,0),1)&gt;=100000,INDEX($AB$1005:$AQ$1005,1,MATCH(COLUMNS($AB$1006:AF1006),$AB$1006:$AQ$1006,0))&gt;=100000), " ",IF(INDEX($AB$2:$AQ$1001,MATCH(ROWS($U$2:U340),$U$2:$U$1001,0),MATCH(COLUMNS($AB$1006:AF1006),$AB$1006:$AQ$1006,0)), HYPERLINK("#",""), HYPERLINK(CONCATENATE("#metadata!", ADDRESS(INDEX($W$2:$W$1001,MATCH(ROWS($U$2:U340),$U$2:$U$1001,0),0), INDEX($AB$1004:$AQ$1004,1,MATCH(COLUMNS($AB$1006:AF1006),$AB$1006:$AQ$1006,0)))),"Fix")))</f>
        <v>0</v>
      </c>
      <c r="G340" s="4">
        <f>IF(OR(INDEX($V$2:$V$1001,MATCH(ROWS($U$2:U340),$U$2:$U$1001,0),1)&gt;=100000,INDEX($AB$1005:$AQ$1005,1,MATCH(COLUMNS($AB$1006:AG1006),$AB$1006:$AQ$1006,0))&gt;=100000), " ",IF(INDEX($AB$2:$AQ$1001,MATCH(ROWS($U$2:U340),$U$2:$U$1001,0),MATCH(COLUMNS($AB$1006:AG1006),$AB$1006:$AQ$1006,0)), HYPERLINK("#",""), HYPERLINK(CONCATENATE("#metadata!", ADDRESS(INDEX($W$2:$W$1001,MATCH(ROWS($U$2:U340),$U$2:$U$1001,0),0), INDEX($AB$1004:$AQ$1004,1,MATCH(COLUMNS($AB$1006:AG1006),$AB$1006:$AQ$1006,0)))),"Fix")))</f>
        <v>0</v>
      </c>
      <c r="H340" s="4">
        <f>IF(OR(INDEX($V$2:$V$1001,MATCH(ROWS($U$2:U340),$U$2:$U$1001,0),1)&gt;=100000,INDEX($AB$1005:$AQ$1005,1,MATCH(COLUMNS($AB$1006:AH1006),$AB$1006:$AQ$1006,0))&gt;=100000), " ",IF(INDEX($AB$2:$AQ$1001,MATCH(ROWS($U$2:U340),$U$2:$U$1001,0),MATCH(COLUMNS($AB$1006:AH1006),$AB$1006:$AQ$1006,0)), HYPERLINK("#",""), HYPERLINK(CONCATENATE("#metadata!", ADDRESS(INDEX($W$2:$W$1001,MATCH(ROWS($U$2:U340),$U$2:$U$1001,0),0), INDEX($AB$1004:$AQ$1004,1,MATCH(COLUMNS($AB$1006:AH1006),$AB$1006:$AQ$1006,0)))),"Fix")))</f>
        <v>0</v>
      </c>
      <c r="I340" s="4">
        <f>IF(OR(INDEX($V$2:$V$1001,MATCH(ROWS($U$2:U340),$U$2:$U$1001,0),1)&gt;=100000,INDEX($AB$1005:$AQ$1005,1,MATCH(COLUMNS($AB$1006:AI1006),$AB$1006:$AQ$1006,0))&gt;=100000), " ",IF(INDEX($AB$2:$AQ$1001,MATCH(ROWS($U$2:U340),$U$2:$U$1001,0),MATCH(COLUMNS($AB$1006:AI1006),$AB$1006:$AQ$1006,0)), HYPERLINK("#",""), HYPERLINK(CONCATENATE("#metadata!", ADDRESS(INDEX($W$2:$W$1001,MATCH(ROWS($U$2:U340),$U$2:$U$1001,0),0), INDEX($AB$1004:$AQ$1004,1,MATCH(COLUMNS($AB$1006:AI1006),$AB$1006:$AQ$1006,0)))),"Fix")))</f>
        <v>0</v>
      </c>
      <c r="J340" s="4">
        <f>IF(OR(INDEX($V$2:$V$1001,MATCH(ROWS($U$2:U340),$U$2:$U$1001,0),1)&gt;=100000,INDEX($AB$1005:$AQ$1005,1,MATCH(COLUMNS($AB$1006:AJ1006),$AB$1006:$AQ$1006,0))&gt;=100000), " ",IF(INDEX($AB$2:$AQ$1001,MATCH(ROWS($U$2:U340),$U$2:$U$1001,0),MATCH(COLUMNS($AB$1006:AJ1006),$AB$1006:$AQ$1006,0)), HYPERLINK("#",""), HYPERLINK(CONCATENATE("#metadata!", ADDRESS(INDEX($W$2:$W$1001,MATCH(ROWS($U$2:U340),$U$2:$U$1001,0),0), INDEX($AB$1004:$AQ$1004,1,MATCH(COLUMNS($AB$1006:AJ1006),$AB$1006:$AQ$1006,0)))),"Fix")))</f>
        <v>0</v>
      </c>
      <c r="K340" s="4">
        <f>IF(OR(INDEX($V$2:$V$1001,MATCH(ROWS($U$2:U340),$U$2:$U$1001,0),1)&gt;=100000,INDEX($AB$1005:$AQ$1005,1,MATCH(COLUMNS($AB$1006:AK1006),$AB$1006:$AQ$1006,0))&gt;=100000), " ",IF(INDEX($AB$2:$AQ$1001,MATCH(ROWS($U$2:U340),$U$2:$U$1001,0),MATCH(COLUMNS($AB$1006:AK1006),$AB$1006:$AQ$1006,0)), HYPERLINK("#",""), HYPERLINK(CONCATENATE("#metadata!", ADDRESS(INDEX($W$2:$W$1001,MATCH(ROWS($U$2:U340),$U$2:$U$1001,0),0), INDEX($AB$1004:$AQ$1004,1,MATCH(COLUMNS($AB$1006:AK1006),$AB$1006:$AQ$1006,0)))),"Fix")))</f>
        <v>0</v>
      </c>
      <c r="L340" s="4">
        <f>IF(OR(INDEX($V$2:$V$1001,MATCH(ROWS($U$2:U340),$U$2:$U$1001,0),1)&gt;=100000,INDEX($AB$1005:$AQ$1005,1,MATCH(COLUMNS($AB$1006:AL1006),$AB$1006:$AQ$1006,0))&gt;=100000), " ",IF(INDEX($AB$2:$AQ$1001,MATCH(ROWS($U$2:U340),$U$2:$U$1001,0),MATCH(COLUMNS($AB$1006:AL1006),$AB$1006:$AQ$1006,0)), HYPERLINK("#",""), HYPERLINK(CONCATENATE("#metadata!", ADDRESS(INDEX($W$2:$W$1001,MATCH(ROWS($U$2:U340),$U$2:$U$1001,0),0), INDEX($AB$1004:$AQ$1004,1,MATCH(COLUMNS($AB$1006:AL1006),$AB$1006:$AQ$1006,0)))),"Fix")))</f>
        <v>0</v>
      </c>
      <c r="M340" s="4">
        <f>IF(OR(INDEX($V$2:$V$1001,MATCH(ROWS($U$2:U340),$U$2:$U$1001,0),1)&gt;=100000,INDEX($AB$1005:$AQ$1005,1,MATCH(COLUMNS($AB$1006:AM1006),$AB$1006:$AQ$1006,0))&gt;=100000), " ",IF(INDEX($AB$2:$AQ$1001,MATCH(ROWS($U$2:U340),$U$2:$U$1001,0),MATCH(COLUMNS($AB$1006:AM1006),$AB$1006:$AQ$1006,0)), HYPERLINK("#",""), HYPERLINK(CONCATENATE("#metadata!", ADDRESS(INDEX($W$2:$W$1001,MATCH(ROWS($U$2:U340),$U$2:$U$1001,0),0), INDEX($AB$1004:$AQ$1004,1,MATCH(COLUMNS($AB$1006:AM1006),$AB$1006:$AQ$1006,0)))),"Fix")))</f>
        <v>0</v>
      </c>
      <c r="N340" s="4">
        <f>IF(OR(INDEX($V$2:$V$1001,MATCH(ROWS($U$2:U340),$U$2:$U$1001,0),1)&gt;=100000,INDEX($AB$1005:$AQ$1005,1,MATCH(COLUMNS($AB$1006:AN1006),$AB$1006:$AQ$1006,0))&gt;=100000), " ",IF(INDEX($AB$2:$AQ$1001,MATCH(ROWS($U$2:U340),$U$2:$U$1001,0),MATCH(COLUMNS($AB$1006:AN1006),$AB$1006:$AQ$1006,0)), HYPERLINK("#",""), HYPERLINK(CONCATENATE("#metadata!", ADDRESS(INDEX($W$2:$W$1001,MATCH(ROWS($U$2:U340),$U$2:$U$1001,0),0), INDEX($AB$1004:$AQ$1004,1,MATCH(COLUMNS($AB$1006:AN1006),$AB$1006:$AQ$1006,0)))),"Fix")))</f>
        <v>0</v>
      </c>
      <c r="O340" s="4">
        <f>IF(OR(INDEX($V$2:$V$1001,MATCH(ROWS($U$2:U340),$U$2:$U$1001,0),1)&gt;=100000,INDEX($AB$1005:$AQ$1005,1,MATCH(COLUMNS($AB$1006:AO1006),$AB$1006:$AQ$1006,0))&gt;=100000), " ",IF(INDEX($AB$2:$AQ$1001,MATCH(ROWS($U$2:U340),$U$2:$U$1001,0),MATCH(COLUMNS($AB$1006:AO1006),$AB$1006:$AQ$1006,0)), HYPERLINK("#",""), HYPERLINK(CONCATENATE("#metadata!", ADDRESS(INDEX($W$2:$W$1001,MATCH(ROWS($U$2:U340),$U$2:$U$1001,0),0), INDEX($AB$1004:$AQ$1004,1,MATCH(COLUMNS($AB$1006:AO1006),$AB$1006:$AQ$1006,0)))),"Fix")))</f>
        <v>0</v>
      </c>
      <c r="P340" s="4">
        <f>IF(OR(INDEX($V$2:$V$1001,MATCH(ROWS($U$2:U340),$U$2:$U$1001,0),1)&gt;=100000,INDEX($AB$1005:$AQ$1005,1,MATCH(COLUMNS($AB$1006:AP1006),$AB$1006:$AQ$1006,0))&gt;=100000), " ",IF(INDEX($AB$2:$AQ$1001,MATCH(ROWS($U$2:U340),$U$2:$U$1001,0),MATCH(COLUMNS($AB$1006:AP1006),$AB$1006:$AQ$1006,0)), HYPERLINK("#",""), HYPERLINK(CONCATENATE("#metadata!", ADDRESS(INDEX($W$2:$W$1001,MATCH(ROWS($U$2:U340),$U$2:$U$1001,0),0), INDEX($AB$1004:$AQ$1004,1,MATCH(COLUMNS($AB$1006:AP1006),$AB$1006:$AQ$1006,0)))),"Fix")))</f>
        <v>0</v>
      </c>
      <c r="Q340" s="4">
        <f>IF(OR(INDEX($V$2:$V$1001,MATCH(ROWS($U$2:U340),$U$2:$U$1001,0),1)&gt;=100000,INDEX($AB$1005:$AQ$1005,1,MATCH(COLUMNS($AB$1006:AQ1006),$AB$1006:$AQ$1006,0))&gt;=100000), " ",IF(INDEX($AB$2:$AQ$1001,MATCH(ROWS($U$2:U340),$U$2:$U$1001,0),MATCH(COLUMNS($AB$1006:AQ1006),$AB$1006:$AQ$1006,0)), HYPERLINK("#",""), HYPERLINK(CONCATENATE("#metadata!", ADDRESS(INDEX($W$2:$W$1001,MATCH(ROWS($U$2:U340),$U$2:$U$1001,0),0), INDEX($AB$1004:$AQ$1004,1,MATCH(COLUMNS($AB$1006:AQ1006),$AB$1006:$AQ$1006,0)))),"Fix")))</f>
        <v>0</v>
      </c>
      <c r="U340">
        <v>0</v>
      </c>
      <c r="V340">
        <v>0</v>
      </c>
      <c r="W340">
        <v>0</v>
      </c>
      <c r="X340">
        <f>IF(Y340,TRUE,AND(AB340:AQ340))</f>
        <v>0</v>
      </c>
      <c r="Y340">
        <f>COUNTBLANK(metadata!B340:Q340)=COLUMNS(metadata!B340:Q340)</f>
        <v>0</v>
      </c>
      <c r="Z340">
        <v>0</v>
      </c>
      <c r="AB340">
        <f>AND(IF(metadata!B340="",FALSE,TRUE),COUNTIF(metadata!B:B, metadata!B340) = 1,NOT(ISERROR(SUMPRODUCT(SEARCH(MID(metadata!B340,ROW(INDIRECT("1:"&amp;LEN(metadata!B340))), 1),"0123456789abcdefghijklmnopqrstuvwxyzABCDEFGHIJKLMNOPQRSTUVWXYZ.")))))</f>
        <v>0</v>
      </c>
      <c r="AC340">
        <f>OR(AND(IF(metadata!C340="",FALSE,TRUE),OR(exact(metadata!C340,"missing: not collected"),exact(metadata!C340,"missing: not provided"),exact(metadata!C340,"missing: restricted access"))),AND(IF(metadata!C340="",FALSE,TRUE),AND(AND(IFERROR(INT(LEFT(metadata!C340,4))&gt;1900,FALSE),IFERROR(INT(LEFT(metadata!C340,4))&lt;=YEAR(NOW()),FALSE)), OR(MID(metadata!C340,5,1)="", AND(AND(MID(metadata!C340,5,1)="-",IFERROR(INT(MID(metadata!C340,6,1))&gt;=0,FALSE),IFERROR(INT(MID(metadata!C340,6,1))&lt;=1,FALSE),NOT(MID(metadata!C340,7,1)=""),IFERROR(INT(MID(metadata!C340,6,2))&gt;=1,FALSE),IFERROR(INT(MID(metadata!C340,6,2))&lt;=12,FALSE)), OR(MID(metadata!C340,8,1)="", AND(AND(MID(metadata!C340,8,1)="-",IFERROR(INT(MID(metadata!C340,9,1))&gt;=0,FALSE),IFERROR(INT(MID(metadata!C340,9,1))&lt;=3,FALSE),NOT(MID(metadata!C340,10,1)=""),IFERROR(INT(MID(metadata!C340,9,2))&gt;=1,FALSE),IFERROR(INT(MID(metadata!C340,9,2))&lt;=31,FALSE)), OR(MID(metadata!C340,11,1)="", AND(AND(MID(metadata!C340,11,1)=" ",IFERROR(INT(MID(metadata!C340,12,1))&gt;=0,FALSE),IFERROR(INT(MID(metadata!C340,12,1))&lt;=2,FALSE),NOT(MID(metadata!C340,13,1)=""),IFERROR(INT(MID(metadata!C340,12,2))&gt;=0,FALSE),IFERROR(INT(MID(metadata!C340,12,2))&lt;=23,FALSE)), OR(MID(metadata!C340,14,1)="", AND(AND(MID(metadata!C340,14,1)=":",IFERROR(INT(MID(metadata!C340,15,1))&gt;=0,FALSE),IFERROR(INT(MID(metadata!C340,15,1))&lt;=5,FALSE),NOT(MID(metadata!C340,16,1)=""),IFERROR(INT(MID(metadata!C340,15,2))&gt;=0,FALSE),IFERROR(INT(MID(metadata!C340,15,2))&lt;=59,FALSE)), OR(MID(metadata!C340,17,1)="", AND(AND(MID(metadata!C340,17,1)=":",IFERROR(INT(MID(metadata!C340,18,1))&gt;=0,FALSE),IFERROR(INT(MID(metadata!C340,18,1))&lt;=5,FALSE),NOT(MID(metadata!C340,19,1)=""),IFERROR(INT(MID(metadata!C340,18,2))&gt;=0,FALSE),IFERROR(INT(MID(metadata!C340,18,2))&lt;=59,FALSE)), LEN(metadata!C340)&lt;=19)))))))))))))</f>
        <v>0</v>
      </c>
      <c r="AD340">
        <f>IF(metadata!D340="",FALSE,TRUE)</f>
        <v>0</v>
      </c>
      <c r="AE340">
        <f>OR(AND(IF(metadata!E340="",FALSE,TRUE),OR(exact(metadata!E340,"missing: not collected"),exact(metadata!E340,"missing: not provided"))),AND(IF(metadata!E340="",FALSE,TRUE),OR(exact(metadata!E340,"TRUE"),exact(metadata!E340,"FALSE"))))</f>
        <v>0</v>
      </c>
      <c r="AF340">
        <f>IF(metadata!F340="",FALSE,TRUE)</f>
        <v>0</v>
      </c>
      <c r="AG340">
        <f>IF(metadata!G340="",FALSE,TRUE)</f>
        <v>0</v>
      </c>
      <c r="AH340">
        <f>IF(metadata!H340="",FALSE,TRUE)</f>
        <v>0</v>
      </c>
      <c r="AI340">
        <f>OR(AND(IF(metadata!I340="",FALSE,TRUE),OR(exact(metadata!I340,"missing: not collected"),exact(metadata!I340,"missing: not provided"),exact(metadata!I340,"missing: restricted access"))),AND(IF(metadata!I340="",FALSE,TRUE),OR(exact(metadata!I340,"air"),exact(metadata!I340,"built environment"),exact(metadata!I340,"host-associated"),exact(metadata!I340,"human-associated"),exact(metadata!I340,"human-skin"),exact(metadata!I340,"human-oral"),exact(metadata!I340,"human-gut"),exact(metadata!I340,"human-vaginal"),exact(metadata!I340,"microbial mat/biofilm"),exact(metadata!I340,"misc environment"),exact(metadata!I340,"plant-associated"),exact(metadata!I340,"sediment"),exact(metadata!I340,"soil"),exact(metadata!I340,"wastewater/sludge"),exact(metadata!I340,"water"))))</f>
        <v>0</v>
      </c>
      <c r="AJ340">
        <f>IF(metadata!J340="",FALSE,TRUE)</f>
        <v>0</v>
      </c>
      <c r="AK340">
        <f>OR(AND(IF(metadata!K340="",FALSE,TRUE),OR(exact(metadata!K340,"missing: not collected"),exact(metadata!K340,"missing: not provided"),exact(metadata!K340,"missing: restricted access"))),AND(IF(metadata!K340="",FALSE,ISNUMBER(VALUE(metadata!K340))),metadata!K340&gt;=-90.00,metadata!K340&lt;=90.00))</f>
        <v>0</v>
      </c>
      <c r="AL340">
        <f>OR(AND(IF(metadata!L340="",FALSE,TRUE),OR(exact(metadata!L340,"missing: not collected"),exact(metadata!L340,"missing: not provided"),exact(metadata!L340,"missing: restricted access"))),AND(IF(metadata!L340="",FALSE,ISNUMBER(VALUE(metadata!L340))),metadata!L340&gt;=-180.00,metadata!L340&lt;=180.00))</f>
        <v>0</v>
      </c>
      <c r="AM340">
        <f>IF(metadata!M340="",FALSE,TRUE)</f>
        <v>0</v>
      </c>
      <c r="AN340">
        <f>OR(AND(IF(metadata!N340="",FALSE,TRUE),OR(exact(metadata!N340,"missing: not collected"),exact(metadata!N340,"missing: not provided"),exact(metadata!N340,"missing: restricted access"))),AND(IF(metadata!N340="",FALSE,TRUE),OR(exact(metadata!N340,"TRUE"),exact(metadata!N340,"FALSE"))))</f>
        <v>0</v>
      </c>
      <c r="AO340">
        <f>IF(metadata!O340="",FALSE,TRUE)</f>
        <v>0</v>
      </c>
      <c r="AP340">
        <f>OR(AND(IF(metadata!P340="",FALSE,TRUE),OR(exact(metadata!P340,"missing: not collected"),exact(metadata!P340,"missing: not provided"))),AND(IF(metadata!P340="",FALSE,IF(ISERROR(INT(metadata!P340)),FALSE,INT(metadata!P340)=metadata!P340)),metadata!P340&gt;0))</f>
        <v>0</v>
      </c>
      <c r="AQ340">
        <f>IF(metadata!Q340="",FALSE,TRUE)</f>
        <v>0</v>
      </c>
    </row>
    <row r="341" spans="1:43">
      <c r="A341" s="5">
        <f>IF(B341=" "," ",HYPERLINK(CONCATENATE("#metadata!",ADDRESS(INDEX($W$2:$W$1001,MATCH(ROWS($U$2:U341),$U$2:$U$1001,0),0),1)),INDEX($Z$2:$Z$1001,MATCH(ROWS($U$2:U341),$U$2:$U$1001,0),0)))</f>
        <v>0</v>
      </c>
      <c r="B341" s="4">
        <f>IF(OR(INDEX($V$2:$V$1001,MATCH(ROWS($U$2:U341),$U$2:$U$1001,0),1)&gt;=100000,INDEX($AB$1005:$AQ$1005,1,MATCH(COLUMNS($AB$1006:AB1006),$AB$1006:$AQ$1006,0))&gt;=100000), " ",IF(INDEX($AB$2:$AQ$1001,MATCH(ROWS($U$2:U341),$U$2:$U$1001,0),MATCH(COLUMNS($AB$1006:AB1006),$AB$1006:$AQ$1006,0)), HYPERLINK("#",""), HYPERLINK(CONCATENATE("#metadata!", ADDRESS(INDEX($W$2:$W$1001,MATCH(ROWS($U$2:U341),$U$2:$U$1001,0),0), INDEX($AB$1004:$AQ$1004,1,MATCH(COLUMNS($AB$1006:AB1006),$AB$1006:$AQ$1006,0)))),"Fix")))</f>
        <v>0</v>
      </c>
      <c r="C341" s="4">
        <f>IF(OR(INDEX($V$2:$V$1001,MATCH(ROWS($U$2:U341),$U$2:$U$1001,0),1)&gt;=100000,INDEX($AB$1005:$AQ$1005,1,MATCH(COLUMNS($AB$1006:AC1006),$AB$1006:$AQ$1006,0))&gt;=100000), " ",IF(INDEX($AB$2:$AQ$1001,MATCH(ROWS($U$2:U341),$U$2:$U$1001,0),MATCH(COLUMNS($AB$1006:AC1006),$AB$1006:$AQ$1006,0)), HYPERLINK("#",""), HYPERLINK(CONCATENATE("#metadata!", ADDRESS(INDEX($W$2:$W$1001,MATCH(ROWS($U$2:U341),$U$2:$U$1001,0),0), INDEX($AB$1004:$AQ$1004,1,MATCH(COLUMNS($AB$1006:AC1006),$AB$1006:$AQ$1006,0)))),"Fix")))</f>
        <v>0</v>
      </c>
      <c r="D341" s="4">
        <f>IF(OR(INDEX($V$2:$V$1001,MATCH(ROWS($U$2:U341),$U$2:$U$1001,0),1)&gt;=100000,INDEX($AB$1005:$AQ$1005,1,MATCH(COLUMNS($AB$1006:AD1006),$AB$1006:$AQ$1006,0))&gt;=100000), " ",IF(INDEX($AB$2:$AQ$1001,MATCH(ROWS($U$2:U341),$U$2:$U$1001,0),MATCH(COLUMNS($AB$1006:AD1006),$AB$1006:$AQ$1006,0)), HYPERLINK("#",""), HYPERLINK(CONCATENATE("#metadata!", ADDRESS(INDEX($W$2:$W$1001,MATCH(ROWS($U$2:U341),$U$2:$U$1001,0),0), INDEX($AB$1004:$AQ$1004,1,MATCH(COLUMNS($AB$1006:AD1006),$AB$1006:$AQ$1006,0)))),"Fix")))</f>
        <v>0</v>
      </c>
      <c r="E341" s="4">
        <f>IF(OR(INDEX($V$2:$V$1001,MATCH(ROWS($U$2:U341),$U$2:$U$1001,0),1)&gt;=100000,INDEX($AB$1005:$AQ$1005,1,MATCH(COLUMNS($AB$1006:AE1006),$AB$1006:$AQ$1006,0))&gt;=100000), " ",IF(INDEX($AB$2:$AQ$1001,MATCH(ROWS($U$2:U341),$U$2:$U$1001,0),MATCH(COLUMNS($AB$1006:AE1006),$AB$1006:$AQ$1006,0)), HYPERLINK("#",""), HYPERLINK(CONCATENATE("#metadata!", ADDRESS(INDEX($W$2:$W$1001,MATCH(ROWS($U$2:U341),$U$2:$U$1001,0),0), INDEX($AB$1004:$AQ$1004,1,MATCH(COLUMNS($AB$1006:AE1006),$AB$1006:$AQ$1006,0)))),"Fix")))</f>
        <v>0</v>
      </c>
      <c r="F341" s="4">
        <f>IF(OR(INDEX($V$2:$V$1001,MATCH(ROWS($U$2:U341),$U$2:$U$1001,0),1)&gt;=100000,INDEX($AB$1005:$AQ$1005,1,MATCH(COLUMNS($AB$1006:AF1006),$AB$1006:$AQ$1006,0))&gt;=100000), " ",IF(INDEX($AB$2:$AQ$1001,MATCH(ROWS($U$2:U341),$U$2:$U$1001,0),MATCH(COLUMNS($AB$1006:AF1006),$AB$1006:$AQ$1006,0)), HYPERLINK("#",""), HYPERLINK(CONCATENATE("#metadata!", ADDRESS(INDEX($W$2:$W$1001,MATCH(ROWS($U$2:U341),$U$2:$U$1001,0),0), INDEX($AB$1004:$AQ$1004,1,MATCH(COLUMNS($AB$1006:AF1006),$AB$1006:$AQ$1006,0)))),"Fix")))</f>
        <v>0</v>
      </c>
      <c r="G341" s="4">
        <f>IF(OR(INDEX($V$2:$V$1001,MATCH(ROWS($U$2:U341),$U$2:$U$1001,0),1)&gt;=100000,INDEX($AB$1005:$AQ$1005,1,MATCH(COLUMNS($AB$1006:AG1006),$AB$1006:$AQ$1006,0))&gt;=100000), " ",IF(INDEX($AB$2:$AQ$1001,MATCH(ROWS($U$2:U341),$U$2:$U$1001,0),MATCH(COLUMNS($AB$1006:AG1006),$AB$1006:$AQ$1006,0)), HYPERLINK("#",""), HYPERLINK(CONCATENATE("#metadata!", ADDRESS(INDEX($W$2:$W$1001,MATCH(ROWS($U$2:U341),$U$2:$U$1001,0),0), INDEX($AB$1004:$AQ$1004,1,MATCH(COLUMNS($AB$1006:AG1006),$AB$1006:$AQ$1006,0)))),"Fix")))</f>
        <v>0</v>
      </c>
      <c r="H341" s="4">
        <f>IF(OR(INDEX($V$2:$V$1001,MATCH(ROWS($U$2:U341),$U$2:$U$1001,0),1)&gt;=100000,INDEX($AB$1005:$AQ$1005,1,MATCH(COLUMNS($AB$1006:AH1006),$AB$1006:$AQ$1006,0))&gt;=100000), " ",IF(INDEX($AB$2:$AQ$1001,MATCH(ROWS($U$2:U341),$U$2:$U$1001,0),MATCH(COLUMNS($AB$1006:AH1006),$AB$1006:$AQ$1006,0)), HYPERLINK("#",""), HYPERLINK(CONCATENATE("#metadata!", ADDRESS(INDEX($W$2:$W$1001,MATCH(ROWS($U$2:U341),$U$2:$U$1001,0),0), INDEX($AB$1004:$AQ$1004,1,MATCH(COLUMNS($AB$1006:AH1006),$AB$1006:$AQ$1006,0)))),"Fix")))</f>
        <v>0</v>
      </c>
      <c r="I341" s="4">
        <f>IF(OR(INDEX($V$2:$V$1001,MATCH(ROWS($U$2:U341),$U$2:$U$1001,0),1)&gt;=100000,INDEX($AB$1005:$AQ$1005,1,MATCH(COLUMNS($AB$1006:AI1006),$AB$1006:$AQ$1006,0))&gt;=100000), " ",IF(INDEX($AB$2:$AQ$1001,MATCH(ROWS($U$2:U341),$U$2:$U$1001,0),MATCH(COLUMNS($AB$1006:AI1006),$AB$1006:$AQ$1006,0)), HYPERLINK("#",""), HYPERLINK(CONCATENATE("#metadata!", ADDRESS(INDEX($W$2:$W$1001,MATCH(ROWS($U$2:U341),$U$2:$U$1001,0),0), INDEX($AB$1004:$AQ$1004,1,MATCH(COLUMNS($AB$1006:AI1006),$AB$1006:$AQ$1006,0)))),"Fix")))</f>
        <v>0</v>
      </c>
      <c r="J341" s="4">
        <f>IF(OR(INDEX($V$2:$V$1001,MATCH(ROWS($U$2:U341),$U$2:$U$1001,0),1)&gt;=100000,INDEX($AB$1005:$AQ$1005,1,MATCH(COLUMNS($AB$1006:AJ1006),$AB$1006:$AQ$1006,0))&gt;=100000), " ",IF(INDEX($AB$2:$AQ$1001,MATCH(ROWS($U$2:U341),$U$2:$U$1001,0),MATCH(COLUMNS($AB$1006:AJ1006),$AB$1006:$AQ$1006,0)), HYPERLINK("#",""), HYPERLINK(CONCATENATE("#metadata!", ADDRESS(INDEX($W$2:$W$1001,MATCH(ROWS($U$2:U341),$U$2:$U$1001,0),0), INDEX($AB$1004:$AQ$1004,1,MATCH(COLUMNS($AB$1006:AJ1006),$AB$1006:$AQ$1006,0)))),"Fix")))</f>
        <v>0</v>
      </c>
      <c r="K341" s="4">
        <f>IF(OR(INDEX($V$2:$V$1001,MATCH(ROWS($U$2:U341),$U$2:$U$1001,0),1)&gt;=100000,INDEX($AB$1005:$AQ$1005,1,MATCH(COLUMNS($AB$1006:AK1006),$AB$1006:$AQ$1006,0))&gt;=100000), " ",IF(INDEX($AB$2:$AQ$1001,MATCH(ROWS($U$2:U341),$U$2:$U$1001,0),MATCH(COLUMNS($AB$1006:AK1006),$AB$1006:$AQ$1006,0)), HYPERLINK("#",""), HYPERLINK(CONCATENATE("#metadata!", ADDRESS(INDEX($W$2:$W$1001,MATCH(ROWS($U$2:U341),$U$2:$U$1001,0),0), INDEX($AB$1004:$AQ$1004,1,MATCH(COLUMNS($AB$1006:AK1006),$AB$1006:$AQ$1006,0)))),"Fix")))</f>
        <v>0</v>
      </c>
      <c r="L341" s="4">
        <f>IF(OR(INDEX($V$2:$V$1001,MATCH(ROWS($U$2:U341),$U$2:$U$1001,0),1)&gt;=100000,INDEX($AB$1005:$AQ$1005,1,MATCH(COLUMNS($AB$1006:AL1006),$AB$1006:$AQ$1006,0))&gt;=100000), " ",IF(INDEX($AB$2:$AQ$1001,MATCH(ROWS($U$2:U341),$U$2:$U$1001,0),MATCH(COLUMNS($AB$1006:AL1006),$AB$1006:$AQ$1006,0)), HYPERLINK("#",""), HYPERLINK(CONCATENATE("#metadata!", ADDRESS(INDEX($W$2:$W$1001,MATCH(ROWS($U$2:U341),$U$2:$U$1001,0),0), INDEX($AB$1004:$AQ$1004,1,MATCH(COLUMNS($AB$1006:AL1006),$AB$1006:$AQ$1006,0)))),"Fix")))</f>
        <v>0</v>
      </c>
      <c r="M341" s="4">
        <f>IF(OR(INDEX($V$2:$V$1001,MATCH(ROWS($U$2:U341),$U$2:$U$1001,0),1)&gt;=100000,INDEX($AB$1005:$AQ$1005,1,MATCH(COLUMNS($AB$1006:AM1006),$AB$1006:$AQ$1006,0))&gt;=100000), " ",IF(INDEX($AB$2:$AQ$1001,MATCH(ROWS($U$2:U341),$U$2:$U$1001,0),MATCH(COLUMNS($AB$1006:AM1006),$AB$1006:$AQ$1006,0)), HYPERLINK("#",""), HYPERLINK(CONCATENATE("#metadata!", ADDRESS(INDEX($W$2:$W$1001,MATCH(ROWS($U$2:U341),$U$2:$U$1001,0),0), INDEX($AB$1004:$AQ$1004,1,MATCH(COLUMNS($AB$1006:AM1006),$AB$1006:$AQ$1006,0)))),"Fix")))</f>
        <v>0</v>
      </c>
      <c r="N341" s="4">
        <f>IF(OR(INDEX($V$2:$V$1001,MATCH(ROWS($U$2:U341),$U$2:$U$1001,0),1)&gt;=100000,INDEX($AB$1005:$AQ$1005,1,MATCH(COLUMNS($AB$1006:AN1006),$AB$1006:$AQ$1006,0))&gt;=100000), " ",IF(INDEX($AB$2:$AQ$1001,MATCH(ROWS($U$2:U341),$U$2:$U$1001,0),MATCH(COLUMNS($AB$1006:AN1006),$AB$1006:$AQ$1006,0)), HYPERLINK("#",""), HYPERLINK(CONCATENATE("#metadata!", ADDRESS(INDEX($W$2:$W$1001,MATCH(ROWS($U$2:U341),$U$2:$U$1001,0),0), INDEX($AB$1004:$AQ$1004,1,MATCH(COLUMNS($AB$1006:AN1006),$AB$1006:$AQ$1006,0)))),"Fix")))</f>
        <v>0</v>
      </c>
      <c r="O341" s="4">
        <f>IF(OR(INDEX($V$2:$V$1001,MATCH(ROWS($U$2:U341),$U$2:$U$1001,0),1)&gt;=100000,INDEX($AB$1005:$AQ$1005,1,MATCH(COLUMNS($AB$1006:AO1006),$AB$1006:$AQ$1006,0))&gt;=100000), " ",IF(INDEX($AB$2:$AQ$1001,MATCH(ROWS($U$2:U341),$U$2:$U$1001,0),MATCH(COLUMNS($AB$1006:AO1006),$AB$1006:$AQ$1006,0)), HYPERLINK("#",""), HYPERLINK(CONCATENATE("#metadata!", ADDRESS(INDEX($W$2:$W$1001,MATCH(ROWS($U$2:U341),$U$2:$U$1001,0),0), INDEX($AB$1004:$AQ$1004,1,MATCH(COLUMNS($AB$1006:AO1006),$AB$1006:$AQ$1006,0)))),"Fix")))</f>
        <v>0</v>
      </c>
      <c r="P341" s="4">
        <f>IF(OR(INDEX($V$2:$V$1001,MATCH(ROWS($U$2:U341),$U$2:$U$1001,0),1)&gt;=100000,INDEX($AB$1005:$AQ$1005,1,MATCH(COLUMNS($AB$1006:AP1006),$AB$1006:$AQ$1006,0))&gt;=100000), " ",IF(INDEX($AB$2:$AQ$1001,MATCH(ROWS($U$2:U341),$U$2:$U$1001,0),MATCH(COLUMNS($AB$1006:AP1006),$AB$1006:$AQ$1006,0)), HYPERLINK("#",""), HYPERLINK(CONCATENATE("#metadata!", ADDRESS(INDEX($W$2:$W$1001,MATCH(ROWS($U$2:U341),$U$2:$U$1001,0),0), INDEX($AB$1004:$AQ$1004,1,MATCH(COLUMNS($AB$1006:AP1006),$AB$1006:$AQ$1006,0)))),"Fix")))</f>
        <v>0</v>
      </c>
      <c r="Q341" s="4">
        <f>IF(OR(INDEX($V$2:$V$1001,MATCH(ROWS($U$2:U341),$U$2:$U$1001,0),1)&gt;=100000,INDEX($AB$1005:$AQ$1005,1,MATCH(COLUMNS($AB$1006:AQ1006),$AB$1006:$AQ$1006,0))&gt;=100000), " ",IF(INDEX($AB$2:$AQ$1001,MATCH(ROWS($U$2:U341),$U$2:$U$1001,0),MATCH(COLUMNS($AB$1006:AQ1006),$AB$1006:$AQ$1006,0)), HYPERLINK("#",""), HYPERLINK(CONCATENATE("#metadata!", ADDRESS(INDEX($W$2:$W$1001,MATCH(ROWS($U$2:U341),$U$2:$U$1001,0),0), INDEX($AB$1004:$AQ$1004,1,MATCH(COLUMNS($AB$1006:AQ1006),$AB$1006:$AQ$1006,0)))),"Fix")))</f>
        <v>0</v>
      </c>
      <c r="U341">
        <v>0</v>
      </c>
      <c r="V341">
        <v>0</v>
      </c>
      <c r="W341">
        <v>0</v>
      </c>
      <c r="X341">
        <f>IF(Y341,TRUE,AND(AB341:AQ341))</f>
        <v>0</v>
      </c>
      <c r="Y341">
        <f>COUNTBLANK(metadata!B341:Q341)=COLUMNS(metadata!B341:Q341)</f>
        <v>0</v>
      </c>
      <c r="Z341">
        <v>0</v>
      </c>
      <c r="AB341">
        <f>AND(IF(metadata!B341="",FALSE,TRUE),COUNTIF(metadata!B:B, metadata!B341) = 1,NOT(ISERROR(SUMPRODUCT(SEARCH(MID(metadata!B341,ROW(INDIRECT("1:"&amp;LEN(metadata!B341))), 1),"0123456789abcdefghijklmnopqrstuvwxyzABCDEFGHIJKLMNOPQRSTUVWXYZ.")))))</f>
        <v>0</v>
      </c>
      <c r="AC341">
        <f>OR(AND(IF(metadata!C341="",FALSE,TRUE),OR(exact(metadata!C341,"missing: not collected"),exact(metadata!C341,"missing: not provided"),exact(metadata!C341,"missing: restricted access"))),AND(IF(metadata!C341="",FALSE,TRUE),AND(AND(IFERROR(INT(LEFT(metadata!C341,4))&gt;1900,FALSE),IFERROR(INT(LEFT(metadata!C341,4))&lt;=YEAR(NOW()),FALSE)), OR(MID(metadata!C341,5,1)="", AND(AND(MID(metadata!C341,5,1)="-",IFERROR(INT(MID(metadata!C341,6,1))&gt;=0,FALSE),IFERROR(INT(MID(metadata!C341,6,1))&lt;=1,FALSE),NOT(MID(metadata!C341,7,1)=""),IFERROR(INT(MID(metadata!C341,6,2))&gt;=1,FALSE),IFERROR(INT(MID(metadata!C341,6,2))&lt;=12,FALSE)), OR(MID(metadata!C341,8,1)="", AND(AND(MID(metadata!C341,8,1)="-",IFERROR(INT(MID(metadata!C341,9,1))&gt;=0,FALSE),IFERROR(INT(MID(metadata!C341,9,1))&lt;=3,FALSE),NOT(MID(metadata!C341,10,1)=""),IFERROR(INT(MID(metadata!C341,9,2))&gt;=1,FALSE),IFERROR(INT(MID(metadata!C341,9,2))&lt;=31,FALSE)), OR(MID(metadata!C341,11,1)="", AND(AND(MID(metadata!C341,11,1)=" ",IFERROR(INT(MID(metadata!C341,12,1))&gt;=0,FALSE),IFERROR(INT(MID(metadata!C341,12,1))&lt;=2,FALSE),NOT(MID(metadata!C341,13,1)=""),IFERROR(INT(MID(metadata!C341,12,2))&gt;=0,FALSE),IFERROR(INT(MID(metadata!C341,12,2))&lt;=23,FALSE)), OR(MID(metadata!C341,14,1)="", AND(AND(MID(metadata!C341,14,1)=":",IFERROR(INT(MID(metadata!C341,15,1))&gt;=0,FALSE),IFERROR(INT(MID(metadata!C341,15,1))&lt;=5,FALSE),NOT(MID(metadata!C341,16,1)=""),IFERROR(INT(MID(metadata!C341,15,2))&gt;=0,FALSE),IFERROR(INT(MID(metadata!C341,15,2))&lt;=59,FALSE)), OR(MID(metadata!C341,17,1)="", AND(AND(MID(metadata!C341,17,1)=":",IFERROR(INT(MID(metadata!C341,18,1))&gt;=0,FALSE),IFERROR(INT(MID(metadata!C341,18,1))&lt;=5,FALSE),NOT(MID(metadata!C341,19,1)=""),IFERROR(INT(MID(metadata!C341,18,2))&gt;=0,FALSE),IFERROR(INT(MID(metadata!C341,18,2))&lt;=59,FALSE)), LEN(metadata!C341)&lt;=19)))))))))))))</f>
        <v>0</v>
      </c>
      <c r="AD341">
        <f>IF(metadata!D341="",FALSE,TRUE)</f>
        <v>0</v>
      </c>
      <c r="AE341">
        <f>OR(AND(IF(metadata!E341="",FALSE,TRUE),OR(exact(metadata!E341,"missing: not collected"),exact(metadata!E341,"missing: not provided"))),AND(IF(metadata!E341="",FALSE,TRUE),OR(exact(metadata!E341,"TRUE"),exact(metadata!E341,"FALSE"))))</f>
        <v>0</v>
      </c>
      <c r="AF341">
        <f>IF(metadata!F341="",FALSE,TRUE)</f>
        <v>0</v>
      </c>
      <c r="AG341">
        <f>IF(metadata!G341="",FALSE,TRUE)</f>
        <v>0</v>
      </c>
      <c r="AH341">
        <f>IF(metadata!H341="",FALSE,TRUE)</f>
        <v>0</v>
      </c>
      <c r="AI341">
        <f>OR(AND(IF(metadata!I341="",FALSE,TRUE),OR(exact(metadata!I341,"missing: not collected"),exact(metadata!I341,"missing: not provided"),exact(metadata!I341,"missing: restricted access"))),AND(IF(metadata!I341="",FALSE,TRUE),OR(exact(metadata!I341,"air"),exact(metadata!I341,"built environment"),exact(metadata!I341,"host-associated"),exact(metadata!I341,"human-associated"),exact(metadata!I341,"human-skin"),exact(metadata!I341,"human-oral"),exact(metadata!I341,"human-gut"),exact(metadata!I341,"human-vaginal"),exact(metadata!I341,"microbial mat/biofilm"),exact(metadata!I341,"misc environment"),exact(metadata!I341,"plant-associated"),exact(metadata!I341,"sediment"),exact(metadata!I341,"soil"),exact(metadata!I341,"wastewater/sludge"),exact(metadata!I341,"water"))))</f>
        <v>0</v>
      </c>
      <c r="AJ341">
        <f>IF(metadata!J341="",FALSE,TRUE)</f>
        <v>0</v>
      </c>
      <c r="AK341">
        <f>OR(AND(IF(metadata!K341="",FALSE,TRUE),OR(exact(metadata!K341,"missing: not collected"),exact(metadata!K341,"missing: not provided"),exact(metadata!K341,"missing: restricted access"))),AND(IF(metadata!K341="",FALSE,ISNUMBER(VALUE(metadata!K341))),metadata!K341&gt;=-90.00,metadata!K341&lt;=90.00))</f>
        <v>0</v>
      </c>
      <c r="AL341">
        <f>OR(AND(IF(metadata!L341="",FALSE,TRUE),OR(exact(metadata!L341,"missing: not collected"),exact(metadata!L341,"missing: not provided"),exact(metadata!L341,"missing: restricted access"))),AND(IF(metadata!L341="",FALSE,ISNUMBER(VALUE(metadata!L341))),metadata!L341&gt;=-180.00,metadata!L341&lt;=180.00))</f>
        <v>0</v>
      </c>
      <c r="AM341">
        <f>IF(metadata!M341="",FALSE,TRUE)</f>
        <v>0</v>
      </c>
      <c r="AN341">
        <f>OR(AND(IF(metadata!N341="",FALSE,TRUE),OR(exact(metadata!N341,"missing: not collected"),exact(metadata!N341,"missing: not provided"),exact(metadata!N341,"missing: restricted access"))),AND(IF(metadata!N341="",FALSE,TRUE),OR(exact(metadata!N341,"TRUE"),exact(metadata!N341,"FALSE"))))</f>
        <v>0</v>
      </c>
      <c r="AO341">
        <f>IF(metadata!O341="",FALSE,TRUE)</f>
        <v>0</v>
      </c>
      <c r="AP341">
        <f>OR(AND(IF(metadata!P341="",FALSE,TRUE),OR(exact(metadata!P341,"missing: not collected"),exact(metadata!P341,"missing: not provided"))),AND(IF(metadata!P341="",FALSE,IF(ISERROR(INT(metadata!P341)),FALSE,INT(metadata!P341)=metadata!P341)),metadata!P341&gt;0))</f>
        <v>0</v>
      </c>
      <c r="AQ341">
        <f>IF(metadata!Q341="",FALSE,TRUE)</f>
        <v>0</v>
      </c>
    </row>
    <row r="342" spans="1:43">
      <c r="A342" s="5">
        <f>IF(B342=" "," ",HYPERLINK(CONCATENATE("#metadata!",ADDRESS(INDEX($W$2:$W$1001,MATCH(ROWS($U$2:U342),$U$2:$U$1001,0),0),1)),INDEX($Z$2:$Z$1001,MATCH(ROWS($U$2:U342),$U$2:$U$1001,0),0)))</f>
        <v>0</v>
      </c>
      <c r="B342" s="4">
        <f>IF(OR(INDEX($V$2:$V$1001,MATCH(ROWS($U$2:U342),$U$2:$U$1001,0),1)&gt;=100000,INDEX($AB$1005:$AQ$1005,1,MATCH(COLUMNS($AB$1006:AB1006),$AB$1006:$AQ$1006,0))&gt;=100000), " ",IF(INDEX($AB$2:$AQ$1001,MATCH(ROWS($U$2:U342),$U$2:$U$1001,0),MATCH(COLUMNS($AB$1006:AB1006),$AB$1006:$AQ$1006,0)), HYPERLINK("#",""), HYPERLINK(CONCATENATE("#metadata!", ADDRESS(INDEX($W$2:$W$1001,MATCH(ROWS($U$2:U342),$U$2:$U$1001,0),0), INDEX($AB$1004:$AQ$1004,1,MATCH(COLUMNS($AB$1006:AB1006),$AB$1006:$AQ$1006,0)))),"Fix")))</f>
        <v>0</v>
      </c>
      <c r="C342" s="4">
        <f>IF(OR(INDEX($V$2:$V$1001,MATCH(ROWS($U$2:U342),$U$2:$U$1001,0),1)&gt;=100000,INDEX($AB$1005:$AQ$1005,1,MATCH(COLUMNS($AB$1006:AC1006),$AB$1006:$AQ$1006,0))&gt;=100000), " ",IF(INDEX($AB$2:$AQ$1001,MATCH(ROWS($U$2:U342),$U$2:$U$1001,0),MATCH(COLUMNS($AB$1006:AC1006),$AB$1006:$AQ$1006,0)), HYPERLINK("#",""), HYPERLINK(CONCATENATE("#metadata!", ADDRESS(INDEX($W$2:$W$1001,MATCH(ROWS($U$2:U342),$U$2:$U$1001,0),0), INDEX($AB$1004:$AQ$1004,1,MATCH(COLUMNS($AB$1006:AC1006),$AB$1006:$AQ$1006,0)))),"Fix")))</f>
        <v>0</v>
      </c>
      <c r="D342" s="4">
        <f>IF(OR(INDEX($V$2:$V$1001,MATCH(ROWS($U$2:U342),$U$2:$U$1001,0),1)&gt;=100000,INDEX($AB$1005:$AQ$1005,1,MATCH(COLUMNS($AB$1006:AD1006),$AB$1006:$AQ$1006,0))&gt;=100000), " ",IF(INDEX($AB$2:$AQ$1001,MATCH(ROWS($U$2:U342),$U$2:$U$1001,0),MATCH(COLUMNS($AB$1006:AD1006),$AB$1006:$AQ$1006,0)), HYPERLINK("#",""), HYPERLINK(CONCATENATE("#metadata!", ADDRESS(INDEX($W$2:$W$1001,MATCH(ROWS($U$2:U342),$U$2:$U$1001,0),0), INDEX($AB$1004:$AQ$1004,1,MATCH(COLUMNS($AB$1006:AD1006),$AB$1006:$AQ$1006,0)))),"Fix")))</f>
        <v>0</v>
      </c>
      <c r="E342" s="4">
        <f>IF(OR(INDEX($V$2:$V$1001,MATCH(ROWS($U$2:U342),$U$2:$U$1001,0),1)&gt;=100000,INDEX($AB$1005:$AQ$1005,1,MATCH(COLUMNS($AB$1006:AE1006),$AB$1006:$AQ$1006,0))&gt;=100000), " ",IF(INDEX($AB$2:$AQ$1001,MATCH(ROWS($U$2:U342),$U$2:$U$1001,0),MATCH(COLUMNS($AB$1006:AE1006),$AB$1006:$AQ$1006,0)), HYPERLINK("#",""), HYPERLINK(CONCATENATE("#metadata!", ADDRESS(INDEX($W$2:$W$1001,MATCH(ROWS($U$2:U342),$U$2:$U$1001,0),0), INDEX($AB$1004:$AQ$1004,1,MATCH(COLUMNS($AB$1006:AE1006),$AB$1006:$AQ$1006,0)))),"Fix")))</f>
        <v>0</v>
      </c>
      <c r="F342" s="4">
        <f>IF(OR(INDEX($V$2:$V$1001,MATCH(ROWS($U$2:U342),$U$2:$U$1001,0),1)&gt;=100000,INDEX($AB$1005:$AQ$1005,1,MATCH(COLUMNS($AB$1006:AF1006),$AB$1006:$AQ$1006,0))&gt;=100000), " ",IF(INDEX($AB$2:$AQ$1001,MATCH(ROWS($U$2:U342),$U$2:$U$1001,0),MATCH(COLUMNS($AB$1006:AF1006),$AB$1006:$AQ$1006,0)), HYPERLINK("#",""), HYPERLINK(CONCATENATE("#metadata!", ADDRESS(INDEX($W$2:$W$1001,MATCH(ROWS($U$2:U342),$U$2:$U$1001,0),0), INDEX($AB$1004:$AQ$1004,1,MATCH(COLUMNS($AB$1006:AF1006),$AB$1006:$AQ$1006,0)))),"Fix")))</f>
        <v>0</v>
      </c>
      <c r="G342" s="4">
        <f>IF(OR(INDEX($V$2:$V$1001,MATCH(ROWS($U$2:U342),$U$2:$U$1001,0),1)&gt;=100000,INDEX($AB$1005:$AQ$1005,1,MATCH(COLUMNS($AB$1006:AG1006),$AB$1006:$AQ$1006,0))&gt;=100000), " ",IF(INDEX($AB$2:$AQ$1001,MATCH(ROWS($U$2:U342),$U$2:$U$1001,0),MATCH(COLUMNS($AB$1006:AG1006),$AB$1006:$AQ$1006,0)), HYPERLINK("#",""), HYPERLINK(CONCATENATE("#metadata!", ADDRESS(INDEX($W$2:$W$1001,MATCH(ROWS($U$2:U342),$U$2:$U$1001,0),0), INDEX($AB$1004:$AQ$1004,1,MATCH(COLUMNS($AB$1006:AG1006),$AB$1006:$AQ$1006,0)))),"Fix")))</f>
        <v>0</v>
      </c>
      <c r="H342" s="4">
        <f>IF(OR(INDEX($V$2:$V$1001,MATCH(ROWS($U$2:U342),$U$2:$U$1001,0),1)&gt;=100000,INDEX($AB$1005:$AQ$1005,1,MATCH(COLUMNS($AB$1006:AH1006),$AB$1006:$AQ$1006,0))&gt;=100000), " ",IF(INDEX($AB$2:$AQ$1001,MATCH(ROWS($U$2:U342),$U$2:$U$1001,0),MATCH(COLUMNS($AB$1006:AH1006),$AB$1006:$AQ$1006,0)), HYPERLINK("#",""), HYPERLINK(CONCATENATE("#metadata!", ADDRESS(INDEX($W$2:$W$1001,MATCH(ROWS($U$2:U342),$U$2:$U$1001,0),0), INDEX($AB$1004:$AQ$1004,1,MATCH(COLUMNS($AB$1006:AH1006),$AB$1006:$AQ$1006,0)))),"Fix")))</f>
        <v>0</v>
      </c>
      <c r="I342" s="4">
        <f>IF(OR(INDEX($V$2:$V$1001,MATCH(ROWS($U$2:U342),$U$2:$U$1001,0),1)&gt;=100000,INDEX($AB$1005:$AQ$1005,1,MATCH(COLUMNS($AB$1006:AI1006),$AB$1006:$AQ$1006,0))&gt;=100000), " ",IF(INDEX($AB$2:$AQ$1001,MATCH(ROWS($U$2:U342),$U$2:$U$1001,0),MATCH(COLUMNS($AB$1006:AI1006),$AB$1006:$AQ$1006,0)), HYPERLINK("#",""), HYPERLINK(CONCATENATE("#metadata!", ADDRESS(INDEX($W$2:$W$1001,MATCH(ROWS($U$2:U342),$U$2:$U$1001,0),0), INDEX($AB$1004:$AQ$1004,1,MATCH(COLUMNS($AB$1006:AI1006),$AB$1006:$AQ$1006,0)))),"Fix")))</f>
        <v>0</v>
      </c>
      <c r="J342" s="4">
        <f>IF(OR(INDEX($V$2:$V$1001,MATCH(ROWS($U$2:U342),$U$2:$U$1001,0),1)&gt;=100000,INDEX($AB$1005:$AQ$1005,1,MATCH(COLUMNS($AB$1006:AJ1006),$AB$1006:$AQ$1006,0))&gt;=100000), " ",IF(INDEX($AB$2:$AQ$1001,MATCH(ROWS($U$2:U342),$U$2:$U$1001,0),MATCH(COLUMNS($AB$1006:AJ1006),$AB$1006:$AQ$1006,0)), HYPERLINK("#",""), HYPERLINK(CONCATENATE("#metadata!", ADDRESS(INDEX($W$2:$W$1001,MATCH(ROWS($U$2:U342),$U$2:$U$1001,0),0), INDEX($AB$1004:$AQ$1004,1,MATCH(COLUMNS($AB$1006:AJ1006),$AB$1006:$AQ$1006,0)))),"Fix")))</f>
        <v>0</v>
      </c>
      <c r="K342" s="4">
        <f>IF(OR(INDEX($V$2:$V$1001,MATCH(ROWS($U$2:U342),$U$2:$U$1001,0),1)&gt;=100000,INDEX($AB$1005:$AQ$1005,1,MATCH(COLUMNS($AB$1006:AK1006),$AB$1006:$AQ$1006,0))&gt;=100000), " ",IF(INDEX($AB$2:$AQ$1001,MATCH(ROWS($U$2:U342),$U$2:$U$1001,0),MATCH(COLUMNS($AB$1006:AK1006),$AB$1006:$AQ$1006,0)), HYPERLINK("#",""), HYPERLINK(CONCATENATE("#metadata!", ADDRESS(INDEX($W$2:$W$1001,MATCH(ROWS($U$2:U342),$U$2:$U$1001,0),0), INDEX($AB$1004:$AQ$1004,1,MATCH(COLUMNS($AB$1006:AK1006),$AB$1006:$AQ$1006,0)))),"Fix")))</f>
        <v>0</v>
      </c>
      <c r="L342" s="4">
        <f>IF(OR(INDEX($V$2:$V$1001,MATCH(ROWS($U$2:U342),$U$2:$U$1001,0),1)&gt;=100000,INDEX($AB$1005:$AQ$1005,1,MATCH(COLUMNS($AB$1006:AL1006),$AB$1006:$AQ$1006,0))&gt;=100000), " ",IF(INDEX($AB$2:$AQ$1001,MATCH(ROWS($U$2:U342),$U$2:$U$1001,0),MATCH(COLUMNS($AB$1006:AL1006),$AB$1006:$AQ$1006,0)), HYPERLINK("#",""), HYPERLINK(CONCATENATE("#metadata!", ADDRESS(INDEX($W$2:$W$1001,MATCH(ROWS($U$2:U342),$U$2:$U$1001,0),0), INDEX($AB$1004:$AQ$1004,1,MATCH(COLUMNS($AB$1006:AL1006),$AB$1006:$AQ$1006,0)))),"Fix")))</f>
        <v>0</v>
      </c>
      <c r="M342" s="4">
        <f>IF(OR(INDEX($V$2:$V$1001,MATCH(ROWS($U$2:U342),$U$2:$U$1001,0),1)&gt;=100000,INDEX($AB$1005:$AQ$1005,1,MATCH(COLUMNS($AB$1006:AM1006),$AB$1006:$AQ$1006,0))&gt;=100000), " ",IF(INDEX($AB$2:$AQ$1001,MATCH(ROWS($U$2:U342),$U$2:$U$1001,0),MATCH(COLUMNS($AB$1006:AM1006),$AB$1006:$AQ$1006,0)), HYPERLINK("#",""), HYPERLINK(CONCATENATE("#metadata!", ADDRESS(INDEX($W$2:$W$1001,MATCH(ROWS($U$2:U342),$U$2:$U$1001,0),0), INDEX($AB$1004:$AQ$1004,1,MATCH(COLUMNS($AB$1006:AM1006),$AB$1006:$AQ$1006,0)))),"Fix")))</f>
        <v>0</v>
      </c>
      <c r="N342" s="4">
        <f>IF(OR(INDEX($V$2:$V$1001,MATCH(ROWS($U$2:U342),$U$2:$U$1001,0),1)&gt;=100000,INDEX($AB$1005:$AQ$1005,1,MATCH(COLUMNS($AB$1006:AN1006),$AB$1006:$AQ$1006,0))&gt;=100000), " ",IF(INDEX($AB$2:$AQ$1001,MATCH(ROWS($U$2:U342),$U$2:$U$1001,0),MATCH(COLUMNS($AB$1006:AN1006),$AB$1006:$AQ$1006,0)), HYPERLINK("#",""), HYPERLINK(CONCATENATE("#metadata!", ADDRESS(INDEX($W$2:$W$1001,MATCH(ROWS($U$2:U342),$U$2:$U$1001,0),0), INDEX($AB$1004:$AQ$1004,1,MATCH(COLUMNS($AB$1006:AN1006),$AB$1006:$AQ$1006,0)))),"Fix")))</f>
        <v>0</v>
      </c>
      <c r="O342" s="4">
        <f>IF(OR(INDEX($V$2:$V$1001,MATCH(ROWS($U$2:U342),$U$2:$U$1001,0),1)&gt;=100000,INDEX($AB$1005:$AQ$1005,1,MATCH(COLUMNS($AB$1006:AO1006),$AB$1006:$AQ$1006,0))&gt;=100000), " ",IF(INDEX($AB$2:$AQ$1001,MATCH(ROWS($U$2:U342),$U$2:$U$1001,0),MATCH(COLUMNS($AB$1006:AO1006),$AB$1006:$AQ$1006,0)), HYPERLINK("#",""), HYPERLINK(CONCATENATE("#metadata!", ADDRESS(INDEX($W$2:$W$1001,MATCH(ROWS($U$2:U342),$U$2:$U$1001,0),0), INDEX($AB$1004:$AQ$1004,1,MATCH(COLUMNS($AB$1006:AO1006),$AB$1006:$AQ$1006,0)))),"Fix")))</f>
        <v>0</v>
      </c>
      <c r="P342" s="4">
        <f>IF(OR(INDEX($V$2:$V$1001,MATCH(ROWS($U$2:U342),$U$2:$U$1001,0),1)&gt;=100000,INDEX($AB$1005:$AQ$1005,1,MATCH(COLUMNS($AB$1006:AP1006),$AB$1006:$AQ$1006,0))&gt;=100000), " ",IF(INDEX($AB$2:$AQ$1001,MATCH(ROWS($U$2:U342),$U$2:$U$1001,0),MATCH(COLUMNS($AB$1006:AP1006),$AB$1006:$AQ$1006,0)), HYPERLINK("#",""), HYPERLINK(CONCATENATE("#metadata!", ADDRESS(INDEX($W$2:$W$1001,MATCH(ROWS($U$2:U342),$U$2:$U$1001,0),0), INDEX($AB$1004:$AQ$1004,1,MATCH(COLUMNS($AB$1006:AP1006),$AB$1006:$AQ$1006,0)))),"Fix")))</f>
        <v>0</v>
      </c>
      <c r="Q342" s="4">
        <f>IF(OR(INDEX($V$2:$V$1001,MATCH(ROWS($U$2:U342),$U$2:$U$1001,0),1)&gt;=100000,INDEX($AB$1005:$AQ$1005,1,MATCH(COLUMNS($AB$1006:AQ1006),$AB$1006:$AQ$1006,0))&gt;=100000), " ",IF(INDEX($AB$2:$AQ$1001,MATCH(ROWS($U$2:U342),$U$2:$U$1001,0),MATCH(COLUMNS($AB$1006:AQ1006),$AB$1006:$AQ$1006,0)), HYPERLINK("#",""), HYPERLINK(CONCATENATE("#metadata!", ADDRESS(INDEX($W$2:$W$1001,MATCH(ROWS($U$2:U342),$U$2:$U$1001,0),0), INDEX($AB$1004:$AQ$1004,1,MATCH(COLUMNS($AB$1006:AQ1006),$AB$1006:$AQ$1006,0)))),"Fix")))</f>
        <v>0</v>
      </c>
      <c r="U342">
        <v>0</v>
      </c>
      <c r="V342">
        <v>0</v>
      </c>
      <c r="W342">
        <v>0</v>
      </c>
      <c r="X342">
        <f>IF(Y342,TRUE,AND(AB342:AQ342))</f>
        <v>0</v>
      </c>
      <c r="Y342">
        <f>COUNTBLANK(metadata!B342:Q342)=COLUMNS(metadata!B342:Q342)</f>
        <v>0</v>
      </c>
      <c r="Z342">
        <v>0</v>
      </c>
      <c r="AB342">
        <f>AND(IF(metadata!B342="",FALSE,TRUE),COUNTIF(metadata!B:B, metadata!B342) = 1,NOT(ISERROR(SUMPRODUCT(SEARCH(MID(metadata!B342,ROW(INDIRECT("1:"&amp;LEN(metadata!B342))), 1),"0123456789abcdefghijklmnopqrstuvwxyzABCDEFGHIJKLMNOPQRSTUVWXYZ.")))))</f>
        <v>0</v>
      </c>
      <c r="AC342">
        <f>OR(AND(IF(metadata!C342="",FALSE,TRUE),OR(exact(metadata!C342,"missing: not collected"),exact(metadata!C342,"missing: not provided"),exact(metadata!C342,"missing: restricted access"))),AND(IF(metadata!C342="",FALSE,TRUE),AND(AND(IFERROR(INT(LEFT(metadata!C342,4))&gt;1900,FALSE),IFERROR(INT(LEFT(metadata!C342,4))&lt;=YEAR(NOW()),FALSE)), OR(MID(metadata!C342,5,1)="", AND(AND(MID(metadata!C342,5,1)="-",IFERROR(INT(MID(metadata!C342,6,1))&gt;=0,FALSE),IFERROR(INT(MID(metadata!C342,6,1))&lt;=1,FALSE),NOT(MID(metadata!C342,7,1)=""),IFERROR(INT(MID(metadata!C342,6,2))&gt;=1,FALSE),IFERROR(INT(MID(metadata!C342,6,2))&lt;=12,FALSE)), OR(MID(metadata!C342,8,1)="", AND(AND(MID(metadata!C342,8,1)="-",IFERROR(INT(MID(metadata!C342,9,1))&gt;=0,FALSE),IFERROR(INT(MID(metadata!C342,9,1))&lt;=3,FALSE),NOT(MID(metadata!C342,10,1)=""),IFERROR(INT(MID(metadata!C342,9,2))&gt;=1,FALSE),IFERROR(INT(MID(metadata!C342,9,2))&lt;=31,FALSE)), OR(MID(metadata!C342,11,1)="", AND(AND(MID(metadata!C342,11,1)=" ",IFERROR(INT(MID(metadata!C342,12,1))&gt;=0,FALSE),IFERROR(INT(MID(metadata!C342,12,1))&lt;=2,FALSE),NOT(MID(metadata!C342,13,1)=""),IFERROR(INT(MID(metadata!C342,12,2))&gt;=0,FALSE),IFERROR(INT(MID(metadata!C342,12,2))&lt;=23,FALSE)), OR(MID(metadata!C342,14,1)="", AND(AND(MID(metadata!C342,14,1)=":",IFERROR(INT(MID(metadata!C342,15,1))&gt;=0,FALSE),IFERROR(INT(MID(metadata!C342,15,1))&lt;=5,FALSE),NOT(MID(metadata!C342,16,1)=""),IFERROR(INT(MID(metadata!C342,15,2))&gt;=0,FALSE),IFERROR(INT(MID(metadata!C342,15,2))&lt;=59,FALSE)), OR(MID(metadata!C342,17,1)="", AND(AND(MID(metadata!C342,17,1)=":",IFERROR(INT(MID(metadata!C342,18,1))&gt;=0,FALSE),IFERROR(INT(MID(metadata!C342,18,1))&lt;=5,FALSE),NOT(MID(metadata!C342,19,1)=""),IFERROR(INT(MID(metadata!C342,18,2))&gt;=0,FALSE),IFERROR(INT(MID(metadata!C342,18,2))&lt;=59,FALSE)), LEN(metadata!C342)&lt;=19)))))))))))))</f>
        <v>0</v>
      </c>
      <c r="AD342">
        <f>IF(metadata!D342="",FALSE,TRUE)</f>
        <v>0</v>
      </c>
      <c r="AE342">
        <f>OR(AND(IF(metadata!E342="",FALSE,TRUE),OR(exact(metadata!E342,"missing: not collected"),exact(metadata!E342,"missing: not provided"))),AND(IF(metadata!E342="",FALSE,TRUE),OR(exact(metadata!E342,"TRUE"),exact(metadata!E342,"FALSE"))))</f>
        <v>0</v>
      </c>
      <c r="AF342">
        <f>IF(metadata!F342="",FALSE,TRUE)</f>
        <v>0</v>
      </c>
      <c r="AG342">
        <f>IF(metadata!G342="",FALSE,TRUE)</f>
        <v>0</v>
      </c>
      <c r="AH342">
        <f>IF(metadata!H342="",FALSE,TRUE)</f>
        <v>0</v>
      </c>
      <c r="AI342">
        <f>OR(AND(IF(metadata!I342="",FALSE,TRUE),OR(exact(metadata!I342,"missing: not collected"),exact(metadata!I342,"missing: not provided"),exact(metadata!I342,"missing: restricted access"))),AND(IF(metadata!I342="",FALSE,TRUE),OR(exact(metadata!I342,"air"),exact(metadata!I342,"built environment"),exact(metadata!I342,"host-associated"),exact(metadata!I342,"human-associated"),exact(metadata!I342,"human-skin"),exact(metadata!I342,"human-oral"),exact(metadata!I342,"human-gut"),exact(metadata!I342,"human-vaginal"),exact(metadata!I342,"microbial mat/biofilm"),exact(metadata!I342,"misc environment"),exact(metadata!I342,"plant-associated"),exact(metadata!I342,"sediment"),exact(metadata!I342,"soil"),exact(metadata!I342,"wastewater/sludge"),exact(metadata!I342,"water"))))</f>
        <v>0</v>
      </c>
      <c r="AJ342">
        <f>IF(metadata!J342="",FALSE,TRUE)</f>
        <v>0</v>
      </c>
      <c r="AK342">
        <f>OR(AND(IF(metadata!K342="",FALSE,TRUE),OR(exact(metadata!K342,"missing: not collected"),exact(metadata!K342,"missing: not provided"),exact(metadata!K342,"missing: restricted access"))),AND(IF(metadata!K342="",FALSE,ISNUMBER(VALUE(metadata!K342))),metadata!K342&gt;=-90.00,metadata!K342&lt;=90.00))</f>
        <v>0</v>
      </c>
      <c r="AL342">
        <f>OR(AND(IF(metadata!L342="",FALSE,TRUE),OR(exact(metadata!L342,"missing: not collected"),exact(metadata!L342,"missing: not provided"),exact(metadata!L342,"missing: restricted access"))),AND(IF(metadata!L342="",FALSE,ISNUMBER(VALUE(metadata!L342))),metadata!L342&gt;=-180.00,metadata!L342&lt;=180.00))</f>
        <v>0</v>
      </c>
      <c r="AM342">
        <f>IF(metadata!M342="",FALSE,TRUE)</f>
        <v>0</v>
      </c>
      <c r="AN342">
        <f>OR(AND(IF(metadata!N342="",FALSE,TRUE),OR(exact(metadata!N342,"missing: not collected"),exact(metadata!N342,"missing: not provided"),exact(metadata!N342,"missing: restricted access"))),AND(IF(metadata!N342="",FALSE,TRUE),OR(exact(metadata!N342,"TRUE"),exact(metadata!N342,"FALSE"))))</f>
        <v>0</v>
      </c>
      <c r="AO342">
        <f>IF(metadata!O342="",FALSE,TRUE)</f>
        <v>0</v>
      </c>
      <c r="AP342">
        <f>OR(AND(IF(metadata!P342="",FALSE,TRUE),OR(exact(metadata!P342,"missing: not collected"),exact(metadata!P342,"missing: not provided"))),AND(IF(metadata!P342="",FALSE,IF(ISERROR(INT(metadata!P342)),FALSE,INT(metadata!P342)=metadata!P342)),metadata!P342&gt;0))</f>
        <v>0</v>
      </c>
      <c r="AQ342">
        <f>IF(metadata!Q342="",FALSE,TRUE)</f>
        <v>0</v>
      </c>
    </row>
    <row r="343" spans="1:43">
      <c r="A343" s="5">
        <f>IF(B343=" "," ",HYPERLINK(CONCATENATE("#metadata!",ADDRESS(INDEX($W$2:$W$1001,MATCH(ROWS($U$2:U343),$U$2:$U$1001,0),0),1)),INDEX($Z$2:$Z$1001,MATCH(ROWS($U$2:U343),$U$2:$U$1001,0),0)))</f>
        <v>0</v>
      </c>
      <c r="B343" s="4">
        <f>IF(OR(INDEX($V$2:$V$1001,MATCH(ROWS($U$2:U343),$U$2:$U$1001,0),1)&gt;=100000,INDEX($AB$1005:$AQ$1005,1,MATCH(COLUMNS($AB$1006:AB1006),$AB$1006:$AQ$1006,0))&gt;=100000), " ",IF(INDEX($AB$2:$AQ$1001,MATCH(ROWS($U$2:U343),$U$2:$U$1001,0),MATCH(COLUMNS($AB$1006:AB1006),$AB$1006:$AQ$1006,0)), HYPERLINK("#",""), HYPERLINK(CONCATENATE("#metadata!", ADDRESS(INDEX($W$2:$W$1001,MATCH(ROWS($U$2:U343),$U$2:$U$1001,0),0), INDEX($AB$1004:$AQ$1004,1,MATCH(COLUMNS($AB$1006:AB1006),$AB$1006:$AQ$1006,0)))),"Fix")))</f>
        <v>0</v>
      </c>
      <c r="C343" s="4">
        <f>IF(OR(INDEX($V$2:$V$1001,MATCH(ROWS($U$2:U343),$U$2:$U$1001,0),1)&gt;=100000,INDEX($AB$1005:$AQ$1005,1,MATCH(COLUMNS($AB$1006:AC1006),$AB$1006:$AQ$1006,0))&gt;=100000), " ",IF(INDEX($AB$2:$AQ$1001,MATCH(ROWS($U$2:U343),$U$2:$U$1001,0),MATCH(COLUMNS($AB$1006:AC1006),$AB$1006:$AQ$1006,0)), HYPERLINK("#",""), HYPERLINK(CONCATENATE("#metadata!", ADDRESS(INDEX($W$2:$W$1001,MATCH(ROWS($U$2:U343),$U$2:$U$1001,0),0), INDEX($AB$1004:$AQ$1004,1,MATCH(COLUMNS($AB$1006:AC1006),$AB$1006:$AQ$1006,0)))),"Fix")))</f>
        <v>0</v>
      </c>
      <c r="D343" s="4">
        <f>IF(OR(INDEX($V$2:$V$1001,MATCH(ROWS($U$2:U343),$U$2:$U$1001,0),1)&gt;=100000,INDEX($AB$1005:$AQ$1005,1,MATCH(COLUMNS($AB$1006:AD1006),$AB$1006:$AQ$1006,0))&gt;=100000), " ",IF(INDEX($AB$2:$AQ$1001,MATCH(ROWS($U$2:U343),$U$2:$U$1001,0),MATCH(COLUMNS($AB$1006:AD1006),$AB$1006:$AQ$1006,0)), HYPERLINK("#",""), HYPERLINK(CONCATENATE("#metadata!", ADDRESS(INDEX($W$2:$W$1001,MATCH(ROWS($U$2:U343),$U$2:$U$1001,0),0), INDEX($AB$1004:$AQ$1004,1,MATCH(COLUMNS($AB$1006:AD1006),$AB$1006:$AQ$1006,0)))),"Fix")))</f>
        <v>0</v>
      </c>
      <c r="E343" s="4">
        <f>IF(OR(INDEX($V$2:$V$1001,MATCH(ROWS($U$2:U343),$U$2:$U$1001,0),1)&gt;=100000,INDEX($AB$1005:$AQ$1005,1,MATCH(COLUMNS($AB$1006:AE1006),$AB$1006:$AQ$1006,0))&gt;=100000), " ",IF(INDEX($AB$2:$AQ$1001,MATCH(ROWS($U$2:U343),$U$2:$U$1001,0),MATCH(COLUMNS($AB$1006:AE1006),$AB$1006:$AQ$1006,0)), HYPERLINK("#",""), HYPERLINK(CONCATENATE("#metadata!", ADDRESS(INDEX($W$2:$W$1001,MATCH(ROWS($U$2:U343),$U$2:$U$1001,0),0), INDEX($AB$1004:$AQ$1004,1,MATCH(COLUMNS($AB$1006:AE1006),$AB$1006:$AQ$1006,0)))),"Fix")))</f>
        <v>0</v>
      </c>
      <c r="F343" s="4">
        <f>IF(OR(INDEX($V$2:$V$1001,MATCH(ROWS($U$2:U343),$U$2:$U$1001,0),1)&gt;=100000,INDEX($AB$1005:$AQ$1005,1,MATCH(COLUMNS($AB$1006:AF1006),$AB$1006:$AQ$1006,0))&gt;=100000), " ",IF(INDEX($AB$2:$AQ$1001,MATCH(ROWS($U$2:U343),$U$2:$U$1001,0),MATCH(COLUMNS($AB$1006:AF1006),$AB$1006:$AQ$1006,0)), HYPERLINK("#",""), HYPERLINK(CONCATENATE("#metadata!", ADDRESS(INDEX($W$2:$W$1001,MATCH(ROWS($U$2:U343),$U$2:$U$1001,0),0), INDEX($AB$1004:$AQ$1004,1,MATCH(COLUMNS($AB$1006:AF1006),$AB$1006:$AQ$1006,0)))),"Fix")))</f>
        <v>0</v>
      </c>
      <c r="G343" s="4">
        <f>IF(OR(INDEX($V$2:$V$1001,MATCH(ROWS($U$2:U343),$U$2:$U$1001,0),1)&gt;=100000,INDEX($AB$1005:$AQ$1005,1,MATCH(COLUMNS($AB$1006:AG1006),$AB$1006:$AQ$1006,0))&gt;=100000), " ",IF(INDEX($AB$2:$AQ$1001,MATCH(ROWS($U$2:U343),$U$2:$U$1001,0),MATCH(COLUMNS($AB$1006:AG1006),$AB$1006:$AQ$1006,0)), HYPERLINK("#",""), HYPERLINK(CONCATENATE("#metadata!", ADDRESS(INDEX($W$2:$W$1001,MATCH(ROWS($U$2:U343),$U$2:$U$1001,0),0), INDEX($AB$1004:$AQ$1004,1,MATCH(COLUMNS($AB$1006:AG1006),$AB$1006:$AQ$1006,0)))),"Fix")))</f>
        <v>0</v>
      </c>
      <c r="H343" s="4">
        <f>IF(OR(INDEX($V$2:$V$1001,MATCH(ROWS($U$2:U343),$U$2:$U$1001,0),1)&gt;=100000,INDEX($AB$1005:$AQ$1005,1,MATCH(COLUMNS($AB$1006:AH1006),$AB$1006:$AQ$1006,0))&gt;=100000), " ",IF(INDEX($AB$2:$AQ$1001,MATCH(ROWS($U$2:U343),$U$2:$U$1001,0),MATCH(COLUMNS($AB$1006:AH1006),$AB$1006:$AQ$1006,0)), HYPERLINK("#",""), HYPERLINK(CONCATENATE("#metadata!", ADDRESS(INDEX($W$2:$W$1001,MATCH(ROWS($U$2:U343),$U$2:$U$1001,0),0), INDEX($AB$1004:$AQ$1004,1,MATCH(COLUMNS($AB$1006:AH1006),$AB$1006:$AQ$1006,0)))),"Fix")))</f>
        <v>0</v>
      </c>
      <c r="I343" s="4">
        <f>IF(OR(INDEX($V$2:$V$1001,MATCH(ROWS($U$2:U343),$U$2:$U$1001,0),1)&gt;=100000,INDEX($AB$1005:$AQ$1005,1,MATCH(COLUMNS($AB$1006:AI1006),$AB$1006:$AQ$1006,0))&gt;=100000), " ",IF(INDEX($AB$2:$AQ$1001,MATCH(ROWS($U$2:U343),$U$2:$U$1001,0),MATCH(COLUMNS($AB$1006:AI1006),$AB$1006:$AQ$1006,0)), HYPERLINK("#",""), HYPERLINK(CONCATENATE("#metadata!", ADDRESS(INDEX($W$2:$W$1001,MATCH(ROWS($U$2:U343),$U$2:$U$1001,0),0), INDEX($AB$1004:$AQ$1004,1,MATCH(COLUMNS($AB$1006:AI1006),$AB$1006:$AQ$1006,0)))),"Fix")))</f>
        <v>0</v>
      </c>
      <c r="J343" s="4">
        <f>IF(OR(INDEX($V$2:$V$1001,MATCH(ROWS($U$2:U343),$U$2:$U$1001,0),1)&gt;=100000,INDEX($AB$1005:$AQ$1005,1,MATCH(COLUMNS($AB$1006:AJ1006),$AB$1006:$AQ$1006,0))&gt;=100000), " ",IF(INDEX($AB$2:$AQ$1001,MATCH(ROWS($U$2:U343),$U$2:$U$1001,0),MATCH(COLUMNS($AB$1006:AJ1006),$AB$1006:$AQ$1006,0)), HYPERLINK("#",""), HYPERLINK(CONCATENATE("#metadata!", ADDRESS(INDEX($W$2:$W$1001,MATCH(ROWS($U$2:U343),$U$2:$U$1001,0),0), INDEX($AB$1004:$AQ$1004,1,MATCH(COLUMNS($AB$1006:AJ1006),$AB$1006:$AQ$1006,0)))),"Fix")))</f>
        <v>0</v>
      </c>
      <c r="K343" s="4">
        <f>IF(OR(INDEX($V$2:$V$1001,MATCH(ROWS($U$2:U343),$U$2:$U$1001,0),1)&gt;=100000,INDEX($AB$1005:$AQ$1005,1,MATCH(COLUMNS($AB$1006:AK1006),$AB$1006:$AQ$1006,0))&gt;=100000), " ",IF(INDEX($AB$2:$AQ$1001,MATCH(ROWS($U$2:U343),$U$2:$U$1001,0),MATCH(COLUMNS($AB$1006:AK1006),$AB$1006:$AQ$1006,0)), HYPERLINK("#",""), HYPERLINK(CONCATENATE("#metadata!", ADDRESS(INDEX($W$2:$W$1001,MATCH(ROWS($U$2:U343),$U$2:$U$1001,0),0), INDEX($AB$1004:$AQ$1004,1,MATCH(COLUMNS($AB$1006:AK1006),$AB$1006:$AQ$1006,0)))),"Fix")))</f>
        <v>0</v>
      </c>
      <c r="L343" s="4">
        <f>IF(OR(INDEX($V$2:$V$1001,MATCH(ROWS($U$2:U343),$U$2:$U$1001,0),1)&gt;=100000,INDEX($AB$1005:$AQ$1005,1,MATCH(COLUMNS($AB$1006:AL1006),$AB$1006:$AQ$1006,0))&gt;=100000), " ",IF(INDEX($AB$2:$AQ$1001,MATCH(ROWS($U$2:U343),$U$2:$U$1001,0),MATCH(COLUMNS($AB$1006:AL1006),$AB$1006:$AQ$1006,0)), HYPERLINK("#",""), HYPERLINK(CONCATENATE("#metadata!", ADDRESS(INDEX($W$2:$W$1001,MATCH(ROWS($U$2:U343),$U$2:$U$1001,0),0), INDEX($AB$1004:$AQ$1004,1,MATCH(COLUMNS($AB$1006:AL1006),$AB$1006:$AQ$1006,0)))),"Fix")))</f>
        <v>0</v>
      </c>
      <c r="M343" s="4">
        <f>IF(OR(INDEX($V$2:$V$1001,MATCH(ROWS($U$2:U343),$U$2:$U$1001,0),1)&gt;=100000,INDEX($AB$1005:$AQ$1005,1,MATCH(COLUMNS($AB$1006:AM1006),$AB$1006:$AQ$1006,0))&gt;=100000), " ",IF(INDEX($AB$2:$AQ$1001,MATCH(ROWS($U$2:U343),$U$2:$U$1001,0),MATCH(COLUMNS($AB$1006:AM1006),$AB$1006:$AQ$1006,0)), HYPERLINK("#",""), HYPERLINK(CONCATENATE("#metadata!", ADDRESS(INDEX($W$2:$W$1001,MATCH(ROWS($U$2:U343),$U$2:$U$1001,0),0), INDEX($AB$1004:$AQ$1004,1,MATCH(COLUMNS($AB$1006:AM1006),$AB$1006:$AQ$1006,0)))),"Fix")))</f>
        <v>0</v>
      </c>
      <c r="N343" s="4">
        <f>IF(OR(INDEX($V$2:$V$1001,MATCH(ROWS($U$2:U343),$U$2:$U$1001,0),1)&gt;=100000,INDEX($AB$1005:$AQ$1005,1,MATCH(COLUMNS($AB$1006:AN1006),$AB$1006:$AQ$1006,0))&gt;=100000), " ",IF(INDEX($AB$2:$AQ$1001,MATCH(ROWS($U$2:U343),$U$2:$U$1001,0),MATCH(COLUMNS($AB$1006:AN1006),$AB$1006:$AQ$1006,0)), HYPERLINK("#",""), HYPERLINK(CONCATENATE("#metadata!", ADDRESS(INDEX($W$2:$W$1001,MATCH(ROWS($U$2:U343),$U$2:$U$1001,0),0), INDEX($AB$1004:$AQ$1004,1,MATCH(COLUMNS($AB$1006:AN1006),$AB$1006:$AQ$1006,0)))),"Fix")))</f>
        <v>0</v>
      </c>
      <c r="O343" s="4">
        <f>IF(OR(INDEX($V$2:$V$1001,MATCH(ROWS($U$2:U343),$U$2:$U$1001,0),1)&gt;=100000,INDEX($AB$1005:$AQ$1005,1,MATCH(COLUMNS($AB$1006:AO1006),$AB$1006:$AQ$1006,0))&gt;=100000), " ",IF(INDEX($AB$2:$AQ$1001,MATCH(ROWS($U$2:U343),$U$2:$U$1001,0),MATCH(COLUMNS($AB$1006:AO1006),$AB$1006:$AQ$1006,0)), HYPERLINK("#",""), HYPERLINK(CONCATENATE("#metadata!", ADDRESS(INDEX($W$2:$W$1001,MATCH(ROWS($U$2:U343),$U$2:$U$1001,0),0), INDEX($AB$1004:$AQ$1004,1,MATCH(COLUMNS($AB$1006:AO1006),$AB$1006:$AQ$1006,0)))),"Fix")))</f>
        <v>0</v>
      </c>
      <c r="P343" s="4">
        <f>IF(OR(INDEX($V$2:$V$1001,MATCH(ROWS($U$2:U343),$U$2:$U$1001,0),1)&gt;=100000,INDEX($AB$1005:$AQ$1005,1,MATCH(COLUMNS($AB$1006:AP1006),$AB$1006:$AQ$1006,0))&gt;=100000), " ",IF(INDEX($AB$2:$AQ$1001,MATCH(ROWS($U$2:U343),$U$2:$U$1001,0),MATCH(COLUMNS($AB$1006:AP1006),$AB$1006:$AQ$1006,0)), HYPERLINK("#",""), HYPERLINK(CONCATENATE("#metadata!", ADDRESS(INDEX($W$2:$W$1001,MATCH(ROWS($U$2:U343),$U$2:$U$1001,0),0), INDEX($AB$1004:$AQ$1004,1,MATCH(COLUMNS($AB$1006:AP1006),$AB$1006:$AQ$1006,0)))),"Fix")))</f>
        <v>0</v>
      </c>
      <c r="Q343" s="4">
        <f>IF(OR(INDEX($V$2:$V$1001,MATCH(ROWS($U$2:U343),$U$2:$U$1001,0),1)&gt;=100000,INDEX($AB$1005:$AQ$1005,1,MATCH(COLUMNS($AB$1006:AQ1006),$AB$1006:$AQ$1006,0))&gt;=100000), " ",IF(INDEX($AB$2:$AQ$1001,MATCH(ROWS($U$2:U343),$U$2:$U$1001,0),MATCH(COLUMNS($AB$1006:AQ1006),$AB$1006:$AQ$1006,0)), HYPERLINK("#",""), HYPERLINK(CONCATENATE("#metadata!", ADDRESS(INDEX($W$2:$W$1001,MATCH(ROWS($U$2:U343),$U$2:$U$1001,0),0), INDEX($AB$1004:$AQ$1004,1,MATCH(COLUMNS($AB$1006:AQ1006),$AB$1006:$AQ$1006,0)))),"Fix")))</f>
        <v>0</v>
      </c>
      <c r="U343">
        <v>0</v>
      </c>
      <c r="V343">
        <v>0</v>
      </c>
      <c r="W343">
        <v>0</v>
      </c>
      <c r="X343">
        <f>IF(Y343,TRUE,AND(AB343:AQ343))</f>
        <v>0</v>
      </c>
      <c r="Y343">
        <f>COUNTBLANK(metadata!B343:Q343)=COLUMNS(metadata!B343:Q343)</f>
        <v>0</v>
      </c>
      <c r="Z343">
        <v>0</v>
      </c>
      <c r="AB343">
        <f>AND(IF(metadata!B343="",FALSE,TRUE),COUNTIF(metadata!B:B, metadata!B343) = 1,NOT(ISERROR(SUMPRODUCT(SEARCH(MID(metadata!B343,ROW(INDIRECT("1:"&amp;LEN(metadata!B343))), 1),"0123456789abcdefghijklmnopqrstuvwxyzABCDEFGHIJKLMNOPQRSTUVWXYZ.")))))</f>
        <v>0</v>
      </c>
      <c r="AC343">
        <f>OR(AND(IF(metadata!C343="",FALSE,TRUE),OR(exact(metadata!C343,"missing: not collected"),exact(metadata!C343,"missing: not provided"),exact(metadata!C343,"missing: restricted access"))),AND(IF(metadata!C343="",FALSE,TRUE),AND(AND(IFERROR(INT(LEFT(metadata!C343,4))&gt;1900,FALSE),IFERROR(INT(LEFT(metadata!C343,4))&lt;=YEAR(NOW()),FALSE)), OR(MID(metadata!C343,5,1)="", AND(AND(MID(metadata!C343,5,1)="-",IFERROR(INT(MID(metadata!C343,6,1))&gt;=0,FALSE),IFERROR(INT(MID(metadata!C343,6,1))&lt;=1,FALSE),NOT(MID(metadata!C343,7,1)=""),IFERROR(INT(MID(metadata!C343,6,2))&gt;=1,FALSE),IFERROR(INT(MID(metadata!C343,6,2))&lt;=12,FALSE)), OR(MID(metadata!C343,8,1)="", AND(AND(MID(metadata!C343,8,1)="-",IFERROR(INT(MID(metadata!C343,9,1))&gt;=0,FALSE),IFERROR(INT(MID(metadata!C343,9,1))&lt;=3,FALSE),NOT(MID(metadata!C343,10,1)=""),IFERROR(INT(MID(metadata!C343,9,2))&gt;=1,FALSE),IFERROR(INT(MID(metadata!C343,9,2))&lt;=31,FALSE)), OR(MID(metadata!C343,11,1)="", AND(AND(MID(metadata!C343,11,1)=" ",IFERROR(INT(MID(metadata!C343,12,1))&gt;=0,FALSE),IFERROR(INT(MID(metadata!C343,12,1))&lt;=2,FALSE),NOT(MID(metadata!C343,13,1)=""),IFERROR(INT(MID(metadata!C343,12,2))&gt;=0,FALSE),IFERROR(INT(MID(metadata!C343,12,2))&lt;=23,FALSE)), OR(MID(metadata!C343,14,1)="", AND(AND(MID(metadata!C343,14,1)=":",IFERROR(INT(MID(metadata!C343,15,1))&gt;=0,FALSE),IFERROR(INT(MID(metadata!C343,15,1))&lt;=5,FALSE),NOT(MID(metadata!C343,16,1)=""),IFERROR(INT(MID(metadata!C343,15,2))&gt;=0,FALSE),IFERROR(INT(MID(metadata!C343,15,2))&lt;=59,FALSE)), OR(MID(metadata!C343,17,1)="", AND(AND(MID(metadata!C343,17,1)=":",IFERROR(INT(MID(metadata!C343,18,1))&gt;=0,FALSE),IFERROR(INT(MID(metadata!C343,18,1))&lt;=5,FALSE),NOT(MID(metadata!C343,19,1)=""),IFERROR(INT(MID(metadata!C343,18,2))&gt;=0,FALSE),IFERROR(INT(MID(metadata!C343,18,2))&lt;=59,FALSE)), LEN(metadata!C343)&lt;=19)))))))))))))</f>
        <v>0</v>
      </c>
      <c r="AD343">
        <f>IF(metadata!D343="",FALSE,TRUE)</f>
        <v>0</v>
      </c>
      <c r="AE343">
        <f>OR(AND(IF(metadata!E343="",FALSE,TRUE),OR(exact(metadata!E343,"missing: not collected"),exact(metadata!E343,"missing: not provided"))),AND(IF(metadata!E343="",FALSE,TRUE),OR(exact(metadata!E343,"TRUE"),exact(metadata!E343,"FALSE"))))</f>
        <v>0</v>
      </c>
      <c r="AF343">
        <f>IF(metadata!F343="",FALSE,TRUE)</f>
        <v>0</v>
      </c>
      <c r="AG343">
        <f>IF(metadata!G343="",FALSE,TRUE)</f>
        <v>0</v>
      </c>
      <c r="AH343">
        <f>IF(metadata!H343="",FALSE,TRUE)</f>
        <v>0</v>
      </c>
      <c r="AI343">
        <f>OR(AND(IF(metadata!I343="",FALSE,TRUE),OR(exact(metadata!I343,"missing: not collected"),exact(metadata!I343,"missing: not provided"),exact(metadata!I343,"missing: restricted access"))),AND(IF(metadata!I343="",FALSE,TRUE),OR(exact(metadata!I343,"air"),exact(metadata!I343,"built environment"),exact(metadata!I343,"host-associated"),exact(metadata!I343,"human-associated"),exact(metadata!I343,"human-skin"),exact(metadata!I343,"human-oral"),exact(metadata!I343,"human-gut"),exact(metadata!I343,"human-vaginal"),exact(metadata!I343,"microbial mat/biofilm"),exact(metadata!I343,"misc environment"),exact(metadata!I343,"plant-associated"),exact(metadata!I343,"sediment"),exact(metadata!I343,"soil"),exact(metadata!I343,"wastewater/sludge"),exact(metadata!I343,"water"))))</f>
        <v>0</v>
      </c>
      <c r="AJ343">
        <f>IF(metadata!J343="",FALSE,TRUE)</f>
        <v>0</v>
      </c>
      <c r="AK343">
        <f>OR(AND(IF(metadata!K343="",FALSE,TRUE),OR(exact(metadata!K343,"missing: not collected"),exact(metadata!K343,"missing: not provided"),exact(metadata!K343,"missing: restricted access"))),AND(IF(metadata!K343="",FALSE,ISNUMBER(VALUE(metadata!K343))),metadata!K343&gt;=-90.00,metadata!K343&lt;=90.00))</f>
        <v>0</v>
      </c>
      <c r="AL343">
        <f>OR(AND(IF(metadata!L343="",FALSE,TRUE),OR(exact(metadata!L343,"missing: not collected"),exact(metadata!L343,"missing: not provided"),exact(metadata!L343,"missing: restricted access"))),AND(IF(metadata!L343="",FALSE,ISNUMBER(VALUE(metadata!L343))),metadata!L343&gt;=-180.00,metadata!L343&lt;=180.00))</f>
        <v>0</v>
      </c>
      <c r="AM343">
        <f>IF(metadata!M343="",FALSE,TRUE)</f>
        <v>0</v>
      </c>
      <c r="AN343">
        <f>OR(AND(IF(metadata!N343="",FALSE,TRUE),OR(exact(metadata!N343,"missing: not collected"),exact(metadata!N343,"missing: not provided"),exact(metadata!N343,"missing: restricted access"))),AND(IF(metadata!N343="",FALSE,TRUE),OR(exact(metadata!N343,"TRUE"),exact(metadata!N343,"FALSE"))))</f>
        <v>0</v>
      </c>
      <c r="AO343">
        <f>IF(metadata!O343="",FALSE,TRUE)</f>
        <v>0</v>
      </c>
      <c r="AP343">
        <f>OR(AND(IF(metadata!P343="",FALSE,TRUE),OR(exact(metadata!P343,"missing: not collected"),exact(metadata!P343,"missing: not provided"))),AND(IF(metadata!P343="",FALSE,IF(ISERROR(INT(metadata!P343)),FALSE,INT(metadata!P343)=metadata!P343)),metadata!P343&gt;0))</f>
        <v>0</v>
      </c>
      <c r="AQ343">
        <f>IF(metadata!Q343="",FALSE,TRUE)</f>
        <v>0</v>
      </c>
    </row>
    <row r="344" spans="1:43">
      <c r="A344" s="5">
        <f>IF(B344=" "," ",HYPERLINK(CONCATENATE("#metadata!",ADDRESS(INDEX($W$2:$W$1001,MATCH(ROWS($U$2:U344),$U$2:$U$1001,0),0),1)),INDEX($Z$2:$Z$1001,MATCH(ROWS($U$2:U344),$U$2:$U$1001,0),0)))</f>
        <v>0</v>
      </c>
      <c r="B344" s="4">
        <f>IF(OR(INDEX($V$2:$V$1001,MATCH(ROWS($U$2:U344),$U$2:$U$1001,0),1)&gt;=100000,INDEX($AB$1005:$AQ$1005,1,MATCH(COLUMNS($AB$1006:AB1006),$AB$1006:$AQ$1006,0))&gt;=100000), " ",IF(INDEX($AB$2:$AQ$1001,MATCH(ROWS($U$2:U344),$U$2:$U$1001,0),MATCH(COLUMNS($AB$1006:AB1006),$AB$1006:$AQ$1006,0)), HYPERLINK("#",""), HYPERLINK(CONCATENATE("#metadata!", ADDRESS(INDEX($W$2:$W$1001,MATCH(ROWS($U$2:U344),$U$2:$U$1001,0),0), INDEX($AB$1004:$AQ$1004,1,MATCH(COLUMNS($AB$1006:AB1006),$AB$1006:$AQ$1006,0)))),"Fix")))</f>
        <v>0</v>
      </c>
      <c r="C344" s="4">
        <f>IF(OR(INDEX($V$2:$V$1001,MATCH(ROWS($U$2:U344),$U$2:$U$1001,0),1)&gt;=100000,INDEX($AB$1005:$AQ$1005,1,MATCH(COLUMNS($AB$1006:AC1006),$AB$1006:$AQ$1006,0))&gt;=100000), " ",IF(INDEX($AB$2:$AQ$1001,MATCH(ROWS($U$2:U344),$U$2:$U$1001,0),MATCH(COLUMNS($AB$1006:AC1006),$AB$1006:$AQ$1006,0)), HYPERLINK("#",""), HYPERLINK(CONCATENATE("#metadata!", ADDRESS(INDEX($W$2:$W$1001,MATCH(ROWS($U$2:U344),$U$2:$U$1001,0),0), INDEX($AB$1004:$AQ$1004,1,MATCH(COLUMNS($AB$1006:AC1006),$AB$1006:$AQ$1006,0)))),"Fix")))</f>
        <v>0</v>
      </c>
      <c r="D344" s="4">
        <f>IF(OR(INDEX($V$2:$V$1001,MATCH(ROWS($U$2:U344),$U$2:$U$1001,0),1)&gt;=100000,INDEX($AB$1005:$AQ$1005,1,MATCH(COLUMNS($AB$1006:AD1006),$AB$1006:$AQ$1006,0))&gt;=100000), " ",IF(INDEX($AB$2:$AQ$1001,MATCH(ROWS($U$2:U344),$U$2:$U$1001,0),MATCH(COLUMNS($AB$1006:AD1006),$AB$1006:$AQ$1006,0)), HYPERLINK("#",""), HYPERLINK(CONCATENATE("#metadata!", ADDRESS(INDEX($W$2:$W$1001,MATCH(ROWS($U$2:U344),$U$2:$U$1001,0),0), INDEX($AB$1004:$AQ$1004,1,MATCH(COLUMNS($AB$1006:AD1006),$AB$1006:$AQ$1006,0)))),"Fix")))</f>
        <v>0</v>
      </c>
      <c r="E344" s="4">
        <f>IF(OR(INDEX($V$2:$V$1001,MATCH(ROWS($U$2:U344),$U$2:$U$1001,0),1)&gt;=100000,INDEX($AB$1005:$AQ$1005,1,MATCH(COLUMNS($AB$1006:AE1006),$AB$1006:$AQ$1006,0))&gt;=100000), " ",IF(INDEX($AB$2:$AQ$1001,MATCH(ROWS($U$2:U344),$U$2:$U$1001,0),MATCH(COLUMNS($AB$1006:AE1006),$AB$1006:$AQ$1006,0)), HYPERLINK("#",""), HYPERLINK(CONCATENATE("#metadata!", ADDRESS(INDEX($W$2:$W$1001,MATCH(ROWS($U$2:U344),$U$2:$U$1001,0),0), INDEX($AB$1004:$AQ$1004,1,MATCH(COLUMNS($AB$1006:AE1006),$AB$1006:$AQ$1006,0)))),"Fix")))</f>
        <v>0</v>
      </c>
      <c r="F344" s="4">
        <f>IF(OR(INDEX($V$2:$V$1001,MATCH(ROWS($U$2:U344),$U$2:$U$1001,0),1)&gt;=100000,INDEX($AB$1005:$AQ$1005,1,MATCH(COLUMNS($AB$1006:AF1006),$AB$1006:$AQ$1006,0))&gt;=100000), " ",IF(INDEX($AB$2:$AQ$1001,MATCH(ROWS($U$2:U344),$U$2:$U$1001,0),MATCH(COLUMNS($AB$1006:AF1006),$AB$1006:$AQ$1006,0)), HYPERLINK("#",""), HYPERLINK(CONCATENATE("#metadata!", ADDRESS(INDEX($W$2:$W$1001,MATCH(ROWS($U$2:U344),$U$2:$U$1001,0),0), INDEX($AB$1004:$AQ$1004,1,MATCH(COLUMNS($AB$1006:AF1006),$AB$1006:$AQ$1006,0)))),"Fix")))</f>
        <v>0</v>
      </c>
      <c r="G344" s="4">
        <f>IF(OR(INDEX($V$2:$V$1001,MATCH(ROWS($U$2:U344),$U$2:$U$1001,0),1)&gt;=100000,INDEX($AB$1005:$AQ$1005,1,MATCH(COLUMNS($AB$1006:AG1006),$AB$1006:$AQ$1006,0))&gt;=100000), " ",IF(INDEX($AB$2:$AQ$1001,MATCH(ROWS($U$2:U344),$U$2:$U$1001,0),MATCH(COLUMNS($AB$1006:AG1006),$AB$1006:$AQ$1006,0)), HYPERLINK("#",""), HYPERLINK(CONCATENATE("#metadata!", ADDRESS(INDEX($W$2:$W$1001,MATCH(ROWS($U$2:U344),$U$2:$U$1001,0),0), INDEX($AB$1004:$AQ$1004,1,MATCH(COLUMNS($AB$1006:AG1006),$AB$1006:$AQ$1006,0)))),"Fix")))</f>
        <v>0</v>
      </c>
      <c r="H344" s="4">
        <f>IF(OR(INDEX($V$2:$V$1001,MATCH(ROWS($U$2:U344),$U$2:$U$1001,0),1)&gt;=100000,INDEX($AB$1005:$AQ$1005,1,MATCH(COLUMNS($AB$1006:AH1006),$AB$1006:$AQ$1006,0))&gt;=100000), " ",IF(INDEX($AB$2:$AQ$1001,MATCH(ROWS($U$2:U344),$U$2:$U$1001,0),MATCH(COLUMNS($AB$1006:AH1006),$AB$1006:$AQ$1006,0)), HYPERLINK("#",""), HYPERLINK(CONCATENATE("#metadata!", ADDRESS(INDEX($W$2:$W$1001,MATCH(ROWS($U$2:U344),$U$2:$U$1001,0),0), INDEX($AB$1004:$AQ$1004,1,MATCH(COLUMNS($AB$1006:AH1006),$AB$1006:$AQ$1006,0)))),"Fix")))</f>
        <v>0</v>
      </c>
      <c r="I344" s="4">
        <f>IF(OR(INDEX($V$2:$V$1001,MATCH(ROWS($U$2:U344),$U$2:$U$1001,0),1)&gt;=100000,INDEX($AB$1005:$AQ$1005,1,MATCH(COLUMNS($AB$1006:AI1006),$AB$1006:$AQ$1006,0))&gt;=100000), " ",IF(INDEX($AB$2:$AQ$1001,MATCH(ROWS($U$2:U344),$U$2:$U$1001,0),MATCH(COLUMNS($AB$1006:AI1006),$AB$1006:$AQ$1006,0)), HYPERLINK("#",""), HYPERLINK(CONCATENATE("#metadata!", ADDRESS(INDEX($W$2:$W$1001,MATCH(ROWS($U$2:U344),$U$2:$U$1001,0),0), INDEX($AB$1004:$AQ$1004,1,MATCH(COLUMNS($AB$1006:AI1006),$AB$1006:$AQ$1006,0)))),"Fix")))</f>
        <v>0</v>
      </c>
      <c r="J344" s="4">
        <f>IF(OR(INDEX($V$2:$V$1001,MATCH(ROWS($U$2:U344),$U$2:$U$1001,0),1)&gt;=100000,INDEX($AB$1005:$AQ$1005,1,MATCH(COLUMNS($AB$1006:AJ1006),$AB$1006:$AQ$1006,0))&gt;=100000), " ",IF(INDEX($AB$2:$AQ$1001,MATCH(ROWS($U$2:U344),$U$2:$U$1001,0),MATCH(COLUMNS($AB$1006:AJ1006),$AB$1006:$AQ$1006,0)), HYPERLINK("#",""), HYPERLINK(CONCATENATE("#metadata!", ADDRESS(INDEX($W$2:$W$1001,MATCH(ROWS($U$2:U344),$U$2:$U$1001,0),0), INDEX($AB$1004:$AQ$1004,1,MATCH(COLUMNS($AB$1006:AJ1006),$AB$1006:$AQ$1006,0)))),"Fix")))</f>
        <v>0</v>
      </c>
      <c r="K344" s="4">
        <f>IF(OR(INDEX($V$2:$V$1001,MATCH(ROWS($U$2:U344),$U$2:$U$1001,0),1)&gt;=100000,INDEX($AB$1005:$AQ$1005,1,MATCH(COLUMNS($AB$1006:AK1006),$AB$1006:$AQ$1006,0))&gt;=100000), " ",IF(INDEX($AB$2:$AQ$1001,MATCH(ROWS($U$2:U344),$U$2:$U$1001,0),MATCH(COLUMNS($AB$1006:AK1006),$AB$1006:$AQ$1006,0)), HYPERLINK("#",""), HYPERLINK(CONCATENATE("#metadata!", ADDRESS(INDEX($W$2:$W$1001,MATCH(ROWS($U$2:U344),$U$2:$U$1001,0),0), INDEX($AB$1004:$AQ$1004,1,MATCH(COLUMNS($AB$1006:AK1006),$AB$1006:$AQ$1006,0)))),"Fix")))</f>
        <v>0</v>
      </c>
      <c r="L344" s="4">
        <f>IF(OR(INDEX($V$2:$V$1001,MATCH(ROWS($U$2:U344),$U$2:$U$1001,0),1)&gt;=100000,INDEX($AB$1005:$AQ$1005,1,MATCH(COLUMNS($AB$1006:AL1006),$AB$1006:$AQ$1006,0))&gt;=100000), " ",IF(INDEX($AB$2:$AQ$1001,MATCH(ROWS($U$2:U344),$U$2:$U$1001,0),MATCH(COLUMNS($AB$1006:AL1006),$AB$1006:$AQ$1006,0)), HYPERLINK("#",""), HYPERLINK(CONCATENATE("#metadata!", ADDRESS(INDEX($W$2:$W$1001,MATCH(ROWS($U$2:U344),$U$2:$U$1001,0),0), INDEX($AB$1004:$AQ$1004,1,MATCH(COLUMNS($AB$1006:AL1006),$AB$1006:$AQ$1006,0)))),"Fix")))</f>
        <v>0</v>
      </c>
      <c r="M344" s="4">
        <f>IF(OR(INDEX($V$2:$V$1001,MATCH(ROWS($U$2:U344),$U$2:$U$1001,0),1)&gt;=100000,INDEX($AB$1005:$AQ$1005,1,MATCH(COLUMNS($AB$1006:AM1006),$AB$1006:$AQ$1006,0))&gt;=100000), " ",IF(INDEX($AB$2:$AQ$1001,MATCH(ROWS($U$2:U344),$U$2:$U$1001,0),MATCH(COLUMNS($AB$1006:AM1006),$AB$1006:$AQ$1006,0)), HYPERLINK("#",""), HYPERLINK(CONCATENATE("#metadata!", ADDRESS(INDEX($W$2:$W$1001,MATCH(ROWS($U$2:U344),$U$2:$U$1001,0),0), INDEX($AB$1004:$AQ$1004,1,MATCH(COLUMNS($AB$1006:AM1006),$AB$1006:$AQ$1006,0)))),"Fix")))</f>
        <v>0</v>
      </c>
      <c r="N344" s="4">
        <f>IF(OR(INDEX($V$2:$V$1001,MATCH(ROWS($U$2:U344),$U$2:$U$1001,0),1)&gt;=100000,INDEX($AB$1005:$AQ$1005,1,MATCH(COLUMNS($AB$1006:AN1006),$AB$1006:$AQ$1006,0))&gt;=100000), " ",IF(INDEX($AB$2:$AQ$1001,MATCH(ROWS($U$2:U344),$U$2:$U$1001,0),MATCH(COLUMNS($AB$1006:AN1006),$AB$1006:$AQ$1006,0)), HYPERLINK("#",""), HYPERLINK(CONCATENATE("#metadata!", ADDRESS(INDEX($W$2:$W$1001,MATCH(ROWS($U$2:U344),$U$2:$U$1001,0),0), INDEX($AB$1004:$AQ$1004,1,MATCH(COLUMNS($AB$1006:AN1006),$AB$1006:$AQ$1006,0)))),"Fix")))</f>
        <v>0</v>
      </c>
      <c r="O344" s="4">
        <f>IF(OR(INDEX($V$2:$V$1001,MATCH(ROWS($U$2:U344),$U$2:$U$1001,0),1)&gt;=100000,INDEX($AB$1005:$AQ$1005,1,MATCH(COLUMNS($AB$1006:AO1006),$AB$1006:$AQ$1006,0))&gt;=100000), " ",IF(INDEX($AB$2:$AQ$1001,MATCH(ROWS($U$2:U344),$U$2:$U$1001,0),MATCH(COLUMNS($AB$1006:AO1006),$AB$1006:$AQ$1006,0)), HYPERLINK("#",""), HYPERLINK(CONCATENATE("#metadata!", ADDRESS(INDEX($W$2:$W$1001,MATCH(ROWS($U$2:U344),$U$2:$U$1001,0),0), INDEX($AB$1004:$AQ$1004,1,MATCH(COLUMNS($AB$1006:AO1006),$AB$1006:$AQ$1006,0)))),"Fix")))</f>
        <v>0</v>
      </c>
      <c r="P344" s="4">
        <f>IF(OR(INDEX($V$2:$V$1001,MATCH(ROWS($U$2:U344),$U$2:$U$1001,0),1)&gt;=100000,INDEX($AB$1005:$AQ$1005,1,MATCH(COLUMNS($AB$1006:AP1006),$AB$1006:$AQ$1006,0))&gt;=100000), " ",IF(INDEX($AB$2:$AQ$1001,MATCH(ROWS($U$2:U344),$U$2:$U$1001,0),MATCH(COLUMNS($AB$1006:AP1006),$AB$1006:$AQ$1006,0)), HYPERLINK("#",""), HYPERLINK(CONCATENATE("#metadata!", ADDRESS(INDEX($W$2:$W$1001,MATCH(ROWS($U$2:U344),$U$2:$U$1001,0),0), INDEX($AB$1004:$AQ$1004,1,MATCH(COLUMNS($AB$1006:AP1006),$AB$1006:$AQ$1006,0)))),"Fix")))</f>
        <v>0</v>
      </c>
      <c r="Q344" s="4">
        <f>IF(OR(INDEX($V$2:$V$1001,MATCH(ROWS($U$2:U344),$U$2:$U$1001,0),1)&gt;=100000,INDEX($AB$1005:$AQ$1005,1,MATCH(COLUMNS($AB$1006:AQ1006),$AB$1006:$AQ$1006,0))&gt;=100000), " ",IF(INDEX($AB$2:$AQ$1001,MATCH(ROWS($U$2:U344),$U$2:$U$1001,0),MATCH(COLUMNS($AB$1006:AQ1006),$AB$1006:$AQ$1006,0)), HYPERLINK("#",""), HYPERLINK(CONCATENATE("#metadata!", ADDRESS(INDEX($W$2:$W$1001,MATCH(ROWS($U$2:U344),$U$2:$U$1001,0),0), INDEX($AB$1004:$AQ$1004,1,MATCH(COLUMNS($AB$1006:AQ1006),$AB$1006:$AQ$1006,0)))),"Fix")))</f>
        <v>0</v>
      </c>
      <c r="U344">
        <v>0</v>
      </c>
      <c r="V344">
        <v>0</v>
      </c>
      <c r="W344">
        <v>0</v>
      </c>
      <c r="X344">
        <f>IF(Y344,TRUE,AND(AB344:AQ344))</f>
        <v>0</v>
      </c>
      <c r="Y344">
        <f>COUNTBLANK(metadata!B344:Q344)=COLUMNS(metadata!B344:Q344)</f>
        <v>0</v>
      </c>
      <c r="Z344">
        <v>0</v>
      </c>
      <c r="AB344">
        <f>AND(IF(metadata!B344="",FALSE,TRUE),COUNTIF(metadata!B:B, metadata!B344) = 1,NOT(ISERROR(SUMPRODUCT(SEARCH(MID(metadata!B344,ROW(INDIRECT("1:"&amp;LEN(metadata!B344))), 1),"0123456789abcdefghijklmnopqrstuvwxyzABCDEFGHIJKLMNOPQRSTUVWXYZ.")))))</f>
        <v>0</v>
      </c>
      <c r="AC344">
        <f>OR(AND(IF(metadata!C344="",FALSE,TRUE),OR(exact(metadata!C344,"missing: not collected"),exact(metadata!C344,"missing: not provided"),exact(metadata!C344,"missing: restricted access"))),AND(IF(metadata!C344="",FALSE,TRUE),AND(AND(IFERROR(INT(LEFT(metadata!C344,4))&gt;1900,FALSE),IFERROR(INT(LEFT(metadata!C344,4))&lt;=YEAR(NOW()),FALSE)), OR(MID(metadata!C344,5,1)="", AND(AND(MID(metadata!C344,5,1)="-",IFERROR(INT(MID(metadata!C344,6,1))&gt;=0,FALSE),IFERROR(INT(MID(metadata!C344,6,1))&lt;=1,FALSE),NOT(MID(metadata!C344,7,1)=""),IFERROR(INT(MID(metadata!C344,6,2))&gt;=1,FALSE),IFERROR(INT(MID(metadata!C344,6,2))&lt;=12,FALSE)), OR(MID(metadata!C344,8,1)="", AND(AND(MID(metadata!C344,8,1)="-",IFERROR(INT(MID(metadata!C344,9,1))&gt;=0,FALSE),IFERROR(INT(MID(metadata!C344,9,1))&lt;=3,FALSE),NOT(MID(metadata!C344,10,1)=""),IFERROR(INT(MID(metadata!C344,9,2))&gt;=1,FALSE),IFERROR(INT(MID(metadata!C344,9,2))&lt;=31,FALSE)), OR(MID(metadata!C344,11,1)="", AND(AND(MID(metadata!C344,11,1)=" ",IFERROR(INT(MID(metadata!C344,12,1))&gt;=0,FALSE),IFERROR(INT(MID(metadata!C344,12,1))&lt;=2,FALSE),NOT(MID(metadata!C344,13,1)=""),IFERROR(INT(MID(metadata!C344,12,2))&gt;=0,FALSE),IFERROR(INT(MID(metadata!C344,12,2))&lt;=23,FALSE)), OR(MID(metadata!C344,14,1)="", AND(AND(MID(metadata!C344,14,1)=":",IFERROR(INT(MID(metadata!C344,15,1))&gt;=0,FALSE),IFERROR(INT(MID(metadata!C344,15,1))&lt;=5,FALSE),NOT(MID(metadata!C344,16,1)=""),IFERROR(INT(MID(metadata!C344,15,2))&gt;=0,FALSE),IFERROR(INT(MID(metadata!C344,15,2))&lt;=59,FALSE)), OR(MID(metadata!C344,17,1)="", AND(AND(MID(metadata!C344,17,1)=":",IFERROR(INT(MID(metadata!C344,18,1))&gt;=0,FALSE),IFERROR(INT(MID(metadata!C344,18,1))&lt;=5,FALSE),NOT(MID(metadata!C344,19,1)=""),IFERROR(INT(MID(metadata!C344,18,2))&gt;=0,FALSE),IFERROR(INT(MID(metadata!C344,18,2))&lt;=59,FALSE)), LEN(metadata!C344)&lt;=19)))))))))))))</f>
        <v>0</v>
      </c>
      <c r="AD344">
        <f>IF(metadata!D344="",FALSE,TRUE)</f>
        <v>0</v>
      </c>
      <c r="AE344">
        <f>OR(AND(IF(metadata!E344="",FALSE,TRUE),OR(exact(metadata!E344,"missing: not collected"),exact(metadata!E344,"missing: not provided"))),AND(IF(metadata!E344="",FALSE,TRUE),OR(exact(metadata!E344,"TRUE"),exact(metadata!E344,"FALSE"))))</f>
        <v>0</v>
      </c>
      <c r="AF344">
        <f>IF(metadata!F344="",FALSE,TRUE)</f>
        <v>0</v>
      </c>
      <c r="AG344">
        <f>IF(metadata!G344="",FALSE,TRUE)</f>
        <v>0</v>
      </c>
      <c r="AH344">
        <f>IF(metadata!H344="",FALSE,TRUE)</f>
        <v>0</v>
      </c>
      <c r="AI344">
        <f>OR(AND(IF(metadata!I344="",FALSE,TRUE),OR(exact(metadata!I344,"missing: not collected"),exact(metadata!I344,"missing: not provided"),exact(metadata!I344,"missing: restricted access"))),AND(IF(metadata!I344="",FALSE,TRUE),OR(exact(metadata!I344,"air"),exact(metadata!I344,"built environment"),exact(metadata!I344,"host-associated"),exact(metadata!I344,"human-associated"),exact(metadata!I344,"human-skin"),exact(metadata!I344,"human-oral"),exact(metadata!I344,"human-gut"),exact(metadata!I344,"human-vaginal"),exact(metadata!I344,"microbial mat/biofilm"),exact(metadata!I344,"misc environment"),exact(metadata!I344,"plant-associated"),exact(metadata!I344,"sediment"),exact(metadata!I344,"soil"),exact(metadata!I344,"wastewater/sludge"),exact(metadata!I344,"water"))))</f>
        <v>0</v>
      </c>
      <c r="AJ344">
        <f>IF(metadata!J344="",FALSE,TRUE)</f>
        <v>0</v>
      </c>
      <c r="AK344">
        <f>OR(AND(IF(metadata!K344="",FALSE,TRUE),OR(exact(metadata!K344,"missing: not collected"),exact(metadata!K344,"missing: not provided"),exact(metadata!K344,"missing: restricted access"))),AND(IF(metadata!K344="",FALSE,ISNUMBER(VALUE(metadata!K344))),metadata!K344&gt;=-90.00,metadata!K344&lt;=90.00))</f>
        <v>0</v>
      </c>
      <c r="AL344">
        <f>OR(AND(IF(metadata!L344="",FALSE,TRUE),OR(exact(metadata!L344,"missing: not collected"),exact(metadata!L344,"missing: not provided"),exact(metadata!L344,"missing: restricted access"))),AND(IF(metadata!L344="",FALSE,ISNUMBER(VALUE(metadata!L344))),metadata!L344&gt;=-180.00,metadata!L344&lt;=180.00))</f>
        <v>0</v>
      </c>
      <c r="AM344">
        <f>IF(metadata!M344="",FALSE,TRUE)</f>
        <v>0</v>
      </c>
      <c r="AN344">
        <f>OR(AND(IF(metadata!N344="",FALSE,TRUE),OR(exact(metadata!N344,"missing: not collected"),exact(metadata!N344,"missing: not provided"),exact(metadata!N344,"missing: restricted access"))),AND(IF(metadata!N344="",FALSE,TRUE),OR(exact(metadata!N344,"TRUE"),exact(metadata!N344,"FALSE"))))</f>
        <v>0</v>
      </c>
      <c r="AO344">
        <f>IF(metadata!O344="",FALSE,TRUE)</f>
        <v>0</v>
      </c>
      <c r="AP344">
        <f>OR(AND(IF(metadata!P344="",FALSE,TRUE),OR(exact(metadata!P344,"missing: not collected"),exact(metadata!P344,"missing: not provided"))),AND(IF(metadata!P344="",FALSE,IF(ISERROR(INT(metadata!P344)),FALSE,INT(metadata!P344)=metadata!P344)),metadata!P344&gt;0))</f>
        <v>0</v>
      </c>
      <c r="AQ344">
        <f>IF(metadata!Q344="",FALSE,TRUE)</f>
        <v>0</v>
      </c>
    </row>
    <row r="345" spans="1:43">
      <c r="A345" s="5">
        <f>IF(B345=" "," ",HYPERLINK(CONCATENATE("#metadata!",ADDRESS(INDEX($W$2:$W$1001,MATCH(ROWS($U$2:U345),$U$2:$U$1001,0),0),1)),INDEX($Z$2:$Z$1001,MATCH(ROWS($U$2:U345),$U$2:$U$1001,0),0)))</f>
        <v>0</v>
      </c>
      <c r="B345" s="4">
        <f>IF(OR(INDEX($V$2:$V$1001,MATCH(ROWS($U$2:U345),$U$2:$U$1001,0),1)&gt;=100000,INDEX($AB$1005:$AQ$1005,1,MATCH(COLUMNS($AB$1006:AB1006),$AB$1006:$AQ$1006,0))&gt;=100000), " ",IF(INDEX($AB$2:$AQ$1001,MATCH(ROWS($U$2:U345),$U$2:$U$1001,0),MATCH(COLUMNS($AB$1006:AB1006),$AB$1006:$AQ$1006,0)), HYPERLINK("#",""), HYPERLINK(CONCATENATE("#metadata!", ADDRESS(INDEX($W$2:$W$1001,MATCH(ROWS($U$2:U345),$U$2:$U$1001,0),0), INDEX($AB$1004:$AQ$1004,1,MATCH(COLUMNS($AB$1006:AB1006),$AB$1006:$AQ$1006,0)))),"Fix")))</f>
        <v>0</v>
      </c>
      <c r="C345" s="4">
        <f>IF(OR(INDEX($V$2:$V$1001,MATCH(ROWS($U$2:U345),$U$2:$U$1001,0),1)&gt;=100000,INDEX($AB$1005:$AQ$1005,1,MATCH(COLUMNS($AB$1006:AC1006),$AB$1006:$AQ$1006,0))&gt;=100000), " ",IF(INDEX($AB$2:$AQ$1001,MATCH(ROWS($U$2:U345),$U$2:$U$1001,0),MATCH(COLUMNS($AB$1006:AC1006),$AB$1006:$AQ$1006,0)), HYPERLINK("#",""), HYPERLINK(CONCATENATE("#metadata!", ADDRESS(INDEX($W$2:$W$1001,MATCH(ROWS($U$2:U345),$U$2:$U$1001,0),0), INDEX($AB$1004:$AQ$1004,1,MATCH(COLUMNS($AB$1006:AC1006),$AB$1006:$AQ$1006,0)))),"Fix")))</f>
        <v>0</v>
      </c>
      <c r="D345" s="4">
        <f>IF(OR(INDEX($V$2:$V$1001,MATCH(ROWS($U$2:U345),$U$2:$U$1001,0),1)&gt;=100000,INDEX($AB$1005:$AQ$1005,1,MATCH(COLUMNS($AB$1006:AD1006),$AB$1006:$AQ$1006,0))&gt;=100000), " ",IF(INDEX($AB$2:$AQ$1001,MATCH(ROWS($U$2:U345),$U$2:$U$1001,0),MATCH(COLUMNS($AB$1006:AD1006),$AB$1006:$AQ$1006,0)), HYPERLINK("#",""), HYPERLINK(CONCATENATE("#metadata!", ADDRESS(INDEX($W$2:$W$1001,MATCH(ROWS($U$2:U345),$U$2:$U$1001,0),0), INDEX($AB$1004:$AQ$1004,1,MATCH(COLUMNS($AB$1006:AD1006),$AB$1006:$AQ$1006,0)))),"Fix")))</f>
        <v>0</v>
      </c>
      <c r="E345" s="4">
        <f>IF(OR(INDEX($V$2:$V$1001,MATCH(ROWS($U$2:U345),$U$2:$U$1001,0),1)&gt;=100000,INDEX($AB$1005:$AQ$1005,1,MATCH(COLUMNS($AB$1006:AE1006),$AB$1006:$AQ$1006,0))&gt;=100000), " ",IF(INDEX($AB$2:$AQ$1001,MATCH(ROWS($U$2:U345),$U$2:$U$1001,0),MATCH(COLUMNS($AB$1006:AE1006),$AB$1006:$AQ$1006,0)), HYPERLINK("#",""), HYPERLINK(CONCATENATE("#metadata!", ADDRESS(INDEX($W$2:$W$1001,MATCH(ROWS($U$2:U345),$U$2:$U$1001,0),0), INDEX($AB$1004:$AQ$1004,1,MATCH(COLUMNS($AB$1006:AE1006),$AB$1006:$AQ$1006,0)))),"Fix")))</f>
        <v>0</v>
      </c>
      <c r="F345" s="4">
        <f>IF(OR(INDEX($V$2:$V$1001,MATCH(ROWS($U$2:U345),$U$2:$U$1001,0),1)&gt;=100000,INDEX($AB$1005:$AQ$1005,1,MATCH(COLUMNS($AB$1006:AF1006),$AB$1006:$AQ$1006,0))&gt;=100000), " ",IF(INDEX($AB$2:$AQ$1001,MATCH(ROWS($U$2:U345),$U$2:$U$1001,0),MATCH(COLUMNS($AB$1006:AF1006),$AB$1006:$AQ$1006,0)), HYPERLINK("#",""), HYPERLINK(CONCATENATE("#metadata!", ADDRESS(INDEX($W$2:$W$1001,MATCH(ROWS($U$2:U345),$U$2:$U$1001,0),0), INDEX($AB$1004:$AQ$1004,1,MATCH(COLUMNS($AB$1006:AF1006),$AB$1006:$AQ$1006,0)))),"Fix")))</f>
        <v>0</v>
      </c>
      <c r="G345" s="4">
        <f>IF(OR(INDEX($V$2:$V$1001,MATCH(ROWS($U$2:U345),$U$2:$U$1001,0),1)&gt;=100000,INDEX($AB$1005:$AQ$1005,1,MATCH(COLUMNS($AB$1006:AG1006),$AB$1006:$AQ$1006,0))&gt;=100000), " ",IF(INDEX($AB$2:$AQ$1001,MATCH(ROWS($U$2:U345),$U$2:$U$1001,0),MATCH(COLUMNS($AB$1006:AG1006),$AB$1006:$AQ$1006,0)), HYPERLINK("#",""), HYPERLINK(CONCATENATE("#metadata!", ADDRESS(INDEX($W$2:$W$1001,MATCH(ROWS($U$2:U345),$U$2:$U$1001,0),0), INDEX($AB$1004:$AQ$1004,1,MATCH(COLUMNS($AB$1006:AG1006),$AB$1006:$AQ$1006,0)))),"Fix")))</f>
        <v>0</v>
      </c>
      <c r="H345" s="4">
        <f>IF(OR(INDEX($V$2:$V$1001,MATCH(ROWS($U$2:U345),$U$2:$U$1001,0),1)&gt;=100000,INDEX($AB$1005:$AQ$1005,1,MATCH(COLUMNS($AB$1006:AH1006),$AB$1006:$AQ$1006,0))&gt;=100000), " ",IF(INDEX($AB$2:$AQ$1001,MATCH(ROWS($U$2:U345),$U$2:$U$1001,0),MATCH(COLUMNS($AB$1006:AH1006),$AB$1006:$AQ$1006,0)), HYPERLINK("#",""), HYPERLINK(CONCATENATE("#metadata!", ADDRESS(INDEX($W$2:$W$1001,MATCH(ROWS($U$2:U345),$U$2:$U$1001,0),0), INDEX($AB$1004:$AQ$1004,1,MATCH(COLUMNS($AB$1006:AH1006),$AB$1006:$AQ$1006,0)))),"Fix")))</f>
        <v>0</v>
      </c>
      <c r="I345" s="4">
        <f>IF(OR(INDEX($V$2:$V$1001,MATCH(ROWS($U$2:U345),$U$2:$U$1001,0),1)&gt;=100000,INDEX($AB$1005:$AQ$1005,1,MATCH(COLUMNS($AB$1006:AI1006),$AB$1006:$AQ$1006,0))&gt;=100000), " ",IF(INDEX($AB$2:$AQ$1001,MATCH(ROWS($U$2:U345),$U$2:$U$1001,0),MATCH(COLUMNS($AB$1006:AI1006),$AB$1006:$AQ$1006,0)), HYPERLINK("#",""), HYPERLINK(CONCATENATE("#metadata!", ADDRESS(INDEX($W$2:$W$1001,MATCH(ROWS($U$2:U345),$U$2:$U$1001,0),0), INDEX($AB$1004:$AQ$1004,1,MATCH(COLUMNS($AB$1006:AI1006),$AB$1006:$AQ$1006,0)))),"Fix")))</f>
        <v>0</v>
      </c>
      <c r="J345" s="4">
        <f>IF(OR(INDEX($V$2:$V$1001,MATCH(ROWS($U$2:U345),$U$2:$U$1001,0),1)&gt;=100000,INDEX($AB$1005:$AQ$1005,1,MATCH(COLUMNS($AB$1006:AJ1006),$AB$1006:$AQ$1006,0))&gt;=100000), " ",IF(INDEX($AB$2:$AQ$1001,MATCH(ROWS($U$2:U345),$U$2:$U$1001,0),MATCH(COLUMNS($AB$1006:AJ1006),$AB$1006:$AQ$1006,0)), HYPERLINK("#",""), HYPERLINK(CONCATENATE("#metadata!", ADDRESS(INDEX($W$2:$W$1001,MATCH(ROWS($U$2:U345),$U$2:$U$1001,0),0), INDEX($AB$1004:$AQ$1004,1,MATCH(COLUMNS($AB$1006:AJ1006),$AB$1006:$AQ$1006,0)))),"Fix")))</f>
        <v>0</v>
      </c>
      <c r="K345" s="4">
        <f>IF(OR(INDEX($V$2:$V$1001,MATCH(ROWS($U$2:U345),$U$2:$U$1001,0),1)&gt;=100000,INDEX($AB$1005:$AQ$1005,1,MATCH(COLUMNS($AB$1006:AK1006),$AB$1006:$AQ$1006,0))&gt;=100000), " ",IF(INDEX($AB$2:$AQ$1001,MATCH(ROWS($U$2:U345),$U$2:$U$1001,0),MATCH(COLUMNS($AB$1006:AK1006),$AB$1006:$AQ$1006,0)), HYPERLINK("#",""), HYPERLINK(CONCATENATE("#metadata!", ADDRESS(INDEX($W$2:$W$1001,MATCH(ROWS($U$2:U345),$U$2:$U$1001,0),0), INDEX($AB$1004:$AQ$1004,1,MATCH(COLUMNS($AB$1006:AK1006),$AB$1006:$AQ$1006,0)))),"Fix")))</f>
        <v>0</v>
      </c>
      <c r="L345" s="4">
        <f>IF(OR(INDEX($V$2:$V$1001,MATCH(ROWS($U$2:U345),$U$2:$U$1001,0),1)&gt;=100000,INDEX($AB$1005:$AQ$1005,1,MATCH(COLUMNS($AB$1006:AL1006),$AB$1006:$AQ$1006,0))&gt;=100000), " ",IF(INDEX($AB$2:$AQ$1001,MATCH(ROWS($U$2:U345),$U$2:$U$1001,0),MATCH(COLUMNS($AB$1006:AL1006),$AB$1006:$AQ$1006,0)), HYPERLINK("#",""), HYPERLINK(CONCATENATE("#metadata!", ADDRESS(INDEX($W$2:$W$1001,MATCH(ROWS($U$2:U345),$U$2:$U$1001,0),0), INDEX($AB$1004:$AQ$1004,1,MATCH(COLUMNS($AB$1006:AL1006),$AB$1006:$AQ$1006,0)))),"Fix")))</f>
        <v>0</v>
      </c>
      <c r="M345" s="4">
        <f>IF(OR(INDEX($V$2:$V$1001,MATCH(ROWS($U$2:U345),$U$2:$U$1001,0),1)&gt;=100000,INDEX($AB$1005:$AQ$1005,1,MATCH(COLUMNS($AB$1006:AM1006),$AB$1006:$AQ$1006,0))&gt;=100000), " ",IF(INDEX($AB$2:$AQ$1001,MATCH(ROWS($U$2:U345),$U$2:$U$1001,0),MATCH(COLUMNS($AB$1006:AM1006),$AB$1006:$AQ$1006,0)), HYPERLINK("#",""), HYPERLINK(CONCATENATE("#metadata!", ADDRESS(INDEX($W$2:$W$1001,MATCH(ROWS($U$2:U345),$U$2:$U$1001,0),0), INDEX($AB$1004:$AQ$1004,1,MATCH(COLUMNS($AB$1006:AM1006),$AB$1006:$AQ$1006,0)))),"Fix")))</f>
        <v>0</v>
      </c>
      <c r="N345" s="4">
        <f>IF(OR(INDEX($V$2:$V$1001,MATCH(ROWS($U$2:U345),$U$2:$U$1001,0),1)&gt;=100000,INDEX($AB$1005:$AQ$1005,1,MATCH(COLUMNS($AB$1006:AN1006),$AB$1006:$AQ$1006,0))&gt;=100000), " ",IF(INDEX($AB$2:$AQ$1001,MATCH(ROWS($U$2:U345),$U$2:$U$1001,0),MATCH(COLUMNS($AB$1006:AN1006),$AB$1006:$AQ$1006,0)), HYPERLINK("#",""), HYPERLINK(CONCATENATE("#metadata!", ADDRESS(INDEX($W$2:$W$1001,MATCH(ROWS($U$2:U345),$U$2:$U$1001,0),0), INDEX($AB$1004:$AQ$1004,1,MATCH(COLUMNS($AB$1006:AN1006),$AB$1006:$AQ$1006,0)))),"Fix")))</f>
        <v>0</v>
      </c>
      <c r="O345" s="4">
        <f>IF(OR(INDEX($V$2:$V$1001,MATCH(ROWS($U$2:U345),$U$2:$U$1001,0),1)&gt;=100000,INDEX($AB$1005:$AQ$1005,1,MATCH(COLUMNS($AB$1006:AO1006),$AB$1006:$AQ$1006,0))&gt;=100000), " ",IF(INDEX($AB$2:$AQ$1001,MATCH(ROWS($U$2:U345),$U$2:$U$1001,0),MATCH(COLUMNS($AB$1006:AO1006),$AB$1006:$AQ$1006,0)), HYPERLINK("#",""), HYPERLINK(CONCATENATE("#metadata!", ADDRESS(INDEX($W$2:$W$1001,MATCH(ROWS($U$2:U345),$U$2:$U$1001,0),0), INDEX($AB$1004:$AQ$1004,1,MATCH(COLUMNS($AB$1006:AO1006),$AB$1006:$AQ$1006,0)))),"Fix")))</f>
        <v>0</v>
      </c>
      <c r="P345" s="4">
        <f>IF(OR(INDEX($V$2:$V$1001,MATCH(ROWS($U$2:U345),$U$2:$U$1001,0),1)&gt;=100000,INDEX($AB$1005:$AQ$1005,1,MATCH(COLUMNS($AB$1006:AP1006),$AB$1006:$AQ$1006,0))&gt;=100000), " ",IF(INDEX($AB$2:$AQ$1001,MATCH(ROWS($U$2:U345),$U$2:$U$1001,0),MATCH(COLUMNS($AB$1006:AP1006),$AB$1006:$AQ$1006,0)), HYPERLINK("#",""), HYPERLINK(CONCATENATE("#metadata!", ADDRESS(INDEX($W$2:$W$1001,MATCH(ROWS($U$2:U345),$U$2:$U$1001,0),0), INDEX($AB$1004:$AQ$1004,1,MATCH(COLUMNS($AB$1006:AP1006),$AB$1006:$AQ$1006,0)))),"Fix")))</f>
        <v>0</v>
      </c>
      <c r="Q345" s="4">
        <f>IF(OR(INDEX($V$2:$V$1001,MATCH(ROWS($U$2:U345),$U$2:$U$1001,0),1)&gt;=100000,INDEX($AB$1005:$AQ$1005,1,MATCH(COLUMNS($AB$1006:AQ1006),$AB$1006:$AQ$1006,0))&gt;=100000), " ",IF(INDEX($AB$2:$AQ$1001,MATCH(ROWS($U$2:U345),$U$2:$U$1001,0),MATCH(COLUMNS($AB$1006:AQ1006),$AB$1006:$AQ$1006,0)), HYPERLINK("#",""), HYPERLINK(CONCATENATE("#metadata!", ADDRESS(INDEX($W$2:$W$1001,MATCH(ROWS($U$2:U345),$U$2:$U$1001,0),0), INDEX($AB$1004:$AQ$1004,1,MATCH(COLUMNS($AB$1006:AQ1006),$AB$1006:$AQ$1006,0)))),"Fix")))</f>
        <v>0</v>
      </c>
      <c r="U345">
        <v>0</v>
      </c>
      <c r="V345">
        <v>0</v>
      </c>
      <c r="W345">
        <v>0</v>
      </c>
      <c r="X345">
        <f>IF(Y345,TRUE,AND(AB345:AQ345))</f>
        <v>0</v>
      </c>
      <c r="Y345">
        <f>COUNTBLANK(metadata!B345:Q345)=COLUMNS(metadata!B345:Q345)</f>
        <v>0</v>
      </c>
      <c r="Z345">
        <v>0</v>
      </c>
      <c r="AB345">
        <f>AND(IF(metadata!B345="",FALSE,TRUE),COUNTIF(metadata!B:B, metadata!B345) = 1,NOT(ISERROR(SUMPRODUCT(SEARCH(MID(metadata!B345,ROW(INDIRECT("1:"&amp;LEN(metadata!B345))), 1),"0123456789abcdefghijklmnopqrstuvwxyzABCDEFGHIJKLMNOPQRSTUVWXYZ.")))))</f>
        <v>0</v>
      </c>
      <c r="AC345">
        <f>OR(AND(IF(metadata!C345="",FALSE,TRUE),OR(exact(metadata!C345,"missing: not collected"),exact(metadata!C345,"missing: not provided"),exact(metadata!C345,"missing: restricted access"))),AND(IF(metadata!C345="",FALSE,TRUE),AND(AND(IFERROR(INT(LEFT(metadata!C345,4))&gt;1900,FALSE),IFERROR(INT(LEFT(metadata!C345,4))&lt;=YEAR(NOW()),FALSE)), OR(MID(metadata!C345,5,1)="", AND(AND(MID(metadata!C345,5,1)="-",IFERROR(INT(MID(metadata!C345,6,1))&gt;=0,FALSE),IFERROR(INT(MID(metadata!C345,6,1))&lt;=1,FALSE),NOT(MID(metadata!C345,7,1)=""),IFERROR(INT(MID(metadata!C345,6,2))&gt;=1,FALSE),IFERROR(INT(MID(metadata!C345,6,2))&lt;=12,FALSE)), OR(MID(metadata!C345,8,1)="", AND(AND(MID(metadata!C345,8,1)="-",IFERROR(INT(MID(metadata!C345,9,1))&gt;=0,FALSE),IFERROR(INT(MID(metadata!C345,9,1))&lt;=3,FALSE),NOT(MID(metadata!C345,10,1)=""),IFERROR(INT(MID(metadata!C345,9,2))&gt;=1,FALSE),IFERROR(INT(MID(metadata!C345,9,2))&lt;=31,FALSE)), OR(MID(metadata!C345,11,1)="", AND(AND(MID(metadata!C345,11,1)=" ",IFERROR(INT(MID(metadata!C345,12,1))&gt;=0,FALSE),IFERROR(INT(MID(metadata!C345,12,1))&lt;=2,FALSE),NOT(MID(metadata!C345,13,1)=""),IFERROR(INT(MID(metadata!C345,12,2))&gt;=0,FALSE),IFERROR(INT(MID(metadata!C345,12,2))&lt;=23,FALSE)), OR(MID(metadata!C345,14,1)="", AND(AND(MID(metadata!C345,14,1)=":",IFERROR(INT(MID(metadata!C345,15,1))&gt;=0,FALSE),IFERROR(INT(MID(metadata!C345,15,1))&lt;=5,FALSE),NOT(MID(metadata!C345,16,1)=""),IFERROR(INT(MID(metadata!C345,15,2))&gt;=0,FALSE),IFERROR(INT(MID(metadata!C345,15,2))&lt;=59,FALSE)), OR(MID(metadata!C345,17,1)="", AND(AND(MID(metadata!C345,17,1)=":",IFERROR(INT(MID(metadata!C345,18,1))&gt;=0,FALSE),IFERROR(INT(MID(metadata!C345,18,1))&lt;=5,FALSE),NOT(MID(metadata!C345,19,1)=""),IFERROR(INT(MID(metadata!C345,18,2))&gt;=0,FALSE),IFERROR(INT(MID(metadata!C345,18,2))&lt;=59,FALSE)), LEN(metadata!C345)&lt;=19)))))))))))))</f>
        <v>0</v>
      </c>
      <c r="AD345">
        <f>IF(metadata!D345="",FALSE,TRUE)</f>
        <v>0</v>
      </c>
      <c r="AE345">
        <f>OR(AND(IF(metadata!E345="",FALSE,TRUE),OR(exact(metadata!E345,"missing: not collected"),exact(metadata!E345,"missing: not provided"))),AND(IF(metadata!E345="",FALSE,TRUE),OR(exact(metadata!E345,"TRUE"),exact(metadata!E345,"FALSE"))))</f>
        <v>0</v>
      </c>
      <c r="AF345">
        <f>IF(metadata!F345="",FALSE,TRUE)</f>
        <v>0</v>
      </c>
      <c r="AG345">
        <f>IF(metadata!G345="",FALSE,TRUE)</f>
        <v>0</v>
      </c>
      <c r="AH345">
        <f>IF(metadata!H345="",FALSE,TRUE)</f>
        <v>0</v>
      </c>
      <c r="AI345">
        <f>OR(AND(IF(metadata!I345="",FALSE,TRUE),OR(exact(metadata!I345,"missing: not collected"),exact(metadata!I345,"missing: not provided"),exact(metadata!I345,"missing: restricted access"))),AND(IF(metadata!I345="",FALSE,TRUE),OR(exact(metadata!I345,"air"),exact(metadata!I345,"built environment"),exact(metadata!I345,"host-associated"),exact(metadata!I345,"human-associated"),exact(metadata!I345,"human-skin"),exact(metadata!I345,"human-oral"),exact(metadata!I345,"human-gut"),exact(metadata!I345,"human-vaginal"),exact(metadata!I345,"microbial mat/biofilm"),exact(metadata!I345,"misc environment"),exact(metadata!I345,"plant-associated"),exact(metadata!I345,"sediment"),exact(metadata!I345,"soil"),exact(metadata!I345,"wastewater/sludge"),exact(metadata!I345,"water"))))</f>
        <v>0</v>
      </c>
      <c r="AJ345">
        <f>IF(metadata!J345="",FALSE,TRUE)</f>
        <v>0</v>
      </c>
      <c r="AK345">
        <f>OR(AND(IF(metadata!K345="",FALSE,TRUE),OR(exact(metadata!K345,"missing: not collected"),exact(metadata!K345,"missing: not provided"),exact(metadata!K345,"missing: restricted access"))),AND(IF(metadata!K345="",FALSE,ISNUMBER(VALUE(metadata!K345))),metadata!K345&gt;=-90.00,metadata!K345&lt;=90.00))</f>
        <v>0</v>
      </c>
      <c r="AL345">
        <f>OR(AND(IF(metadata!L345="",FALSE,TRUE),OR(exact(metadata!L345,"missing: not collected"),exact(metadata!L345,"missing: not provided"),exact(metadata!L345,"missing: restricted access"))),AND(IF(metadata!L345="",FALSE,ISNUMBER(VALUE(metadata!L345))),metadata!L345&gt;=-180.00,metadata!L345&lt;=180.00))</f>
        <v>0</v>
      </c>
      <c r="AM345">
        <f>IF(metadata!M345="",FALSE,TRUE)</f>
        <v>0</v>
      </c>
      <c r="AN345">
        <f>OR(AND(IF(metadata!N345="",FALSE,TRUE),OR(exact(metadata!N345,"missing: not collected"),exact(metadata!N345,"missing: not provided"),exact(metadata!N345,"missing: restricted access"))),AND(IF(metadata!N345="",FALSE,TRUE),OR(exact(metadata!N345,"TRUE"),exact(metadata!N345,"FALSE"))))</f>
        <v>0</v>
      </c>
      <c r="AO345">
        <f>IF(metadata!O345="",FALSE,TRUE)</f>
        <v>0</v>
      </c>
      <c r="AP345">
        <f>OR(AND(IF(metadata!P345="",FALSE,TRUE),OR(exact(metadata!P345,"missing: not collected"),exact(metadata!P345,"missing: not provided"))),AND(IF(metadata!P345="",FALSE,IF(ISERROR(INT(metadata!P345)),FALSE,INT(metadata!P345)=metadata!P345)),metadata!P345&gt;0))</f>
        <v>0</v>
      </c>
      <c r="AQ345">
        <f>IF(metadata!Q345="",FALSE,TRUE)</f>
        <v>0</v>
      </c>
    </row>
    <row r="346" spans="1:43">
      <c r="A346" s="5">
        <f>IF(B346=" "," ",HYPERLINK(CONCATENATE("#metadata!",ADDRESS(INDEX($W$2:$W$1001,MATCH(ROWS($U$2:U346),$U$2:$U$1001,0),0),1)),INDEX($Z$2:$Z$1001,MATCH(ROWS($U$2:U346),$U$2:$U$1001,0),0)))</f>
        <v>0</v>
      </c>
      <c r="B346" s="4">
        <f>IF(OR(INDEX($V$2:$V$1001,MATCH(ROWS($U$2:U346),$U$2:$U$1001,0),1)&gt;=100000,INDEX($AB$1005:$AQ$1005,1,MATCH(COLUMNS($AB$1006:AB1006),$AB$1006:$AQ$1006,0))&gt;=100000), " ",IF(INDEX($AB$2:$AQ$1001,MATCH(ROWS($U$2:U346),$U$2:$U$1001,0),MATCH(COLUMNS($AB$1006:AB1006),$AB$1006:$AQ$1006,0)), HYPERLINK("#",""), HYPERLINK(CONCATENATE("#metadata!", ADDRESS(INDEX($W$2:$W$1001,MATCH(ROWS($U$2:U346),$U$2:$U$1001,0),0), INDEX($AB$1004:$AQ$1004,1,MATCH(COLUMNS($AB$1006:AB1006),$AB$1006:$AQ$1006,0)))),"Fix")))</f>
        <v>0</v>
      </c>
      <c r="C346" s="4">
        <f>IF(OR(INDEX($V$2:$V$1001,MATCH(ROWS($U$2:U346),$U$2:$U$1001,0),1)&gt;=100000,INDEX($AB$1005:$AQ$1005,1,MATCH(COLUMNS($AB$1006:AC1006),$AB$1006:$AQ$1006,0))&gt;=100000), " ",IF(INDEX($AB$2:$AQ$1001,MATCH(ROWS($U$2:U346),$U$2:$U$1001,0),MATCH(COLUMNS($AB$1006:AC1006),$AB$1006:$AQ$1006,0)), HYPERLINK("#",""), HYPERLINK(CONCATENATE("#metadata!", ADDRESS(INDEX($W$2:$W$1001,MATCH(ROWS($U$2:U346),$U$2:$U$1001,0),0), INDEX($AB$1004:$AQ$1004,1,MATCH(COLUMNS($AB$1006:AC1006),$AB$1006:$AQ$1006,0)))),"Fix")))</f>
        <v>0</v>
      </c>
      <c r="D346" s="4">
        <f>IF(OR(INDEX($V$2:$V$1001,MATCH(ROWS($U$2:U346),$U$2:$U$1001,0),1)&gt;=100000,INDEX($AB$1005:$AQ$1005,1,MATCH(COLUMNS($AB$1006:AD1006),$AB$1006:$AQ$1006,0))&gt;=100000), " ",IF(INDEX($AB$2:$AQ$1001,MATCH(ROWS($U$2:U346),$U$2:$U$1001,0),MATCH(COLUMNS($AB$1006:AD1006),$AB$1006:$AQ$1006,0)), HYPERLINK("#",""), HYPERLINK(CONCATENATE("#metadata!", ADDRESS(INDEX($W$2:$W$1001,MATCH(ROWS($U$2:U346),$U$2:$U$1001,0),0), INDEX($AB$1004:$AQ$1004,1,MATCH(COLUMNS($AB$1006:AD1006),$AB$1006:$AQ$1006,0)))),"Fix")))</f>
        <v>0</v>
      </c>
      <c r="E346" s="4">
        <f>IF(OR(INDEX($V$2:$V$1001,MATCH(ROWS($U$2:U346),$U$2:$U$1001,0),1)&gt;=100000,INDEX($AB$1005:$AQ$1005,1,MATCH(COLUMNS($AB$1006:AE1006),$AB$1006:$AQ$1006,0))&gt;=100000), " ",IF(INDEX($AB$2:$AQ$1001,MATCH(ROWS($U$2:U346),$U$2:$U$1001,0),MATCH(COLUMNS($AB$1006:AE1006),$AB$1006:$AQ$1006,0)), HYPERLINK("#",""), HYPERLINK(CONCATENATE("#metadata!", ADDRESS(INDEX($W$2:$W$1001,MATCH(ROWS($U$2:U346),$U$2:$U$1001,0),0), INDEX($AB$1004:$AQ$1004,1,MATCH(COLUMNS($AB$1006:AE1006),$AB$1006:$AQ$1006,0)))),"Fix")))</f>
        <v>0</v>
      </c>
      <c r="F346" s="4">
        <f>IF(OR(INDEX($V$2:$V$1001,MATCH(ROWS($U$2:U346),$U$2:$U$1001,0),1)&gt;=100000,INDEX($AB$1005:$AQ$1005,1,MATCH(COLUMNS($AB$1006:AF1006),$AB$1006:$AQ$1006,0))&gt;=100000), " ",IF(INDEX($AB$2:$AQ$1001,MATCH(ROWS($U$2:U346),$U$2:$U$1001,0),MATCH(COLUMNS($AB$1006:AF1006),$AB$1006:$AQ$1006,0)), HYPERLINK("#",""), HYPERLINK(CONCATENATE("#metadata!", ADDRESS(INDEX($W$2:$W$1001,MATCH(ROWS($U$2:U346),$U$2:$U$1001,0),0), INDEX($AB$1004:$AQ$1004,1,MATCH(COLUMNS($AB$1006:AF1006),$AB$1006:$AQ$1006,0)))),"Fix")))</f>
        <v>0</v>
      </c>
      <c r="G346" s="4">
        <f>IF(OR(INDEX($V$2:$V$1001,MATCH(ROWS($U$2:U346),$U$2:$U$1001,0),1)&gt;=100000,INDEX($AB$1005:$AQ$1005,1,MATCH(COLUMNS($AB$1006:AG1006),$AB$1006:$AQ$1006,0))&gt;=100000), " ",IF(INDEX($AB$2:$AQ$1001,MATCH(ROWS($U$2:U346),$U$2:$U$1001,0),MATCH(COLUMNS($AB$1006:AG1006),$AB$1006:$AQ$1006,0)), HYPERLINK("#",""), HYPERLINK(CONCATENATE("#metadata!", ADDRESS(INDEX($W$2:$W$1001,MATCH(ROWS($U$2:U346),$U$2:$U$1001,0),0), INDEX($AB$1004:$AQ$1004,1,MATCH(COLUMNS($AB$1006:AG1006),$AB$1006:$AQ$1006,0)))),"Fix")))</f>
        <v>0</v>
      </c>
      <c r="H346" s="4">
        <f>IF(OR(INDEX($V$2:$V$1001,MATCH(ROWS($U$2:U346),$U$2:$U$1001,0),1)&gt;=100000,INDEX($AB$1005:$AQ$1005,1,MATCH(COLUMNS($AB$1006:AH1006),$AB$1006:$AQ$1006,0))&gt;=100000), " ",IF(INDEX($AB$2:$AQ$1001,MATCH(ROWS($U$2:U346),$U$2:$U$1001,0),MATCH(COLUMNS($AB$1006:AH1006),$AB$1006:$AQ$1006,0)), HYPERLINK("#",""), HYPERLINK(CONCATENATE("#metadata!", ADDRESS(INDEX($W$2:$W$1001,MATCH(ROWS($U$2:U346),$U$2:$U$1001,0),0), INDEX($AB$1004:$AQ$1004,1,MATCH(COLUMNS($AB$1006:AH1006),$AB$1006:$AQ$1006,0)))),"Fix")))</f>
        <v>0</v>
      </c>
      <c r="I346" s="4">
        <f>IF(OR(INDEX($V$2:$V$1001,MATCH(ROWS($U$2:U346),$U$2:$U$1001,0),1)&gt;=100000,INDEX($AB$1005:$AQ$1005,1,MATCH(COLUMNS($AB$1006:AI1006),$AB$1006:$AQ$1006,0))&gt;=100000), " ",IF(INDEX($AB$2:$AQ$1001,MATCH(ROWS($U$2:U346),$U$2:$U$1001,0),MATCH(COLUMNS($AB$1006:AI1006),$AB$1006:$AQ$1006,0)), HYPERLINK("#",""), HYPERLINK(CONCATENATE("#metadata!", ADDRESS(INDEX($W$2:$W$1001,MATCH(ROWS($U$2:U346),$U$2:$U$1001,0),0), INDEX($AB$1004:$AQ$1004,1,MATCH(COLUMNS($AB$1006:AI1006),$AB$1006:$AQ$1006,0)))),"Fix")))</f>
        <v>0</v>
      </c>
      <c r="J346" s="4">
        <f>IF(OR(INDEX($V$2:$V$1001,MATCH(ROWS($U$2:U346),$U$2:$U$1001,0),1)&gt;=100000,INDEX($AB$1005:$AQ$1005,1,MATCH(COLUMNS($AB$1006:AJ1006),$AB$1006:$AQ$1006,0))&gt;=100000), " ",IF(INDEX($AB$2:$AQ$1001,MATCH(ROWS($U$2:U346),$U$2:$U$1001,0),MATCH(COLUMNS($AB$1006:AJ1006),$AB$1006:$AQ$1006,0)), HYPERLINK("#",""), HYPERLINK(CONCATENATE("#metadata!", ADDRESS(INDEX($W$2:$W$1001,MATCH(ROWS($U$2:U346),$U$2:$U$1001,0),0), INDEX($AB$1004:$AQ$1004,1,MATCH(COLUMNS($AB$1006:AJ1006),$AB$1006:$AQ$1006,0)))),"Fix")))</f>
        <v>0</v>
      </c>
      <c r="K346" s="4">
        <f>IF(OR(INDEX($V$2:$V$1001,MATCH(ROWS($U$2:U346),$U$2:$U$1001,0),1)&gt;=100000,INDEX($AB$1005:$AQ$1005,1,MATCH(COLUMNS($AB$1006:AK1006),$AB$1006:$AQ$1006,0))&gt;=100000), " ",IF(INDEX($AB$2:$AQ$1001,MATCH(ROWS($U$2:U346),$U$2:$U$1001,0),MATCH(COLUMNS($AB$1006:AK1006),$AB$1006:$AQ$1006,0)), HYPERLINK("#",""), HYPERLINK(CONCATENATE("#metadata!", ADDRESS(INDEX($W$2:$W$1001,MATCH(ROWS($U$2:U346),$U$2:$U$1001,0),0), INDEX($AB$1004:$AQ$1004,1,MATCH(COLUMNS($AB$1006:AK1006),$AB$1006:$AQ$1006,0)))),"Fix")))</f>
        <v>0</v>
      </c>
      <c r="L346" s="4">
        <f>IF(OR(INDEX($V$2:$V$1001,MATCH(ROWS($U$2:U346),$U$2:$U$1001,0),1)&gt;=100000,INDEX($AB$1005:$AQ$1005,1,MATCH(COLUMNS($AB$1006:AL1006),$AB$1006:$AQ$1006,0))&gt;=100000), " ",IF(INDEX($AB$2:$AQ$1001,MATCH(ROWS($U$2:U346),$U$2:$U$1001,0),MATCH(COLUMNS($AB$1006:AL1006),$AB$1006:$AQ$1006,0)), HYPERLINK("#",""), HYPERLINK(CONCATENATE("#metadata!", ADDRESS(INDEX($W$2:$W$1001,MATCH(ROWS($U$2:U346),$U$2:$U$1001,0),0), INDEX($AB$1004:$AQ$1004,1,MATCH(COLUMNS($AB$1006:AL1006),$AB$1006:$AQ$1006,0)))),"Fix")))</f>
        <v>0</v>
      </c>
      <c r="M346" s="4">
        <f>IF(OR(INDEX($V$2:$V$1001,MATCH(ROWS($U$2:U346),$U$2:$U$1001,0),1)&gt;=100000,INDEX($AB$1005:$AQ$1005,1,MATCH(COLUMNS($AB$1006:AM1006),$AB$1006:$AQ$1006,0))&gt;=100000), " ",IF(INDEX($AB$2:$AQ$1001,MATCH(ROWS($U$2:U346),$U$2:$U$1001,0),MATCH(COLUMNS($AB$1006:AM1006),$AB$1006:$AQ$1006,0)), HYPERLINK("#",""), HYPERLINK(CONCATENATE("#metadata!", ADDRESS(INDEX($W$2:$W$1001,MATCH(ROWS($U$2:U346),$U$2:$U$1001,0),0), INDEX($AB$1004:$AQ$1004,1,MATCH(COLUMNS($AB$1006:AM1006),$AB$1006:$AQ$1006,0)))),"Fix")))</f>
        <v>0</v>
      </c>
      <c r="N346" s="4">
        <f>IF(OR(INDEX($V$2:$V$1001,MATCH(ROWS($U$2:U346),$U$2:$U$1001,0),1)&gt;=100000,INDEX($AB$1005:$AQ$1005,1,MATCH(COLUMNS($AB$1006:AN1006),$AB$1006:$AQ$1006,0))&gt;=100000), " ",IF(INDEX($AB$2:$AQ$1001,MATCH(ROWS($U$2:U346),$U$2:$U$1001,0),MATCH(COLUMNS($AB$1006:AN1006),$AB$1006:$AQ$1006,0)), HYPERLINK("#",""), HYPERLINK(CONCATENATE("#metadata!", ADDRESS(INDEX($W$2:$W$1001,MATCH(ROWS($U$2:U346),$U$2:$U$1001,0),0), INDEX($AB$1004:$AQ$1004,1,MATCH(COLUMNS($AB$1006:AN1006),$AB$1006:$AQ$1006,0)))),"Fix")))</f>
        <v>0</v>
      </c>
      <c r="O346" s="4">
        <f>IF(OR(INDEX($V$2:$V$1001,MATCH(ROWS($U$2:U346),$U$2:$U$1001,0),1)&gt;=100000,INDEX($AB$1005:$AQ$1005,1,MATCH(COLUMNS($AB$1006:AO1006),$AB$1006:$AQ$1006,0))&gt;=100000), " ",IF(INDEX($AB$2:$AQ$1001,MATCH(ROWS($U$2:U346),$U$2:$U$1001,0),MATCH(COLUMNS($AB$1006:AO1006),$AB$1006:$AQ$1006,0)), HYPERLINK("#",""), HYPERLINK(CONCATENATE("#metadata!", ADDRESS(INDEX($W$2:$W$1001,MATCH(ROWS($U$2:U346),$U$2:$U$1001,0),0), INDEX($AB$1004:$AQ$1004,1,MATCH(COLUMNS($AB$1006:AO1006),$AB$1006:$AQ$1006,0)))),"Fix")))</f>
        <v>0</v>
      </c>
      <c r="P346" s="4">
        <f>IF(OR(INDEX($V$2:$V$1001,MATCH(ROWS($U$2:U346),$U$2:$U$1001,0),1)&gt;=100000,INDEX($AB$1005:$AQ$1005,1,MATCH(COLUMNS($AB$1006:AP1006),$AB$1006:$AQ$1006,0))&gt;=100000), " ",IF(INDEX($AB$2:$AQ$1001,MATCH(ROWS($U$2:U346),$U$2:$U$1001,0),MATCH(COLUMNS($AB$1006:AP1006),$AB$1006:$AQ$1006,0)), HYPERLINK("#",""), HYPERLINK(CONCATENATE("#metadata!", ADDRESS(INDEX($W$2:$W$1001,MATCH(ROWS($U$2:U346),$U$2:$U$1001,0),0), INDEX($AB$1004:$AQ$1004,1,MATCH(COLUMNS($AB$1006:AP1006),$AB$1006:$AQ$1006,0)))),"Fix")))</f>
        <v>0</v>
      </c>
      <c r="Q346" s="4">
        <f>IF(OR(INDEX($V$2:$V$1001,MATCH(ROWS($U$2:U346),$U$2:$U$1001,0),1)&gt;=100000,INDEX($AB$1005:$AQ$1005,1,MATCH(COLUMNS($AB$1006:AQ1006),$AB$1006:$AQ$1006,0))&gt;=100000), " ",IF(INDEX($AB$2:$AQ$1001,MATCH(ROWS($U$2:U346),$U$2:$U$1001,0),MATCH(COLUMNS($AB$1006:AQ1006),$AB$1006:$AQ$1006,0)), HYPERLINK("#",""), HYPERLINK(CONCATENATE("#metadata!", ADDRESS(INDEX($W$2:$W$1001,MATCH(ROWS($U$2:U346),$U$2:$U$1001,0),0), INDEX($AB$1004:$AQ$1004,1,MATCH(COLUMNS($AB$1006:AQ1006),$AB$1006:$AQ$1006,0)))),"Fix")))</f>
        <v>0</v>
      </c>
      <c r="U346">
        <v>0</v>
      </c>
      <c r="V346">
        <v>0</v>
      </c>
      <c r="W346">
        <v>0</v>
      </c>
      <c r="X346">
        <f>IF(Y346,TRUE,AND(AB346:AQ346))</f>
        <v>0</v>
      </c>
      <c r="Y346">
        <f>COUNTBLANK(metadata!B346:Q346)=COLUMNS(metadata!B346:Q346)</f>
        <v>0</v>
      </c>
      <c r="Z346">
        <v>0</v>
      </c>
      <c r="AB346">
        <f>AND(IF(metadata!B346="",FALSE,TRUE),COUNTIF(metadata!B:B, metadata!B346) = 1,NOT(ISERROR(SUMPRODUCT(SEARCH(MID(metadata!B346,ROW(INDIRECT("1:"&amp;LEN(metadata!B346))), 1),"0123456789abcdefghijklmnopqrstuvwxyzABCDEFGHIJKLMNOPQRSTUVWXYZ.")))))</f>
        <v>0</v>
      </c>
      <c r="AC346">
        <f>OR(AND(IF(metadata!C346="",FALSE,TRUE),OR(exact(metadata!C346,"missing: not collected"),exact(metadata!C346,"missing: not provided"),exact(metadata!C346,"missing: restricted access"))),AND(IF(metadata!C346="",FALSE,TRUE),AND(AND(IFERROR(INT(LEFT(metadata!C346,4))&gt;1900,FALSE),IFERROR(INT(LEFT(metadata!C346,4))&lt;=YEAR(NOW()),FALSE)), OR(MID(metadata!C346,5,1)="", AND(AND(MID(metadata!C346,5,1)="-",IFERROR(INT(MID(metadata!C346,6,1))&gt;=0,FALSE),IFERROR(INT(MID(metadata!C346,6,1))&lt;=1,FALSE),NOT(MID(metadata!C346,7,1)=""),IFERROR(INT(MID(metadata!C346,6,2))&gt;=1,FALSE),IFERROR(INT(MID(metadata!C346,6,2))&lt;=12,FALSE)), OR(MID(metadata!C346,8,1)="", AND(AND(MID(metadata!C346,8,1)="-",IFERROR(INT(MID(metadata!C346,9,1))&gt;=0,FALSE),IFERROR(INT(MID(metadata!C346,9,1))&lt;=3,FALSE),NOT(MID(metadata!C346,10,1)=""),IFERROR(INT(MID(metadata!C346,9,2))&gt;=1,FALSE),IFERROR(INT(MID(metadata!C346,9,2))&lt;=31,FALSE)), OR(MID(metadata!C346,11,1)="", AND(AND(MID(metadata!C346,11,1)=" ",IFERROR(INT(MID(metadata!C346,12,1))&gt;=0,FALSE),IFERROR(INT(MID(metadata!C346,12,1))&lt;=2,FALSE),NOT(MID(metadata!C346,13,1)=""),IFERROR(INT(MID(metadata!C346,12,2))&gt;=0,FALSE),IFERROR(INT(MID(metadata!C346,12,2))&lt;=23,FALSE)), OR(MID(metadata!C346,14,1)="", AND(AND(MID(metadata!C346,14,1)=":",IFERROR(INT(MID(metadata!C346,15,1))&gt;=0,FALSE),IFERROR(INT(MID(metadata!C346,15,1))&lt;=5,FALSE),NOT(MID(metadata!C346,16,1)=""),IFERROR(INT(MID(metadata!C346,15,2))&gt;=0,FALSE),IFERROR(INT(MID(metadata!C346,15,2))&lt;=59,FALSE)), OR(MID(metadata!C346,17,1)="", AND(AND(MID(metadata!C346,17,1)=":",IFERROR(INT(MID(metadata!C346,18,1))&gt;=0,FALSE),IFERROR(INT(MID(metadata!C346,18,1))&lt;=5,FALSE),NOT(MID(metadata!C346,19,1)=""),IFERROR(INT(MID(metadata!C346,18,2))&gt;=0,FALSE),IFERROR(INT(MID(metadata!C346,18,2))&lt;=59,FALSE)), LEN(metadata!C346)&lt;=19)))))))))))))</f>
        <v>0</v>
      </c>
      <c r="AD346">
        <f>IF(metadata!D346="",FALSE,TRUE)</f>
        <v>0</v>
      </c>
      <c r="AE346">
        <f>OR(AND(IF(metadata!E346="",FALSE,TRUE),OR(exact(metadata!E346,"missing: not collected"),exact(metadata!E346,"missing: not provided"))),AND(IF(metadata!E346="",FALSE,TRUE),OR(exact(metadata!E346,"TRUE"),exact(metadata!E346,"FALSE"))))</f>
        <v>0</v>
      </c>
      <c r="AF346">
        <f>IF(metadata!F346="",FALSE,TRUE)</f>
        <v>0</v>
      </c>
      <c r="AG346">
        <f>IF(metadata!G346="",FALSE,TRUE)</f>
        <v>0</v>
      </c>
      <c r="AH346">
        <f>IF(metadata!H346="",FALSE,TRUE)</f>
        <v>0</v>
      </c>
      <c r="AI346">
        <f>OR(AND(IF(metadata!I346="",FALSE,TRUE),OR(exact(metadata!I346,"missing: not collected"),exact(metadata!I346,"missing: not provided"),exact(metadata!I346,"missing: restricted access"))),AND(IF(metadata!I346="",FALSE,TRUE),OR(exact(metadata!I346,"air"),exact(metadata!I346,"built environment"),exact(metadata!I346,"host-associated"),exact(metadata!I346,"human-associated"),exact(metadata!I346,"human-skin"),exact(metadata!I346,"human-oral"),exact(metadata!I346,"human-gut"),exact(metadata!I346,"human-vaginal"),exact(metadata!I346,"microbial mat/biofilm"),exact(metadata!I346,"misc environment"),exact(metadata!I346,"plant-associated"),exact(metadata!I346,"sediment"),exact(metadata!I346,"soil"),exact(metadata!I346,"wastewater/sludge"),exact(metadata!I346,"water"))))</f>
        <v>0</v>
      </c>
      <c r="AJ346">
        <f>IF(metadata!J346="",FALSE,TRUE)</f>
        <v>0</v>
      </c>
      <c r="AK346">
        <f>OR(AND(IF(metadata!K346="",FALSE,TRUE),OR(exact(metadata!K346,"missing: not collected"),exact(metadata!K346,"missing: not provided"),exact(metadata!K346,"missing: restricted access"))),AND(IF(metadata!K346="",FALSE,ISNUMBER(VALUE(metadata!K346))),metadata!K346&gt;=-90.00,metadata!K346&lt;=90.00))</f>
        <v>0</v>
      </c>
      <c r="AL346">
        <f>OR(AND(IF(metadata!L346="",FALSE,TRUE),OR(exact(metadata!L346,"missing: not collected"),exact(metadata!L346,"missing: not provided"),exact(metadata!L346,"missing: restricted access"))),AND(IF(metadata!L346="",FALSE,ISNUMBER(VALUE(metadata!L346))),metadata!L346&gt;=-180.00,metadata!L346&lt;=180.00))</f>
        <v>0</v>
      </c>
      <c r="AM346">
        <f>IF(metadata!M346="",FALSE,TRUE)</f>
        <v>0</v>
      </c>
      <c r="AN346">
        <f>OR(AND(IF(metadata!N346="",FALSE,TRUE),OR(exact(metadata!N346,"missing: not collected"),exact(metadata!N346,"missing: not provided"),exact(metadata!N346,"missing: restricted access"))),AND(IF(metadata!N346="",FALSE,TRUE),OR(exact(metadata!N346,"TRUE"),exact(metadata!N346,"FALSE"))))</f>
        <v>0</v>
      </c>
      <c r="AO346">
        <f>IF(metadata!O346="",FALSE,TRUE)</f>
        <v>0</v>
      </c>
      <c r="AP346">
        <f>OR(AND(IF(metadata!P346="",FALSE,TRUE),OR(exact(metadata!P346,"missing: not collected"),exact(metadata!P346,"missing: not provided"))),AND(IF(metadata!P346="",FALSE,IF(ISERROR(INT(metadata!P346)),FALSE,INT(metadata!P346)=metadata!P346)),metadata!P346&gt;0))</f>
        <v>0</v>
      </c>
      <c r="AQ346">
        <f>IF(metadata!Q346="",FALSE,TRUE)</f>
        <v>0</v>
      </c>
    </row>
    <row r="347" spans="1:43">
      <c r="A347" s="5">
        <f>IF(B347=" "," ",HYPERLINK(CONCATENATE("#metadata!",ADDRESS(INDEX($W$2:$W$1001,MATCH(ROWS($U$2:U347),$U$2:$U$1001,0),0),1)),INDEX($Z$2:$Z$1001,MATCH(ROWS($U$2:U347),$U$2:$U$1001,0),0)))</f>
        <v>0</v>
      </c>
      <c r="B347" s="4">
        <f>IF(OR(INDEX($V$2:$V$1001,MATCH(ROWS($U$2:U347),$U$2:$U$1001,0),1)&gt;=100000,INDEX($AB$1005:$AQ$1005,1,MATCH(COLUMNS($AB$1006:AB1006),$AB$1006:$AQ$1006,0))&gt;=100000), " ",IF(INDEX($AB$2:$AQ$1001,MATCH(ROWS($U$2:U347),$U$2:$U$1001,0),MATCH(COLUMNS($AB$1006:AB1006),$AB$1006:$AQ$1006,0)), HYPERLINK("#",""), HYPERLINK(CONCATENATE("#metadata!", ADDRESS(INDEX($W$2:$W$1001,MATCH(ROWS($U$2:U347),$U$2:$U$1001,0),0), INDEX($AB$1004:$AQ$1004,1,MATCH(COLUMNS($AB$1006:AB1006),$AB$1006:$AQ$1006,0)))),"Fix")))</f>
        <v>0</v>
      </c>
      <c r="C347" s="4">
        <f>IF(OR(INDEX($V$2:$V$1001,MATCH(ROWS($U$2:U347),$U$2:$U$1001,0),1)&gt;=100000,INDEX($AB$1005:$AQ$1005,1,MATCH(COLUMNS($AB$1006:AC1006),$AB$1006:$AQ$1006,0))&gt;=100000), " ",IF(INDEX($AB$2:$AQ$1001,MATCH(ROWS($U$2:U347),$U$2:$U$1001,0),MATCH(COLUMNS($AB$1006:AC1006),$AB$1006:$AQ$1006,0)), HYPERLINK("#",""), HYPERLINK(CONCATENATE("#metadata!", ADDRESS(INDEX($W$2:$W$1001,MATCH(ROWS($U$2:U347),$U$2:$U$1001,0),0), INDEX($AB$1004:$AQ$1004,1,MATCH(COLUMNS($AB$1006:AC1006),$AB$1006:$AQ$1006,0)))),"Fix")))</f>
        <v>0</v>
      </c>
      <c r="D347" s="4">
        <f>IF(OR(INDEX($V$2:$V$1001,MATCH(ROWS($U$2:U347),$U$2:$U$1001,0),1)&gt;=100000,INDEX($AB$1005:$AQ$1005,1,MATCH(COLUMNS($AB$1006:AD1006),$AB$1006:$AQ$1006,0))&gt;=100000), " ",IF(INDEX($AB$2:$AQ$1001,MATCH(ROWS($U$2:U347),$U$2:$U$1001,0),MATCH(COLUMNS($AB$1006:AD1006),$AB$1006:$AQ$1006,0)), HYPERLINK("#",""), HYPERLINK(CONCATENATE("#metadata!", ADDRESS(INDEX($W$2:$W$1001,MATCH(ROWS($U$2:U347),$U$2:$U$1001,0),0), INDEX($AB$1004:$AQ$1004,1,MATCH(COLUMNS($AB$1006:AD1006),$AB$1006:$AQ$1006,0)))),"Fix")))</f>
        <v>0</v>
      </c>
      <c r="E347" s="4">
        <f>IF(OR(INDEX($V$2:$V$1001,MATCH(ROWS($U$2:U347),$U$2:$U$1001,0),1)&gt;=100000,INDEX($AB$1005:$AQ$1005,1,MATCH(COLUMNS($AB$1006:AE1006),$AB$1006:$AQ$1006,0))&gt;=100000), " ",IF(INDEX($AB$2:$AQ$1001,MATCH(ROWS($U$2:U347),$U$2:$U$1001,0),MATCH(COLUMNS($AB$1006:AE1006),$AB$1006:$AQ$1006,0)), HYPERLINK("#",""), HYPERLINK(CONCATENATE("#metadata!", ADDRESS(INDEX($W$2:$W$1001,MATCH(ROWS($U$2:U347),$U$2:$U$1001,0),0), INDEX($AB$1004:$AQ$1004,1,MATCH(COLUMNS($AB$1006:AE1006),$AB$1006:$AQ$1006,0)))),"Fix")))</f>
        <v>0</v>
      </c>
      <c r="F347" s="4">
        <f>IF(OR(INDEX($V$2:$V$1001,MATCH(ROWS($U$2:U347),$U$2:$U$1001,0),1)&gt;=100000,INDEX($AB$1005:$AQ$1005,1,MATCH(COLUMNS($AB$1006:AF1006),$AB$1006:$AQ$1006,0))&gt;=100000), " ",IF(INDEX($AB$2:$AQ$1001,MATCH(ROWS($U$2:U347),$U$2:$U$1001,0),MATCH(COLUMNS($AB$1006:AF1006),$AB$1006:$AQ$1006,0)), HYPERLINK("#",""), HYPERLINK(CONCATENATE("#metadata!", ADDRESS(INDEX($W$2:$W$1001,MATCH(ROWS($U$2:U347),$U$2:$U$1001,0),0), INDEX($AB$1004:$AQ$1004,1,MATCH(COLUMNS($AB$1006:AF1006),$AB$1006:$AQ$1006,0)))),"Fix")))</f>
        <v>0</v>
      </c>
      <c r="G347" s="4">
        <f>IF(OR(INDEX($V$2:$V$1001,MATCH(ROWS($U$2:U347),$U$2:$U$1001,0),1)&gt;=100000,INDEX($AB$1005:$AQ$1005,1,MATCH(COLUMNS($AB$1006:AG1006),$AB$1006:$AQ$1006,0))&gt;=100000), " ",IF(INDEX($AB$2:$AQ$1001,MATCH(ROWS($U$2:U347),$U$2:$U$1001,0),MATCH(COLUMNS($AB$1006:AG1006),$AB$1006:$AQ$1006,0)), HYPERLINK("#",""), HYPERLINK(CONCATENATE("#metadata!", ADDRESS(INDEX($W$2:$W$1001,MATCH(ROWS($U$2:U347),$U$2:$U$1001,0),0), INDEX($AB$1004:$AQ$1004,1,MATCH(COLUMNS($AB$1006:AG1006),$AB$1006:$AQ$1006,0)))),"Fix")))</f>
        <v>0</v>
      </c>
      <c r="H347" s="4">
        <f>IF(OR(INDEX($V$2:$V$1001,MATCH(ROWS($U$2:U347),$U$2:$U$1001,0),1)&gt;=100000,INDEX($AB$1005:$AQ$1005,1,MATCH(COLUMNS($AB$1006:AH1006),$AB$1006:$AQ$1006,0))&gt;=100000), " ",IF(INDEX($AB$2:$AQ$1001,MATCH(ROWS($U$2:U347),$U$2:$U$1001,0),MATCH(COLUMNS($AB$1006:AH1006),$AB$1006:$AQ$1006,0)), HYPERLINK("#",""), HYPERLINK(CONCATENATE("#metadata!", ADDRESS(INDEX($W$2:$W$1001,MATCH(ROWS($U$2:U347),$U$2:$U$1001,0),0), INDEX($AB$1004:$AQ$1004,1,MATCH(COLUMNS($AB$1006:AH1006),$AB$1006:$AQ$1006,0)))),"Fix")))</f>
        <v>0</v>
      </c>
      <c r="I347" s="4">
        <f>IF(OR(INDEX($V$2:$V$1001,MATCH(ROWS($U$2:U347),$U$2:$U$1001,0),1)&gt;=100000,INDEX($AB$1005:$AQ$1005,1,MATCH(COLUMNS($AB$1006:AI1006),$AB$1006:$AQ$1006,0))&gt;=100000), " ",IF(INDEX($AB$2:$AQ$1001,MATCH(ROWS($U$2:U347),$U$2:$U$1001,0),MATCH(COLUMNS($AB$1006:AI1006),$AB$1006:$AQ$1006,0)), HYPERLINK("#",""), HYPERLINK(CONCATENATE("#metadata!", ADDRESS(INDEX($W$2:$W$1001,MATCH(ROWS($U$2:U347),$U$2:$U$1001,0),0), INDEX($AB$1004:$AQ$1004,1,MATCH(COLUMNS($AB$1006:AI1006),$AB$1006:$AQ$1006,0)))),"Fix")))</f>
        <v>0</v>
      </c>
      <c r="J347" s="4">
        <f>IF(OR(INDEX($V$2:$V$1001,MATCH(ROWS($U$2:U347),$U$2:$U$1001,0),1)&gt;=100000,INDEX($AB$1005:$AQ$1005,1,MATCH(COLUMNS($AB$1006:AJ1006),$AB$1006:$AQ$1006,0))&gt;=100000), " ",IF(INDEX($AB$2:$AQ$1001,MATCH(ROWS($U$2:U347),$U$2:$U$1001,0),MATCH(COLUMNS($AB$1006:AJ1006),$AB$1006:$AQ$1006,0)), HYPERLINK("#",""), HYPERLINK(CONCATENATE("#metadata!", ADDRESS(INDEX($W$2:$W$1001,MATCH(ROWS($U$2:U347),$U$2:$U$1001,0),0), INDEX($AB$1004:$AQ$1004,1,MATCH(COLUMNS($AB$1006:AJ1006),$AB$1006:$AQ$1006,0)))),"Fix")))</f>
        <v>0</v>
      </c>
      <c r="K347" s="4">
        <f>IF(OR(INDEX($V$2:$V$1001,MATCH(ROWS($U$2:U347),$U$2:$U$1001,0),1)&gt;=100000,INDEX($AB$1005:$AQ$1005,1,MATCH(COLUMNS($AB$1006:AK1006),$AB$1006:$AQ$1006,0))&gt;=100000), " ",IF(INDEX($AB$2:$AQ$1001,MATCH(ROWS($U$2:U347),$U$2:$U$1001,0),MATCH(COLUMNS($AB$1006:AK1006),$AB$1006:$AQ$1006,0)), HYPERLINK("#",""), HYPERLINK(CONCATENATE("#metadata!", ADDRESS(INDEX($W$2:$W$1001,MATCH(ROWS($U$2:U347),$U$2:$U$1001,0),0), INDEX($AB$1004:$AQ$1004,1,MATCH(COLUMNS($AB$1006:AK1006),$AB$1006:$AQ$1006,0)))),"Fix")))</f>
        <v>0</v>
      </c>
      <c r="L347" s="4">
        <f>IF(OR(INDEX($V$2:$V$1001,MATCH(ROWS($U$2:U347),$U$2:$U$1001,0),1)&gt;=100000,INDEX($AB$1005:$AQ$1005,1,MATCH(COLUMNS($AB$1006:AL1006),$AB$1006:$AQ$1006,0))&gt;=100000), " ",IF(INDEX($AB$2:$AQ$1001,MATCH(ROWS($U$2:U347),$U$2:$U$1001,0),MATCH(COLUMNS($AB$1006:AL1006),$AB$1006:$AQ$1006,0)), HYPERLINK("#",""), HYPERLINK(CONCATENATE("#metadata!", ADDRESS(INDEX($W$2:$W$1001,MATCH(ROWS($U$2:U347),$U$2:$U$1001,0),0), INDEX($AB$1004:$AQ$1004,1,MATCH(COLUMNS($AB$1006:AL1006),$AB$1006:$AQ$1006,0)))),"Fix")))</f>
        <v>0</v>
      </c>
      <c r="M347" s="4">
        <f>IF(OR(INDEX($V$2:$V$1001,MATCH(ROWS($U$2:U347),$U$2:$U$1001,0),1)&gt;=100000,INDEX($AB$1005:$AQ$1005,1,MATCH(COLUMNS($AB$1006:AM1006),$AB$1006:$AQ$1006,0))&gt;=100000), " ",IF(INDEX($AB$2:$AQ$1001,MATCH(ROWS($U$2:U347),$U$2:$U$1001,0),MATCH(COLUMNS($AB$1006:AM1006),$AB$1006:$AQ$1006,0)), HYPERLINK("#",""), HYPERLINK(CONCATENATE("#metadata!", ADDRESS(INDEX($W$2:$W$1001,MATCH(ROWS($U$2:U347),$U$2:$U$1001,0),0), INDEX($AB$1004:$AQ$1004,1,MATCH(COLUMNS($AB$1006:AM1006),$AB$1006:$AQ$1006,0)))),"Fix")))</f>
        <v>0</v>
      </c>
      <c r="N347" s="4">
        <f>IF(OR(INDEX($V$2:$V$1001,MATCH(ROWS($U$2:U347),$U$2:$U$1001,0),1)&gt;=100000,INDEX($AB$1005:$AQ$1005,1,MATCH(COLUMNS($AB$1006:AN1006),$AB$1006:$AQ$1006,0))&gt;=100000), " ",IF(INDEX($AB$2:$AQ$1001,MATCH(ROWS($U$2:U347),$U$2:$U$1001,0),MATCH(COLUMNS($AB$1006:AN1006),$AB$1006:$AQ$1006,0)), HYPERLINK("#",""), HYPERLINK(CONCATENATE("#metadata!", ADDRESS(INDEX($W$2:$W$1001,MATCH(ROWS($U$2:U347),$U$2:$U$1001,0),0), INDEX($AB$1004:$AQ$1004,1,MATCH(COLUMNS($AB$1006:AN1006),$AB$1006:$AQ$1006,0)))),"Fix")))</f>
        <v>0</v>
      </c>
      <c r="O347" s="4">
        <f>IF(OR(INDEX($V$2:$V$1001,MATCH(ROWS($U$2:U347),$U$2:$U$1001,0),1)&gt;=100000,INDEX($AB$1005:$AQ$1005,1,MATCH(COLUMNS($AB$1006:AO1006),$AB$1006:$AQ$1006,0))&gt;=100000), " ",IF(INDEX($AB$2:$AQ$1001,MATCH(ROWS($U$2:U347),$U$2:$U$1001,0),MATCH(COLUMNS($AB$1006:AO1006),$AB$1006:$AQ$1006,0)), HYPERLINK("#",""), HYPERLINK(CONCATENATE("#metadata!", ADDRESS(INDEX($W$2:$W$1001,MATCH(ROWS($U$2:U347),$U$2:$U$1001,0),0), INDEX($AB$1004:$AQ$1004,1,MATCH(COLUMNS($AB$1006:AO1006),$AB$1006:$AQ$1006,0)))),"Fix")))</f>
        <v>0</v>
      </c>
      <c r="P347" s="4">
        <f>IF(OR(INDEX($V$2:$V$1001,MATCH(ROWS($U$2:U347),$U$2:$U$1001,0),1)&gt;=100000,INDEX($AB$1005:$AQ$1005,1,MATCH(COLUMNS($AB$1006:AP1006),$AB$1006:$AQ$1006,0))&gt;=100000), " ",IF(INDEX($AB$2:$AQ$1001,MATCH(ROWS($U$2:U347),$U$2:$U$1001,0),MATCH(COLUMNS($AB$1006:AP1006),$AB$1006:$AQ$1006,0)), HYPERLINK("#",""), HYPERLINK(CONCATENATE("#metadata!", ADDRESS(INDEX($W$2:$W$1001,MATCH(ROWS($U$2:U347),$U$2:$U$1001,0),0), INDEX($AB$1004:$AQ$1004,1,MATCH(COLUMNS($AB$1006:AP1006),$AB$1006:$AQ$1006,0)))),"Fix")))</f>
        <v>0</v>
      </c>
      <c r="Q347" s="4">
        <f>IF(OR(INDEX($V$2:$V$1001,MATCH(ROWS($U$2:U347),$U$2:$U$1001,0),1)&gt;=100000,INDEX($AB$1005:$AQ$1005,1,MATCH(COLUMNS($AB$1006:AQ1006),$AB$1006:$AQ$1006,0))&gt;=100000), " ",IF(INDEX($AB$2:$AQ$1001,MATCH(ROWS($U$2:U347),$U$2:$U$1001,0),MATCH(COLUMNS($AB$1006:AQ1006),$AB$1006:$AQ$1006,0)), HYPERLINK("#",""), HYPERLINK(CONCATENATE("#metadata!", ADDRESS(INDEX($W$2:$W$1001,MATCH(ROWS($U$2:U347),$U$2:$U$1001,0),0), INDEX($AB$1004:$AQ$1004,1,MATCH(COLUMNS($AB$1006:AQ1006),$AB$1006:$AQ$1006,0)))),"Fix")))</f>
        <v>0</v>
      </c>
      <c r="U347">
        <v>0</v>
      </c>
      <c r="V347">
        <v>0</v>
      </c>
      <c r="W347">
        <v>0</v>
      </c>
      <c r="X347">
        <f>IF(Y347,TRUE,AND(AB347:AQ347))</f>
        <v>0</v>
      </c>
      <c r="Y347">
        <f>COUNTBLANK(metadata!B347:Q347)=COLUMNS(metadata!B347:Q347)</f>
        <v>0</v>
      </c>
      <c r="Z347">
        <v>0</v>
      </c>
      <c r="AB347">
        <f>AND(IF(metadata!B347="",FALSE,TRUE),COUNTIF(metadata!B:B, metadata!B347) = 1,NOT(ISERROR(SUMPRODUCT(SEARCH(MID(metadata!B347,ROW(INDIRECT("1:"&amp;LEN(metadata!B347))), 1),"0123456789abcdefghijklmnopqrstuvwxyzABCDEFGHIJKLMNOPQRSTUVWXYZ.")))))</f>
        <v>0</v>
      </c>
      <c r="AC347">
        <f>OR(AND(IF(metadata!C347="",FALSE,TRUE),OR(exact(metadata!C347,"missing: not collected"),exact(metadata!C347,"missing: not provided"),exact(metadata!C347,"missing: restricted access"))),AND(IF(metadata!C347="",FALSE,TRUE),AND(AND(IFERROR(INT(LEFT(metadata!C347,4))&gt;1900,FALSE),IFERROR(INT(LEFT(metadata!C347,4))&lt;=YEAR(NOW()),FALSE)), OR(MID(metadata!C347,5,1)="", AND(AND(MID(metadata!C347,5,1)="-",IFERROR(INT(MID(metadata!C347,6,1))&gt;=0,FALSE),IFERROR(INT(MID(metadata!C347,6,1))&lt;=1,FALSE),NOT(MID(metadata!C347,7,1)=""),IFERROR(INT(MID(metadata!C347,6,2))&gt;=1,FALSE),IFERROR(INT(MID(metadata!C347,6,2))&lt;=12,FALSE)), OR(MID(metadata!C347,8,1)="", AND(AND(MID(metadata!C347,8,1)="-",IFERROR(INT(MID(metadata!C347,9,1))&gt;=0,FALSE),IFERROR(INT(MID(metadata!C347,9,1))&lt;=3,FALSE),NOT(MID(metadata!C347,10,1)=""),IFERROR(INT(MID(metadata!C347,9,2))&gt;=1,FALSE),IFERROR(INT(MID(metadata!C347,9,2))&lt;=31,FALSE)), OR(MID(metadata!C347,11,1)="", AND(AND(MID(metadata!C347,11,1)=" ",IFERROR(INT(MID(metadata!C347,12,1))&gt;=0,FALSE),IFERROR(INT(MID(metadata!C347,12,1))&lt;=2,FALSE),NOT(MID(metadata!C347,13,1)=""),IFERROR(INT(MID(metadata!C347,12,2))&gt;=0,FALSE),IFERROR(INT(MID(metadata!C347,12,2))&lt;=23,FALSE)), OR(MID(metadata!C347,14,1)="", AND(AND(MID(metadata!C347,14,1)=":",IFERROR(INT(MID(metadata!C347,15,1))&gt;=0,FALSE),IFERROR(INT(MID(metadata!C347,15,1))&lt;=5,FALSE),NOT(MID(metadata!C347,16,1)=""),IFERROR(INT(MID(metadata!C347,15,2))&gt;=0,FALSE),IFERROR(INT(MID(metadata!C347,15,2))&lt;=59,FALSE)), OR(MID(metadata!C347,17,1)="", AND(AND(MID(metadata!C347,17,1)=":",IFERROR(INT(MID(metadata!C347,18,1))&gt;=0,FALSE),IFERROR(INT(MID(metadata!C347,18,1))&lt;=5,FALSE),NOT(MID(metadata!C347,19,1)=""),IFERROR(INT(MID(metadata!C347,18,2))&gt;=0,FALSE),IFERROR(INT(MID(metadata!C347,18,2))&lt;=59,FALSE)), LEN(metadata!C347)&lt;=19)))))))))))))</f>
        <v>0</v>
      </c>
      <c r="AD347">
        <f>IF(metadata!D347="",FALSE,TRUE)</f>
        <v>0</v>
      </c>
      <c r="AE347">
        <f>OR(AND(IF(metadata!E347="",FALSE,TRUE),OR(exact(metadata!E347,"missing: not collected"),exact(metadata!E347,"missing: not provided"))),AND(IF(metadata!E347="",FALSE,TRUE),OR(exact(metadata!E347,"TRUE"),exact(metadata!E347,"FALSE"))))</f>
        <v>0</v>
      </c>
      <c r="AF347">
        <f>IF(metadata!F347="",FALSE,TRUE)</f>
        <v>0</v>
      </c>
      <c r="AG347">
        <f>IF(metadata!G347="",FALSE,TRUE)</f>
        <v>0</v>
      </c>
      <c r="AH347">
        <f>IF(metadata!H347="",FALSE,TRUE)</f>
        <v>0</v>
      </c>
      <c r="AI347">
        <f>OR(AND(IF(metadata!I347="",FALSE,TRUE),OR(exact(metadata!I347,"missing: not collected"),exact(metadata!I347,"missing: not provided"),exact(metadata!I347,"missing: restricted access"))),AND(IF(metadata!I347="",FALSE,TRUE),OR(exact(metadata!I347,"air"),exact(metadata!I347,"built environment"),exact(metadata!I347,"host-associated"),exact(metadata!I347,"human-associated"),exact(metadata!I347,"human-skin"),exact(metadata!I347,"human-oral"),exact(metadata!I347,"human-gut"),exact(metadata!I347,"human-vaginal"),exact(metadata!I347,"microbial mat/biofilm"),exact(metadata!I347,"misc environment"),exact(metadata!I347,"plant-associated"),exact(metadata!I347,"sediment"),exact(metadata!I347,"soil"),exact(metadata!I347,"wastewater/sludge"),exact(metadata!I347,"water"))))</f>
        <v>0</v>
      </c>
      <c r="AJ347">
        <f>IF(metadata!J347="",FALSE,TRUE)</f>
        <v>0</v>
      </c>
      <c r="AK347">
        <f>OR(AND(IF(metadata!K347="",FALSE,TRUE),OR(exact(metadata!K347,"missing: not collected"),exact(metadata!K347,"missing: not provided"),exact(metadata!K347,"missing: restricted access"))),AND(IF(metadata!K347="",FALSE,ISNUMBER(VALUE(metadata!K347))),metadata!K347&gt;=-90.00,metadata!K347&lt;=90.00))</f>
        <v>0</v>
      </c>
      <c r="AL347">
        <f>OR(AND(IF(metadata!L347="",FALSE,TRUE),OR(exact(metadata!L347,"missing: not collected"),exact(metadata!L347,"missing: not provided"),exact(metadata!L347,"missing: restricted access"))),AND(IF(metadata!L347="",FALSE,ISNUMBER(VALUE(metadata!L347))),metadata!L347&gt;=-180.00,metadata!L347&lt;=180.00))</f>
        <v>0</v>
      </c>
      <c r="AM347">
        <f>IF(metadata!M347="",FALSE,TRUE)</f>
        <v>0</v>
      </c>
      <c r="AN347">
        <f>OR(AND(IF(metadata!N347="",FALSE,TRUE),OR(exact(metadata!N347,"missing: not collected"),exact(metadata!N347,"missing: not provided"),exact(metadata!N347,"missing: restricted access"))),AND(IF(metadata!N347="",FALSE,TRUE),OR(exact(metadata!N347,"TRUE"),exact(metadata!N347,"FALSE"))))</f>
        <v>0</v>
      </c>
      <c r="AO347">
        <f>IF(metadata!O347="",FALSE,TRUE)</f>
        <v>0</v>
      </c>
      <c r="AP347">
        <f>OR(AND(IF(metadata!P347="",FALSE,TRUE),OR(exact(metadata!P347,"missing: not collected"),exact(metadata!P347,"missing: not provided"))),AND(IF(metadata!P347="",FALSE,IF(ISERROR(INT(metadata!P347)),FALSE,INT(metadata!P347)=metadata!P347)),metadata!P347&gt;0))</f>
        <v>0</v>
      </c>
      <c r="AQ347">
        <f>IF(metadata!Q347="",FALSE,TRUE)</f>
        <v>0</v>
      </c>
    </row>
    <row r="348" spans="1:43">
      <c r="A348" s="5">
        <f>IF(B348=" "," ",HYPERLINK(CONCATENATE("#metadata!",ADDRESS(INDEX($W$2:$W$1001,MATCH(ROWS($U$2:U348),$U$2:$U$1001,0),0),1)),INDEX($Z$2:$Z$1001,MATCH(ROWS($U$2:U348),$U$2:$U$1001,0),0)))</f>
        <v>0</v>
      </c>
      <c r="B348" s="4">
        <f>IF(OR(INDEX($V$2:$V$1001,MATCH(ROWS($U$2:U348),$U$2:$U$1001,0),1)&gt;=100000,INDEX($AB$1005:$AQ$1005,1,MATCH(COLUMNS($AB$1006:AB1006),$AB$1006:$AQ$1006,0))&gt;=100000), " ",IF(INDEX($AB$2:$AQ$1001,MATCH(ROWS($U$2:U348),$U$2:$U$1001,0),MATCH(COLUMNS($AB$1006:AB1006),$AB$1006:$AQ$1006,0)), HYPERLINK("#",""), HYPERLINK(CONCATENATE("#metadata!", ADDRESS(INDEX($W$2:$W$1001,MATCH(ROWS($U$2:U348),$U$2:$U$1001,0),0), INDEX($AB$1004:$AQ$1004,1,MATCH(COLUMNS($AB$1006:AB1006),$AB$1006:$AQ$1006,0)))),"Fix")))</f>
        <v>0</v>
      </c>
      <c r="C348" s="4">
        <f>IF(OR(INDEX($V$2:$V$1001,MATCH(ROWS($U$2:U348),$U$2:$U$1001,0),1)&gt;=100000,INDEX($AB$1005:$AQ$1005,1,MATCH(COLUMNS($AB$1006:AC1006),$AB$1006:$AQ$1006,0))&gt;=100000), " ",IF(INDEX($AB$2:$AQ$1001,MATCH(ROWS($U$2:U348),$U$2:$U$1001,0),MATCH(COLUMNS($AB$1006:AC1006),$AB$1006:$AQ$1006,0)), HYPERLINK("#",""), HYPERLINK(CONCATENATE("#metadata!", ADDRESS(INDEX($W$2:$W$1001,MATCH(ROWS($U$2:U348),$U$2:$U$1001,0),0), INDEX($AB$1004:$AQ$1004,1,MATCH(COLUMNS($AB$1006:AC1006),$AB$1006:$AQ$1006,0)))),"Fix")))</f>
        <v>0</v>
      </c>
      <c r="D348" s="4">
        <f>IF(OR(INDEX($V$2:$V$1001,MATCH(ROWS($U$2:U348),$U$2:$U$1001,0),1)&gt;=100000,INDEX($AB$1005:$AQ$1005,1,MATCH(COLUMNS($AB$1006:AD1006),$AB$1006:$AQ$1006,0))&gt;=100000), " ",IF(INDEX($AB$2:$AQ$1001,MATCH(ROWS($U$2:U348),$U$2:$U$1001,0),MATCH(COLUMNS($AB$1006:AD1006),$AB$1006:$AQ$1006,0)), HYPERLINK("#",""), HYPERLINK(CONCATENATE("#metadata!", ADDRESS(INDEX($W$2:$W$1001,MATCH(ROWS($U$2:U348),$U$2:$U$1001,0),0), INDEX($AB$1004:$AQ$1004,1,MATCH(COLUMNS($AB$1006:AD1006),$AB$1006:$AQ$1006,0)))),"Fix")))</f>
        <v>0</v>
      </c>
      <c r="E348" s="4">
        <f>IF(OR(INDEX($V$2:$V$1001,MATCH(ROWS($U$2:U348),$U$2:$U$1001,0),1)&gt;=100000,INDEX($AB$1005:$AQ$1005,1,MATCH(COLUMNS($AB$1006:AE1006),$AB$1006:$AQ$1006,0))&gt;=100000), " ",IF(INDEX($AB$2:$AQ$1001,MATCH(ROWS($U$2:U348),$U$2:$U$1001,0),MATCH(COLUMNS($AB$1006:AE1006),$AB$1006:$AQ$1006,0)), HYPERLINK("#",""), HYPERLINK(CONCATENATE("#metadata!", ADDRESS(INDEX($W$2:$W$1001,MATCH(ROWS($U$2:U348),$U$2:$U$1001,0),0), INDEX($AB$1004:$AQ$1004,1,MATCH(COLUMNS($AB$1006:AE1006),$AB$1006:$AQ$1006,0)))),"Fix")))</f>
        <v>0</v>
      </c>
      <c r="F348" s="4">
        <f>IF(OR(INDEX($V$2:$V$1001,MATCH(ROWS($U$2:U348),$U$2:$U$1001,0),1)&gt;=100000,INDEX($AB$1005:$AQ$1005,1,MATCH(COLUMNS($AB$1006:AF1006),$AB$1006:$AQ$1006,0))&gt;=100000), " ",IF(INDEX($AB$2:$AQ$1001,MATCH(ROWS($U$2:U348),$U$2:$U$1001,0),MATCH(COLUMNS($AB$1006:AF1006),$AB$1006:$AQ$1006,0)), HYPERLINK("#",""), HYPERLINK(CONCATENATE("#metadata!", ADDRESS(INDEX($W$2:$W$1001,MATCH(ROWS($U$2:U348),$U$2:$U$1001,0),0), INDEX($AB$1004:$AQ$1004,1,MATCH(COLUMNS($AB$1006:AF1006),$AB$1006:$AQ$1006,0)))),"Fix")))</f>
        <v>0</v>
      </c>
      <c r="G348" s="4">
        <f>IF(OR(INDEX($V$2:$V$1001,MATCH(ROWS($U$2:U348),$U$2:$U$1001,0),1)&gt;=100000,INDEX($AB$1005:$AQ$1005,1,MATCH(COLUMNS($AB$1006:AG1006),$AB$1006:$AQ$1006,0))&gt;=100000), " ",IF(INDEX($AB$2:$AQ$1001,MATCH(ROWS($U$2:U348),$U$2:$U$1001,0),MATCH(COLUMNS($AB$1006:AG1006),$AB$1006:$AQ$1006,0)), HYPERLINK("#",""), HYPERLINK(CONCATENATE("#metadata!", ADDRESS(INDEX($W$2:$W$1001,MATCH(ROWS($U$2:U348),$U$2:$U$1001,0),0), INDEX($AB$1004:$AQ$1004,1,MATCH(COLUMNS($AB$1006:AG1006),$AB$1006:$AQ$1006,0)))),"Fix")))</f>
        <v>0</v>
      </c>
      <c r="H348" s="4">
        <f>IF(OR(INDEX($V$2:$V$1001,MATCH(ROWS($U$2:U348),$U$2:$U$1001,0),1)&gt;=100000,INDEX($AB$1005:$AQ$1005,1,MATCH(COLUMNS($AB$1006:AH1006),$AB$1006:$AQ$1006,0))&gt;=100000), " ",IF(INDEX($AB$2:$AQ$1001,MATCH(ROWS($U$2:U348),$U$2:$U$1001,0),MATCH(COLUMNS($AB$1006:AH1006),$AB$1006:$AQ$1006,0)), HYPERLINK("#",""), HYPERLINK(CONCATENATE("#metadata!", ADDRESS(INDEX($W$2:$W$1001,MATCH(ROWS($U$2:U348),$U$2:$U$1001,0),0), INDEX($AB$1004:$AQ$1004,1,MATCH(COLUMNS($AB$1006:AH1006),$AB$1006:$AQ$1006,0)))),"Fix")))</f>
        <v>0</v>
      </c>
      <c r="I348" s="4">
        <f>IF(OR(INDEX($V$2:$V$1001,MATCH(ROWS($U$2:U348),$U$2:$U$1001,0),1)&gt;=100000,INDEX($AB$1005:$AQ$1005,1,MATCH(COLUMNS($AB$1006:AI1006),$AB$1006:$AQ$1006,0))&gt;=100000), " ",IF(INDEX($AB$2:$AQ$1001,MATCH(ROWS($U$2:U348),$U$2:$U$1001,0),MATCH(COLUMNS($AB$1006:AI1006),$AB$1006:$AQ$1006,0)), HYPERLINK("#",""), HYPERLINK(CONCATENATE("#metadata!", ADDRESS(INDEX($W$2:$W$1001,MATCH(ROWS($U$2:U348),$U$2:$U$1001,0),0), INDEX($AB$1004:$AQ$1004,1,MATCH(COLUMNS($AB$1006:AI1006),$AB$1006:$AQ$1006,0)))),"Fix")))</f>
        <v>0</v>
      </c>
      <c r="J348" s="4">
        <f>IF(OR(INDEX($V$2:$V$1001,MATCH(ROWS($U$2:U348),$U$2:$U$1001,0),1)&gt;=100000,INDEX($AB$1005:$AQ$1005,1,MATCH(COLUMNS($AB$1006:AJ1006),$AB$1006:$AQ$1006,0))&gt;=100000), " ",IF(INDEX($AB$2:$AQ$1001,MATCH(ROWS($U$2:U348),$U$2:$U$1001,0),MATCH(COLUMNS($AB$1006:AJ1006),$AB$1006:$AQ$1006,0)), HYPERLINK("#",""), HYPERLINK(CONCATENATE("#metadata!", ADDRESS(INDEX($W$2:$W$1001,MATCH(ROWS($U$2:U348),$U$2:$U$1001,0),0), INDEX($AB$1004:$AQ$1004,1,MATCH(COLUMNS($AB$1006:AJ1006),$AB$1006:$AQ$1006,0)))),"Fix")))</f>
        <v>0</v>
      </c>
      <c r="K348" s="4">
        <f>IF(OR(INDEX($V$2:$V$1001,MATCH(ROWS($U$2:U348),$U$2:$U$1001,0),1)&gt;=100000,INDEX($AB$1005:$AQ$1005,1,MATCH(COLUMNS($AB$1006:AK1006),$AB$1006:$AQ$1006,0))&gt;=100000), " ",IF(INDEX($AB$2:$AQ$1001,MATCH(ROWS($U$2:U348),$U$2:$U$1001,0),MATCH(COLUMNS($AB$1006:AK1006),$AB$1006:$AQ$1006,0)), HYPERLINK("#",""), HYPERLINK(CONCATENATE("#metadata!", ADDRESS(INDEX($W$2:$W$1001,MATCH(ROWS($U$2:U348),$U$2:$U$1001,0),0), INDEX($AB$1004:$AQ$1004,1,MATCH(COLUMNS($AB$1006:AK1006),$AB$1006:$AQ$1006,0)))),"Fix")))</f>
        <v>0</v>
      </c>
      <c r="L348" s="4">
        <f>IF(OR(INDEX($V$2:$V$1001,MATCH(ROWS($U$2:U348),$U$2:$U$1001,0),1)&gt;=100000,INDEX($AB$1005:$AQ$1005,1,MATCH(COLUMNS($AB$1006:AL1006),$AB$1006:$AQ$1006,0))&gt;=100000), " ",IF(INDEX($AB$2:$AQ$1001,MATCH(ROWS($U$2:U348),$U$2:$U$1001,0),MATCH(COLUMNS($AB$1006:AL1006),$AB$1006:$AQ$1006,0)), HYPERLINK("#",""), HYPERLINK(CONCATENATE("#metadata!", ADDRESS(INDEX($W$2:$W$1001,MATCH(ROWS($U$2:U348),$U$2:$U$1001,0),0), INDEX($AB$1004:$AQ$1004,1,MATCH(COLUMNS($AB$1006:AL1006),$AB$1006:$AQ$1006,0)))),"Fix")))</f>
        <v>0</v>
      </c>
      <c r="M348" s="4">
        <f>IF(OR(INDEX($V$2:$V$1001,MATCH(ROWS($U$2:U348),$U$2:$U$1001,0),1)&gt;=100000,INDEX($AB$1005:$AQ$1005,1,MATCH(COLUMNS($AB$1006:AM1006),$AB$1006:$AQ$1006,0))&gt;=100000), " ",IF(INDEX($AB$2:$AQ$1001,MATCH(ROWS($U$2:U348),$U$2:$U$1001,0),MATCH(COLUMNS($AB$1006:AM1006),$AB$1006:$AQ$1006,0)), HYPERLINK("#",""), HYPERLINK(CONCATENATE("#metadata!", ADDRESS(INDEX($W$2:$W$1001,MATCH(ROWS($U$2:U348),$U$2:$U$1001,0),0), INDEX($AB$1004:$AQ$1004,1,MATCH(COLUMNS($AB$1006:AM1006),$AB$1006:$AQ$1006,0)))),"Fix")))</f>
        <v>0</v>
      </c>
      <c r="N348" s="4">
        <f>IF(OR(INDEX($V$2:$V$1001,MATCH(ROWS($U$2:U348),$U$2:$U$1001,0),1)&gt;=100000,INDEX($AB$1005:$AQ$1005,1,MATCH(COLUMNS($AB$1006:AN1006),$AB$1006:$AQ$1006,0))&gt;=100000), " ",IF(INDEX($AB$2:$AQ$1001,MATCH(ROWS($U$2:U348),$U$2:$U$1001,0),MATCH(COLUMNS($AB$1006:AN1006),$AB$1006:$AQ$1006,0)), HYPERLINK("#",""), HYPERLINK(CONCATENATE("#metadata!", ADDRESS(INDEX($W$2:$W$1001,MATCH(ROWS($U$2:U348),$U$2:$U$1001,0),0), INDEX($AB$1004:$AQ$1004,1,MATCH(COLUMNS($AB$1006:AN1006),$AB$1006:$AQ$1006,0)))),"Fix")))</f>
        <v>0</v>
      </c>
      <c r="O348" s="4">
        <f>IF(OR(INDEX($V$2:$V$1001,MATCH(ROWS($U$2:U348),$U$2:$U$1001,0),1)&gt;=100000,INDEX($AB$1005:$AQ$1005,1,MATCH(COLUMNS($AB$1006:AO1006),$AB$1006:$AQ$1006,0))&gt;=100000), " ",IF(INDEX($AB$2:$AQ$1001,MATCH(ROWS($U$2:U348),$U$2:$U$1001,0),MATCH(COLUMNS($AB$1006:AO1006),$AB$1006:$AQ$1006,0)), HYPERLINK("#",""), HYPERLINK(CONCATENATE("#metadata!", ADDRESS(INDEX($W$2:$W$1001,MATCH(ROWS($U$2:U348),$U$2:$U$1001,0),0), INDEX($AB$1004:$AQ$1004,1,MATCH(COLUMNS($AB$1006:AO1006),$AB$1006:$AQ$1006,0)))),"Fix")))</f>
        <v>0</v>
      </c>
      <c r="P348" s="4">
        <f>IF(OR(INDEX($V$2:$V$1001,MATCH(ROWS($U$2:U348),$U$2:$U$1001,0),1)&gt;=100000,INDEX($AB$1005:$AQ$1005,1,MATCH(COLUMNS($AB$1006:AP1006),$AB$1006:$AQ$1006,0))&gt;=100000), " ",IF(INDEX($AB$2:$AQ$1001,MATCH(ROWS($U$2:U348),$U$2:$U$1001,0),MATCH(COLUMNS($AB$1006:AP1006),$AB$1006:$AQ$1006,0)), HYPERLINK("#",""), HYPERLINK(CONCATENATE("#metadata!", ADDRESS(INDEX($W$2:$W$1001,MATCH(ROWS($U$2:U348),$U$2:$U$1001,0),0), INDEX($AB$1004:$AQ$1004,1,MATCH(COLUMNS($AB$1006:AP1006),$AB$1006:$AQ$1006,0)))),"Fix")))</f>
        <v>0</v>
      </c>
      <c r="Q348" s="4">
        <f>IF(OR(INDEX($V$2:$V$1001,MATCH(ROWS($U$2:U348),$U$2:$U$1001,0),1)&gt;=100000,INDEX($AB$1005:$AQ$1005,1,MATCH(COLUMNS($AB$1006:AQ1006),$AB$1006:$AQ$1006,0))&gt;=100000), " ",IF(INDEX($AB$2:$AQ$1001,MATCH(ROWS($U$2:U348),$U$2:$U$1001,0),MATCH(COLUMNS($AB$1006:AQ1006),$AB$1006:$AQ$1006,0)), HYPERLINK("#",""), HYPERLINK(CONCATENATE("#metadata!", ADDRESS(INDEX($W$2:$W$1001,MATCH(ROWS($U$2:U348),$U$2:$U$1001,0),0), INDEX($AB$1004:$AQ$1004,1,MATCH(COLUMNS($AB$1006:AQ1006),$AB$1006:$AQ$1006,0)))),"Fix")))</f>
        <v>0</v>
      </c>
      <c r="U348">
        <v>0</v>
      </c>
      <c r="V348">
        <v>0</v>
      </c>
      <c r="W348">
        <v>0</v>
      </c>
      <c r="X348">
        <f>IF(Y348,TRUE,AND(AB348:AQ348))</f>
        <v>0</v>
      </c>
      <c r="Y348">
        <f>COUNTBLANK(metadata!B348:Q348)=COLUMNS(metadata!B348:Q348)</f>
        <v>0</v>
      </c>
      <c r="Z348">
        <v>0</v>
      </c>
      <c r="AB348">
        <f>AND(IF(metadata!B348="",FALSE,TRUE),COUNTIF(metadata!B:B, metadata!B348) = 1,NOT(ISERROR(SUMPRODUCT(SEARCH(MID(metadata!B348,ROW(INDIRECT("1:"&amp;LEN(metadata!B348))), 1),"0123456789abcdefghijklmnopqrstuvwxyzABCDEFGHIJKLMNOPQRSTUVWXYZ.")))))</f>
        <v>0</v>
      </c>
      <c r="AC348">
        <f>OR(AND(IF(metadata!C348="",FALSE,TRUE),OR(exact(metadata!C348,"missing: not collected"),exact(metadata!C348,"missing: not provided"),exact(metadata!C348,"missing: restricted access"))),AND(IF(metadata!C348="",FALSE,TRUE),AND(AND(IFERROR(INT(LEFT(metadata!C348,4))&gt;1900,FALSE),IFERROR(INT(LEFT(metadata!C348,4))&lt;=YEAR(NOW()),FALSE)), OR(MID(metadata!C348,5,1)="", AND(AND(MID(metadata!C348,5,1)="-",IFERROR(INT(MID(metadata!C348,6,1))&gt;=0,FALSE),IFERROR(INT(MID(metadata!C348,6,1))&lt;=1,FALSE),NOT(MID(metadata!C348,7,1)=""),IFERROR(INT(MID(metadata!C348,6,2))&gt;=1,FALSE),IFERROR(INT(MID(metadata!C348,6,2))&lt;=12,FALSE)), OR(MID(metadata!C348,8,1)="", AND(AND(MID(metadata!C348,8,1)="-",IFERROR(INT(MID(metadata!C348,9,1))&gt;=0,FALSE),IFERROR(INT(MID(metadata!C348,9,1))&lt;=3,FALSE),NOT(MID(metadata!C348,10,1)=""),IFERROR(INT(MID(metadata!C348,9,2))&gt;=1,FALSE),IFERROR(INT(MID(metadata!C348,9,2))&lt;=31,FALSE)), OR(MID(metadata!C348,11,1)="", AND(AND(MID(metadata!C348,11,1)=" ",IFERROR(INT(MID(metadata!C348,12,1))&gt;=0,FALSE),IFERROR(INT(MID(metadata!C348,12,1))&lt;=2,FALSE),NOT(MID(metadata!C348,13,1)=""),IFERROR(INT(MID(metadata!C348,12,2))&gt;=0,FALSE),IFERROR(INT(MID(metadata!C348,12,2))&lt;=23,FALSE)), OR(MID(metadata!C348,14,1)="", AND(AND(MID(metadata!C348,14,1)=":",IFERROR(INT(MID(metadata!C348,15,1))&gt;=0,FALSE),IFERROR(INT(MID(metadata!C348,15,1))&lt;=5,FALSE),NOT(MID(metadata!C348,16,1)=""),IFERROR(INT(MID(metadata!C348,15,2))&gt;=0,FALSE),IFERROR(INT(MID(metadata!C348,15,2))&lt;=59,FALSE)), OR(MID(metadata!C348,17,1)="", AND(AND(MID(metadata!C348,17,1)=":",IFERROR(INT(MID(metadata!C348,18,1))&gt;=0,FALSE),IFERROR(INT(MID(metadata!C348,18,1))&lt;=5,FALSE),NOT(MID(metadata!C348,19,1)=""),IFERROR(INT(MID(metadata!C348,18,2))&gt;=0,FALSE),IFERROR(INT(MID(metadata!C348,18,2))&lt;=59,FALSE)), LEN(metadata!C348)&lt;=19)))))))))))))</f>
        <v>0</v>
      </c>
      <c r="AD348">
        <f>IF(metadata!D348="",FALSE,TRUE)</f>
        <v>0</v>
      </c>
      <c r="AE348">
        <f>OR(AND(IF(metadata!E348="",FALSE,TRUE),OR(exact(metadata!E348,"missing: not collected"),exact(metadata!E348,"missing: not provided"))),AND(IF(metadata!E348="",FALSE,TRUE),OR(exact(metadata!E348,"TRUE"),exact(metadata!E348,"FALSE"))))</f>
        <v>0</v>
      </c>
      <c r="AF348">
        <f>IF(metadata!F348="",FALSE,TRUE)</f>
        <v>0</v>
      </c>
      <c r="AG348">
        <f>IF(metadata!G348="",FALSE,TRUE)</f>
        <v>0</v>
      </c>
      <c r="AH348">
        <f>IF(metadata!H348="",FALSE,TRUE)</f>
        <v>0</v>
      </c>
      <c r="AI348">
        <f>OR(AND(IF(metadata!I348="",FALSE,TRUE),OR(exact(metadata!I348,"missing: not collected"),exact(metadata!I348,"missing: not provided"),exact(metadata!I348,"missing: restricted access"))),AND(IF(metadata!I348="",FALSE,TRUE),OR(exact(metadata!I348,"air"),exact(metadata!I348,"built environment"),exact(metadata!I348,"host-associated"),exact(metadata!I348,"human-associated"),exact(metadata!I348,"human-skin"),exact(metadata!I348,"human-oral"),exact(metadata!I348,"human-gut"),exact(metadata!I348,"human-vaginal"),exact(metadata!I348,"microbial mat/biofilm"),exact(metadata!I348,"misc environment"),exact(metadata!I348,"plant-associated"),exact(metadata!I348,"sediment"),exact(metadata!I348,"soil"),exact(metadata!I348,"wastewater/sludge"),exact(metadata!I348,"water"))))</f>
        <v>0</v>
      </c>
      <c r="AJ348">
        <f>IF(metadata!J348="",FALSE,TRUE)</f>
        <v>0</v>
      </c>
      <c r="AK348">
        <f>OR(AND(IF(metadata!K348="",FALSE,TRUE),OR(exact(metadata!K348,"missing: not collected"),exact(metadata!K348,"missing: not provided"),exact(metadata!K348,"missing: restricted access"))),AND(IF(metadata!K348="",FALSE,ISNUMBER(VALUE(metadata!K348))),metadata!K348&gt;=-90.00,metadata!K348&lt;=90.00))</f>
        <v>0</v>
      </c>
      <c r="AL348">
        <f>OR(AND(IF(metadata!L348="",FALSE,TRUE),OR(exact(metadata!L348,"missing: not collected"),exact(metadata!L348,"missing: not provided"),exact(metadata!L348,"missing: restricted access"))),AND(IF(metadata!L348="",FALSE,ISNUMBER(VALUE(metadata!L348))),metadata!L348&gt;=-180.00,metadata!L348&lt;=180.00))</f>
        <v>0</v>
      </c>
      <c r="AM348">
        <f>IF(metadata!M348="",FALSE,TRUE)</f>
        <v>0</v>
      </c>
      <c r="AN348">
        <f>OR(AND(IF(metadata!N348="",FALSE,TRUE),OR(exact(metadata!N348,"missing: not collected"),exact(metadata!N348,"missing: not provided"),exact(metadata!N348,"missing: restricted access"))),AND(IF(metadata!N348="",FALSE,TRUE),OR(exact(metadata!N348,"TRUE"),exact(metadata!N348,"FALSE"))))</f>
        <v>0</v>
      </c>
      <c r="AO348">
        <f>IF(metadata!O348="",FALSE,TRUE)</f>
        <v>0</v>
      </c>
      <c r="AP348">
        <f>OR(AND(IF(metadata!P348="",FALSE,TRUE),OR(exact(metadata!P348,"missing: not collected"),exact(metadata!P348,"missing: not provided"))),AND(IF(metadata!P348="",FALSE,IF(ISERROR(INT(metadata!P348)),FALSE,INT(metadata!P348)=metadata!P348)),metadata!P348&gt;0))</f>
        <v>0</v>
      </c>
      <c r="AQ348">
        <f>IF(metadata!Q348="",FALSE,TRUE)</f>
        <v>0</v>
      </c>
    </row>
    <row r="349" spans="1:43">
      <c r="A349" s="5">
        <f>IF(B349=" "," ",HYPERLINK(CONCATENATE("#metadata!",ADDRESS(INDEX($W$2:$W$1001,MATCH(ROWS($U$2:U349),$U$2:$U$1001,0),0),1)),INDEX($Z$2:$Z$1001,MATCH(ROWS($U$2:U349),$U$2:$U$1001,0),0)))</f>
        <v>0</v>
      </c>
      <c r="B349" s="4">
        <f>IF(OR(INDEX($V$2:$V$1001,MATCH(ROWS($U$2:U349),$U$2:$U$1001,0),1)&gt;=100000,INDEX($AB$1005:$AQ$1005,1,MATCH(COLUMNS($AB$1006:AB1006),$AB$1006:$AQ$1006,0))&gt;=100000), " ",IF(INDEX($AB$2:$AQ$1001,MATCH(ROWS($U$2:U349),$U$2:$U$1001,0),MATCH(COLUMNS($AB$1006:AB1006),$AB$1006:$AQ$1006,0)), HYPERLINK("#",""), HYPERLINK(CONCATENATE("#metadata!", ADDRESS(INDEX($W$2:$W$1001,MATCH(ROWS($U$2:U349),$U$2:$U$1001,0),0), INDEX($AB$1004:$AQ$1004,1,MATCH(COLUMNS($AB$1006:AB1006),$AB$1006:$AQ$1006,0)))),"Fix")))</f>
        <v>0</v>
      </c>
      <c r="C349" s="4">
        <f>IF(OR(INDEX($V$2:$V$1001,MATCH(ROWS($U$2:U349),$U$2:$U$1001,0),1)&gt;=100000,INDEX($AB$1005:$AQ$1005,1,MATCH(COLUMNS($AB$1006:AC1006),$AB$1006:$AQ$1006,0))&gt;=100000), " ",IF(INDEX($AB$2:$AQ$1001,MATCH(ROWS($U$2:U349),$U$2:$U$1001,0),MATCH(COLUMNS($AB$1006:AC1006),$AB$1006:$AQ$1006,0)), HYPERLINK("#",""), HYPERLINK(CONCATENATE("#metadata!", ADDRESS(INDEX($W$2:$W$1001,MATCH(ROWS($U$2:U349),$U$2:$U$1001,0),0), INDEX($AB$1004:$AQ$1004,1,MATCH(COLUMNS($AB$1006:AC1006),$AB$1006:$AQ$1006,0)))),"Fix")))</f>
        <v>0</v>
      </c>
      <c r="D349" s="4">
        <f>IF(OR(INDEX($V$2:$V$1001,MATCH(ROWS($U$2:U349),$U$2:$U$1001,0),1)&gt;=100000,INDEX($AB$1005:$AQ$1005,1,MATCH(COLUMNS($AB$1006:AD1006),$AB$1006:$AQ$1006,0))&gt;=100000), " ",IF(INDEX($AB$2:$AQ$1001,MATCH(ROWS($U$2:U349),$U$2:$U$1001,0),MATCH(COLUMNS($AB$1006:AD1006),$AB$1006:$AQ$1006,0)), HYPERLINK("#",""), HYPERLINK(CONCATENATE("#metadata!", ADDRESS(INDEX($W$2:$W$1001,MATCH(ROWS($U$2:U349),$U$2:$U$1001,0),0), INDEX($AB$1004:$AQ$1004,1,MATCH(COLUMNS($AB$1006:AD1006),$AB$1006:$AQ$1006,0)))),"Fix")))</f>
        <v>0</v>
      </c>
      <c r="E349" s="4">
        <f>IF(OR(INDEX($V$2:$V$1001,MATCH(ROWS($U$2:U349),$U$2:$U$1001,0),1)&gt;=100000,INDEX($AB$1005:$AQ$1005,1,MATCH(COLUMNS($AB$1006:AE1006),$AB$1006:$AQ$1006,0))&gt;=100000), " ",IF(INDEX($AB$2:$AQ$1001,MATCH(ROWS($U$2:U349),$U$2:$U$1001,0),MATCH(COLUMNS($AB$1006:AE1006),$AB$1006:$AQ$1006,0)), HYPERLINK("#",""), HYPERLINK(CONCATENATE("#metadata!", ADDRESS(INDEX($W$2:$W$1001,MATCH(ROWS($U$2:U349),$U$2:$U$1001,0),0), INDEX($AB$1004:$AQ$1004,1,MATCH(COLUMNS($AB$1006:AE1006),$AB$1006:$AQ$1006,0)))),"Fix")))</f>
        <v>0</v>
      </c>
      <c r="F349" s="4">
        <f>IF(OR(INDEX($V$2:$V$1001,MATCH(ROWS($U$2:U349),$U$2:$U$1001,0),1)&gt;=100000,INDEX($AB$1005:$AQ$1005,1,MATCH(COLUMNS($AB$1006:AF1006),$AB$1006:$AQ$1006,0))&gt;=100000), " ",IF(INDEX($AB$2:$AQ$1001,MATCH(ROWS($U$2:U349),$U$2:$U$1001,0),MATCH(COLUMNS($AB$1006:AF1006),$AB$1006:$AQ$1006,0)), HYPERLINK("#",""), HYPERLINK(CONCATENATE("#metadata!", ADDRESS(INDEX($W$2:$W$1001,MATCH(ROWS($U$2:U349),$U$2:$U$1001,0),0), INDEX($AB$1004:$AQ$1004,1,MATCH(COLUMNS($AB$1006:AF1006),$AB$1006:$AQ$1006,0)))),"Fix")))</f>
        <v>0</v>
      </c>
      <c r="G349" s="4">
        <f>IF(OR(INDEX($V$2:$V$1001,MATCH(ROWS($U$2:U349),$U$2:$U$1001,0),1)&gt;=100000,INDEX($AB$1005:$AQ$1005,1,MATCH(COLUMNS($AB$1006:AG1006),$AB$1006:$AQ$1006,0))&gt;=100000), " ",IF(INDEX($AB$2:$AQ$1001,MATCH(ROWS($U$2:U349),$U$2:$U$1001,0),MATCH(COLUMNS($AB$1006:AG1006),$AB$1006:$AQ$1006,0)), HYPERLINK("#",""), HYPERLINK(CONCATENATE("#metadata!", ADDRESS(INDEX($W$2:$W$1001,MATCH(ROWS($U$2:U349),$U$2:$U$1001,0),0), INDEX($AB$1004:$AQ$1004,1,MATCH(COLUMNS($AB$1006:AG1006),$AB$1006:$AQ$1006,0)))),"Fix")))</f>
        <v>0</v>
      </c>
      <c r="H349" s="4">
        <f>IF(OR(INDEX($V$2:$V$1001,MATCH(ROWS($U$2:U349),$U$2:$U$1001,0),1)&gt;=100000,INDEX($AB$1005:$AQ$1005,1,MATCH(COLUMNS($AB$1006:AH1006),$AB$1006:$AQ$1006,0))&gt;=100000), " ",IF(INDEX($AB$2:$AQ$1001,MATCH(ROWS($U$2:U349),$U$2:$U$1001,0),MATCH(COLUMNS($AB$1006:AH1006),$AB$1006:$AQ$1006,0)), HYPERLINK("#",""), HYPERLINK(CONCATENATE("#metadata!", ADDRESS(INDEX($W$2:$W$1001,MATCH(ROWS($U$2:U349),$U$2:$U$1001,0),0), INDEX($AB$1004:$AQ$1004,1,MATCH(COLUMNS($AB$1006:AH1006),$AB$1006:$AQ$1006,0)))),"Fix")))</f>
        <v>0</v>
      </c>
      <c r="I349" s="4">
        <f>IF(OR(INDEX($V$2:$V$1001,MATCH(ROWS($U$2:U349),$U$2:$U$1001,0),1)&gt;=100000,INDEX($AB$1005:$AQ$1005,1,MATCH(COLUMNS($AB$1006:AI1006),$AB$1006:$AQ$1006,0))&gt;=100000), " ",IF(INDEX($AB$2:$AQ$1001,MATCH(ROWS($U$2:U349),$U$2:$U$1001,0),MATCH(COLUMNS($AB$1006:AI1006),$AB$1006:$AQ$1006,0)), HYPERLINK("#",""), HYPERLINK(CONCATENATE("#metadata!", ADDRESS(INDEX($W$2:$W$1001,MATCH(ROWS($U$2:U349),$U$2:$U$1001,0),0), INDEX($AB$1004:$AQ$1004,1,MATCH(COLUMNS($AB$1006:AI1006),$AB$1006:$AQ$1006,0)))),"Fix")))</f>
        <v>0</v>
      </c>
      <c r="J349" s="4">
        <f>IF(OR(INDEX($V$2:$V$1001,MATCH(ROWS($U$2:U349),$U$2:$U$1001,0),1)&gt;=100000,INDEX($AB$1005:$AQ$1005,1,MATCH(COLUMNS($AB$1006:AJ1006),$AB$1006:$AQ$1006,0))&gt;=100000), " ",IF(INDEX($AB$2:$AQ$1001,MATCH(ROWS($U$2:U349),$U$2:$U$1001,0),MATCH(COLUMNS($AB$1006:AJ1006),$AB$1006:$AQ$1006,0)), HYPERLINK("#",""), HYPERLINK(CONCATENATE("#metadata!", ADDRESS(INDEX($W$2:$W$1001,MATCH(ROWS($U$2:U349),$U$2:$U$1001,0),0), INDEX($AB$1004:$AQ$1004,1,MATCH(COLUMNS($AB$1006:AJ1006),$AB$1006:$AQ$1006,0)))),"Fix")))</f>
        <v>0</v>
      </c>
      <c r="K349" s="4">
        <f>IF(OR(INDEX($V$2:$V$1001,MATCH(ROWS($U$2:U349),$U$2:$U$1001,0),1)&gt;=100000,INDEX($AB$1005:$AQ$1005,1,MATCH(COLUMNS($AB$1006:AK1006),$AB$1006:$AQ$1006,0))&gt;=100000), " ",IF(INDEX($AB$2:$AQ$1001,MATCH(ROWS($U$2:U349),$U$2:$U$1001,0),MATCH(COLUMNS($AB$1006:AK1006),$AB$1006:$AQ$1006,0)), HYPERLINK("#",""), HYPERLINK(CONCATENATE("#metadata!", ADDRESS(INDEX($W$2:$W$1001,MATCH(ROWS($U$2:U349),$U$2:$U$1001,0),0), INDEX($AB$1004:$AQ$1004,1,MATCH(COLUMNS($AB$1006:AK1006),$AB$1006:$AQ$1006,0)))),"Fix")))</f>
        <v>0</v>
      </c>
      <c r="L349" s="4">
        <f>IF(OR(INDEX($V$2:$V$1001,MATCH(ROWS($U$2:U349),$U$2:$U$1001,0),1)&gt;=100000,INDEX($AB$1005:$AQ$1005,1,MATCH(COLUMNS($AB$1006:AL1006),$AB$1006:$AQ$1006,0))&gt;=100000), " ",IF(INDEX($AB$2:$AQ$1001,MATCH(ROWS($U$2:U349),$U$2:$U$1001,0),MATCH(COLUMNS($AB$1006:AL1006),$AB$1006:$AQ$1006,0)), HYPERLINK("#",""), HYPERLINK(CONCATENATE("#metadata!", ADDRESS(INDEX($W$2:$W$1001,MATCH(ROWS($U$2:U349),$U$2:$U$1001,0),0), INDEX($AB$1004:$AQ$1004,1,MATCH(COLUMNS($AB$1006:AL1006),$AB$1006:$AQ$1006,0)))),"Fix")))</f>
        <v>0</v>
      </c>
      <c r="M349" s="4">
        <f>IF(OR(INDEX($V$2:$V$1001,MATCH(ROWS($U$2:U349),$U$2:$U$1001,0),1)&gt;=100000,INDEX($AB$1005:$AQ$1005,1,MATCH(COLUMNS($AB$1006:AM1006),$AB$1006:$AQ$1006,0))&gt;=100000), " ",IF(INDEX($AB$2:$AQ$1001,MATCH(ROWS($U$2:U349),$U$2:$U$1001,0),MATCH(COLUMNS($AB$1006:AM1006),$AB$1006:$AQ$1006,0)), HYPERLINK("#",""), HYPERLINK(CONCATENATE("#metadata!", ADDRESS(INDEX($W$2:$W$1001,MATCH(ROWS($U$2:U349),$U$2:$U$1001,0),0), INDEX($AB$1004:$AQ$1004,1,MATCH(COLUMNS($AB$1006:AM1006),$AB$1006:$AQ$1006,0)))),"Fix")))</f>
        <v>0</v>
      </c>
      <c r="N349" s="4">
        <f>IF(OR(INDEX($V$2:$V$1001,MATCH(ROWS($U$2:U349),$U$2:$U$1001,0),1)&gt;=100000,INDEX($AB$1005:$AQ$1005,1,MATCH(COLUMNS($AB$1006:AN1006),$AB$1006:$AQ$1006,0))&gt;=100000), " ",IF(INDEX($AB$2:$AQ$1001,MATCH(ROWS($U$2:U349),$U$2:$U$1001,0),MATCH(COLUMNS($AB$1006:AN1006),$AB$1006:$AQ$1006,0)), HYPERLINK("#",""), HYPERLINK(CONCATENATE("#metadata!", ADDRESS(INDEX($W$2:$W$1001,MATCH(ROWS($U$2:U349),$U$2:$U$1001,0),0), INDEX($AB$1004:$AQ$1004,1,MATCH(COLUMNS($AB$1006:AN1006),$AB$1006:$AQ$1006,0)))),"Fix")))</f>
        <v>0</v>
      </c>
      <c r="O349" s="4">
        <f>IF(OR(INDEX($V$2:$V$1001,MATCH(ROWS($U$2:U349),$U$2:$U$1001,0),1)&gt;=100000,INDEX($AB$1005:$AQ$1005,1,MATCH(COLUMNS($AB$1006:AO1006),$AB$1006:$AQ$1006,0))&gt;=100000), " ",IF(INDEX($AB$2:$AQ$1001,MATCH(ROWS($U$2:U349),$U$2:$U$1001,0),MATCH(COLUMNS($AB$1006:AO1006),$AB$1006:$AQ$1006,0)), HYPERLINK("#",""), HYPERLINK(CONCATENATE("#metadata!", ADDRESS(INDEX($W$2:$W$1001,MATCH(ROWS($U$2:U349),$U$2:$U$1001,0),0), INDEX($AB$1004:$AQ$1004,1,MATCH(COLUMNS($AB$1006:AO1006),$AB$1006:$AQ$1006,0)))),"Fix")))</f>
        <v>0</v>
      </c>
      <c r="P349" s="4">
        <f>IF(OR(INDEX($V$2:$V$1001,MATCH(ROWS($U$2:U349),$U$2:$U$1001,0),1)&gt;=100000,INDEX($AB$1005:$AQ$1005,1,MATCH(COLUMNS($AB$1006:AP1006),$AB$1006:$AQ$1006,0))&gt;=100000), " ",IF(INDEX($AB$2:$AQ$1001,MATCH(ROWS($U$2:U349),$U$2:$U$1001,0),MATCH(COLUMNS($AB$1006:AP1006),$AB$1006:$AQ$1006,0)), HYPERLINK("#",""), HYPERLINK(CONCATENATE("#metadata!", ADDRESS(INDEX($W$2:$W$1001,MATCH(ROWS($U$2:U349),$U$2:$U$1001,0),0), INDEX($AB$1004:$AQ$1004,1,MATCH(COLUMNS($AB$1006:AP1006),$AB$1006:$AQ$1006,0)))),"Fix")))</f>
        <v>0</v>
      </c>
      <c r="Q349" s="4">
        <f>IF(OR(INDEX($V$2:$V$1001,MATCH(ROWS($U$2:U349),$U$2:$U$1001,0),1)&gt;=100000,INDEX($AB$1005:$AQ$1005,1,MATCH(COLUMNS($AB$1006:AQ1006),$AB$1006:$AQ$1006,0))&gt;=100000), " ",IF(INDEX($AB$2:$AQ$1001,MATCH(ROWS($U$2:U349),$U$2:$U$1001,0),MATCH(COLUMNS($AB$1006:AQ1006),$AB$1006:$AQ$1006,0)), HYPERLINK("#",""), HYPERLINK(CONCATENATE("#metadata!", ADDRESS(INDEX($W$2:$W$1001,MATCH(ROWS($U$2:U349),$U$2:$U$1001,0),0), INDEX($AB$1004:$AQ$1004,1,MATCH(COLUMNS($AB$1006:AQ1006),$AB$1006:$AQ$1006,0)))),"Fix")))</f>
        <v>0</v>
      </c>
      <c r="U349">
        <v>0</v>
      </c>
      <c r="V349">
        <v>0</v>
      </c>
      <c r="W349">
        <v>0</v>
      </c>
      <c r="X349">
        <f>IF(Y349,TRUE,AND(AB349:AQ349))</f>
        <v>0</v>
      </c>
      <c r="Y349">
        <f>COUNTBLANK(metadata!B349:Q349)=COLUMNS(metadata!B349:Q349)</f>
        <v>0</v>
      </c>
      <c r="Z349">
        <v>0</v>
      </c>
      <c r="AB349">
        <f>AND(IF(metadata!B349="",FALSE,TRUE),COUNTIF(metadata!B:B, metadata!B349) = 1,NOT(ISERROR(SUMPRODUCT(SEARCH(MID(metadata!B349,ROW(INDIRECT("1:"&amp;LEN(metadata!B349))), 1),"0123456789abcdefghijklmnopqrstuvwxyzABCDEFGHIJKLMNOPQRSTUVWXYZ.")))))</f>
        <v>0</v>
      </c>
      <c r="AC349">
        <f>OR(AND(IF(metadata!C349="",FALSE,TRUE),OR(exact(metadata!C349,"missing: not collected"),exact(metadata!C349,"missing: not provided"),exact(metadata!C349,"missing: restricted access"))),AND(IF(metadata!C349="",FALSE,TRUE),AND(AND(IFERROR(INT(LEFT(metadata!C349,4))&gt;1900,FALSE),IFERROR(INT(LEFT(metadata!C349,4))&lt;=YEAR(NOW()),FALSE)), OR(MID(metadata!C349,5,1)="", AND(AND(MID(metadata!C349,5,1)="-",IFERROR(INT(MID(metadata!C349,6,1))&gt;=0,FALSE),IFERROR(INT(MID(metadata!C349,6,1))&lt;=1,FALSE),NOT(MID(metadata!C349,7,1)=""),IFERROR(INT(MID(metadata!C349,6,2))&gt;=1,FALSE),IFERROR(INT(MID(metadata!C349,6,2))&lt;=12,FALSE)), OR(MID(metadata!C349,8,1)="", AND(AND(MID(metadata!C349,8,1)="-",IFERROR(INT(MID(metadata!C349,9,1))&gt;=0,FALSE),IFERROR(INT(MID(metadata!C349,9,1))&lt;=3,FALSE),NOT(MID(metadata!C349,10,1)=""),IFERROR(INT(MID(metadata!C349,9,2))&gt;=1,FALSE),IFERROR(INT(MID(metadata!C349,9,2))&lt;=31,FALSE)), OR(MID(metadata!C349,11,1)="", AND(AND(MID(metadata!C349,11,1)=" ",IFERROR(INT(MID(metadata!C349,12,1))&gt;=0,FALSE),IFERROR(INT(MID(metadata!C349,12,1))&lt;=2,FALSE),NOT(MID(metadata!C349,13,1)=""),IFERROR(INT(MID(metadata!C349,12,2))&gt;=0,FALSE),IFERROR(INT(MID(metadata!C349,12,2))&lt;=23,FALSE)), OR(MID(metadata!C349,14,1)="", AND(AND(MID(metadata!C349,14,1)=":",IFERROR(INT(MID(metadata!C349,15,1))&gt;=0,FALSE),IFERROR(INT(MID(metadata!C349,15,1))&lt;=5,FALSE),NOT(MID(metadata!C349,16,1)=""),IFERROR(INT(MID(metadata!C349,15,2))&gt;=0,FALSE),IFERROR(INT(MID(metadata!C349,15,2))&lt;=59,FALSE)), OR(MID(metadata!C349,17,1)="", AND(AND(MID(metadata!C349,17,1)=":",IFERROR(INT(MID(metadata!C349,18,1))&gt;=0,FALSE),IFERROR(INT(MID(metadata!C349,18,1))&lt;=5,FALSE),NOT(MID(metadata!C349,19,1)=""),IFERROR(INT(MID(metadata!C349,18,2))&gt;=0,FALSE),IFERROR(INT(MID(metadata!C349,18,2))&lt;=59,FALSE)), LEN(metadata!C349)&lt;=19)))))))))))))</f>
        <v>0</v>
      </c>
      <c r="AD349">
        <f>IF(metadata!D349="",FALSE,TRUE)</f>
        <v>0</v>
      </c>
      <c r="AE349">
        <f>OR(AND(IF(metadata!E349="",FALSE,TRUE),OR(exact(metadata!E349,"missing: not collected"),exact(metadata!E349,"missing: not provided"))),AND(IF(metadata!E349="",FALSE,TRUE),OR(exact(metadata!E349,"TRUE"),exact(metadata!E349,"FALSE"))))</f>
        <v>0</v>
      </c>
      <c r="AF349">
        <f>IF(metadata!F349="",FALSE,TRUE)</f>
        <v>0</v>
      </c>
      <c r="AG349">
        <f>IF(metadata!G349="",FALSE,TRUE)</f>
        <v>0</v>
      </c>
      <c r="AH349">
        <f>IF(metadata!H349="",FALSE,TRUE)</f>
        <v>0</v>
      </c>
      <c r="AI349">
        <f>OR(AND(IF(metadata!I349="",FALSE,TRUE),OR(exact(metadata!I349,"missing: not collected"),exact(metadata!I349,"missing: not provided"),exact(metadata!I349,"missing: restricted access"))),AND(IF(metadata!I349="",FALSE,TRUE),OR(exact(metadata!I349,"air"),exact(metadata!I349,"built environment"),exact(metadata!I349,"host-associated"),exact(metadata!I349,"human-associated"),exact(metadata!I349,"human-skin"),exact(metadata!I349,"human-oral"),exact(metadata!I349,"human-gut"),exact(metadata!I349,"human-vaginal"),exact(metadata!I349,"microbial mat/biofilm"),exact(metadata!I349,"misc environment"),exact(metadata!I349,"plant-associated"),exact(metadata!I349,"sediment"),exact(metadata!I349,"soil"),exact(metadata!I349,"wastewater/sludge"),exact(metadata!I349,"water"))))</f>
        <v>0</v>
      </c>
      <c r="AJ349">
        <f>IF(metadata!J349="",FALSE,TRUE)</f>
        <v>0</v>
      </c>
      <c r="AK349">
        <f>OR(AND(IF(metadata!K349="",FALSE,TRUE),OR(exact(metadata!K349,"missing: not collected"),exact(metadata!K349,"missing: not provided"),exact(metadata!K349,"missing: restricted access"))),AND(IF(metadata!K349="",FALSE,ISNUMBER(VALUE(metadata!K349))),metadata!K349&gt;=-90.00,metadata!K349&lt;=90.00))</f>
        <v>0</v>
      </c>
      <c r="AL349">
        <f>OR(AND(IF(metadata!L349="",FALSE,TRUE),OR(exact(metadata!L349,"missing: not collected"),exact(metadata!L349,"missing: not provided"),exact(metadata!L349,"missing: restricted access"))),AND(IF(metadata!L349="",FALSE,ISNUMBER(VALUE(metadata!L349))),metadata!L349&gt;=-180.00,metadata!L349&lt;=180.00))</f>
        <v>0</v>
      </c>
      <c r="AM349">
        <f>IF(metadata!M349="",FALSE,TRUE)</f>
        <v>0</v>
      </c>
      <c r="AN349">
        <f>OR(AND(IF(metadata!N349="",FALSE,TRUE),OR(exact(metadata!N349,"missing: not collected"),exact(metadata!N349,"missing: not provided"),exact(metadata!N349,"missing: restricted access"))),AND(IF(metadata!N349="",FALSE,TRUE),OR(exact(metadata!N349,"TRUE"),exact(metadata!N349,"FALSE"))))</f>
        <v>0</v>
      </c>
      <c r="AO349">
        <f>IF(metadata!O349="",FALSE,TRUE)</f>
        <v>0</v>
      </c>
      <c r="AP349">
        <f>OR(AND(IF(metadata!P349="",FALSE,TRUE),OR(exact(metadata!P349,"missing: not collected"),exact(metadata!P349,"missing: not provided"))),AND(IF(metadata!P349="",FALSE,IF(ISERROR(INT(metadata!P349)),FALSE,INT(metadata!P349)=metadata!P349)),metadata!P349&gt;0))</f>
        <v>0</v>
      </c>
      <c r="AQ349">
        <f>IF(metadata!Q349="",FALSE,TRUE)</f>
        <v>0</v>
      </c>
    </row>
    <row r="350" spans="1:43">
      <c r="A350" s="5">
        <f>IF(B350=" "," ",HYPERLINK(CONCATENATE("#metadata!",ADDRESS(INDEX($W$2:$W$1001,MATCH(ROWS($U$2:U350),$U$2:$U$1001,0),0),1)),INDEX($Z$2:$Z$1001,MATCH(ROWS($U$2:U350),$U$2:$U$1001,0),0)))</f>
        <v>0</v>
      </c>
      <c r="B350" s="4">
        <f>IF(OR(INDEX($V$2:$V$1001,MATCH(ROWS($U$2:U350),$U$2:$U$1001,0),1)&gt;=100000,INDEX($AB$1005:$AQ$1005,1,MATCH(COLUMNS($AB$1006:AB1006),$AB$1006:$AQ$1006,0))&gt;=100000), " ",IF(INDEX($AB$2:$AQ$1001,MATCH(ROWS($U$2:U350),$U$2:$U$1001,0),MATCH(COLUMNS($AB$1006:AB1006),$AB$1006:$AQ$1006,0)), HYPERLINK("#",""), HYPERLINK(CONCATENATE("#metadata!", ADDRESS(INDEX($W$2:$W$1001,MATCH(ROWS($U$2:U350),$U$2:$U$1001,0),0), INDEX($AB$1004:$AQ$1004,1,MATCH(COLUMNS($AB$1006:AB1006),$AB$1006:$AQ$1006,0)))),"Fix")))</f>
        <v>0</v>
      </c>
      <c r="C350" s="4">
        <f>IF(OR(INDEX($V$2:$V$1001,MATCH(ROWS($U$2:U350),$U$2:$U$1001,0),1)&gt;=100000,INDEX($AB$1005:$AQ$1005,1,MATCH(COLUMNS($AB$1006:AC1006),$AB$1006:$AQ$1006,0))&gt;=100000), " ",IF(INDEX($AB$2:$AQ$1001,MATCH(ROWS($U$2:U350),$U$2:$U$1001,0),MATCH(COLUMNS($AB$1006:AC1006),$AB$1006:$AQ$1006,0)), HYPERLINK("#",""), HYPERLINK(CONCATENATE("#metadata!", ADDRESS(INDEX($W$2:$W$1001,MATCH(ROWS($U$2:U350),$U$2:$U$1001,0),0), INDEX($AB$1004:$AQ$1004,1,MATCH(COLUMNS($AB$1006:AC1006),$AB$1006:$AQ$1006,0)))),"Fix")))</f>
        <v>0</v>
      </c>
      <c r="D350" s="4">
        <f>IF(OR(INDEX($V$2:$V$1001,MATCH(ROWS($U$2:U350),$U$2:$U$1001,0),1)&gt;=100000,INDEX($AB$1005:$AQ$1005,1,MATCH(COLUMNS($AB$1006:AD1006),$AB$1006:$AQ$1006,0))&gt;=100000), " ",IF(INDEX($AB$2:$AQ$1001,MATCH(ROWS($U$2:U350),$U$2:$U$1001,0),MATCH(COLUMNS($AB$1006:AD1006),$AB$1006:$AQ$1006,0)), HYPERLINK("#",""), HYPERLINK(CONCATENATE("#metadata!", ADDRESS(INDEX($W$2:$W$1001,MATCH(ROWS($U$2:U350),$U$2:$U$1001,0),0), INDEX($AB$1004:$AQ$1004,1,MATCH(COLUMNS($AB$1006:AD1006),$AB$1006:$AQ$1006,0)))),"Fix")))</f>
        <v>0</v>
      </c>
      <c r="E350" s="4">
        <f>IF(OR(INDEX($V$2:$V$1001,MATCH(ROWS($U$2:U350),$U$2:$U$1001,0),1)&gt;=100000,INDEX($AB$1005:$AQ$1005,1,MATCH(COLUMNS($AB$1006:AE1006),$AB$1006:$AQ$1006,0))&gt;=100000), " ",IF(INDEX($AB$2:$AQ$1001,MATCH(ROWS($U$2:U350),$U$2:$U$1001,0),MATCH(COLUMNS($AB$1006:AE1006),$AB$1006:$AQ$1006,0)), HYPERLINK("#",""), HYPERLINK(CONCATENATE("#metadata!", ADDRESS(INDEX($W$2:$W$1001,MATCH(ROWS($U$2:U350),$U$2:$U$1001,0),0), INDEX($AB$1004:$AQ$1004,1,MATCH(COLUMNS($AB$1006:AE1006),$AB$1006:$AQ$1006,0)))),"Fix")))</f>
        <v>0</v>
      </c>
      <c r="F350" s="4">
        <f>IF(OR(INDEX($V$2:$V$1001,MATCH(ROWS($U$2:U350),$U$2:$U$1001,0),1)&gt;=100000,INDEX($AB$1005:$AQ$1005,1,MATCH(COLUMNS($AB$1006:AF1006),$AB$1006:$AQ$1006,0))&gt;=100000), " ",IF(INDEX($AB$2:$AQ$1001,MATCH(ROWS($U$2:U350),$U$2:$U$1001,0),MATCH(COLUMNS($AB$1006:AF1006),$AB$1006:$AQ$1006,0)), HYPERLINK("#",""), HYPERLINK(CONCATENATE("#metadata!", ADDRESS(INDEX($W$2:$W$1001,MATCH(ROWS($U$2:U350),$U$2:$U$1001,0),0), INDEX($AB$1004:$AQ$1004,1,MATCH(COLUMNS($AB$1006:AF1006),$AB$1006:$AQ$1006,0)))),"Fix")))</f>
        <v>0</v>
      </c>
      <c r="G350" s="4">
        <f>IF(OR(INDEX($V$2:$V$1001,MATCH(ROWS($U$2:U350),$U$2:$U$1001,0),1)&gt;=100000,INDEX($AB$1005:$AQ$1005,1,MATCH(COLUMNS($AB$1006:AG1006),$AB$1006:$AQ$1006,0))&gt;=100000), " ",IF(INDEX($AB$2:$AQ$1001,MATCH(ROWS($U$2:U350),$U$2:$U$1001,0),MATCH(COLUMNS($AB$1006:AG1006),$AB$1006:$AQ$1006,0)), HYPERLINK("#",""), HYPERLINK(CONCATENATE("#metadata!", ADDRESS(INDEX($W$2:$W$1001,MATCH(ROWS($U$2:U350),$U$2:$U$1001,0),0), INDEX($AB$1004:$AQ$1004,1,MATCH(COLUMNS($AB$1006:AG1006),$AB$1006:$AQ$1006,0)))),"Fix")))</f>
        <v>0</v>
      </c>
      <c r="H350" s="4">
        <f>IF(OR(INDEX($V$2:$V$1001,MATCH(ROWS($U$2:U350),$U$2:$U$1001,0),1)&gt;=100000,INDEX($AB$1005:$AQ$1005,1,MATCH(COLUMNS($AB$1006:AH1006),$AB$1006:$AQ$1006,0))&gt;=100000), " ",IF(INDEX($AB$2:$AQ$1001,MATCH(ROWS($U$2:U350),$U$2:$U$1001,0),MATCH(COLUMNS($AB$1006:AH1006),$AB$1006:$AQ$1006,0)), HYPERLINK("#",""), HYPERLINK(CONCATENATE("#metadata!", ADDRESS(INDEX($W$2:$W$1001,MATCH(ROWS($U$2:U350),$U$2:$U$1001,0),0), INDEX($AB$1004:$AQ$1004,1,MATCH(COLUMNS($AB$1006:AH1006),$AB$1006:$AQ$1006,0)))),"Fix")))</f>
        <v>0</v>
      </c>
      <c r="I350" s="4">
        <f>IF(OR(INDEX($V$2:$V$1001,MATCH(ROWS($U$2:U350),$U$2:$U$1001,0),1)&gt;=100000,INDEX($AB$1005:$AQ$1005,1,MATCH(COLUMNS($AB$1006:AI1006),$AB$1006:$AQ$1006,0))&gt;=100000), " ",IF(INDEX($AB$2:$AQ$1001,MATCH(ROWS($U$2:U350),$U$2:$U$1001,0),MATCH(COLUMNS($AB$1006:AI1006),$AB$1006:$AQ$1006,0)), HYPERLINK("#",""), HYPERLINK(CONCATENATE("#metadata!", ADDRESS(INDEX($W$2:$W$1001,MATCH(ROWS($U$2:U350),$U$2:$U$1001,0),0), INDEX($AB$1004:$AQ$1004,1,MATCH(COLUMNS($AB$1006:AI1006),$AB$1006:$AQ$1006,0)))),"Fix")))</f>
        <v>0</v>
      </c>
      <c r="J350" s="4">
        <f>IF(OR(INDEX($V$2:$V$1001,MATCH(ROWS($U$2:U350),$U$2:$U$1001,0),1)&gt;=100000,INDEX($AB$1005:$AQ$1005,1,MATCH(COLUMNS($AB$1006:AJ1006),$AB$1006:$AQ$1006,0))&gt;=100000), " ",IF(INDEX($AB$2:$AQ$1001,MATCH(ROWS($U$2:U350),$U$2:$U$1001,0),MATCH(COLUMNS($AB$1006:AJ1006),$AB$1006:$AQ$1006,0)), HYPERLINK("#",""), HYPERLINK(CONCATENATE("#metadata!", ADDRESS(INDEX($W$2:$W$1001,MATCH(ROWS($U$2:U350),$U$2:$U$1001,0),0), INDEX($AB$1004:$AQ$1004,1,MATCH(COLUMNS($AB$1006:AJ1006),$AB$1006:$AQ$1006,0)))),"Fix")))</f>
        <v>0</v>
      </c>
      <c r="K350" s="4">
        <f>IF(OR(INDEX($V$2:$V$1001,MATCH(ROWS($U$2:U350),$U$2:$U$1001,0),1)&gt;=100000,INDEX($AB$1005:$AQ$1005,1,MATCH(COLUMNS($AB$1006:AK1006),$AB$1006:$AQ$1006,0))&gt;=100000), " ",IF(INDEX($AB$2:$AQ$1001,MATCH(ROWS($U$2:U350),$U$2:$U$1001,0),MATCH(COLUMNS($AB$1006:AK1006),$AB$1006:$AQ$1006,0)), HYPERLINK("#",""), HYPERLINK(CONCATENATE("#metadata!", ADDRESS(INDEX($W$2:$W$1001,MATCH(ROWS($U$2:U350),$U$2:$U$1001,0),0), INDEX($AB$1004:$AQ$1004,1,MATCH(COLUMNS($AB$1006:AK1006),$AB$1006:$AQ$1006,0)))),"Fix")))</f>
        <v>0</v>
      </c>
      <c r="L350" s="4">
        <f>IF(OR(INDEX($V$2:$V$1001,MATCH(ROWS($U$2:U350),$U$2:$U$1001,0),1)&gt;=100000,INDEX($AB$1005:$AQ$1005,1,MATCH(COLUMNS($AB$1006:AL1006),$AB$1006:$AQ$1006,0))&gt;=100000), " ",IF(INDEX($AB$2:$AQ$1001,MATCH(ROWS($U$2:U350),$U$2:$U$1001,0),MATCH(COLUMNS($AB$1006:AL1006),$AB$1006:$AQ$1006,0)), HYPERLINK("#",""), HYPERLINK(CONCATENATE("#metadata!", ADDRESS(INDEX($W$2:$W$1001,MATCH(ROWS($U$2:U350),$U$2:$U$1001,0),0), INDEX($AB$1004:$AQ$1004,1,MATCH(COLUMNS($AB$1006:AL1006),$AB$1006:$AQ$1006,0)))),"Fix")))</f>
        <v>0</v>
      </c>
      <c r="M350" s="4">
        <f>IF(OR(INDEX($V$2:$V$1001,MATCH(ROWS($U$2:U350),$U$2:$U$1001,0),1)&gt;=100000,INDEX($AB$1005:$AQ$1005,1,MATCH(COLUMNS($AB$1006:AM1006),$AB$1006:$AQ$1006,0))&gt;=100000), " ",IF(INDEX($AB$2:$AQ$1001,MATCH(ROWS($U$2:U350),$U$2:$U$1001,0),MATCH(COLUMNS($AB$1006:AM1006),$AB$1006:$AQ$1006,0)), HYPERLINK("#",""), HYPERLINK(CONCATENATE("#metadata!", ADDRESS(INDEX($W$2:$W$1001,MATCH(ROWS($U$2:U350),$U$2:$U$1001,0),0), INDEX($AB$1004:$AQ$1004,1,MATCH(COLUMNS($AB$1006:AM1006),$AB$1006:$AQ$1006,0)))),"Fix")))</f>
        <v>0</v>
      </c>
      <c r="N350" s="4">
        <f>IF(OR(INDEX($V$2:$V$1001,MATCH(ROWS($U$2:U350),$U$2:$U$1001,0),1)&gt;=100000,INDEX($AB$1005:$AQ$1005,1,MATCH(COLUMNS($AB$1006:AN1006),$AB$1006:$AQ$1006,0))&gt;=100000), " ",IF(INDEX($AB$2:$AQ$1001,MATCH(ROWS($U$2:U350),$U$2:$U$1001,0),MATCH(COLUMNS($AB$1006:AN1006),$AB$1006:$AQ$1006,0)), HYPERLINK("#",""), HYPERLINK(CONCATENATE("#metadata!", ADDRESS(INDEX($W$2:$W$1001,MATCH(ROWS($U$2:U350),$U$2:$U$1001,0),0), INDEX($AB$1004:$AQ$1004,1,MATCH(COLUMNS($AB$1006:AN1006),$AB$1006:$AQ$1006,0)))),"Fix")))</f>
        <v>0</v>
      </c>
      <c r="O350" s="4">
        <f>IF(OR(INDEX($V$2:$V$1001,MATCH(ROWS($U$2:U350),$U$2:$U$1001,0),1)&gt;=100000,INDEX($AB$1005:$AQ$1005,1,MATCH(COLUMNS($AB$1006:AO1006),$AB$1006:$AQ$1006,0))&gt;=100000), " ",IF(INDEX($AB$2:$AQ$1001,MATCH(ROWS($U$2:U350),$U$2:$U$1001,0),MATCH(COLUMNS($AB$1006:AO1006),$AB$1006:$AQ$1006,0)), HYPERLINK("#",""), HYPERLINK(CONCATENATE("#metadata!", ADDRESS(INDEX($W$2:$W$1001,MATCH(ROWS($U$2:U350),$U$2:$U$1001,0),0), INDEX($AB$1004:$AQ$1004,1,MATCH(COLUMNS($AB$1006:AO1006),$AB$1006:$AQ$1006,0)))),"Fix")))</f>
        <v>0</v>
      </c>
      <c r="P350" s="4">
        <f>IF(OR(INDEX($V$2:$V$1001,MATCH(ROWS($U$2:U350),$U$2:$U$1001,0),1)&gt;=100000,INDEX($AB$1005:$AQ$1005,1,MATCH(COLUMNS($AB$1006:AP1006),$AB$1006:$AQ$1006,0))&gt;=100000), " ",IF(INDEX($AB$2:$AQ$1001,MATCH(ROWS($U$2:U350),$U$2:$U$1001,0),MATCH(COLUMNS($AB$1006:AP1006),$AB$1006:$AQ$1006,0)), HYPERLINK("#",""), HYPERLINK(CONCATENATE("#metadata!", ADDRESS(INDEX($W$2:$W$1001,MATCH(ROWS($U$2:U350),$U$2:$U$1001,0),0), INDEX($AB$1004:$AQ$1004,1,MATCH(COLUMNS($AB$1006:AP1006),$AB$1006:$AQ$1006,0)))),"Fix")))</f>
        <v>0</v>
      </c>
      <c r="Q350" s="4">
        <f>IF(OR(INDEX($V$2:$V$1001,MATCH(ROWS($U$2:U350),$U$2:$U$1001,0),1)&gt;=100000,INDEX($AB$1005:$AQ$1005,1,MATCH(COLUMNS($AB$1006:AQ1006),$AB$1006:$AQ$1006,0))&gt;=100000), " ",IF(INDEX($AB$2:$AQ$1001,MATCH(ROWS($U$2:U350),$U$2:$U$1001,0),MATCH(COLUMNS($AB$1006:AQ1006),$AB$1006:$AQ$1006,0)), HYPERLINK("#",""), HYPERLINK(CONCATENATE("#metadata!", ADDRESS(INDEX($W$2:$W$1001,MATCH(ROWS($U$2:U350),$U$2:$U$1001,0),0), INDEX($AB$1004:$AQ$1004,1,MATCH(COLUMNS($AB$1006:AQ1006),$AB$1006:$AQ$1006,0)))),"Fix")))</f>
        <v>0</v>
      </c>
      <c r="U350">
        <v>0</v>
      </c>
      <c r="V350">
        <v>0</v>
      </c>
      <c r="W350">
        <v>0</v>
      </c>
      <c r="X350">
        <f>IF(Y350,TRUE,AND(AB350:AQ350))</f>
        <v>0</v>
      </c>
      <c r="Y350">
        <f>COUNTBLANK(metadata!B350:Q350)=COLUMNS(metadata!B350:Q350)</f>
        <v>0</v>
      </c>
      <c r="Z350">
        <v>0</v>
      </c>
      <c r="AB350">
        <f>AND(IF(metadata!B350="",FALSE,TRUE),COUNTIF(metadata!B:B, metadata!B350) = 1,NOT(ISERROR(SUMPRODUCT(SEARCH(MID(metadata!B350,ROW(INDIRECT("1:"&amp;LEN(metadata!B350))), 1),"0123456789abcdefghijklmnopqrstuvwxyzABCDEFGHIJKLMNOPQRSTUVWXYZ.")))))</f>
        <v>0</v>
      </c>
      <c r="AC350">
        <f>OR(AND(IF(metadata!C350="",FALSE,TRUE),OR(exact(metadata!C350,"missing: not collected"),exact(metadata!C350,"missing: not provided"),exact(metadata!C350,"missing: restricted access"))),AND(IF(metadata!C350="",FALSE,TRUE),AND(AND(IFERROR(INT(LEFT(metadata!C350,4))&gt;1900,FALSE),IFERROR(INT(LEFT(metadata!C350,4))&lt;=YEAR(NOW()),FALSE)), OR(MID(metadata!C350,5,1)="", AND(AND(MID(metadata!C350,5,1)="-",IFERROR(INT(MID(metadata!C350,6,1))&gt;=0,FALSE),IFERROR(INT(MID(metadata!C350,6,1))&lt;=1,FALSE),NOT(MID(metadata!C350,7,1)=""),IFERROR(INT(MID(metadata!C350,6,2))&gt;=1,FALSE),IFERROR(INT(MID(metadata!C350,6,2))&lt;=12,FALSE)), OR(MID(metadata!C350,8,1)="", AND(AND(MID(metadata!C350,8,1)="-",IFERROR(INT(MID(metadata!C350,9,1))&gt;=0,FALSE),IFERROR(INT(MID(metadata!C350,9,1))&lt;=3,FALSE),NOT(MID(metadata!C350,10,1)=""),IFERROR(INT(MID(metadata!C350,9,2))&gt;=1,FALSE),IFERROR(INT(MID(metadata!C350,9,2))&lt;=31,FALSE)), OR(MID(metadata!C350,11,1)="", AND(AND(MID(metadata!C350,11,1)=" ",IFERROR(INT(MID(metadata!C350,12,1))&gt;=0,FALSE),IFERROR(INT(MID(metadata!C350,12,1))&lt;=2,FALSE),NOT(MID(metadata!C350,13,1)=""),IFERROR(INT(MID(metadata!C350,12,2))&gt;=0,FALSE),IFERROR(INT(MID(metadata!C350,12,2))&lt;=23,FALSE)), OR(MID(metadata!C350,14,1)="", AND(AND(MID(metadata!C350,14,1)=":",IFERROR(INT(MID(metadata!C350,15,1))&gt;=0,FALSE),IFERROR(INT(MID(metadata!C350,15,1))&lt;=5,FALSE),NOT(MID(metadata!C350,16,1)=""),IFERROR(INT(MID(metadata!C350,15,2))&gt;=0,FALSE),IFERROR(INT(MID(metadata!C350,15,2))&lt;=59,FALSE)), OR(MID(metadata!C350,17,1)="", AND(AND(MID(metadata!C350,17,1)=":",IFERROR(INT(MID(metadata!C350,18,1))&gt;=0,FALSE),IFERROR(INT(MID(metadata!C350,18,1))&lt;=5,FALSE),NOT(MID(metadata!C350,19,1)=""),IFERROR(INT(MID(metadata!C350,18,2))&gt;=0,FALSE),IFERROR(INT(MID(metadata!C350,18,2))&lt;=59,FALSE)), LEN(metadata!C350)&lt;=19)))))))))))))</f>
        <v>0</v>
      </c>
      <c r="AD350">
        <f>IF(metadata!D350="",FALSE,TRUE)</f>
        <v>0</v>
      </c>
      <c r="AE350">
        <f>OR(AND(IF(metadata!E350="",FALSE,TRUE),OR(exact(metadata!E350,"missing: not collected"),exact(metadata!E350,"missing: not provided"))),AND(IF(metadata!E350="",FALSE,TRUE),OR(exact(metadata!E350,"TRUE"),exact(metadata!E350,"FALSE"))))</f>
        <v>0</v>
      </c>
      <c r="AF350">
        <f>IF(metadata!F350="",FALSE,TRUE)</f>
        <v>0</v>
      </c>
      <c r="AG350">
        <f>IF(metadata!G350="",FALSE,TRUE)</f>
        <v>0</v>
      </c>
      <c r="AH350">
        <f>IF(metadata!H350="",FALSE,TRUE)</f>
        <v>0</v>
      </c>
      <c r="AI350">
        <f>OR(AND(IF(metadata!I350="",FALSE,TRUE),OR(exact(metadata!I350,"missing: not collected"),exact(metadata!I350,"missing: not provided"),exact(metadata!I350,"missing: restricted access"))),AND(IF(metadata!I350="",FALSE,TRUE),OR(exact(metadata!I350,"air"),exact(metadata!I350,"built environment"),exact(metadata!I350,"host-associated"),exact(metadata!I350,"human-associated"),exact(metadata!I350,"human-skin"),exact(metadata!I350,"human-oral"),exact(metadata!I350,"human-gut"),exact(metadata!I350,"human-vaginal"),exact(metadata!I350,"microbial mat/biofilm"),exact(metadata!I350,"misc environment"),exact(metadata!I350,"plant-associated"),exact(metadata!I350,"sediment"),exact(metadata!I350,"soil"),exact(metadata!I350,"wastewater/sludge"),exact(metadata!I350,"water"))))</f>
        <v>0</v>
      </c>
      <c r="AJ350">
        <f>IF(metadata!J350="",FALSE,TRUE)</f>
        <v>0</v>
      </c>
      <c r="AK350">
        <f>OR(AND(IF(metadata!K350="",FALSE,TRUE),OR(exact(metadata!K350,"missing: not collected"),exact(metadata!K350,"missing: not provided"),exact(metadata!K350,"missing: restricted access"))),AND(IF(metadata!K350="",FALSE,ISNUMBER(VALUE(metadata!K350))),metadata!K350&gt;=-90.00,metadata!K350&lt;=90.00))</f>
        <v>0</v>
      </c>
      <c r="AL350">
        <f>OR(AND(IF(metadata!L350="",FALSE,TRUE),OR(exact(metadata!L350,"missing: not collected"),exact(metadata!L350,"missing: not provided"),exact(metadata!L350,"missing: restricted access"))),AND(IF(metadata!L350="",FALSE,ISNUMBER(VALUE(metadata!L350))),metadata!L350&gt;=-180.00,metadata!L350&lt;=180.00))</f>
        <v>0</v>
      </c>
      <c r="AM350">
        <f>IF(metadata!M350="",FALSE,TRUE)</f>
        <v>0</v>
      </c>
      <c r="AN350">
        <f>OR(AND(IF(metadata!N350="",FALSE,TRUE),OR(exact(metadata!N350,"missing: not collected"),exact(metadata!N350,"missing: not provided"),exact(metadata!N350,"missing: restricted access"))),AND(IF(metadata!N350="",FALSE,TRUE),OR(exact(metadata!N350,"TRUE"),exact(metadata!N350,"FALSE"))))</f>
        <v>0</v>
      </c>
      <c r="AO350">
        <f>IF(metadata!O350="",FALSE,TRUE)</f>
        <v>0</v>
      </c>
      <c r="AP350">
        <f>OR(AND(IF(metadata!P350="",FALSE,TRUE),OR(exact(metadata!P350,"missing: not collected"),exact(metadata!P350,"missing: not provided"))),AND(IF(metadata!P350="",FALSE,IF(ISERROR(INT(metadata!P350)),FALSE,INT(metadata!P350)=metadata!P350)),metadata!P350&gt;0))</f>
        <v>0</v>
      </c>
      <c r="AQ350">
        <f>IF(metadata!Q350="",FALSE,TRUE)</f>
        <v>0</v>
      </c>
    </row>
    <row r="351" spans="1:43">
      <c r="A351" s="5">
        <f>IF(B351=" "," ",HYPERLINK(CONCATENATE("#metadata!",ADDRESS(INDEX($W$2:$W$1001,MATCH(ROWS($U$2:U351),$U$2:$U$1001,0),0),1)),INDEX($Z$2:$Z$1001,MATCH(ROWS($U$2:U351),$U$2:$U$1001,0),0)))</f>
        <v>0</v>
      </c>
      <c r="B351" s="4">
        <f>IF(OR(INDEX($V$2:$V$1001,MATCH(ROWS($U$2:U351),$U$2:$U$1001,0),1)&gt;=100000,INDEX($AB$1005:$AQ$1005,1,MATCH(COLUMNS($AB$1006:AB1006),$AB$1006:$AQ$1006,0))&gt;=100000), " ",IF(INDEX($AB$2:$AQ$1001,MATCH(ROWS($U$2:U351),$U$2:$U$1001,0),MATCH(COLUMNS($AB$1006:AB1006),$AB$1006:$AQ$1006,0)), HYPERLINK("#",""), HYPERLINK(CONCATENATE("#metadata!", ADDRESS(INDEX($W$2:$W$1001,MATCH(ROWS($U$2:U351),$U$2:$U$1001,0),0), INDEX($AB$1004:$AQ$1004,1,MATCH(COLUMNS($AB$1006:AB1006),$AB$1006:$AQ$1006,0)))),"Fix")))</f>
        <v>0</v>
      </c>
      <c r="C351" s="4">
        <f>IF(OR(INDEX($V$2:$V$1001,MATCH(ROWS($U$2:U351),$U$2:$U$1001,0),1)&gt;=100000,INDEX($AB$1005:$AQ$1005,1,MATCH(COLUMNS($AB$1006:AC1006),$AB$1006:$AQ$1006,0))&gt;=100000), " ",IF(INDEX($AB$2:$AQ$1001,MATCH(ROWS($U$2:U351),$U$2:$U$1001,0),MATCH(COLUMNS($AB$1006:AC1006),$AB$1006:$AQ$1006,0)), HYPERLINK("#",""), HYPERLINK(CONCATENATE("#metadata!", ADDRESS(INDEX($W$2:$W$1001,MATCH(ROWS($U$2:U351),$U$2:$U$1001,0),0), INDEX($AB$1004:$AQ$1004,1,MATCH(COLUMNS($AB$1006:AC1006),$AB$1006:$AQ$1006,0)))),"Fix")))</f>
        <v>0</v>
      </c>
      <c r="D351" s="4">
        <f>IF(OR(INDEX($V$2:$V$1001,MATCH(ROWS($U$2:U351),$U$2:$U$1001,0),1)&gt;=100000,INDEX($AB$1005:$AQ$1005,1,MATCH(COLUMNS($AB$1006:AD1006),$AB$1006:$AQ$1006,0))&gt;=100000), " ",IF(INDEX($AB$2:$AQ$1001,MATCH(ROWS($U$2:U351),$U$2:$U$1001,0),MATCH(COLUMNS($AB$1006:AD1006),$AB$1006:$AQ$1006,0)), HYPERLINK("#",""), HYPERLINK(CONCATENATE("#metadata!", ADDRESS(INDEX($W$2:$W$1001,MATCH(ROWS($U$2:U351),$U$2:$U$1001,0),0), INDEX($AB$1004:$AQ$1004,1,MATCH(COLUMNS($AB$1006:AD1006),$AB$1006:$AQ$1006,0)))),"Fix")))</f>
        <v>0</v>
      </c>
      <c r="E351" s="4">
        <f>IF(OR(INDEX($V$2:$V$1001,MATCH(ROWS($U$2:U351),$U$2:$U$1001,0),1)&gt;=100000,INDEX($AB$1005:$AQ$1005,1,MATCH(COLUMNS($AB$1006:AE1006),$AB$1006:$AQ$1006,0))&gt;=100000), " ",IF(INDEX($AB$2:$AQ$1001,MATCH(ROWS($U$2:U351),$U$2:$U$1001,0),MATCH(COLUMNS($AB$1006:AE1006),$AB$1006:$AQ$1006,0)), HYPERLINK("#",""), HYPERLINK(CONCATENATE("#metadata!", ADDRESS(INDEX($W$2:$W$1001,MATCH(ROWS($U$2:U351),$U$2:$U$1001,0),0), INDEX($AB$1004:$AQ$1004,1,MATCH(COLUMNS($AB$1006:AE1006),$AB$1006:$AQ$1006,0)))),"Fix")))</f>
        <v>0</v>
      </c>
      <c r="F351" s="4">
        <f>IF(OR(INDEX($V$2:$V$1001,MATCH(ROWS($U$2:U351),$U$2:$U$1001,0),1)&gt;=100000,INDEX($AB$1005:$AQ$1005,1,MATCH(COLUMNS($AB$1006:AF1006),$AB$1006:$AQ$1006,0))&gt;=100000), " ",IF(INDEX($AB$2:$AQ$1001,MATCH(ROWS($U$2:U351),$U$2:$U$1001,0),MATCH(COLUMNS($AB$1006:AF1006),$AB$1006:$AQ$1006,0)), HYPERLINK("#",""), HYPERLINK(CONCATENATE("#metadata!", ADDRESS(INDEX($W$2:$W$1001,MATCH(ROWS($U$2:U351),$U$2:$U$1001,0),0), INDEX($AB$1004:$AQ$1004,1,MATCH(COLUMNS($AB$1006:AF1006),$AB$1006:$AQ$1006,0)))),"Fix")))</f>
        <v>0</v>
      </c>
      <c r="G351" s="4">
        <f>IF(OR(INDEX($V$2:$V$1001,MATCH(ROWS($U$2:U351),$U$2:$U$1001,0),1)&gt;=100000,INDEX($AB$1005:$AQ$1005,1,MATCH(COLUMNS($AB$1006:AG1006),$AB$1006:$AQ$1006,0))&gt;=100000), " ",IF(INDEX($AB$2:$AQ$1001,MATCH(ROWS($U$2:U351),$U$2:$U$1001,0),MATCH(COLUMNS($AB$1006:AG1006),$AB$1006:$AQ$1006,0)), HYPERLINK("#",""), HYPERLINK(CONCATENATE("#metadata!", ADDRESS(INDEX($W$2:$W$1001,MATCH(ROWS($U$2:U351),$U$2:$U$1001,0),0), INDEX($AB$1004:$AQ$1004,1,MATCH(COLUMNS($AB$1006:AG1006),$AB$1006:$AQ$1006,0)))),"Fix")))</f>
        <v>0</v>
      </c>
      <c r="H351" s="4">
        <f>IF(OR(INDEX($V$2:$V$1001,MATCH(ROWS($U$2:U351),$U$2:$U$1001,0),1)&gt;=100000,INDEX($AB$1005:$AQ$1005,1,MATCH(COLUMNS($AB$1006:AH1006),$AB$1006:$AQ$1006,0))&gt;=100000), " ",IF(INDEX($AB$2:$AQ$1001,MATCH(ROWS($U$2:U351),$U$2:$U$1001,0),MATCH(COLUMNS($AB$1006:AH1006),$AB$1006:$AQ$1006,0)), HYPERLINK("#",""), HYPERLINK(CONCATENATE("#metadata!", ADDRESS(INDEX($W$2:$W$1001,MATCH(ROWS($U$2:U351),$U$2:$U$1001,0),0), INDEX($AB$1004:$AQ$1004,1,MATCH(COLUMNS($AB$1006:AH1006),$AB$1006:$AQ$1006,0)))),"Fix")))</f>
        <v>0</v>
      </c>
      <c r="I351" s="4">
        <f>IF(OR(INDEX($V$2:$V$1001,MATCH(ROWS($U$2:U351),$U$2:$U$1001,0),1)&gt;=100000,INDEX($AB$1005:$AQ$1005,1,MATCH(COLUMNS($AB$1006:AI1006),$AB$1006:$AQ$1006,0))&gt;=100000), " ",IF(INDEX($AB$2:$AQ$1001,MATCH(ROWS($U$2:U351),$U$2:$U$1001,0),MATCH(COLUMNS($AB$1006:AI1006),$AB$1006:$AQ$1006,0)), HYPERLINK("#",""), HYPERLINK(CONCATENATE("#metadata!", ADDRESS(INDEX($W$2:$W$1001,MATCH(ROWS($U$2:U351),$U$2:$U$1001,0),0), INDEX($AB$1004:$AQ$1004,1,MATCH(COLUMNS($AB$1006:AI1006),$AB$1006:$AQ$1006,0)))),"Fix")))</f>
        <v>0</v>
      </c>
      <c r="J351" s="4">
        <f>IF(OR(INDEX($V$2:$V$1001,MATCH(ROWS($U$2:U351),$U$2:$U$1001,0),1)&gt;=100000,INDEX($AB$1005:$AQ$1005,1,MATCH(COLUMNS($AB$1006:AJ1006),$AB$1006:$AQ$1006,0))&gt;=100000), " ",IF(INDEX($AB$2:$AQ$1001,MATCH(ROWS($U$2:U351),$U$2:$U$1001,0),MATCH(COLUMNS($AB$1006:AJ1006),$AB$1006:$AQ$1006,0)), HYPERLINK("#",""), HYPERLINK(CONCATENATE("#metadata!", ADDRESS(INDEX($W$2:$W$1001,MATCH(ROWS($U$2:U351),$U$2:$U$1001,0),0), INDEX($AB$1004:$AQ$1004,1,MATCH(COLUMNS($AB$1006:AJ1006),$AB$1006:$AQ$1006,0)))),"Fix")))</f>
        <v>0</v>
      </c>
      <c r="K351" s="4">
        <f>IF(OR(INDEX($V$2:$V$1001,MATCH(ROWS($U$2:U351),$U$2:$U$1001,0),1)&gt;=100000,INDEX($AB$1005:$AQ$1005,1,MATCH(COLUMNS($AB$1006:AK1006),$AB$1006:$AQ$1006,0))&gt;=100000), " ",IF(INDEX($AB$2:$AQ$1001,MATCH(ROWS($U$2:U351),$U$2:$U$1001,0),MATCH(COLUMNS($AB$1006:AK1006),$AB$1006:$AQ$1006,0)), HYPERLINK("#",""), HYPERLINK(CONCATENATE("#metadata!", ADDRESS(INDEX($W$2:$W$1001,MATCH(ROWS($U$2:U351),$U$2:$U$1001,0),0), INDEX($AB$1004:$AQ$1004,1,MATCH(COLUMNS($AB$1006:AK1006),$AB$1006:$AQ$1006,0)))),"Fix")))</f>
        <v>0</v>
      </c>
      <c r="L351" s="4">
        <f>IF(OR(INDEX($V$2:$V$1001,MATCH(ROWS($U$2:U351),$U$2:$U$1001,0),1)&gt;=100000,INDEX($AB$1005:$AQ$1005,1,MATCH(COLUMNS($AB$1006:AL1006),$AB$1006:$AQ$1006,0))&gt;=100000), " ",IF(INDEX($AB$2:$AQ$1001,MATCH(ROWS($U$2:U351),$U$2:$U$1001,0),MATCH(COLUMNS($AB$1006:AL1006),$AB$1006:$AQ$1006,0)), HYPERLINK("#",""), HYPERLINK(CONCATENATE("#metadata!", ADDRESS(INDEX($W$2:$W$1001,MATCH(ROWS($U$2:U351),$U$2:$U$1001,0),0), INDEX($AB$1004:$AQ$1004,1,MATCH(COLUMNS($AB$1006:AL1006),$AB$1006:$AQ$1006,0)))),"Fix")))</f>
        <v>0</v>
      </c>
      <c r="M351" s="4">
        <f>IF(OR(INDEX($V$2:$V$1001,MATCH(ROWS($U$2:U351),$U$2:$U$1001,0),1)&gt;=100000,INDEX($AB$1005:$AQ$1005,1,MATCH(COLUMNS($AB$1006:AM1006),$AB$1006:$AQ$1006,0))&gt;=100000), " ",IF(INDEX($AB$2:$AQ$1001,MATCH(ROWS($U$2:U351),$U$2:$U$1001,0),MATCH(COLUMNS($AB$1006:AM1006),$AB$1006:$AQ$1006,0)), HYPERLINK("#",""), HYPERLINK(CONCATENATE("#metadata!", ADDRESS(INDEX($W$2:$W$1001,MATCH(ROWS($U$2:U351),$U$2:$U$1001,0),0), INDEX($AB$1004:$AQ$1004,1,MATCH(COLUMNS($AB$1006:AM1006),$AB$1006:$AQ$1006,0)))),"Fix")))</f>
        <v>0</v>
      </c>
      <c r="N351" s="4">
        <f>IF(OR(INDEX($V$2:$V$1001,MATCH(ROWS($U$2:U351),$U$2:$U$1001,0),1)&gt;=100000,INDEX($AB$1005:$AQ$1005,1,MATCH(COLUMNS($AB$1006:AN1006),$AB$1006:$AQ$1006,0))&gt;=100000), " ",IF(INDEX($AB$2:$AQ$1001,MATCH(ROWS($U$2:U351),$U$2:$U$1001,0),MATCH(COLUMNS($AB$1006:AN1006),$AB$1006:$AQ$1006,0)), HYPERLINK("#",""), HYPERLINK(CONCATENATE("#metadata!", ADDRESS(INDEX($W$2:$W$1001,MATCH(ROWS($U$2:U351),$U$2:$U$1001,0),0), INDEX($AB$1004:$AQ$1004,1,MATCH(COLUMNS($AB$1006:AN1006),$AB$1006:$AQ$1006,0)))),"Fix")))</f>
        <v>0</v>
      </c>
      <c r="O351" s="4">
        <f>IF(OR(INDEX($V$2:$V$1001,MATCH(ROWS($U$2:U351),$U$2:$U$1001,0),1)&gt;=100000,INDEX($AB$1005:$AQ$1005,1,MATCH(COLUMNS($AB$1006:AO1006),$AB$1006:$AQ$1006,0))&gt;=100000), " ",IF(INDEX($AB$2:$AQ$1001,MATCH(ROWS($U$2:U351),$U$2:$U$1001,0),MATCH(COLUMNS($AB$1006:AO1006),$AB$1006:$AQ$1006,0)), HYPERLINK("#",""), HYPERLINK(CONCATENATE("#metadata!", ADDRESS(INDEX($W$2:$W$1001,MATCH(ROWS($U$2:U351),$U$2:$U$1001,0),0), INDEX($AB$1004:$AQ$1004,1,MATCH(COLUMNS($AB$1006:AO1006),$AB$1006:$AQ$1006,0)))),"Fix")))</f>
        <v>0</v>
      </c>
      <c r="P351" s="4">
        <f>IF(OR(INDEX($V$2:$V$1001,MATCH(ROWS($U$2:U351),$U$2:$U$1001,0),1)&gt;=100000,INDEX($AB$1005:$AQ$1005,1,MATCH(COLUMNS($AB$1006:AP1006),$AB$1006:$AQ$1006,0))&gt;=100000), " ",IF(INDEX($AB$2:$AQ$1001,MATCH(ROWS($U$2:U351),$U$2:$U$1001,0),MATCH(COLUMNS($AB$1006:AP1006),$AB$1006:$AQ$1006,0)), HYPERLINK("#",""), HYPERLINK(CONCATENATE("#metadata!", ADDRESS(INDEX($W$2:$W$1001,MATCH(ROWS($U$2:U351),$U$2:$U$1001,0),0), INDEX($AB$1004:$AQ$1004,1,MATCH(COLUMNS($AB$1006:AP1006),$AB$1006:$AQ$1006,0)))),"Fix")))</f>
        <v>0</v>
      </c>
      <c r="Q351" s="4">
        <f>IF(OR(INDEX($V$2:$V$1001,MATCH(ROWS($U$2:U351),$U$2:$U$1001,0),1)&gt;=100000,INDEX($AB$1005:$AQ$1005,1,MATCH(COLUMNS($AB$1006:AQ1006),$AB$1006:$AQ$1006,0))&gt;=100000), " ",IF(INDEX($AB$2:$AQ$1001,MATCH(ROWS($U$2:U351),$U$2:$U$1001,0),MATCH(COLUMNS($AB$1006:AQ1006),$AB$1006:$AQ$1006,0)), HYPERLINK("#",""), HYPERLINK(CONCATENATE("#metadata!", ADDRESS(INDEX($W$2:$W$1001,MATCH(ROWS($U$2:U351),$U$2:$U$1001,0),0), INDEX($AB$1004:$AQ$1004,1,MATCH(COLUMNS($AB$1006:AQ1006),$AB$1006:$AQ$1006,0)))),"Fix")))</f>
        <v>0</v>
      </c>
      <c r="U351">
        <v>0</v>
      </c>
      <c r="V351">
        <v>0</v>
      </c>
      <c r="W351">
        <v>0</v>
      </c>
      <c r="X351">
        <f>IF(Y351,TRUE,AND(AB351:AQ351))</f>
        <v>0</v>
      </c>
      <c r="Y351">
        <f>COUNTBLANK(metadata!B351:Q351)=COLUMNS(metadata!B351:Q351)</f>
        <v>0</v>
      </c>
      <c r="Z351">
        <v>0</v>
      </c>
      <c r="AB351">
        <f>AND(IF(metadata!B351="",FALSE,TRUE),COUNTIF(metadata!B:B, metadata!B351) = 1,NOT(ISERROR(SUMPRODUCT(SEARCH(MID(metadata!B351,ROW(INDIRECT("1:"&amp;LEN(metadata!B351))), 1),"0123456789abcdefghijklmnopqrstuvwxyzABCDEFGHIJKLMNOPQRSTUVWXYZ.")))))</f>
        <v>0</v>
      </c>
      <c r="AC351">
        <f>OR(AND(IF(metadata!C351="",FALSE,TRUE),OR(exact(metadata!C351,"missing: not collected"),exact(metadata!C351,"missing: not provided"),exact(metadata!C351,"missing: restricted access"))),AND(IF(metadata!C351="",FALSE,TRUE),AND(AND(IFERROR(INT(LEFT(metadata!C351,4))&gt;1900,FALSE),IFERROR(INT(LEFT(metadata!C351,4))&lt;=YEAR(NOW()),FALSE)), OR(MID(metadata!C351,5,1)="", AND(AND(MID(metadata!C351,5,1)="-",IFERROR(INT(MID(metadata!C351,6,1))&gt;=0,FALSE),IFERROR(INT(MID(metadata!C351,6,1))&lt;=1,FALSE),NOT(MID(metadata!C351,7,1)=""),IFERROR(INT(MID(metadata!C351,6,2))&gt;=1,FALSE),IFERROR(INT(MID(metadata!C351,6,2))&lt;=12,FALSE)), OR(MID(metadata!C351,8,1)="", AND(AND(MID(metadata!C351,8,1)="-",IFERROR(INT(MID(metadata!C351,9,1))&gt;=0,FALSE),IFERROR(INT(MID(metadata!C351,9,1))&lt;=3,FALSE),NOT(MID(metadata!C351,10,1)=""),IFERROR(INT(MID(metadata!C351,9,2))&gt;=1,FALSE),IFERROR(INT(MID(metadata!C351,9,2))&lt;=31,FALSE)), OR(MID(metadata!C351,11,1)="", AND(AND(MID(metadata!C351,11,1)=" ",IFERROR(INT(MID(metadata!C351,12,1))&gt;=0,FALSE),IFERROR(INT(MID(metadata!C351,12,1))&lt;=2,FALSE),NOT(MID(metadata!C351,13,1)=""),IFERROR(INT(MID(metadata!C351,12,2))&gt;=0,FALSE),IFERROR(INT(MID(metadata!C351,12,2))&lt;=23,FALSE)), OR(MID(metadata!C351,14,1)="", AND(AND(MID(metadata!C351,14,1)=":",IFERROR(INT(MID(metadata!C351,15,1))&gt;=0,FALSE),IFERROR(INT(MID(metadata!C351,15,1))&lt;=5,FALSE),NOT(MID(metadata!C351,16,1)=""),IFERROR(INT(MID(metadata!C351,15,2))&gt;=0,FALSE),IFERROR(INT(MID(metadata!C351,15,2))&lt;=59,FALSE)), OR(MID(metadata!C351,17,1)="", AND(AND(MID(metadata!C351,17,1)=":",IFERROR(INT(MID(metadata!C351,18,1))&gt;=0,FALSE),IFERROR(INT(MID(metadata!C351,18,1))&lt;=5,FALSE),NOT(MID(metadata!C351,19,1)=""),IFERROR(INT(MID(metadata!C351,18,2))&gt;=0,FALSE),IFERROR(INT(MID(metadata!C351,18,2))&lt;=59,FALSE)), LEN(metadata!C351)&lt;=19)))))))))))))</f>
        <v>0</v>
      </c>
      <c r="AD351">
        <f>IF(metadata!D351="",FALSE,TRUE)</f>
        <v>0</v>
      </c>
      <c r="AE351">
        <f>OR(AND(IF(metadata!E351="",FALSE,TRUE),OR(exact(metadata!E351,"missing: not collected"),exact(metadata!E351,"missing: not provided"))),AND(IF(metadata!E351="",FALSE,TRUE),OR(exact(metadata!E351,"TRUE"),exact(metadata!E351,"FALSE"))))</f>
        <v>0</v>
      </c>
      <c r="AF351">
        <f>IF(metadata!F351="",FALSE,TRUE)</f>
        <v>0</v>
      </c>
      <c r="AG351">
        <f>IF(metadata!G351="",FALSE,TRUE)</f>
        <v>0</v>
      </c>
      <c r="AH351">
        <f>IF(metadata!H351="",FALSE,TRUE)</f>
        <v>0</v>
      </c>
      <c r="AI351">
        <f>OR(AND(IF(metadata!I351="",FALSE,TRUE),OR(exact(metadata!I351,"missing: not collected"),exact(metadata!I351,"missing: not provided"),exact(metadata!I351,"missing: restricted access"))),AND(IF(metadata!I351="",FALSE,TRUE),OR(exact(metadata!I351,"air"),exact(metadata!I351,"built environment"),exact(metadata!I351,"host-associated"),exact(metadata!I351,"human-associated"),exact(metadata!I351,"human-skin"),exact(metadata!I351,"human-oral"),exact(metadata!I351,"human-gut"),exact(metadata!I351,"human-vaginal"),exact(metadata!I351,"microbial mat/biofilm"),exact(metadata!I351,"misc environment"),exact(metadata!I351,"plant-associated"),exact(metadata!I351,"sediment"),exact(metadata!I351,"soil"),exact(metadata!I351,"wastewater/sludge"),exact(metadata!I351,"water"))))</f>
        <v>0</v>
      </c>
      <c r="AJ351">
        <f>IF(metadata!J351="",FALSE,TRUE)</f>
        <v>0</v>
      </c>
      <c r="AK351">
        <f>OR(AND(IF(metadata!K351="",FALSE,TRUE),OR(exact(metadata!K351,"missing: not collected"),exact(metadata!K351,"missing: not provided"),exact(metadata!K351,"missing: restricted access"))),AND(IF(metadata!K351="",FALSE,ISNUMBER(VALUE(metadata!K351))),metadata!K351&gt;=-90.00,metadata!K351&lt;=90.00))</f>
        <v>0</v>
      </c>
      <c r="AL351">
        <f>OR(AND(IF(metadata!L351="",FALSE,TRUE),OR(exact(metadata!L351,"missing: not collected"),exact(metadata!L351,"missing: not provided"),exact(metadata!L351,"missing: restricted access"))),AND(IF(metadata!L351="",FALSE,ISNUMBER(VALUE(metadata!L351))),metadata!L351&gt;=-180.00,metadata!L351&lt;=180.00))</f>
        <v>0</v>
      </c>
      <c r="AM351">
        <f>IF(metadata!M351="",FALSE,TRUE)</f>
        <v>0</v>
      </c>
      <c r="AN351">
        <f>OR(AND(IF(metadata!N351="",FALSE,TRUE),OR(exact(metadata!N351,"missing: not collected"),exact(metadata!N351,"missing: not provided"),exact(metadata!N351,"missing: restricted access"))),AND(IF(metadata!N351="",FALSE,TRUE),OR(exact(metadata!N351,"TRUE"),exact(metadata!N351,"FALSE"))))</f>
        <v>0</v>
      </c>
      <c r="AO351">
        <f>IF(metadata!O351="",FALSE,TRUE)</f>
        <v>0</v>
      </c>
      <c r="AP351">
        <f>OR(AND(IF(metadata!P351="",FALSE,TRUE),OR(exact(metadata!P351,"missing: not collected"),exact(metadata!P351,"missing: not provided"))),AND(IF(metadata!P351="",FALSE,IF(ISERROR(INT(metadata!P351)),FALSE,INT(metadata!P351)=metadata!P351)),metadata!P351&gt;0))</f>
        <v>0</v>
      </c>
      <c r="AQ351">
        <f>IF(metadata!Q351="",FALSE,TRUE)</f>
        <v>0</v>
      </c>
    </row>
    <row r="352" spans="1:43">
      <c r="A352" s="5">
        <f>IF(B352=" "," ",HYPERLINK(CONCATENATE("#metadata!",ADDRESS(INDEX($W$2:$W$1001,MATCH(ROWS($U$2:U352),$U$2:$U$1001,0),0),1)),INDEX($Z$2:$Z$1001,MATCH(ROWS($U$2:U352),$U$2:$U$1001,0),0)))</f>
        <v>0</v>
      </c>
      <c r="B352" s="4">
        <f>IF(OR(INDEX($V$2:$V$1001,MATCH(ROWS($U$2:U352),$U$2:$U$1001,0),1)&gt;=100000,INDEX($AB$1005:$AQ$1005,1,MATCH(COLUMNS($AB$1006:AB1006),$AB$1006:$AQ$1006,0))&gt;=100000), " ",IF(INDEX($AB$2:$AQ$1001,MATCH(ROWS($U$2:U352),$U$2:$U$1001,0),MATCH(COLUMNS($AB$1006:AB1006),$AB$1006:$AQ$1006,0)), HYPERLINK("#",""), HYPERLINK(CONCATENATE("#metadata!", ADDRESS(INDEX($W$2:$W$1001,MATCH(ROWS($U$2:U352),$U$2:$U$1001,0),0), INDEX($AB$1004:$AQ$1004,1,MATCH(COLUMNS($AB$1006:AB1006),$AB$1006:$AQ$1006,0)))),"Fix")))</f>
        <v>0</v>
      </c>
      <c r="C352" s="4">
        <f>IF(OR(INDEX($V$2:$V$1001,MATCH(ROWS($U$2:U352),$U$2:$U$1001,0),1)&gt;=100000,INDEX($AB$1005:$AQ$1005,1,MATCH(COLUMNS($AB$1006:AC1006),$AB$1006:$AQ$1006,0))&gt;=100000), " ",IF(INDEX($AB$2:$AQ$1001,MATCH(ROWS($U$2:U352),$U$2:$U$1001,0),MATCH(COLUMNS($AB$1006:AC1006),$AB$1006:$AQ$1006,0)), HYPERLINK("#",""), HYPERLINK(CONCATENATE("#metadata!", ADDRESS(INDEX($W$2:$W$1001,MATCH(ROWS($U$2:U352),$U$2:$U$1001,0),0), INDEX($AB$1004:$AQ$1004,1,MATCH(COLUMNS($AB$1006:AC1006),$AB$1006:$AQ$1006,0)))),"Fix")))</f>
        <v>0</v>
      </c>
      <c r="D352" s="4">
        <f>IF(OR(INDEX($V$2:$V$1001,MATCH(ROWS($U$2:U352),$U$2:$U$1001,0),1)&gt;=100000,INDEX($AB$1005:$AQ$1005,1,MATCH(COLUMNS($AB$1006:AD1006),$AB$1006:$AQ$1006,0))&gt;=100000), " ",IF(INDEX($AB$2:$AQ$1001,MATCH(ROWS($U$2:U352),$U$2:$U$1001,0),MATCH(COLUMNS($AB$1006:AD1006),$AB$1006:$AQ$1006,0)), HYPERLINK("#",""), HYPERLINK(CONCATENATE("#metadata!", ADDRESS(INDEX($W$2:$W$1001,MATCH(ROWS($U$2:U352),$U$2:$U$1001,0),0), INDEX($AB$1004:$AQ$1004,1,MATCH(COLUMNS($AB$1006:AD1006),$AB$1006:$AQ$1006,0)))),"Fix")))</f>
        <v>0</v>
      </c>
      <c r="E352" s="4">
        <f>IF(OR(INDEX($V$2:$V$1001,MATCH(ROWS($U$2:U352),$U$2:$U$1001,0),1)&gt;=100000,INDEX($AB$1005:$AQ$1005,1,MATCH(COLUMNS($AB$1006:AE1006),$AB$1006:$AQ$1006,0))&gt;=100000), " ",IF(INDEX($AB$2:$AQ$1001,MATCH(ROWS($U$2:U352),$U$2:$U$1001,0),MATCH(COLUMNS($AB$1006:AE1006),$AB$1006:$AQ$1006,0)), HYPERLINK("#",""), HYPERLINK(CONCATENATE("#metadata!", ADDRESS(INDEX($W$2:$W$1001,MATCH(ROWS($U$2:U352),$U$2:$U$1001,0),0), INDEX($AB$1004:$AQ$1004,1,MATCH(COLUMNS($AB$1006:AE1006),$AB$1006:$AQ$1006,0)))),"Fix")))</f>
        <v>0</v>
      </c>
      <c r="F352" s="4">
        <f>IF(OR(INDEX($V$2:$V$1001,MATCH(ROWS($U$2:U352),$U$2:$U$1001,0),1)&gt;=100000,INDEX($AB$1005:$AQ$1005,1,MATCH(COLUMNS($AB$1006:AF1006),$AB$1006:$AQ$1006,0))&gt;=100000), " ",IF(INDEX($AB$2:$AQ$1001,MATCH(ROWS($U$2:U352),$U$2:$U$1001,0),MATCH(COLUMNS($AB$1006:AF1006),$AB$1006:$AQ$1006,0)), HYPERLINK("#",""), HYPERLINK(CONCATENATE("#metadata!", ADDRESS(INDEX($W$2:$W$1001,MATCH(ROWS($U$2:U352),$U$2:$U$1001,0),0), INDEX($AB$1004:$AQ$1004,1,MATCH(COLUMNS($AB$1006:AF1006),$AB$1006:$AQ$1006,0)))),"Fix")))</f>
        <v>0</v>
      </c>
      <c r="G352" s="4">
        <f>IF(OR(INDEX($V$2:$V$1001,MATCH(ROWS($U$2:U352),$U$2:$U$1001,0),1)&gt;=100000,INDEX($AB$1005:$AQ$1005,1,MATCH(COLUMNS($AB$1006:AG1006),$AB$1006:$AQ$1006,0))&gt;=100000), " ",IF(INDEX($AB$2:$AQ$1001,MATCH(ROWS($U$2:U352),$U$2:$U$1001,0),MATCH(COLUMNS($AB$1006:AG1006),$AB$1006:$AQ$1006,0)), HYPERLINK("#",""), HYPERLINK(CONCATENATE("#metadata!", ADDRESS(INDEX($W$2:$W$1001,MATCH(ROWS($U$2:U352),$U$2:$U$1001,0),0), INDEX($AB$1004:$AQ$1004,1,MATCH(COLUMNS($AB$1006:AG1006),$AB$1006:$AQ$1006,0)))),"Fix")))</f>
        <v>0</v>
      </c>
      <c r="H352" s="4">
        <f>IF(OR(INDEX($V$2:$V$1001,MATCH(ROWS($U$2:U352),$U$2:$U$1001,0),1)&gt;=100000,INDEX($AB$1005:$AQ$1005,1,MATCH(COLUMNS($AB$1006:AH1006),$AB$1006:$AQ$1006,0))&gt;=100000), " ",IF(INDEX($AB$2:$AQ$1001,MATCH(ROWS($U$2:U352),$U$2:$U$1001,0),MATCH(COLUMNS($AB$1006:AH1006),$AB$1006:$AQ$1006,0)), HYPERLINK("#",""), HYPERLINK(CONCATENATE("#metadata!", ADDRESS(INDEX($W$2:$W$1001,MATCH(ROWS($U$2:U352),$U$2:$U$1001,0),0), INDEX($AB$1004:$AQ$1004,1,MATCH(COLUMNS($AB$1006:AH1006),$AB$1006:$AQ$1006,0)))),"Fix")))</f>
        <v>0</v>
      </c>
      <c r="I352" s="4">
        <f>IF(OR(INDEX($V$2:$V$1001,MATCH(ROWS($U$2:U352),$U$2:$U$1001,0),1)&gt;=100000,INDEX($AB$1005:$AQ$1005,1,MATCH(COLUMNS($AB$1006:AI1006),$AB$1006:$AQ$1006,0))&gt;=100000), " ",IF(INDEX($AB$2:$AQ$1001,MATCH(ROWS($U$2:U352),$U$2:$U$1001,0),MATCH(COLUMNS($AB$1006:AI1006),$AB$1006:$AQ$1006,0)), HYPERLINK("#",""), HYPERLINK(CONCATENATE("#metadata!", ADDRESS(INDEX($W$2:$W$1001,MATCH(ROWS($U$2:U352),$U$2:$U$1001,0),0), INDEX($AB$1004:$AQ$1004,1,MATCH(COLUMNS($AB$1006:AI1006),$AB$1006:$AQ$1006,0)))),"Fix")))</f>
        <v>0</v>
      </c>
      <c r="J352" s="4">
        <f>IF(OR(INDEX($V$2:$V$1001,MATCH(ROWS($U$2:U352),$U$2:$U$1001,0),1)&gt;=100000,INDEX($AB$1005:$AQ$1005,1,MATCH(COLUMNS($AB$1006:AJ1006),$AB$1006:$AQ$1006,0))&gt;=100000), " ",IF(INDEX($AB$2:$AQ$1001,MATCH(ROWS($U$2:U352),$U$2:$U$1001,0),MATCH(COLUMNS($AB$1006:AJ1006),$AB$1006:$AQ$1006,0)), HYPERLINK("#",""), HYPERLINK(CONCATENATE("#metadata!", ADDRESS(INDEX($W$2:$W$1001,MATCH(ROWS($U$2:U352),$U$2:$U$1001,0),0), INDEX($AB$1004:$AQ$1004,1,MATCH(COLUMNS($AB$1006:AJ1006),$AB$1006:$AQ$1006,0)))),"Fix")))</f>
        <v>0</v>
      </c>
      <c r="K352" s="4">
        <f>IF(OR(INDEX($V$2:$V$1001,MATCH(ROWS($U$2:U352),$U$2:$U$1001,0),1)&gt;=100000,INDEX($AB$1005:$AQ$1005,1,MATCH(COLUMNS($AB$1006:AK1006),$AB$1006:$AQ$1006,0))&gt;=100000), " ",IF(INDEX($AB$2:$AQ$1001,MATCH(ROWS($U$2:U352),$U$2:$U$1001,0),MATCH(COLUMNS($AB$1006:AK1006),$AB$1006:$AQ$1006,0)), HYPERLINK("#",""), HYPERLINK(CONCATENATE("#metadata!", ADDRESS(INDEX($W$2:$W$1001,MATCH(ROWS($U$2:U352),$U$2:$U$1001,0),0), INDEX($AB$1004:$AQ$1004,1,MATCH(COLUMNS($AB$1006:AK1006),$AB$1006:$AQ$1006,0)))),"Fix")))</f>
        <v>0</v>
      </c>
      <c r="L352" s="4">
        <f>IF(OR(INDEX($V$2:$V$1001,MATCH(ROWS($U$2:U352),$U$2:$U$1001,0),1)&gt;=100000,INDEX($AB$1005:$AQ$1005,1,MATCH(COLUMNS($AB$1006:AL1006),$AB$1006:$AQ$1006,0))&gt;=100000), " ",IF(INDEX($AB$2:$AQ$1001,MATCH(ROWS($U$2:U352),$U$2:$U$1001,0),MATCH(COLUMNS($AB$1006:AL1006),$AB$1006:$AQ$1006,0)), HYPERLINK("#",""), HYPERLINK(CONCATENATE("#metadata!", ADDRESS(INDEX($W$2:$W$1001,MATCH(ROWS($U$2:U352),$U$2:$U$1001,0),0), INDEX($AB$1004:$AQ$1004,1,MATCH(COLUMNS($AB$1006:AL1006),$AB$1006:$AQ$1006,0)))),"Fix")))</f>
        <v>0</v>
      </c>
      <c r="M352" s="4">
        <f>IF(OR(INDEX($V$2:$V$1001,MATCH(ROWS($U$2:U352),$U$2:$U$1001,0),1)&gt;=100000,INDEX($AB$1005:$AQ$1005,1,MATCH(COLUMNS($AB$1006:AM1006),$AB$1006:$AQ$1006,0))&gt;=100000), " ",IF(INDEX($AB$2:$AQ$1001,MATCH(ROWS($U$2:U352),$U$2:$U$1001,0),MATCH(COLUMNS($AB$1006:AM1006),$AB$1006:$AQ$1006,0)), HYPERLINK("#",""), HYPERLINK(CONCATENATE("#metadata!", ADDRESS(INDEX($W$2:$W$1001,MATCH(ROWS($U$2:U352),$U$2:$U$1001,0),0), INDEX($AB$1004:$AQ$1004,1,MATCH(COLUMNS($AB$1006:AM1006),$AB$1006:$AQ$1006,0)))),"Fix")))</f>
        <v>0</v>
      </c>
      <c r="N352" s="4">
        <f>IF(OR(INDEX($V$2:$V$1001,MATCH(ROWS($U$2:U352),$U$2:$U$1001,0),1)&gt;=100000,INDEX($AB$1005:$AQ$1005,1,MATCH(COLUMNS($AB$1006:AN1006),$AB$1006:$AQ$1006,0))&gt;=100000), " ",IF(INDEX($AB$2:$AQ$1001,MATCH(ROWS($U$2:U352),$U$2:$U$1001,0),MATCH(COLUMNS($AB$1006:AN1006),$AB$1006:$AQ$1006,0)), HYPERLINK("#",""), HYPERLINK(CONCATENATE("#metadata!", ADDRESS(INDEX($W$2:$W$1001,MATCH(ROWS($U$2:U352),$U$2:$U$1001,0),0), INDEX($AB$1004:$AQ$1004,1,MATCH(COLUMNS($AB$1006:AN1006),$AB$1006:$AQ$1006,0)))),"Fix")))</f>
        <v>0</v>
      </c>
      <c r="O352" s="4">
        <f>IF(OR(INDEX($V$2:$V$1001,MATCH(ROWS($U$2:U352),$U$2:$U$1001,0),1)&gt;=100000,INDEX($AB$1005:$AQ$1005,1,MATCH(COLUMNS($AB$1006:AO1006),$AB$1006:$AQ$1006,0))&gt;=100000), " ",IF(INDEX($AB$2:$AQ$1001,MATCH(ROWS($U$2:U352),$U$2:$U$1001,0),MATCH(COLUMNS($AB$1006:AO1006),$AB$1006:$AQ$1006,0)), HYPERLINK("#",""), HYPERLINK(CONCATENATE("#metadata!", ADDRESS(INDEX($W$2:$W$1001,MATCH(ROWS($U$2:U352),$U$2:$U$1001,0),0), INDEX($AB$1004:$AQ$1004,1,MATCH(COLUMNS($AB$1006:AO1006),$AB$1006:$AQ$1006,0)))),"Fix")))</f>
        <v>0</v>
      </c>
      <c r="P352" s="4">
        <f>IF(OR(INDEX($V$2:$V$1001,MATCH(ROWS($U$2:U352),$U$2:$U$1001,0),1)&gt;=100000,INDEX($AB$1005:$AQ$1005,1,MATCH(COLUMNS($AB$1006:AP1006),$AB$1006:$AQ$1006,0))&gt;=100000), " ",IF(INDEX($AB$2:$AQ$1001,MATCH(ROWS($U$2:U352),$U$2:$U$1001,0),MATCH(COLUMNS($AB$1006:AP1006),$AB$1006:$AQ$1006,0)), HYPERLINK("#",""), HYPERLINK(CONCATENATE("#metadata!", ADDRESS(INDEX($W$2:$W$1001,MATCH(ROWS($U$2:U352),$U$2:$U$1001,0),0), INDEX($AB$1004:$AQ$1004,1,MATCH(COLUMNS($AB$1006:AP1006),$AB$1006:$AQ$1006,0)))),"Fix")))</f>
        <v>0</v>
      </c>
      <c r="Q352" s="4">
        <f>IF(OR(INDEX($V$2:$V$1001,MATCH(ROWS($U$2:U352),$U$2:$U$1001,0),1)&gt;=100000,INDEX($AB$1005:$AQ$1005,1,MATCH(COLUMNS($AB$1006:AQ1006),$AB$1006:$AQ$1006,0))&gt;=100000), " ",IF(INDEX($AB$2:$AQ$1001,MATCH(ROWS($U$2:U352),$U$2:$U$1001,0),MATCH(COLUMNS($AB$1006:AQ1006),$AB$1006:$AQ$1006,0)), HYPERLINK("#",""), HYPERLINK(CONCATENATE("#metadata!", ADDRESS(INDEX($W$2:$W$1001,MATCH(ROWS($U$2:U352),$U$2:$U$1001,0),0), INDEX($AB$1004:$AQ$1004,1,MATCH(COLUMNS($AB$1006:AQ1006),$AB$1006:$AQ$1006,0)))),"Fix")))</f>
        <v>0</v>
      </c>
      <c r="U352">
        <v>0</v>
      </c>
      <c r="V352">
        <v>0</v>
      </c>
      <c r="W352">
        <v>0</v>
      </c>
      <c r="X352">
        <f>IF(Y352,TRUE,AND(AB352:AQ352))</f>
        <v>0</v>
      </c>
      <c r="Y352">
        <f>COUNTBLANK(metadata!B352:Q352)=COLUMNS(metadata!B352:Q352)</f>
        <v>0</v>
      </c>
      <c r="Z352">
        <v>0</v>
      </c>
      <c r="AB352">
        <f>AND(IF(metadata!B352="",FALSE,TRUE),COUNTIF(metadata!B:B, metadata!B352) = 1,NOT(ISERROR(SUMPRODUCT(SEARCH(MID(metadata!B352,ROW(INDIRECT("1:"&amp;LEN(metadata!B352))), 1),"0123456789abcdefghijklmnopqrstuvwxyzABCDEFGHIJKLMNOPQRSTUVWXYZ.")))))</f>
        <v>0</v>
      </c>
      <c r="AC352">
        <f>OR(AND(IF(metadata!C352="",FALSE,TRUE),OR(exact(metadata!C352,"missing: not collected"),exact(metadata!C352,"missing: not provided"),exact(metadata!C352,"missing: restricted access"))),AND(IF(metadata!C352="",FALSE,TRUE),AND(AND(IFERROR(INT(LEFT(metadata!C352,4))&gt;1900,FALSE),IFERROR(INT(LEFT(metadata!C352,4))&lt;=YEAR(NOW()),FALSE)), OR(MID(metadata!C352,5,1)="", AND(AND(MID(metadata!C352,5,1)="-",IFERROR(INT(MID(metadata!C352,6,1))&gt;=0,FALSE),IFERROR(INT(MID(metadata!C352,6,1))&lt;=1,FALSE),NOT(MID(metadata!C352,7,1)=""),IFERROR(INT(MID(metadata!C352,6,2))&gt;=1,FALSE),IFERROR(INT(MID(metadata!C352,6,2))&lt;=12,FALSE)), OR(MID(metadata!C352,8,1)="", AND(AND(MID(metadata!C352,8,1)="-",IFERROR(INT(MID(metadata!C352,9,1))&gt;=0,FALSE),IFERROR(INT(MID(metadata!C352,9,1))&lt;=3,FALSE),NOT(MID(metadata!C352,10,1)=""),IFERROR(INT(MID(metadata!C352,9,2))&gt;=1,FALSE),IFERROR(INT(MID(metadata!C352,9,2))&lt;=31,FALSE)), OR(MID(metadata!C352,11,1)="", AND(AND(MID(metadata!C352,11,1)=" ",IFERROR(INT(MID(metadata!C352,12,1))&gt;=0,FALSE),IFERROR(INT(MID(metadata!C352,12,1))&lt;=2,FALSE),NOT(MID(metadata!C352,13,1)=""),IFERROR(INT(MID(metadata!C352,12,2))&gt;=0,FALSE),IFERROR(INT(MID(metadata!C352,12,2))&lt;=23,FALSE)), OR(MID(metadata!C352,14,1)="", AND(AND(MID(metadata!C352,14,1)=":",IFERROR(INT(MID(metadata!C352,15,1))&gt;=0,FALSE),IFERROR(INT(MID(metadata!C352,15,1))&lt;=5,FALSE),NOT(MID(metadata!C352,16,1)=""),IFERROR(INT(MID(metadata!C352,15,2))&gt;=0,FALSE),IFERROR(INT(MID(metadata!C352,15,2))&lt;=59,FALSE)), OR(MID(metadata!C352,17,1)="", AND(AND(MID(metadata!C352,17,1)=":",IFERROR(INT(MID(metadata!C352,18,1))&gt;=0,FALSE),IFERROR(INT(MID(metadata!C352,18,1))&lt;=5,FALSE),NOT(MID(metadata!C352,19,1)=""),IFERROR(INT(MID(metadata!C352,18,2))&gt;=0,FALSE),IFERROR(INT(MID(metadata!C352,18,2))&lt;=59,FALSE)), LEN(metadata!C352)&lt;=19)))))))))))))</f>
        <v>0</v>
      </c>
      <c r="AD352">
        <f>IF(metadata!D352="",FALSE,TRUE)</f>
        <v>0</v>
      </c>
      <c r="AE352">
        <f>OR(AND(IF(metadata!E352="",FALSE,TRUE),OR(exact(metadata!E352,"missing: not collected"),exact(metadata!E352,"missing: not provided"))),AND(IF(metadata!E352="",FALSE,TRUE),OR(exact(metadata!E352,"TRUE"),exact(metadata!E352,"FALSE"))))</f>
        <v>0</v>
      </c>
      <c r="AF352">
        <f>IF(metadata!F352="",FALSE,TRUE)</f>
        <v>0</v>
      </c>
      <c r="AG352">
        <f>IF(metadata!G352="",FALSE,TRUE)</f>
        <v>0</v>
      </c>
      <c r="AH352">
        <f>IF(metadata!H352="",FALSE,TRUE)</f>
        <v>0</v>
      </c>
      <c r="AI352">
        <f>OR(AND(IF(metadata!I352="",FALSE,TRUE),OR(exact(metadata!I352,"missing: not collected"),exact(metadata!I352,"missing: not provided"),exact(metadata!I352,"missing: restricted access"))),AND(IF(metadata!I352="",FALSE,TRUE),OR(exact(metadata!I352,"air"),exact(metadata!I352,"built environment"),exact(metadata!I352,"host-associated"),exact(metadata!I352,"human-associated"),exact(metadata!I352,"human-skin"),exact(metadata!I352,"human-oral"),exact(metadata!I352,"human-gut"),exact(metadata!I352,"human-vaginal"),exact(metadata!I352,"microbial mat/biofilm"),exact(metadata!I352,"misc environment"),exact(metadata!I352,"plant-associated"),exact(metadata!I352,"sediment"),exact(metadata!I352,"soil"),exact(metadata!I352,"wastewater/sludge"),exact(metadata!I352,"water"))))</f>
        <v>0</v>
      </c>
      <c r="AJ352">
        <f>IF(metadata!J352="",FALSE,TRUE)</f>
        <v>0</v>
      </c>
      <c r="AK352">
        <f>OR(AND(IF(metadata!K352="",FALSE,TRUE),OR(exact(metadata!K352,"missing: not collected"),exact(metadata!K352,"missing: not provided"),exact(metadata!K352,"missing: restricted access"))),AND(IF(metadata!K352="",FALSE,ISNUMBER(VALUE(metadata!K352))),metadata!K352&gt;=-90.00,metadata!K352&lt;=90.00))</f>
        <v>0</v>
      </c>
      <c r="AL352">
        <f>OR(AND(IF(metadata!L352="",FALSE,TRUE),OR(exact(metadata!L352,"missing: not collected"),exact(metadata!L352,"missing: not provided"),exact(metadata!L352,"missing: restricted access"))),AND(IF(metadata!L352="",FALSE,ISNUMBER(VALUE(metadata!L352))),metadata!L352&gt;=-180.00,metadata!L352&lt;=180.00))</f>
        <v>0</v>
      </c>
      <c r="AM352">
        <f>IF(metadata!M352="",FALSE,TRUE)</f>
        <v>0</v>
      </c>
      <c r="AN352">
        <f>OR(AND(IF(metadata!N352="",FALSE,TRUE),OR(exact(metadata!N352,"missing: not collected"),exact(metadata!N352,"missing: not provided"),exact(metadata!N352,"missing: restricted access"))),AND(IF(metadata!N352="",FALSE,TRUE),OR(exact(metadata!N352,"TRUE"),exact(metadata!N352,"FALSE"))))</f>
        <v>0</v>
      </c>
      <c r="AO352">
        <f>IF(metadata!O352="",FALSE,TRUE)</f>
        <v>0</v>
      </c>
      <c r="AP352">
        <f>OR(AND(IF(metadata!P352="",FALSE,TRUE),OR(exact(metadata!P352,"missing: not collected"),exact(metadata!P352,"missing: not provided"))),AND(IF(metadata!P352="",FALSE,IF(ISERROR(INT(metadata!P352)),FALSE,INT(metadata!P352)=metadata!P352)),metadata!P352&gt;0))</f>
        <v>0</v>
      </c>
      <c r="AQ352">
        <f>IF(metadata!Q352="",FALSE,TRUE)</f>
        <v>0</v>
      </c>
    </row>
    <row r="353" spans="1:43">
      <c r="A353" s="5">
        <f>IF(B353=" "," ",HYPERLINK(CONCATENATE("#metadata!",ADDRESS(INDEX($W$2:$W$1001,MATCH(ROWS($U$2:U353),$U$2:$U$1001,0),0),1)),INDEX($Z$2:$Z$1001,MATCH(ROWS($U$2:U353),$U$2:$U$1001,0),0)))</f>
        <v>0</v>
      </c>
      <c r="B353" s="4">
        <f>IF(OR(INDEX($V$2:$V$1001,MATCH(ROWS($U$2:U353),$U$2:$U$1001,0),1)&gt;=100000,INDEX($AB$1005:$AQ$1005,1,MATCH(COLUMNS($AB$1006:AB1006),$AB$1006:$AQ$1006,0))&gt;=100000), " ",IF(INDEX($AB$2:$AQ$1001,MATCH(ROWS($U$2:U353),$U$2:$U$1001,0),MATCH(COLUMNS($AB$1006:AB1006),$AB$1006:$AQ$1006,0)), HYPERLINK("#",""), HYPERLINK(CONCATENATE("#metadata!", ADDRESS(INDEX($W$2:$W$1001,MATCH(ROWS($U$2:U353),$U$2:$U$1001,0),0), INDEX($AB$1004:$AQ$1004,1,MATCH(COLUMNS($AB$1006:AB1006),$AB$1006:$AQ$1006,0)))),"Fix")))</f>
        <v>0</v>
      </c>
      <c r="C353" s="4">
        <f>IF(OR(INDEX($V$2:$V$1001,MATCH(ROWS($U$2:U353),$U$2:$U$1001,0),1)&gt;=100000,INDEX($AB$1005:$AQ$1005,1,MATCH(COLUMNS($AB$1006:AC1006),$AB$1006:$AQ$1006,0))&gt;=100000), " ",IF(INDEX($AB$2:$AQ$1001,MATCH(ROWS($U$2:U353),$U$2:$U$1001,0),MATCH(COLUMNS($AB$1006:AC1006),$AB$1006:$AQ$1006,0)), HYPERLINK("#",""), HYPERLINK(CONCATENATE("#metadata!", ADDRESS(INDEX($W$2:$W$1001,MATCH(ROWS($U$2:U353),$U$2:$U$1001,0),0), INDEX($AB$1004:$AQ$1004,1,MATCH(COLUMNS($AB$1006:AC1006),$AB$1006:$AQ$1006,0)))),"Fix")))</f>
        <v>0</v>
      </c>
      <c r="D353" s="4">
        <f>IF(OR(INDEX($V$2:$V$1001,MATCH(ROWS($U$2:U353),$U$2:$U$1001,0),1)&gt;=100000,INDEX($AB$1005:$AQ$1005,1,MATCH(COLUMNS($AB$1006:AD1006),$AB$1006:$AQ$1006,0))&gt;=100000), " ",IF(INDEX($AB$2:$AQ$1001,MATCH(ROWS($U$2:U353),$U$2:$U$1001,0),MATCH(COLUMNS($AB$1006:AD1006),$AB$1006:$AQ$1006,0)), HYPERLINK("#",""), HYPERLINK(CONCATENATE("#metadata!", ADDRESS(INDEX($W$2:$W$1001,MATCH(ROWS($U$2:U353),$U$2:$U$1001,0),0), INDEX($AB$1004:$AQ$1004,1,MATCH(COLUMNS($AB$1006:AD1006),$AB$1006:$AQ$1006,0)))),"Fix")))</f>
        <v>0</v>
      </c>
      <c r="E353" s="4">
        <f>IF(OR(INDEX($V$2:$V$1001,MATCH(ROWS($U$2:U353),$U$2:$U$1001,0),1)&gt;=100000,INDEX($AB$1005:$AQ$1005,1,MATCH(COLUMNS($AB$1006:AE1006),$AB$1006:$AQ$1006,0))&gt;=100000), " ",IF(INDEX($AB$2:$AQ$1001,MATCH(ROWS($U$2:U353),$U$2:$U$1001,0),MATCH(COLUMNS($AB$1006:AE1006),$AB$1006:$AQ$1006,0)), HYPERLINK("#",""), HYPERLINK(CONCATENATE("#metadata!", ADDRESS(INDEX($W$2:$W$1001,MATCH(ROWS($U$2:U353),$U$2:$U$1001,0),0), INDEX($AB$1004:$AQ$1004,1,MATCH(COLUMNS($AB$1006:AE1006),$AB$1006:$AQ$1006,0)))),"Fix")))</f>
        <v>0</v>
      </c>
      <c r="F353" s="4">
        <f>IF(OR(INDEX($V$2:$V$1001,MATCH(ROWS($U$2:U353),$U$2:$U$1001,0),1)&gt;=100000,INDEX($AB$1005:$AQ$1005,1,MATCH(COLUMNS($AB$1006:AF1006),$AB$1006:$AQ$1006,0))&gt;=100000), " ",IF(INDEX($AB$2:$AQ$1001,MATCH(ROWS($U$2:U353),$U$2:$U$1001,0),MATCH(COLUMNS($AB$1006:AF1006),$AB$1006:$AQ$1006,0)), HYPERLINK("#",""), HYPERLINK(CONCATENATE("#metadata!", ADDRESS(INDEX($W$2:$W$1001,MATCH(ROWS($U$2:U353),$U$2:$U$1001,0),0), INDEX($AB$1004:$AQ$1004,1,MATCH(COLUMNS($AB$1006:AF1006),$AB$1006:$AQ$1006,0)))),"Fix")))</f>
        <v>0</v>
      </c>
      <c r="G353" s="4">
        <f>IF(OR(INDEX($V$2:$V$1001,MATCH(ROWS($U$2:U353),$U$2:$U$1001,0),1)&gt;=100000,INDEX($AB$1005:$AQ$1005,1,MATCH(COLUMNS($AB$1006:AG1006),$AB$1006:$AQ$1006,0))&gt;=100000), " ",IF(INDEX($AB$2:$AQ$1001,MATCH(ROWS($U$2:U353),$U$2:$U$1001,0),MATCH(COLUMNS($AB$1006:AG1006),$AB$1006:$AQ$1006,0)), HYPERLINK("#",""), HYPERLINK(CONCATENATE("#metadata!", ADDRESS(INDEX($W$2:$W$1001,MATCH(ROWS($U$2:U353),$U$2:$U$1001,0),0), INDEX($AB$1004:$AQ$1004,1,MATCH(COLUMNS($AB$1006:AG1006),$AB$1006:$AQ$1006,0)))),"Fix")))</f>
        <v>0</v>
      </c>
      <c r="H353" s="4">
        <f>IF(OR(INDEX($V$2:$V$1001,MATCH(ROWS($U$2:U353),$U$2:$U$1001,0),1)&gt;=100000,INDEX($AB$1005:$AQ$1005,1,MATCH(COLUMNS($AB$1006:AH1006),$AB$1006:$AQ$1006,0))&gt;=100000), " ",IF(INDEX($AB$2:$AQ$1001,MATCH(ROWS($U$2:U353),$U$2:$U$1001,0),MATCH(COLUMNS($AB$1006:AH1006),$AB$1006:$AQ$1006,0)), HYPERLINK("#",""), HYPERLINK(CONCATENATE("#metadata!", ADDRESS(INDEX($W$2:$W$1001,MATCH(ROWS($U$2:U353),$U$2:$U$1001,0),0), INDEX($AB$1004:$AQ$1004,1,MATCH(COLUMNS($AB$1006:AH1006),$AB$1006:$AQ$1006,0)))),"Fix")))</f>
        <v>0</v>
      </c>
      <c r="I353" s="4">
        <f>IF(OR(INDEX($V$2:$V$1001,MATCH(ROWS($U$2:U353),$U$2:$U$1001,0),1)&gt;=100000,INDEX($AB$1005:$AQ$1005,1,MATCH(COLUMNS($AB$1006:AI1006),$AB$1006:$AQ$1006,0))&gt;=100000), " ",IF(INDEX($AB$2:$AQ$1001,MATCH(ROWS($U$2:U353),$U$2:$U$1001,0),MATCH(COLUMNS($AB$1006:AI1006),$AB$1006:$AQ$1006,0)), HYPERLINK("#",""), HYPERLINK(CONCATENATE("#metadata!", ADDRESS(INDEX($W$2:$W$1001,MATCH(ROWS($U$2:U353),$U$2:$U$1001,0),0), INDEX($AB$1004:$AQ$1004,1,MATCH(COLUMNS($AB$1006:AI1006),$AB$1006:$AQ$1006,0)))),"Fix")))</f>
        <v>0</v>
      </c>
      <c r="J353" s="4">
        <f>IF(OR(INDEX($V$2:$V$1001,MATCH(ROWS($U$2:U353),$U$2:$U$1001,0),1)&gt;=100000,INDEX($AB$1005:$AQ$1005,1,MATCH(COLUMNS($AB$1006:AJ1006),$AB$1006:$AQ$1006,0))&gt;=100000), " ",IF(INDEX($AB$2:$AQ$1001,MATCH(ROWS($U$2:U353),$U$2:$U$1001,0),MATCH(COLUMNS($AB$1006:AJ1006),$AB$1006:$AQ$1006,0)), HYPERLINK("#",""), HYPERLINK(CONCATENATE("#metadata!", ADDRESS(INDEX($W$2:$W$1001,MATCH(ROWS($U$2:U353),$U$2:$U$1001,0),0), INDEX($AB$1004:$AQ$1004,1,MATCH(COLUMNS($AB$1006:AJ1006),$AB$1006:$AQ$1006,0)))),"Fix")))</f>
        <v>0</v>
      </c>
      <c r="K353" s="4">
        <f>IF(OR(INDEX($V$2:$V$1001,MATCH(ROWS($U$2:U353),$U$2:$U$1001,0),1)&gt;=100000,INDEX($AB$1005:$AQ$1005,1,MATCH(COLUMNS($AB$1006:AK1006),$AB$1006:$AQ$1006,0))&gt;=100000), " ",IF(INDEX($AB$2:$AQ$1001,MATCH(ROWS($U$2:U353),$U$2:$U$1001,0),MATCH(COLUMNS($AB$1006:AK1006),$AB$1006:$AQ$1006,0)), HYPERLINK("#",""), HYPERLINK(CONCATENATE("#metadata!", ADDRESS(INDEX($W$2:$W$1001,MATCH(ROWS($U$2:U353),$U$2:$U$1001,0),0), INDEX($AB$1004:$AQ$1004,1,MATCH(COLUMNS($AB$1006:AK1006),$AB$1006:$AQ$1006,0)))),"Fix")))</f>
        <v>0</v>
      </c>
      <c r="L353" s="4">
        <f>IF(OR(INDEX($V$2:$V$1001,MATCH(ROWS($U$2:U353),$U$2:$U$1001,0),1)&gt;=100000,INDEX($AB$1005:$AQ$1005,1,MATCH(COLUMNS($AB$1006:AL1006),$AB$1006:$AQ$1006,0))&gt;=100000), " ",IF(INDEX($AB$2:$AQ$1001,MATCH(ROWS($U$2:U353),$U$2:$U$1001,0),MATCH(COLUMNS($AB$1006:AL1006),$AB$1006:$AQ$1006,0)), HYPERLINK("#",""), HYPERLINK(CONCATENATE("#metadata!", ADDRESS(INDEX($W$2:$W$1001,MATCH(ROWS($U$2:U353),$U$2:$U$1001,0),0), INDEX($AB$1004:$AQ$1004,1,MATCH(COLUMNS($AB$1006:AL1006),$AB$1006:$AQ$1006,0)))),"Fix")))</f>
        <v>0</v>
      </c>
      <c r="M353" s="4">
        <f>IF(OR(INDEX($V$2:$V$1001,MATCH(ROWS($U$2:U353),$U$2:$U$1001,0),1)&gt;=100000,INDEX($AB$1005:$AQ$1005,1,MATCH(COLUMNS($AB$1006:AM1006),$AB$1006:$AQ$1006,0))&gt;=100000), " ",IF(INDEX($AB$2:$AQ$1001,MATCH(ROWS($U$2:U353),$U$2:$U$1001,0),MATCH(COLUMNS($AB$1006:AM1006),$AB$1006:$AQ$1006,0)), HYPERLINK("#",""), HYPERLINK(CONCATENATE("#metadata!", ADDRESS(INDEX($W$2:$W$1001,MATCH(ROWS($U$2:U353),$U$2:$U$1001,0),0), INDEX($AB$1004:$AQ$1004,1,MATCH(COLUMNS($AB$1006:AM1006),$AB$1006:$AQ$1006,0)))),"Fix")))</f>
        <v>0</v>
      </c>
      <c r="N353" s="4">
        <f>IF(OR(INDEX($V$2:$V$1001,MATCH(ROWS($U$2:U353),$U$2:$U$1001,0),1)&gt;=100000,INDEX($AB$1005:$AQ$1005,1,MATCH(COLUMNS($AB$1006:AN1006),$AB$1006:$AQ$1006,0))&gt;=100000), " ",IF(INDEX($AB$2:$AQ$1001,MATCH(ROWS($U$2:U353),$U$2:$U$1001,0),MATCH(COLUMNS($AB$1006:AN1006),$AB$1006:$AQ$1006,0)), HYPERLINK("#",""), HYPERLINK(CONCATENATE("#metadata!", ADDRESS(INDEX($W$2:$W$1001,MATCH(ROWS($U$2:U353),$U$2:$U$1001,0),0), INDEX($AB$1004:$AQ$1004,1,MATCH(COLUMNS($AB$1006:AN1006),$AB$1006:$AQ$1006,0)))),"Fix")))</f>
        <v>0</v>
      </c>
      <c r="O353" s="4">
        <f>IF(OR(INDEX($V$2:$V$1001,MATCH(ROWS($U$2:U353),$U$2:$U$1001,0),1)&gt;=100000,INDEX($AB$1005:$AQ$1005,1,MATCH(COLUMNS($AB$1006:AO1006),$AB$1006:$AQ$1006,0))&gt;=100000), " ",IF(INDEX($AB$2:$AQ$1001,MATCH(ROWS($U$2:U353),$U$2:$U$1001,0),MATCH(COLUMNS($AB$1006:AO1006),$AB$1006:$AQ$1006,0)), HYPERLINK("#",""), HYPERLINK(CONCATENATE("#metadata!", ADDRESS(INDEX($W$2:$W$1001,MATCH(ROWS($U$2:U353),$U$2:$U$1001,0),0), INDEX($AB$1004:$AQ$1004,1,MATCH(COLUMNS($AB$1006:AO1006),$AB$1006:$AQ$1006,0)))),"Fix")))</f>
        <v>0</v>
      </c>
      <c r="P353" s="4">
        <f>IF(OR(INDEX($V$2:$V$1001,MATCH(ROWS($U$2:U353),$U$2:$U$1001,0),1)&gt;=100000,INDEX($AB$1005:$AQ$1005,1,MATCH(COLUMNS($AB$1006:AP1006),$AB$1006:$AQ$1006,0))&gt;=100000), " ",IF(INDEX($AB$2:$AQ$1001,MATCH(ROWS($U$2:U353),$U$2:$U$1001,0),MATCH(COLUMNS($AB$1006:AP1006),$AB$1006:$AQ$1006,0)), HYPERLINK("#",""), HYPERLINK(CONCATENATE("#metadata!", ADDRESS(INDEX($W$2:$W$1001,MATCH(ROWS($U$2:U353),$U$2:$U$1001,0),0), INDEX($AB$1004:$AQ$1004,1,MATCH(COLUMNS($AB$1006:AP1006),$AB$1006:$AQ$1006,0)))),"Fix")))</f>
        <v>0</v>
      </c>
      <c r="Q353" s="4">
        <f>IF(OR(INDEX($V$2:$V$1001,MATCH(ROWS($U$2:U353),$U$2:$U$1001,0),1)&gt;=100000,INDEX($AB$1005:$AQ$1005,1,MATCH(COLUMNS($AB$1006:AQ1006),$AB$1006:$AQ$1006,0))&gt;=100000), " ",IF(INDEX($AB$2:$AQ$1001,MATCH(ROWS($U$2:U353),$U$2:$U$1001,0),MATCH(COLUMNS($AB$1006:AQ1006),$AB$1006:$AQ$1006,0)), HYPERLINK("#",""), HYPERLINK(CONCATENATE("#metadata!", ADDRESS(INDEX($W$2:$W$1001,MATCH(ROWS($U$2:U353),$U$2:$U$1001,0),0), INDEX($AB$1004:$AQ$1004,1,MATCH(COLUMNS($AB$1006:AQ1006),$AB$1006:$AQ$1006,0)))),"Fix")))</f>
        <v>0</v>
      </c>
      <c r="U353">
        <v>0</v>
      </c>
      <c r="V353">
        <v>0</v>
      </c>
      <c r="W353">
        <v>0</v>
      </c>
      <c r="X353">
        <f>IF(Y353,TRUE,AND(AB353:AQ353))</f>
        <v>0</v>
      </c>
      <c r="Y353">
        <f>COUNTBLANK(metadata!B353:Q353)=COLUMNS(metadata!B353:Q353)</f>
        <v>0</v>
      </c>
      <c r="Z353">
        <v>0</v>
      </c>
      <c r="AB353">
        <f>AND(IF(metadata!B353="",FALSE,TRUE),COUNTIF(metadata!B:B, metadata!B353) = 1,NOT(ISERROR(SUMPRODUCT(SEARCH(MID(metadata!B353,ROW(INDIRECT("1:"&amp;LEN(metadata!B353))), 1),"0123456789abcdefghijklmnopqrstuvwxyzABCDEFGHIJKLMNOPQRSTUVWXYZ.")))))</f>
        <v>0</v>
      </c>
      <c r="AC353">
        <f>OR(AND(IF(metadata!C353="",FALSE,TRUE),OR(exact(metadata!C353,"missing: not collected"),exact(metadata!C353,"missing: not provided"),exact(metadata!C353,"missing: restricted access"))),AND(IF(metadata!C353="",FALSE,TRUE),AND(AND(IFERROR(INT(LEFT(metadata!C353,4))&gt;1900,FALSE),IFERROR(INT(LEFT(metadata!C353,4))&lt;=YEAR(NOW()),FALSE)), OR(MID(metadata!C353,5,1)="", AND(AND(MID(metadata!C353,5,1)="-",IFERROR(INT(MID(metadata!C353,6,1))&gt;=0,FALSE),IFERROR(INT(MID(metadata!C353,6,1))&lt;=1,FALSE),NOT(MID(metadata!C353,7,1)=""),IFERROR(INT(MID(metadata!C353,6,2))&gt;=1,FALSE),IFERROR(INT(MID(metadata!C353,6,2))&lt;=12,FALSE)), OR(MID(metadata!C353,8,1)="", AND(AND(MID(metadata!C353,8,1)="-",IFERROR(INT(MID(metadata!C353,9,1))&gt;=0,FALSE),IFERROR(INT(MID(metadata!C353,9,1))&lt;=3,FALSE),NOT(MID(metadata!C353,10,1)=""),IFERROR(INT(MID(metadata!C353,9,2))&gt;=1,FALSE),IFERROR(INT(MID(metadata!C353,9,2))&lt;=31,FALSE)), OR(MID(metadata!C353,11,1)="", AND(AND(MID(metadata!C353,11,1)=" ",IFERROR(INT(MID(metadata!C353,12,1))&gt;=0,FALSE),IFERROR(INT(MID(metadata!C353,12,1))&lt;=2,FALSE),NOT(MID(metadata!C353,13,1)=""),IFERROR(INT(MID(metadata!C353,12,2))&gt;=0,FALSE),IFERROR(INT(MID(metadata!C353,12,2))&lt;=23,FALSE)), OR(MID(metadata!C353,14,1)="", AND(AND(MID(metadata!C353,14,1)=":",IFERROR(INT(MID(metadata!C353,15,1))&gt;=0,FALSE),IFERROR(INT(MID(metadata!C353,15,1))&lt;=5,FALSE),NOT(MID(metadata!C353,16,1)=""),IFERROR(INT(MID(metadata!C353,15,2))&gt;=0,FALSE),IFERROR(INT(MID(metadata!C353,15,2))&lt;=59,FALSE)), OR(MID(metadata!C353,17,1)="", AND(AND(MID(metadata!C353,17,1)=":",IFERROR(INT(MID(metadata!C353,18,1))&gt;=0,FALSE),IFERROR(INT(MID(metadata!C353,18,1))&lt;=5,FALSE),NOT(MID(metadata!C353,19,1)=""),IFERROR(INT(MID(metadata!C353,18,2))&gt;=0,FALSE),IFERROR(INT(MID(metadata!C353,18,2))&lt;=59,FALSE)), LEN(metadata!C353)&lt;=19)))))))))))))</f>
        <v>0</v>
      </c>
      <c r="AD353">
        <f>IF(metadata!D353="",FALSE,TRUE)</f>
        <v>0</v>
      </c>
      <c r="AE353">
        <f>OR(AND(IF(metadata!E353="",FALSE,TRUE),OR(exact(metadata!E353,"missing: not collected"),exact(metadata!E353,"missing: not provided"))),AND(IF(metadata!E353="",FALSE,TRUE),OR(exact(metadata!E353,"TRUE"),exact(metadata!E353,"FALSE"))))</f>
        <v>0</v>
      </c>
      <c r="AF353">
        <f>IF(metadata!F353="",FALSE,TRUE)</f>
        <v>0</v>
      </c>
      <c r="AG353">
        <f>IF(metadata!G353="",FALSE,TRUE)</f>
        <v>0</v>
      </c>
      <c r="AH353">
        <f>IF(metadata!H353="",FALSE,TRUE)</f>
        <v>0</v>
      </c>
      <c r="AI353">
        <f>OR(AND(IF(metadata!I353="",FALSE,TRUE),OR(exact(metadata!I353,"missing: not collected"),exact(metadata!I353,"missing: not provided"),exact(metadata!I353,"missing: restricted access"))),AND(IF(metadata!I353="",FALSE,TRUE),OR(exact(metadata!I353,"air"),exact(metadata!I353,"built environment"),exact(metadata!I353,"host-associated"),exact(metadata!I353,"human-associated"),exact(metadata!I353,"human-skin"),exact(metadata!I353,"human-oral"),exact(metadata!I353,"human-gut"),exact(metadata!I353,"human-vaginal"),exact(metadata!I353,"microbial mat/biofilm"),exact(metadata!I353,"misc environment"),exact(metadata!I353,"plant-associated"),exact(metadata!I353,"sediment"),exact(metadata!I353,"soil"),exact(metadata!I353,"wastewater/sludge"),exact(metadata!I353,"water"))))</f>
        <v>0</v>
      </c>
      <c r="AJ353">
        <f>IF(metadata!J353="",FALSE,TRUE)</f>
        <v>0</v>
      </c>
      <c r="AK353">
        <f>OR(AND(IF(metadata!K353="",FALSE,TRUE),OR(exact(metadata!K353,"missing: not collected"),exact(metadata!K353,"missing: not provided"),exact(metadata!K353,"missing: restricted access"))),AND(IF(metadata!K353="",FALSE,ISNUMBER(VALUE(metadata!K353))),metadata!K353&gt;=-90.00,metadata!K353&lt;=90.00))</f>
        <v>0</v>
      </c>
      <c r="AL353">
        <f>OR(AND(IF(metadata!L353="",FALSE,TRUE),OR(exact(metadata!L353,"missing: not collected"),exact(metadata!L353,"missing: not provided"),exact(metadata!L353,"missing: restricted access"))),AND(IF(metadata!L353="",FALSE,ISNUMBER(VALUE(metadata!L353))),metadata!L353&gt;=-180.00,metadata!L353&lt;=180.00))</f>
        <v>0</v>
      </c>
      <c r="AM353">
        <f>IF(metadata!M353="",FALSE,TRUE)</f>
        <v>0</v>
      </c>
      <c r="AN353">
        <f>OR(AND(IF(metadata!N353="",FALSE,TRUE),OR(exact(metadata!N353,"missing: not collected"),exact(metadata!N353,"missing: not provided"),exact(metadata!N353,"missing: restricted access"))),AND(IF(metadata!N353="",FALSE,TRUE),OR(exact(metadata!N353,"TRUE"),exact(metadata!N353,"FALSE"))))</f>
        <v>0</v>
      </c>
      <c r="AO353">
        <f>IF(metadata!O353="",FALSE,TRUE)</f>
        <v>0</v>
      </c>
      <c r="AP353">
        <f>OR(AND(IF(metadata!P353="",FALSE,TRUE),OR(exact(metadata!P353,"missing: not collected"),exact(metadata!P353,"missing: not provided"))),AND(IF(metadata!P353="",FALSE,IF(ISERROR(INT(metadata!P353)),FALSE,INT(metadata!P353)=metadata!P353)),metadata!P353&gt;0))</f>
        <v>0</v>
      </c>
      <c r="AQ353">
        <f>IF(metadata!Q353="",FALSE,TRUE)</f>
        <v>0</v>
      </c>
    </row>
    <row r="354" spans="1:43">
      <c r="A354" s="5">
        <f>IF(B354=" "," ",HYPERLINK(CONCATENATE("#metadata!",ADDRESS(INDEX($W$2:$W$1001,MATCH(ROWS($U$2:U354),$U$2:$U$1001,0),0),1)),INDEX($Z$2:$Z$1001,MATCH(ROWS($U$2:U354),$U$2:$U$1001,0),0)))</f>
        <v>0</v>
      </c>
      <c r="B354" s="4">
        <f>IF(OR(INDEX($V$2:$V$1001,MATCH(ROWS($U$2:U354),$U$2:$U$1001,0),1)&gt;=100000,INDEX($AB$1005:$AQ$1005,1,MATCH(COLUMNS($AB$1006:AB1006),$AB$1006:$AQ$1006,0))&gt;=100000), " ",IF(INDEX($AB$2:$AQ$1001,MATCH(ROWS($U$2:U354),$U$2:$U$1001,0),MATCH(COLUMNS($AB$1006:AB1006),$AB$1006:$AQ$1006,0)), HYPERLINK("#",""), HYPERLINK(CONCATENATE("#metadata!", ADDRESS(INDEX($W$2:$W$1001,MATCH(ROWS($U$2:U354),$U$2:$U$1001,0),0), INDEX($AB$1004:$AQ$1004,1,MATCH(COLUMNS($AB$1006:AB1006),$AB$1006:$AQ$1006,0)))),"Fix")))</f>
        <v>0</v>
      </c>
      <c r="C354" s="4">
        <f>IF(OR(INDEX($V$2:$V$1001,MATCH(ROWS($U$2:U354),$U$2:$U$1001,0),1)&gt;=100000,INDEX($AB$1005:$AQ$1005,1,MATCH(COLUMNS($AB$1006:AC1006),$AB$1006:$AQ$1006,0))&gt;=100000), " ",IF(INDEX($AB$2:$AQ$1001,MATCH(ROWS($U$2:U354),$U$2:$U$1001,0),MATCH(COLUMNS($AB$1006:AC1006),$AB$1006:$AQ$1006,0)), HYPERLINK("#",""), HYPERLINK(CONCATENATE("#metadata!", ADDRESS(INDEX($W$2:$W$1001,MATCH(ROWS($U$2:U354),$U$2:$U$1001,0),0), INDEX($AB$1004:$AQ$1004,1,MATCH(COLUMNS($AB$1006:AC1006),$AB$1006:$AQ$1006,0)))),"Fix")))</f>
        <v>0</v>
      </c>
      <c r="D354" s="4">
        <f>IF(OR(INDEX($V$2:$V$1001,MATCH(ROWS($U$2:U354),$U$2:$U$1001,0),1)&gt;=100000,INDEX($AB$1005:$AQ$1005,1,MATCH(COLUMNS($AB$1006:AD1006),$AB$1006:$AQ$1006,0))&gt;=100000), " ",IF(INDEX($AB$2:$AQ$1001,MATCH(ROWS($U$2:U354),$U$2:$U$1001,0),MATCH(COLUMNS($AB$1006:AD1006),$AB$1006:$AQ$1006,0)), HYPERLINK("#",""), HYPERLINK(CONCATENATE("#metadata!", ADDRESS(INDEX($W$2:$W$1001,MATCH(ROWS($U$2:U354),$U$2:$U$1001,0),0), INDEX($AB$1004:$AQ$1004,1,MATCH(COLUMNS($AB$1006:AD1006),$AB$1006:$AQ$1006,0)))),"Fix")))</f>
        <v>0</v>
      </c>
      <c r="E354" s="4">
        <f>IF(OR(INDEX($V$2:$V$1001,MATCH(ROWS($U$2:U354),$U$2:$U$1001,0),1)&gt;=100000,INDEX($AB$1005:$AQ$1005,1,MATCH(COLUMNS($AB$1006:AE1006),$AB$1006:$AQ$1006,0))&gt;=100000), " ",IF(INDEX($AB$2:$AQ$1001,MATCH(ROWS($U$2:U354),$U$2:$U$1001,0),MATCH(COLUMNS($AB$1006:AE1006),$AB$1006:$AQ$1006,0)), HYPERLINK("#",""), HYPERLINK(CONCATENATE("#metadata!", ADDRESS(INDEX($W$2:$W$1001,MATCH(ROWS($U$2:U354),$U$2:$U$1001,0),0), INDEX($AB$1004:$AQ$1004,1,MATCH(COLUMNS($AB$1006:AE1006),$AB$1006:$AQ$1006,0)))),"Fix")))</f>
        <v>0</v>
      </c>
      <c r="F354" s="4">
        <f>IF(OR(INDEX($V$2:$V$1001,MATCH(ROWS($U$2:U354),$U$2:$U$1001,0),1)&gt;=100000,INDEX($AB$1005:$AQ$1005,1,MATCH(COLUMNS($AB$1006:AF1006),$AB$1006:$AQ$1006,0))&gt;=100000), " ",IF(INDEX($AB$2:$AQ$1001,MATCH(ROWS($U$2:U354),$U$2:$U$1001,0),MATCH(COLUMNS($AB$1006:AF1006),$AB$1006:$AQ$1006,0)), HYPERLINK("#",""), HYPERLINK(CONCATENATE("#metadata!", ADDRESS(INDEX($W$2:$W$1001,MATCH(ROWS($U$2:U354),$U$2:$U$1001,0),0), INDEX($AB$1004:$AQ$1004,1,MATCH(COLUMNS($AB$1006:AF1006),$AB$1006:$AQ$1006,0)))),"Fix")))</f>
        <v>0</v>
      </c>
      <c r="G354" s="4">
        <f>IF(OR(INDEX($V$2:$V$1001,MATCH(ROWS($U$2:U354),$U$2:$U$1001,0),1)&gt;=100000,INDEX($AB$1005:$AQ$1005,1,MATCH(COLUMNS($AB$1006:AG1006),$AB$1006:$AQ$1006,0))&gt;=100000), " ",IF(INDEX($AB$2:$AQ$1001,MATCH(ROWS($U$2:U354),$U$2:$U$1001,0),MATCH(COLUMNS($AB$1006:AG1006),$AB$1006:$AQ$1006,0)), HYPERLINK("#",""), HYPERLINK(CONCATENATE("#metadata!", ADDRESS(INDEX($W$2:$W$1001,MATCH(ROWS($U$2:U354),$U$2:$U$1001,0),0), INDEX($AB$1004:$AQ$1004,1,MATCH(COLUMNS($AB$1006:AG1006),$AB$1006:$AQ$1006,0)))),"Fix")))</f>
        <v>0</v>
      </c>
      <c r="H354" s="4">
        <f>IF(OR(INDEX($V$2:$V$1001,MATCH(ROWS($U$2:U354),$U$2:$U$1001,0),1)&gt;=100000,INDEX($AB$1005:$AQ$1005,1,MATCH(COLUMNS($AB$1006:AH1006),$AB$1006:$AQ$1006,0))&gt;=100000), " ",IF(INDEX($AB$2:$AQ$1001,MATCH(ROWS($U$2:U354),$U$2:$U$1001,0),MATCH(COLUMNS($AB$1006:AH1006),$AB$1006:$AQ$1006,0)), HYPERLINK("#",""), HYPERLINK(CONCATENATE("#metadata!", ADDRESS(INDEX($W$2:$W$1001,MATCH(ROWS($U$2:U354),$U$2:$U$1001,0),0), INDEX($AB$1004:$AQ$1004,1,MATCH(COLUMNS($AB$1006:AH1006),$AB$1006:$AQ$1006,0)))),"Fix")))</f>
        <v>0</v>
      </c>
      <c r="I354" s="4">
        <f>IF(OR(INDEX($V$2:$V$1001,MATCH(ROWS($U$2:U354),$U$2:$U$1001,0),1)&gt;=100000,INDEX($AB$1005:$AQ$1005,1,MATCH(COLUMNS($AB$1006:AI1006),$AB$1006:$AQ$1006,0))&gt;=100000), " ",IF(INDEX($AB$2:$AQ$1001,MATCH(ROWS($U$2:U354),$U$2:$U$1001,0),MATCH(COLUMNS($AB$1006:AI1006),$AB$1006:$AQ$1006,0)), HYPERLINK("#",""), HYPERLINK(CONCATENATE("#metadata!", ADDRESS(INDEX($W$2:$W$1001,MATCH(ROWS($U$2:U354),$U$2:$U$1001,0),0), INDEX($AB$1004:$AQ$1004,1,MATCH(COLUMNS($AB$1006:AI1006),$AB$1006:$AQ$1006,0)))),"Fix")))</f>
        <v>0</v>
      </c>
      <c r="J354" s="4">
        <f>IF(OR(INDEX($V$2:$V$1001,MATCH(ROWS($U$2:U354),$U$2:$U$1001,0),1)&gt;=100000,INDEX($AB$1005:$AQ$1005,1,MATCH(COLUMNS($AB$1006:AJ1006),$AB$1006:$AQ$1006,0))&gt;=100000), " ",IF(INDEX($AB$2:$AQ$1001,MATCH(ROWS($U$2:U354),$U$2:$U$1001,0),MATCH(COLUMNS($AB$1006:AJ1006),$AB$1006:$AQ$1006,0)), HYPERLINK("#",""), HYPERLINK(CONCATENATE("#metadata!", ADDRESS(INDEX($W$2:$W$1001,MATCH(ROWS($U$2:U354),$U$2:$U$1001,0),0), INDEX($AB$1004:$AQ$1004,1,MATCH(COLUMNS($AB$1006:AJ1006),$AB$1006:$AQ$1006,0)))),"Fix")))</f>
        <v>0</v>
      </c>
      <c r="K354" s="4">
        <f>IF(OR(INDEX($V$2:$V$1001,MATCH(ROWS($U$2:U354),$U$2:$U$1001,0),1)&gt;=100000,INDEX($AB$1005:$AQ$1005,1,MATCH(COLUMNS($AB$1006:AK1006),$AB$1006:$AQ$1006,0))&gt;=100000), " ",IF(INDEX($AB$2:$AQ$1001,MATCH(ROWS($U$2:U354),$U$2:$U$1001,0),MATCH(COLUMNS($AB$1006:AK1006),$AB$1006:$AQ$1006,0)), HYPERLINK("#",""), HYPERLINK(CONCATENATE("#metadata!", ADDRESS(INDEX($W$2:$W$1001,MATCH(ROWS($U$2:U354),$U$2:$U$1001,0),0), INDEX($AB$1004:$AQ$1004,1,MATCH(COLUMNS($AB$1006:AK1006),$AB$1006:$AQ$1006,0)))),"Fix")))</f>
        <v>0</v>
      </c>
      <c r="L354" s="4">
        <f>IF(OR(INDEX($V$2:$V$1001,MATCH(ROWS($U$2:U354),$U$2:$U$1001,0),1)&gt;=100000,INDEX($AB$1005:$AQ$1005,1,MATCH(COLUMNS($AB$1006:AL1006),$AB$1006:$AQ$1006,0))&gt;=100000), " ",IF(INDEX($AB$2:$AQ$1001,MATCH(ROWS($U$2:U354),$U$2:$U$1001,0),MATCH(COLUMNS($AB$1006:AL1006),$AB$1006:$AQ$1006,0)), HYPERLINK("#",""), HYPERLINK(CONCATENATE("#metadata!", ADDRESS(INDEX($W$2:$W$1001,MATCH(ROWS($U$2:U354),$U$2:$U$1001,0),0), INDEX($AB$1004:$AQ$1004,1,MATCH(COLUMNS($AB$1006:AL1006),$AB$1006:$AQ$1006,0)))),"Fix")))</f>
        <v>0</v>
      </c>
      <c r="M354" s="4">
        <f>IF(OR(INDEX($V$2:$V$1001,MATCH(ROWS($U$2:U354),$U$2:$U$1001,0),1)&gt;=100000,INDEX($AB$1005:$AQ$1005,1,MATCH(COLUMNS($AB$1006:AM1006),$AB$1006:$AQ$1006,0))&gt;=100000), " ",IF(INDEX($AB$2:$AQ$1001,MATCH(ROWS($U$2:U354),$U$2:$U$1001,0),MATCH(COLUMNS($AB$1006:AM1006),$AB$1006:$AQ$1006,0)), HYPERLINK("#",""), HYPERLINK(CONCATENATE("#metadata!", ADDRESS(INDEX($W$2:$W$1001,MATCH(ROWS($U$2:U354),$U$2:$U$1001,0),0), INDEX($AB$1004:$AQ$1004,1,MATCH(COLUMNS($AB$1006:AM1006),$AB$1006:$AQ$1006,0)))),"Fix")))</f>
        <v>0</v>
      </c>
      <c r="N354" s="4">
        <f>IF(OR(INDEX($V$2:$V$1001,MATCH(ROWS($U$2:U354),$U$2:$U$1001,0),1)&gt;=100000,INDEX($AB$1005:$AQ$1005,1,MATCH(COLUMNS($AB$1006:AN1006),$AB$1006:$AQ$1006,0))&gt;=100000), " ",IF(INDEX($AB$2:$AQ$1001,MATCH(ROWS($U$2:U354),$U$2:$U$1001,0),MATCH(COLUMNS($AB$1006:AN1006),$AB$1006:$AQ$1006,0)), HYPERLINK("#",""), HYPERLINK(CONCATENATE("#metadata!", ADDRESS(INDEX($W$2:$W$1001,MATCH(ROWS($U$2:U354),$U$2:$U$1001,0),0), INDEX($AB$1004:$AQ$1004,1,MATCH(COLUMNS($AB$1006:AN1006),$AB$1006:$AQ$1006,0)))),"Fix")))</f>
        <v>0</v>
      </c>
      <c r="O354" s="4">
        <f>IF(OR(INDEX($V$2:$V$1001,MATCH(ROWS($U$2:U354),$U$2:$U$1001,0),1)&gt;=100000,INDEX($AB$1005:$AQ$1005,1,MATCH(COLUMNS($AB$1006:AO1006),$AB$1006:$AQ$1006,0))&gt;=100000), " ",IF(INDEX($AB$2:$AQ$1001,MATCH(ROWS($U$2:U354),$U$2:$U$1001,0),MATCH(COLUMNS($AB$1006:AO1006),$AB$1006:$AQ$1006,0)), HYPERLINK("#",""), HYPERLINK(CONCATENATE("#metadata!", ADDRESS(INDEX($W$2:$W$1001,MATCH(ROWS($U$2:U354),$U$2:$U$1001,0),0), INDEX($AB$1004:$AQ$1004,1,MATCH(COLUMNS($AB$1006:AO1006),$AB$1006:$AQ$1006,0)))),"Fix")))</f>
        <v>0</v>
      </c>
      <c r="P354" s="4">
        <f>IF(OR(INDEX($V$2:$V$1001,MATCH(ROWS($U$2:U354),$U$2:$U$1001,0),1)&gt;=100000,INDEX($AB$1005:$AQ$1005,1,MATCH(COLUMNS($AB$1006:AP1006),$AB$1006:$AQ$1006,0))&gt;=100000), " ",IF(INDEX($AB$2:$AQ$1001,MATCH(ROWS($U$2:U354),$U$2:$U$1001,0),MATCH(COLUMNS($AB$1006:AP1006),$AB$1006:$AQ$1006,0)), HYPERLINK("#",""), HYPERLINK(CONCATENATE("#metadata!", ADDRESS(INDEX($W$2:$W$1001,MATCH(ROWS($U$2:U354),$U$2:$U$1001,0),0), INDEX($AB$1004:$AQ$1004,1,MATCH(COLUMNS($AB$1006:AP1006),$AB$1006:$AQ$1006,0)))),"Fix")))</f>
        <v>0</v>
      </c>
      <c r="Q354" s="4">
        <f>IF(OR(INDEX($V$2:$V$1001,MATCH(ROWS($U$2:U354),$U$2:$U$1001,0),1)&gt;=100000,INDEX($AB$1005:$AQ$1005,1,MATCH(COLUMNS($AB$1006:AQ1006),$AB$1006:$AQ$1006,0))&gt;=100000), " ",IF(INDEX($AB$2:$AQ$1001,MATCH(ROWS($U$2:U354),$U$2:$U$1001,0),MATCH(COLUMNS($AB$1006:AQ1006),$AB$1006:$AQ$1006,0)), HYPERLINK("#",""), HYPERLINK(CONCATENATE("#metadata!", ADDRESS(INDEX($W$2:$W$1001,MATCH(ROWS($U$2:U354),$U$2:$U$1001,0),0), INDEX($AB$1004:$AQ$1004,1,MATCH(COLUMNS($AB$1006:AQ1006),$AB$1006:$AQ$1006,0)))),"Fix")))</f>
        <v>0</v>
      </c>
      <c r="U354">
        <v>0</v>
      </c>
      <c r="V354">
        <v>0</v>
      </c>
      <c r="W354">
        <v>0</v>
      </c>
      <c r="X354">
        <f>IF(Y354,TRUE,AND(AB354:AQ354))</f>
        <v>0</v>
      </c>
      <c r="Y354">
        <f>COUNTBLANK(metadata!B354:Q354)=COLUMNS(metadata!B354:Q354)</f>
        <v>0</v>
      </c>
      <c r="Z354">
        <v>0</v>
      </c>
      <c r="AB354">
        <f>AND(IF(metadata!B354="",FALSE,TRUE),COUNTIF(metadata!B:B, metadata!B354) = 1,NOT(ISERROR(SUMPRODUCT(SEARCH(MID(metadata!B354,ROW(INDIRECT("1:"&amp;LEN(metadata!B354))), 1),"0123456789abcdefghijklmnopqrstuvwxyzABCDEFGHIJKLMNOPQRSTUVWXYZ.")))))</f>
        <v>0</v>
      </c>
      <c r="AC354">
        <f>OR(AND(IF(metadata!C354="",FALSE,TRUE),OR(exact(metadata!C354,"missing: not collected"),exact(metadata!C354,"missing: not provided"),exact(metadata!C354,"missing: restricted access"))),AND(IF(metadata!C354="",FALSE,TRUE),AND(AND(IFERROR(INT(LEFT(metadata!C354,4))&gt;1900,FALSE),IFERROR(INT(LEFT(metadata!C354,4))&lt;=YEAR(NOW()),FALSE)), OR(MID(metadata!C354,5,1)="", AND(AND(MID(metadata!C354,5,1)="-",IFERROR(INT(MID(metadata!C354,6,1))&gt;=0,FALSE),IFERROR(INT(MID(metadata!C354,6,1))&lt;=1,FALSE),NOT(MID(metadata!C354,7,1)=""),IFERROR(INT(MID(metadata!C354,6,2))&gt;=1,FALSE),IFERROR(INT(MID(metadata!C354,6,2))&lt;=12,FALSE)), OR(MID(metadata!C354,8,1)="", AND(AND(MID(metadata!C354,8,1)="-",IFERROR(INT(MID(metadata!C354,9,1))&gt;=0,FALSE),IFERROR(INT(MID(metadata!C354,9,1))&lt;=3,FALSE),NOT(MID(metadata!C354,10,1)=""),IFERROR(INT(MID(metadata!C354,9,2))&gt;=1,FALSE),IFERROR(INT(MID(metadata!C354,9,2))&lt;=31,FALSE)), OR(MID(metadata!C354,11,1)="", AND(AND(MID(metadata!C354,11,1)=" ",IFERROR(INT(MID(metadata!C354,12,1))&gt;=0,FALSE),IFERROR(INT(MID(metadata!C354,12,1))&lt;=2,FALSE),NOT(MID(metadata!C354,13,1)=""),IFERROR(INT(MID(metadata!C354,12,2))&gt;=0,FALSE),IFERROR(INT(MID(metadata!C354,12,2))&lt;=23,FALSE)), OR(MID(metadata!C354,14,1)="", AND(AND(MID(metadata!C354,14,1)=":",IFERROR(INT(MID(metadata!C354,15,1))&gt;=0,FALSE),IFERROR(INT(MID(metadata!C354,15,1))&lt;=5,FALSE),NOT(MID(metadata!C354,16,1)=""),IFERROR(INT(MID(metadata!C354,15,2))&gt;=0,FALSE),IFERROR(INT(MID(metadata!C354,15,2))&lt;=59,FALSE)), OR(MID(metadata!C354,17,1)="", AND(AND(MID(metadata!C354,17,1)=":",IFERROR(INT(MID(metadata!C354,18,1))&gt;=0,FALSE),IFERROR(INT(MID(metadata!C354,18,1))&lt;=5,FALSE),NOT(MID(metadata!C354,19,1)=""),IFERROR(INT(MID(metadata!C354,18,2))&gt;=0,FALSE),IFERROR(INT(MID(metadata!C354,18,2))&lt;=59,FALSE)), LEN(metadata!C354)&lt;=19)))))))))))))</f>
        <v>0</v>
      </c>
      <c r="AD354">
        <f>IF(metadata!D354="",FALSE,TRUE)</f>
        <v>0</v>
      </c>
      <c r="AE354">
        <f>OR(AND(IF(metadata!E354="",FALSE,TRUE),OR(exact(metadata!E354,"missing: not collected"),exact(metadata!E354,"missing: not provided"))),AND(IF(metadata!E354="",FALSE,TRUE),OR(exact(metadata!E354,"TRUE"),exact(metadata!E354,"FALSE"))))</f>
        <v>0</v>
      </c>
      <c r="AF354">
        <f>IF(metadata!F354="",FALSE,TRUE)</f>
        <v>0</v>
      </c>
      <c r="AG354">
        <f>IF(metadata!G354="",FALSE,TRUE)</f>
        <v>0</v>
      </c>
      <c r="AH354">
        <f>IF(metadata!H354="",FALSE,TRUE)</f>
        <v>0</v>
      </c>
      <c r="AI354">
        <f>OR(AND(IF(metadata!I354="",FALSE,TRUE),OR(exact(metadata!I354,"missing: not collected"),exact(metadata!I354,"missing: not provided"),exact(metadata!I354,"missing: restricted access"))),AND(IF(metadata!I354="",FALSE,TRUE),OR(exact(metadata!I354,"air"),exact(metadata!I354,"built environment"),exact(metadata!I354,"host-associated"),exact(metadata!I354,"human-associated"),exact(metadata!I354,"human-skin"),exact(metadata!I354,"human-oral"),exact(metadata!I354,"human-gut"),exact(metadata!I354,"human-vaginal"),exact(metadata!I354,"microbial mat/biofilm"),exact(metadata!I354,"misc environment"),exact(metadata!I354,"plant-associated"),exact(metadata!I354,"sediment"),exact(metadata!I354,"soil"),exact(metadata!I354,"wastewater/sludge"),exact(metadata!I354,"water"))))</f>
        <v>0</v>
      </c>
      <c r="AJ354">
        <f>IF(metadata!J354="",FALSE,TRUE)</f>
        <v>0</v>
      </c>
      <c r="AK354">
        <f>OR(AND(IF(metadata!K354="",FALSE,TRUE),OR(exact(metadata!K354,"missing: not collected"),exact(metadata!K354,"missing: not provided"),exact(metadata!K354,"missing: restricted access"))),AND(IF(metadata!K354="",FALSE,ISNUMBER(VALUE(metadata!K354))),metadata!K354&gt;=-90.00,metadata!K354&lt;=90.00))</f>
        <v>0</v>
      </c>
      <c r="AL354">
        <f>OR(AND(IF(metadata!L354="",FALSE,TRUE),OR(exact(metadata!L354,"missing: not collected"),exact(metadata!L354,"missing: not provided"),exact(metadata!L354,"missing: restricted access"))),AND(IF(metadata!L354="",FALSE,ISNUMBER(VALUE(metadata!L354))),metadata!L354&gt;=-180.00,metadata!L354&lt;=180.00))</f>
        <v>0</v>
      </c>
      <c r="AM354">
        <f>IF(metadata!M354="",FALSE,TRUE)</f>
        <v>0</v>
      </c>
      <c r="AN354">
        <f>OR(AND(IF(metadata!N354="",FALSE,TRUE),OR(exact(metadata!N354,"missing: not collected"),exact(metadata!N354,"missing: not provided"),exact(metadata!N354,"missing: restricted access"))),AND(IF(metadata!N354="",FALSE,TRUE),OR(exact(metadata!N354,"TRUE"),exact(metadata!N354,"FALSE"))))</f>
        <v>0</v>
      </c>
      <c r="AO354">
        <f>IF(metadata!O354="",FALSE,TRUE)</f>
        <v>0</v>
      </c>
      <c r="AP354">
        <f>OR(AND(IF(metadata!P354="",FALSE,TRUE),OR(exact(metadata!P354,"missing: not collected"),exact(metadata!P354,"missing: not provided"))),AND(IF(metadata!P354="",FALSE,IF(ISERROR(INT(metadata!P354)),FALSE,INT(metadata!P354)=metadata!P354)),metadata!P354&gt;0))</f>
        <v>0</v>
      </c>
      <c r="AQ354">
        <f>IF(metadata!Q354="",FALSE,TRUE)</f>
        <v>0</v>
      </c>
    </row>
    <row r="355" spans="1:43">
      <c r="A355" s="5">
        <f>IF(B355=" "," ",HYPERLINK(CONCATENATE("#metadata!",ADDRESS(INDEX($W$2:$W$1001,MATCH(ROWS($U$2:U355),$U$2:$U$1001,0),0),1)),INDEX($Z$2:$Z$1001,MATCH(ROWS($U$2:U355),$U$2:$U$1001,0),0)))</f>
        <v>0</v>
      </c>
      <c r="B355" s="4">
        <f>IF(OR(INDEX($V$2:$V$1001,MATCH(ROWS($U$2:U355),$U$2:$U$1001,0),1)&gt;=100000,INDEX($AB$1005:$AQ$1005,1,MATCH(COLUMNS($AB$1006:AB1006),$AB$1006:$AQ$1006,0))&gt;=100000), " ",IF(INDEX($AB$2:$AQ$1001,MATCH(ROWS($U$2:U355),$U$2:$U$1001,0),MATCH(COLUMNS($AB$1006:AB1006),$AB$1006:$AQ$1006,0)), HYPERLINK("#",""), HYPERLINK(CONCATENATE("#metadata!", ADDRESS(INDEX($W$2:$W$1001,MATCH(ROWS($U$2:U355),$U$2:$U$1001,0),0), INDEX($AB$1004:$AQ$1004,1,MATCH(COLUMNS($AB$1006:AB1006),$AB$1006:$AQ$1006,0)))),"Fix")))</f>
        <v>0</v>
      </c>
      <c r="C355" s="4">
        <f>IF(OR(INDEX($V$2:$V$1001,MATCH(ROWS($U$2:U355),$U$2:$U$1001,0),1)&gt;=100000,INDEX($AB$1005:$AQ$1005,1,MATCH(COLUMNS($AB$1006:AC1006),$AB$1006:$AQ$1006,0))&gt;=100000), " ",IF(INDEX($AB$2:$AQ$1001,MATCH(ROWS($U$2:U355),$U$2:$U$1001,0),MATCH(COLUMNS($AB$1006:AC1006),$AB$1006:$AQ$1006,0)), HYPERLINK("#",""), HYPERLINK(CONCATENATE("#metadata!", ADDRESS(INDEX($W$2:$W$1001,MATCH(ROWS($U$2:U355),$U$2:$U$1001,0),0), INDEX($AB$1004:$AQ$1004,1,MATCH(COLUMNS($AB$1006:AC1006),$AB$1006:$AQ$1006,0)))),"Fix")))</f>
        <v>0</v>
      </c>
      <c r="D355" s="4">
        <f>IF(OR(INDEX($V$2:$V$1001,MATCH(ROWS($U$2:U355),$U$2:$U$1001,0),1)&gt;=100000,INDEX($AB$1005:$AQ$1005,1,MATCH(COLUMNS($AB$1006:AD1006),$AB$1006:$AQ$1006,0))&gt;=100000), " ",IF(INDEX($AB$2:$AQ$1001,MATCH(ROWS($U$2:U355),$U$2:$U$1001,0),MATCH(COLUMNS($AB$1006:AD1006),$AB$1006:$AQ$1006,0)), HYPERLINK("#",""), HYPERLINK(CONCATENATE("#metadata!", ADDRESS(INDEX($W$2:$W$1001,MATCH(ROWS($U$2:U355),$U$2:$U$1001,0),0), INDEX($AB$1004:$AQ$1004,1,MATCH(COLUMNS($AB$1006:AD1006),$AB$1006:$AQ$1006,0)))),"Fix")))</f>
        <v>0</v>
      </c>
      <c r="E355" s="4">
        <f>IF(OR(INDEX($V$2:$V$1001,MATCH(ROWS($U$2:U355),$U$2:$U$1001,0),1)&gt;=100000,INDEX($AB$1005:$AQ$1005,1,MATCH(COLUMNS($AB$1006:AE1006),$AB$1006:$AQ$1006,0))&gt;=100000), " ",IF(INDEX($AB$2:$AQ$1001,MATCH(ROWS($U$2:U355),$U$2:$U$1001,0),MATCH(COLUMNS($AB$1006:AE1006),$AB$1006:$AQ$1006,0)), HYPERLINK("#",""), HYPERLINK(CONCATENATE("#metadata!", ADDRESS(INDEX($W$2:$W$1001,MATCH(ROWS($U$2:U355),$U$2:$U$1001,0),0), INDEX($AB$1004:$AQ$1004,1,MATCH(COLUMNS($AB$1006:AE1006),$AB$1006:$AQ$1006,0)))),"Fix")))</f>
        <v>0</v>
      </c>
      <c r="F355" s="4">
        <f>IF(OR(INDEX($V$2:$V$1001,MATCH(ROWS($U$2:U355),$U$2:$U$1001,0),1)&gt;=100000,INDEX($AB$1005:$AQ$1005,1,MATCH(COLUMNS($AB$1006:AF1006),$AB$1006:$AQ$1006,0))&gt;=100000), " ",IF(INDEX($AB$2:$AQ$1001,MATCH(ROWS($U$2:U355),$U$2:$U$1001,0),MATCH(COLUMNS($AB$1006:AF1006),$AB$1006:$AQ$1006,0)), HYPERLINK("#",""), HYPERLINK(CONCATENATE("#metadata!", ADDRESS(INDEX($W$2:$W$1001,MATCH(ROWS($U$2:U355),$U$2:$U$1001,0),0), INDEX($AB$1004:$AQ$1004,1,MATCH(COLUMNS($AB$1006:AF1006),$AB$1006:$AQ$1006,0)))),"Fix")))</f>
        <v>0</v>
      </c>
      <c r="G355" s="4">
        <f>IF(OR(INDEX($V$2:$V$1001,MATCH(ROWS($U$2:U355),$U$2:$U$1001,0),1)&gt;=100000,INDEX($AB$1005:$AQ$1005,1,MATCH(COLUMNS($AB$1006:AG1006),$AB$1006:$AQ$1006,0))&gt;=100000), " ",IF(INDEX($AB$2:$AQ$1001,MATCH(ROWS($U$2:U355),$U$2:$U$1001,0),MATCH(COLUMNS($AB$1006:AG1006),$AB$1006:$AQ$1006,0)), HYPERLINK("#",""), HYPERLINK(CONCATENATE("#metadata!", ADDRESS(INDEX($W$2:$W$1001,MATCH(ROWS($U$2:U355),$U$2:$U$1001,0),0), INDEX($AB$1004:$AQ$1004,1,MATCH(COLUMNS($AB$1006:AG1006),$AB$1006:$AQ$1006,0)))),"Fix")))</f>
        <v>0</v>
      </c>
      <c r="H355" s="4">
        <f>IF(OR(INDEX($V$2:$V$1001,MATCH(ROWS($U$2:U355),$U$2:$U$1001,0),1)&gt;=100000,INDEX($AB$1005:$AQ$1005,1,MATCH(COLUMNS($AB$1006:AH1006),$AB$1006:$AQ$1006,0))&gt;=100000), " ",IF(INDEX($AB$2:$AQ$1001,MATCH(ROWS($U$2:U355),$U$2:$U$1001,0),MATCH(COLUMNS($AB$1006:AH1006),$AB$1006:$AQ$1006,0)), HYPERLINK("#",""), HYPERLINK(CONCATENATE("#metadata!", ADDRESS(INDEX($W$2:$W$1001,MATCH(ROWS($U$2:U355),$U$2:$U$1001,0),0), INDEX($AB$1004:$AQ$1004,1,MATCH(COLUMNS($AB$1006:AH1006),$AB$1006:$AQ$1006,0)))),"Fix")))</f>
        <v>0</v>
      </c>
      <c r="I355" s="4">
        <f>IF(OR(INDEX($V$2:$V$1001,MATCH(ROWS($U$2:U355),$U$2:$U$1001,0),1)&gt;=100000,INDEX($AB$1005:$AQ$1005,1,MATCH(COLUMNS($AB$1006:AI1006),$AB$1006:$AQ$1006,0))&gt;=100000), " ",IF(INDEX($AB$2:$AQ$1001,MATCH(ROWS($U$2:U355),$U$2:$U$1001,0),MATCH(COLUMNS($AB$1006:AI1006),$AB$1006:$AQ$1006,0)), HYPERLINK("#",""), HYPERLINK(CONCATENATE("#metadata!", ADDRESS(INDEX($W$2:$W$1001,MATCH(ROWS($U$2:U355),$U$2:$U$1001,0),0), INDEX($AB$1004:$AQ$1004,1,MATCH(COLUMNS($AB$1006:AI1006),$AB$1006:$AQ$1006,0)))),"Fix")))</f>
        <v>0</v>
      </c>
      <c r="J355" s="4">
        <f>IF(OR(INDEX($V$2:$V$1001,MATCH(ROWS($U$2:U355),$U$2:$U$1001,0),1)&gt;=100000,INDEX($AB$1005:$AQ$1005,1,MATCH(COLUMNS($AB$1006:AJ1006),$AB$1006:$AQ$1006,0))&gt;=100000), " ",IF(INDEX($AB$2:$AQ$1001,MATCH(ROWS($U$2:U355),$U$2:$U$1001,0),MATCH(COLUMNS($AB$1006:AJ1006),$AB$1006:$AQ$1006,0)), HYPERLINK("#",""), HYPERLINK(CONCATENATE("#metadata!", ADDRESS(INDEX($W$2:$W$1001,MATCH(ROWS($U$2:U355),$U$2:$U$1001,0),0), INDEX($AB$1004:$AQ$1004,1,MATCH(COLUMNS($AB$1006:AJ1006),$AB$1006:$AQ$1006,0)))),"Fix")))</f>
        <v>0</v>
      </c>
      <c r="K355" s="4">
        <f>IF(OR(INDEX($V$2:$V$1001,MATCH(ROWS($U$2:U355),$U$2:$U$1001,0),1)&gt;=100000,INDEX($AB$1005:$AQ$1005,1,MATCH(COLUMNS($AB$1006:AK1006),$AB$1006:$AQ$1006,0))&gt;=100000), " ",IF(INDEX($AB$2:$AQ$1001,MATCH(ROWS($U$2:U355),$U$2:$U$1001,0),MATCH(COLUMNS($AB$1006:AK1006),$AB$1006:$AQ$1006,0)), HYPERLINK("#",""), HYPERLINK(CONCATENATE("#metadata!", ADDRESS(INDEX($W$2:$W$1001,MATCH(ROWS($U$2:U355),$U$2:$U$1001,0),0), INDEX($AB$1004:$AQ$1004,1,MATCH(COLUMNS($AB$1006:AK1006),$AB$1006:$AQ$1006,0)))),"Fix")))</f>
        <v>0</v>
      </c>
      <c r="L355" s="4">
        <f>IF(OR(INDEX($V$2:$V$1001,MATCH(ROWS($U$2:U355),$U$2:$U$1001,0),1)&gt;=100000,INDEX($AB$1005:$AQ$1005,1,MATCH(COLUMNS($AB$1006:AL1006),$AB$1006:$AQ$1006,0))&gt;=100000), " ",IF(INDEX($AB$2:$AQ$1001,MATCH(ROWS($U$2:U355),$U$2:$U$1001,0),MATCH(COLUMNS($AB$1006:AL1006),$AB$1006:$AQ$1006,0)), HYPERLINK("#",""), HYPERLINK(CONCATENATE("#metadata!", ADDRESS(INDEX($W$2:$W$1001,MATCH(ROWS($U$2:U355),$U$2:$U$1001,0),0), INDEX($AB$1004:$AQ$1004,1,MATCH(COLUMNS($AB$1006:AL1006),$AB$1006:$AQ$1006,0)))),"Fix")))</f>
        <v>0</v>
      </c>
      <c r="M355" s="4">
        <f>IF(OR(INDEX($V$2:$V$1001,MATCH(ROWS($U$2:U355),$U$2:$U$1001,0),1)&gt;=100000,INDEX($AB$1005:$AQ$1005,1,MATCH(COLUMNS($AB$1006:AM1006),$AB$1006:$AQ$1006,0))&gt;=100000), " ",IF(INDEX($AB$2:$AQ$1001,MATCH(ROWS($U$2:U355),$U$2:$U$1001,0),MATCH(COLUMNS($AB$1006:AM1006),$AB$1006:$AQ$1006,0)), HYPERLINK("#",""), HYPERLINK(CONCATENATE("#metadata!", ADDRESS(INDEX($W$2:$W$1001,MATCH(ROWS($U$2:U355),$U$2:$U$1001,0),0), INDEX($AB$1004:$AQ$1004,1,MATCH(COLUMNS($AB$1006:AM1006),$AB$1006:$AQ$1006,0)))),"Fix")))</f>
        <v>0</v>
      </c>
      <c r="N355" s="4">
        <f>IF(OR(INDEX($V$2:$V$1001,MATCH(ROWS($U$2:U355),$U$2:$U$1001,0),1)&gt;=100000,INDEX($AB$1005:$AQ$1005,1,MATCH(COLUMNS($AB$1006:AN1006),$AB$1006:$AQ$1006,0))&gt;=100000), " ",IF(INDEX($AB$2:$AQ$1001,MATCH(ROWS($U$2:U355),$U$2:$U$1001,0),MATCH(COLUMNS($AB$1006:AN1006),$AB$1006:$AQ$1006,0)), HYPERLINK("#",""), HYPERLINK(CONCATENATE("#metadata!", ADDRESS(INDEX($W$2:$W$1001,MATCH(ROWS($U$2:U355),$U$2:$U$1001,0),0), INDEX($AB$1004:$AQ$1004,1,MATCH(COLUMNS($AB$1006:AN1006),$AB$1006:$AQ$1006,0)))),"Fix")))</f>
        <v>0</v>
      </c>
      <c r="O355" s="4">
        <f>IF(OR(INDEX($V$2:$V$1001,MATCH(ROWS($U$2:U355),$U$2:$U$1001,0),1)&gt;=100000,INDEX($AB$1005:$AQ$1005,1,MATCH(COLUMNS($AB$1006:AO1006),$AB$1006:$AQ$1006,0))&gt;=100000), " ",IF(INDEX($AB$2:$AQ$1001,MATCH(ROWS($U$2:U355),$U$2:$U$1001,0),MATCH(COLUMNS($AB$1006:AO1006),$AB$1006:$AQ$1006,0)), HYPERLINK("#",""), HYPERLINK(CONCATENATE("#metadata!", ADDRESS(INDEX($W$2:$W$1001,MATCH(ROWS($U$2:U355),$U$2:$U$1001,0),0), INDEX($AB$1004:$AQ$1004,1,MATCH(COLUMNS($AB$1006:AO1006),$AB$1006:$AQ$1006,0)))),"Fix")))</f>
        <v>0</v>
      </c>
      <c r="P355" s="4">
        <f>IF(OR(INDEX($V$2:$V$1001,MATCH(ROWS($U$2:U355),$U$2:$U$1001,0),1)&gt;=100000,INDEX($AB$1005:$AQ$1005,1,MATCH(COLUMNS($AB$1006:AP1006),$AB$1006:$AQ$1006,0))&gt;=100000), " ",IF(INDEX($AB$2:$AQ$1001,MATCH(ROWS($U$2:U355),$U$2:$U$1001,0),MATCH(COLUMNS($AB$1006:AP1006),$AB$1006:$AQ$1006,0)), HYPERLINK("#",""), HYPERLINK(CONCATENATE("#metadata!", ADDRESS(INDEX($W$2:$W$1001,MATCH(ROWS($U$2:U355),$U$2:$U$1001,0),0), INDEX($AB$1004:$AQ$1004,1,MATCH(COLUMNS($AB$1006:AP1006),$AB$1006:$AQ$1006,0)))),"Fix")))</f>
        <v>0</v>
      </c>
      <c r="Q355" s="4">
        <f>IF(OR(INDEX($V$2:$V$1001,MATCH(ROWS($U$2:U355),$U$2:$U$1001,0),1)&gt;=100000,INDEX($AB$1005:$AQ$1005,1,MATCH(COLUMNS($AB$1006:AQ1006),$AB$1006:$AQ$1006,0))&gt;=100000), " ",IF(INDEX($AB$2:$AQ$1001,MATCH(ROWS($U$2:U355),$U$2:$U$1001,0),MATCH(COLUMNS($AB$1006:AQ1006),$AB$1006:$AQ$1006,0)), HYPERLINK("#",""), HYPERLINK(CONCATENATE("#metadata!", ADDRESS(INDEX($W$2:$W$1001,MATCH(ROWS($U$2:U355),$U$2:$U$1001,0),0), INDEX($AB$1004:$AQ$1004,1,MATCH(COLUMNS($AB$1006:AQ1006),$AB$1006:$AQ$1006,0)))),"Fix")))</f>
        <v>0</v>
      </c>
      <c r="U355">
        <v>0</v>
      </c>
      <c r="V355">
        <v>0</v>
      </c>
      <c r="W355">
        <v>0</v>
      </c>
      <c r="X355">
        <f>IF(Y355,TRUE,AND(AB355:AQ355))</f>
        <v>0</v>
      </c>
      <c r="Y355">
        <f>COUNTBLANK(metadata!B355:Q355)=COLUMNS(metadata!B355:Q355)</f>
        <v>0</v>
      </c>
      <c r="Z355">
        <v>0</v>
      </c>
      <c r="AB355">
        <f>AND(IF(metadata!B355="",FALSE,TRUE),COUNTIF(metadata!B:B, metadata!B355) = 1,NOT(ISERROR(SUMPRODUCT(SEARCH(MID(metadata!B355,ROW(INDIRECT("1:"&amp;LEN(metadata!B355))), 1),"0123456789abcdefghijklmnopqrstuvwxyzABCDEFGHIJKLMNOPQRSTUVWXYZ.")))))</f>
        <v>0</v>
      </c>
      <c r="AC355">
        <f>OR(AND(IF(metadata!C355="",FALSE,TRUE),OR(exact(metadata!C355,"missing: not collected"),exact(metadata!C355,"missing: not provided"),exact(metadata!C355,"missing: restricted access"))),AND(IF(metadata!C355="",FALSE,TRUE),AND(AND(IFERROR(INT(LEFT(metadata!C355,4))&gt;1900,FALSE),IFERROR(INT(LEFT(metadata!C355,4))&lt;=YEAR(NOW()),FALSE)), OR(MID(metadata!C355,5,1)="", AND(AND(MID(metadata!C355,5,1)="-",IFERROR(INT(MID(metadata!C355,6,1))&gt;=0,FALSE),IFERROR(INT(MID(metadata!C355,6,1))&lt;=1,FALSE),NOT(MID(metadata!C355,7,1)=""),IFERROR(INT(MID(metadata!C355,6,2))&gt;=1,FALSE),IFERROR(INT(MID(metadata!C355,6,2))&lt;=12,FALSE)), OR(MID(metadata!C355,8,1)="", AND(AND(MID(metadata!C355,8,1)="-",IFERROR(INT(MID(metadata!C355,9,1))&gt;=0,FALSE),IFERROR(INT(MID(metadata!C355,9,1))&lt;=3,FALSE),NOT(MID(metadata!C355,10,1)=""),IFERROR(INT(MID(metadata!C355,9,2))&gt;=1,FALSE),IFERROR(INT(MID(metadata!C355,9,2))&lt;=31,FALSE)), OR(MID(metadata!C355,11,1)="", AND(AND(MID(metadata!C355,11,1)=" ",IFERROR(INT(MID(metadata!C355,12,1))&gt;=0,FALSE),IFERROR(INT(MID(metadata!C355,12,1))&lt;=2,FALSE),NOT(MID(metadata!C355,13,1)=""),IFERROR(INT(MID(metadata!C355,12,2))&gt;=0,FALSE),IFERROR(INT(MID(metadata!C355,12,2))&lt;=23,FALSE)), OR(MID(metadata!C355,14,1)="", AND(AND(MID(metadata!C355,14,1)=":",IFERROR(INT(MID(metadata!C355,15,1))&gt;=0,FALSE),IFERROR(INT(MID(metadata!C355,15,1))&lt;=5,FALSE),NOT(MID(metadata!C355,16,1)=""),IFERROR(INT(MID(metadata!C355,15,2))&gt;=0,FALSE),IFERROR(INT(MID(metadata!C355,15,2))&lt;=59,FALSE)), OR(MID(metadata!C355,17,1)="", AND(AND(MID(metadata!C355,17,1)=":",IFERROR(INT(MID(metadata!C355,18,1))&gt;=0,FALSE),IFERROR(INT(MID(metadata!C355,18,1))&lt;=5,FALSE),NOT(MID(metadata!C355,19,1)=""),IFERROR(INT(MID(metadata!C355,18,2))&gt;=0,FALSE),IFERROR(INT(MID(metadata!C355,18,2))&lt;=59,FALSE)), LEN(metadata!C355)&lt;=19)))))))))))))</f>
        <v>0</v>
      </c>
      <c r="AD355">
        <f>IF(metadata!D355="",FALSE,TRUE)</f>
        <v>0</v>
      </c>
      <c r="AE355">
        <f>OR(AND(IF(metadata!E355="",FALSE,TRUE),OR(exact(metadata!E355,"missing: not collected"),exact(metadata!E355,"missing: not provided"))),AND(IF(metadata!E355="",FALSE,TRUE),OR(exact(metadata!E355,"TRUE"),exact(metadata!E355,"FALSE"))))</f>
        <v>0</v>
      </c>
      <c r="AF355">
        <f>IF(metadata!F355="",FALSE,TRUE)</f>
        <v>0</v>
      </c>
      <c r="AG355">
        <f>IF(metadata!G355="",FALSE,TRUE)</f>
        <v>0</v>
      </c>
      <c r="AH355">
        <f>IF(metadata!H355="",FALSE,TRUE)</f>
        <v>0</v>
      </c>
      <c r="AI355">
        <f>OR(AND(IF(metadata!I355="",FALSE,TRUE),OR(exact(metadata!I355,"missing: not collected"),exact(metadata!I355,"missing: not provided"),exact(metadata!I355,"missing: restricted access"))),AND(IF(metadata!I355="",FALSE,TRUE),OR(exact(metadata!I355,"air"),exact(metadata!I355,"built environment"),exact(metadata!I355,"host-associated"),exact(metadata!I355,"human-associated"),exact(metadata!I355,"human-skin"),exact(metadata!I355,"human-oral"),exact(metadata!I355,"human-gut"),exact(metadata!I355,"human-vaginal"),exact(metadata!I355,"microbial mat/biofilm"),exact(metadata!I355,"misc environment"),exact(metadata!I355,"plant-associated"),exact(metadata!I355,"sediment"),exact(metadata!I355,"soil"),exact(metadata!I355,"wastewater/sludge"),exact(metadata!I355,"water"))))</f>
        <v>0</v>
      </c>
      <c r="AJ355">
        <f>IF(metadata!J355="",FALSE,TRUE)</f>
        <v>0</v>
      </c>
      <c r="AK355">
        <f>OR(AND(IF(metadata!K355="",FALSE,TRUE),OR(exact(metadata!K355,"missing: not collected"),exact(metadata!K355,"missing: not provided"),exact(metadata!K355,"missing: restricted access"))),AND(IF(metadata!K355="",FALSE,ISNUMBER(VALUE(metadata!K355))),metadata!K355&gt;=-90.00,metadata!K355&lt;=90.00))</f>
        <v>0</v>
      </c>
      <c r="AL355">
        <f>OR(AND(IF(metadata!L355="",FALSE,TRUE),OR(exact(metadata!L355,"missing: not collected"),exact(metadata!L355,"missing: not provided"),exact(metadata!L355,"missing: restricted access"))),AND(IF(metadata!L355="",FALSE,ISNUMBER(VALUE(metadata!L355))),metadata!L355&gt;=-180.00,metadata!L355&lt;=180.00))</f>
        <v>0</v>
      </c>
      <c r="AM355">
        <f>IF(metadata!M355="",FALSE,TRUE)</f>
        <v>0</v>
      </c>
      <c r="AN355">
        <f>OR(AND(IF(metadata!N355="",FALSE,TRUE),OR(exact(metadata!N355,"missing: not collected"),exact(metadata!N355,"missing: not provided"),exact(metadata!N355,"missing: restricted access"))),AND(IF(metadata!N355="",FALSE,TRUE),OR(exact(metadata!N355,"TRUE"),exact(metadata!N355,"FALSE"))))</f>
        <v>0</v>
      </c>
      <c r="AO355">
        <f>IF(metadata!O355="",FALSE,TRUE)</f>
        <v>0</v>
      </c>
      <c r="AP355">
        <f>OR(AND(IF(metadata!P355="",FALSE,TRUE),OR(exact(metadata!P355,"missing: not collected"),exact(metadata!P355,"missing: not provided"))),AND(IF(metadata!P355="",FALSE,IF(ISERROR(INT(metadata!P355)),FALSE,INT(metadata!P355)=metadata!P355)),metadata!P355&gt;0))</f>
        <v>0</v>
      </c>
      <c r="AQ355">
        <f>IF(metadata!Q355="",FALSE,TRUE)</f>
        <v>0</v>
      </c>
    </row>
    <row r="356" spans="1:43">
      <c r="A356" s="5">
        <f>IF(B356=" "," ",HYPERLINK(CONCATENATE("#metadata!",ADDRESS(INDEX($W$2:$W$1001,MATCH(ROWS($U$2:U356),$U$2:$U$1001,0),0),1)),INDEX($Z$2:$Z$1001,MATCH(ROWS($U$2:U356),$U$2:$U$1001,0),0)))</f>
        <v>0</v>
      </c>
      <c r="B356" s="4">
        <f>IF(OR(INDEX($V$2:$V$1001,MATCH(ROWS($U$2:U356),$U$2:$U$1001,0),1)&gt;=100000,INDEX($AB$1005:$AQ$1005,1,MATCH(COLUMNS($AB$1006:AB1006),$AB$1006:$AQ$1006,0))&gt;=100000), " ",IF(INDEX($AB$2:$AQ$1001,MATCH(ROWS($U$2:U356),$U$2:$U$1001,0),MATCH(COLUMNS($AB$1006:AB1006),$AB$1006:$AQ$1006,0)), HYPERLINK("#",""), HYPERLINK(CONCATENATE("#metadata!", ADDRESS(INDEX($W$2:$W$1001,MATCH(ROWS($U$2:U356),$U$2:$U$1001,0),0), INDEX($AB$1004:$AQ$1004,1,MATCH(COLUMNS($AB$1006:AB1006),$AB$1006:$AQ$1006,0)))),"Fix")))</f>
        <v>0</v>
      </c>
      <c r="C356" s="4">
        <f>IF(OR(INDEX($V$2:$V$1001,MATCH(ROWS($U$2:U356),$U$2:$U$1001,0),1)&gt;=100000,INDEX($AB$1005:$AQ$1005,1,MATCH(COLUMNS($AB$1006:AC1006),$AB$1006:$AQ$1006,0))&gt;=100000), " ",IF(INDEX($AB$2:$AQ$1001,MATCH(ROWS($U$2:U356),$U$2:$U$1001,0),MATCH(COLUMNS($AB$1006:AC1006),$AB$1006:$AQ$1006,0)), HYPERLINK("#",""), HYPERLINK(CONCATENATE("#metadata!", ADDRESS(INDEX($W$2:$W$1001,MATCH(ROWS($U$2:U356),$U$2:$U$1001,0),0), INDEX($AB$1004:$AQ$1004,1,MATCH(COLUMNS($AB$1006:AC1006),$AB$1006:$AQ$1006,0)))),"Fix")))</f>
        <v>0</v>
      </c>
      <c r="D356" s="4">
        <f>IF(OR(INDEX($V$2:$V$1001,MATCH(ROWS($U$2:U356),$U$2:$U$1001,0),1)&gt;=100000,INDEX($AB$1005:$AQ$1005,1,MATCH(COLUMNS($AB$1006:AD1006),$AB$1006:$AQ$1006,0))&gt;=100000), " ",IF(INDEX($AB$2:$AQ$1001,MATCH(ROWS($U$2:U356),$U$2:$U$1001,0),MATCH(COLUMNS($AB$1006:AD1006),$AB$1006:$AQ$1006,0)), HYPERLINK("#",""), HYPERLINK(CONCATENATE("#metadata!", ADDRESS(INDEX($W$2:$W$1001,MATCH(ROWS($U$2:U356),$U$2:$U$1001,0),0), INDEX($AB$1004:$AQ$1004,1,MATCH(COLUMNS($AB$1006:AD1006),$AB$1006:$AQ$1006,0)))),"Fix")))</f>
        <v>0</v>
      </c>
      <c r="E356" s="4">
        <f>IF(OR(INDEX($V$2:$V$1001,MATCH(ROWS($U$2:U356),$U$2:$U$1001,0),1)&gt;=100000,INDEX($AB$1005:$AQ$1005,1,MATCH(COLUMNS($AB$1006:AE1006),$AB$1006:$AQ$1006,0))&gt;=100000), " ",IF(INDEX($AB$2:$AQ$1001,MATCH(ROWS($U$2:U356),$U$2:$U$1001,0),MATCH(COLUMNS($AB$1006:AE1006),$AB$1006:$AQ$1006,0)), HYPERLINK("#",""), HYPERLINK(CONCATENATE("#metadata!", ADDRESS(INDEX($W$2:$W$1001,MATCH(ROWS($U$2:U356),$U$2:$U$1001,0),0), INDEX($AB$1004:$AQ$1004,1,MATCH(COLUMNS($AB$1006:AE1006),$AB$1006:$AQ$1006,0)))),"Fix")))</f>
        <v>0</v>
      </c>
      <c r="F356" s="4">
        <f>IF(OR(INDEX($V$2:$V$1001,MATCH(ROWS($U$2:U356),$U$2:$U$1001,0),1)&gt;=100000,INDEX($AB$1005:$AQ$1005,1,MATCH(COLUMNS($AB$1006:AF1006),$AB$1006:$AQ$1006,0))&gt;=100000), " ",IF(INDEX($AB$2:$AQ$1001,MATCH(ROWS($U$2:U356),$U$2:$U$1001,0),MATCH(COLUMNS($AB$1006:AF1006),$AB$1006:$AQ$1006,0)), HYPERLINK("#",""), HYPERLINK(CONCATENATE("#metadata!", ADDRESS(INDEX($W$2:$W$1001,MATCH(ROWS($U$2:U356),$U$2:$U$1001,0),0), INDEX($AB$1004:$AQ$1004,1,MATCH(COLUMNS($AB$1006:AF1006),$AB$1006:$AQ$1006,0)))),"Fix")))</f>
        <v>0</v>
      </c>
      <c r="G356" s="4">
        <f>IF(OR(INDEX($V$2:$V$1001,MATCH(ROWS($U$2:U356),$U$2:$U$1001,0),1)&gt;=100000,INDEX($AB$1005:$AQ$1005,1,MATCH(COLUMNS($AB$1006:AG1006),$AB$1006:$AQ$1006,0))&gt;=100000), " ",IF(INDEX($AB$2:$AQ$1001,MATCH(ROWS($U$2:U356),$U$2:$U$1001,0),MATCH(COLUMNS($AB$1006:AG1006),$AB$1006:$AQ$1006,0)), HYPERLINK("#",""), HYPERLINK(CONCATENATE("#metadata!", ADDRESS(INDEX($W$2:$W$1001,MATCH(ROWS($U$2:U356),$U$2:$U$1001,0),0), INDEX($AB$1004:$AQ$1004,1,MATCH(COLUMNS($AB$1006:AG1006),$AB$1006:$AQ$1006,0)))),"Fix")))</f>
        <v>0</v>
      </c>
      <c r="H356" s="4">
        <f>IF(OR(INDEX($V$2:$V$1001,MATCH(ROWS($U$2:U356),$U$2:$U$1001,0),1)&gt;=100000,INDEX($AB$1005:$AQ$1005,1,MATCH(COLUMNS($AB$1006:AH1006),$AB$1006:$AQ$1006,0))&gt;=100000), " ",IF(INDEX($AB$2:$AQ$1001,MATCH(ROWS($U$2:U356),$U$2:$U$1001,0),MATCH(COLUMNS($AB$1006:AH1006),$AB$1006:$AQ$1006,0)), HYPERLINK("#",""), HYPERLINK(CONCATENATE("#metadata!", ADDRESS(INDEX($W$2:$W$1001,MATCH(ROWS($U$2:U356),$U$2:$U$1001,0),0), INDEX($AB$1004:$AQ$1004,1,MATCH(COLUMNS($AB$1006:AH1006),$AB$1006:$AQ$1006,0)))),"Fix")))</f>
        <v>0</v>
      </c>
      <c r="I356" s="4">
        <f>IF(OR(INDEX($V$2:$V$1001,MATCH(ROWS($U$2:U356),$U$2:$U$1001,0),1)&gt;=100000,INDEX($AB$1005:$AQ$1005,1,MATCH(COLUMNS($AB$1006:AI1006),$AB$1006:$AQ$1006,0))&gt;=100000), " ",IF(INDEX($AB$2:$AQ$1001,MATCH(ROWS($U$2:U356),$U$2:$U$1001,0),MATCH(COLUMNS($AB$1006:AI1006),$AB$1006:$AQ$1006,0)), HYPERLINK("#",""), HYPERLINK(CONCATENATE("#metadata!", ADDRESS(INDEX($W$2:$W$1001,MATCH(ROWS($U$2:U356),$U$2:$U$1001,0),0), INDEX($AB$1004:$AQ$1004,1,MATCH(COLUMNS($AB$1006:AI1006),$AB$1006:$AQ$1006,0)))),"Fix")))</f>
        <v>0</v>
      </c>
      <c r="J356" s="4">
        <f>IF(OR(INDEX($V$2:$V$1001,MATCH(ROWS($U$2:U356),$U$2:$U$1001,0),1)&gt;=100000,INDEX($AB$1005:$AQ$1005,1,MATCH(COLUMNS($AB$1006:AJ1006),$AB$1006:$AQ$1006,0))&gt;=100000), " ",IF(INDEX($AB$2:$AQ$1001,MATCH(ROWS($U$2:U356),$U$2:$U$1001,0),MATCH(COLUMNS($AB$1006:AJ1006),$AB$1006:$AQ$1006,0)), HYPERLINK("#",""), HYPERLINK(CONCATENATE("#metadata!", ADDRESS(INDEX($W$2:$W$1001,MATCH(ROWS($U$2:U356),$U$2:$U$1001,0),0), INDEX($AB$1004:$AQ$1004,1,MATCH(COLUMNS($AB$1006:AJ1006),$AB$1006:$AQ$1006,0)))),"Fix")))</f>
        <v>0</v>
      </c>
      <c r="K356" s="4">
        <f>IF(OR(INDEX($V$2:$V$1001,MATCH(ROWS($U$2:U356),$U$2:$U$1001,0),1)&gt;=100000,INDEX($AB$1005:$AQ$1005,1,MATCH(COLUMNS($AB$1006:AK1006),$AB$1006:$AQ$1006,0))&gt;=100000), " ",IF(INDEX($AB$2:$AQ$1001,MATCH(ROWS($U$2:U356),$U$2:$U$1001,0),MATCH(COLUMNS($AB$1006:AK1006),$AB$1006:$AQ$1006,0)), HYPERLINK("#",""), HYPERLINK(CONCATENATE("#metadata!", ADDRESS(INDEX($W$2:$W$1001,MATCH(ROWS($U$2:U356),$U$2:$U$1001,0),0), INDEX($AB$1004:$AQ$1004,1,MATCH(COLUMNS($AB$1006:AK1006),$AB$1006:$AQ$1006,0)))),"Fix")))</f>
        <v>0</v>
      </c>
      <c r="L356" s="4">
        <f>IF(OR(INDEX($V$2:$V$1001,MATCH(ROWS($U$2:U356),$U$2:$U$1001,0),1)&gt;=100000,INDEX($AB$1005:$AQ$1005,1,MATCH(COLUMNS($AB$1006:AL1006),$AB$1006:$AQ$1006,0))&gt;=100000), " ",IF(INDEX($AB$2:$AQ$1001,MATCH(ROWS($U$2:U356),$U$2:$U$1001,0),MATCH(COLUMNS($AB$1006:AL1006),$AB$1006:$AQ$1006,0)), HYPERLINK("#",""), HYPERLINK(CONCATENATE("#metadata!", ADDRESS(INDEX($W$2:$W$1001,MATCH(ROWS($U$2:U356),$U$2:$U$1001,0),0), INDEX($AB$1004:$AQ$1004,1,MATCH(COLUMNS($AB$1006:AL1006),$AB$1006:$AQ$1006,0)))),"Fix")))</f>
        <v>0</v>
      </c>
      <c r="M356" s="4">
        <f>IF(OR(INDEX($V$2:$V$1001,MATCH(ROWS($U$2:U356),$U$2:$U$1001,0),1)&gt;=100000,INDEX($AB$1005:$AQ$1005,1,MATCH(COLUMNS($AB$1006:AM1006),$AB$1006:$AQ$1006,0))&gt;=100000), " ",IF(INDEX($AB$2:$AQ$1001,MATCH(ROWS($U$2:U356),$U$2:$U$1001,0),MATCH(COLUMNS($AB$1006:AM1006),$AB$1006:$AQ$1006,0)), HYPERLINK("#",""), HYPERLINK(CONCATENATE("#metadata!", ADDRESS(INDEX($W$2:$W$1001,MATCH(ROWS($U$2:U356),$U$2:$U$1001,0),0), INDEX($AB$1004:$AQ$1004,1,MATCH(COLUMNS($AB$1006:AM1006),$AB$1006:$AQ$1006,0)))),"Fix")))</f>
        <v>0</v>
      </c>
      <c r="N356" s="4">
        <f>IF(OR(INDEX($V$2:$V$1001,MATCH(ROWS($U$2:U356),$U$2:$U$1001,0),1)&gt;=100000,INDEX($AB$1005:$AQ$1005,1,MATCH(COLUMNS($AB$1006:AN1006),$AB$1006:$AQ$1006,0))&gt;=100000), " ",IF(INDEX($AB$2:$AQ$1001,MATCH(ROWS($U$2:U356),$U$2:$U$1001,0),MATCH(COLUMNS($AB$1006:AN1006),$AB$1006:$AQ$1006,0)), HYPERLINK("#",""), HYPERLINK(CONCATENATE("#metadata!", ADDRESS(INDEX($W$2:$W$1001,MATCH(ROWS($U$2:U356),$U$2:$U$1001,0),0), INDEX($AB$1004:$AQ$1004,1,MATCH(COLUMNS($AB$1006:AN1006),$AB$1006:$AQ$1006,0)))),"Fix")))</f>
        <v>0</v>
      </c>
      <c r="O356" s="4">
        <f>IF(OR(INDEX($V$2:$V$1001,MATCH(ROWS($U$2:U356),$U$2:$U$1001,0),1)&gt;=100000,INDEX($AB$1005:$AQ$1005,1,MATCH(COLUMNS($AB$1006:AO1006),$AB$1006:$AQ$1006,0))&gt;=100000), " ",IF(INDEX($AB$2:$AQ$1001,MATCH(ROWS($U$2:U356),$U$2:$U$1001,0),MATCH(COLUMNS($AB$1006:AO1006),$AB$1006:$AQ$1006,0)), HYPERLINK("#",""), HYPERLINK(CONCATENATE("#metadata!", ADDRESS(INDEX($W$2:$W$1001,MATCH(ROWS($U$2:U356),$U$2:$U$1001,0),0), INDEX($AB$1004:$AQ$1004,1,MATCH(COLUMNS($AB$1006:AO1006),$AB$1006:$AQ$1006,0)))),"Fix")))</f>
        <v>0</v>
      </c>
      <c r="P356" s="4">
        <f>IF(OR(INDEX($V$2:$V$1001,MATCH(ROWS($U$2:U356),$U$2:$U$1001,0),1)&gt;=100000,INDEX($AB$1005:$AQ$1005,1,MATCH(COLUMNS($AB$1006:AP1006),$AB$1006:$AQ$1006,0))&gt;=100000), " ",IF(INDEX($AB$2:$AQ$1001,MATCH(ROWS($U$2:U356),$U$2:$U$1001,0),MATCH(COLUMNS($AB$1006:AP1006),$AB$1006:$AQ$1006,0)), HYPERLINK("#",""), HYPERLINK(CONCATENATE("#metadata!", ADDRESS(INDEX($W$2:$W$1001,MATCH(ROWS($U$2:U356),$U$2:$U$1001,0),0), INDEX($AB$1004:$AQ$1004,1,MATCH(COLUMNS($AB$1006:AP1006),$AB$1006:$AQ$1006,0)))),"Fix")))</f>
        <v>0</v>
      </c>
      <c r="Q356" s="4">
        <f>IF(OR(INDEX($V$2:$V$1001,MATCH(ROWS($U$2:U356),$U$2:$U$1001,0),1)&gt;=100000,INDEX($AB$1005:$AQ$1005,1,MATCH(COLUMNS($AB$1006:AQ1006),$AB$1006:$AQ$1006,0))&gt;=100000), " ",IF(INDEX($AB$2:$AQ$1001,MATCH(ROWS($U$2:U356),$U$2:$U$1001,0),MATCH(COLUMNS($AB$1006:AQ1006),$AB$1006:$AQ$1006,0)), HYPERLINK("#",""), HYPERLINK(CONCATENATE("#metadata!", ADDRESS(INDEX($W$2:$W$1001,MATCH(ROWS($U$2:U356),$U$2:$U$1001,0),0), INDEX($AB$1004:$AQ$1004,1,MATCH(COLUMNS($AB$1006:AQ1006),$AB$1006:$AQ$1006,0)))),"Fix")))</f>
        <v>0</v>
      </c>
      <c r="U356">
        <v>0</v>
      </c>
      <c r="V356">
        <v>0</v>
      </c>
      <c r="W356">
        <v>0</v>
      </c>
      <c r="X356">
        <f>IF(Y356,TRUE,AND(AB356:AQ356))</f>
        <v>0</v>
      </c>
      <c r="Y356">
        <f>COUNTBLANK(metadata!B356:Q356)=COLUMNS(metadata!B356:Q356)</f>
        <v>0</v>
      </c>
      <c r="Z356">
        <v>0</v>
      </c>
      <c r="AB356">
        <f>AND(IF(metadata!B356="",FALSE,TRUE),COUNTIF(metadata!B:B, metadata!B356) = 1,NOT(ISERROR(SUMPRODUCT(SEARCH(MID(metadata!B356,ROW(INDIRECT("1:"&amp;LEN(metadata!B356))), 1),"0123456789abcdefghijklmnopqrstuvwxyzABCDEFGHIJKLMNOPQRSTUVWXYZ.")))))</f>
        <v>0</v>
      </c>
      <c r="AC356">
        <f>OR(AND(IF(metadata!C356="",FALSE,TRUE),OR(exact(metadata!C356,"missing: not collected"),exact(metadata!C356,"missing: not provided"),exact(metadata!C356,"missing: restricted access"))),AND(IF(metadata!C356="",FALSE,TRUE),AND(AND(IFERROR(INT(LEFT(metadata!C356,4))&gt;1900,FALSE),IFERROR(INT(LEFT(metadata!C356,4))&lt;=YEAR(NOW()),FALSE)), OR(MID(metadata!C356,5,1)="", AND(AND(MID(metadata!C356,5,1)="-",IFERROR(INT(MID(metadata!C356,6,1))&gt;=0,FALSE),IFERROR(INT(MID(metadata!C356,6,1))&lt;=1,FALSE),NOT(MID(metadata!C356,7,1)=""),IFERROR(INT(MID(metadata!C356,6,2))&gt;=1,FALSE),IFERROR(INT(MID(metadata!C356,6,2))&lt;=12,FALSE)), OR(MID(metadata!C356,8,1)="", AND(AND(MID(metadata!C356,8,1)="-",IFERROR(INT(MID(metadata!C356,9,1))&gt;=0,FALSE),IFERROR(INT(MID(metadata!C356,9,1))&lt;=3,FALSE),NOT(MID(metadata!C356,10,1)=""),IFERROR(INT(MID(metadata!C356,9,2))&gt;=1,FALSE),IFERROR(INT(MID(metadata!C356,9,2))&lt;=31,FALSE)), OR(MID(metadata!C356,11,1)="", AND(AND(MID(metadata!C356,11,1)=" ",IFERROR(INT(MID(metadata!C356,12,1))&gt;=0,FALSE),IFERROR(INT(MID(metadata!C356,12,1))&lt;=2,FALSE),NOT(MID(metadata!C356,13,1)=""),IFERROR(INT(MID(metadata!C356,12,2))&gt;=0,FALSE),IFERROR(INT(MID(metadata!C356,12,2))&lt;=23,FALSE)), OR(MID(metadata!C356,14,1)="", AND(AND(MID(metadata!C356,14,1)=":",IFERROR(INT(MID(metadata!C356,15,1))&gt;=0,FALSE),IFERROR(INT(MID(metadata!C356,15,1))&lt;=5,FALSE),NOT(MID(metadata!C356,16,1)=""),IFERROR(INT(MID(metadata!C356,15,2))&gt;=0,FALSE),IFERROR(INT(MID(metadata!C356,15,2))&lt;=59,FALSE)), OR(MID(metadata!C356,17,1)="", AND(AND(MID(metadata!C356,17,1)=":",IFERROR(INT(MID(metadata!C356,18,1))&gt;=0,FALSE),IFERROR(INT(MID(metadata!C356,18,1))&lt;=5,FALSE),NOT(MID(metadata!C356,19,1)=""),IFERROR(INT(MID(metadata!C356,18,2))&gt;=0,FALSE),IFERROR(INT(MID(metadata!C356,18,2))&lt;=59,FALSE)), LEN(metadata!C356)&lt;=19)))))))))))))</f>
        <v>0</v>
      </c>
      <c r="AD356">
        <f>IF(metadata!D356="",FALSE,TRUE)</f>
        <v>0</v>
      </c>
      <c r="AE356">
        <f>OR(AND(IF(metadata!E356="",FALSE,TRUE),OR(exact(metadata!E356,"missing: not collected"),exact(metadata!E356,"missing: not provided"))),AND(IF(metadata!E356="",FALSE,TRUE),OR(exact(metadata!E356,"TRUE"),exact(metadata!E356,"FALSE"))))</f>
        <v>0</v>
      </c>
      <c r="AF356">
        <f>IF(metadata!F356="",FALSE,TRUE)</f>
        <v>0</v>
      </c>
      <c r="AG356">
        <f>IF(metadata!G356="",FALSE,TRUE)</f>
        <v>0</v>
      </c>
      <c r="AH356">
        <f>IF(metadata!H356="",FALSE,TRUE)</f>
        <v>0</v>
      </c>
      <c r="AI356">
        <f>OR(AND(IF(metadata!I356="",FALSE,TRUE),OR(exact(metadata!I356,"missing: not collected"),exact(metadata!I356,"missing: not provided"),exact(metadata!I356,"missing: restricted access"))),AND(IF(metadata!I356="",FALSE,TRUE),OR(exact(metadata!I356,"air"),exact(metadata!I356,"built environment"),exact(metadata!I356,"host-associated"),exact(metadata!I356,"human-associated"),exact(metadata!I356,"human-skin"),exact(metadata!I356,"human-oral"),exact(metadata!I356,"human-gut"),exact(metadata!I356,"human-vaginal"),exact(metadata!I356,"microbial mat/biofilm"),exact(metadata!I356,"misc environment"),exact(metadata!I356,"plant-associated"),exact(metadata!I356,"sediment"),exact(metadata!I356,"soil"),exact(metadata!I356,"wastewater/sludge"),exact(metadata!I356,"water"))))</f>
        <v>0</v>
      </c>
      <c r="AJ356">
        <f>IF(metadata!J356="",FALSE,TRUE)</f>
        <v>0</v>
      </c>
      <c r="AK356">
        <f>OR(AND(IF(metadata!K356="",FALSE,TRUE),OR(exact(metadata!K356,"missing: not collected"),exact(metadata!K356,"missing: not provided"),exact(metadata!K356,"missing: restricted access"))),AND(IF(metadata!K356="",FALSE,ISNUMBER(VALUE(metadata!K356))),metadata!K356&gt;=-90.00,metadata!K356&lt;=90.00))</f>
        <v>0</v>
      </c>
      <c r="AL356">
        <f>OR(AND(IF(metadata!L356="",FALSE,TRUE),OR(exact(metadata!L356,"missing: not collected"),exact(metadata!L356,"missing: not provided"),exact(metadata!L356,"missing: restricted access"))),AND(IF(metadata!L356="",FALSE,ISNUMBER(VALUE(metadata!L356))),metadata!L356&gt;=-180.00,metadata!L356&lt;=180.00))</f>
        <v>0</v>
      </c>
      <c r="AM356">
        <f>IF(metadata!M356="",FALSE,TRUE)</f>
        <v>0</v>
      </c>
      <c r="AN356">
        <f>OR(AND(IF(metadata!N356="",FALSE,TRUE),OR(exact(metadata!N356,"missing: not collected"),exact(metadata!N356,"missing: not provided"),exact(metadata!N356,"missing: restricted access"))),AND(IF(metadata!N356="",FALSE,TRUE),OR(exact(metadata!N356,"TRUE"),exact(metadata!N356,"FALSE"))))</f>
        <v>0</v>
      </c>
      <c r="AO356">
        <f>IF(metadata!O356="",FALSE,TRUE)</f>
        <v>0</v>
      </c>
      <c r="AP356">
        <f>OR(AND(IF(metadata!P356="",FALSE,TRUE),OR(exact(metadata!P356,"missing: not collected"),exact(metadata!P356,"missing: not provided"))),AND(IF(metadata!P356="",FALSE,IF(ISERROR(INT(metadata!P356)),FALSE,INT(metadata!P356)=metadata!P356)),metadata!P356&gt;0))</f>
        <v>0</v>
      </c>
      <c r="AQ356">
        <f>IF(metadata!Q356="",FALSE,TRUE)</f>
        <v>0</v>
      </c>
    </row>
    <row r="357" spans="1:43">
      <c r="A357" s="5">
        <f>IF(B357=" "," ",HYPERLINK(CONCATENATE("#metadata!",ADDRESS(INDEX($W$2:$W$1001,MATCH(ROWS($U$2:U357),$U$2:$U$1001,0),0),1)),INDEX($Z$2:$Z$1001,MATCH(ROWS($U$2:U357),$U$2:$U$1001,0),0)))</f>
        <v>0</v>
      </c>
      <c r="B357" s="4">
        <f>IF(OR(INDEX($V$2:$V$1001,MATCH(ROWS($U$2:U357),$U$2:$U$1001,0),1)&gt;=100000,INDEX($AB$1005:$AQ$1005,1,MATCH(COLUMNS($AB$1006:AB1006),$AB$1006:$AQ$1006,0))&gt;=100000), " ",IF(INDEX($AB$2:$AQ$1001,MATCH(ROWS($U$2:U357),$U$2:$U$1001,0),MATCH(COLUMNS($AB$1006:AB1006),$AB$1006:$AQ$1006,0)), HYPERLINK("#",""), HYPERLINK(CONCATENATE("#metadata!", ADDRESS(INDEX($W$2:$W$1001,MATCH(ROWS($U$2:U357),$U$2:$U$1001,0),0), INDEX($AB$1004:$AQ$1004,1,MATCH(COLUMNS($AB$1006:AB1006),$AB$1006:$AQ$1006,0)))),"Fix")))</f>
        <v>0</v>
      </c>
      <c r="C357" s="4">
        <f>IF(OR(INDEX($V$2:$V$1001,MATCH(ROWS($U$2:U357),$U$2:$U$1001,0),1)&gt;=100000,INDEX($AB$1005:$AQ$1005,1,MATCH(COLUMNS($AB$1006:AC1006),$AB$1006:$AQ$1006,0))&gt;=100000), " ",IF(INDEX($AB$2:$AQ$1001,MATCH(ROWS($U$2:U357),$U$2:$U$1001,0),MATCH(COLUMNS($AB$1006:AC1006),$AB$1006:$AQ$1006,0)), HYPERLINK("#",""), HYPERLINK(CONCATENATE("#metadata!", ADDRESS(INDEX($W$2:$W$1001,MATCH(ROWS($U$2:U357),$U$2:$U$1001,0),0), INDEX($AB$1004:$AQ$1004,1,MATCH(COLUMNS($AB$1006:AC1006),$AB$1006:$AQ$1006,0)))),"Fix")))</f>
        <v>0</v>
      </c>
      <c r="D357" s="4">
        <f>IF(OR(INDEX($V$2:$V$1001,MATCH(ROWS($U$2:U357),$U$2:$U$1001,0),1)&gt;=100000,INDEX($AB$1005:$AQ$1005,1,MATCH(COLUMNS($AB$1006:AD1006),$AB$1006:$AQ$1006,0))&gt;=100000), " ",IF(INDEX($AB$2:$AQ$1001,MATCH(ROWS($U$2:U357),$U$2:$U$1001,0),MATCH(COLUMNS($AB$1006:AD1006),$AB$1006:$AQ$1006,0)), HYPERLINK("#",""), HYPERLINK(CONCATENATE("#metadata!", ADDRESS(INDEX($W$2:$W$1001,MATCH(ROWS($U$2:U357),$U$2:$U$1001,0),0), INDEX($AB$1004:$AQ$1004,1,MATCH(COLUMNS($AB$1006:AD1006),$AB$1006:$AQ$1006,0)))),"Fix")))</f>
        <v>0</v>
      </c>
      <c r="E357" s="4">
        <f>IF(OR(INDEX($V$2:$V$1001,MATCH(ROWS($U$2:U357),$U$2:$U$1001,0),1)&gt;=100000,INDEX($AB$1005:$AQ$1005,1,MATCH(COLUMNS($AB$1006:AE1006),$AB$1006:$AQ$1006,0))&gt;=100000), " ",IF(INDEX($AB$2:$AQ$1001,MATCH(ROWS($U$2:U357),$U$2:$U$1001,0),MATCH(COLUMNS($AB$1006:AE1006),$AB$1006:$AQ$1006,0)), HYPERLINK("#",""), HYPERLINK(CONCATENATE("#metadata!", ADDRESS(INDEX($W$2:$W$1001,MATCH(ROWS($U$2:U357),$U$2:$U$1001,0),0), INDEX($AB$1004:$AQ$1004,1,MATCH(COLUMNS($AB$1006:AE1006),$AB$1006:$AQ$1006,0)))),"Fix")))</f>
        <v>0</v>
      </c>
      <c r="F357" s="4">
        <f>IF(OR(INDEX($V$2:$V$1001,MATCH(ROWS($U$2:U357),$U$2:$U$1001,0),1)&gt;=100000,INDEX($AB$1005:$AQ$1005,1,MATCH(COLUMNS($AB$1006:AF1006),$AB$1006:$AQ$1006,0))&gt;=100000), " ",IF(INDEX($AB$2:$AQ$1001,MATCH(ROWS($U$2:U357),$U$2:$U$1001,0),MATCH(COLUMNS($AB$1006:AF1006),$AB$1006:$AQ$1006,0)), HYPERLINK("#",""), HYPERLINK(CONCATENATE("#metadata!", ADDRESS(INDEX($W$2:$W$1001,MATCH(ROWS($U$2:U357),$U$2:$U$1001,0),0), INDEX($AB$1004:$AQ$1004,1,MATCH(COLUMNS($AB$1006:AF1006),$AB$1006:$AQ$1006,0)))),"Fix")))</f>
        <v>0</v>
      </c>
      <c r="G357" s="4">
        <f>IF(OR(INDEX($V$2:$V$1001,MATCH(ROWS($U$2:U357),$U$2:$U$1001,0),1)&gt;=100000,INDEX($AB$1005:$AQ$1005,1,MATCH(COLUMNS($AB$1006:AG1006),$AB$1006:$AQ$1006,0))&gt;=100000), " ",IF(INDEX($AB$2:$AQ$1001,MATCH(ROWS($U$2:U357),$U$2:$U$1001,0),MATCH(COLUMNS($AB$1006:AG1006),$AB$1006:$AQ$1006,0)), HYPERLINK("#",""), HYPERLINK(CONCATENATE("#metadata!", ADDRESS(INDEX($W$2:$W$1001,MATCH(ROWS($U$2:U357),$U$2:$U$1001,0),0), INDEX($AB$1004:$AQ$1004,1,MATCH(COLUMNS($AB$1006:AG1006),$AB$1006:$AQ$1006,0)))),"Fix")))</f>
        <v>0</v>
      </c>
      <c r="H357" s="4">
        <f>IF(OR(INDEX($V$2:$V$1001,MATCH(ROWS($U$2:U357),$U$2:$U$1001,0),1)&gt;=100000,INDEX($AB$1005:$AQ$1005,1,MATCH(COLUMNS($AB$1006:AH1006),$AB$1006:$AQ$1006,0))&gt;=100000), " ",IF(INDEX($AB$2:$AQ$1001,MATCH(ROWS($U$2:U357),$U$2:$U$1001,0),MATCH(COLUMNS($AB$1006:AH1006),$AB$1006:$AQ$1006,0)), HYPERLINK("#",""), HYPERLINK(CONCATENATE("#metadata!", ADDRESS(INDEX($W$2:$W$1001,MATCH(ROWS($U$2:U357),$U$2:$U$1001,0),0), INDEX($AB$1004:$AQ$1004,1,MATCH(COLUMNS($AB$1006:AH1006),$AB$1006:$AQ$1006,0)))),"Fix")))</f>
        <v>0</v>
      </c>
      <c r="I357" s="4">
        <f>IF(OR(INDEX($V$2:$V$1001,MATCH(ROWS($U$2:U357),$U$2:$U$1001,0),1)&gt;=100000,INDEX($AB$1005:$AQ$1005,1,MATCH(COLUMNS($AB$1006:AI1006),$AB$1006:$AQ$1006,0))&gt;=100000), " ",IF(INDEX($AB$2:$AQ$1001,MATCH(ROWS($U$2:U357),$U$2:$U$1001,0),MATCH(COLUMNS($AB$1006:AI1006),$AB$1006:$AQ$1006,0)), HYPERLINK("#",""), HYPERLINK(CONCATENATE("#metadata!", ADDRESS(INDEX($W$2:$W$1001,MATCH(ROWS($U$2:U357),$U$2:$U$1001,0),0), INDEX($AB$1004:$AQ$1004,1,MATCH(COLUMNS($AB$1006:AI1006),$AB$1006:$AQ$1006,0)))),"Fix")))</f>
        <v>0</v>
      </c>
      <c r="J357" s="4">
        <f>IF(OR(INDEX($V$2:$V$1001,MATCH(ROWS($U$2:U357),$U$2:$U$1001,0),1)&gt;=100000,INDEX($AB$1005:$AQ$1005,1,MATCH(COLUMNS($AB$1006:AJ1006),$AB$1006:$AQ$1006,0))&gt;=100000), " ",IF(INDEX($AB$2:$AQ$1001,MATCH(ROWS($U$2:U357),$U$2:$U$1001,0),MATCH(COLUMNS($AB$1006:AJ1006),$AB$1006:$AQ$1006,0)), HYPERLINK("#",""), HYPERLINK(CONCATENATE("#metadata!", ADDRESS(INDEX($W$2:$W$1001,MATCH(ROWS($U$2:U357),$U$2:$U$1001,0),0), INDEX($AB$1004:$AQ$1004,1,MATCH(COLUMNS($AB$1006:AJ1006),$AB$1006:$AQ$1006,0)))),"Fix")))</f>
        <v>0</v>
      </c>
      <c r="K357" s="4">
        <f>IF(OR(INDEX($V$2:$V$1001,MATCH(ROWS($U$2:U357),$U$2:$U$1001,0),1)&gt;=100000,INDEX($AB$1005:$AQ$1005,1,MATCH(COLUMNS($AB$1006:AK1006),$AB$1006:$AQ$1006,0))&gt;=100000), " ",IF(INDEX($AB$2:$AQ$1001,MATCH(ROWS($U$2:U357),$U$2:$U$1001,0),MATCH(COLUMNS($AB$1006:AK1006),$AB$1006:$AQ$1006,0)), HYPERLINK("#",""), HYPERLINK(CONCATENATE("#metadata!", ADDRESS(INDEX($W$2:$W$1001,MATCH(ROWS($U$2:U357),$U$2:$U$1001,0),0), INDEX($AB$1004:$AQ$1004,1,MATCH(COLUMNS($AB$1006:AK1006),$AB$1006:$AQ$1006,0)))),"Fix")))</f>
        <v>0</v>
      </c>
      <c r="L357" s="4">
        <f>IF(OR(INDEX($V$2:$V$1001,MATCH(ROWS($U$2:U357),$U$2:$U$1001,0),1)&gt;=100000,INDEX($AB$1005:$AQ$1005,1,MATCH(COLUMNS($AB$1006:AL1006),$AB$1006:$AQ$1006,0))&gt;=100000), " ",IF(INDEX($AB$2:$AQ$1001,MATCH(ROWS($U$2:U357),$U$2:$U$1001,0),MATCH(COLUMNS($AB$1006:AL1006),$AB$1006:$AQ$1006,0)), HYPERLINK("#",""), HYPERLINK(CONCATENATE("#metadata!", ADDRESS(INDEX($W$2:$W$1001,MATCH(ROWS($U$2:U357),$U$2:$U$1001,0),0), INDEX($AB$1004:$AQ$1004,1,MATCH(COLUMNS($AB$1006:AL1006),$AB$1006:$AQ$1006,0)))),"Fix")))</f>
        <v>0</v>
      </c>
      <c r="M357" s="4">
        <f>IF(OR(INDEX($V$2:$V$1001,MATCH(ROWS($U$2:U357),$U$2:$U$1001,0),1)&gt;=100000,INDEX($AB$1005:$AQ$1005,1,MATCH(COLUMNS($AB$1006:AM1006),$AB$1006:$AQ$1006,0))&gt;=100000), " ",IF(INDEX($AB$2:$AQ$1001,MATCH(ROWS($U$2:U357),$U$2:$U$1001,0),MATCH(COLUMNS($AB$1006:AM1006),$AB$1006:$AQ$1006,0)), HYPERLINK("#",""), HYPERLINK(CONCATENATE("#metadata!", ADDRESS(INDEX($W$2:$W$1001,MATCH(ROWS($U$2:U357),$U$2:$U$1001,0),0), INDEX($AB$1004:$AQ$1004,1,MATCH(COLUMNS($AB$1006:AM1006),$AB$1006:$AQ$1006,0)))),"Fix")))</f>
        <v>0</v>
      </c>
      <c r="N357" s="4">
        <f>IF(OR(INDEX($V$2:$V$1001,MATCH(ROWS($U$2:U357),$U$2:$U$1001,0),1)&gt;=100000,INDEX($AB$1005:$AQ$1005,1,MATCH(COLUMNS($AB$1006:AN1006),$AB$1006:$AQ$1006,0))&gt;=100000), " ",IF(INDEX($AB$2:$AQ$1001,MATCH(ROWS($U$2:U357),$U$2:$U$1001,0),MATCH(COLUMNS($AB$1006:AN1006),$AB$1006:$AQ$1006,0)), HYPERLINK("#",""), HYPERLINK(CONCATENATE("#metadata!", ADDRESS(INDEX($W$2:$W$1001,MATCH(ROWS($U$2:U357),$U$2:$U$1001,0),0), INDEX($AB$1004:$AQ$1004,1,MATCH(COLUMNS($AB$1006:AN1006),$AB$1006:$AQ$1006,0)))),"Fix")))</f>
        <v>0</v>
      </c>
      <c r="O357" s="4">
        <f>IF(OR(INDEX($V$2:$V$1001,MATCH(ROWS($U$2:U357),$U$2:$U$1001,0),1)&gt;=100000,INDEX($AB$1005:$AQ$1005,1,MATCH(COLUMNS($AB$1006:AO1006),$AB$1006:$AQ$1006,0))&gt;=100000), " ",IF(INDEX($AB$2:$AQ$1001,MATCH(ROWS($U$2:U357),$U$2:$U$1001,0),MATCH(COLUMNS($AB$1006:AO1006),$AB$1006:$AQ$1006,0)), HYPERLINK("#",""), HYPERLINK(CONCATENATE("#metadata!", ADDRESS(INDEX($W$2:$W$1001,MATCH(ROWS($U$2:U357),$U$2:$U$1001,0),0), INDEX($AB$1004:$AQ$1004,1,MATCH(COLUMNS($AB$1006:AO1006),$AB$1006:$AQ$1006,0)))),"Fix")))</f>
        <v>0</v>
      </c>
      <c r="P357" s="4">
        <f>IF(OR(INDEX($V$2:$V$1001,MATCH(ROWS($U$2:U357),$U$2:$U$1001,0),1)&gt;=100000,INDEX($AB$1005:$AQ$1005,1,MATCH(COLUMNS($AB$1006:AP1006),$AB$1006:$AQ$1006,0))&gt;=100000), " ",IF(INDEX($AB$2:$AQ$1001,MATCH(ROWS($U$2:U357),$U$2:$U$1001,0),MATCH(COLUMNS($AB$1006:AP1006),$AB$1006:$AQ$1006,0)), HYPERLINK("#",""), HYPERLINK(CONCATENATE("#metadata!", ADDRESS(INDEX($W$2:$W$1001,MATCH(ROWS($U$2:U357),$U$2:$U$1001,0),0), INDEX($AB$1004:$AQ$1004,1,MATCH(COLUMNS($AB$1006:AP1006),$AB$1006:$AQ$1006,0)))),"Fix")))</f>
        <v>0</v>
      </c>
      <c r="Q357" s="4">
        <f>IF(OR(INDEX($V$2:$V$1001,MATCH(ROWS($U$2:U357),$U$2:$U$1001,0),1)&gt;=100000,INDEX($AB$1005:$AQ$1005,1,MATCH(COLUMNS($AB$1006:AQ1006),$AB$1006:$AQ$1006,0))&gt;=100000), " ",IF(INDEX($AB$2:$AQ$1001,MATCH(ROWS($U$2:U357),$U$2:$U$1001,0),MATCH(COLUMNS($AB$1006:AQ1006),$AB$1006:$AQ$1006,0)), HYPERLINK("#",""), HYPERLINK(CONCATENATE("#metadata!", ADDRESS(INDEX($W$2:$W$1001,MATCH(ROWS($U$2:U357),$U$2:$U$1001,0),0), INDEX($AB$1004:$AQ$1004,1,MATCH(COLUMNS($AB$1006:AQ1006),$AB$1006:$AQ$1006,0)))),"Fix")))</f>
        <v>0</v>
      </c>
      <c r="U357">
        <v>0</v>
      </c>
      <c r="V357">
        <v>0</v>
      </c>
      <c r="W357">
        <v>0</v>
      </c>
      <c r="X357">
        <f>IF(Y357,TRUE,AND(AB357:AQ357))</f>
        <v>0</v>
      </c>
      <c r="Y357">
        <f>COUNTBLANK(metadata!B357:Q357)=COLUMNS(metadata!B357:Q357)</f>
        <v>0</v>
      </c>
      <c r="Z357">
        <v>0</v>
      </c>
      <c r="AB357">
        <f>AND(IF(metadata!B357="",FALSE,TRUE),COUNTIF(metadata!B:B, metadata!B357) = 1,NOT(ISERROR(SUMPRODUCT(SEARCH(MID(metadata!B357,ROW(INDIRECT("1:"&amp;LEN(metadata!B357))), 1),"0123456789abcdefghijklmnopqrstuvwxyzABCDEFGHIJKLMNOPQRSTUVWXYZ.")))))</f>
        <v>0</v>
      </c>
      <c r="AC357">
        <f>OR(AND(IF(metadata!C357="",FALSE,TRUE),OR(exact(metadata!C357,"missing: not collected"),exact(metadata!C357,"missing: not provided"),exact(metadata!C357,"missing: restricted access"))),AND(IF(metadata!C357="",FALSE,TRUE),AND(AND(IFERROR(INT(LEFT(metadata!C357,4))&gt;1900,FALSE),IFERROR(INT(LEFT(metadata!C357,4))&lt;=YEAR(NOW()),FALSE)), OR(MID(metadata!C357,5,1)="", AND(AND(MID(metadata!C357,5,1)="-",IFERROR(INT(MID(metadata!C357,6,1))&gt;=0,FALSE),IFERROR(INT(MID(metadata!C357,6,1))&lt;=1,FALSE),NOT(MID(metadata!C357,7,1)=""),IFERROR(INT(MID(metadata!C357,6,2))&gt;=1,FALSE),IFERROR(INT(MID(metadata!C357,6,2))&lt;=12,FALSE)), OR(MID(metadata!C357,8,1)="", AND(AND(MID(metadata!C357,8,1)="-",IFERROR(INT(MID(metadata!C357,9,1))&gt;=0,FALSE),IFERROR(INT(MID(metadata!C357,9,1))&lt;=3,FALSE),NOT(MID(metadata!C357,10,1)=""),IFERROR(INT(MID(metadata!C357,9,2))&gt;=1,FALSE),IFERROR(INT(MID(metadata!C357,9,2))&lt;=31,FALSE)), OR(MID(metadata!C357,11,1)="", AND(AND(MID(metadata!C357,11,1)=" ",IFERROR(INT(MID(metadata!C357,12,1))&gt;=0,FALSE),IFERROR(INT(MID(metadata!C357,12,1))&lt;=2,FALSE),NOT(MID(metadata!C357,13,1)=""),IFERROR(INT(MID(metadata!C357,12,2))&gt;=0,FALSE),IFERROR(INT(MID(metadata!C357,12,2))&lt;=23,FALSE)), OR(MID(metadata!C357,14,1)="", AND(AND(MID(metadata!C357,14,1)=":",IFERROR(INT(MID(metadata!C357,15,1))&gt;=0,FALSE),IFERROR(INT(MID(metadata!C357,15,1))&lt;=5,FALSE),NOT(MID(metadata!C357,16,1)=""),IFERROR(INT(MID(metadata!C357,15,2))&gt;=0,FALSE),IFERROR(INT(MID(metadata!C357,15,2))&lt;=59,FALSE)), OR(MID(metadata!C357,17,1)="", AND(AND(MID(metadata!C357,17,1)=":",IFERROR(INT(MID(metadata!C357,18,1))&gt;=0,FALSE),IFERROR(INT(MID(metadata!C357,18,1))&lt;=5,FALSE),NOT(MID(metadata!C357,19,1)=""),IFERROR(INT(MID(metadata!C357,18,2))&gt;=0,FALSE),IFERROR(INT(MID(metadata!C357,18,2))&lt;=59,FALSE)), LEN(metadata!C357)&lt;=19)))))))))))))</f>
        <v>0</v>
      </c>
      <c r="AD357">
        <f>IF(metadata!D357="",FALSE,TRUE)</f>
        <v>0</v>
      </c>
      <c r="AE357">
        <f>OR(AND(IF(metadata!E357="",FALSE,TRUE),OR(exact(metadata!E357,"missing: not collected"),exact(metadata!E357,"missing: not provided"))),AND(IF(metadata!E357="",FALSE,TRUE),OR(exact(metadata!E357,"TRUE"),exact(metadata!E357,"FALSE"))))</f>
        <v>0</v>
      </c>
      <c r="AF357">
        <f>IF(metadata!F357="",FALSE,TRUE)</f>
        <v>0</v>
      </c>
      <c r="AG357">
        <f>IF(metadata!G357="",FALSE,TRUE)</f>
        <v>0</v>
      </c>
      <c r="AH357">
        <f>IF(metadata!H357="",FALSE,TRUE)</f>
        <v>0</v>
      </c>
      <c r="AI357">
        <f>OR(AND(IF(metadata!I357="",FALSE,TRUE),OR(exact(metadata!I357,"missing: not collected"),exact(metadata!I357,"missing: not provided"),exact(metadata!I357,"missing: restricted access"))),AND(IF(metadata!I357="",FALSE,TRUE),OR(exact(metadata!I357,"air"),exact(metadata!I357,"built environment"),exact(metadata!I357,"host-associated"),exact(metadata!I357,"human-associated"),exact(metadata!I357,"human-skin"),exact(metadata!I357,"human-oral"),exact(metadata!I357,"human-gut"),exact(metadata!I357,"human-vaginal"),exact(metadata!I357,"microbial mat/biofilm"),exact(metadata!I357,"misc environment"),exact(metadata!I357,"plant-associated"),exact(metadata!I357,"sediment"),exact(metadata!I357,"soil"),exact(metadata!I357,"wastewater/sludge"),exact(metadata!I357,"water"))))</f>
        <v>0</v>
      </c>
      <c r="AJ357">
        <f>IF(metadata!J357="",FALSE,TRUE)</f>
        <v>0</v>
      </c>
      <c r="AK357">
        <f>OR(AND(IF(metadata!K357="",FALSE,TRUE),OR(exact(metadata!K357,"missing: not collected"),exact(metadata!K357,"missing: not provided"),exact(metadata!K357,"missing: restricted access"))),AND(IF(metadata!K357="",FALSE,ISNUMBER(VALUE(metadata!K357))),metadata!K357&gt;=-90.00,metadata!K357&lt;=90.00))</f>
        <v>0</v>
      </c>
      <c r="AL357">
        <f>OR(AND(IF(metadata!L357="",FALSE,TRUE),OR(exact(metadata!L357,"missing: not collected"),exact(metadata!L357,"missing: not provided"),exact(metadata!L357,"missing: restricted access"))),AND(IF(metadata!L357="",FALSE,ISNUMBER(VALUE(metadata!L357))),metadata!L357&gt;=-180.00,metadata!L357&lt;=180.00))</f>
        <v>0</v>
      </c>
      <c r="AM357">
        <f>IF(metadata!M357="",FALSE,TRUE)</f>
        <v>0</v>
      </c>
      <c r="AN357">
        <f>OR(AND(IF(metadata!N357="",FALSE,TRUE),OR(exact(metadata!N357,"missing: not collected"),exact(metadata!N357,"missing: not provided"),exact(metadata!N357,"missing: restricted access"))),AND(IF(metadata!N357="",FALSE,TRUE),OR(exact(metadata!N357,"TRUE"),exact(metadata!N357,"FALSE"))))</f>
        <v>0</v>
      </c>
      <c r="AO357">
        <f>IF(metadata!O357="",FALSE,TRUE)</f>
        <v>0</v>
      </c>
      <c r="AP357">
        <f>OR(AND(IF(metadata!P357="",FALSE,TRUE),OR(exact(metadata!P357,"missing: not collected"),exact(metadata!P357,"missing: not provided"))),AND(IF(metadata!P357="",FALSE,IF(ISERROR(INT(metadata!P357)),FALSE,INT(metadata!P357)=metadata!P357)),metadata!P357&gt;0))</f>
        <v>0</v>
      </c>
      <c r="AQ357">
        <f>IF(metadata!Q357="",FALSE,TRUE)</f>
        <v>0</v>
      </c>
    </row>
    <row r="358" spans="1:43">
      <c r="A358" s="5">
        <f>IF(B358=" "," ",HYPERLINK(CONCATENATE("#metadata!",ADDRESS(INDEX($W$2:$W$1001,MATCH(ROWS($U$2:U358),$U$2:$U$1001,0),0),1)),INDEX($Z$2:$Z$1001,MATCH(ROWS($U$2:U358),$U$2:$U$1001,0),0)))</f>
        <v>0</v>
      </c>
      <c r="B358" s="4">
        <f>IF(OR(INDEX($V$2:$V$1001,MATCH(ROWS($U$2:U358),$U$2:$U$1001,0),1)&gt;=100000,INDEX($AB$1005:$AQ$1005,1,MATCH(COLUMNS($AB$1006:AB1006),$AB$1006:$AQ$1006,0))&gt;=100000), " ",IF(INDEX($AB$2:$AQ$1001,MATCH(ROWS($U$2:U358),$U$2:$U$1001,0),MATCH(COLUMNS($AB$1006:AB1006),$AB$1006:$AQ$1006,0)), HYPERLINK("#",""), HYPERLINK(CONCATENATE("#metadata!", ADDRESS(INDEX($W$2:$W$1001,MATCH(ROWS($U$2:U358),$U$2:$U$1001,0),0), INDEX($AB$1004:$AQ$1004,1,MATCH(COLUMNS($AB$1006:AB1006),$AB$1006:$AQ$1006,0)))),"Fix")))</f>
        <v>0</v>
      </c>
      <c r="C358" s="4">
        <f>IF(OR(INDEX($V$2:$V$1001,MATCH(ROWS($U$2:U358),$U$2:$U$1001,0),1)&gt;=100000,INDEX($AB$1005:$AQ$1005,1,MATCH(COLUMNS($AB$1006:AC1006),$AB$1006:$AQ$1006,0))&gt;=100000), " ",IF(INDEX($AB$2:$AQ$1001,MATCH(ROWS($U$2:U358),$U$2:$U$1001,0),MATCH(COLUMNS($AB$1006:AC1006),$AB$1006:$AQ$1006,0)), HYPERLINK("#",""), HYPERLINK(CONCATENATE("#metadata!", ADDRESS(INDEX($W$2:$W$1001,MATCH(ROWS($U$2:U358),$U$2:$U$1001,0),0), INDEX($AB$1004:$AQ$1004,1,MATCH(COLUMNS($AB$1006:AC1006),$AB$1006:$AQ$1006,0)))),"Fix")))</f>
        <v>0</v>
      </c>
      <c r="D358" s="4">
        <f>IF(OR(INDEX($V$2:$V$1001,MATCH(ROWS($U$2:U358),$U$2:$U$1001,0),1)&gt;=100000,INDEX($AB$1005:$AQ$1005,1,MATCH(COLUMNS($AB$1006:AD1006),$AB$1006:$AQ$1006,0))&gt;=100000), " ",IF(INDEX($AB$2:$AQ$1001,MATCH(ROWS($U$2:U358),$U$2:$U$1001,0),MATCH(COLUMNS($AB$1006:AD1006),$AB$1006:$AQ$1006,0)), HYPERLINK("#",""), HYPERLINK(CONCATENATE("#metadata!", ADDRESS(INDEX($W$2:$W$1001,MATCH(ROWS($U$2:U358),$U$2:$U$1001,0),0), INDEX($AB$1004:$AQ$1004,1,MATCH(COLUMNS($AB$1006:AD1006),$AB$1006:$AQ$1006,0)))),"Fix")))</f>
        <v>0</v>
      </c>
      <c r="E358" s="4">
        <f>IF(OR(INDEX($V$2:$V$1001,MATCH(ROWS($U$2:U358),$U$2:$U$1001,0),1)&gt;=100000,INDEX($AB$1005:$AQ$1005,1,MATCH(COLUMNS($AB$1006:AE1006),$AB$1006:$AQ$1006,0))&gt;=100000), " ",IF(INDEX($AB$2:$AQ$1001,MATCH(ROWS($U$2:U358),$U$2:$U$1001,0),MATCH(COLUMNS($AB$1006:AE1006),$AB$1006:$AQ$1006,0)), HYPERLINK("#",""), HYPERLINK(CONCATENATE("#metadata!", ADDRESS(INDEX($W$2:$W$1001,MATCH(ROWS($U$2:U358),$U$2:$U$1001,0),0), INDEX($AB$1004:$AQ$1004,1,MATCH(COLUMNS($AB$1006:AE1006),$AB$1006:$AQ$1006,0)))),"Fix")))</f>
        <v>0</v>
      </c>
      <c r="F358" s="4">
        <f>IF(OR(INDEX($V$2:$V$1001,MATCH(ROWS($U$2:U358),$U$2:$U$1001,0),1)&gt;=100000,INDEX($AB$1005:$AQ$1005,1,MATCH(COLUMNS($AB$1006:AF1006),$AB$1006:$AQ$1006,0))&gt;=100000), " ",IF(INDEX($AB$2:$AQ$1001,MATCH(ROWS($U$2:U358),$U$2:$U$1001,0),MATCH(COLUMNS($AB$1006:AF1006),$AB$1006:$AQ$1006,0)), HYPERLINK("#",""), HYPERLINK(CONCATENATE("#metadata!", ADDRESS(INDEX($W$2:$W$1001,MATCH(ROWS($U$2:U358),$U$2:$U$1001,0),0), INDEX($AB$1004:$AQ$1004,1,MATCH(COLUMNS($AB$1006:AF1006),$AB$1006:$AQ$1006,0)))),"Fix")))</f>
        <v>0</v>
      </c>
      <c r="G358" s="4">
        <f>IF(OR(INDEX($V$2:$V$1001,MATCH(ROWS($U$2:U358),$U$2:$U$1001,0),1)&gt;=100000,INDEX($AB$1005:$AQ$1005,1,MATCH(COLUMNS($AB$1006:AG1006),$AB$1006:$AQ$1006,0))&gt;=100000), " ",IF(INDEX($AB$2:$AQ$1001,MATCH(ROWS($U$2:U358),$U$2:$U$1001,0),MATCH(COLUMNS($AB$1006:AG1006),$AB$1006:$AQ$1006,0)), HYPERLINK("#",""), HYPERLINK(CONCATENATE("#metadata!", ADDRESS(INDEX($W$2:$W$1001,MATCH(ROWS($U$2:U358),$U$2:$U$1001,0),0), INDEX($AB$1004:$AQ$1004,1,MATCH(COLUMNS($AB$1006:AG1006),$AB$1006:$AQ$1006,0)))),"Fix")))</f>
        <v>0</v>
      </c>
      <c r="H358" s="4">
        <f>IF(OR(INDEX($V$2:$V$1001,MATCH(ROWS($U$2:U358),$U$2:$U$1001,0),1)&gt;=100000,INDEX($AB$1005:$AQ$1005,1,MATCH(COLUMNS($AB$1006:AH1006),$AB$1006:$AQ$1006,0))&gt;=100000), " ",IF(INDEX($AB$2:$AQ$1001,MATCH(ROWS($U$2:U358),$U$2:$U$1001,0),MATCH(COLUMNS($AB$1006:AH1006),$AB$1006:$AQ$1006,0)), HYPERLINK("#",""), HYPERLINK(CONCATENATE("#metadata!", ADDRESS(INDEX($W$2:$W$1001,MATCH(ROWS($U$2:U358),$U$2:$U$1001,0),0), INDEX($AB$1004:$AQ$1004,1,MATCH(COLUMNS($AB$1006:AH1006),$AB$1006:$AQ$1006,0)))),"Fix")))</f>
        <v>0</v>
      </c>
      <c r="I358" s="4">
        <f>IF(OR(INDEX($V$2:$V$1001,MATCH(ROWS($U$2:U358),$U$2:$U$1001,0),1)&gt;=100000,INDEX($AB$1005:$AQ$1005,1,MATCH(COLUMNS($AB$1006:AI1006),$AB$1006:$AQ$1006,0))&gt;=100000), " ",IF(INDEX($AB$2:$AQ$1001,MATCH(ROWS($U$2:U358),$U$2:$U$1001,0),MATCH(COLUMNS($AB$1006:AI1006),$AB$1006:$AQ$1006,0)), HYPERLINK("#",""), HYPERLINK(CONCATENATE("#metadata!", ADDRESS(INDEX($W$2:$W$1001,MATCH(ROWS($U$2:U358),$U$2:$U$1001,0),0), INDEX($AB$1004:$AQ$1004,1,MATCH(COLUMNS($AB$1006:AI1006),$AB$1006:$AQ$1006,0)))),"Fix")))</f>
        <v>0</v>
      </c>
      <c r="J358" s="4">
        <f>IF(OR(INDEX($V$2:$V$1001,MATCH(ROWS($U$2:U358),$U$2:$U$1001,0),1)&gt;=100000,INDEX($AB$1005:$AQ$1005,1,MATCH(COLUMNS($AB$1006:AJ1006),$AB$1006:$AQ$1006,0))&gt;=100000), " ",IF(INDEX($AB$2:$AQ$1001,MATCH(ROWS($U$2:U358),$U$2:$U$1001,0),MATCH(COLUMNS($AB$1006:AJ1006),$AB$1006:$AQ$1006,0)), HYPERLINK("#",""), HYPERLINK(CONCATENATE("#metadata!", ADDRESS(INDEX($W$2:$W$1001,MATCH(ROWS($U$2:U358),$U$2:$U$1001,0),0), INDEX($AB$1004:$AQ$1004,1,MATCH(COLUMNS($AB$1006:AJ1006),$AB$1006:$AQ$1006,0)))),"Fix")))</f>
        <v>0</v>
      </c>
      <c r="K358" s="4">
        <f>IF(OR(INDEX($V$2:$V$1001,MATCH(ROWS($U$2:U358),$U$2:$U$1001,0),1)&gt;=100000,INDEX($AB$1005:$AQ$1005,1,MATCH(COLUMNS($AB$1006:AK1006),$AB$1006:$AQ$1006,0))&gt;=100000), " ",IF(INDEX($AB$2:$AQ$1001,MATCH(ROWS($U$2:U358),$U$2:$U$1001,0),MATCH(COLUMNS($AB$1006:AK1006),$AB$1006:$AQ$1006,0)), HYPERLINK("#",""), HYPERLINK(CONCATENATE("#metadata!", ADDRESS(INDEX($W$2:$W$1001,MATCH(ROWS($U$2:U358),$U$2:$U$1001,0),0), INDEX($AB$1004:$AQ$1004,1,MATCH(COLUMNS($AB$1006:AK1006),$AB$1006:$AQ$1006,0)))),"Fix")))</f>
        <v>0</v>
      </c>
      <c r="L358" s="4">
        <f>IF(OR(INDEX($V$2:$V$1001,MATCH(ROWS($U$2:U358),$U$2:$U$1001,0),1)&gt;=100000,INDEX($AB$1005:$AQ$1005,1,MATCH(COLUMNS($AB$1006:AL1006),$AB$1006:$AQ$1006,0))&gt;=100000), " ",IF(INDEX($AB$2:$AQ$1001,MATCH(ROWS($U$2:U358),$U$2:$U$1001,0),MATCH(COLUMNS($AB$1006:AL1006),$AB$1006:$AQ$1006,0)), HYPERLINK("#",""), HYPERLINK(CONCATENATE("#metadata!", ADDRESS(INDEX($W$2:$W$1001,MATCH(ROWS($U$2:U358),$U$2:$U$1001,0),0), INDEX($AB$1004:$AQ$1004,1,MATCH(COLUMNS($AB$1006:AL1006),$AB$1006:$AQ$1006,0)))),"Fix")))</f>
        <v>0</v>
      </c>
      <c r="M358" s="4">
        <f>IF(OR(INDEX($V$2:$V$1001,MATCH(ROWS($U$2:U358),$U$2:$U$1001,0),1)&gt;=100000,INDEX($AB$1005:$AQ$1005,1,MATCH(COLUMNS($AB$1006:AM1006),$AB$1006:$AQ$1006,0))&gt;=100000), " ",IF(INDEX($AB$2:$AQ$1001,MATCH(ROWS($U$2:U358),$U$2:$U$1001,0),MATCH(COLUMNS($AB$1006:AM1006),$AB$1006:$AQ$1006,0)), HYPERLINK("#",""), HYPERLINK(CONCATENATE("#metadata!", ADDRESS(INDEX($W$2:$W$1001,MATCH(ROWS($U$2:U358),$U$2:$U$1001,0),0), INDEX($AB$1004:$AQ$1004,1,MATCH(COLUMNS($AB$1006:AM1006),$AB$1006:$AQ$1006,0)))),"Fix")))</f>
        <v>0</v>
      </c>
      <c r="N358" s="4">
        <f>IF(OR(INDEX($V$2:$V$1001,MATCH(ROWS($U$2:U358),$U$2:$U$1001,0),1)&gt;=100000,INDEX($AB$1005:$AQ$1005,1,MATCH(COLUMNS($AB$1006:AN1006),$AB$1006:$AQ$1006,0))&gt;=100000), " ",IF(INDEX($AB$2:$AQ$1001,MATCH(ROWS($U$2:U358),$U$2:$U$1001,0),MATCH(COLUMNS($AB$1006:AN1006),$AB$1006:$AQ$1006,0)), HYPERLINK("#",""), HYPERLINK(CONCATENATE("#metadata!", ADDRESS(INDEX($W$2:$W$1001,MATCH(ROWS($U$2:U358),$U$2:$U$1001,0),0), INDEX($AB$1004:$AQ$1004,1,MATCH(COLUMNS($AB$1006:AN1006),$AB$1006:$AQ$1006,0)))),"Fix")))</f>
        <v>0</v>
      </c>
      <c r="O358" s="4">
        <f>IF(OR(INDEX($V$2:$V$1001,MATCH(ROWS($U$2:U358),$U$2:$U$1001,0),1)&gt;=100000,INDEX($AB$1005:$AQ$1005,1,MATCH(COLUMNS($AB$1006:AO1006),$AB$1006:$AQ$1006,0))&gt;=100000), " ",IF(INDEX($AB$2:$AQ$1001,MATCH(ROWS($U$2:U358),$U$2:$U$1001,0),MATCH(COLUMNS($AB$1006:AO1006),$AB$1006:$AQ$1006,0)), HYPERLINK("#",""), HYPERLINK(CONCATENATE("#metadata!", ADDRESS(INDEX($W$2:$W$1001,MATCH(ROWS($U$2:U358),$U$2:$U$1001,0),0), INDEX($AB$1004:$AQ$1004,1,MATCH(COLUMNS($AB$1006:AO1006),$AB$1006:$AQ$1006,0)))),"Fix")))</f>
        <v>0</v>
      </c>
      <c r="P358" s="4">
        <f>IF(OR(INDEX($V$2:$V$1001,MATCH(ROWS($U$2:U358),$U$2:$U$1001,0),1)&gt;=100000,INDEX($AB$1005:$AQ$1005,1,MATCH(COLUMNS($AB$1006:AP1006),$AB$1006:$AQ$1006,0))&gt;=100000), " ",IF(INDEX($AB$2:$AQ$1001,MATCH(ROWS($U$2:U358),$U$2:$U$1001,0),MATCH(COLUMNS($AB$1006:AP1006),$AB$1006:$AQ$1006,0)), HYPERLINK("#",""), HYPERLINK(CONCATENATE("#metadata!", ADDRESS(INDEX($W$2:$W$1001,MATCH(ROWS($U$2:U358),$U$2:$U$1001,0),0), INDEX($AB$1004:$AQ$1004,1,MATCH(COLUMNS($AB$1006:AP1006),$AB$1006:$AQ$1006,0)))),"Fix")))</f>
        <v>0</v>
      </c>
      <c r="Q358" s="4">
        <f>IF(OR(INDEX($V$2:$V$1001,MATCH(ROWS($U$2:U358),$U$2:$U$1001,0),1)&gt;=100000,INDEX($AB$1005:$AQ$1005,1,MATCH(COLUMNS($AB$1006:AQ1006),$AB$1006:$AQ$1006,0))&gt;=100000), " ",IF(INDEX($AB$2:$AQ$1001,MATCH(ROWS($U$2:U358),$U$2:$U$1001,0),MATCH(COLUMNS($AB$1006:AQ1006),$AB$1006:$AQ$1006,0)), HYPERLINK("#",""), HYPERLINK(CONCATENATE("#metadata!", ADDRESS(INDEX($W$2:$W$1001,MATCH(ROWS($U$2:U358),$U$2:$U$1001,0),0), INDEX($AB$1004:$AQ$1004,1,MATCH(COLUMNS($AB$1006:AQ1006),$AB$1006:$AQ$1006,0)))),"Fix")))</f>
        <v>0</v>
      </c>
      <c r="U358">
        <v>0</v>
      </c>
      <c r="V358">
        <v>0</v>
      </c>
      <c r="W358">
        <v>0</v>
      </c>
      <c r="X358">
        <f>IF(Y358,TRUE,AND(AB358:AQ358))</f>
        <v>0</v>
      </c>
      <c r="Y358">
        <f>COUNTBLANK(metadata!B358:Q358)=COLUMNS(metadata!B358:Q358)</f>
        <v>0</v>
      </c>
      <c r="Z358">
        <v>0</v>
      </c>
      <c r="AB358">
        <f>AND(IF(metadata!B358="",FALSE,TRUE),COUNTIF(metadata!B:B, metadata!B358) = 1,NOT(ISERROR(SUMPRODUCT(SEARCH(MID(metadata!B358,ROW(INDIRECT("1:"&amp;LEN(metadata!B358))), 1),"0123456789abcdefghijklmnopqrstuvwxyzABCDEFGHIJKLMNOPQRSTUVWXYZ.")))))</f>
        <v>0</v>
      </c>
      <c r="AC358">
        <f>OR(AND(IF(metadata!C358="",FALSE,TRUE),OR(exact(metadata!C358,"missing: not collected"),exact(metadata!C358,"missing: not provided"),exact(metadata!C358,"missing: restricted access"))),AND(IF(metadata!C358="",FALSE,TRUE),AND(AND(IFERROR(INT(LEFT(metadata!C358,4))&gt;1900,FALSE),IFERROR(INT(LEFT(metadata!C358,4))&lt;=YEAR(NOW()),FALSE)), OR(MID(metadata!C358,5,1)="", AND(AND(MID(metadata!C358,5,1)="-",IFERROR(INT(MID(metadata!C358,6,1))&gt;=0,FALSE),IFERROR(INT(MID(metadata!C358,6,1))&lt;=1,FALSE),NOT(MID(metadata!C358,7,1)=""),IFERROR(INT(MID(metadata!C358,6,2))&gt;=1,FALSE),IFERROR(INT(MID(metadata!C358,6,2))&lt;=12,FALSE)), OR(MID(metadata!C358,8,1)="", AND(AND(MID(metadata!C358,8,1)="-",IFERROR(INT(MID(metadata!C358,9,1))&gt;=0,FALSE),IFERROR(INT(MID(metadata!C358,9,1))&lt;=3,FALSE),NOT(MID(metadata!C358,10,1)=""),IFERROR(INT(MID(metadata!C358,9,2))&gt;=1,FALSE),IFERROR(INT(MID(metadata!C358,9,2))&lt;=31,FALSE)), OR(MID(metadata!C358,11,1)="", AND(AND(MID(metadata!C358,11,1)=" ",IFERROR(INT(MID(metadata!C358,12,1))&gt;=0,FALSE),IFERROR(INT(MID(metadata!C358,12,1))&lt;=2,FALSE),NOT(MID(metadata!C358,13,1)=""),IFERROR(INT(MID(metadata!C358,12,2))&gt;=0,FALSE),IFERROR(INT(MID(metadata!C358,12,2))&lt;=23,FALSE)), OR(MID(metadata!C358,14,1)="", AND(AND(MID(metadata!C358,14,1)=":",IFERROR(INT(MID(metadata!C358,15,1))&gt;=0,FALSE),IFERROR(INT(MID(metadata!C358,15,1))&lt;=5,FALSE),NOT(MID(metadata!C358,16,1)=""),IFERROR(INT(MID(metadata!C358,15,2))&gt;=0,FALSE),IFERROR(INT(MID(metadata!C358,15,2))&lt;=59,FALSE)), OR(MID(metadata!C358,17,1)="", AND(AND(MID(metadata!C358,17,1)=":",IFERROR(INT(MID(metadata!C358,18,1))&gt;=0,FALSE),IFERROR(INT(MID(metadata!C358,18,1))&lt;=5,FALSE),NOT(MID(metadata!C358,19,1)=""),IFERROR(INT(MID(metadata!C358,18,2))&gt;=0,FALSE),IFERROR(INT(MID(metadata!C358,18,2))&lt;=59,FALSE)), LEN(metadata!C358)&lt;=19)))))))))))))</f>
        <v>0</v>
      </c>
      <c r="AD358">
        <f>IF(metadata!D358="",FALSE,TRUE)</f>
        <v>0</v>
      </c>
      <c r="AE358">
        <f>OR(AND(IF(metadata!E358="",FALSE,TRUE),OR(exact(metadata!E358,"missing: not collected"),exact(metadata!E358,"missing: not provided"))),AND(IF(metadata!E358="",FALSE,TRUE),OR(exact(metadata!E358,"TRUE"),exact(metadata!E358,"FALSE"))))</f>
        <v>0</v>
      </c>
      <c r="AF358">
        <f>IF(metadata!F358="",FALSE,TRUE)</f>
        <v>0</v>
      </c>
      <c r="AG358">
        <f>IF(metadata!G358="",FALSE,TRUE)</f>
        <v>0</v>
      </c>
      <c r="AH358">
        <f>IF(metadata!H358="",FALSE,TRUE)</f>
        <v>0</v>
      </c>
      <c r="AI358">
        <f>OR(AND(IF(metadata!I358="",FALSE,TRUE),OR(exact(metadata!I358,"missing: not collected"),exact(metadata!I358,"missing: not provided"),exact(metadata!I358,"missing: restricted access"))),AND(IF(metadata!I358="",FALSE,TRUE),OR(exact(metadata!I358,"air"),exact(metadata!I358,"built environment"),exact(metadata!I358,"host-associated"),exact(metadata!I358,"human-associated"),exact(metadata!I358,"human-skin"),exact(metadata!I358,"human-oral"),exact(metadata!I358,"human-gut"),exact(metadata!I358,"human-vaginal"),exact(metadata!I358,"microbial mat/biofilm"),exact(metadata!I358,"misc environment"),exact(metadata!I358,"plant-associated"),exact(metadata!I358,"sediment"),exact(metadata!I358,"soil"),exact(metadata!I358,"wastewater/sludge"),exact(metadata!I358,"water"))))</f>
        <v>0</v>
      </c>
      <c r="AJ358">
        <f>IF(metadata!J358="",FALSE,TRUE)</f>
        <v>0</v>
      </c>
      <c r="AK358">
        <f>OR(AND(IF(metadata!K358="",FALSE,TRUE),OR(exact(metadata!K358,"missing: not collected"),exact(metadata!K358,"missing: not provided"),exact(metadata!K358,"missing: restricted access"))),AND(IF(metadata!K358="",FALSE,ISNUMBER(VALUE(metadata!K358))),metadata!K358&gt;=-90.00,metadata!K358&lt;=90.00))</f>
        <v>0</v>
      </c>
      <c r="AL358">
        <f>OR(AND(IF(metadata!L358="",FALSE,TRUE),OR(exact(metadata!L358,"missing: not collected"),exact(metadata!L358,"missing: not provided"),exact(metadata!L358,"missing: restricted access"))),AND(IF(metadata!L358="",FALSE,ISNUMBER(VALUE(metadata!L358))),metadata!L358&gt;=-180.00,metadata!L358&lt;=180.00))</f>
        <v>0</v>
      </c>
      <c r="AM358">
        <f>IF(metadata!M358="",FALSE,TRUE)</f>
        <v>0</v>
      </c>
      <c r="AN358">
        <f>OR(AND(IF(metadata!N358="",FALSE,TRUE),OR(exact(metadata!N358,"missing: not collected"),exact(metadata!N358,"missing: not provided"),exact(metadata!N358,"missing: restricted access"))),AND(IF(metadata!N358="",FALSE,TRUE),OR(exact(metadata!N358,"TRUE"),exact(metadata!N358,"FALSE"))))</f>
        <v>0</v>
      </c>
      <c r="AO358">
        <f>IF(metadata!O358="",FALSE,TRUE)</f>
        <v>0</v>
      </c>
      <c r="AP358">
        <f>OR(AND(IF(metadata!P358="",FALSE,TRUE),OR(exact(metadata!P358,"missing: not collected"),exact(metadata!P358,"missing: not provided"))),AND(IF(metadata!P358="",FALSE,IF(ISERROR(INT(metadata!P358)),FALSE,INT(metadata!P358)=metadata!P358)),metadata!P358&gt;0))</f>
        <v>0</v>
      </c>
      <c r="AQ358">
        <f>IF(metadata!Q358="",FALSE,TRUE)</f>
        <v>0</v>
      </c>
    </row>
    <row r="359" spans="1:43">
      <c r="A359" s="5">
        <f>IF(B359=" "," ",HYPERLINK(CONCATENATE("#metadata!",ADDRESS(INDEX($W$2:$W$1001,MATCH(ROWS($U$2:U359),$U$2:$U$1001,0),0),1)),INDEX($Z$2:$Z$1001,MATCH(ROWS($U$2:U359),$U$2:$U$1001,0),0)))</f>
        <v>0</v>
      </c>
      <c r="B359" s="4">
        <f>IF(OR(INDEX($V$2:$V$1001,MATCH(ROWS($U$2:U359),$U$2:$U$1001,0),1)&gt;=100000,INDEX($AB$1005:$AQ$1005,1,MATCH(COLUMNS($AB$1006:AB1006),$AB$1006:$AQ$1006,0))&gt;=100000), " ",IF(INDEX($AB$2:$AQ$1001,MATCH(ROWS($U$2:U359),$U$2:$U$1001,0),MATCH(COLUMNS($AB$1006:AB1006),$AB$1006:$AQ$1006,0)), HYPERLINK("#",""), HYPERLINK(CONCATENATE("#metadata!", ADDRESS(INDEX($W$2:$W$1001,MATCH(ROWS($U$2:U359),$U$2:$U$1001,0),0), INDEX($AB$1004:$AQ$1004,1,MATCH(COLUMNS($AB$1006:AB1006),$AB$1006:$AQ$1006,0)))),"Fix")))</f>
        <v>0</v>
      </c>
      <c r="C359" s="4">
        <f>IF(OR(INDEX($V$2:$V$1001,MATCH(ROWS($U$2:U359),$U$2:$U$1001,0),1)&gt;=100000,INDEX($AB$1005:$AQ$1005,1,MATCH(COLUMNS($AB$1006:AC1006),$AB$1006:$AQ$1006,0))&gt;=100000), " ",IF(INDEX($AB$2:$AQ$1001,MATCH(ROWS($U$2:U359),$U$2:$U$1001,0),MATCH(COLUMNS($AB$1006:AC1006),$AB$1006:$AQ$1006,0)), HYPERLINK("#",""), HYPERLINK(CONCATENATE("#metadata!", ADDRESS(INDEX($W$2:$W$1001,MATCH(ROWS($U$2:U359),$U$2:$U$1001,0),0), INDEX($AB$1004:$AQ$1004,1,MATCH(COLUMNS($AB$1006:AC1006),$AB$1006:$AQ$1006,0)))),"Fix")))</f>
        <v>0</v>
      </c>
      <c r="D359" s="4">
        <f>IF(OR(INDEX($V$2:$V$1001,MATCH(ROWS($U$2:U359),$U$2:$U$1001,0),1)&gt;=100000,INDEX($AB$1005:$AQ$1005,1,MATCH(COLUMNS($AB$1006:AD1006),$AB$1006:$AQ$1006,0))&gt;=100000), " ",IF(INDEX($AB$2:$AQ$1001,MATCH(ROWS($U$2:U359),$U$2:$U$1001,0),MATCH(COLUMNS($AB$1006:AD1006),$AB$1006:$AQ$1006,0)), HYPERLINK("#",""), HYPERLINK(CONCATENATE("#metadata!", ADDRESS(INDEX($W$2:$W$1001,MATCH(ROWS($U$2:U359),$U$2:$U$1001,0),0), INDEX($AB$1004:$AQ$1004,1,MATCH(COLUMNS($AB$1006:AD1006),$AB$1006:$AQ$1006,0)))),"Fix")))</f>
        <v>0</v>
      </c>
      <c r="E359" s="4">
        <f>IF(OR(INDEX($V$2:$V$1001,MATCH(ROWS($U$2:U359),$U$2:$U$1001,0),1)&gt;=100000,INDEX($AB$1005:$AQ$1005,1,MATCH(COLUMNS($AB$1006:AE1006),$AB$1006:$AQ$1006,0))&gt;=100000), " ",IF(INDEX($AB$2:$AQ$1001,MATCH(ROWS($U$2:U359),$U$2:$U$1001,0),MATCH(COLUMNS($AB$1006:AE1006),$AB$1006:$AQ$1006,0)), HYPERLINK("#",""), HYPERLINK(CONCATENATE("#metadata!", ADDRESS(INDEX($W$2:$W$1001,MATCH(ROWS($U$2:U359),$U$2:$U$1001,0),0), INDEX($AB$1004:$AQ$1004,1,MATCH(COLUMNS($AB$1006:AE1006),$AB$1006:$AQ$1006,0)))),"Fix")))</f>
        <v>0</v>
      </c>
      <c r="F359" s="4">
        <f>IF(OR(INDEX($V$2:$V$1001,MATCH(ROWS($U$2:U359),$U$2:$U$1001,0),1)&gt;=100000,INDEX($AB$1005:$AQ$1005,1,MATCH(COLUMNS($AB$1006:AF1006),$AB$1006:$AQ$1006,0))&gt;=100000), " ",IF(INDEX($AB$2:$AQ$1001,MATCH(ROWS($U$2:U359),$U$2:$U$1001,0),MATCH(COLUMNS($AB$1006:AF1006),$AB$1006:$AQ$1006,0)), HYPERLINK("#",""), HYPERLINK(CONCATENATE("#metadata!", ADDRESS(INDEX($W$2:$W$1001,MATCH(ROWS($U$2:U359),$U$2:$U$1001,0),0), INDEX($AB$1004:$AQ$1004,1,MATCH(COLUMNS($AB$1006:AF1006),$AB$1006:$AQ$1006,0)))),"Fix")))</f>
        <v>0</v>
      </c>
      <c r="G359" s="4">
        <f>IF(OR(INDEX($V$2:$V$1001,MATCH(ROWS($U$2:U359),$U$2:$U$1001,0),1)&gt;=100000,INDEX($AB$1005:$AQ$1005,1,MATCH(COLUMNS($AB$1006:AG1006),$AB$1006:$AQ$1006,0))&gt;=100000), " ",IF(INDEX($AB$2:$AQ$1001,MATCH(ROWS($U$2:U359),$U$2:$U$1001,0),MATCH(COLUMNS($AB$1006:AG1006),$AB$1006:$AQ$1006,0)), HYPERLINK("#",""), HYPERLINK(CONCATENATE("#metadata!", ADDRESS(INDEX($W$2:$W$1001,MATCH(ROWS($U$2:U359),$U$2:$U$1001,0),0), INDEX($AB$1004:$AQ$1004,1,MATCH(COLUMNS($AB$1006:AG1006),$AB$1006:$AQ$1006,0)))),"Fix")))</f>
        <v>0</v>
      </c>
      <c r="H359" s="4">
        <f>IF(OR(INDEX($V$2:$V$1001,MATCH(ROWS($U$2:U359),$U$2:$U$1001,0),1)&gt;=100000,INDEX($AB$1005:$AQ$1005,1,MATCH(COLUMNS($AB$1006:AH1006),$AB$1006:$AQ$1006,0))&gt;=100000), " ",IF(INDEX($AB$2:$AQ$1001,MATCH(ROWS($U$2:U359),$U$2:$U$1001,0),MATCH(COLUMNS($AB$1006:AH1006),$AB$1006:$AQ$1006,0)), HYPERLINK("#",""), HYPERLINK(CONCATENATE("#metadata!", ADDRESS(INDEX($W$2:$W$1001,MATCH(ROWS($U$2:U359),$U$2:$U$1001,0),0), INDEX($AB$1004:$AQ$1004,1,MATCH(COLUMNS($AB$1006:AH1006),$AB$1006:$AQ$1006,0)))),"Fix")))</f>
        <v>0</v>
      </c>
      <c r="I359" s="4">
        <f>IF(OR(INDEX($V$2:$V$1001,MATCH(ROWS($U$2:U359),$U$2:$U$1001,0),1)&gt;=100000,INDEX($AB$1005:$AQ$1005,1,MATCH(COLUMNS($AB$1006:AI1006),$AB$1006:$AQ$1006,0))&gt;=100000), " ",IF(INDEX($AB$2:$AQ$1001,MATCH(ROWS($U$2:U359),$U$2:$U$1001,0),MATCH(COLUMNS($AB$1006:AI1006),$AB$1006:$AQ$1006,0)), HYPERLINK("#",""), HYPERLINK(CONCATENATE("#metadata!", ADDRESS(INDEX($W$2:$W$1001,MATCH(ROWS($U$2:U359),$U$2:$U$1001,0),0), INDEX($AB$1004:$AQ$1004,1,MATCH(COLUMNS($AB$1006:AI1006),$AB$1006:$AQ$1006,0)))),"Fix")))</f>
        <v>0</v>
      </c>
      <c r="J359" s="4">
        <f>IF(OR(INDEX($V$2:$V$1001,MATCH(ROWS($U$2:U359),$U$2:$U$1001,0),1)&gt;=100000,INDEX($AB$1005:$AQ$1005,1,MATCH(COLUMNS($AB$1006:AJ1006),$AB$1006:$AQ$1006,0))&gt;=100000), " ",IF(INDEX($AB$2:$AQ$1001,MATCH(ROWS($U$2:U359),$U$2:$U$1001,0),MATCH(COLUMNS($AB$1006:AJ1006),$AB$1006:$AQ$1006,0)), HYPERLINK("#",""), HYPERLINK(CONCATENATE("#metadata!", ADDRESS(INDEX($W$2:$W$1001,MATCH(ROWS($U$2:U359),$U$2:$U$1001,0),0), INDEX($AB$1004:$AQ$1004,1,MATCH(COLUMNS($AB$1006:AJ1006),$AB$1006:$AQ$1006,0)))),"Fix")))</f>
        <v>0</v>
      </c>
      <c r="K359" s="4">
        <f>IF(OR(INDEX($V$2:$V$1001,MATCH(ROWS($U$2:U359),$U$2:$U$1001,0),1)&gt;=100000,INDEX($AB$1005:$AQ$1005,1,MATCH(COLUMNS($AB$1006:AK1006),$AB$1006:$AQ$1006,0))&gt;=100000), " ",IF(INDEX($AB$2:$AQ$1001,MATCH(ROWS($U$2:U359),$U$2:$U$1001,0),MATCH(COLUMNS($AB$1006:AK1006),$AB$1006:$AQ$1006,0)), HYPERLINK("#",""), HYPERLINK(CONCATENATE("#metadata!", ADDRESS(INDEX($W$2:$W$1001,MATCH(ROWS($U$2:U359),$U$2:$U$1001,0),0), INDEX($AB$1004:$AQ$1004,1,MATCH(COLUMNS($AB$1006:AK1006),$AB$1006:$AQ$1006,0)))),"Fix")))</f>
        <v>0</v>
      </c>
      <c r="L359" s="4">
        <f>IF(OR(INDEX($V$2:$V$1001,MATCH(ROWS($U$2:U359),$U$2:$U$1001,0),1)&gt;=100000,INDEX($AB$1005:$AQ$1005,1,MATCH(COLUMNS($AB$1006:AL1006),$AB$1006:$AQ$1006,0))&gt;=100000), " ",IF(INDEX($AB$2:$AQ$1001,MATCH(ROWS($U$2:U359),$U$2:$U$1001,0),MATCH(COLUMNS($AB$1006:AL1006),$AB$1006:$AQ$1006,0)), HYPERLINK("#",""), HYPERLINK(CONCATENATE("#metadata!", ADDRESS(INDEX($W$2:$W$1001,MATCH(ROWS($U$2:U359),$U$2:$U$1001,0),0), INDEX($AB$1004:$AQ$1004,1,MATCH(COLUMNS($AB$1006:AL1006),$AB$1006:$AQ$1006,0)))),"Fix")))</f>
        <v>0</v>
      </c>
      <c r="M359" s="4">
        <f>IF(OR(INDEX($V$2:$V$1001,MATCH(ROWS($U$2:U359),$U$2:$U$1001,0),1)&gt;=100000,INDEX($AB$1005:$AQ$1005,1,MATCH(COLUMNS($AB$1006:AM1006),$AB$1006:$AQ$1006,0))&gt;=100000), " ",IF(INDEX($AB$2:$AQ$1001,MATCH(ROWS($U$2:U359),$U$2:$U$1001,0),MATCH(COLUMNS($AB$1006:AM1006),$AB$1006:$AQ$1006,0)), HYPERLINK("#",""), HYPERLINK(CONCATENATE("#metadata!", ADDRESS(INDEX($W$2:$W$1001,MATCH(ROWS($U$2:U359),$U$2:$U$1001,0),0), INDEX($AB$1004:$AQ$1004,1,MATCH(COLUMNS($AB$1006:AM1006),$AB$1006:$AQ$1006,0)))),"Fix")))</f>
        <v>0</v>
      </c>
      <c r="N359" s="4">
        <f>IF(OR(INDEX($V$2:$V$1001,MATCH(ROWS($U$2:U359),$U$2:$U$1001,0),1)&gt;=100000,INDEX($AB$1005:$AQ$1005,1,MATCH(COLUMNS($AB$1006:AN1006),$AB$1006:$AQ$1006,0))&gt;=100000), " ",IF(INDEX($AB$2:$AQ$1001,MATCH(ROWS($U$2:U359),$U$2:$U$1001,0),MATCH(COLUMNS($AB$1006:AN1006),$AB$1006:$AQ$1006,0)), HYPERLINK("#",""), HYPERLINK(CONCATENATE("#metadata!", ADDRESS(INDEX($W$2:$W$1001,MATCH(ROWS($U$2:U359),$U$2:$U$1001,0),0), INDEX($AB$1004:$AQ$1004,1,MATCH(COLUMNS($AB$1006:AN1006),$AB$1006:$AQ$1006,0)))),"Fix")))</f>
        <v>0</v>
      </c>
      <c r="O359" s="4">
        <f>IF(OR(INDEX($V$2:$V$1001,MATCH(ROWS($U$2:U359),$U$2:$U$1001,0),1)&gt;=100000,INDEX($AB$1005:$AQ$1005,1,MATCH(COLUMNS($AB$1006:AO1006),$AB$1006:$AQ$1006,0))&gt;=100000), " ",IF(INDEX($AB$2:$AQ$1001,MATCH(ROWS($U$2:U359),$U$2:$U$1001,0),MATCH(COLUMNS($AB$1006:AO1006),$AB$1006:$AQ$1006,0)), HYPERLINK("#",""), HYPERLINK(CONCATENATE("#metadata!", ADDRESS(INDEX($W$2:$W$1001,MATCH(ROWS($U$2:U359),$U$2:$U$1001,0),0), INDEX($AB$1004:$AQ$1004,1,MATCH(COLUMNS($AB$1006:AO1006),$AB$1006:$AQ$1006,0)))),"Fix")))</f>
        <v>0</v>
      </c>
      <c r="P359" s="4">
        <f>IF(OR(INDEX($V$2:$V$1001,MATCH(ROWS($U$2:U359),$U$2:$U$1001,0),1)&gt;=100000,INDEX($AB$1005:$AQ$1005,1,MATCH(COLUMNS($AB$1006:AP1006),$AB$1006:$AQ$1006,0))&gt;=100000), " ",IF(INDEX($AB$2:$AQ$1001,MATCH(ROWS($U$2:U359),$U$2:$U$1001,0),MATCH(COLUMNS($AB$1006:AP1006),$AB$1006:$AQ$1006,0)), HYPERLINK("#",""), HYPERLINK(CONCATENATE("#metadata!", ADDRESS(INDEX($W$2:$W$1001,MATCH(ROWS($U$2:U359),$U$2:$U$1001,0),0), INDEX($AB$1004:$AQ$1004,1,MATCH(COLUMNS($AB$1006:AP1006),$AB$1006:$AQ$1006,0)))),"Fix")))</f>
        <v>0</v>
      </c>
      <c r="Q359" s="4">
        <f>IF(OR(INDEX($V$2:$V$1001,MATCH(ROWS($U$2:U359),$U$2:$U$1001,0),1)&gt;=100000,INDEX($AB$1005:$AQ$1005,1,MATCH(COLUMNS($AB$1006:AQ1006),$AB$1006:$AQ$1006,0))&gt;=100000), " ",IF(INDEX($AB$2:$AQ$1001,MATCH(ROWS($U$2:U359),$U$2:$U$1001,0),MATCH(COLUMNS($AB$1006:AQ1006),$AB$1006:$AQ$1006,0)), HYPERLINK("#",""), HYPERLINK(CONCATENATE("#metadata!", ADDRESS(INDEX($W$2:$W$1001,MATCH(ROWS($U$2:U359),$U$2:$U$1001,0),0), INDEX($AB$1004:$AQ$1004,1,MATCH(COLUMNS($AB$1006:AQ1006),$AB$1006:$AQ$1006,0)))),"Fix")))</f>
        <v>0</v>
      </c>
      <c r="U359">
        <v>0</v>
      </c>
      <c r="V359">
        <v>0</v>
      </c>
      <c r="W359">
        <v>0</v>
      </c>
      <c r="X359">
        <f>IF(Y359,TRUE,AND(AB359:AQ359))</f>
        <v>0</v>
      </c>
      <c r="Y359">
        <f>COUNTBLANK(metadata!B359:Q359)=COLUMNS(metadata!B359:Q359)</f>
        <v>0</v>
      </c>
      <c r="Z359">
        <v>0</v>
      </c>
      <c r="AB359">
        <f>AND(IF(metadata!B359="",FALSE,TRUE),COUNTIF(metadata!B:B, metadata!B359) = 1,NOT(ISERROR(SUMPRODUCT(SEARCH(MID(metadata!B359,ROW(INDIRECT("1:"&amp;LEN(metadata!B359))), 1),"0123456789abcdefghijklmnopqrstuvwxyzABCDEFGHIJKLMNOPQRSTUVWXYZ.")))))</f>
        <v>0</v>
      </c>
      <c r="AC359">
        <f>OR(AND(IF(metadata!C359="",FALSE,TRUE),OR(exact(metadata!C359,"missing: not collected"),exact(metadata!C359,"missing: not provided"),exact(metadata!C359,"missing: restricted access"))),AND(IF(metadata!C359="",FALSE,TRUE),AND(AND(IFERROR(INT(LEFT(metadata!C359,4))&gt;1900,FALSE),IFERROR(INT(LEFT(metadata!C359,4))&lt;=YEAR(NOW()),FALSE)), OR(MID(metadata!C359,5,1)="", AND(AND(MID(metadata!C359,5,1)="-",IFERROR(INT(MID(metadata!C359,6,1))&gt;=0,FALSE),IFERROR(INT(MID(metadata!C359,6,1))&lt;=1,FALSE),NOT(MID(metadata!C359,7,1)=""),IFERROR(INT(MID(metadata!C359,6,2))&gt;=1,FALSE),IFERROR(INT(MID(metadata!C359,6,2))&lt;=12,FALSE)), OR(MID(metadata!C359,8,1)="", AND(AND(MID(metadata!C359,8,1)="-",IFERROR(INT(MID(metadata!C359,9,1))&gt;=0,FALSE),IFERROR(INT(MID(metadata!C359,9,1))&lt;=3,FALSE),NOT(MID(metadata!C359,10,1)=""),IFERROR(INT(MID(metadata!C359,9,2))&gt;=1,FALSE),IFERROR(INT(MID(metadata!C359,9,2))&lt;=31,FALSE)), OR(MID(metadata!C359,11,1)="", AND(AND(MID(metadata!C359,11,1)=" ",IFERROR(INT(MID(metadata!C359,12,1))&gt;=0,FALSE),IFERROR(INT(MID(metadata!C359,12,1))&lt;=2,FALSE),NOT(MID(metadata!C359,13,1)=""),IFERROR(INT(MID(metadata!C359,12,2))&gt;=0,FALSE),IFERROR(INT(MID(metadata!C359,12,2))&lt;=23,FALSE)), OR(MID(metadata!C359,14,1)="", AND(AND(MID(metadata!C359,14,1)=":",IFERROR(INT(MID(metadata!C359,15,1))&gt;=0,FALSE),IFERROR(INT(MID(metadata!C359,15,1))&lt;=5,FALSE),NOT(MID(metadata!C359,16,1)=""),IFERROR(INT(MID(metadata!C359,15,2))&gt;=0,FALSE),IFERROR(INT(MID(metadata!C359,15,2))&lt;=59,FALSE)), OR(MID(metadata!C359,17,1)="", AND(AND(MID(metadata!C359,17,1)=":",IFERROR(INT(MID(metadata!C359,18,1))&gt;=0,FALSE),IFERROR(INT(MID(metadata!C359,18,1))&lt;=5,FALSE),NOT(MID(metadata!C359,19,1)=""),IFERROR(INT(MID(metadata!C359,18,2))&gt;=0,FALSE),IFERROR(INT(MID(metadata!C359,18,2))&lt;=59,FALSE)), LEN(metadata!C359)&lt;=19)))))))))))))</f>
        <v>0</v>
      </c>
      <c r="AD359">
        <f>IF(metadata!D359="",FALSE,TRUE)</f>
        <v>0</v>
      </c>
      <c r="AE359">
        <f>OR(AND(IF(metadata!E359="",FALSE,TRUE),OR(exact(metadata!E359,"missing: not collected"),exact(metadata!E359,"missing: not provided"))),AND(IF(metadata!E359="",FALSE,TRUE),OR(exact(metadata!E359,"TRUE"),exact(metadata!E359,"FALSE"))))</f>
        <v>0</v>
      </c>
      <c r="AF359">
        <f>IF(metadata!F359="",FALSE,TRUE)</f>
        <v>0</v>
      </c>
      <c r="AG359">
        <f>IF(metadata!G359="",FALSE,TRUE)</f>
        <v>0</v>
      </c>
      <c r="AH359">
        <f>IF(metadata!H359="",FALSE,TRUE)</f>
        <v>0</v>
      </c>
      <c r="AI359">
        <f>OR(AND(IF(metadata!I359="",FALSE,TRUE),OR(exact(metadata!I359,"missing: not collected"),exact(metadata!I359,"missing: not provided"),exact(metadata!I359,"missing: restricted access"))),AND(IF(metadata!I359="",FALSE,TRUE),OR(exact(metadata!I359,"air"),exact(metadata!I359,"built environment"),exact(metadata!I359,"host-associated"),exact(metadata!I359,"human-associated"),exact(metadata!I359,"human-skin"),exact(metadata!I359,"human-oral"),exact(metadata!I359,"human-gut"),exact(metadata!I359,"human-vaginal"),exact(metadata!I359,"microbial mat/biofilm"),exact(metadata!I359,"misc environment"),exact(metadata!I359,"plant-associated"),exact(metadata!I359,"sediment"),exact(metadata!I359,"soil"),exact(metadata!I359,"wastewater/sludge"),exact(metadata!I359,"water"))))</f>
        <v>0</v>
      </c>
      <c r="AJ359">
        <f>IF(metadata!J359="",FALSE,TRUE)</f>
        <v>0</v>
      </c>
      <c r="AK359">
        <f>OR(AND(IF(metadata!K359="",FALSE,TRUE),OR(exact(metadata!K359,"missing: not collected"),exact(metadata!K359,"missing: not provided"),exact(metadata!K359,"missing: restricted access"))),AND(IF(metadata!K359="",FALSE,ISNUMBER(VALUE(metadata!K359))),metadata!K359&gt;=-90.00,metadata!K359&lt;=90.00))</f>
        <v>0</v>
      </c>
      <c r="AL359">
        <f>OR(AND(IF(metadata!L359="",FALSE,TRUE),OR(exact(metadata!L359,"missing: not collected"),exact(metadata!L359,"missing: not provided"),exact(metadata!L359,"missing: restricted access"))),AND(IF(metadata!L359="",FALSE,ISNUMBER(VALUE(metadata!L359))),metadata!L359&gt;=-180.00,metadata!L359&lt;=180.00))</f>
        <v>0</v>
      </c>
      <c r="AM359">
        <f>IF(metadata!M359="",FALSE,TRUE)</f>
        <v>0</v>
      </c>
      <c r="AN359">
        <f>OR(AND(IF(metadata!N359="",FALSE,TRUE),OR(exact(metadata!N359,"missing: not collected"),exact(metadata!N359,"missing: not provided"),exact(metadata!N359,"missing: restricted access"))),AND(IF(metadata!N359="",FALSE,TRUE),OR(exact(metadata!N359,"TRUE"),exact(metadata!N359,"FALSE"))))</f>
        <v>0</v>
      </c>
      <c r="AO359">
        <f>IF(metadata!O359="",FALSE,TRUE)</f>
        <v>0</v>
      </c>
      <c r="AP359">
        <f>OR(AND(IF(metadata!P359="",FALSE,TRUE),OR(exact(metadata!P359,"missing: not collected"),exact(metadata!P359,"missing: not provided"))),AND(IF(metadata!P359="",FALSE,IF(ISERROR(INT(metadata!P359)),FALSE,INT(metadata!P359)=metadata!P359)),metadata!P359&gt;0))</f>
        <v>0</v>
      </c>
      <c r="AQ359">
        <f>IF(metadata!Q359="",FALSE,TRUE)</f>
        <v>0</v>
      </c>
    </row>
    <row r="360" spans="1:43">
      <c r="A360" s="5">
        <f>IF(B360=" "," ",HYPERLINK(CONCATENATE("#metadata!",ADDRESS(INDEX($W$2:$W$1001,MATCH(ROWS($U$2:U360),$U$2:$U$1001,0),0),1)),INDEX($Z$2:$Z$1001,MATCH(ROWS($U$2:U360),$U$2:$U$1001,0),0)))</f>
        <v>0</v>
      </c>
      <c r="B360" s="4">
        <f>IF(OR(INDEX($V$2:$V$1001,MATCH(ROWS($U$2:U360),$U$2:$U$1001,0),1)&gt;=100000,INDEX($AB$1005:$AQ$1005,1,MATCH(COLUMNS($AB$1006:AB1006),$AB$1006:$AQ$1006,0))&gt;=100000), " ",IF(INDEX($AB$2:$AQ$1001,MATCH(ROWS($U$2:U360),$U$2:$U$1001,0),MATCH(COLUMNS($AB$1006:AB1006),$AB$1006:$AQ$1006,0)), HYPERLINK("#",""), HYPERLINK(CONCATENATE("#metadata!", ADDRESS(INDEX($W$2:$W$1001,MATCH(ROWS($U$2:U360),$U$2:$U$1001,0),0), INDEX($AB$1004:$AQ$1004,1,MATCH(COLUMNS($AB$1006:AB1006),$AB$1006:$AQ$1006,0)))),"Fix")))</f>
        <v>0</v>
      </c>
      <c r="C360" s="4">
        <f>IF(OR(INDEX($V$2:$V$1001,MATCH(ROWS($U$2:U360),$U$2:$U$1001,0),1)&gt;=100000,INDEX($AB$1005:$AQ$1005,1,MATCH(COLUMNS($AB$1006:AC1006),$AB$1006:$AQ$1006,0))&gt;=100000), " ",IF(INDEX($AB$2:$AQ$1001,MATCH(ROWS($U$2:U360),$U$2:$U$1001,0),MATCH(COLUMNS($AB$1006:AC1006),$AB$1006:$AQ$1006,0)), HYPERLINK("#",""), HYPERLINK(CONCATENATE("#metadata!", ADDRESS(INDEX($W$2:$W$1001,MATCH(ROWS($U$2:U360),$U$2:$U$1001,0),0), INDEX($AB$1004:$AQ$1004,1,MATCH(COLUMNS($AB$1006:AC1006),$AB$1006:$AQ$1006,0)))),"Fix")))</f>
        <v>0</v>
      </c>
      <c r="D360" s="4">
        <f>IF(OR(INDEX($V$2:$V$1001,MATCH(ROWS($U$2:U360),$U$2:$U$1001,0),1)&gt;=100000,INDEX($AB$1005:$AQ$1005,1,MATCH(COLUMNS($AB$1006:AD1006),$AB$1006:$AQ$1006,0))&gt;=100000), " ",IF(INDEX($AB$2:$AQ$1001,MATCH(ROWS($U$2:U360),$U$2:$U$1001,0),MATCH(COLUMNS($AB$1006:AD1006),$AB$1006:$AQ$1006,0)), HYPERLINK("#",""), HYPERLINK(CONCATENATE("#metadata!", ADDRESS(INDEX($W$2:$W$1001,MATCH(ROWS($U$2:U360),$U$2:$U$1001,0),0), INDEX($AB$1004:$AQ$1004,1,MATCH(COLUMNS($AB$1006:AD1006),$AB$1006:$AQ$1006,0)))),"Fix")))</f>
        <v>0</v>
      </c>
      <c r="E360" s="4">
        <f>IF(OR(INDEX($V$2:$V$1001,MATCH(ROWS($U$2:U360),$U$2:$U$1001,0),1)&gt;=100000,INDEX($AB$1005:$AQ$1005,1,MATCH(COLUMNS($AB$1006:AE1006),$AB$1006:$AQ$1006,0))&gt;=100000), " ",IF(INDEX($AB$2:$AQ$1001,MATCH(ROWS($U$2:U360),$U$2:$U$1001,0),MATCH(COLUMNS($AB$1006:AE1006),$AB$1006:$AQ$1006,0)), HYPERLINK("#",""), HYPERLINK(CONCATENATE("#metadata!", ADDRESS(INDEX($W$2:$W$1001,MATCH(ROWS($U$2:U360),$U$2:$U$1001,0),0), INDEX($AB$1004:$AQ$1004,1,MATCH(COLUMNS($AB$1006:AE1006),$AB$1006:$AQ$1006,0)))),"Fix")))</f>
        <v>0</v>
      </c>
      <c r="F360" s="4">
        <f>IF(OR(INDEX($V$2:$V$1001,MATCH(ROWS($U$2:U360),$U$2:$U$1001,0),1)&gt;=100000,INDEX($AB$1005:$AQ$1005,1,MATCH(COLUMNS($AB$1006:AF1006),$AB$1006:$AQ$1006,0))&gt;=100000), " ",IF(INDEX($AB$2:$AQ$1001,MATCH(ROWS($U$2:U360),$U$2:$U$1001,0),MATCH(COLUMNS($AB$1006:AF1006),$AB$1006:$AQ$1006,0)), HYPERLINK("#",""), HYPERLINK(CONCATENATE("#metadata!", ADDRESS(INDEX($W$2:$W$1001,MATCH(ROWS($U$2:U360),$U$2:$U$1001,0),0), INDEX($AB$1004:$AQ$1004,1,MATCH(COLUMNS($AB$1006:AF1006),$AB$1006:$AQ$1006,0)))),"Fix")))</f>
        <v>0</v>
      </c>
      <c r="G360" s="4">
        <f>IF(OR(INDEX($V$2:$V$1001,MATCH(ROWS($U$2:U360),$U$2:$U$1001,0),1)&gt;=100000,INDEX($AB$1005:$AQ$1005,1,MATCH(COLUMNS($AB$1006:AG1006),$AB$1006:$AQ$1006,0))&gt;=100000), " ",IF(INDEX($AB$2:$AQ$1001,MATCH(ROWS($U$2:U360),$U$2:$U$1001,0),MATCH(COLUMNS($AB$1006:AG1006),$AB$1006:$AQ$1006,0)), HYPERLINK("#",""), HYPERLINK(CONCATENATE("#metadata!", ADDRESS(INDEX($W$2:$W$1001,MATCH(ROWS($U$2:U360),$U$2:$U$1001,0),0), INDEX($AB$1004:$AQ$1004,1,MATCH(COLUMNS($AB$1006:AG1006),$AB$1006:$AQ$1006,0)))),"Fix")))</f>
        <v>0</v>
      </c>
      <c r="H360" s="4">
        <f>IF(OR(INDEX($V$2:$V$1001,MATCH(ROWS($U$2:U360),$U$2:$U$1001,0),1)&gt;=100000,INDEX($AB$1005:$AQ$1005,1,MATCH(COLUMNS($AB$1006:AH1006),$AB$1006:$AQ$1006,0))&gt;=100000), " ",IF(INDEX($AB$2:$AQ$1001,MATCH(ROWS($U$2:U360),$U$2:$U$1001,0),MATCH(COLUMNS($AB$1006:AH1006),$AB$1006:$AQ$1006,0)), HYPERLINK("#",""), HYPERLINK(CONCATENATE("#metadata!", ADDRESS(INDEX($W$2:$W$1001,MATCH(ROWS($U$2:U360),$U$2:$U$1001,0),0), INDEX($AB$1004:$AQ$1004,1,MATCH(COLUMNS($AB$1006:AH1006),$AB$1006:$AQ$1006,0)))),"Fix")))</f>
        <v>0</v>
      </c>
      <c r="I360" s="4">
        <f>IF(OR(INDEX($V$2:$V$1001,MATCH(ROWS($U$2:U360),$U$2:$U$1001,0),1)&gt;=100000,INDEX($AB$1005:$AQ$1005,1,MATCH(COLUMNS($AB$1006:AI1006),$AB$1006:$AQ$1006,0))&gt;=100000), " ",IF(INDEX($AB$2:$AQ$1001,MATCH(ROWS($U$2:U360),$U$2:$U$1001,0),MATCH(COLUMNS($AB$1006:AI1006),$AB$1006:$AQ$1006,0)), HYPERLINK("#",""), HYPERLINK(CONCATENATE("#metadata!", ADDRESS(INDEX($W$2:$W$1001,MATCH(ROWS($U$2:U360),$U$2:$U$1001,0),0), INDEX($AB$1004:$AQ$1004,1,MATCH(COLUMNS($AB$1006:AI1006),$AB$1006:$AQ$1006,0)))),"Fix")))</f>
        <v>0</v>
      </c>
      <c r="J360" s="4">
        <f>IF(OR(INDEX($V$2:$V$1001,MATCH(ROWS($U$2:U360),$U$2:$U$1001,0),1)&gt;=100000,INDEX($AB$1005:$AQ$1005,1,MATCH(COLUMNS($AB$1006:AJ1006),$AB$1006:$AQ$1006,0))&gt;=100000), " ",IF(INDEX($AB$2:$AQ$1001,MATCH(ROWS($U$2:U360),$U$2:$U$1001,0),MATCH(COLUMNS($AB$1006:AJ1006),$AB$1006:$AQ$1006,0)), HYPERLINK("#",""), HYPERLINK(CONCATENATE("#metadata!", ADDRESS(INDEX($W$2:$W$1001,MATCH(ROWS($U$2:U360),$U$2:$U$1001,0),0), INDEX($AB$1004:$AQ$1004,1,MATCH(COLUMNS($AB$1006:AJ1006),$AB$1006:$AQ$1006,0)))),"Fix")))</f>
        <v>0</v>
      </c>
      <c r="K360" s="4">
        <f>IF(OR(INDEX($V$2:$V$1001,MATCH(ROWS($U$2:U360),$U$2:$U$1001,0),1)&gt;=100000,INDEX($AB$1005:$AQ$1005,1,MATCH(COLUMNS($AB$1006:AK1006),$AB$1006:$AQ$1006,0))&gt;=100000), " ",IF(INDEX($AB$2:$AQ$1001,MATCH(ROWS($U$2:U360),$U$2:$U$1001,0),MATCH(COLUMNS($AB$1006:AK1006),$AB$1006:$AQ$1006,0)), HYPERLINK("#",""), HYPERLINK(CONCATENATE("#metadata!", ADDRESS(INDEX($W$2:$W$1001,MATCH(ROWS($U$2:U360),$U$2:$U$1001,0),0), INDEX($AB$1004:$AQ$1004,1,MATCH(COLUMNS($AB$1006:AK1006),$AB$1006:$AQ$1006,0)))),"Fix")))</f>
        <v>0</v>
      </c>
      <c r="L360" s="4">
        <f>IF(OR(INDEX($V$2:$V$1001,MATCH(ROWS($U$2:U360),$U$2:$U$1001,0),1)&gt;=100000,INDEX($AB$1005:$AQ$1005,1,MATCH(COLUMNS($AB$1006:AL1006),$AB$1006:$AQ$1006,0))&gt;=100000), " ",IF(INDEX($AB$2:$AQ$1001,MATCH(ROWS($U$2:U360),$U$2:$U$1001,0),MATCH(COLUMNS($AB$1006:AL1006),$AB$1006:$AQ$1006,0)), HYPERLINK("#",""), HYPERLINK(CONCATENATE("#metadata!", ADDRESS(INDEX($W$2:$W$1001,MATCH(ROWS($U$2:U360),$U$2:$U$1001,0),0), INDEX($AB$1004:$AQ$1004,1,MATCH(COLUMNS($AB$1006:AL1006),$AB$1006:$AQ$1006,0)))),"Fix")))</f>
        <v>0</v>
      </c>
      <c r="M360" s="4">
        <f>IF(OR(INDEX($V$2:$V$1001,MATCH(ROWS($U$2:U360),$U$2:$U$1001,0),1)&gt;=100000,INDEX($AB$1005:$AQ$1005,1,MATCH(COLUMNS($AB$1006:AM1006),$AB$1006:$AQ$1006,0))&gt;=100000), " ",IF(INDEX($AB$2:$AQ$1001,MATCH(ROWS($U$2:U360),$U$2:$U$1001,0),MATCH(COLUMNS($AB$1006:AM1006),$AB$1006:$AQ$1006,0)), HYPERLINK("#",""), HYPERLINK(CONCATENATE("#metadata!", ADDRESS(INDEX($W$2:$W$1001,MATCH(ROWS($U$2:U360),$U$2:$U$1001,0),0), INDEX($AB$1004:$AQ$1004,1,MATCH(COLUMNS($AB$1006:AM1006),$AB$1006:$AQ$1006,0)))),"Fix")))</f>
        <v>0</v>
      </c>
      <c r="N360" s="4">
        <f>IF(OR(INDEX($V$2:$V$1001,MATCH(ROWS($U$2:U360),$U$2:$U$1001,0),1)&gt;=100000,INDEX($AB$1005:$AQ$1005,1,MATCH(COLUMNS($AB$1006:AN1006),$AB$1006:$AQ$1006,0))&gt;=100000), " ",IF(INDEX($AB$2:$AQ$1001,MATCH(ROWS($U$2:U360),$U$2:$U$1001,0),MATCH(COLUMNS($AB$1006:AN1006),$AB$1006:$AQ$1006,0)), HYPERLINK("#",""), HYPERLINK(CONCATENATE("#metadata!", ADDRESS(INDEX($W$2:$W$1001,MATCH(ROWS($U$2:U360),$U$2:$U$1001,0),0), INDEX($AB$1004:$AQ$1004,1,MATCH(COLUMNS($AB$1006:AN1006),$AB$1006:$AQ$1006,0)))),"Fix")))</f>
        <v>0</v>
      </c>
      <c r="O360" s="4">
        <f>IF(OR(INDEX($V$2:$V$1001,MATCH(ROWS($U$2:U360),$U$2:$U$1001,0),1)&gt;=100000,INDEX($AB$1005:$AQ$1005,1,MATCH(COLUMNS($AB$1006:AO1006),$AB$1006:$AQ$1006,0))&gt;=100000), " ",IF(INDEX($AB$2:$AQ$1001,MATCH(ROWS($U$2:U360),$U$2:$U$1001,0),MATCH(COLUMNS($AB$1006:AO1006),$AB$1006:$AQ$1006,0)), HYPERLINK("#",""), HYPERLINK(CONCATENATE("#metadata!", ADDRESS(INDEX($W$2:$W$1001,MATCH(ROWS($U$2:U360),$U$2:$U$1001,0),0), INDEX($AB$1004:$AQ$1004,1,MATCH(COLUMNS($AB$1006:AO1006),$AB$1006:$AQ$1006,0)))),"Fix")))</f>
        <v>0</v>
      </c>
      <c r="P360" s="4">
        <f>IF(OR(INDEX($V$2:$V$1001,MATCH(ROWS($U$2:U360),$U$2:$U$1001,0),1)&gt;=100000,INDEX($AB$1005:$AQ$1005,1,MATCH(COLUMNS($AB$1006:AP1006),$AB$1006:$AQ$1006,0))&gt;=100000), " ",IF(INDEX($AB$2:$AQ$1001,MATCH(ROWS($U$2:U360),$U$2:$U$1001,0),MATCH(COLUMNS($AB$1006:AP1006),$AB$1006:$AQ$1006,0)), HYPERLINK("#",""), HYPERLINK(CONCATENATE("#metadata!", ADDRESS(INDEX($W$2:$W$1001,MATCH(ROWS($U$2:U360),$U$2:$U$1001,0),0), INDEX($AB$1004:$AQ$1004,1,MATCH(COLUMNS($AB$1006:AP1006),$AB$1006:$AQ$1006,0)))),"Fix")))</f>
        <v>0</v>
      </c>
      <c r="Q360" s="4">
        <f>IF(OR(INDEX($V$2:$V$1001,MATCH(ROWS($U$2:U360),$U$2:$U$1001,0),1)&gt;=100000,INDEX($AB$1005:$AQ$1005,1,MATCH(COLUMNS($AB$1006:AQ1006),$AB$1006:$AQ$1006,0))&gt;=100000), " ",IF(INDEX($AB$2:$AQ$1001,MATCH(ROWS($U$2:U360),$U$2:$U$1001,0),MATCH(COLUMNS($AB$1006:AQ1006),$AB$1006:$AQ$1006,0)), HYPERLINK("#",""), HYPERLINK(CONCATENATE("#metadata!", ADDRESS(INDEX($W$2:$W$1001,MATCH(ROWS($U$2:U360),$U$2:$U$1001,0),0), INDEX($AB$1004:$AQ$1004,1,MATCH(COLUMNS($AB$1006:AQ1006),$AB$1006:$AQ$1006,0)))),"Fix")))</f>
        <v>0</v>
      </c>
      <c r="U360">
        <v>0</v>
      </c>
      <c r="V360">
        <v>0</v>
      </c>
      <c r="W360">
        <v>0</v>
      </c>
      <c r="X360">
        <f>IF(Y360,TRUE,AND(AB360:AQ360))</f>
        <v>0</v>
      </c>
      <c r="Y360">
        <f>COUNTBLANK(metadata!B360:Q360)=COLUMNS(metadata!B360:Q360)</f>
        <v>0</v>
      </c>
      <c r="Z360">
        <v>0</v>
      </c>
      <c r="AB360">
        <f>AND(IF(metadata!B360="",FALSE,TRUE),COUNTIF(metadata!B:B, metadata!B360) = 1,NOT(ISERROR(SUMPRODUCT(SEARCH(MID(metadata!B360,ROW(INDIRECT("1:"&amp;LEN(metadata!B360))), 1),"0123456789abcdefghijklmnopqrstuvwxyzABCDEFGHIJKLMNOPQRSTUVWXYZ.")))))</f>
        <v>0</v>
      </c>
      <c r="AC360">
        <f>OR(AND(IF(metadata!C360="",FALSE,TRUE),OR(exact(metadata!C360,"missing: not collected"),exact(metadata!C360,"missing: not provided"),exact(metadata!C360,"missing: restricted access"))),AND(IF(metadata!C360="",FALSE,TRUE),AND(AND(IFERROR(INT(LEFT(metadata!C360,4))&gt;1900,FALSE),IFERROR(INT(LEFT(metadata!C360,4))&lt;=YEAR(NOW()),FALSE)), OR(MID(metadata!C360,5,1)="", AND(AND(MID(metadata!C360,5,1)="-",IFERROR(INT(MID(metadata!C360,6,1))&gt;=0,FALSE),IFERROR(INT(MID(metadata!C360,6,1))&lt;=1,FALSE),NOT(MID(metadata!C360,7,1)=""),IFERROR(INT(MID(metadata!C360,6,2))&gt;=1,FALSE),IFERROR(INT(MID(metadata!C360,6,2))&lt;=12,FALSE)), OR(MID(metadata!C360,8,1)="", AND(AND(MID(metadata!C360,8,1)="-",IFERROR(INT(MID(metadata!C360,9,1))&gt;=0,FALSE),IFERROR(INT(MID(metadata!C360,9,1))&lt;=3,FALSE),NOT(MID(metadata!C360,10,1)=""),IFERROR(INT(MID(metadata!C360,9,2))&gt;=1,FALSE),IFERROR(INT(MID(metadata!C360,9,2))&lt;=31,FALSE)), OR(MID(metadata!C360,11,1)="", AND(AND(MID(metadata!C360,11,1)=" ",IFERROR(INT(MID(metadata!C360,12,1))&gt;=0,FALSE),IFERROR(INT(MID(metadata!C360,12,1))&lt;=2,FALSE),NOT(MID(metadata!C360,13,1)=""),IFERROR(INT(MID(metadata!C360,12,2))&gt;=0,FALSE),IFERROR(INT(MID(metadata!C360,12,2))&lt;=23,FALSE)), OR(MID(metadata!C360,14,1)="", AND(AND(MID(metadata!C360,14,1)=":",IFERROR(INT(MID(metadata!C360,15,1))&gt;=0,FALSE),IFERROR(INT(MID(metadata!C360,15,1))&lt;=5,FALSE),NOT(MID(metadata!C360,16,1)=""),IFERROR(INT(MID(metadata!C360,15,2))&gt;=0,FALSE),IFERROR(INT(MID(metadata!C360,15,2))&lt;=59,FALSE)), OR(MID(metadata!C360,17,1)="", AND(AND(MID(metadata!C360,17,1)=":",IFERROR(INT(MID(metadata!C360,18,1))&gt;=0,FALSE),IFERROR(INT(MID(metadata!C360,18,1))&lt;=5,FALSE),NOT(MID(metadata!C360,19,1)=""),IFERROR(INT(MID(metadata!C360,18,2))&gt;=0,FALSE),IFERROR(INT(MID(metadata!C360,18,2))&lt;=59,FALSE)), LEN(metadata!C360)&lt;=19)))))))))))))</f>
        <v>0</v>
      </c>
      <c r="AD360">
        <f>IF(metadata!D360="",FALSE,TRUE)</f>
        <v>0</v>
      </c>
      <c r="AE360">
        <f>OR(AND(IF(metadata!E360="",FALSE,TRUE),OR(exact(metadata!E360,"missing: not collected"),exact(metadata!E360,"missing: not provided"))),AND(IF(metadata!E360="",FALSE,TRUE),OR(exact(metadata!E360,"TRUE"),exact(metadata!E360,"FALSE"))))</f>
        <v>0</v>
      </c>
      <c r="AF360">
        <f>IF(metadata!F360="",FALSE,TRUE)</f>
        <v>0</v>
      </c>
      <c r="AG360">
        <f>IF(metadata!G360="",FALSE,TRUE)</f>
        <v>0</v>
      </c>
      <c r="AH360">
        <f>IF(metadata!H360="",FALSE,TRUE)</f>
        <v>0</v>
      </c>
      <c r="AI360">
        <f>OR(AND(IF(metadata!I360="",FALSE,TRUE),OR(exact(metadata!I360,"missing: not collected"),exact(metadata!I360,"missing: not provided"),exact(metadata!I360,"missing: restricted access"))),AND(IF(metadata!I360="",FALSE,TRUE),OR(exact(metadata!I360,"air"),exact(metadata!I360,"built environment"),exact(metadata!I360,"host-associated"),exact(metadata!I360,"human-associated"),exact(metadata!I360,"human-skin"),exact(metadata!I360,"human-oral"),exact(metadata!I360,"human-gut"),exact(metadata!I360,"human-vaginal"),exact(metadata!I360,"microbial mat/biofilm"),exact(metadata!I360,"misc environment"),exact(metadata!I360,"plant-associated"),exact(metadata!I360,"sediment"),exact(metadata!I360,"soil"),exact(metadata!I360,"wastewater/sludge"),exact(metadata!I360,"water"))))</f>
        <v>0</v>
      </c>
      <c r="AJ360">
        <f>IF(metadata!J360="",FALSE,TRUE)</f>
        <v>0</v>
      </c>
      <c r="AK360">
        <f>OR(AND(IF(metadata!K360="",FALSE,TRUE),OR(exact(metadata!K360,"missing: not collected"),exact(metadata!K360,"missing: not provided"),exact(metadata!K360,"missing: restricted access"))),AND(IF(metadata!K360="",FALSE,ISNUMBER(VALUE(metadata!K360))),metadata!K360&gt;=-90.00,metadata!K360&lt;=90.00))</f>
        <v>0</v>
      </c>
      <c r="AL360">
        <f>OR(AND(IF(metadata!L360="",FALSE,TRUE),OR(exact(metadata!L360,"missing: not collected"),exact(metadata!L360,"missing: not provided"),exact(metadata!L360,"missing: restricted access"))),AND(IF(metadata!L360="",FALSE,ISNUMBER(VALUE(metadata!L360))),metadata!L360&gt;=-180.00,metadata!L360&lt;=180.00))</f>
        <v>0</v>
      </c>
      <c r="AM360">
        <f>IF(metadata!M360="",FALSE,TRUE)</f>
        <v>0</v>
      </c>
      <c r="AN360">
        <f>OR(AND(IF(metadata!N360="",FALSE,TRUE),OR(exact(metadata!N360,"missing: not collected"),exact(metadata!N360,"missing: not provided"),exact(metadata!N360,"missing: restricted access"))),AND(IF(metadata!N360="",FALSE,TRUE),OR(exact(metadata!N360,"TRUE"),exact(metadata!N360,"FALSE"))))</f>
        <v>0</v>
      </c>
      <c r="AO360">
        <f>IF(metadata!O360="",FALSE,TRUE)</f>
        <v>0</v>
      </c>
      <c r="AP360">
        <f>OR(AND(IF(metadata!P360="",FALSE,TRUE),OR(exact(metadata!P360,"missing: not collected"),exact(metadata!P360,"missing: not provided"))),AND(IF(metadata!P360="",FALSE,IF(ISERROR(INT(metadata!P360)),FALSE,INT(metadata!P360)=metadata!P360)),metadata!P360&gt;0))</f>
        <v>0</v>
      </c>
      <c r="AQ360">
        <f>IF(metadata!Q360="",FALSE,TRUE)</f>
        <v>0</v>
      </c>
    </row>
    <row r="361" spans="1:43">
      <c r="A361" s="5">
        <f>IF(B361=" "," ",HYPERLINK(CONCATENATE("#metadata!",ADDRESS(INDEX($W$2:$W$1001,MATCH(ROWS($U$2:U361),$U$2:$U$1001,0),0),1)),INDEX($Z$2:$Z$1001,MATCH(ROWS($U$2:U361),$U$2:$U$1001,0),0)))</f>
        <v>0</v>
      </c>
      <c r="B361" s="4">
        <f>IF(OR(INDEX($V$2:$V$1001,MATCH(ROWS($U$2:U361),$U$2:$U$1001,0),1)&gt;=100000,INDEX($AB$1005:$AQ$1005,1,MATCH(COLUMNS($AB$1006:AB1006),$AB$1006:$AQ$1006,0))&gt;=100000), " ",IF(INDEX($AB$2:$AQ$1001,MATCH(ROWS($U$2:U361),$U$2:$U$1001,0),MATCH(COLUMNS($AB$1006:AB1006),$AB$1006:$AQ$1006,0)), HYPERLINK("#",""), HYPERLINK(CONCATENATE("#metadata!", ADDRESS(INDEX($W$2:$W$1001,MATCH(ROWS($U$2:U361),$U$2:$U$1001,0),0), INDEX($AB$1004:$AQ$1004,1,MATCH(COLUMNS($AB$1006:AB1006),$AB$1006:$AQ$1006,0)))),"Fix")))</f>
        <v>0</v>
      </c>
      <c r="C361" s="4">
        <f>IF(OR(INDEX($V$2:$V$1001,MATCH(ROWS($U$2:U361),$U$2:$U$1001,0),1)&gt;=100000,INDEX($AB$1005:$AQ$1005,1,MATCH(COLUMNS($AB$1006:AC1006),$AB$1006:$AQ$1006,0))&gt;=100000), " ",IF(INDEX($AB$2:$AQ$1001,MATCH(ROWS($U$2:U361),$U$2:$U$1001,0),MATCH(COLUMNS($AB$1006:AC1006),$AB$1006:$AQ$1006,0)), HYPERLINK("#",""), HYPERLINK(CONCATENATE("#metadata!", ADDRESS(INDEX($W$2:$W$1001,MATCH(ROWS($U$2:U361),$U$2:$U$1001,0),0), INDEX($AB$1004:$AQ$1004,1,MATCH(COLUMNS($AB$1006:AC1006),$AB$1006:$AQ$1006,0)))),"Fix")))</f>
        <v>0</v>
      </c>
      <c r="D361" s="4">
        <f>IF(OR(INDEX($V$2:$V$1001,MATCH(ROWS($U$2:U361),$U$2:$U$1001,0),1)&gt;=100000,INDEX($AB$1005:$AQ$1005,1,MATCH(COLUMNS($AB$1006:AD1006),$AB$1006:$AQ$1006,0))&gt;=100000), " ",IF(INDEX($AB$2:$AQ$1001,MATCH(ROWS($U$2:U361),$U$2:$U$1001,0),MATCH(COLUMNS($AB$1006:AD1006),$AB$1006:$AQ$1006,0)), HYPERLINK("#",""), HYPERLINK(CONCATENATE("#metadata!", ADDRESS(INDEX($W$2:$W$1001,MATCH(ROWS($U$2:U361),$U$2:$U$1001,0),0), INDEX($AB$1004:$AQ$1004,1,MATCH(COLUMNS($AB$1006:AD1006),$AB$1006:$AQ$1006,0)))),"Fix")))</f>
        <v>0</v>
      </c>
      <c r="E361" s="4">
        <f>IF(OR(INDEX($V$2:$V$1001,MATCH(ROWS($U$2:U361),$U$2:$U$1001,0),1)&gt;=100000,INDEX($AB$1005:$AQ$1005,1,MATCH(COLUMNS($AB$1006:AE1006),$AB$1006:$AQ$1006,0))&gt;=100000), " ",IF(INDEX($AB$2:$AQ$1001,MATCH(ROWS($U$2:U361),$U$2:$U$1001,0),MATCH(COLUMNS($AB$1006:AE1006),$AB$1006:$AQ$1006,0)), HYPERLINK("#",""), HYPERLINK(CONCATENATE("#metadata!", ADDRESS(INDEX($W$2:$W$1001,MATCH(ROWS($U$2:U361),$U$2:$U$1001,0),0), INDEX($AB$1004:$AQ$1004,1,MATCH(COLUMNS($AB$1006:AE1006),$AB$1006:$AQ$1006,0)))),"Fix")))</f>
        <v>0</v>
      </c>
      <c r="F361" s="4">
        <f>IF(OR(INDEX($V$2:$V$1001,MATCH(ROWS($U$2:U361),$U$2:$U$1001,0),1)&gt;=100000,INDEX($AB$1005:$AQ$1005,1,MATCH(COLUMNS($AB$1006:AF1006),$AB$1006:$AQ$1006,0))&gt;=100000), " ",IF(INDEX($AB$2:$AQ$1001,MATCH(ROWS($U$2:U361),$U$2:$U$1001,0),MATCH(COLUMNS($AB$1006:AF1006),$AB$1006:$AQ$1006,0)), HYPERLINK("#",""), HYPERLINK(CONCATENATE("#metadata!", ADDRESS(INDEX($W$2:$W$1001,MATCH(ROWS($U$2:U361),$U$2:$U$1001,0),0), INDEX($AB$1004:$AQ$1004,1,MATCH(COLUMNS($AB$1006:AF1006),$AB$1006:$AQ$1006,0)))),"Fix")))</f>
        <v>0</v>
      </c>
      <c r="G361" s="4">
        <f>IF(OR(INDEX($V$2:$V$1001,MATCH(ROWS($U$2:U361),$U$2:$U$1001,0),1)&gt;=100000,INDEX($AB$1005:$AQ$1005,1,MATCH(COLUMNS($AB$1006:AG1006),$AB$1006:$AQ$1006,0))&gt;=100000), " ",IF(INDEX($AB$2:$AQ$1001,MATCH(ROWS($U$2:U361),$U$2:$U$1001,0),MATCH(COLUMNS($AB$1006:AG1006),$AB$1006:$AQ$1006,0)), HYPERLINK("#",""), HYPERLINK(CONCATENATE("#metadata!", ADDRESS(INDEX($W$2:$W$1001,MATCH(ROWS($U$2:U361),$U$2:$U$1001,0),0), INDEX($AB$1004:$AQ$1004,1,MATCH(COLUMNS($AB$1006:AG1006),$AB$1006:$AQ$1006,0)))),"Fix")))</f>
        <v>0</v>
      </c>
      <c r="H361" s="4">
        <f>IF(OR(INDEX($V$2:$V$1001,MATCH(ROWS($U$2:U361),$U$2:$U$1001,0),1)&gt;=100000,INDEX($AB$1005:$AQ$1005,1,MATCH(COLUMNS($AB$1006:AH1006),$AB$1006:$AQ$1006,0))&gt;=100000), " ",IF(INDEX($AB$2:$AQ$1001,MATCH(ROWS($U$2:U361),$U$2:$U$1001,0),MATCH(COLUMNS($AB$1006:AH1006),$AB$1006:$AQ$1006,0)), HYPERLINK("#",""), HYPERLINK(CONCATENATE("#metadata!", ADDRESS(INDEX($W$2:$W$1001,MATCH(ROWS($U$2:U361),$U$2:$U$1001,0),0), INDEX($AB$1004:$AQ$1004,1,MATCH(COLUMNS($AB$1006:AH1006),$AB$1006:$AQ$1006,0)))),"Fix")))</f>
        <v>0</v>
      </c>
      <c r="I361" s="4">
        <f>IF(OR(INDEX($V$2:$V$1001,MATCH(ROWS($U$2:U361),$U$2:$U$1001,0),1)&gt;=100000,INDEX($AB$1005:$AQ$1005,1,MATCH(COLUMNS($AB$1006:AI1006),$AB$1006:$AQ$1006,0))&gt;=100000), " ",IF(INDEX($AB$2:$AQ$1001,MATCH(ROWS($U$2:U361),$U$2:$U$1001,0),MATCH(COLUMNS($AB$1006:AI1006),$AB$1006:$AQ$1006,0)), HYPERLINK("#",""), HYPERLINK(CONCATENATE("#metadata!", ADDRESS(INDEX($W$2:$W$1001,MATCH(ROWS($U$2:U361),$U$2:$U$1001,0),0), INDEX($AB$1004:$AQ$1004,1,MATCH(COLUMNS($AB$1006:AI1006),$AB$1006:$AQ$1006,0)))),"Fix")))</f>
        <v>0</v>
      </c>
      <c r="J361" s="4">
        <f>IF(OR(INDEX($V$2:$V$1001,MATCH(ROWS($U$2:U361),$U$2:$U$1001,0),1)&gt;=100000,INDEX($AB$1005:$AQ$1005,1,MATCH(COLUMNS($AB$1006:AJ1006),$AB$1006:$AQ$1006,0))&gt;=100000), " ",IF(INDEX($AB$2:$AQ$1001,MATCH(ROWS($U$2:U361),$U$2:$U$1001,0),MATCH(COLUMNS($AB$1006:AJ1006),$AB$1006:$AQ$1006,0)), HYPERLINK("#",""), HYPERLINK(CONCATENATE("#metadata!", ADDRESS(INDEX($W$2:$W$1001,MATCH(ROWS($U$2:U361),$U$2:$U$1001,0),0), INDEX($AB$1004:$AQ$1004,1,MATCH(COLUMNS($AB$1006:AJ1006),$AB$1006:$AQ$1006,0)))),"Fix")))</f>
        <v>0</v>
      </c>
      <c r="K361" s="4">
        <f>IF(OR(INDEX($V$2:$V$1001,MATCH(ROWS($U$2:U361),$U$2:$U$1001,0),1)&gt;=100000,INDEX($AB$1005:$AQ$1005,1,MATCH(COLUMNS($AB$1006:AK1006),$AB$1006:$AQ$1006,0))&gt;=100000), " ",IF(INDEX($AB$2:$AQ$1001,MATCH(ROWS($U$2:U361),$U$2:$U$1001,0),MATCH(COLUMNS($AB$1006:AK1006),$AB$1006:$AQ$1006,0)), HYPERLINK("#",""), HYPERLINK(CONCATENATE("#metadata!", ADDRESS(INDEX($W$2:$W$1001,MATCH(ROWS($U$2:U361),$U$2:$U$1001,0),0), INDEX($AB$1004:$AQ$1004,1,MATCH(COLUMNS($AB$1006:AK1006),$AB$1006:$AQ$1006,0)))),"Fix")))</f>
        <v>0</v>
      </c>
      <c r="L361" s="4">
        <f>IF(OR(INDEX($V$2:$V$1001,MATCH(ROWS($U$2:U361),$U$2:$U$1001,0),1)&gt;=100000,INDEX($AB$1005:$AQ$1005,1,MATCH(COLUMNS($AB$1006:AL1006),$AB$1006:$AQ$1006,0))&gt;=100000), " ",IF(INDEX($AB$2:$AQ$1001,MATCH(ROWS($U$2:U361),$U$2:$U$1001,0),MATCH(COLUMNS($AB$1006:AL1006),$AB$1006:$AQ$1006,0)), HYPERLINK("#",""), HYPERLINK(CONCATENATE("#metadata!", ADDRESS(INDEX($W$2:$W$1001,MATCH(ROWS($U$2:U361),$U$2:$U$1001,0),0), INDEX($AB$1004:$AQ$1004,1,MATCH(COLUMNS($AB$1006:AL1006),$AB$1006:$AQ$1006,0)))),"Fix")))</f>
        <v>0</v>
      </c>
      <c r="M361" s="4">
        <f>IF(OR(INDEX($V$2:$V$1001,MATCH(ROWS($U$2:U361),$U$2:$U$1001,0),1)&gt;=100000,INDEX($AB$1005:$AQ$1005,1,MATCH(COLUMNS($AB$1006:AM1006),$AB$1006:$AQ$1006,0))&gt;=100000), " ",IF(INDEX($AB$2:$AQ$1001,MATCH(ROWS($U$2:U361),$U$2:$U$1001,0),MATCH(COLUMNS($AB$1006:AM1006),$AB$1006:$AQ$1006,0)), HYPERLINK("#",""), HYPERLINK(CONCATENATE("#metadata!", ADDRESS(INDEX($W$2:$W$1001,MATCH(ROWS($U$2:U361),$U$2:$U$1001,0),0), INDEX($AB$1004:$AQ$1004,1,MATCH(COLUMNS($AB$1006:AM1006),$AB$1006:$AQ$1006,0)))),"Fix")))</f>
        <v>0</v>
      </c>
      <c r="N361" s="4">
        <f>IF(OR(INDEX($V$2:$V$1001,MATCH(ROWS($U$2:U361),$U$2:$U$1001,0),1)&gt;=100000,INDEX($AB$1005:$AQ$1005,1,MATCH(COLUMNS($AB$1006:AN1006),$AB$1006:$AQ$1006,0))&gt;=100000), " ",IF(INDEX($AB$2:$AQ$1001,MATCH(ROWS($U$2:U361),$U$2:$U$1001,0),MATCH(COLUMNS($AB$1006:AN1006),$AB$1006:$AQ$1006,0)), HYPERLINK("#",""), HYPERLINK(CONCATENATE("#metadata!", ADDRESS(INDEX($W$2:$W$1001,MATCH(ROWS($U$2:U361),$U$2:$U$1001,0),0), INDEX($AB$1004:$AQ$1004,1,MATCH(COLUMNS($AB$1006:AN1006),$AB$1006:$AQ$1006,0)))),"Fix")))</f>
        <v>0</v>
      </c>
      <c r="O361" s="4">
        <f>IF(OR(INDEX($V$2:$V$1001,MATCH(ROWS($U$2:U361),$U$2:$U$1001,0),1)&gt;=100000,INDEX($AB$1005:$AQ$1005,1,MATCH(COLUMNS($AB$1006:AO1006),$AB$1006:$AQ$1006,0))&gt;=100000), " ",IF(INDEX($AB$2:$AQ$1001,MATCH(ROWS($U$2:U361),$U$2:$U$1001,0),MATCH(COLUMNS($AB$1006:AO1006),$AB$1006:$AQ$1006,0)), HYPERLINK("#",""), HYPERLINK(CONCATENATE("#metadata!", ADDRESS(INDEX($W$2:$W$1001,MATCH(ROWS($U$2:U361),$U$2:$U$1001,0),0), INDEX($AB$1004:$AQ$1004,1,MATCH(COLUMNS($AB$1006:AO1006),$AB$1006:$AQ$1006,0)))),"Fix")))</f>
        <v>0</v>
      </c>
      <c r="P361" s="4">
        <f>IF(OR(INDEX($V$2:$V$1001,MATCH(ROWS($U$2:U361),$U$2:$U$1001,0),1)&gt;=100000,INDEX($AB$1005:$AQ$1005,1,MATCH(COLUMNS($AB$1006:AP1006),$AB$1006:$AQ$1006,0))&gt;=100000), " ",IF(INDEX($AB$2:$AQ$1001,MATCH(ROWS($U$2:U361),$U$2:$U$1001,0),MATCH(COLUMNS($AB$1006:AP1006),$AB$1006:$AQ$1006,0)), HYPERLINK("#",""), HYPERLINK(CONCATENATE("#metadata!", ADDRESS(INDEX($W$2:$W$1001,MATCH(ROWS($U$2:U361),$U$2:$U$1001,0),0), INDEX($AB$1004:$AQ$1004,1,MATCH(COLUMNS($AB$1006:AP1006),$AB$1006:$AQ$1006,0)))),"Fix")))</f>
        <v>0</v>
      </c>
      <c r="Q361" s="4">
        <f>IF(OR(INDEX($V$2:$V$1001,MATCH(ROWS($U$2:U361),$U$2:$U$1001,0),1)&gt;=100000,INDEX($AB$1005:$AQ$1005,1,MATCH(COLUMNS($AB$1006:AQ1006),$AB$1006:$AQ$1006,0))&gt;=100000), " ",IF(INDEX($AB$2:$AQ$1001,MATCH(ROWS($U$2:U361),$U$2:$U$1001,0),MATCH(COLUMNS($AB$1006:AQ1006),$AB$1006:$AQ$1006,0)), HYPERLINK("#",""), HYPERLINK(CONCATENATE("#metadata!", ADDRESS(INDEX($W$2:$W$1001,MATCH(ROWS($U$2:U361),$U$2:$U$1001,0),0), INDEX($AB$1004:$AQ$1004,1,MATCH(COLUMNS($AB$1006:AQ1006),$AB$1006:$AQ$1006,0)))),"Fix")))</f>
        <v>0</v>
      </c>
      <c r="U361">
        <v>0</v>
      </c>
      <c r="V361">
        <v>0</v>
      </c>
      <c r="W361">
        <v>0</v>
      </c>
      <c r="X361">
        <f>IF(Y361,TRUE,AND(AB361:AQ361))</f>
        <v>0</v>
      </c>
      <c r="Y361">
        <f>COUNTBLANK(metadata!B361:Q361)=COLUMNS(metadata!B361:Q361)</f>
        <v>0</v>
      </c>
      <c r="Z361">
        <v>0</v>
      </c>
      <c r="AB361">
        <f>AND(IF(metadata!B361="",FALSE,TRUE),COUNTIF(metadata!B:B, metadata!B361) = 1,NOT(ISERROR(SUMPRODUCT(SEARCH(MID(metadata!B361,ROW(INDIRECT("1:"&amp;LEN(metadata!B361))), 1),"0123456789abcdefghijklmnopqrstuvwxyzABCDEFGHIJKLMNOPQRSTUVWXYZ.")))))</f>
        <v>0</v>
      </c>
      <c r="AC361">
        <f>OR(AND(IF(metadata!C361="",FALSE,TRUE),OR(exact(metadata!C361,"missing: not collected"),exact(metadata!C361,"missing: not provided"),exact(metadata!C361,"missing: restricted access"))),AND(IF(metadata!C361="",FALSE,TRUE),AND(AND(IFERROR(INT(LEFT(metadata!C361,4))&gt;1900,FALSE),IFERROR(INT(LEFT(metadata!C361,4))&lt;=YEAR(NOW()),FALSE)), OR(MID(metadata!C361,5,1)="", AND(AND(MID(metadata!C361,5,1)="-",IFERROR(INT(MID(metadata!C361,6,1))&gt;=0,FALSE),IFERROR(INT(MID(metadata!C361,6,1))&lt;=1,FALSE),NOT(MID(metadata!C361,7,1)=""),IFERROR(INT(MID(metadata!C361,6,2))&gt;=1,FALSE),IFERROR(INT(MID(metadata!C361,6,2))&lt;=12,FALSE)), OR(MID(metadata!C361,8,1)="", AND(AND(MID(metadata!C361,8,1)="-",IFERROR(INT(MID(metadata!C361,9,1))&gt;=0,FALSE),IFERROR(INT(MID(metadata!C361,9,1))&lt;=3,FALSE),NOT(MID(metadata!C361,10,1)=""),IFERROR(INT(MID(metadata!C361,9,2))&gt;=1,FALSE),IFERROR(INT(MID(metadata!C361,9,2))&lt;=31,FALSE)), OR(MID(metadata!C361,11,1)="", AND(AND(MID(metadata!C361,11,1)=" ",IFERROR(INT(MID(metadata!C361,12,1))&gt;=0,FALSE),IFERROR(INT(MID(metadata!C361,12,1))&lt;=2,FALSE),NOT(MID(metadata!C361,13,1)=""),IFERROR(INT(MID(metadata!C361,12,2))&gt;=0,FALSE),IFERROR(INT(MID(metadata!C361,12,2))&lt;=23,FALSE)), OR(MID(metadata!C361,14,1)="", AND(AND(MID(metadata!C361,14,1)=":",IFERROR(INT(MID(metadata!C361,15,1))&gt;=0,FALSE),IFERROR(INT(MID(metadata!C361,15,1))&lt;=5,FALSE),NOT(MID(metadata!C361,16,1)=""),IFERROR(INT(MID(metadata!C361,15,2))&gt;=0,FALSE),IFERROR(INT(MID(metadata!C361,15,2))&lt;=59,FALSE)), OR(MID(metadata!C361,17,1)="", AND(AND(MID(metadata!C361,17,1)=":",IFERROR(INT(MID(metadata!C361,18,1))&gt;=0,FALSE),IFERROR(INT(MID(metadata!C361,18,1))&lt;=5,FALSE),NOT(MID(metadata!C361,19,1)=""),IFERROR(INT(MID(metadata!C361,18,2))&gt;=0,FALSE),IFERROR(INT(MID(metadata!C361,18,2))&lt;=59,FALSE)), LEN(metadata!C361)&lt;=19)))))))))))))</f>
        <v>0</v>
      </c>
      <c r="AD361">
        <f>IF(metadata!D361="",FALSE,TRUE)</f>
        <v>0</v>
      </c>
      <c r="AE361">
        <f>OR(AND(IF(metadata!E361="",FALSE,TRUE),OR(exact(metadata!E361,"missing: not collected"),exact(metadata!E361,"missing: not provided"))),AND(IF(metadata!E361="",FALSE,TRUE),OR(exact(metadata!E361,"TRUE"),exact(metadata!E361,"FALSE"))))</f>
        <v>0</v>
      </c>
      <c r="AF361">
        <f>IF(metadata!F361="",FALSE,TRUE)</f>
        <v>0</v>
      </c>
      <c r="AG361">
        <f>IF(metadata!G361="",FALSE,TRUE)</f>
        <v>0</v>
      </c>
      <c r="AH361">
        <f>IF(metadata!H361="",FALSE,TRUE)</f>
        <v>0</v>
      </c>
      <c r="AI361">
        <f>OR(AND(IF(metadata!I361="",FALSE,TRUE),OR(exact(metadata!I361,"missing: not collected"),exact(metadata!I361,"missing: not provided"),exact(metadata!I361,"missing: restricted access"))),AND(IF(metadata!I361="",FALSE,TRUE),OR(exact(metadata!I361,"air"),exact(metadata!I361,"built environment"),exact(metadata!I361,"host-associated"),exact(metadata!I361,"human-associated"),exact(metadata!I361,"human-skin"),exact(metadata!I361,"human-oral"),exact(metadata!I361,"human-gut"),exact(metadata!I361,"human-vaginal"),exact(metadata!I361,"microbial mat/biofilm"),exact(metadata!I361,"misc environment"),exact(metadata!I361,"plant-associated"),exact(metadata!I361,"sediment"),exact(metadata!I361,"soil"),exact(metadata!I361,"wastewater/sludge"),exact(metadata!I361,"water"))))</f>
        <v>0</v>
      </c>
      <c r="AJ361">
        <f>IF(metadata!J361="",FALSE,TRUE)</f>
        <v>0</v>
      </c>
      <c r="AK361">
        <f>OR(AND(IF(metadata!K361="",FALSE,TRUE),OR(exact(metadata!K361,"missing: not collected"),exact(metadata!K361,"missing: not provided"),exact(metadata!K361,"missing: restricted access"))),AND(IF(metadata!K361="",FALSE,ISNUMBER(VALUE(metadata!K361))),metadata!K361&gt;=-90.00,metadata!K361&lt;=90.00))</f>
        <v>0</v>
      </c>
      <c r="AL361">
        <f>OR(AND(IF(metadata!L361="",FALSE,TRUE),OR(exact(metadata!L361,"missing: not collected"),exact(metadata!L361,"missing: not provided"),exact(metadata!L361,"missing: restricted access"))),AND(IF(metadata!L361="",FALSE,ISNUMBER(VALUE(metadata!L361))),metadata!L361&gt;=-180.00,metadata!L361&lt;=180.00))</f>
        <v>0</v>
      </c>
      <c r="AM361">
        <f>IF(metadata!M361="",FALSE,TRUE)</f>
        <v>0</v>
      </c>
      <c r="AN361">
        <f>OR(AND(IF(metadata!N361="",FALSE,TRUE),OR(exact(metadata!N361,"missing: not collected"),exact(metadata!N361,"missing: not provided"),exact(metadata!N361,"missing: restricted access"))),AND(IF(metadata!N361="",FALSE,TRUE),OR(exact(metadata!N361,"TRUE"),exact(metadata!N361,"FALSE"))))</f>
        <v>0</v>
      </c>
      <c r="AO361">
        <f>IF(metadata!O361="",FALSE,TRUE)</f>
        <v>0</v>
      </c>
      <c r="AP361">
        <f>OR(AND(IF(metadata!P361="",FALSE,TRUE),OR(exact(metadata!P361,"missing: not collected"),exact(metadata!P361,"missing: not provided"))),AND(IF(metadata!P361="",FALSE,IF(ISERROR(INT(metadata!P361)),FALSE,INT(metadata!P361)=metadata!P361)),metadata!P361&gt;0))</f>
        <v>0</v>
      </c>
      <c r="AQ361">
        <f>IF(metadata!Q361="",FALSE,TRUE)</f>
        <v>0</v>
      </c>
    </row>
    <row r="362" spans="1:43">
      <c r="A362" s="5">
        <f>IF(B362=" "," ",HYPERLINK(CONCATENATE("#metadata!",ADDRESS(INDEX($W$2:$W$1001,MATCH(ROWS($U$2:U362),$U$2:$U$1001,0),0),1)),INDEX($Z$2:$Z$1001,MATCH(ROWS($U$2:U362),$U$2:$U$1001,0),0)))</f>
        <v>0</v>
      </c>
      <c r="B362" s="4">
        <f>IF(OR(INDEX($V$2:$V$1001,MATCH(ROWS($U$2:U362),$U$2:$U$1001,0),1)&gt;=100000,INDEX($AB$1005:$AQ$1005,1,MATCH(COLUMNS($AB$1006:AB1006),$AB$1006:$AQ$1006,0))&gt;=100000), " ",IF(INDEX($AB$2:$AQ$1001,MATCH(ROWS($U$2:U362),$U$2:$U$1001,0),MATCH(COLUMNS($AB$1006:AB1006),$AB$1006:$AQ$1006,0)), HYPERLINK("#",""), HYPERLINK(CONCATENATE("#metadata!", ADDRESS(INDEX($W$2:$W$1001,MATCH(ROWS($U$2:U362),$U$2:$U$1001,0),0), INDEX($AB$1004:$AQ$1004,1,MATCH(COLUMNS($AB$1006:AB1006),$AB$1006:$AQ$1006,0)))),"Fix")))</f>
        <v>0</v>
      </c>
      <c r="C362" s="4">
        <f>IF(OR(INDEX($V$2:$V$1001,MATCH(ROWS($U$2:U362),$U$2:$U$1001,0),1)&gt;=100000,INDEX($AB$1005:$AQ$1005,1,MATCH(COLUMNS($AB$1006:AC1006),$AB$1006:$AQ$1006,0))&gt;=100000), " ",IF(INDEX($AB$2:$AQ$1001,MATCH(ROWS($U$2:U362),$U$2:$U$1001,0),MATCH(COLUMNS($AB$1006:AC1006),$AB$1006:$AQ$1006,0)), HYPERLINK("#",""), HYPERLINK(CONCATENATE("#metadata!", ADDRESS(INDEX($W$2:$W$1001,MATCH(ROWS($U$2:U362),$U$2:$U$1001,0),0), INDEX($AB$1004:$AQ$1004,1,MATCH(COLUMNS($AB$1006:AC1006),$AB$1006:$AQ$1006,0)))),"Fix")))</f>
        <v>0</v>
      </c>
      <c r="D362" s="4">
        <f>IF(OR(INDEX($V$2:$V$1001,MATCH(ROWS($U$2:U362),$U$2:$U$1001,0),1)&gt;=100000,INDEX($AB$1005:$AQ$1005,1,MATCH(COLUMNS($AB$1006:AD1006),$AB$1006:$AQ$1006,0))&gt;=100000), " ",IF(INDEX($AB$2:$AQ$1001,MATCH(ROWS($U$2:U362),$U$2:$U$1001,0),MATCH(COLUMNS($AB$1006:AD1006),$AB$1006:$AQ$1006,0)), HYPERLINK("#",""), HYPERLINK(CONCATENATE("#metadata!", ADDRESS(INDEX($W$2:$W$1001,MATCH(ROWS($U$2:U362),$U$2:$U$1001,0),0), INDEX($AB$1004:$AQ$1004,1,MATCH(COLUMNS($AB$1006:AD1006),$AB$1006:$AQ$1006,0)))),"Fix")))</f>
        <v>0</v>
      </c>
      <c r="E362" s="4">
        <f>IF(OR(INDEX($V$2:$V$1001,MATCH(ROWS($U$2:U362),$U$2:$U$1001,0),1)&gt;=100000,INDEX($AB$1005:$AQ$1005,1,MATCH(COLUMNS($AB$1006:AE1006),$AB$1006:$AQ$1006,0))&gt;=100000), " ",IF(INDEX($AB$2:$AQ$1001,MATCH(ROWS($U$2:U362),$U$2:$U$1001,0),MATCH(COLUMNS($AB$1006:AE1006),$AB$1006:$AQ$1006,0)), HYPERLINK("#",""), HYPERLINK(CONCATENATE("#metadata!", ADDRESS(INDEX($W$2:$W$1001,MATCH(ROWS($U$2:U362),$U$2:$U$1001,0),0), INDEX($AB$1004:$AQ$1004,1,MATCH(COLUMNS($AB$1006:AE1006),$AB$1006:$AQ$1006,0)))),"Fix")))</f>
        <v>0</v>
      </c>
      <c r="F362" s="4">
        <f>IF(OR(INDEX($V$2:$V$1001,MATCH(ROWS($U$2:U362),$U$2:$U$1001,0),1)&gt;=100000,INDEX($AB$1005:$AQ$1005,1,MATCH(COLUMNS($AB$1006:AF1006),$AB$1006:$AQ$1006,0))&gt;=100000), " ",IF(INDEX($AB$2:$AQ$1001,MATCH(ROWS($U$2:U362),$U$2:$U$1001,0),MATCH(COLUMNS($AB$1006:AF1006),$AB$1006:$AQ$1006,0)), HYPERLINK("#",""), HYPERLINK(CONCATENATE("#metadata!", ADDRESS(INDEX($W$2:$W$1001,MATCH(ROWS($U$2:U362),$U$2:$U$1001,0),0), INDEX($AB$1004:$AQ$1004,1,MATCH(COLUMNS($AB$1006:AF1006),$AB$1006:$AQ$1006,0)))),"Fix")))</f>
        <v>0</v>
      </c>
      <c r="G362" s="4">
        <f>IF(OR(INDEX($V$2:$V$1001,MATCH(ROWS($U$2:U362),$U$2:$U$1001,0),1)&gt;=100000,INDEX($AB$1005:$AQ$1005,1,MATCH(COLUMNS($AB$1006:AG1006),$AB$1006:$AQ$1006,0))&gt;=100000), " ",IF(INDEX($AB$2:$AQ$1001,MATCH(ROWS($U$2:U362),$U$2:$U$1001,0),MATCH(COLUMNS($AB$1006:AG1006),$AB$1006:$AQ$1006,0)), HYPERLINK("#",""), HYPERLINK(CONCATENATE("#metadata!", ADDRESS(INDEX($W$2:$W$1001,MATCH(ROWS($U$2:U362),$U$2:$U$1001,0),0), INDEX($AB$1004:$AQ$1004,1,MATCH(COLUMNS($AB$1006:AG1006),$AB$1006:$AQ$1006,0)))),"Fix")))</f>
        <v>0</v>
      </c>
      <c r="H362" s="4">
        <f>IF(OR(INDEX($V$2:$V$1001,MATCH(ROWS($U$2:U362),$U$2:$U$1001,0),1)&gt;=100000,INDEX($AB$1005:$AQ$1005,1,MATCH(COLUMNS($AB$1006:AH1006),$AB$1006:$AQ$1006,0))&gt;=100000), " ",IF(INDEX($AB$2:$AQ$1001,MATCH(ROWS($U$2:U362),$U$2:$U$1001,0),MATCH(COLUMNS($AB$1006:AH1006),$AB$1006:$AQ$1006,0)), HYPERLINK("#",""), HYPERLINK(CONCATENATE("#metadata!", ADDRESS(INDEX($W$2:$W$1001,MATCH(ROWS($U$2:U362),$U$2:$U$1001,0),0), INDEX($AB$1004:$AQ$1004,1,MATCH(COLUMNS($AB$1006:AH1006),$AB$1006:$AQ$1006,0)))),"Fix")))</f>
        <v>0</v>
      </c>
      <c r="I362" s="4">
        <f>IF(OR(INDEX($V$2:$V$1001,MATCH(ROWS($U$2:U362),$U$2:$U$1001,0),1)&gt;=100000,INDEX($AB$1005:$AQ$1005,1,MATCH(COLUMNS($AB$1006:AI1006),$AB$1006:$AQ$1006,0))&gt;=100000), " ",IF(INDEX($AB$2:$AQ$1001,MATCH(ROWS($U$2:U362),$U$2:$U$1001,0),MATCH(COLUMNS($AB$1006:AI1006),$AB$1006:$AQ$1006,0)), HYPERLINK("#",""), HYPERLINK(CONCATENATE("#metadata!", ADDRESS(INDEX($W$2:$W$1001,MATCH(ROWS($U$2:U362),$U$2:$U$1001,0),0), INDEX($AB$1004:$AQ$1004,1,MATCH(COLUMNS($AB$1006:AI1006),$AB$1006:$AQ$1006,0)))),"Fix")))</f>
        <v>0</v>
      </c>
      <c r="J362" s="4">
        <f>IF(OR(INDEX($V$2:$V$1001,MATCH(ROWS($U$2:U362),$U$2:$U$1001,0),1)&gt;=100000,INDEX($AB$1005:$AQ$1005,1,MATCH(COLUMNS($AB$1006:AJ1006),$AB$1006:$AQ$1006,0))&gt;=100000), " ",IF(INDEX($AB$2:$AQ$1001,MATCH(ROWS($U$2:U362),$U$2:$U$1001,0),MATCH(COLUMNS($AB$1006:AJ1006),$AB$1006:$AQ$1006,0)), HYPERLINK("#",""), HYPERLINK(CONCATENATE("#metadata!", ADDRESS(INDEX($W$2:$W$1001,MATCH(ROWS($U$2:U362),$U$2:$U$1001,0),0), INDEX($AB$1004:$AQ$1004,1,MATCH(COLUMNS($AB$1006:AJ1006),$AB$1006:$AQ$1006,0)))),"Fix")))</f>
        <v>0</v>
      </c>
      <c r="K362" s="4">
        <f>IF(OR(INDEX($V$2:$V$1001,MATCH(ROWS($U$2:U362),$U$2:$U$1001,0),1)&gt;=100000,INDEX($AB$1005:$AQ$1005,1,MATCH(COLUMNS($AB$1006:AK1006),$AB$1006:$AQ$1006,0))&gt;=100000), " ",IF(INDEX($AB$2:$AQ$1001,MATCH(ROWS($U$2:U362),$U$2:$U$1001,0),MATCH(COLUMNS($AB$1006:AK1006),$AB$1006:$AQ$1006,0)), HYPERLINK("#",""), HYPERLINK(CONCATENATE("#metadata!", ADDRESS(INDEX($W$2:$W$1001,MATCH(ROWS($U$2:U362),$U$2:$U$1001,0),0), INDEX($AB$1004:$AQ$1004,1,MATCH(COLUMNS($AB$1006:AK1006),$AB$1006:$AQ$1006,0)))),"Fix")))</f>
        <v>0</v>
      </c>
      <c r="L362" s="4">
        <f>IF(OR(INDEX($V$2:$V$1001,MATCH(ROWS($U$2:U362),$U$2:$U$1001,0),1)&gt;=100000,INDEX($AB$1005:$AQ$1005,1,MATCH(COLUMNS($AB$1006:AL1006),$AB$1006:$AQ$1006,0))&gt;=100000), " ",IF(INDEX($AB$2:$AQ$1001,MATCH(ROWS($U$2:U362),$U$2:$U$1001,0),MATCH(COLUMNS($AB$1006:AL1006),$AB$1006:$AQ$1006,0)), HYPERLINK("#",""), HYPERLINK(CONCATENATE("#metadata!", ADDRESS(INDEX($W$2:$W$1001,MATCH(ROWS($U$2:U362),$U$2:$U$1001,0),0), INDEX($AB$1004:$AQ$1004,1,MATCH(COLUMNS($AB$1006:AL1006),$AB$1006:$AQ$1006,0)))),"Fix")))</f>
        <v>0</v>
      </c>
      <c r="M362" s="4">
        <f>IF(OR(INDEX($V$2:$V$1001,MATCH(ROWS($U$2:U362),$U$2:$U$1001,0),1)&gt;=100000,INDEX($AB$1005:$AQ$1005,1,MATCH(COLUMNS($AB$1006:AM1006),$AB$1006:$AQ$1006,0))&gt;=100000), " ",IF(INDEX($AB$2:$AQ$1001,MATCH(ROWS($U$2:U362),$U$2:$U$1001,0),MATCH(COLUMNS($AB$1006:AM1006),$AB$1006:$AQ$1006,0)), HYPERLINK("#",""), HYPERLINK(CONCATENATE("#metadata!", ADDRESS(INDEX($W$2:$W$1001,MATCH(ROWS($U$2:U362),$U$2:$U$1001,0),0), INDEX($AB$1004:$AQ$1004,1,MATCH(COLUMNS($AB$1006:AM1006),$AB$1006:$AQ$1006,0)))),"Fix")))</f>
        <v>0</v>
      </c>
      <c r="N362" s="4">
        <f>IF(OR(INDEX($V$2:$V$1001,MATCH(ROWS($U$2:U362),$U$2:$U$1001,0),1)&gt;=100000,INDEX($AB$1005:$AQ$1005,1,MATCH(COLUMNS($AB$1006:AN1006),$AB$1006:$AQ$1006,0))&gt;=100000), " ",IF(INDEX($AB$2:$AQ$1001,MATCH(ROWS($U$2:U362),$U$2:$U$1001,0),MATCH(COLUMNS($AB$1006:AN1006),$AB$1006:$AQ$1006,0)), HYPERLINK("#",""), HYPERLINK(CONCATENATE("#metadata!", ADDRESS(INDEX($W$2:$W$1001,MATCH(ROWS($U$2:U362),$U$2:$U$1001,0),0), INDEX($AB$1004:$AQ$1004,1,MATCH(COLUMNS($AB$1006:AN1006),$AB$1006:$AQ$1006,0)))),"Fix")))</f>
        <v>0</v>
      </c>
      <c r="O362" s="4">
        <f>IF(OR(INDEX($V$2:$V$1001,MATCH(ROWS($U$2:U362),$U$2:$U$1001,0),1)&gt;=100000,INDEX($AB$1005:$AQ$1005,1,MATCH(COLUMNS($AB$1006:AO1006),$AB$1006:$AQ$1006,0))&gt;=100000), " ",IF(INDEX($AB$2:$AQ$1001,MATCH(ROWS($U$2:U362),$U$2:$U$1001,0),MATCH(COLUMNS($AB$1006:AO1006),$AB$1006:$AQ$1006,0)), HYPERLINK("#",""), HYPERLINK(CONCATENATE("#metadata!", ADDRESS(INDEX($W$2:$W$1001,MATCH(ROWS($U$2:U362),$U$2:$U$1001,0),0), INDEX($AB$1004:$AQ$1004,1,MATCH(COLUMNS($AB$1006:AO1006),$AB$1006:$AQ$1006,0)))),"Fix")))</f>
        <v>0</v>
      </c>
      <c r="P362" s="4">
        <f>IF(OR(INDEX($V$2:$V$1001,MATCH(ROWS($U$2:U362),$U$2:$U$1001,0),1)&gt;=100000,INDEX($AB$1005:$AQ$1005,1,MATCH(COLUMNS($AB$1006:AP1006),$AB$1006:$AQ$1006,0))&gt;=100000), " ",IF(INDEX($AB$2:$AQ$1001,MATCH(ROWS($U$2:U362),$U$2:$U$1001,0),MATCH(COLUMNS($AB$1006:AP1006),$AB$1006:$AQ$1006,0)), HYPERLINK("#",""), HYPERLINK(CONCATENATE("#metadata!", ADDRESS(INDEX($W$2:$W$1001,MATCH(ROWS($U$2:U362),$U$2:$U$1001,0),0), INDEX($AB$1004:$AQ$1004,1,MATCH(COLUMNS($AB$1006:AP1006),$AB$1006:$AQ$1006,0)))),"Fix")))</f>
        <v>0</v>
      </c>
      <c r="Q362" s="4">
        <f>IF(OR(INDEX($V$2:$V$1001,MATCH(ROWS($U$2:U362),$U$2:$U$1001,0),1)&gt;=100000,INDEX($AB$1005:$AQ$1005,1,MATCH(COLUMNS($AB$1006:AQ1006),$AB$1006:$AQ$1006,0))&gt;=100000), " ",IF(INDEX($AB$2:$AQ$1001,MATCH(ROWS($U$2:U362),$U$2:$U$1001,0),MATCH(COLUMNS($AB$1006:AQ1006),$AB$1006:$AQ$1006,0)), HYPERLINK("#",""), HYPERLINK(CONCATENATE("#metadata!", ADDRESS(INDEX($W$2:$W$1001,MATCH(ROWS($U$2:U362),$U$2:$U$1001,0),0), INDEX($AB$1004:$AQ$1004,1,MATCH(COLUMNS($AB$1006:AQ1006),$AB$1006:$AQ$1006,0)))),"Fix")))</f>
        <v>0</v>
      </c>
      <c r="U362">
        <v>0</v>
      </c>
      <c r="V362">
        <v>0</v>
      </c>
      <c r="W362">
        <v>0</v>
      </c>
      <c r="X362">
        <f>IF(Y362,TRUE,AND(AB362:AQ362))</f>
        <v>0</v>
      </c>
      <c r="Y362">
        <f>COUNTBLANK(metadata!B362:Q362)=COLUMNS(metadata!B362:Q362)</f>
        <v>0</v>
      </c>
      <c r="Z362">
        <v>0</v>
      </c>
      <c r="AB362">
        <f>AND(IF(metadata!B362="",FALSE,TRUE),COUNTIF(metadata!B:B, metadata!B362) = 1,NOT(ISERROR(SUMPRODUCT(SEARCH(MID(metadata!B362,ROW(INDIRECT("1:"&amp;LEN(metadata!B362))), 1),"0123456789abcdefghijklmnopqrstuvwxyzABCDEFGHIJKLMNOPQRSTUVWXYZ.")))))</f>
        <v>0</v>
      </c>
      <c r="AC362">
        <f>OR(AND(IF(metadata!C362="",FALSE,TRUE),OR(exact(metadata!C362,"missing: not collected"),exact(metadata!C362,"missing: not provided"),exact(metadata!C362,"missing: restricted access"))),AND(IF(metadata!C362="",FALSE,TRUE),AND(AND(IFERROR(INT(LEFT(metadata!C362,4))&gt;1900,FALSE),IFERROR(INT(LEFT(metadata!C362,4))&lt;=YEAR(NOW()),FALSE)), OR(MID(metadata!C362,5,1)="", AND(AND(MID(metadata!C362,5,1)="-",IFERROR(INT(MID(metadata!C362,6,1))&gt;=0,FALSE),IFERROR(INT(MID(metadata!C362,6,1))&lt;=1,FALSE),NOT(MID(metadata!C362,7,1)=""),IFERROR(INT(MID(metadata!C362,6,2))&gt;=1,FALSE),IFERROR(INT(MID(metadata!C362,6,2))&lt;=12,FALSE)), OR(MID(metadata!C362,8,1)="", AND(AND(MID(metadata!C362,8,1)="-",IFERROR(INT(MID(metadata!C362,9,1))&gt;=0,FALSE),IFERROR(INT(MID(metadata!C362,9,1))&lt;=3,FALSE),NOT(MID(metadata!C362,10,1)=""),IFERROR(INT(MID(metadata!C362,9,2))&gt;=1,FALSE),IFERROR(INT(MID(metadata!C362,9,2))&lt;=31,FALSE)), OR(MID(metadata!C362,11,1)="", AND(AND(MID(metadata!C362,11,1)=" ",IFERROR(INT(MID(metadata!C362,12,1))&gt;=0,FALSE),IFERROR(INT(MID(metadata!C362,12,1))&lt;=2,FALSE),NOT(MID(metadata!C362,13,1)=""),IFERROR(INT(MID(metadata!C362,12,2))&gt;=0,FALSE),IFERROR(INT(MID(metadata!C362,12,2))&lt;=23,FALSE)), OR(MID(metadata!C362,14,1)="", AND(AND(MID(metadata!C362,14,1)=":",IFERROR(INT(MID(metadata!C362,15,1))&gt;=0,FALSE),IFERROR(INT(MID(metadata!C362,15,1))&lt;=5,FALSE),NOT(MID(metadata!C362,16,1)=""),IFERROR(INT(MID(metadata!C362,15,2))&gt;=0,FALSE),IFERROR(INT(MID(metadata!C362,15,2))&lt;=59,FALSE)), OR(MID(metadata!C362,17,1)="", AND(AND(MID(metadata!C362,17,1)=":",IFERROR(INT(MID(metadata!C362,18,1))&gt;=0,FALSE),IFERROR(INT(MID(metadata!C362,18,1))&lt;=5,FALSE),NOT(MID(metadata!C362,19,1)=""),IFERROR(INT(MID(metadata!C362,18,2))&gt;=0,FALSE),IFERROR(INT(MID(metadata!C362,18,2))&lt;=59,FALSE)), LEN(metadata!C362)&lt;=19)))))))))))))</f>
        <v>0</v>
      </c>
      <c r="AD362">
        <f>IF(metadata!D362="",FALSE,TRUE)</f>
        <v>0</v>
      </c>
      <c r="AE362">
        <f>OR(AND(IF(metadata!E362="",FALSE,TRUE),OR(exact(metadata!E362,"missing: not collected"),exact(metadata!E362,"missing: not provided"))),AND(IF(metadata!E362="",FALSE,TRUE),OR(exact(metadata!E362,"TRUE"),exact(metadata!E362,"FALSE"))))</f>
        <v>0</v>
      </c>
      <c r="AF362">
        <f>IF(metadata!F362="",FALSE,TRUE)</f>
        <v>0</v>
      </c>
      <c r="AG362">
        <f>IF(metadata!G362="",FALSE,TRUE)</f>
        <v>0</v>
      </c>
      <c r="AH362">
        <f>IF(metadata!H362="",FALSE,TRUE)</f>
        <v>0</v>
      </c>
      <c r="AI362">
        <f>OR(AND(IF(metadata!I362="",FALSE,TRUE),OR(exact(metadata!I362,"missing: not collected"),exact(metadata!I362,"missing: not provided"),exact(metadata!I362,"missing: restricted access"))),AND(IF(metadata!I362="",FALSE,TRUE),OR(exact(metadata!I362,"air"),exact(metadata!I362,"built environment"),exact(metadata!I362,"host-associated"),exact(metadata!I362,"human-associated"),exact(metadata!I362,"human-skin"),exact(metadata!I362,"human-oral"),exact(metadata!I362,"human-gut"),exact(metadata!I362,"human-vaginal"),exact(metadata!I362,"microbial mat/biofilm"),exact(metadata!I362,"misc environment"),exact(metadata!I362,"plant-associated"),exact(metadata!I362,"sediment"),exact(metadata!I362,"soil"),exact(metadata!I362,"wastewater/sludge"),exact(metadata!I362,"water"))))</f>
        <v>0</v>
      </c>
      <c r="AJ362">
        <f>IF(metadata!J362="",FALSE,TRUE)</f>
        <v>0</v>
      </c>
      <c r="AK362">
        <f>OR(AND(IF(metadata!K362="",FALSE,TRUE),OR(exact(metadata!K362,"missing: not collected"),exact(metadata!K362,"missing: not provided"),exact(metadata!K362,"missing: restricted access"))),AND(IF(metadata!K362="",FALSE,ISNUMBER(VALUE(metadata!K362))),metadata!K362&gt;=-90.00,metadata!K362&lt;=90.00))</f>
        <v>0</v>
      </c>
      <c r="AL362">
        <f>OR(AND(IF(metadata!L362="",FALSE,TRUE),OR(exact(metadata!L362,"missing: not collected"),exact(metadata!L362,"missing: not provided"),exact(metadata!L362,"missing: restricted access"))),AND(IF(metadata!L362="",FALSE,ISNUMBER(VALUE(metadata!L362))),metadata!L362&gt;=-180.00,metadata!L362&lt;=180.00))</f>
        <v>0</v>
      </c>
      <c r="AM362">
        <f>IF(metadata!M362="",FALSE,TRUE)</f>
        <v>0</v>
      </c>
      <c r="AN362">
        <f>OR(AND(IF(metadata!N362="",FALSE,TRUE),OR(exact(metadata!N362,"missing: not collected"),exact(metadata!N362,"missing: not provided"),exact(metadata!N362,"missing: restricted access"))),AND(IF(metadata!N362="",FALSE,TRUE),OR(exact(metadata!N362,"TRUE"),exact(metadata!N362,"FALSE"))))</f>
        <v>0</v>
      </c>
      <c r="AO362">
        <f>IF(metadata!O362="",FALSE,TRUE)</f>
        <v>0</v>
      </c>
      <c r="AP362">
        <f>OR(AND(IF(metadata!P362="",FALSE,TRUE),OR(exact(metadata!P362,"missing: not collected"),exact(metadata!P362,"missing: not provided"))),AND(IF(metadata!P362="",FALSE,IF(ISERROR(INT(metadata!P362)),FALSE,INT(metadata!P362)=metadata!P362)),metadata!P362&gt;0))</f>
        <v>0</v>
      </c>
      <c r="AQ362">
        <f>IF(metadata!Q362="",FALSE,TRUE)</f>
        <v>0</v>
      </c>
    </row>
    <row r="363" spans="1:43">
      <c r="A363" s="5">
        <f>IF(B363=" "," ",HYPERLINK(CONCATENATE("#metadata!",ADDRESS(INDEX($W$2:$W$1001,MATCH(ROWS($U$2:U363),$U$2:$U$1001,0),0),1)),INDEX($Z$2:$Z$1001,MATCH(ROWS($U$2:U363),$U$2:$U$1001,0),0)))</f>
        <v>0</v>
      </c>
      <c r="B363" s="4">
        <f>IF(OR(INDEX($V$2:$V$1001,MATCH(ROWS($U$2:U363),$U$2:$U$1001,0),1)&gt;=100000,INDEX($AB$1005:$AQ$1005,1,MATCH(COLUMNS($AB$1006:AB1006),$AB$1006:$AQ$1006,0))&gt;=100000), " ",IF(INDEX($AB$2:$AQ$1001,MATCH(ROWS($U$2:U363),$U$2:$U$1001,0),MATCH(COLUMNS($AB$1006:AB1006),$AB$1006:$AQ$1006,0)), HYPERLINK("#",""), HYPERLINK(CONCATENATE("#metadata!", ADDRESS(INDEX($W$2:$W$1001,MATCH(ROWS($U$2:U363),$U$2:$U$1001,0),0), INDEX($AB$1004:$AQ$1004,1,MATCH(COLUMNS($AB$1006:AB1006),$AB$1006:$AQ$1006,0)))),"Fix")))</f>
        <v>0</v>
      </c>
      <c r="C363" s="4">
        <f>IF(OR(INDEX($V$2:$V$1001,MATCH(ROWS($U$2:U363),$U$2:$U$1001,0),1)&gt;=100000,INDEX($AB$1005:$AQ$1005,1,MATCH(COLUMNS($AB$1006:AC1006),$AB$1006:$AQ$1006,0))&gt;=100000), " ",IF(INDEX($AB$2:$AQ$1001,MATCH(ROWS($U$2:U363),$U$2:$U$1001,0),MATCH(COLUMNS($AB$1006:AC1006),$AB$1006:$AQ$1006,0)), HYPERLINK("#",""), HYPERLINK(CONCATENATE("#metadata!", ADDRESS(INDEX($W$2:$W$1001,MATCH(ROWS($U$2:U363),$U$2:$U$1001,0),0), INDEX($AB$1004:$AQ$1004,1,MATCH(COLUMNS($AB$1006:AC1006),$AB$1006:$AQ$1006,0)))),"Fix")))</f>
        <v>0</v>
      </c>
      <c r="D363" s="4">
        <f>IF(OR(INDEX($V$2:$V$1001,MATCH(ROWS($U$2:U363),$U$2:$U$1001,0),1)&gt;=100000,INDEX($AB$1005:$AQ$1005,1,MATCH(COLUMNS($AB$1006:AD1006),$AB$1006:$AQ$1006,0))&gt;=100000), " ",IF(INDEX($AB$2:$AQ$1001,MATCH(ROWS($U$2:U363),$U$2:$U$1001,0),MATCH(COLUMNS($AB$1006:AD1006),$AB$1006:$AQ$1006,0)), HYPERLINK("#",""), HYPERLINK(CONCATENATE("#metadata!", ADDRESS(INDEX($W$2:$W$1001,MATCH(ROWS($U$2:U363),$U$2:$U$1001,0),0), INDEX($AB$1004:$AQ$1004,1,MATCH(COLUMNS($AB$1006:AD1006),$AB$1006:$AQ$1006,0)))),"Fix")))</f>
        <v>0</v>
      </c>
      <c r="E363" s="4">
        <f>IF(OR(INDEX($V$2:$V$1001,MATCH(ROWS($U$2:U363),$U$2:$U$1001,0),1)&gt;=100000,INDEX($AB$1005:$AQ$1005,1,MATCH(COLUMNS($AB$1006:AE1006),$AB$1006:$AQ$1006,0))&gt;=100000), " ",IF(INDEX($AB$2:$AQ$1001,MATCH(ROWS($U$2:U363),$U$2:$U$1001,0),MATCH(COLUMNS($AB$1006:AE1006),$AB$1006:$AQ$1006,0)), HYPERLINK("#",""), HYPERLINK(CONCATENATE("#metadata!", ADDRESS(INDEX($W$2:$W$1001,MATCH(ROWS($U$2:U363),$U$2:$U$1001,0),0), INDEX($AB$1004:$AQ$1004,1,MATCH(COLUMNS($AB$1006:AE1006),$AB$1006:$AQ$1006,0)))),"Fix")))</f>
        <v>0</v>
      </c>
      <c r="F363" s="4">
        <f>IF(OR(INDEX($V$2:$V$1001,MATCH(ROWS($U$2:U363),$U$2:$U$1001,0),1)&gt;=100000,INDEX($AB$1005:$AQ$1005,1,MATCH(COLUMNS($AB$1006:AF1006),$AB$1006:$AQ$1006,0))&gt;=100000), " ",IF(INDEX($AB$2:$AQ$1001,MATCH(ROWS($U$2:U363),$U$2:$U$1001,0),MATCH(COLUMNS($AB$1006:AF1006),$AB$1006:$AQ$1006,0)), HYPERLINK("#",""), HYPERLINK(CONCATENATE("#metadata!", ADDRESS(INDEX($W$2:$W$1001,MATCH(ROWS($U$2:U363),$U$2:$U$1001,0),0), INDEX($AB$1004:$AQ$1004,1,MATCH(COLUMNS($AB$1006:AF1006),$AB$1006:$AQ$1006,0)))),"Fix")))</f>
        <v>0</v>
      </c>
      <c r="G363" s="4">
        <f>IF(OR(INDEX($V$2:$V$1001,MATCH(ROWS($U$2:U363),$U$2:$U$1001,0),1)&gt;=100000,INDEX($AB$1005:$AQ$1005,1,MATCH(COLUMNS($AB$1006:AG1006),$AB$1006:$AQ$1006,0))&gt;=100000), " ",IF(INDEX($AB$2:$AQ$1001,MATCH(ROWS($U$2:U363),$U$2:$U$1001,0),MATCH(COLUMNS($AB$1006:AG1006),$AB$1006:$AQ$1006,0)), HYPERLINK("#",""), HYPERLINK(CONCATENATE("#metadata!", ADDRESS(INDEX($W$2:$W$1001,MATCH(ROWS($U$2:U363),$U$2:$U$1001,0),0), INDEX($AB$1004:$AQ$1004,1,MATCH(COLUMNS($AB$1006:AG1006),$AB$1006:$AQ$1006,0)))),"Fix")))</f>
        <v>0</v>
      </c>
      <c r="H363" s="4">
        <f>IF(OR(INDEX($V$2:$V$1001,MATCH(ROWS($U$2:U363),$U$2:$U$1001,0),1)&gt;=100000,INDEX($AB$1005:$AQ$1005,1,MATCH(COLUMNS($AB$1006:AH1006),$AB$1006:$AQ$1006,0))&gt;=100000), " ",IF(INDEX($AB$2:$AQ$1001,MATCH(ROWS($U$2:U363),$U$2:$U$1001,0),MATCH(COLUMNS($AB$1006:AH1006),$AB$1006:$AQ$1006,0)), HYPERLINK("#",""), HYPERLINK(CONCATENATE("#metadata!", ADDRESS(INDEX($W$2:$W$1001,MATCH(ROWS($U$2:U363),$U$2:$U$1001,0),0), INDEX($AB$1004:$AQ$1004,1,MATCH(COLUMNS($AB$1006:AH1006),$AB$1006:$AQ$1006,0)))),"Fix")))</f>
        <v>0</v>
      </c>
      <c r="I363" s="4">
        <f>IF(OR(INDEX($V$2:$V$1001,MATCH(ROWS($U$2:U363),$U$2:$U$1001,0),1)&gt;=100000,INDEX($AB$1005:$AQ$1005,1,MATCH(COLUMNS($AB$1006:AI1006),$AB$1006:$AQ$1006,0))&gt;=100000), " ",IF(INDEX($AB$2:$AQ$1001,MATCH(ROWS($U$2:U363),$U$2:$U$1001,0),MATCH(COLUMNS($AB$1006:AI1006),$AB$1006:$AQ$1006,0)), HYPERLINK("#",""), HYPERLINK(CONCATENATE("#metadata!", ADDRESS(INDEX($W$2:$W$1001,MATCH(ROWS($U$2:U363),$U$2:$U$1001,0),0), INDEX($AB$1004:$AQ$1004,1,MATCH(COLUMNS($AB$1006:AI1006),$AB$1006:$AQ$1006,0)))),"Fix")))</f>
        <v>0</v>
      </c>
      <c r="J363" s="4">
        <f>IF(OR(INDEX($V$2:$V$1001,MATCH(ROWS($U$2:U363),$U$2:$U$1001,0),1)&gt;=100000,INDEX($AB$1005:$AQ$1005,1,MATCH(COLUMNS($AB$1006:AJ1006),$AB$1006:$AQ$1006,0))&gt;=100000), " ",IF(INDEX($AB$2:$AQ$1001,MATCH(ROWS($U$2:U363),$U$2:$U$1001,0),MATCH(COLUMNS($AB$1006:AJ1006),$AB$1006:$AQ$1006,0)), HYPERLINK("#",""), HYPERLINK(CONCATENATE("#metadata!", ADDRESS(INDEX($W$2:$W$1001,MATCH(ROWS($U$2:U363),$U$2:$U$1001,0),0), INDEX($AB$1004:$AQ$1004,1,MATCH(COLUMNS($AB$1006:AJ1006),$AB$1006:$AQ$1006,0)))),"Fix")))</f>
        <v>0</v>
      </c>
      <c r="K363" s="4">
        <f>IF(OR(INDEX($V$2:$V$1001,MATCH(ROWS($U$2:U363),$U$2:$U$1001,0),1)&gt;=100000,INDEX($AB$1005:$AQ$1005,1,MATCH(COLUMNS($AB$1006:AK1006),$AB$1006:$AQ$1006,0))&gt;=100000), " ",IF(INDEX($AB$2:$AQ$1001,MATCH(ROWS($U$2:U363),$U$2:$U$1001,0),MATCH(COLUMNS($AB$1006:AK1006),$AB$1006:$AQ$1006,0)), HYPERLINK("#",""), HYPERLINK(CONCATENATE("#metadata!", ADDRESS(INDEX($W$2:$W$1001,MATCH(ROWS($U$2:U363),$U$2:$U$1001,0),0), INDEX($AB$1004:$AQ$1004,1,MATCH(COLUMNS($AB$1006:AK1006),$AB$1006:$AQ$1006,0)))),"Fix")))</f>
        <v>0</v>
      </c>
      <c r="L363" s="4">
        <f>IF(OR(INDEX($V$2:$V$1001,MATCH(ROWS($U$2:U363),$U$2:$U$1001,0),1)&gt;=100000,INDEX($AB$1005:$AQ$1005,1,MATCH(COLUMNS($AB$1006:AL1006),$AB$1006:$AQ$1006,0))&gt;=100000), " ",IF(INDEX($AB$2:$AQ$1001,MATCH(ROWS($U$2:U363),$U$2:$U$1001,0),MATCH(COLUMNS($AB$1006:AL1006),$AB$1006:$AQ$1006,0)), HYPERLINK("#",""), HYPERLINK(CONCATENATE("#metadata!", ADDRESS(INDEX($W$2:$W$1001,MATCH(ROWS($U$2:U363),$U$2:$U$1001,0),0), INDEX($AB$1004:$AQ$1004,1,MATCH(COLUMNS($AB$1006:AL1006),$AB$1006:$AQ$1006,0)))),"Fix")))</f>
        <v>0</v>
      </c>
      <c r="M363" s="4">
        <f>IF(OR(INDEX($V$2:$V$1001,MATCH(ROWS($U$2:U363),$U$2:$U$1001,0),1)&gt;=100000,INDEX($AB$1005:$AQ$1005,1,MATCH(COLUMNS($AB$1006:AM1006),$AB$1006:$AQ$1006,0))&gt;=100000), " ",IF(INDEX($AB$2:$AQ$1001,MATCH(ROWS($U$2:U363),$U$2:$U$1001,0),MATCH(COLUMNS($AB$1006:AM1006),$AB$1006:$AQ$1006,0)), HYPERLINK("#",""), HYPERLINK(CONCATENATE("#metadata!", ADDRESS(INDEX($W$2:$W$1001,MATCH(ROWS($U$2:U363),$U$2:$U$1001,0),0), INDEX($AB$1004:$AQ$1004,1,MATCH(COLUMNS($AB$1006:AM1006),$AB$1006:$AQ$1006,0)))),"Fix")))</f>
        <v>0</v>
      </c>
      <c r="N363" s="4">
        <f>IF(OR(INDEX($V$2:$V$1001,MATCH(ROWS($U$2:U363),$U$2:$U$1001,0),1)&gt;=100000,INDEX($AB$1005:$AQ$1005,1,MATCH(COLUMNS($AB$1006:AN1006),$AB$1006:$AQ$1006,0))&gt;=100000), " ",IF(INDEX($AB$2:$AQ$1001,MATCH(ROWS($U$2:U363),$U$2:$U$1001,0),MATCH(COLUMNS($AB$1006:AN1006),$AB$1006:$AQ$1006,0)), HYPERLINK("#",""), HYPERLINK(CONCATENATE("#metadata!", ADDRESS(INDEX($W$2:$W$1001,MATCH(ROWS($U$2:U363),$U$2:$U$1001,0),0), INDEX($AB$1004:$AQ$1004,1,MATCH(COLUMNS($AB$1006:AN1006),$AB$1006:$AQ$1006,0)))),"Fix")))</f>
        <v>0</v>
      </c>
      <c r="O363" s="4">
        <f>IF(OR(INDEX($V$2:$V$1001,MATCH(ROWS($U$2:U363),$U$2:$U$1001,0),1)&gt;=100000,INDEX($AB$1005:$AQ$1005,1,MATCH(COLUMNS($AB$1006:AO1006),$AB$1006:$AQ$1006,0))&gt;=100000), " ",IF(INDEX($AB$2:$AQ$1001,MATCH(ROWS($U$2:U363),$U$2:$U$1001,0),MATCH(COLUMNS($AB$1006:AO1006),$AB$1006:$AQ$1006,0)), HYPERLINK("#",""), HYPERLINK(CONCATENATE("#metadata!", ADDRESS(INDEX($W$2:$W$1001,MATCH(ROWS($U$2:U363),$U$2:$U$1001,0),0), INDEX($AB$1004:$AQ$1004,1,MATCH(COLUMNS($AB$1006:AO1006),$AB$1006:$AQ$1006,0)))),"Fix")))</f>
        <v>0</v>
      </c>
      <c r="P363" s="4">
        <f>IF(OR(INDEX($V$2:$V$1001,MATCH(ROWS($U$2:U363),$U$2:$U$1001,0),1)&gt;=100000,INDEX($AB$1005:$AQ$1005,1,MATCH(COLUMNS($AB$1006:AP1006),$AB$1006:$AQ$1006,0))&gt;=100000), " ",IF(INDEX($AB$2:$AQ$1001,MATCH(ROWS($U$2:U363),$U$2:$U$1001,0),MATCH(COLUMNS($AB$1006:AP1006),$AB$1006:$AQ$1006,0)), HYPERLINK("#",""), HYPERLINK(CONCATENATE("#metadata!", ADDRESS(INDEX($W$2:$W$1001,MATCH(ROWS($U$2:U363),$U$2:$U$1001,0),0), INDEX($AB$1004:$AQ$1004,1,MATCH(COLUMNS($AB$1006:AP1006),$AB$1006:$AQ$1006,0)))),"Fix")))</f>
        <v>0</v>
      </c>
      <c r="Q363" s="4">
        <f>IF(OR(INDEX($V$2:$V$1001,MATCH(ROWS($U$2:U363),$U$2:$U$1001,0),1)&gt;=100000,INDEX($AB$1005:$AQ$1005,1,MATCH(COLUMNS($AB$1006:AQ1006),$AB$1006:$AQ$1006,0))&gt;=100000), " ",IF(INDEX($AB$2:$AQ$1001,MATCH(ROWS($U$2:U363),$U$2:$U$1001,0),MATCH(COLUMNS($AB$1006:AQ1006),$AB$1006:$AQ$1006,0)), HYPERLINK("#",""), HYPERLINK(CONCATENATE("#metadata!", ADDRESS(INDEX($W$2:$W$1001,MATCH(ROWS($U$2:U363),$U$2:$U$1001,0),0), INDEX($AB$1004:$AQ$1004,1,MATCH(COLUMNS($AB$1006:AQ1006),$AB$1006:$AQ$1006,0)))),"Fix")))</f>
        <v>0</v>
      </c>
      <c r="U363">
        <v>0</v>
      </c>
      <c r="V363">
        <v>0</v>
      </c>
      <c r="W363">
        <v>0</v>
      </c>
      <c r="X363">
        <f>IF(Y363,TRUE,AND(AB363:AQ363))</f>
        <v>0</v>
      </c>
      <c r="Y363">
        <f>COUNTBLANK(metadata!B363:Q363)=COLUMNS(metadata!B363:Q363)</f>
        <v>0</v>
      </c>
      <c r="Z363">
        <v>0</v>
      </c>
      <c r="AB363">
        <f>AND(IF(metadata!B363="",FALSE,TRUE),COUNTIF(metadata!B:B, metadata!B363) = 1,NOT(ISERROR(SUMPRODUCT(SEARCH(MID(metadata!B363,ROW(INDIRECT("1:"&amp;LEN(metadata!B363))), 1),"0123456789abcdefghijklmnopqrstuvwxyzABCDEFGHIJKLMNOPQRSTUVWXYZ.")))))</f>
        <v>0</v>
      </c>
      <c r="AC363">
        <f>OR(AND(IF(metadata!C363="",FALSE,TRUE),OR(exact(metadata!C363,"missing: not collected"),exact(metadata!C363,"missing: not provided"),exact(metadata!C363,"missing: restricted access"))),AND(IF(metadata!C363="",FALSE,TRUE),AND(AND(IFERROR(INT(LEFT(metadata!C363,4))&gt;1900,FALSE),IFERROR(INT(LEFT(metadata!C363,4))&lt;=YEAR(NOW()),FALSE)), OR(MID(metadata!C363,5,1)="", AND(AND(MID(metadata!C363,5,1)="-",IFERROR(INT(MID(metadata!C363,6,1))&gt;=0,FALSE),IFERROR(INT(MID(metadata!C363,6,1))&lt;=1,FALSE),NOT(MID(metadata!C363,7,1)=""),IFERROR(INT(MID(metadata!C363,6,2))&gt;=1,FALSE),IFERROR(INT(MID(metadata!C363,6,2))&lt;=12,FALSE)), OR(MID(metadata!C363,8,1)="", AND(AND(MID(metadata!C363,8,1)="-",IFERROR(INT(MID(metadata!C363,9,1))&gt;=0,FALSE),IFERROR(INT(MID(metadata!C363,9,1))&lt;=3,FALSE),NOT(MID(metadata!C363,10,1)=""),IFERROR(INT(MID(metadata!C363,9,2))&gt;=1,FALSE),IFERROR(INT(MID(metadata!C363,9,2))&lt;=31,FALSE)), OR(MID(metadata!C363,11,1)="", AND(AND(MID(metadata!C363,11,1)=" ",IFERROR(INT(MID(metadata!C363,12,1))&gt;=0,FALSE),IFERROR(INT(MID(metadata!C363,12,1))&lt;=2,FALSE),NOT(MID(metadata!C363,13,1)=""),IFERROR(INT(MID(metadata!C363,12,2))&gt;=0,FALSE),IFERROR(INT(MID(metadata!C363,12,2))&lt;=23,FALSE)), OR(MID(metadata!C363,14,1)="", AND(AND(MID(metadata!C363,14,1)=":",IFERROR(INT(MID(metadata!C363,15,1))&gt;=0,FALSE),IFERROR(INT(MID(metadata!C363,15,1))&lt;=5,FALSE),NOT(MID(metadata!C363,16,1)=""),IFERROR(INT(MID(metadata!C363,15,2))&gt;=0,FALSE),IFERROR(INT(MID(metadata!C363,15,2))&lt;=59,FALSE)), OR(MID(metadata!C363,17,1)="", AND(AND(MID(metadata!C363,17,1)=":",IFERROR(INT(MID(metadata!C363,18,1))&gt;=0,FALSE),IFERROR(INT(MID(metadata!C363,18,1))&lt;=5,FALSE),NOT(MID(metadata!C363,19,1)=""),IFERROR(INT(MID(metadata!C363,18,2))&gt;=0,FALSE),IFERROR(INT(MID(metadata!C363,18,2))&lt;=59,FALSE)), LEN(metadata!C363)&lt;=19)))))))))))))</f>
        <v>0</v>
      </c>
      <c r="AD363">
        <f>IF(metadata!D363="",FALSE,TRUE)</f>
        <v>0</v>
      </c>
      <c r="AE363">
        <f>OR(AND(IF(metadata!E363="",FALSE,TRUE),OR(exact(metadata!E363,"missing: not collected"),exact(metadata!E363,"missing: not provided"))),AND(IF(metadata!E363="",FALSE,TRUE),OR(exact(metadata!E363,"TRUE"),exact(metadata!E363,"FALSE"))))</f>
        <v>0</v>
      </c>
      <c r="AF363">
        <f>IF(metadata!F363="",FALSE,TRUE)</f>
        <v>0</v>
      </c>
      <c r="AG363">
        <f>IF(metadata!G363="",FALSE,TRUE)</f>
        <v>0</v>
      </c>
      <c r="AH363">
        <f>IF(metadata!H363="",FALSE,TRUE)</f>
        <v>0</v>
      </c>
      <c r="AI363">
        <f>OR(AND(IF(metadata!I363="",FALSE,TRUE),OR(exact(metadata!I363,"missing: not collected"),exact(metadata!I363,"missing: not provided"),exact(metadata!I363,"missing: restricted access"))),AND(IF(metadata!I363="",FALSE,TRUE),OR(exact(metadata!I363,"air"),exact(metadata!I363,"built environment"),exact(metadata!I363,"host-associated"),exact(metadata!I363,"human-associated"),exact(metadata!I363,"human-skin"),exact(metadata!I363,"human-oral"),exact(metadata!I363,"human-gut"),exact(metadata!I363,"human-vaginal"),exact(metadata!I363,"microbial mat/biofilm"),exact(metadata!I363,"misc environment"),exact(metadata!I363,"plant-associated"),exact(metadata!I363,"sediment"),exact(metadata!I363,"soil"),exact(metadata!I363,"wastewater/sludge"),exact(metadata!I363,"water"))))</f>
        <v>0</v>
      </c>
      <c r="AJ363">
        <f>IF(metadata!J363="",FALSE,TRUE)</f>
        <v>0</v>
      </c>
      <c r="AK363">
        <f>OR(AND(IF(metadata!K363="",FALSE,TRUE),OR(exact(metadata!K363,"missing: not collected"),exact(metadata!K363,"missing: not provided"),exact(metadata!K363,"missing: restricted access"))),AND(IF(metadata!K363="",FALSE,ISNUMBER(VALUE(metadata!K363))),metadata!K363&gt;=-90.00,metadata!K363&lt;=90.00))</f>
        <v>0</v>
      </c>
      <c r="AL363">
        <f>OR(AND(IF(metadata!L363="",FALSE,TRUE),OR(exact(metadata!L363,"missing: not collected"),exact(metadata!L363,"missing: not provided"),exact(metadata!L363,"missing: restricted access"))),AND(IF(metadata!L363="",FALSE,ISNUMBER(VALUE(metadata!L363))),metadata!L363&gt;=-180.00,metadata!L363&lt;=180.00))</f>
        <v>0</v>
      </c>
      <c r="AM363">
        <f>IF(metadata!M363="",FALSE,TRUE)</f>
        <v>0</v>
      </c>
      <c r="AN363">
        <f>OR(AND(IF(metadata!N363="",FALSE,TRUE),OR(exact(metadata!N363,"missing: not collected"),exact(metadata!N363,"missing: not provided"),exact(metadata!N363,"missing: restricted access"))),AND(IF(metadata!N363="",FALSE,TRUE),OR(exact(metadata!N363,"TRUE"),exact(metadata!N363,"FALSE"))))</f>
        <v>0</v>
      </c>
      <c r="AO363">
        <f>IF(metadata!O363="",FALSE,TRUE)</f>
        <v>0</v>
      </c>
      <c r="AP363">
        <f>OR(AND(IF(metadata!P363="",FALSE,TRUE),OR(exact(metadata!P363,"missing: not collected"),exact(metadata!P363,"missing: not provided"))),AND(IF(metadata!P363="",FALSE,IF(ISERROR(INT(metadata!P363)),FALSE,INT(metadata!P363)=metadata!P363)),metadata!P363&gt;0))</f>
        <v>0</v>
      </c>
      <c r="AQ363">
        <f>IF(metadata!Q363="",FALSE,TRUE)</f>
        <v>0</v>
      </c>
    </row>
    <row r="364" spans="1:43">
      <c r="A364" s="5">
        <f>IF(B364=" "," ",HYPERLINK(CONCATENATE("#metadata!",ADDRESS(INDEX($W$2:$W$1001,MATCH(ROWS($U$2:U364),$U$2:$U$1001,0),0),1)),INDEX($Z$2:$Z$1001,MATCH(ROWS($U$2:U364),$U$2:$U$1001,0),0)))</f>
        <v>0</v>
      </c>
      <c r="B364" s="4">
        <f>IF(OR(INDEX($V$2:$V$1001,MATCH(ROWS($U$2:U364),$U$2:$U$1001,0),1)&gt;=100000,INDEX($AB$1005:$AQ$1005,1,MATCH(COLUMNS($AB$1006:AB1006),$AB$1006:$AQ$1006,0))&gt;=100000), " ",IF(INDEX($AB$2:$AQ$1001,MATCH(ROWS($U$2:U364),$U$2:$U$1001,0),MATCH(COLUMNS($AB$1006:AB1006),$AB$1006:$AQ$1006,0)), HYPERLINK("#",""), HYPERLINK(CONCATENATE("#metadata!", ADDRESS(INDEX($W$2:$W$1001,MATCH(ROWS($U$2:U364),$U$2:$U$1001,0),0), INDEX($AB$1004:$AQ$1004,1,MATCH(COLUMNS($AB$1006:AB1006),$AB$1006:$AQ$1006,0)))),"Fix")))</f>
        <v>0</v>
      </c>
      <c r="C364" s="4">
        <f>IF(OR(INDEX($V$2:$V$1001,MATCH(ROWS($U$2:U364),$U$2:$U$1001,0),1)&gt;=100000,INDEX($AB$1005:$AQ$1005,1,MATCH(COLUMNS($AB$1006:AC1006),$AB$1006:$AQ$1006,0))&gt;=100000), " ",IF(INDEX($AB$2:$AQ$1001,MATCH(ROWS($U$2:U364),$U$2:$U$1001,0),MATCH(COLUMNS($AB$1006:AC1006),$AB$1006:$AQ$1006,0)), HYPERLINK("#",""), HYPERLINK(CONCATENATE("#metadata!", ADDRESS(INDEX($W$2:$W$1001,MATCH(ROWS($U$2:U364),$U$2:$U$1001,0),0), INDEX($AB$1004:$AQ$1004,1,MATCH(COLUMNS($AB$1006:AC1006),$AB$1006:$AQ$1006,0)))),"Fix")))</f>
        <v>0</v>
      </c>
      <c r="D364" s="4">
        <f>IF(OR(INDEX($V$2:$V$1001,MATCH(ROWS($U$2:U364),$U$2:$U$1001,0),1)&gt;=100000,INDEX($AB$1005:$AQ$1005,1,MATCH(COLUMNS($AB$1006:AD1006),$AB$1006:$AQ$1006,0))&gt;=100000), " ",IF(INDEX($AB$2:$AQ$1001,MATCH(ROWS($U$2:U364),$U$2:$U$1001,0),MATCH(COLUMNS($AB$1006:AD1006),$AB$1006:$AQ$1006,0)), HYPERLINK("#",""), HYPERLINK(CONCATENATE("#metadata!", ADDRESS(INDEX($W$2:$W$1001,MATCH(ROWS($U$2:U364),$U$2:$U$1001,0),0), INDEX($AB$1004:$AQ$1004,1,MATCH(COLUMNS($AB$1006:AD1006),$AB$1006:$AQ$1006,0)))),"Fix")))</f>
        <v>0</v>
      </c>
      <c r="E364" s="4">
        <f>IF(OR(INDEX($V$2:$V$1001,MATCH(ROWS($U$2:U364),$U$2:$U$1001,0),1)&gt;=100000,INDEX($AB$1005:$AQ$1005,1,MATCH(COLUMNS($AB$1006:AE1006),$AB$1006:$AQ$1006,0))&gt;=100000), " ",IF(INDEX($AB$2:$AQ$1001,MATCH(ROWS($U$2:U364),$U$2:$U$1001,0),MATCH(COLUMNS($AB$1006:AE1006),$AB$1006:$AQ$1006,0)), HYPERLINK("#",""), HYPERLINK(CONCATENATE("#metadata!", ADDRESS(INDEX($W$2:$W$1001,MATCH(ROWS($U$2:U364),$U$2:$U$1001,0),0), INDEX($AB$1004:$AQ$1004,1,MATCH(COLUMNS($AB$1006:AE1006),$AB$1006:$AQ$1006,0)))),"Fix")))</f>
        <v>0</v>
      </c>
      <c r="F364" s="4">
        <f>IF(OR(INDEX($V$2:$V$1001,MATCH(ROWS($U$2:U364),$U$2:$U$1001,0),1)&gt;=100000,INDEX($AB$1005:$AQ$1005,1,MATCH(COLUMNS($AB$1006:AF1006),$AB$1006:$AQ$1006,0))&gt;=100000), " ",IF(INDEX($AB$2:$AQ$1001,MATCH(ROWS($U$2:U364),$U$2:$U$1001,0),MATCH(COLUMNS($AB$1006:AF1006),$AB$1006:$AQ$1006,0)), HYPERLINK("#",""), HYPERLINK(CONCATENATE("#metadata!", ADDRESS(INDEX($W$2:$W$1001,MATCH(ROWS($U$2:U364),$U$2:$U$1001,0),0), INDEX($AB$1004:$AQ$1004,1,MATCH(COLUMNS($AB$1006:AF1006),$AB$1006:$AQ$1006,0)))),"Fix")))</f>
        <v>0</v>
      </c>
      <c r="G364" s="4">
        <f>IF(OR(INDEX($V$2:$V$1001,MATCH(ROWS($U$2:U364),$U$2:$U$1001,0),1)&gt;=100000,INDEX($AB$1005:$AQ$1005,1,MATCH(COLUMNS($AB$1006:AG1006),$AB$1006:$AQ$1006,0))&gt;=100000), " ",IF(INDEX($AB$2:$AQ$1001,MATCH(ROWS($U$2:U364),$U$2:$U$1001,0),MATCH(COLUMNS($AB$1006:AG1006),$AB$1006:$AQ$1006,0)), HYPERLINK("#",""), HYPERLINK(CONCATENATE("#metadata!", ADDRESS(INDEX($W$2:$W$1001,MATCH(ROWS($U$2:U364),$U$2:$U$1001,0),0), INDEX($AB$1004:$AQ$1004,1,MATCH(COLUMNS($AB$1006:AG1006),$AB$1006:$AQ$1006,0)))),"Fix")))</f>
        <v>0</v>
      </c>
      <c r="H364" s="4">
        <f>IF(OR(INDEX($V$2:$V$1001,MATCH(ROWS($U$2:U364),$U$2:$U$1001,0),1)&gt;=100000,INDEX($AB$1005:$AQ$1005,1,MATCH(COLUMNS($AB$1006:AH1006),$AB$1006:$AQ$1006,0))&gt;=100000), " ",IF(INDEX($AB$2:$AQ$1001,MATCH(ROWS($U$2:U364),$U$2:$U$1001,0),MATCH(COLUMNS($AB$1006:AH1006),$AB$1006:$AQ$1006,0)), HYPERLINK("#",""), HYPERLINK(CONCATENATE("#metadata!", ADDRESS(INDEX($W$2:$W$1001,MATCH(ROWS($U$2:U364),$U$2:$U$1001,0),0), INDEX($AB$1004:$AQ$1004,1,MATCH(COLUMNS($AB$1006:AH1006),$AB$1006:$AQ$1006,0)))),"Fix")))</f>
        <v>0</v>
      </c>
      <c r="I364" s="4">
        <f>IF(OR(INDEX($V$2:$V$1001,MATCH(ROWS($U$2:U364),$U$2:$U$1001,0),1)&gt;=100000,INDEX($AB$1005:$AQ$1005,1,MATCH(COLUMNS($AB$1006:AI1006),$AB$1006:$AQ$1006,0))&gt;=100000), " ",IF(INDEX($AB$2:$AQ$1001,MATCH(ROWS($U$2:U364),$U$2:$U$1001,0),MATCH(COLUMNS($AB$1006:AI1006),$AB$1006:$AQ$1006,0)), HYPERLINK("#",""), HYPERLINK(CONCATENATE("#metadata!", ADDRESS(INDEX($W$2:$W$1001,MATCH(ROWS($U$2:U364),$U$2:$U$1001,0),0), INDEX($AB$1004:$AQ$1004,1,MATCH(COLUMNS($AB$1006:AI1006),$AB$1006:$AQ$1006,0)))),"Fix")))</f>
        <v>0</v>
      </c>
      <c r="J364" s="4">
        <f>IF(OR(INDEX($V$2:$V$1001,MATCH(ROWS($U$2:U364),$U$2:$U$1001,0),1)&gt;=100000,INDEX($AB$1005:$AQ$1005,1,MATCH(COLUMNS($AB$1006:AJ1006),$AB$1006:$AQ$1006,0))&gt;=100000), " ",IF(INDEX($AB$2:$AQ$1001,MATCH(ROWS($U$2:U364),$U$2:$U$1001,0),MATCH(COLUMNS($AB$1006:AJ1006),$AB$1006:$AQ$1006,0)), HYPERLINK("#",""), HYPERLINK(CONCATENATE("#metadata!", ADDRESS(INDEX($W$2:$W$1001,MATCH(ROWS($U$2:U364),$U$2:$U$1001,0),0), INDEX($AB$1004:$AQ$1004,1,MATCH(COLUMNS($AB$1006:AJ1006),$AB$1006:$AQ$1006,0)))),"Fix")))</f>
        <v>0</v>
      </c>
      <c r="K364" s="4">
        <f>IF(OR(INDEX($V$2:$V$1001,MATCH(ROWS($U$2:U364),$U$2:$U$1001,0),1)&gt;=100000,INDEX($AB$1005:$AQ$1005,1,MATCH(COLUMNS($AB$1006:AK1006),$AB$1006:$AQ$1006,0))&gt;=100000), " ",IF(INDEX($AB$2:$AQ$1001,MATCH(ROWS($U$2:U364),$U$2:$U$1001,0),MATCH(COLUMNS($AB$1006:AK1006),$AB$1006:$AQ$1006,0)), HYPERLINK("#",""), HYPERLINK(CONCATENATE("#metadata!", ADDRESS(INDEX($W$2:$W$1001,MATCH(ROWS($U$2:U364),$U$2:$U$1001,0),0), INDEX($AB$1004:$AQ$1004,1,MATCH(COLUMNS($AB$1006:AK1006),$AB$1006:$AQ$1006,0)))),"Fix")))</f>
        <v>0</v>
      </c>
      <c r="L364" s="4">
        <f>IF(OR(INDEX($V$2:$V$1001,MATCH(ROWS($U$2:U364),$U$2:$U$1001,0),1)&gt;=100000,INDEX($AB$1005:$AQ$1005,1,MATCH(COLUMNS($AB$1006:AL1006),$AB$1006:$AQ$1006,0))&gt;=100000), " ",IF(INDEX($AB$2:$AQ$1001,MATCH(ROWS($U$2:U364),$U$2:$U$1001,0),MATCH(COLUMNS($AB$1006:AL1006),$AB$1006:$AQ$1006,0)), HYPERLINK("#",""), HYPERLINK(CONCATENATE("#metadata!", ADDRESS(INDEX($W$2:$W$1001,MATCH(ROWS($U$2:U364),$U$2:$U$1001,0),0), INDEX($AB$1004:$AQ$1004,1,MATCH(COLUMNS($AB$1006:AL1006),$AB$1006:$AQ$1006,0)))),"Fix")))</f>
        <v>0</v>
      </c>
      <c r="M364" s="4">
        <f>IF(OR(INDEX($V$2:$V$1001,MATCH(ROWS($U$2:U364),$U$2:$U$1001,0),1)&gt;=100000,INDEX($AB$1005:$AQ$1005,1,MATCH(COLUMNS($AB$1006:AM1006),$AB$1006:$AQ$1006,0))&gt;=100000), " ",IF(INDEX($AB$2:$AQ$1001,MATCH(ROWS($U$2:U364),$U$2:$U$1001,0),MATCH(COLUMNS($AB$1006:AM1006),$AB$1006:$AQ$1006,0)), HYPERLINK("#",""), HYPERLINK(CONCATENATE("#metadata!", ADDRESS(INDEX($W$2:$W$1001,MATCH(ROWS($U$2:U364),$U$2:$U$1001,0),0), INDEX($AB$1004:$AQ$1004,1,MATCH(COLUMNS($AB$1006:AM1006),$AB$1006:$AQ$1006,0)))),"Fix")))</f>
        <v>0</v>
      </c>
      <c r="N364" s="4">
        <f>IF(OR(INDEX($V$2:$V$1001,MATCH(ROWS($U$2:U364),$U$2:$U$1001,0),1)&gt;=100000,INDEX($AB$1005:$AQ$1005,1,MATCH(COLUMNS($AB$1006:AN1006),$AB$1006:$AQ$1006,0))&gt;=100000), " ",IF(INDEX($AB$2:$AQ$1001,MATCH(ROWS($U$2:U364),$U$2:$U$1001,0),MATCH(COLUMNS($AB$1006:AN1006),$AB$1006:$AQ$1006,0)), HYPERLINK("#",""), HYPERLINK(CONCATENATE("#metadata!", ADDRESS(INDEX($W$2:$W$1001,MATCH(ROWS($U$2:U364),$U$2:$U$1001,0),0), INDEX($AB$1004:$AQ$1004,1,MATCH(COLUMNS($AB$1006:AN1006),$AB$1006:$AQ$1006,0)))),"Fix")))</f>
        <v>0</v>
      </c>
      <c r="O364" s="4">
        <f>IF(OR(INDEX($V$2:$V$1001,MATCH(ROWS($U$2:U364),$U$2:$U$1001,0),1)&gt;=100000,INDEX($AB$1005:$AQ$1005,1,MATCH(COLUMNS($AB$1006:AO1006),$AB$1006:$AQ$1006,0))&gt;=100000), " ",IF(INDEX($AB$2:$AQ$1001,MATCH(ROWS($U$2:U364),$U$2:$U$1001,0),MATCH(COLUMNS($AB$1006:AO1006),$AB$1006:$AQ$1006,0)), HYPERLINK("#",""), HYPERLINK(CONCATENATE("#metadata!", ADDRESS(INDEX($W$2:$W$1001,MATCH(ROWS($U$2:U364),$U$2:$U$1001,0),0), INDEX($AB$1004:$AQ$1004,1,MATCH(COLUMNS($AB$1006:AO1006),$AB$1006:$AQ$1006,0)))),"Fix")))</f>
        <v>0</v>
      </c>
      <c r="P364" s="4">
        <f>IF(OR(INDEX($V$2:$V$1001,MATCH(ROWS($U$2:U364),$U$2:$U$1001,0),1)&gt;=100000,INDEX($AB$1005:$AQ$1005,1,MATCH(COLUMNS($AB$1006:AP1006),$AB$1006:$AQ$1006,0))&gt;=100000), " ",IF(INDEX($AB$2:$AQ$1001,MATCH(ROWS($U$2:U364),$U$2:$U$1001,0),MATCH(COLUMNS($AB$1006:AP1006),$AB$1006:$AQ$1006,0)), HYPERLINK("#",""), HYPERLINK(CONCATENATE("#metadata!", ADDRESS(INDEX($W$2:$W$1001,MATCH(ROWS($U$2:U364),$U$2:$U$1001,0),0), INDEX($AB$1004:$AQ$1004,1,MATCH(COLUMNS($AB$1006:AP1006),$AB$1006:$AQ$1006,0)))),"Fix")))</f>
        <v>0</v>
      </c>
      <c r="Q364" s="4">
        <f>IF(OR(INDEX($V$2:$V$1001,MATCH(ROWS($U$2:U364),$U$2:$U$1001,0),1)&gt;=100000,INDEX($AB$1005:$AQ$1005,1,MATCH(COLUMNS($AB$1006:AQ1006),$AB$1006:$AQ$1006,0))&gt;=100000), " ",IF(INDEX($AB$2:$AQ$1001,MATCH(ROWS($U$2:U364),$U$2:$U$1001,0),MATCH(COLUMNS($AB$1006:AQ1006),$AB$1006:$AQ$1006,0)), HYPERLINK("#",""), HYPERLINK(CONCATENATE("#metadata!", ADDRESS(INDEX($W$2:$W$1001,MATCH(ROWS($U$2:U364),$U$2:$U$1001,0),0), INDEX($AB$1004:$AQ$1004,1,MATCH(COLUMNS($AB$1006:AQ1006),$AB$1006:$AQ$1006,0)))),"Fix")))</f>
        <v>0</v>
      </c>
      <c r="U364">
        <v>0</v>
      </c>
      <c r="V364">
        <v>0</v>
      </c>
      <c r="W364">
        <v>0</v>
      </c>
      <c r="X364">
        <f>IF(Y364,TRUE,AND(AB364:AQ364))</f>
        <v>0</v>
      </c>
      <c r="Y364">
        <f>COUNTBLANK(metadata!B364:Q364)=COLUMNS(metadata!B364:Q364)</f>
        <v>0</v>
      </c>
      <c r="Z364">
        <v>0</v>
      </c>
      <c r="AB364">
        <f>AND(IF(metadata!B364="",FALSE,TRUE),COUNTIF(metadata!B:B, metadata!B364) = 1,NOT(ISERROR(SUMPRODUCT(SEARCH(MID(metadata!B364,ROW(INDIRECT("1:"&amp;LEN(metadata!B364))), 1),"0123456789abcdefghijklmnopqrstuvwxyzABCDEFGHIJKLMNOPQRSTUVWXYZ.")))))</f>
        <v>0</v>
      </c>
      <c r="AC364">
        <f>OR(AND(IF(metadata!C364="",FALSE,TRUE),OR(exact(metadata!C364,"missing: not collected"),exact(metadata!C364,"missing: not provided"),exact(metadata!C364,"missing: restricted access"))),AND(IF(metadata!C364="",FALSE,TRUE),AND(AND(IFERROR(INT(LEFT(metadata!C364,4))&gt;1900,FALSE),IFERROR(INT(LEFT(metadata!C364,4))&lt;=YEAR(NOW()),FALSE)), OR(MID(metadata!C364,5,1)="", AND(AND(MID(metadata!C364,5,1)="-",IFERROR(INT(MID(metadata!C364,6,1))&gt;=0,FALSE),IFERROR(INT(MID(metadata!C364,6,1))&lt;=1,FALSE),NOT(MID(metadata!C364,7,1)=""),IFERROR(INT(MID(metadata!C364,6,2))&gt;=1,FALSE),IFERROR(INT(MID(metadata!C364,6,2))&lt;=12,FALSE)), OR(MID(metadata!C364,8,1)="", AND(AND(MID(metadata!C364,8,1)="-",IFERROR(INT(MID(metadata!C364,9,1))&gt;=0,FALSE),IFERROR(INT(MID(metadata!C364,9,1))&lt;=3,FALSE),NOT(MID(metadata!C364,10,1)=""),IFERROR(INT(MID(metadata!C364,9,2))&gt;=1,FALSE),IFERROR(INT(MID(metadata!C364,9,2))&lt;=31,FALSE)), OR(MID(metadata!C364,11,1)="", AND(AND(MID(metadata!C364,11,1)=" ",IFERROR(INT(MID(metadata!C364,12,1))&gt;=0,FALSE),IFERROR(INT(MID(metadata!C364,12,1))&lt;=2,FALSE),NOT(MID(metadata!C364,13,1)=""),IFERROR(INT(MID(metadata!C364,12,2))&gt;=0,FALSE),IFERROR(INT(MID(metadata!C364,12,2))&lt;=23,FALSE)), OR(MID(metadata!C364,14,1)="", AND(AND(MID(metadata!C364,14,1)=":",IFERROR(INT(MID(metadata!C364,15,1))&gt;=0,FALSE),IFERROR(INT(MID(metadata!C364,15,1))&lt;=5,FALSE),NOT(MID(metadata!C364,16,1)=""),IFERROR(INT(MID(metadata!C364,15,2))&gt;=0,FALSE),IFERROR(INT(MID(metadata!C364,15,2))&lt;=59,FALSE)), OR(MID(metadata!C364,17,1)="", AND(AND(MID(metadata!C364,17,1)=":",IFERROR(INT(MID(metadata!C364,18,1))&gt;=0,FALSE),IFERROR(INT(MID(metadata!C364,18,1))&lt;=5,FALSE),NOT(MID(metadata!C364,19,1)=""),IFERROR(INT(MID(metadata!C364,18,2))&gt;=0,FALSE),IFERROR(INT(MID(metadata!C364,18,2))&lt;=59,FALSE)), LEN(metadata!C364)&lt;=19)))))))))))))</f>
        <v>0</v>
      </c>
      <c r="AD364">
        <f>IF(metadata!D364="",FALSE,TRUE)</f>
        <v>0</v>
      </c>
      <c r="AE364">
        <f>OR(AND(IF(metadata!E364="",FALSE,TRUE),OR(exact(metadata!E364,"missing: not collected"),exact(metadata!E364,"missing: not provided"))),AND(IF(metadata!E364="",FALSE,TRUE),OR(exact(metadata!E364,"TRUE"),exact(metadata!E364,"FALSE"))))</f>
        <v>0</v>
      </c>
      <c r="AF364">
        <f>IF(metadata!F364="",FALSE,TRUE)</f>
        <v>0</v>
      </c>
      <c r="AG364">
        <f>IF(metadata!G364="",FALSE,TRUE)</f>
        <v>0</v>
      </c>
      <c r="AH364">
        <f>IF(metadata!H364="",FALSE,TRUE)</f>
        <v>0</v>
      </c>
      <c r="AI364">
        <f>OR(AND(IF(metadata!I364="",FALSE,TRUE),OR(exact(metadata!I364,"missing: not collected"),exact(metadata!I364,"missing: not provided"),exact(metadata!I364,"missing: restricted access"))),AND(IF(metadata!I364="",FALSE,TRUE),OR(exact(metadata!I364,"air"),exact(metadata!I364,"built environment"),exact(metadata!I364,"host-associated"),exact(metadata!I364,"human-associated"),exact(metadata!I364,"human-skin"),exact(metadata!I364,"human-oral"),exact(metadata!I364,"human-gut"),exact(metadata!I364,"human-vaginal"),exact(metadata!I364,"microbial mat/biofilm"),exact(metadata!I364,"misc environment"),exact(metadata!I364,"plant-associated"),exact(metadata!I364,"sediment"),exact(metadata!I364,"soil"),exact(metadata!I364,"wastewater/sludge"),exact(metadata!I364,"water"))))</f>
        <v>0</v>
      </c>
      <c r="AJ364">
        <f>IF(metadata!J364="",FALSE,TRUE)</f>
        <v>0</v>
      </c>
      <c r="AK364">
        <f>OR(AND(IF(metadata!K364="",FALSE,TRUE),OR(exact(metadata!K364,"missing: not collected"),exact(metadata!K364,"missing: not provided"),exact(metadata!K364,"missing: restricted access"))),AND(IF(metadata!K364="",FALSE,ISNUMBER(VALUE(metadata!K364))),metadata!K364&gt;=-90.00,metadata!K364&lt;=90.00))</f>
        <v>0</v>
      </c>
      <c r="AL364">
        <f>OR(AND(IF(metadata!L364="",FALSE,TRUE),OR(exact(metadata!L364,"missing: not collected"),exact(metadata!L364,"missing: not provided"),exact(metadata!L364,"missing: restricted access"))),AND(IF(metadata!L364="",FALSE,ISNUMBER(VALUE(metadata!L364))),metadata!L364&gt;=-180.00,metadata!L364&lt;=180.00))</f>
        <v>0</v>
      </c>
      <c r="AM364">
        <f>IF(metadata!M364="",FALSE,TRUE)</f>
        <v>0</v>
      </c>
      <c r="AN364">
        <f>OR(AND(IF(metadata!N364="",FALSE,TRUE),OR(exact(metadata!N364,"missing: not collected"),exact(metadata!N364,"missing: not provided"),exact(metadata!N364,"missing: restricted access"))),AND(IF(metadata!N364="",FALSE,TRUE),OR(exact(metadata!N364,"TRUE"),exact(metadata!N364,"FALSE"))))</f>
        <v>0</v>
      </c>
      <c r="AO364">
        <f>IF(metadata!O364="",FALSE,TRUE)</f>
        <v>0</v>
      </c>
      <c r="AP364">
        <f>OR(AND(IF(metadata!P364="",FALSE,TRUE),OR(exact(metadata!P364,"missing: not collected"),exact(metadata!P364,"missing: not provided"))),AND(IF(metadata!P364="",FALSE,IF(ISERROR(INT(metadata!P364)),FALSE,INT(metadata!P364)=metadata!P364)),metadata!P364&gt;0))</f>
        <v>0</v>
      </c>
      <c r="AQ364">
        <f>IF(metadata!Q364="",FALSE,TRUE)</f>
        <v>0</v>
      </c>
    </row>
    <row r="365" spans="1:43">
      <c r="A365" s="5">
        <f>IF(B365=" "," ",HYPERLINK(CONCATENATE("#metadata!",ADDRESS(INDEX($W$2:$W$1001,MATCH(ROWS($U$2:U365),$U$2:$U$1001,0),0),1)),INDEX($Z$2:$Z$1001,MATCH(ROWS($U$2:U365),$U$2:$U$1001,0),0)))</f>
        <v>0</v>
      </c>
      <c r="B365" s="4">
        <f>IF(OR(INDEX($V$2:$V$1001,MATCH(ROWS($U$2:U365),$U$2:$U$1001,0),1)&gt;=100000,INDEX($AB$1005:$AQ$1005,1,MATCH(COLUMNS($AB$1006:AB1006),$AB$1006:$AQ$1006,0))&gt;=100000), " ",IF(INDEX($AB$2:$AQ$1001,MATCH(ROWS($U$2:U365),$U$2:$U$1001,0),MATCH(COLUMNS($AB$1006:AB1006),$AB$1006:$AQ$1006,0)), HYPERLINK("#",""), HYPERLINK(CONCATENATE("#metadata!", ADDRESS(INDEX($W$2:$W$1001,MATCH(ROWS($U$2:U365),$U$2:$U$1001,0),0), INDEX($AB$1004:$AQ$1004,1,MATCH(COLUMNS($AB$1006:AB1006),$AB$1006:$AQ$1006,0)))),"Fix")))</f>
        <v>0</v>
      </c>
      <c r="C365" s="4">
        <f>IF(OR(INDEX($V$2:$V$1001,MATCH(ROWS($U$2:U365),$U$2:$U$1001,0),1)&gt;=100000,INDEX($AB$1005:$AQ$1005,1,MATCH(COLUMNS($AB$1006:AC1006),$AB$1006:$AQ$1006,0))&gt;=100000), " ",IF(INDEX($AB$2:$AQ$1001,MATCH(ROWS($U$2:U365),$U$2:$U$1001,0),MATCH(COLUMNS($AB$1006:AC1006),$AB$1006:$AQ$1006,0)), HYPERLINK("#",""), HYPERLINK(CONCATENATE("#metadata!", ADDRESS(INDEX($W$2:$W$1001,MATCH(ROWS($U$2:U365),$U$2:$U$1001,0),0), INDEX($AB$1004:$AQ$1004,1,MATCH(COLUMNS($AB$1006:AC1006),$AB$1006:$AQ$1006,0)))),"Fix")))</f>
        <v>0</v>
      </c>
      <c r="D365" s="4">
        <f>IF(OR(INDEX($V$2:$V$1001,MATCH(ROWS($U$2:U365),$U$2:$U$1001,0),1)&gt;=100000,INDEX($AB$1005:$AQ$1005,1,MATCH(COLUMNS($AB$1006:AD1006),$AB$1006:$AQ$1006,0))&gt;=100000), " ",IF(INDEX($AB$2:$AQ$1001,MATCH(ROWS($U$2:U365),$U$2:$U$1001,0),MATCH(COLUMNS($AB$1006:AD1006),$AB$1006:$AQ$1006,0)), HYPERLINK("#",""), HYPERLINK(CONCATENATE("#metadata!", ADDRESS(INDEX($W$2:$W$1001,MATCH(ROWS($U$2:U365),$U$2:$U$1001,0),0), INDEX($AB$1004:$AQ$1004,1,MATCH(COLUMNS($AB$1006:AD1006),$AB$1006:$AQ$1006,0)))),"Fix")))</f>
        <v>0</v>
      </c>
      <c r="E365" s="4">
        <f>IF(OR(INDEX($V$2:$V$1001,MATCH(ROWS($U$2:U365),$U$2:$U$1001,0),1)&gt;=100000,INDEX($AB$1005:$AQ$1005,1,MATCH(COLUMNS($AB$1006:AE1006),$AB$1006:$AQ$1006,0))&gt;=100000), " ",IF(INDEX($AB$2:$AQ$1001,MATCH(ROWS($U$2:U365),$U$2:$U$1001,0),MATCH(COLUMNS($AB$1006:AE1006),$AB$1006:$AQ$1006,0)), HYPERLINK("#",""), HYPERLINK(CONCATENATE("#metadata!", ADDRESS(INDEX($W$2:$W$1001,MATCH(ROWS($U$2:U365),$U$2:$U$1001,0),0), INDEX($AB$1004:$AQ$1004,1,MATCH(COLUMNS($AB$1006:AE1006),$AB$1006:$AQ$1006,0)))),"Fix")))</f>
        <v>0</v>
      </c>
      <c r="F365" s="4">
        <f>IF(OR(INDEX($V$2:$V$1001,MATCH(ROWS($U$2:U365),$U$2:$U$1001,0),1)&gt;=100000,INDEX($AB$1005:$AQ$1005,1,MATCH(COLUMNS($AB$1006:AF1006),$AB$1006:$AQ$1006,0))&gt;=100000), " ",IF(INDEX($AB$2:$AQ$1001,MATCH(ROWS($U$2:U365),$U$2:$U$1001,0),MATCH(COLUMNS($AB$1006:AF1006),$AB$1006:$AQ$1006,0)), HYPERLINK("#",""), HYPERLINK(CONCATENATE("#metadata!", ADDRESS(INDEX($W$2:$W$1001,MATCH(ROWS($U$2:U365),$U$2:$U$1001,0),0), INDEX($AB$1004:$AQ$1004,1,MATCH(COLUMNS($AB$1006:AF1006),$AB$1006:$AQ$1006,0)))),"Fix")))</f>
        <v>0</v>
      </c>
      <c r="G365" s="4">
        <f>IF(OR(INDEX($V$2:$V$1001,MATCH(ROWS($U$2:U365),$U$2:$U$1001,0),1)&gt;=100000,INDEX($AB$1005:$AQ$1005,1,MATCH(COLUMNS($AB$1006:AG1006),$AB$1006:$AQ$1006,0))&gt;=100000), " ",IF(INDEX($AB$2:$AQ$1001,MATCH(ROWS($U$2:U365),$U$2:$U$1001,0),MATCH(COLUMNS($AB$1006:AG1006),$AB$1006:$AQ$1006,0)), HYPERLINK("#",""), HYPERLINK(CONCATENATE("#metadata!", ADDRESS(INDEX($W$2:$W$1001,MATCH(ROWS($U$2:U365),$U$2:$U$1001,0),0), INDEX($AB$1004:$AQ$1004,1,MATCH(COLUMNS($AB$1006:AG1006),$AB$1006:$AQ$1006,0)))),"Fix")))</f>
        <v>0</v>
      </c>
      <c r="H365" s="4">
        <f>IF(OR(INDEX($V$2:$V$1001,MATCH(ROWS($U$2:U365),$U$2:$U$1001,0),1)&gt;=100000,INDEX($AB$1005:$AQ$1005,1,MATCH(COLUMNS($AB$1006:AH1006),$AB$1006:$AQ$1006,0))&gt;=100000), " ",IF(INDEX($AB$2:$AQ$1001,MATCH(ROWS($U$2:U365),$U$2:$U$1001,0),MATCH(COLUMNS($AB$1006:AH1006),$AB$1006:$AQ$1006,0)), HYPERLINK("#",""), HYPERLINK(CONCATENATE("#metadata!", ADDRESS(INDEX($W$2:$W$1001,MATCH(ROWS($U$2:U365),$U$2:$U$1001,0),0), INDEX($AB$1004:$AQ$1004,1,MATCH(COLUMNS($AB$1006:AH1006),$AB$1006:$AQ$1006,0)))),"Fix")))</f>
        <v>0</v>
      </c>
      <c r="I365" s="4">
        <f>IF(OR(INDEX($V$2:$V$1001,MATCH(ROWS($U$2:U365),$U$2:$U$1001,0),1)&gt;=100000,INDEX($AB$1005:$AQ$1005,1,MATCH(COLUMNS($AB$1006:AI1006),$AB$1006:$AQ$1006,0))&gt;=100000), " ",IF(INDEX($AB$2:$AQ$1001,MATCH(ROWS($U$2:U365),$U$2:$U$1001,0),MATCH(COLUMNS($AB$1006:AI1006),$AB$1006:$AQ$1006,0)), HYPERLINK("#",""), HYPERLINK(CONCATENATE("#metadata!", ADDRESS(INDEX($W$2:$W$1001,MATCH(ROWS($U$2:U365),$U$2:$U$1001,0),0), INDEX($AB$1004:$AQ$1004,1,MATCH(COLUMNS($AB$1006:AI1006),$AB$1006:$AQ$1006,0)))),"Fix")))</f>
        <v>0</v>
      </c>
      <c r="J365" s="4">
        <f>IF(OR(INDEX($V$2:$V$1001,MATCH(ROWS($U$2:U365),$U$2:$U$1001,0),1)&gt;=100000,INDEX($AB$1005:$AQ$1005,1,MATCH(COLUMNS($AB$1006:AJ1006),$AB$1006:$AQ$1006,0))&gt;=100000), " ",IF(INDEX($AB$2:$AQ$1001,MATCH(ROWS($U$2:U365),$U$2:$U$1001,0),MATCH(COLUMNS($AB$1006:AJ1006),$AB$1006:$AQ$1006,0)), HYPERLINK("#",""), HYPERLINK(CONCATENATE("#metadata!", ADDRESS(INDEX($W$2:$W$1001,MATCH(ROWS($U$2:U365),$U$2:$U$1001,0),0), INDEX($AB$1004:$AQ$1004,1,MATCH(COLUMNS($AB$1006:AJ1006),$AB$1006:$AQ$1006,0)))),"Fix")))</f>
        <v>0</v>
      </c>
      <c r="K365" s="4">
        <f>IF(OR(INDEX($V$2:$V$1001,MATCH(ROWS($U$2:U365),$U$2:$U$1001,0),1)&gt;=100000,INDEX($AB$1005:$AQ$1005,1,MATCH(COLUMNS($AB$1006:AK1006),$AB$1006:$AQ$1006,0))&gt;=100000), " ",IF(INDEX($AB$2:$AQ$1001,MATCH(ROWS($U$2:U365),$U$2:$U$1001,0),MATCH(COLUMNS($AB$1006:AK1006),$AB$1006:$AQ$1006,0)), HYPERLINK("#",""), HYPERLINK(CONCATENATE("#metadata!", ADDRESS(INDEX($W$2:$W$1001,MATCH(ROWS($U$2:U365),$U$2:$U$1001,0),0), INDEX($AB$1004:$AQ$1004,1,MATCH(COLUMNS($AB$1006:AK1006),$AB$1006:$AQ$1006,0)))),"Fix")))</f>
        <v>0</v>
      </c>
      <c r="L365" s="4">
        <f>IF(OR(INDEX($V$2:$V$1001,MATCH(ROWS($U$2:U365),$U$2:$U$1001,0),1)&gt;=100000,INDEX($AB$1005:$AQ$1005,1,MATCH(COLUMNS($AB$1006:AL1006),$AB$1006:$AQ$1006,0))&gt;=100000), " ",IF(INDEX($AB$2:$AQ$1001,MATCH(ROWS($U$2:U365),$U$2:$U$1001,0),MATCH(COLUMNS($AB$1006:AL1006),$AB$1006:$AQ$1006,0)), HYPERLINK("#",""), HYPERLINK(CONCATENATE("#metadata!", ADDRESS(INDEX($W$2:$W$1001,MATCH(ROWS($U$2:U365),$U$2:$U$1001,0),0), INDEX($AB$1004:$AQ$1004,1,MATCH(COLUMNS($AB$1006:AL1006),$AB$1006:$AQ$1006,0)))),"Fix")))</f>
        <v>0</v>
      </c>
      <c r="M365" s="4">
        <f>IF(OR(INDEX($V$2:$V$1001,MATCH(ROWS($U$2:U365),$U$2:$U$1001,0),1)&gt;=100000,INDEX($AB$1005:$AQ$1005,1,MATCH(COLUMNS($AB$1006:AM1006),$AB$1006:$AQ$1006,0))&gt;=100000), " ",IF(INDEX($AB$2:$AQ$1001,MATCH(ROWS($U$2:U365),$U$2:$U$1001,0),MATCH(COLUMNS($AB$1006:AM1006),$AB$1006:$AQ$1006,0)), HYPERLINK("#",""), HYPERLINK(CONCATENATE("#metadata!", ADDRESS(INDEX($W$2:$W$1001,MATCH(ROWS($U$2:U365),$U$2:$U$1001,0),0), INDEX($AB$1004:$AQ$1004,1,MATCH(COLUMNS($AB$1006:AM1006),$AB$1006:$AQ$1006,0)))),"Fix")))</f>
        <v>0</v>
      </c>
      <c r="N365" s="4">
        <f>IF(OR(INDEX($V$2:$V$1001,MATCH(ROWS($U$2:U365),$U$2:$U$1001,0),1)&gt;=100000,INDEX($AB$1005:$AQ$1005,1,MATCH(COLUMNS($AB$1006:AN1006),$AB$1006:$AQ$1006,0))&gt;=100000), " ",IF(INDEX($AB$2:$AQ$1001,MATCH(ROWS($U$2:U365),$U$2:$U$1001,0),MATCH(COLUMNS($AB$1006:AN1006),$AB$1006:$AQ$1006,0)), HYPERLINK("#",""), HYPERLINK(CONCATENATE("#metadata!", ADDRESS(INDEX($W$2:$W$1001,MATCH(ROWS($U$2:U365),$U$2:$U$1001,0),0), INDEX($AB$1004:$AQ$1004,1,MATCH(COLUMNS($AB$1006:AN1006),$AB$1006:$AQ$1006,0)))),"Fix")))</f>
        <v>0</v>
      </c>
      <c r="O365" s="4">
        <f>IF(OR(INDEX($V$2:$V$1001,MATCH(ROWS($U$2:U365),$U$2:$U$1001,0),1)&gt;=100000,INDEX($AB$1005:$AQ$1005,1,MATCH(COLUMNS($AB$1006:AO1006),$AB$1006:$AQ$1006,0))&gt;=100000), " ",IF(INDEX($AB$2:$AQ$1001,MATCH(ROWS($U$2:U365),$U$2:$U$1001,0),MATCH(COLUMNS($AB$1006:AO1006),$AB$1006:$AQ$1006,0)), HYPERLINK("#",""), HYPERLINK(CONCATENATE("#metadata!", ADDRESS(INDEX($W$2:$W$1001,MATCH(ROWS($U$2:U365),$U$2:$U$1001,0),0), INDEX($AB$1004:$AQ$1004,1,MATCH(COLUMNS($AB$1006:AO1006),$AB$1006:$AQ$1006,0)))),"Fix")))</f>
        <v>0</v>
      </c>
      <c r="P365" s="4">
        <f>IF(OR(INDEX($V$2:$V$1001,MATCH(ROWS($U$2:U365),$U$2:$U$1001,0),1)&gt;=100000,INDEX($AB$1005:$AQ$1005,1,MATCH(COLUMNS($AB$1006:AP1006),$AB$1006:$AQ$1006,0))&gt;=100000), " ",IF(INDEX($AB$2:$AQ$1001,MATCH(ROWS($U$2:U365),$U$2:$U$1001,0),MATCH(COLUMNS($AB$1006:AP1006),$AB$1006:$AQ$1006,0)), HYPERLINK("#",""), HYPERLINK(CONCATENATE("#metadata!", ADDRESS(INDEX($W$2:$W$1001,MATCH(ROWS($U$2:U365),$U$2:$U$1001,0),0), INDEX($AB$1004:$AQ$1004,1,MATCH(COLUMNS($AB$1006:AP1006),$AB$1006:$AQ$1006,0)))),"Fix")))</f>
        <v>0</v>
      </c>
      <c r="Q365" s="4">
        <f>IF(OR(INDEX($V$2:$V$1001,MATCH(ROWS($U$2:U365),$U$2:$U$1001,0),1)&gt;=100000,INDEX($AB$1005:$AQ$1005,1,MATCH(COLUMNS($AB$1006:AQ1006),$AB$1006:$AQ$1006,0))&gt;=100000), " ",IF(INDEX($AB$2:$AQ$1001,MATCH(ROWS($U$2:U365),$U$2:$U$1001,0),MATCH(COLUMNS($AB$1006:AQ1006),$AB$1006:$AQ$1006,0)), HYPERLINK("#",""), HYPERLINK(CONCATENATE("#metadata!", ADDRESS(INDEX($W$2:$W$1001,MATCH(ROWS($U$2:U365),$U$2:$U$1001,0),0), INDEX($AB$1004:$AQ$1004,1,MATCH(COLUMNS($AB$1006:AQ1006),$AB$1006:$AQ$1006,0)))),"Fix")))</f>
        <v>0</v>
      </c>
      <c r="U365">
        <v>0</v>
      </c>
      <c r="V365">
        <v>0</v>
      </c>
      <c r="W365">
        <v>0</v>
      </c>
      <c r="X365">
        <f>IF(Y365,TRUE,AND(AB365:AQ365))</f>
        <v>0</v>
      </c>
      <c r="Y365">
        <f>COUNTBLANK(metadata!B365:Q365)=COLUMNS(metadata!B365:Q365)</f>
        <v>0</v>
      </c>
      <c r="Z365">
        <v>0</v>
      </c>
      <c r="AB365">
        <f>AND(IF(metadata!B365="",FALSE,TRUE),COUNTIF(metadata!B:B, metadata!B365) = 1,NOT(ISERROR(SUMPRODUCT(SEARCH(MID(metadata!B365,ROW(INDIRECT("1:"&amp;LEN(metadata!B365))), 1),"0123456789abcdefghijklmnopqrstuvwxyzABCDEFGHIJKLMNOPQRSTUVWXYZ.")))))</f>
        <v>0</v>
      </c>
      <c r="AC365">
        <f>OR(AND(IF(metadata!C365="",FALSE,TRUE),OR(exact(metadata!C365,"missing: not collected"),exact(metadata!C365,"missing: not provided"),exact(metadata!C365,"missing: restricted access"))),AND(IF(metadata!C365="",FALSE,TRUE),AND(AND(IFERROR(INT(LEFT(metadata!C365,4))&gt;1900,FALSE),IFERROR(INT(LEFT(metadata!C365,4))&lt;=YEAR(NOW()),FALSE)), OR(MID(metadata!C365,5,1)="", AND(AND(MID(metadata!C365,5,1)="-",IFERROR(INT(MID(metadata!C365,6,1))&gt;=0,FALSE),IFERROR(INT(MID(metadata!C365,6,1))&lt;=1,FALSE),NOT(MID(metadata!C365,7,1)=""),IFERROR(INT(MID(metadata!C365,6,2))&gt;=1,FALSE),IFERROR(INT(MID(metadata!C365,6,2))&lt;=12,FALSE)), OR(MID(metadata!C365,8,1)="", AND(AND(MID(metadata!C365,8,1)="-",IFERROR(INT(MID(metadata!C365,9,1))&gt;=0,FALSE),IFERROR(INT(MID(metadata!C365,9,1))&lt;=3,FALSE),NOT(MID(metadata!C365,10,1)=""),IFERROR(INT(MID(metadata!C365,9,2))&gt;=1,FALSE),IFERROR(INT(MID(metadata!C365,9,2))&lt;=31,FALSE)), OR(MID(metadata!C365,11,1)="", AND(AND(MID(metadata!C365,11,1)=" ",IFERROR(INT(MID(metadata!C365,12,1))&gt;=0,FALSE),IFERROR(INT(MID(metadata!C365,12,1))&lt;=2,FALSE),NOT(MID(metadata!C365,13,1)=""),IFERROR(INT(MID(metadata!C365,12,2))&gt;=0,FALSE),IFERROR(INT(MID(metadata!C365,12,2))&lt;=23,FALSE)), OR(MID(metadata!C365,14,1)="", AND(AND(MID(metadata!C365,14,1)=":",IFERROR(INT(MID(metadata!C365,15,1))&gt;=0,FALSE),IFERROR(INT(MID(metadata!C365,15,1))&lt;=5,FALSE),NOT(MID(metadata!C365,16,1)=""),IFERROR(INT(MID(metadata!C365,15,2))&gt;=0,FALSE),IFERROR(INT(MID(metadata!C365,15,2))&lt;=59,FALSE)), OR(MID(metadata!C365,17,1)="", AND(AND(MID(metadata!C365,17,1)=":",IFERROR(INT(MID(metadata!C365,18,1))&gt;=0,FALSE),IFERROR(INT(MID(metadata!C365,18,1))&lt;=5,FALSE),NOT(MID(metadata!C365,19,1)=""),IFERROR(INT(MID(metadata!C365,18,2))&gt;=0,FALSE),IFERROR(INT(MID(metadata!C365,18,2))&lt;=59,FALSE)), LEN(metadata!C365)&lt;=19)))))))))))))</f>
        <v>0</v>
      </c>
      <c r="AD365">
        <f>IF(metadata!D365="",FALSE,TRUE)</f>
        <v>0</v>
      </c>
      <c r="AE365">
        <f>OR(AND(IF(metadata!E365="",FALSE,TRUE),OR(exact(metadata!E365,"missing: not collected"),exact(metadata!E365,"missing: not provided"))),AND(IF(metadata!E365="",FALSE,TRUE),OR(exact(metadata!E365,"TRUE"),exact(metadata!E365,"FALSE"))))</f>
        <v>0</v>
      </c>
      <c r="AF365">
        <f>IF(metadata!F365="",FALSE,TRUE)</f>
        <v>0</v>
      </c>
      <c r="AG365">
        <f>IF(metadata!G365="",FALSE,TRUE)</f>
        <v>0</v>
      </c>
      <c r="AH365">
        <f>IF(metadata!H365="",FALSE,TRUE)</f>
        <v>0</v>
      </c>
      <c r="AI365">
        <f>OR(AND(IF(metadata!I365="",FALSE,TRUE),OR(exact(metadata!I365,"missing: not collected"),exact(metadata!I365,"missing: not provided"),exact(metadata!I365,"missing: restricted access"))),AND(IF(metadata!I365="",FALSE,TRUE),OR(exact(metadata!I365,"air"),exact(metadata!I365,"built environment"),exact(metadata!I365,"host-associated"),exact(metadata!I365,"human-associated"),exact(metadata!I365,"human-skin"),exact(metadata!I365,"human-oral"),exact(metadata!I365,"human-gut"),exact(metadata!I365,"human-vaginal"),exact(metadata!I365,"microbial mat/biofilm"),exact(metadata!I365,"misc environment"),exact(metadata!I365,"plant-associated"),exact(metadata!I365,"sediment"),exact(metadata!I365,"soil"),exact(metadata!I365,"wastewater/sludge"),exact(metadata!I365,"water"))))</f>
        <v>0</v>
      </c>
      <c r="AJ365">
        <f>IF(metadata!J365="",FALSE,TRUE)</f>
        <v>0</v>
      </c>
      <c r="AK365">
        <f>OR(AND(IF(metadata!K365="",FALSE,TRUE),OR(exact(metadata!K365,"missing: not collected"),exact(metadata!K365,"missing: not provided"),exact(metadata!K365,"missing: restricted access"))),AND(IF(metadata!K365="",FALSE,ISNUMBER(VALUE(metadata!K365))),metadata!K365&gt;=-90.00,metadata!K365&lt;=90.00))</f>
        <v>0</v>
      </c>
      <c r="AL365">
        <f>OR(AND(IF(metadata!L365="",FALSE,TRUE),OR(exact(metadata!L365,"missing: not collected"),exact(metadata!L365,"missing: not provided"),exact(metadata!L365,"missing: restricted access"))),AND(IF(metadata!L365="",FALSE,ISNUMBER(VALUE(metadata!L365))),metadata!L365&gt;=-180.00,metadata!L365&lt;=180.00))</f>
        <v>0</v>
      </c>
      <c r="AM365">
        <f>IF(metadata!M365="",FALSE,TRUE)</f>
        <v>0</v>
      </c>
      <c r="AN365">
        <f>OR(AND(IF(metadata!N365="",FALSE,TRUE),OR(exact(metadata!N365,"missing: not collected"),exact(metadata!N365,"missing: not provided"),exact(metadata!N365,"missing: restricted access"))),AND(IF(metadata!N365="",FALSE,TRUE),OR(exact(metadata!N365,"TRUE"),exact(metadata!N365,"FALSE"))))</f>
        <v>0</v>
      </c>
      <c r="AO365">
        <f>IF(metadata!O365="",FALSE,TRUE)</f>
        <v>0</v>
      </c>
      <c r="AP365">
        <f>OR(AND(IF(metadata!P365="",FALSE,TRUE),OR(exact(metadata!P365,"missing: not collected"),exact(metadata!P365,"missing: not provided"))),AND(IF(metadata!P365="",FALSE,IF(ISERROR(INT(metadata!P365)),FALSE,INT(metadata!P365)=metadata!P365)),metadata!P365&gt;0))</f>
        <v>0</v>
      </c>
      <c r="AQ365">
        <f>IF(metadata!Q365="",FALSE,TRUE)</f>
        <v>0</v>
      </c>
    </row>
    <row r="366" spans="1:43">
      <c r="A366" s="5">
        <f>IF(B366=" "," ",HYPERLINK(CONCATENATE("#metadata!",ADDRESS(INDEX($W$2:$W$1001,MATCH(ROWS($U$2:U366),$U$2:$U$1001,0),0),1)),INDEX($Z$2:$Z$1001,MATCH(ROWS($U$2:U366),$U$2:$U$1001,0),0)))</f>
        <v>0</v>
      </c>
      <c r="B366" s="4">
        <f>IF(OR(INDEX($V$2:$V$1001,MATCH(ROWS($U$2:U366),$U$2:$U$1001,0),1)&gt;=100000,INDEX($AB$1005:$AQ$1005,1,MATCH(COLUMNS($AB$1006:AB1006),$AB$1006:$AQ$1006,0))&gt;=100000), " ",IF(INDEX($AB$2:$AQ$1001,MATCH(ROWS($U$2:U366),$U$2:$U$1001,0),MATCH(COLUMNS($AB$1006:AB1006),$AB$1006:$AQ$1006,0)), HYPERLINK("#",""), HYPERLINK(CONCATENATE("#metadata!", ADDRESS(INDEX($W$2:$W$1001,MATCH(ROWS($U$2:U366),$U$2:$U$1001,0),0), INDEX($AB$1004:$AQ$1004,1,MATCH(COLUMNS($AB$1006:AB1006),$AB$1006:$AQ$1006,0)))),"Fix")))</f>
        <v>0</v>
      </c>
      <c r="C366" s="4">
        <f>IF(OR(INDEX($V$2:$V$1001,MATCH(ROWS($U$2:U366),$U$2:$U$1001,0),1)&gt;=100000,INDEX($AB$1005:$AQ$1005,1,MATCH(COLUMNS($AB$1006:AC1006),$AB$1006:$AQ$1006,0))&gt;=100000), " ",IF(INDEX($AB$2:$AQ$1001,MATCH(ROWS($U$2:U366),$U$2:$U$1001,0),MATCH(COLUMNS($AB$1006:AC1006),$AB$1006:$AQ$1006,0)), HYPERLINK("#",""), HYPERLINK(CONCATENATE("#metadata!", ADDRESS(INDEX($W$2:$W$1001,MATCH(ROWS($U$2:U366),$U$2:$U$1001,0),0), INDEX($AB$1004:$AQ$1004,1,MATCH(COLUMNS($AB$1006:AC1006),$AB$1006:$AQ$1006,0)))),"Fix")))</f>
        <v>0</v>
      </c>
      <c r="D366" s="4">
        <f>IF(OR(INDEX($V$2:$V$1001,MATCH(ROWS($U$2:U366),$U$2:$U$1001,0),1)&gt;=100000,INDEX($AB$1005:$AQ$1005,1,MATCH(COLUMNS($AB$1006:AD1006),$AB$1006:$AQ$1006,0))&gt;=100000), " ",IF(INDEX($AB$2:$AQ$1001,MATCH(ROWS($U$2:U366),$U$2:$U$1001,0),MATCH(COLUMNS($AB$1006:AD1006),$AB$1006:$AQ$1006,0)), HYPERLINK("#",""), HYPERLINK(CONCATENATE("#metadata!", ADDRESS(INDEX($W$2:$W$1001,MATCH(ROWS($U$2:U366),$U$2:$U$1001,0),0), INDEX($AB$1004:$AQ$1004,1,MATCH(COLUMNS($AB$1006:AD1006),$AB$1006:$AQ$1006,0)))),"Fix")))</f>
        <v>0</v>
      </c>
      <c r="E366" s="4">
        <f>IF(OR(INDEX($V$2:$V$1001,MATCH(ROWS($U$2:U366),$U$2:$U$1001,0),1)&gt;=100000,INDEX($AB$1005:$AQ$1005,1,MATCH(COLUMNS($AB$1006:AE1006),$AB$1006:$AQ$1006,0))&gt;=100000), " ",IF(INDEX($AB$2:$AQ$1001,MATCH(ROWS($U$2:U366),$U$2:$U$1001,0),MATCH(COLUMNS($AB$1006:AE1006),$AB$1006:$AQ$1006,0)), HYPERLINK("#",""), HYPERLINK(CONCATENATE("#metadata!", ADDRESS(INDEX($W$2:$W$1001,MATCH(ROWS($U$2:U366),$U$2:$U$1001,0),0), INDEX($AB$1004:$AQ$1004,1,MATCH(COLUMNS($AB$1006:AE1006),$AB$1006:$AQ$1006,0)))),"Fix")))</f>
        <v>0</v>
      </c>
      <c r="F366" s="4">
        <f>IF(OR(INDEX($V$2:$V$1001,MATCH(ROWS($U$2:U366),$U$2:$U$1001,0),1)&gt;=100000,INDEX($AB$1005:$AQ$1005,1,MATCH(COLUMNS($AB$1006:AF1006),$AB$1006:$AQ$1006,0))&gt;=100000), " ",IF(INDEX($AB$2:$AQ$1001,MATCH(ROWS($U$2:U366),$U$2:$U$1001,0),MATCH(COLUMNS($AB$1006:AF1006),$AB$1006:$AQ$1006,0)), HYPERLINK("#",""), HYPERLINK(CONCATENATE("#metadata!", ADDRESS(INDEX($W$2:$W$1001,MATCH(ROWS($U$2:U366),$U$2:$U$1001,0),0), INDEX($AB$1004:$AQ$1004,1,MATCH(COLUMNS($AB$1006:AF1006),$AB$1006:$AQ$1006,0)))),"Fix")))</f>
        <v>0</v>
      </c>
      <c r="G366" s="4">
        <f>IF(OR(INDEX($V$2:$V$1001,MATCH(ROWS($U$2:U366),$U$2:$U$1001,0),1)&gt;=100000,INDEX($AB$1005:$AQ$1005,1,MATCH(COLUMNS($AB$1006:AG1006),$AB$1006:$AQ$1006,0))&gt;=100000), " ",IF(INDEX($AB$2:$AQ$1001,MATCH(ROWS($U$2:U366),$U$2:$U$1001,0),MATCH(COLUMNS($AB$1006:AG1006),$AB$1006:$AQ$1006,0)), HYPERLINK("#",""), HYPERLINK(CONCATENATE("#metadata!", ADDRESS(INDEX($W$2:$W$1001,MATCH(ROWS($U$2:U366),$U$2:$U$1001,0),0), INDEX($AB$1004:$AQ$1004,1,MATCH(COLUMNS($AB$1006:AG1006),$AB$1006:$AQ$1006,0)))),"Fix")))</f>
        <v>0</v>
      </c>
      <c r="H366" s="4">
        <f>IF(OR(INDEX($V$2:$V$1001,MATCH(ROWS($U$2:U366),$U$2:$U$1001,0),1)&gt;=100000,INDEX($AB$1005:$AQ$1005,1,MATCH(COLUMNS($AB$1006:AH1006),$AB$1006:$AQ$1006,0))&gt;=100000), " ",IF(INDEX($AB$2:$AQ$1001,MATCH(ROWS($U$2:U366),$U$2:$U$1001,0),MATCH(COLUMNS($AB$1006:AH1006),$AB$1006:$AQ$1006,0)), HYPERLINK("#",""), HYPERLINK(CONCATENATE("#metadata!", ADDRESS(INDEX($W$2:$W$1001,MATCH(ROWS($U$2:U366),$U$2:$U$1001,0),0), INDEX($AB$1004:$AQ$1004,1,MATCH(COLUMNS($AB$1006:AH1006),$AB$1006:$AQ$1006,0)))),"Fix")))</f>
        <v>0</v>
      </c>
      <c r="I366" s="4">
        <f>IF(OR(INDEX($V$2:$V$1001,MATCH(ROWS($U$2:U366),$U$2:$U$1001,0),1)&gt;=100000,INDEX($AB$1005:$AQ$1005,1,MATCH(COLUMNS($AB$1006:AI1006),$AB$1006:$AQ$1006,0))&gt;=100000), " ",IF(INDEX($AB$2:$AQ$1001,MATCH(ROWS($U$2:U366),$U$2:$U$1001,0),MATCH(COLUMNS($AB$1006:AI1006),$AB$1006:$AQ$1006,0)), HYPERLINK("#",""), HYPERLINK(CONCATENATE("#metadata!", ADDRESS(INDEX($W$2:$W$1001,MATCH(ROWS($U$2:U366),$U$2:$U$1001,0),0), INDEX($AB$1004:$AQ$1004,1,MATCH(COLUMNS($AB$1006:AI1006),$AB$1006:$AQ$1006,0)))),"Fix")))</f>
        <v>0</v>
      </c>
      <c r="J366" s="4">
        <f>IF(OR(INDEX($V$2:$V$1001,MATCH(ROWS($U$2:U366),$U$2:$U$1001,0),1)&gt;=100000,INDEX($AB$1005:$AQ$1005,1,MATCH(COLUMNS($AB$1006:AJ1006),$AB$1006:$AQ$1006,0))&gt;=100000), " ",IF(INDEX($AB$2:$AQ$1001,MATCH(ROWS($U$2:U366),$U$2:$U$1001,0),MATCH(COLUMNS($AB$1006:AJ1006),$AB$1006:$AQ$1006,0)), HYPERLINK("#",""), HYPERLINK(CONCATENATE("#metadata!", ADDRESS(INDEX($W$2:$W$1001,MATCH(ROWS($U$2:U366),$U$2:$U$1001,0),0), INDEX($AB$1004:$AQ$1004,1,MATCH(COLUMNS($AB$1006:AJ1006),$AB$1006:$AQ$1006,0)))),"Fix")))</f>
        <v>0</v>
      </c>
      <c r="K366" s="4">
        <f>IF(OR(INDEX($V$2:$V$1001,MATCH(ROWS($U$2:U366),$U$2:$U$1001,0),1)&gt;=100000,INDEX($AB$1005:$AQ$1005,1,MATCH(COLUMNS($AB$1006:AK1006),$AB$1006:$AQ$1006,0))&gt;=100000), " ",IF(INDEX($AB$2:$AQ$1001,MATCH(ROWS($U$2:U366),$U$2:$U$1001,0),MATCH(COLUMNS($AB$1006:AK1006),$AB$1006:$AQ$1006,0)), HYPERLINK("#",""), HYPERLINK(CONCATENATE("#metadata!", ADDRESS(INDEX($W$2:$W$1001,MATCH(ROWS($U$2:U366),$U$2:$U$1001,0),0), INDEX($AB$1004:$AQ$1004,1,MATCH(COLUMNS($AB$1006:AK1006),$AB$1006:$AQ$1006,0)))),"Fix")))</f>
        <v>0</v>
      </c>
      <c r="L366" s="4">
        <f>IF(OR(INDEX($V$2:$V$1001,MATCH(ROWS($U$2:U366),$U$2:$U$1001,0),1)&gt;=100000,INDEX($AB$1005:$AQ$1005,1,MATCH(COLUMNS($AB$1006:AL1006),$AB$1006:$AQ$1006,0))&gt;=100000), " ",IF(INDEX($AB$2:$AQ$1001,MATCH(ROWS($U$2:U366),$U$2:$U$1001,0),MATCH(COLUMNS($AB$1006:AL1006),$AB$1006:$AQ$1006,0)), HYPERLINK("#",""), HYPERLINK(CONCATENATE("#metadata!", ADDRESS(INDEX($W$2:$W$1001,MATCH(ROWS($U$2:U366),$U$2:$U$1001,0),0), INDEX($AB$1004:$AQ$1004,1,MATCH(COLUMNS($AB$1006:AL1006),$AB$1006:$AQ$1006,0)))),"Fix")))</f>
        <v>0</v>
      </c>
      <c r="M366" s="4">
        <f>IF(OR(INDEX($V$2:$V$1001,MATCH(ROWS($U$2:U366),$U$2:$U$1001,0),1)&gt;=100000,INDEX($AB$1005:$AQ$1005,1,MATCH(COLUMNS($AB$1006:AM1006),$AB$1006:$AQ$1006,0))&gt;=100000), " ",IF(INDEX($AB$2:$AQ$1001,MATCH(ROWS($U$2:U366),$U$2:$U$1001,0),MATCH(COLUMNS($AB$1006:AM1006),$AB$1006:$AQ$1006,0)), HYPERLINK("#",""), HYPERLINK(CONCATENATE("#metadata!", ADDRESS(INDEX($W$2:$W$1001,MATCH(ROWS($U$2:U366),$U$2:$U$1001,0),0), INDEX($AB$1004:$AQ$1004,1,MATCH(COLUMNS($AB$1006:AM1006),$AB$1006:$AQ$1006,0)))),"Fix")))</f>
        <v>0</v>
      </c>
      <c r="N366" s="4">
        <f>IF(OR(INDEX($V$2:$V$1001,MATCH(ROWS($U$2:U366),$U$2:$U$1001,0),1)&gt;=100000,INDEX($AB$1005:$AQ$1005,1,MATCH(COLUMNS($AB$1006:AN1006),$AB$1006:$AQ$1006,0))&gt;=100000), " ",IF(INDEX($AB$2:$AQ$1001,MATCH(ROWS($U$2:U366),$U$2:$U$1001,0),MATCH(COLUMNS($AB$1006:AN1006),$AB$1006:$AQ$1006,0)), HYPERLINK("#",""), HYPERLINK(CONCATENATE("#metadata!", ADDRESS(INDEX($W$2:$W$1001,MATCH(ROWS($U$2:U366),$U$2:$U$1001,0),0), INDEX($AB$1004:$AQ$1004,1,MATCH(COLUMNS($AB$1006:AN1006),$AB$1006:$AQ$1006,0)))),"Fix")))</f>
        <v>0</v>
      </c>
      <c r="O366" s="4">
        <f>IF(OR(INDEX($V$2:$V$1001,MATCH(ROWS($U$2:U366),$U$2:$U$1001,0),1)&gt;=100000,INDEX($AB$1005:$AQ$1005,1,MATCH(COLUMNS($AB$1006:AO1006),$AB$1006:$AQ$1006,0))&gt;=100000), " ",IF(INDEX($AB$2:$AQ$1001,MATCH(ROWS($U$2:U366),$U$2:$U$1001,0),MATCH(COLUMNS($AB$1006:AO1006),$AB$1006:$AQ$1006,0)), HYPERLINK("#",""), HYPERLINK(CONCATENATE("#metadata!", ADDRESS(INDEX($W$2:$W$1001,MATCH(ROWS($U$2:U366),$U$2:$U$1001,0),0), INDEX($AB$1004:$AQ$1004,1,MATCH(COLUMNS($AB$1006:AO1006),$AB$1006:$AQ$1006,0)))),"Fix")))</f>
        <v>0</v>
      </c>
      <c r="P366" s="4">
        <f>IF(OR(INDEX($V$2:$V$1001,MATCH(ROWS($U$2:U366),$U$2:$U$1001,0),1)&gt;=100000,INDEX($AB$1005:$AQ$1005,1,MATCH(COLUMNS($AB$1006:AP1006),$AB$1006:$AQ$1006,0))&gt;=100000), " ",IF(INDEX($AB$2:$AQ$1001,MATCH(ROWS($U$2:U366),$U$2:$U$1001,0),MATCH(COLUMNS($AB$1006:AP1006),$AB$1006:$AQ$1006,0)), HYPERLINK("#",""), HYPERLINK(CONCATENATE("#metadata!", ADDRESS(INDEX($W$2:$W$1001,MATCH(ROWS($U$2:U366),$U$2:$U$1001,0),0), INDEX($AB$1004:$AQ$1004,1,MATCH(COLUMNS($AB$1006:AP1006),$AB$1006:$AQ$1006,0)))),"Fix")))</f>
        <v>0</v>
      </c>
      <c r="Q366" s="4">
        <f>IF(OR(INDEX($V$2:$V$1001,MATCH(ROWS($U$2:U366),$U$2:$U$1001,0),1)&gt;=100000,INDEX($AB$1005:$AQ$1005,1,MATCH(COLUMNS($AB$1006:AQ1006),$AB$1006:$AQ$1006,0))&gt;=100000), " ",IF(INDEX($AB$2:$AQ$1001,MATCH(ROWS($U$2:U366),$U$2:$U$1001,0),MATCH(COLUMNS($AB$1006:AQ1006),$AB$1006:$AQ$1006,0)), HYPERLINK("#",""), HYPERLINK(CONCATENATE("#metadata!", ADDRESS(INDEX($W$2:$W$1001,MATCH(ROWS($U$2:U366),$U$2:$U$1001,0),0), INDEX($AB$1004:$AQ$1004,1,MATCH(COLUMNS($AB$1006:AQ1006),$AB$1006:$AQ$1006,0)))),"Fix")))</f>
        <v>0</v>
      </c>
      <c r="U366">
        <v>0</v>
      </c>
      <c r="V366">
        <v>0</v>
      </c>
      <c r="W366">
        <v>0</v>
      </c>
      <c r="X366">
        <f>IF(Y366,TRUE,AND(AB366:AQ366))</f>
        <v>0</v>
      </c>
      <c r="Y366">
        <f>COUNTBLANK(metadata!B366:Q366)=COLUMNS(metadata!B366:Q366)</f>
        <v>0</v>
      </c>
      <c r="Z366">
        <v>0</v>
      </c>
      <c r="AB366">
        <f>AND(IF(metadata!B366="",FALSE,TRUE),COUNTIF(metadata!B:B, metadata!B366) = 1,NOT(ISERROR(SUMPRODUCT(SEARCH(MID(metadata!B366,ROW(INDIRECT("1:"&amp;LEN(metadata!B366))), 1),"0123456789abcdefghijklmnopqrstuvwxyzABCDEFGHIJKLMNOPQRSTUVWXYZ.")))))</f>
        <v>0</v>
      </c>
      <c r="AC366">
        <f>OR(AND(IF(metadata!C366="",FALSE,TRUE),OR(exact(metadata!C366,"missing: not collected"),exact(metadata!C366,"missing: not provided"),exact(metadata!C366,"missing: restricted access"))),AND(IF(metadata!C366="",FALSE,TRUE),AND(AND(IFERROR(INT(LEFT(metadata!C366,4))&gt;1900,FALSE),IFERROR(INT(LEFT(metadata!C366,4))&lt;=YEAR(NOW()),FALSE)), OR(MID(metadata!C366,5,1)="", AND(AND(MID(metadata!C366,5,1)="-",IFERROR(INT(MID(metadata!C366,6,1))&gt;=0,FALSE),IFERROR(INT(MID(metadata!C366,6,1))&lt;=1,FALSE),NOT(MID(metadata!C366,7,1)=""),IFERROR(INT(MID(metadata!C366,6,2))&gt;=1,FALSE),IFERROR(INT(MID(metadata!C366,6,2))&lt;=12,FALSE)), OR(MID(metadata!C366,8,1)="", AND(AND(MID(metadata!C366,8,1)="-",IFERROR(INT(MID(metadata!C366,9,1))&gt;=0,FALSE),IFERROR(INT(MID(metadata!C366,9,1))&lt;=3,FALSE),NOT(MID(metadata!C366,10,1)=""),IFERROR(INT(MID(metadata!C366,9,2))&gt;=1,FALSE),IFERROR(INT(MID(metadata!C366,9,2))&lt;=31,FALSE)), OR(MID(metadata!C366,11,1)="", AND(AND(MID(metadata!C366,11,1)=" ",IFERROR(INT(MID(metadata!C366,12,1))&gt;=0,FALSE),IFERROR(INT(MID(metadata!C366,12,1))&lt;=2,FALSE),NOT(MID(metadata!C366,13,1)=""),IFERROR(INT(MID(metadata!C366,12,2))&gt;=0,FALSE),IFERROR(INT(MID(metadata!C366,12,2))&lt;=23,FALSE)), OR(MID(metadata!C366,14,1)="", AND(AND(MID(metadata!C366,14,1)=":",IFERROR(INT(MID(metadata!C366,15,1))&gt;=0,FALSE),IFERROR(INT(MID(metadata!C366,15,1))&lt;=5,FALSE),NOT(MID(metadata!C366,16,1)=""),IFERROR(INT(MID(metadata!C366,15,2))&gt;=0,FALSE),IFERROR(INT(MID(metadata!C366,15,2))&lt;=59,FALSE)), OR(MID(metadata!C366,17,1)="", AND(AND(MID(metadata!C366,17,1)=":",IFERROR(INT(MID(metadata!C366,18,1))&gt;=0,FALSE),IFERROR(INT(MID(metadata!C366,18,1))&lt;=5,FALSE),NOT(MID(metadata!C366,19,1)=""),IFERROR(INT(MID(metadata!C366,18,2))&gt;=0,FALSE),IFERROR(INT(MID(metadata!C366,18,2))&lt;=59,FALSE)), LEN(metadata!C366)&lt;=19)))))))))))))</f>
        <v>0</v>
      </c>
      <c r="AD366">
        <f>IF(metadata!D366="",FALSE,TRUE)</f>
        <v>0</v>
      </c>
      <c r="AE366">
        <f>OR(AND(IF(metadata!E366="",FALSE,TRUE),OR(exact(metadata!E366,"missing: not collected"),exact(metadata!E366,"missing: not provided"))),AND(IF(metadata!E366="",FALSE,TRUE),OR(exact(metadata!E366,"TRUE"),exact(metadata!E366,"FALSE"))))</f>
        <v>0</v>
      </c>
      <c r="AF366">
        <f>IF(metadata!F366="",FALSE,TRUE)</f>
        <v>0</v>
      </c>
      <c r="AG366">
        <f>IF(metadata!G366="",FALSE,TRUE)</f>
        <v>0</v>
      </c>
      <c r="AH366">
        <f>IF(metadata!H366="",FALSE,TRUE)</f>
        <v>0</v>
      </c>
      <c r="AI366">
        <f>OR(AND(IF(metadata!I366="",FALSE,TRUE),OR(exact(metadata!I366,"missing: not collected"),exact(metadata!I366,"missing: not provided"),exact(metadata!I366,"missing: restricted access"))),AND(IF(metadata!I366="",FALSE,TRUE),OR(exact(metadata!I366,"air"),exact(metadata!I366,"built environment"),exact(metadata!I366,"host-associated"),exact(metadata!I366,"human-associated"),exact(metadata!I366,"human-skin"),exact(metadata!I366,"human-oral"),exact(metadata!I366,"human-gut"),exact(metadata!I366,"human-vaginal"),exact(metadata!I366,"microbial mat/biofilm"),exact(metadata!I366,"misc environment"),exact(metadata!I366,"plant-associated"),exact(metadata!I366,"sediment"),exact(metadata!I366,"soil"),exact(metadata!I366,"wastewater/sludge"),exact(metadata!I366,"water"))))</f>
        <v>0</v>
      </c>
      <c r="AJ366">
        <f>IF(metadata!J366="",FALSE,TRUE)</f>
        <v>0</v>
      </c>
      <c r="AK366">
        <f>OR(AND(IF(metadata!K366="",FALSE,TRUE),OR(exact(metadata!K366,"missing: not collected"),exact(metadata!K366,"missing: not provided"),exact(metadata!K366,"missing: restricted access"))),AND(IF(metadata!K366="",FALSE,ISNUMBER(VALUE(metadata!K366))),metadata!K366&gt;=-90.00,metadata!K366&lt;=90.00))</f>
        <v>0</v>
      </c>
      <c r="AL366">
        <f>OR(AND(IF(metadata!L366="",FALSE,TRUE),OR(exact(metadata!L366,"missing: not collected"),exact(metadata!L366,"missing: not provided"),exact(metadata!L366,"missing: restricted access"))),AND(IF(metadata!L366="",FALSE,ISNUMBER(VALUE(metadata!L366))),metadata!L366&gt;=-180.00,metadata!L366&lt;=180.00))</f>
        <v>0</v>
      </c>
      <c r="AM366">
        <f>IF(metadata!M366="",FALSE,TRUE)</f>
        <v>0</v>
      </c>
      <c r="AN366">
        <f>OR(AND(IF(metadata!N366="",FALSE,TRUE),OR(exact(metadata!N366,"missing: not collected"),exact(metadata!N366,"missing: not provided"),exact(metadata!N366,"missing: restricted access"))),AND(IF(metadata!N366="",FALSE,TRUE),OR(exact(metadata!N366,"TRUE"),exact(metadata!N366,"FALSE"))))</f>
        <v>0</v>
      </c>
      <c r="AO366">
        <f>IF(metadata!O366="",FALSE,TRUE)</f>
        <v>0</v>
      </c>
      <c r="AP366">
        <f>OR(AND(IF(metadata!P366="",FALSE,TRUE),OR(exact(metadata!P366,"missing: not collected"),exact(metadata!P366,"missing: not provided"))),AND(IF(metadata!P366="",FALSE,IF(ISERROR(INT(metadata!P366)),FALSE,INT(metadata!P366)=metadata!P366)),metadata!P366&gt;0))</f>
        <v>0</v>
      </c>
      <c r="AQ366">
        <f>IF(metadata!Q366="",FALSE,TRUE)</f>
        <v>0</v>
      </c>
    </row>
    <row r="367" spans="1:43">
      <c r="A367" s="5">
        <f>IF(B367=" "," ",HYPERLINK(CONCATENATE("#metadata!",ADDRESS(INDEX($W$2:$W$1001,MATCH(ROWS($U$2:U367),$U$2:$U$1001,0),0),1)),INDEX($Z$2:$Z$1001,MATCH(ROWS($U$2:U367),$U$2:$U$1001,0),0)))</f>
        <v>0</v>
      </c>
      <c r="B367" s="4">
        <f>IF(OR(INDEX($V$2:$V$1001,MATCH(ROWS($U$2:U367),$U$2:$U$1001,0),1)&gt;=100000,INDEX($AB$1005:$AQ$1005,1,MATCH(COLUMNS($AB$1006:AB1006),$AB$1006:$AQ$1006,0))&gt;=100000), " ",IF(INDEX($AB$2:$AQ$1001,MATCH(ROWS($U$2:U367),$U$2:$U$1001,0),MATCH(COLUMNS($AB$1006:AB1006),$AB$1006:$AQ$1006,0)), HYPERLINK("#",""), HYPERLINK(CONCATENATE("#metadata!", ADDRESS(INDEX($W$2:$W$1001,MATCH(ROWS($U$2:U367),$U$2:$U$1001,0),0), INDEX($AB$1004:$AQ$1004,1,MATCH(COLUMNS($AB$1006:AB1006),$AB$1006:$AQ$1006,0)))),"Fix")))</f>
        <v>0</v>
      </c>
      <c r="C367" s="4">
        <f>IF(OR(INDEX($V$2:$V$1001,MATCH(ROWS($U$2:U367),$U$2:$U$1001,0),1)&gt;=100000,INDEX($AB$1005:$AQ$1005,1,MATCH(COLUMNS($AB$1006:AC1006),$AB$1006:$AQ$1006,0))&gt;=100000), " ",IF(INDEX($AB$2:$AQ$1001,MATCH(ROWS($U$2:U367),$U$2:$U$1001,0),MATCH(COLUMNS($AB$1006:AC1006),$AB$1006:$AQ$1006,0)), HYPERLINK("#",""), HYPERLINK(CONCATENATE("#metadata!", ADDRESS(INDEX($W$2:$W$1001,MATCH(ROWS($U$2:U367),$U$2:$U$1001,0),0), INDEX($AB$1004:$AQ$1004,1,MATCH(COLUMNS($AB$1006:AC1006),$AB$1006:$AQ$1006,0)))),"Fix")))</f>
        <v>0</v>
      </c>
      <c r="D367" s="4">
        <f>IF(OR(INDEX($V$2:$V$1001,MATCH(ROWS($U$2:U367),$U$2:$U$1001,0),1)&gt;=100000,INDEX($AB$1005:$AQ$1005,1,MATCH(COLUMNS($AB$1006:AD1006),$AB$1006:$AQ$1006,0))&gt;=100000), " ",IF(INDEX($AB$2:$AQ$1001,MATCH(ROWS($U$2:U367),$U$2:$U$1001,0),MATCH(COLUMNS($AB$1006:AD1006),$AB$1006:$AQ$1006,0)), HYPERLINK("#",""), HYPERLINK(CONCATENATE("#metadata!", ADDRESS(INDEX($W$2:$W$1001,MATCH(ROWS($U$2:U367),$U$2:$U$1001,0),0), INDEX($AB$1004:$AQ$1004,1,MATCH(COLUMNS($AB$1006:AD1006),$AB$1006:$AQ$1006,0)))),"Fix")))</f>
        <v>0</v>
      </c>
      <c r="E367" s="4">
        <f>IF(OR(INDEX($V$2:$V$1001,MATCH(ROWS($U$2:U367),$U$2:$U$1001,0),1)&gt;=100000,INDEX($AB$1005:$AQ$1005,1,MATCH(COLUMNS($AB$1006:AE1006),$AB$1006:$AQ$1006,0))&gt;=100000), " ",IF(INDEX($AB$2:$AQ$1001,MATCH(ROWS($U$2:U367),$U$2:$U$1001,0),MATCH(COLUMNS($AB$1006:AE1006),$AB$1006:$AQ$1006,0)), HYPERLINK("#",""), HYPERLINK(CONCATENATE("#metadata!", ADDRESS(INDEX($W$2:$W$1001,MATCH(ROWS($U$2:U367),$U$2:$U$1001,0),0), INDEX($AB$1004:$AQ$1004,1,MATCH(COLUMNS($AB$1006:AE1006),$AB$1006:$AQ$1006,0)))),"Fix")))</f>
        <v>0</v>
      </c>
      <c r="F367" s="4">
        <f>IF(OR(INDEX($V$2:$V$1001,MATCH(ROWS($U$2:U367),$U$2:$U$1001,0),1)&gt;=100000,INDEX($AB$1005:$AQ$1005,1,MATCH(COLUMNS($AB$1006:AF1006),$AB$1006:$AQ$1006,0))&gt;=100000), " ",IF(INDEX($AB$2:$AQ$1001,MATCH(ROWS($U$2:U367),$U$2:$U$1001,0),MATCH(COLUMNS($AB$1006:AF1006),$AB$1006:$AQ$1006,0)), HYPERLINK("#",""), HYPERLINK(CONCATENATE("#metadata!", ADDRESS(INDEX($W$2:$W$1001,MATCH(ROWS($U$2:U367),$U$2:$U$1001,0),0), INDEX($AB$1004:$AQ$1004,1,MATCH(COLUMNS($AB$1006:AF1006),$AB$1006:$AQ$1006,0)))),"Fix")))</f>
        <v>0</v>
      </c>
      <c r="G367" s="4">
        <f>IF(OR(INDEX($V$2:$V$1001,MATCH(ROWS($U$2:U367),$U$2:$U$1001,0),1)&gt;=100000,INDEX($AB$1005:$AQ$1005,1,MATCH(COLUMNS($AB$1006:AG1006),$AB$1006:$AQ$1006,0))&gt;=100000), " ",IF(INDEX($AB$2:$AQ$1001,MATCH(ROWS($U$2:U367),$U$2:$U$1001,0),MATCH(COLUMNS($AB$1006:AG1006),$AB$1006:$AQ$1006,0)), HYPERLINK("#",""), HYPERLINK(CONCATENATE("#metadata!", ADDRESS(INDEX($W$2:$W$1001,MATCH(ROWS($U$2:U367),$U$2:$U$1001,0),0), INDEX($AB$1004:$AQ$1004,1,MATCH(COLUMNS($AB$1006:AG1006),$AB$1006:$AQ$1006,0)))),"Fix")))</f>
        <v>0</v>
      </c>
      <c r="H367" s="4">
        <f>IF(OR(INDEX($V$2:$V$1001,MATCH(ROWS($U$2:U367),$U$2:$U$1001,0),1)&gt;=100000,INDEX($AB$1005:$AQ$1005,1,MATCH(COLUMNS($AB$1006:AH1006),$AB$1006:$AQ$1006,0))&gt;=100000), " ",IF(INDEX($AB$2:$AQ$1001,MATCH(ROWS($U$2:U367),$U$2:$U$1001,0),MATCH(COLUMNS($AB$1006:AH1006),$AB$1006:$AQ$1006,0)), HYPERLINK("#",""), HYPERLINK(CONCATENATE("#metadata!", ADDRESS(INDEX($W$2:$W$1001,MATCH(ROWS($U$2:U367),$U$2:$U$1001,0),0), INDEX($AB$1004:$AQ$1004,1,MATCH(COLUMNS($AB$1006:AH1006),$AB$1006:$AQ$1006,0)))),"Fix")))</f>
        <v>0</v>
      </c>
      <c r="I367" s="4">
        <f>IF(OR(INDEX($V$2:$V$1001,MATCH(ROWS($U$2:U367),$U$2:$U$1001,0),1)&gt;=100000,INDEX($AB$1005:$AQ$1005,1,MATCH(COLUMNS($AB$1006:AI1006),$AB$1006:$AQ$1006,0))&gt;=100000), " ",IF(INDEX($AB$2:$AQ$1001,MATCH(ROWS($U$2:U367),$U$2:$U$1001,0),MATCH(COLUMNS($AB$1006:AI1006),$AB$1006:$AQ$1006,0)), HYPERLINK("#",""), HYPERLINK(CONCATENATE("#metadata!", ADDRESS(INDEX($W$2:$W$1001,MATCH(ROWS($U$2:U367),$U$2:$U$1001,0),0), INDEX($AB$1004:$AQ$1004,1,MATCH(COLUMNS($AB$1006:AI1006),$AB$1006:$AQ$1006,0)))),"Fix")))</f>
        <v>0</v>
      </c>
      <c r="J367" s="4">
        <f>IF(OR(INDEX($V$2:$V$1001,MATCH(ROWS($U$2:U367),$U$2:$U$1001,0),1)&gt;=100000,INDEX($AB$1005:$AQ$1005,1,MATCH(COLUMNS($AB$1006:AJ1006),$AB$1006:$AQ$1006,0))&gt;=100000), " ",IF(INDEX($AB$2:$AQ$1001,MATCH(ROWS($U$2:U367),$U$2:$U$1001,0),MATCH(COLUMNS($AB$1006:AJ1006),$AB$1006:$AQ$1006,0)), HYPERLINK("#",""), HYPERLINK(CONCATENATE("#metadata!", ADDRESS(INDEX($W$2:$W$1001,MATCH(ROWS($U$2:U367),$U$2:$U$1001,0),0), INDEX($AB$1004:$AQ$1004,1,MATCH(COLUMNS($AB$1006:AJ1006),$AB$1006:$AQ$1006,0)))),"Fix")))</f>
        <v>0</v>
      </c>
      <c r="K367" s="4">
        <f>IF(OR(INDEX($V$2:$V$1001,MATCH(ROWS($U$2:U367),$U$2:$U$1001,0),1)&gt;=100000,INDEX($AB$1005:$AQ$1005,1,MATCH(COLUMNS($AB$1006:AK1006),$AB$1006:$AQ$1006,0))&gt;=100000), " ",IF(INDEX($AB$2:$AQ$1001,MATCH(ROWS($U$2:U367),$U$2:$U$1001,0),MATCH(COLUMNS($AB$1006:AK1006),$AB$1006:$AQ$1006,0)), HYPERLINK("#",""), HYPERLINK(CONCATENATE("#metadata!", ADDRESS(INDEX($W$2:$W$1001,MATCH(ROWS($U$2:U367),$U$2:$U$1001,0),0), INDEX($AB$1004:$AQ$1004,1,MATCH(COLUMNS($AB$1006:AK1006),$AB$1006:$AQ$1006,0)))),"Fix")))</f>
        <v>0</v>
      </c>
      <c r="L367" s="4">
        <f>IF(OR(INDEX($V$2:$V$1001,MATCH(ROWS($U$2:U367),$U$2:$U$1001,0),1)&gt;=100000,INDEX($AB$1005:$AQ$1005,1,MATCH(COLUMNS($AB$1006:AL1006),$AB$1006:$AQ$1006,0))&gt;=100000), " ",IF(INDEX($AB$2:$AQ$1001,MATCH(ROWS($U$2:U367),$U$2:$U$1001,0),MATCH(COLUMNS($AB$1006:AL1006),$AB$1006:$AQ$1006,0)), HYPERLINK("#",""), HYPERLINK(CONCATENATE("#metadata!", ADDRESS(INDEX($W$2:$W$1001,MATCH(ROWS($U$2:U367),$U$2:$U$1001,0),0), INDEX($AB$1004:$AQ$1004,1,MATCH(COLUMNS($AB$1006:AL1006),$AB$1006:$AQ$1006,0)))),"Fix")))</f>
        <v>0</v>
      </c>
      <c r="M367" s="4">
        <f>IF(OR(INDEX($V$2:$V$1001,MATCH(ROWS($U$2:U367),$U$2:$U$1001,0),1)&gt;=100000,INDEX($AB$1005:$AQ$1005,1,MATCH(COLUMNS($AB$1006:AM1006),$AB$1006:$AQ$1006,0))&gt;=100000), " ",IF(INDEX($AB$2:$AQ$1001,MATCH(ROWS($U$2:U367),$U$2:$U$1001,0),MATCH(COLUMNS($AB$1006:AM1006),$AB$1006:$AQ$1006,0)), HYPERLINK("#",""), HYPERLINK(CONCATENATE("#metadata!", ADDRESS(INDEX($W$2:$W$1001,MATCH(ROWS($U$2:U367),$U$2:$U$1001,0),0), INDEX($AB$1004:$AQ$1004,1,MATCH(COLUMNS($AB$1006:AM1006),$AB$1006:$AQ$1006,0)))),"Fix")))</f>
        <v>0</v>
      </c>
      <c r="N367" s="4">
        <f>IF(OR(INDEX($V$2:$V$1001,MATCH(ROWS($U$2:U367),$U$2:$U$1001,0),1)&gt;=100000,INDEX($AB$1005:$AQ$1005,1,MATCH(COLUMNS($AB$1006:AN1006),$AB$1006:$AQ$1006,0))&gt;=100000), " ",IF(INDEX($AB$2:$AQ$1001,MATCH(ROWS($U$2:U367),$U$2:$U$1001,0),MATCH(COLUMNS($AB$1006:AN1006),$AB$1006:$AQ$1006,0)), HYPERLINK("#",""), HYPERLINK(CONCATENATE("#metadata!", ADDRESS(INDEX($W$2:$W$1001,MATCH(ROWS($U$2:U367),$U$2:$U$1001,0),0), INDEX($AB$1004:$AQ$1004,1,MATCH(COLUMNS($AB$1006:AN1006),$AB$1006:$AQ$1006,0)))),"Fix")))</f>
        <v>0</v>
      </c>
      <c r="O367" s="4">
        <f>IF(OR(INDEX($V$2:$V$1001,MATCH(ROWS($U$2:U367),$U$2:$U$1001,0),1)&gt;=100000,INDEX($AB$1005:$AQ$1005,1,MATCH(COLUMNS($AB$1006:AO1006),$AB$1006:$AQ$1006,0))&gt;=100000), " ",IF(INDEX($AB$2:$AQ$1001,MATCH(ROWS($U$2:U367),$U$2:$U$1001,0),MATCH(COLUMNS($AB$1006:AO1006),$AB$1006:$AQ$1006,0)), HYPERLINK("#",""), HYPERLINK(CONCATENATE("#metadata!", ADDRESS(INDEX($W$2:$W$1001,MATCH(ROWS($U$2:U367),$U$2:$U$1001,0),0), INDEX($AB$1004:$AQ$1004,1,MATCH(COLUMNS($AB$1006:AO1006),$AB$1006:$AQ$1006,0)))),"Fix")))</f>
        <v>0</v>
      </c>
      <c r="P367" s="4">
        <f>IF(OR(INDEX($V$2:$V$1001,MATCH(ROWS($U$2:U367),$U$2:$U$1001,0),1)&gt;=100000,INDEX($AB$1005:$AQ$1005,1,MATCH(COLUMNS($AB$1006:AP1006),$AB$1006:$AQ$1006,0))&gt;=100000), " ",IF(INDEX($AB$2:$AQ$1001,MATCH(ROWS($U$2:U367),$U$2:$U$1001,0),MATCH(COLUMNS($AB$1006:AP1006),$AB$1006:$AQ$1006,0)), HYPERLINK("#",""), HYPERLINK(CONCATENATE("#metadata!", ADDRESS(INDEX($W$2:$W$1001,MATCH(ROWS($U$2:U367),$U$2:$U$1001,0),0), INDEX($AB$1004:$AQ$1004,1,MATCH(COLUMNS($AB$1006:AP1006),$AB$1006:$AQ$1006,0)))),"Fix")))</f>
        <v>0</v>
      </c>
      <c r="Q367" s="4">
        <f>IF(OR(INDEX($V$2:$V$1001,MATCH(ROWS($U$2:U367),$U$2:$U$1001,0),1)&gt;=100000,INDEX($AB$1005:$AQ$1005,1,MATCH(COLUMNS($AB$1006:AQ1006),$AB$1006:$AQ$1006,0))&gt;=100000), " ",IF(INDEX($AB$2:$AQ$1001,MATCH(ROWS($U$2:U367),$U$2:$U$1001,0),MATCH(COLUMNS($AB$1006:AQ1006),$AB$1006:$AQ$1006,0)), HYPERLINK("#",""), HYPERLINK(CONCATENATE("#metadata!", ADDRESS(INDEX($W$2:$W$1001,MATCH(ROWS($U$2:U367),$U$2:$U$1001,0),0), INDEX($AB$1004:$AQ$1004,1,MATCH(COLUMNS($AB$1006:AQ1006),$AB$1006:$AQ$1006,0)))),"Fix")))</f>
        <v>0</v>
      </c>
      <c r="U367">
        <v>0</v>
      </c>
      <c r="V367">
        <v>0</v>
      </c>
      <c r="W367">
        <v>0</v>
      </c>
      <c r="X367">
        <f>IF(Y367,TRUE,AND(AB367:AQ367))</f>
        <v>0</v>
      </c>
      <c r="Y367">
        <f>COUNTBLANK(metadata!B367:Q367)=COLUMNS(metadata!B367:Q367)</f>
        <v>0</v>
      </c>
      <c r="Z367">
        <v>0</v>
      </c>
      <c r="AB367">
        <f>AND(IF(metadata!B367="",FALSE,TRUE),COUNTIF(metadata!B:B, metadata!B367) = 1,NOT(ISERROR(SUMPRODUCT(SEARCH(MID(metadata!B367,ROW(INDIRECT("1:"&amp;LEN(metadata!B367))), 1),"0123456789abcdefghijklmnopqrstuvwxyzABCDEFGHIJKLMNOPQRSTUVWXYZ.")))))</f>
        <v>0</v>
      </c>
      <c r="AC367">
        <f>OR(AND(IF(metadata!C367="",FALSE,TRUE),OR(exact(metadata!C367,"missing: not collected"),exact(metadata!C367,"missing: not provided"),exact(metadata!C367,"missing: restricted access"))),AND(IF(metadata!C367="",FALSE,TRUE),AND(AND(IFERROR(INT(LEFT(metadata!C367,4))&gt;1900,FALSE),IFERROR(INT(LEFT(metadata!C367,4))&lt;=YEAR(NOW()),FALSE)), OR(MID(metadata!C367,5,1)="", AND(AND(MID(metadata!C367,5,1)="-",IFERROR(INT(MID(metadata!C367,6,1))&gt;=0,FALSE),IFERROR(INT(MID(metadata!C367,6,1))&lt;=1,FALSE),NOT(MID(metadata!C367,7,1)=""),IFERROR(INT(MID(metadata!C367,6,2))&gt;=1,FALSE),IFERROR(INT(MID(metadata!C367,6,2))&lt;=12,FALSE)), OR(MID(metadata!C367,8,1)="", AND(AND(MID(metadata!C367,8,1)="-",IFERROR(INT(MID(metadata!C367,9,1))&gt;=0,FALSE),IFERROR(INT(MID(metadata!C367,9,1))&lt;=3,FALSE),NOT(MID(metadata!C367,10,1)=""),IFERROR(INT(MID(metadata!C367,9,2))&gt;=1,FALSE),IFERROR(INT(MID(metadata!C367,9,2))&lt;=31,FALSE)), OR(MID(metadata!C367,11,1)="", AND(AND(MID(metadata!C367,11,1)=" ",IFERROR(INT(MID(metadata!C367,12,1))&gt;=0,FALSE),IFERROR(INT(MID(metadata!C367,12,1))&lt;=2,FALSE),NOT(MID(metadata!C367,13,1)=""),IFERROR(INT(MID(metadata!C367,12,2))&gt;=0,FALSE),IFERROR(INT(MID(metadata!C367,12,2))&lt;=23,FALSE)), OR(MID(metadata!C367,14,1)="", AND(AND(MID(metadata!C367,14,1)=":",IFERROR(INT(MID(metadata!C367,15,1))&gt;=0,FALSE),IFERROR(INT(MID(metadata!C367,15,1))&lt;=5,FALSE),NOT(MID(metadata!C367,16,1)=""),IFERROR(INT(MID(metadata!C367,15,2))&gt;=0,FALSE),IFERROR(INT(MID(metadata!C367,15,2))&lt;=59,FALSE)), OR(MID(metadata!C367,17,1)="", AND(AND(MID(metadata!C367,17,1)=":",IFERROR(INT(MID(metadata!C367,18,1))&gt;=0,FALSE),IFERROR(INT(MID(metadata!C367,18,1))&lt;=5,FALSE),NOT(MID(metadata!C367,19,1)=""),IFERROR(INT(MID(metadata!C367,18,2))&gt;=0,FALSE),IFERROR(INT(MID(metadata!C367,18,2))&lt;=59,FALSE)), LEN(metadata!C367)&lt;=19)))))))))))))</f>
        <v>0</v>
      </c>
      <c r="AD367">
        <f>IF(metadata!D367="",FALSE,TRUE)</f>
        <v>0</v>
      </c>
      <c r="AE367">
        <f>OR(AND(IF(metadata!E367="",FALSE,TRUE),OR(exact(metadata!E367,"missing: not collected"),exact(metadata!E367,"missing: not provided"))),AND(IF(metadata!E367="",FALSE,TRUE),OR(exact(metadata!E367,"TRUE"),exact(metadata!E367,"FALSE"))))</f>
        <v>0</v>
      </c>
      <c r="AF367">
        <f>IF(metadata!F367="",FALSE,TRUE)</f>
        <v>0</v>
      </c>
      <c r="AG367">
        <f>IF(metadata!G367="",FALSE,TRUE)</f>
        <v>0</v>
      </c>
      <c r="AH367">
        <f>IF(metadata!H367="",FALSE,TRUE)</f>
        <v>0</v>
      </c>
      <c r="AI367">
        <f>OR(AND(IF(metadata!I367="",FALSE,TRUE),OR(exact(metadata!I367,"missing: not collected"),exact(metadata!I367,"missing: not provided"),exact(metadata!I367,"missing: restricted access"))),AND(IF(metadata!I367="",FALSE,TRUE),OR(exact(metadata!I367,"air"),exact(metadata!I367,"built environment"),exact(metadata!I367,"host-associated"),exact(metadata!I367,"human-associated"),exact(metadata!I367,"human-skin"),exact(metadata!I367,"human-oral"),exact(metadata!I367,"human-gut"),exact(metadata!I367,"human-vaginal"),exact(metadata!I367,"microbial mat/biofilm"),exact(metadata!I367,"misc environment"),exact(metadata!I367,"plant-associated"),exact(metadata!I367,"sediment"),exact(metadata!I367,"soil"),exact(metadata!I367,"wastewater/sludge"),exact(metadata!I367,"water"))))</f>
        <v>0</v>
      </c>
      <c r="AJ367">
        <f>IF(metadata!J367="",FALSE,TRUE)</f>
        <v>0</v>
      </c>
      <c r="AK367">
        <f>OR(AND(IF(metadata!K367="",FALSE,TRUE),OR(exact(metadata!K367,"missing: not collected"),exact(metadata!K367,"missing: not provided"),exact(metadata!K367,"missing: restricted access"))),AND(IF(metadata!K367="",FALSE,ISNUMBER(VALUE(metadata!K367))),metadata!K367&gt;=-90.00,metadata!K367&lt;=90.00))</f>
        <v>0</v>
      </c>
      <c r="AL367">
        <f>OR(AND(IF(metadata!L367="",FALSE,TRUE),OR(exact(metadata!L367,"missing: not collected"),exact(metadata!L367,"missing: not provided"),exact(metadata!L367,"missing: restricted access"))),AND(IF(metadata!L367="",FALSE,ISNUMBER(VALUE(metadata!L367))),metadata!L367&gt;=-180.00,metadata!L367&lt;=180.00))</f>
        <v>0</v>
      </c>
      <c r="AM367">
        <f>IF(metadata!M367="",FALSE,TRUE)</f>
        <v>0</v>
      </c>
      <c r="AN367">
        <f>OR(AND(IF(metadata!N367="",FALSE,TRUE),OR(exact(metadata!N367,"missing: not collected"),exact(metadata!N367,"missing: not provided"),exact(metadata!N367,"missing: restricted access"))),AND(IF(metadata!N367="",FALSE,TRUE),OR(exact(metadata!N367,"TRUE"),exact(metadata!N367,"FALSE"))))</f>
        <v>0</v>
      </c>
      <c r="AO367">
        <f>IF(metadata!O367="",FALSE,TRUE)</f>
        <v>0</v>
      </c>
      <c r="AP367">
        <f>OR(AND(IF(metadata!P367="",FALSE,TRUE),OR(exact(metadata!P367,"missing: not collected"),exact(metadata!P367,"missing: not provided"))),AND(IF(metadata!P367="",FALSE,IF(ISERROR(INT(metadata!P367)),FALSE,INT(metadata!P367)=metadata!P367)),metadata!P367&gt;0))</f>
        <v>0</v>
      </c>
      <c r="AQ367">
        <f>IF(metadata!Q367="",FALSE,TRUE)</f>
        <v>0</v>
      </c>
    </row>
    <row r="368" spans="1:43">
      <c r="A368" s="5">
        <f>IF(B368=" "," ",HYPERLINK(CONCATENATE("#metadata!",ADDRESS(INDEX($W$2:$W$1001,MATCH(ROWS($U$2:U368),$U$2:$U$1001,0),0),1)),INDEX($Z$2:$Z$1001,MATCH(ROWS($U$2:U368),$U$2:$U$1001,0),0)))</f>
        <v>0</v>
      </c>
      <c r="B368" s="4">
        <f>IF(OR(INDEX($V$2:$V$1001,MATCH(ROWS($U$2:U368),$U$2:$U$1001,0),1)&gt;=100000,INDEX($AB$1005:$AQ$1005,1,MATCH(COLUMNS($AB$1006:AB1006),$AB$1006:$AQ$1006,0))&gt;=100000), " ",IF(INDEX($AB$2:$AQ$1001,MATCH(ROWS($U$2:U368),$U$2:$U$1001,0),MATCH(COLUMNS($AB$1006:AB1006),$AB$1006:$AQ$1006,0)), HYPERLINK("#",""), HYPERLINK(CONCATENATE("#metadata!", ADDRESS(INDEX($W$2:$W$1001,MATCH(ROWS($U$2:U368),$U$2:$U$1001,0),0), INDEX($AB$1004:$AQ$1004,1,MATCH(COLUMNS($AB$1006:AB1006),$AB$1006:$AQ$1006,0)))),"Fix")))</f>
        <v>0</v>
      </c>
      <c r="C368" s="4">
        <f>IF(OR(INDEX($V$2:$V$1001,MATCH(ROWS($U$2:U368),$U$2:$U$1001,0),1)&gt;=100000,INDEX($AB$1005:$AQ$1005,1,MATCH(COLUMNS($AB$1006:AC1006),$AB$1006:$AQ$1006,0))&gt;=100000), " ",IF(INDEX($AB$2:$AQ$1001,MATCH(ROWS($U$2:U368),$U$2:$U$1001,0),MATCH(COLUMNS($AB$1006:AC1006),$AB$1006:$AQ$1006,0)), HYPERLINK("#",""), HYPERLINK(CONCATENATE("#metadata!", ADDRESS(INDEX($W$2:$W$1001,MATCH(ROWS($U$2:U368),$U$2:$U$1001,0),0), INDEX($AB$1004:$AQ$1004,1,MATCH(COLUMNS($AB$1006:AC1006),$AB$1006:$AQ$1006,0)))),"Fix")))</f>
        <v>0</v>
      </c>
      <c r="D368" s="4">
        <f>IF(OR(INDEX($V$2:$V$1001,MATCH(ROWS($U$2:U368),$U$2:$U$1001,0),1)&gt;=100000,INDEX($AB$1005:$AQ$1005,1,MATCH(COLUMNS($AB$1006:AD1006),$AB$1006:$AQ$1006,0))&gt;=100000), " ",IF(INDEX($AB$2:$AQ$1001,MATCH(ROWS($U$2:U368),$U$2:$U$1001,0),MATCH(COLUMNS($AB$1006:AD1006),$AB$1006:$AQ$1006,0)), HYPERLINK("#",""), HYPERLINK(CONCATENATE("#metadata!", ADDRESS(INDEX($W$2:$W$1001,MATCH(ROWS($U$2:U368),$U$2:$U$1001,0),0), INDEX($AB$1004:$AQ$1004,1,MATCH(COLUMNS($AB$1006:AD1006),$AB$1006:$AQ$1006,0)))),"Fix")))</f>
        <v>0</v>
      </c>
      <c r="E368" s="4">
        <f>IF(OR(INDEX($V$2:$V$1001,MATCH(ROWS($U$2:U368),$U$2:$U$1001,0),1)&gt;=100000,INDEX($AB$1005:$AQ$1005,1,MATCH(COLUMNS($AB$1006:AE1006),$AB$1006:$AQ$1006,0))&gt;=100000), " ",IF(INDEX($AB$2:$AQ$1001,MATCH(ROWS($U$2:U368),$U$2:$U$1001,0),MATCH(COLUMNS($AB$1006:AE1006),$AB$1006:$AQ$1006,0)), HYPERLINK("#",""), HYPERLINK(CONCATENATE("#metadata!", ADDRESS(INDEX($W$2:$W$1001,MATCH(ROWS($U$2:U368),$U$2:$U$1001,0),0), INDEX($AB$1004:$AQ$1004,1,MATCH(COLUMNS($AB$1006:AE1006),$AB$1006:$AQ$1006,0)))),"Fix")))</f>
        <v>0</v>
      </c>
      <c r="F368" s="4">
        <f>IF(OR(INDEX($V$2:$V$1001,MATCH(ROWS($U$2:U368),$U$2:$U$1001,0),1)&gt;=100000,INDEX($AB$1005:$AQ$1005,1,MATCH(COLUMNS($AB$1006:AF1006),$AB$1006:$AQ$1006,0))&gt;=100000), " ",IF(INDEX($AB$2:$AQ$1001,MATCH(ROWS($U$2:U368),$U$2:$U$1001,0),MATCH(COLUMNS($AB$1006:AF1006),$AB$1006:$AQ$1006,0)), HYPERLINK("#",""), HYPERLINK(CONCATENATE("#metadata!", ADDRESS(INDEX($W$2:$W$1001,MATCH(ROWS($U$2:U368),$U$2:$U$1001,0),0), INDEX($AB$1004:$AQ$1004,1,MATCH(COLUMNS($AB$1006:AF1006),$AB$1006:$AQ$1006,0)))),"Fix")))</f>
        <v>0</v>
      </c>
      <c r="G368" s="4">
        <f>IF(OR(INDEX($V$2:$V$1001,MATCH(ROWS($U$2:U368),$U$2:$U$1001,0),1)&gt;=100000,INDEX($AB$1005:$AQ$1005,1,MATCH(COLUMNS($AB$1006:AG1006),$AB$1006:$AQ$1006,0))&gt;=100000), " ",IF(INDEX($AB$2:$AQ$1001,MATCH(ROWS($U$2:U368),$U$2:$U$1001,0),MATCH(COLUMNS($AB$1006:AG1006),$AB$1006:$AQ$1006,0)), HYPERLINK("#",""), HYPERLINK(CONCATENATE("#metadata!", ADDRESS(INDEX($W$2:$W$1001,MATCH(ROWS($U$2:U368),$U$2:$U$1001,0),0), INDEX($AB$1004:$AQ$1004,1,MATCH(COLUMNS($AB$1006:AG1006),$AB$1006:$AQ$1006,0)))),"Fix")))</f>
        <v>0</v>
      </c>
      <c r="H368" s="4">
        <f>IF(OR(INDEX($V$2:$V$1001,MATCH(ROWS($U$2:U368),$U$2:$U$1001,0),1)&gt;=100000,INDEX($AB$1005:$AQ$1005,1,MATCH(COLUMNS($AB$1006:AH1006),$AB$1006:$AQ$1006,0))&gt;=100000), " ",IF(INDEX($AB$2:$AQ$1001,MATCH(ROWS($U$2:U368),$U$2:$U$1001,0),MATCH(COLUMNS($AB$1006:AH1006),$AB$1006:$AQ$1006,0)), HYPERLINK("#",""), HYPERLINK(CONCATENATE("#metadata!", ADDRESS(INDEX($W$2:$W$1001,MATCH(ROWS($U$2:U368),$U$2:$U$1001,0),0), INDEX($AB$1004:$AQ$1004,1,MATCH(COLUMNS($AB$1006:AH1006),$AB$1006:$AQ$1006,0)))),"Fix")))</f>
        <v>0</v>
      </c>
      <c r="I368" s="4">
        <f>IF(OR(INDEX($V$2:$V$1001,MATCH(ROWS($U$2:U368),$U$2:$U$1001,0),1)&gt;=100000,INDEX($AB$1005:$AQ$1005,1,MATCH(COLUMNS($AB$1006:AI1006),$AB$1006:$AQ$1006,0))&gt;=100000), " ",IF(INDEX($AB$2:$AQ$1001,MATCH(ROWS($U$2:U368),$U$2:$U$1001,0),MATCH(COLUMNS($AB$1006:AI1006),$AB$1006:$AQ$1006,0)), HYPERLINK("#",""), HYPERLINK(CONCATENATE("#metadata!", ADDRESS(INDEX($W$2:$W$1001,MATCH(ROWS($U$2:U368),$U$2:$U$1001,0),0), INDEX($AB$1004:$AQ$1004,1,MATCH(COLUMNS($AB$1006:AI1006),$AB$1006:$AQ$1006,0)))),"Fix")))</f>
        <v>0</v>
      </c>
      <c r="J368" s="4">
        <f>IF(OR(INDEX($V$2:$V$1001,MATCH(ROWS($U$2:U368),$U$2:$U$1001,0),1)&gt;=100000,INDEX($AB$1005:$AQ$1005,1,MATCH(COLUMNS($AB$1006:AJ1006),$AB$1006:$AQ$1006,0))&gt;=100000), " ",IF(INDEX($AB$2:$AQ$1001,MATCH(ROWS($U$2:U368),$U$2:$U$1001,0),MATCH(COLUMNS($AB$1006:AJ1006),$AB$1006:$AQ$1006,0)), HYPERLINK("#",""), HYPERLINK(CONCATENATE("#metadata!", ADDRESS(INDEX($W$2:$W$1001,MATCH(ROWS($U$2:U368),$U$2:$U$1001,0),0), INDEX($AB$1004:$AQ$1004,1,MATCH(COLUMNS($AB$1006:AJ1006),$AB$1006:$AQ$1006,0)))),"Fix")))</f>
        <v>0</v>
      </c>
      <c r="K368" s="4">
        <f>IF(OR(INDEX($V$2:$V$1001,MATCH(ROWS($U$2:U368),$U$2:$U$1001,0),1)&gt;=100000,INDEX($AB$1005:$AQ$1005,1,MATCH(COLUMNS($AB$1006:AK1006),$AB$1006:$AQ$1006,0))&gt;=100000), " ",IF(INDEX($AB$2:$AQ$1001,MATCH(ROWS($U$2:U368),$U$2:$U$1001,0),MATCH(COLUMNS($AB$1006:AK1006),$AB$1006:$AQ$1006,0)), HYPERLINK("#",""), HYPERLINK(CONCATENATE("#metadata!", ADDRESS(INDEX($W$2:$W$1001,MATCH(ROWS($U$2:U368),$U$2:$U$1001,0),0), INDEX($AB$1004:$AQ$1004,1,MATCH(COLUMNS($AB$1006:AK1006),$AB$1006:$AQ$1006,0)))),"Fix")))</f>
        <v>0</v>
      </c>
      <c r="L368" s="4">
        <f>IF(OR(INDEX($V$2:$V$1001,MATCH(ROWS($U$2:U368),$U$2:$U$1001,0),1)&gt;=100000,INDEX($AB$1005:$AQ$1005,1,MATCH(COLUMNS($AB$1006:AL1006),$AB$1006:$AQ$1006,0))&gt;=100000), " ",IF(INDEX($AB$2:$AQ$1001,MATCH(ROWS($U$2:U368),$U$2:$U$1001,0),MATCH(COLUMNS($AB$1006:AL1006),$AB$1006:$AQ$1006,0)), HYPERLINK("#",""), HYPERLINK(CONCATENATE("#metadata!", ADDRESS(INDEX($W$2:$W$1001,MATCH(ROWS($U$2:U368),$U$2:$U$1001,0),0), INDEX($AB$1004:$AQ$1004,1,MATCH(COLUMNS($AB$1006:AL1006),$AB$1006:$AQ$1006,0)))),"Fix")))</f>
        <v>0</v>
      </c>
      <c r="M368" s="4">
        <f>IF(OR(INDEX($V$2:$V$1001,MATCH(ROWS($U$2:U368),$U$2:$U$1001,0),1)&gt;=100000,INDEX($AB$1005:$AQ$1005,1,MATCH(COLUMNS($AB$1006:AM1006),$AB$1006:$AQ$1006,0))&gt;=100000), " ",IF(INDEX($AB$2:$AQ$1001,MATCH(ROWS($U$2:U368),$U$2:$U$1001,0),MATCH(COLUMNS($AB$1006:AM1006),$AB$1006:$AQ$1006,0)), HYPERLINK("#",""), HYPERLINK(CONCATENATE("#metadata!", ADDRESS(INDEX($W$2:$W$1001,MATCH(ROWS($U$2:U368),$U$2:$U$1001,0),0), INDEX($AB$1004:$AQ$1004,1,MATCH(COLUMNS($AB$1006:AM1006),$AB$1006:$AQ$1006,0)))),"Fix")))</f>
        <v>0</v>
      </c>
      <c r="N368" s="4">
        <f>IF(OR(INDEX($V$2:$V$1001,MATCH(ROWS($U$2:U368),$U$2:$U$1001,0),1)&gt;=100000,INDEX($AB$1005:$AQ$1005,1,MATCH(COLUMNS($AB$1006:AN1006),$AB$1006:$AQ$1006,0))&gt;=100000), " ",IF(INDEX($AB$2:$AQ$1001,MATCH(ROWS($U$2:U368),$U$2:$U$1001,0),MATCH(COLUMNS($AB$1006:AN1006),$AB$1006:$AQ$1006,0)), HYPERLINK("#",""), HYPERLINK(CONCATENATE("#metadata!", ADDRESS(INDEX($W$2:$W$1001,MATCH(ROWS($U$2:U368),$U$2:$U$1001,0),0), INDEX($AB$1004:$AQ$1004,1,MATCH(COLUMNS($AB$1006:AN1006),$AB$1006:$AQ$1006,0)))),"Fix")))</f>
        <v>0</v>
      </c>
      <c r="O368" s="4">
        <f>IF(OR(INDEX($V$2:$V$1001,MATCH(ROWS($U$2:U368),$U$2:$U$1001,0),1)&gt;=100000,INDEX($AB$1005:$AQ$1005,1,MATCH(COLUMNS($AB$1006:AO1006),$AB$1006:$AQ$1006,0))&gt;=100000), " ",IF(INDEX($AB$2:$AQ$1001,MATCH(ROWS($U$2:U368),$U$2:$U$1001,0),MATCH(COLUMNS($AB$1006:AO1006),$AB$1006:$AQ$1006,0)), HYPERLINK("#",""), HYPERLINK(CONCATENATE("#metadata!", ADDRESS(INDEX($W$2:$W$1001,MATCH(ROWS($U$2:U368),$U$2:$U$1001,0),0), INDEX($AB$1004:$AQ$1004,1,MATCH(COLUMNS($AB$1006:AO1006),$AB$1006:$AQ$1006,0)))),"Fix")))</f>
        <v>0</v>
      </c>
      <c r="P368" s="4">
        <f>IF(OR(INDEX($V$2:$V$1001,MATCH(ROWS($U$2:U368),$U$2:$U$1001,0),1)&gt;=100000,INDEX($AB$1005:$AQ$1005,1,MATCH(COLUMNS($AB$1006:AP1006),$AB$1006:$AQ$1006,0))&gt;=100000), " ",IF(INDEX($AB$2:$AQ$1001,MATCH(ROWS($U$2:U368),$U$2:$U$1001,0),MATCH(COLUMNS($AB$1006:AP1006),$AB$1006:$AQ$1006,0)), HYPERLINK("#",""), HYPERLINK(CONCATENATE("#metadata!", ADDRESS(INDEX($W$2:$W$1001,MATCH(ROWS($U$2:U368),$U$2:$U$1001,0),0), INDEX($AB$1004:$AQ$1004,1,MATCH(COLUMNS($AB$1006:AP1006),$AB$1006:$AQ$1006,0)))),"Fix")))</f>
        <v>0</v>
      </c>
      <c r="Q368" s="4">
        <f>IF(OR(INDEX($V$2:$V$1001,MATCH(ROWS($U$2:U368),$U$2:$U$1001,0),1)&gt;=100000,INDEX($AB$1005:$AQ$1005,1,MATCH(COLUMNS($AB$1006:AQ1006),$AB$1006:$AQ$1006,0))&gt;=100000), " ",IF(INDEX($AB$2:$AQ$1001,MATCH(ROWS($U$2:U368),$U$2:$U$1001,0),MATCH(COLUMNS($AB$1006:AQ1006),$AB$1006:$AQ$1006,0)), HYPERLINK("#",""), HYPERLINK(CONCATENATE("#metadata!", ADDRESS(INDEX($W$2:$W$1001,MATCH(ROWS($U$2:U368),$U$2:$U$1001,0),0), INDEX($AB$1004:$AQ$1004,1,MATCH(COLUMNS($AB$1006:AQ1006),$AB$1006:$AQ$1006,0)))),"Fix")))</f>
        <v>0</v>
      </c>
      <c r="U368">
        <v>0</v>
      </c>
      <c r="V368">
        <v>0</v>
      </c>
      <c r="W368">
        <v>0</v>
      </c>
      <c r="X368">
        <f>IF(Y368,TRUE,AND(AB368:AQ368))</f>
        <v>0</v>
      </c>
      <c r="Y368">
        <f>COUNTBLANK(metadata!B368:Q368)=COLUMNS(metadata!B368:Q368)</f>
        <v>0</v>
      </c>
      <c r="Z368">
        <v>0</v>
      </c>
      <c r="AB368">
        <f>AND(IF(metadata!B368="",FALSE,TRUE),COUNTIF(metadata!B:B, metadata!B368) = 1,NOT(ISERROR(SUMPRODUCT(SEARCH(MID(metadata!B368,ROW(INDIRECT("1:"&amp;LEN(metadata!B368))), 1),"0123456789abcdefghijklmnopqrstuvwxyzABCDEFGHIJKLMNOPQRSTUVWXYZ.")))))</f>
        <v>0</v>
      </c>
      <c r="AC368">
        <f>OR(AND(IF(metadata!C368="",FALSE,TRUE),OR(exact(metadata!C368,"missing: not collected"),exact(metadata!C368,"missing: not provided"),exact(metadata!C368,"missing: restricted access"))),AND(IF(metadata!C368="",FALSE,TRUE),AND(AND(IFERROR(INT(LEFT(metadata!C368,4))&gt;1900,FALSE),IFERROR(INT(LEFT(metadata!C368,4))&lt;=YEAR(NOW()),FALSE)), OR(MID(metadata!C368,5,1)="", AND(AND(MID(metadata!C368,5,1)="-",IFERROR(INT(MID(metadata!C368,6,1))&gt;=0,FALSE),IFERROR(INT(MID(metadata!C368,6,1))&lt;=1,FALSE),NOT(MID(metadata!C368,7,1)=""),IFERROR(INT(MID(metadata!C368,6,2))&gt;=1,FALSE),IFERROR(INT(MID(metadata!C368,6,2))&lt;=12,FALSE)), OR(MID(metadata!C368,8,1)="", AND(AND(MID(metadata!C368,8,1)="-",IFERROR(INT(MID(metadata!C368,9,1))&gt;=0,FALSE),IFERROR(INT(MID(metadata!C368,9,1))&lt;=3,FALSE),NOT(MID(metadata!C368,10,1)=""),IFERROR(INT(MID(metadata!C368,9,2))&gt;=1,FALSE),IFERROR(INT(MID(metadata!C368,9,2))&lt;=31,FALSE)), OR(MID(metadata!C368,11,1)="", AND(AND(MID(metadata!C368,11,1)=" ",IFERROR(INT(MID(metadata!C368,12,1))&gt;=0,FALSE),IFERROR(INT(MID(metadata!C368,12,1))&lt;=2,FALSE),NOT(MID(metadata!C368,13,1)=""),IFERROR(INT(MID(metadata!C368,12,2))&gt;=0,FALSE),IFERROR(INT(MID(metadata!C368,12,2))&lt;=23,FALSE)), OR(MID(metadata!C368,14,1)="", AND(AND(MID(metadata!C368,14,1)=":",IFERROR(INT(MID(metadata!C368,15,1))&gt;=0,FALSE),IFERROR(INT(MID(metadata!C368,15,1))&lt;=5,FALSE),NOT(MID(metadata!C368,16,1)=""),IFERROR(INT(MID(metadata!C368,15,2))&gt;=0,FALSE),IFERROR(INT(MID(metadata!C368,15,2))&lt;=59,FALSE)), OR(MID(metadata!C368,17,1)="", AND(AND(MID(metadata!C368,17,1)=":",IFERROR(INT(MID(metadata!C368,18,1))&gt;=0,FALSE),IFERROR(INT(MID(metadata!C368,18,1))&lt;=5,FALSE),NOT(MID(metadata!C368,19,1)=""),IFERROR(INT(MID(metadata!C368,18,2))&gt;=0,FALSE),IFERROR(INT(MID(metadata!C368,18,2))&lt;=59,FALSE)), LEN(metadata!C368)&lt;=19)))))))))))))</f>
        <v>0</v>
      </c>
      <c r="AD368">
        <f>IF(metadata!D368="",FALSE,TRUE)</f>
        <v>0</v>
      </c>
      <c r="AE368">
        <f>OR(AND(IF(metadata!E368="",FALSE,TRUE),OR(exact(metadata!E368,"missing: not collected"),exact(metadata!E368,"missing: not provided"))),AND(IF(metadata!E368="",FALSE,TRUE),OR(exact(metadata!E368,"TRUE"),exact(metadata!E368,"FALSE"))))</f>
        <v>0</v>
      </c>
      <c r="AF368">
        <f>IF(metadata!F368="",FALSE,TRUE)</f>
        <v>0</v>
      </c>
      <c r="AG368">
        <f>IF(metadata!G368="",FALSE,TRUE)</f>
        <v>0</v>
      </c>
      <c r="AH368">
        <f>IF(metadata!H368="",FALSE,TRUE)</f>
        <v>0</v>
      </c>
      <c r="AI368">
        <f>OR(AND(IF(metadata!I368="",FALSE,TRUE),OR(exact(metadata!I368,"missing: not collected"),exact(metadata!I368,"missing: not provided"),exact(metadata!I368,"missing: restricted access"))),AND(IF(metadata!I368="",FALSE,TRUE),OR(exact(metadata!I368,"air"),exact(metadata!I368,"built environment"),exact(metadata!I368,"host-associated"),exact(metadata!I368,"human-associated"),exact(metadata!I368,"human-skin"),exact(metadata!I368,"human-oral"),exact(metadata!I368,"human-gut"),exact(metadata!I368,"human-vaginal"),exact(metadata!I368,"microbial mat/biofilm"),exact(metadata!I368,"misc environment"),exact(metadata!I368,"plant-associated"),exact(metadata!I368,"sediment"),exact(metadata!I368,"soil"),exact(metadata!I368,"wastewater/sludge"),exact(metadata!I368,"water"))))</f>
        <v>0</v>
      </c>
      <c r="AJ368">
        <f>IF(metadata!J368="",FALSE,TRUE)</f>
        <v>0</v>
      </c>
      <c r="AK368">
        <f>OR(AND(IF(metadata!K368="",FALSE,TRUE),OR(exact(metadata!K368,"missing: not collected"),exact(metadata!K368,"missing: not provided"),exact(metadata!K368,"missing: restricted access"))),AND(IF(metadata!K368="",FALSE,ISNUMBER(VALUE(metadata!K368))),metadata!K368&gt;=-90.00,metadata!K368&lt;=90.00))</f>
        <v>0</v>
      </c>
      <c r="AL368">
        <f>OR(AND(IF(metadata!L368="",FALSE,TRUE),OR(exact(metadata!L368,"missing: not collected"),exact(metadata!L368,"missing: not provided"),exact(metadata!L368,"missing: restricted access"))),AND(IF(metadata!L368="",FALSE,ISNUMBER(VALUE(metadata!L368))),metadata!L368&gt;=-180.00,metadata!L368&lt;=180.00))</f>
        <v>0</v>
      </c>
      <c r="AM368">
        <f>IF(metadata!M368="",FALSE,TRUE)</f>
        <v>0</v>
      </c>
      <c r="AN368">
        <f>OR(AND(IF(metadata!N368="",FALSE,TRUE),OR(exact(metadata!N368,"missing: not collected"),exact(metadata!N368,"missing: not provided"),exact(metadata!N368,"missing: restricted access"))),AND(IF(metadata!N368="",FALSE,TRUE),OR(exact(metadata!N368,"TRUE"),exact(metadata!N368,"FALSE"))))</f>
        <v>0</v>
      </c>
      <c r="AO368">
        <f>IF(metadata!O368="",FALSE,TRUE)</f>
        <v>0</v>
      </c>
      <c r="AP368">
        <f>OR(AND(IF(metadata!P368="",FALSE,TRUE),OR(exact(metadata!P368,"missing: not collected"),exact(metadata!P368,"missing: not provided"))),AND(IF(metadata!P368="",FALSE,IF(ISERROR(INT(metadata!P368)),FALSE,INT(metadata!P368)=metadata!P368)),metadata!P368&gt;0))</f>
        <v>0</v>
      </c>
      <c r="AQ368">
        <f>IF(metadata!Q368="",FALSE,TRUE)</f>
        <v>0</v>
      </c>
    </row>
    <row r="369" spans="1:43">
      <c r="A369" s="5">
        <f>IF(B369=" "," ",HYPERLINK(CONCATENATE("#metadata!",ADDRESS(INDEX($W$2:$W$1001,MATCH(ROWS($U$2:U369),$U$2:$U$1001,0),0),1)),INDEX($Z$2:$Z$1001,MATCH(ROWS($U$2:U369),$U$2:$U$1001,0),0)))</f>
        <v>0</v>
      </c>
      <c r="B369" s="4">
        <f>IF(OR(INDEX($V$2:$V$1001,MATCH(ROWS($U$2:U369),$U$2:$U$1001,0),1)&gt;=100000,INDEX($AB$1005:$AQ$1005,1,MATCH(COLUMNS($AB$1006:AB1006),$AB$1006:$AQ$1006,0))&gt;=100000), " ",IF(INDEX($AB$2:$AQ$1001,MATCH(ROWS($U$2:U369),$U$2:$U$1001,0),MATCH(COLUMNS($AB$1006:AB1006),$AB$1006:$AQ$1006,0)), HYPERLINK("#",""), HYPERLINK(CONCATENATE("#metadata!", ADDRESS(INDEX($W$2:$W$1001,MATCH(ROWS($U$2:U369),$U$2:$U$1001,0),0), INDEX($AB$1004:$AQ$1004,1,MATCH(COLUMNS($AB$1006:AB1006),$AB$1006:$AQ$1006,0)))),"Fix")))</f>
        <v>0</v>
      </c>
      <c r="C369" s="4">
        <f>IF(OR(INDEX($V$2:$V$1001,MATCH(ROWS($U$2:U369),$U$2:$U$1001,0),1)&gt;=100000,INDEX($AB$1005:$AQ$1005,1,MATCH(COLUMNS($AB$1006:AC1006),$AB$1006:$AQ$1006,0))&gt;=100000), " ",IF(INDEX($AB$2:$AQ$1001,MATCH(ROWS($U$2:U369),$U$2:$U$1001,0),MATCH(COLUMNS($AB$1006:AC1006),$AB$1006:$AQ$1006,0)), HYPERLINK("#",""), HYPERLINK(CONCATENATE("#metadata!", ADDRESS(INDEX($W$2:$W$1001,MATCH(ROWS($U$2:U369),$U$2:$U$1001,0),0), INDEX($AB$1004:$AQ$1004,1,MATCH(COLUMNS($AB$1006:AC1006),$AB$1006:$AQ$1006,0)))),"Fix")))</f>
        <v>0</v>
      </c>
      <c r="D369" s="4">
        <f>IF(OR(INDEX($V$2:$V$1001,MATCH(ROWS($U$2:U369),$U$2:$U$1001,0),1)&gt;=100000,INDEX($AB$1005:$AQ$1005,1,MATCH(COLUMNS($AB$1006:AD1006),$AB$1006:$AQ$1006,0))&gt;=100000), " ",IF(INDEX($AB$2:$AQ$1001,MATCH(ROWS($U$2:U369),$U$2:$U$1001,0),MATCH(COLUMNS($AB$1006:AD1006),$AB$1006:$AQ$1006,0)), HYPERLINK("#",""), HYPERLINK(CONCATENATE("#metadata!", ADDRESS(INDEX($W$2:$W$1001,MATCH(ROWS($U$2:U369),$U$2:$U$1001,0),0), INDEX($AB$1004:$AQ$1004,1,MATCH(COLUMNS($AB$1006:AD1006),$AB$1006:$AQ$1006,0)))),"Fix")))</f>
        <v>0</v>
      </c>
      <c r="E369" s="4">
        <f>IF(OR(INDEX($V$2:$V$1001,MATCH(ROWS($U$2:U369),$U$2:$U$1001,0),1)&gt;=100000,INDEX($AB$1005:$AQ$1005,1,MATCH(COLUMNS($AB$1006:AE1006),$AB$1006:$AQ$1006,0))&gt;=100000), " ",IF(INDEX($AB$2:$AQ$1001,MATCH(ROWS($U$2:U369),$U$2:$U$1001,0),MATCH(COLUMNS($AB$1006:AE1006),$AB$1006:$AQ$1006,0)), HYPERLINK("#",""), HYPERLINK(CONCATENATE("#metadata!", ADDRESS(INDEX($W$2:$W$1001,MATCH(ROWS($U$2:U369),$U$2:$U$1001,0),0), INDEX($AB$1004:$AQ$1004,1,MATCH(COLUMNS($AB$1006:AE1006),$AB$1006:$AQ$1006,0)))),"Fix")))</f>
        <v>0</v>
      </c>
      <c r="F369" s="4">
        <f>IF(OR(INDEX($V$2:$V$1001,MATCH(ROWS($U$2:U369),$U$2:$U$1001,0),1)&gt;=100000,INDEX($AB$1005:$AQ$1005,1,MATCH(COLUMNS($AB$1006:AF1006),$AB$1006:$AQ$1006,0))&gt;=100000), " ",IF(INDEX($AB$2:$AQ$1001,MATCH(ROWS($U$2:U369),$U$2:$U$1001,0),MATCH(COLUMNS($AB$1006:AF1006),$AB$1006:$AQ$1006,0)), HYPERLINK("#",""), HYPERLINK(CONCATENATE("#metadata!", ADDRESS(INDEX($W$2:$W$1001,MATCH(ROWS($U$2:U369),$U$2:$U$1001,0),0), INDEX($AB$1004:$AQ$1004,1,MATCH(COLUMNS($AB$1006:AF1006),$AB$1006:$AQ$1006,0)))),"Fix")))</f>
        <v>0</v>
      </c>
      <c r="G369" s="4">
        <f>IF(OR(INDEX($V$2:$V$1001,MATCH(ROWS($U$2:U369),$U$2:$U$1001,0),1)&gt;=100000,INDEX($AB$1005:$AQ$1005,1,MATCH(COLUMNS($AB$1006:AG1006),$AB$1006:$AQ$1006,0))&gt;=100000), " ",IF(INDEX($AB$2:$AQ$1001,MATCH(ROWS($U$2:U369),$U$2:$U$1001,0),MATCH(COLUMNS($AB$1006:AG1006),$AB$1006:$AQ$1006,0)), HYPERLINK("#",""), HYPERLINK(CONCATENATE("#metadata!", ADDRESS(INDEX($W$2:$W$1001,MATCH(ROWS($U$2:U369),$U$2:$U$1001,0),0), INDEX($AB$1004:$AQ$1004,1,MATCH(COLUMNS($AB$1006:AG1006),$AB$1006:$AQ$1006,0)))),"Fix")))</f>
        <v>0</v>
      </c>
      <c r="H369" s="4">
        <f>IF(OR(INDEX($V$2:$V$1001,MATCH(ROWS($U$2:U369),$U$2:$U$1001,0),1)&gt;=100000,INDEX($AB$1005:$AQ$1005,1,MATCH(COLUMNS($AB$1006:AH1006),$AB$1006:$AQ$1006,0))&gt;=100000), " ",IF(INDEX($AB$2:$AQ$1001,MATCH(ROWS($U$2:U369),$U$2:$U$1001,0),MATCH(COLUMNS($AB$1006:AH1006),$AB$1006:$AQ$1006,0)), HYPERLINK("#",""), HYPERLINK(CONCATENATE("#metadata!", ADDRESS(INDEX($W$2:$W$1001,MATCH(ROWS($U$2:U369),$U$2:$U$1001,0),0), INDEX($AB$1004:$AQ$1004,1,MATCH(COLUMNS($AB$1006:AH1006),$AB$1006:$AQ$1006,0)))),"Fix")))</f>
        <v>0</v>
      </c>
      <c r="I369" s="4">
        <f>IF(OR(INDEX($V$2:$V$1001,MATCH(ROWS($U$2:U369),$U$2:$U$1001,0),1)&gt;=100000,INDEX($AB$1005:$AQ$1005,1,MATCH(COLUMNS($AB$1006:AI1006),$AB$1006:$AQ$1006,0))&gt;=100000), " ",IF(INDEX($AB$2:$AQ$1001,MATCH(ROWS($U$2:U369),$U$2:$U$1001,0),MATCH(COLUMNS($AB$1006:AI1006),$AB$1006:$AQ$1006,0)), HYPERLINK("#",""), HYPERLINK(CONCATENATE("#metadata!", ADDRESS(INDEX($W$2:$W$1001,MATCH(ROWS($U$2:U369),$U$2:$U$1001,0),0), INDEX($AB$1004:$AQ$1004,1,MATCH(COLUMNS($AB$1006:AI1006),$AB$1006:$AQ$1006,0)))),"Fix")))</f>
        <v>0</v>
      </c>
      <c r="J369" s="4">
        <f>IF(OR(INDEX($V$2:$V$1001,MATCH(ROWS($U$2:U369),$U$2:$U$1001,0),1)&gt;=100000,INDEX($AB$1005:$AQ$1005,1,MATCH(COLUMNS($AB$1006:AJ1006),$AB$1006:$AQ$1006,0))&gt;=100000), " ",IF(INDEX($AB$2:$AQ$1001,MATCH(ROWS($U$2:U369),$U$2:$U$1001,0),MATCH(COLUMNS($AB$1006:AJ1006),$AB$1006:$AQ$1006,0)), HYPERLINK("#",""), HYPERLINK(CONCATENATE("#metadata!", ADDRESS(INDEX($W$2:$W$1001,MATCH(ROWS($U$2:U369),$U$2:$U$1001,0),0), INDEX($AB$1004:$AQ$1004,1,MATCH(COLUMNS($AB$1006:AJ1006),$AB$1006:$AQ$1006,0)))),"Fix")))</f>
        <v>0</v>
      </c>
      <c r="K369" s="4">
        <f>IF(OR(INDEX($V$2:$V$1001,MATCH(ROWS($U$2:U369),$U$2:$U$1001,0),1)&gt;=100000,INDEX($AB$1005:$AQ$1005,1,MATCH(COLUMNS($AB$1006:AK1006),$AB$1006:$AQ$1006,0))&gt;=100000), " ",IF(INDEX($AB$2:$AQ$1001,MATCH(ROWS($U$2:U369),$U$2:$U$1001,0),MATCH(COLUMNS($AB$1006:AK1006),$AB$1006:$AQ$1006,0)), HYPERLINK("#",""), HYPERLINK(CONCATENATE("#metadata!", ADDRESS(INDEX($W$2:$W$1001,MATCH(ROWS($U$2:U369),$U$2:$U$1001,0),0), INDEX($AB$1004:$AQ$1004,1,MATCH(COLUMNS($AB$1006:AK1006),$AB$1006:$AQ$1006,0)))),"Fix")))</f>
        <v>0</v>
      </c>
      <c r="L369" s="4">
        <f>IF(OR(INDEX($V$2:$V$1001,MATCH(ROWS($U$2:U369),$U$2:$U$1001,0),1)&gt;=100000,INDEX($AB$1005:$AQ$1005,1,MATCH(COLUMNS($AB$1006:AL1006),$AB$1006:$AQ$1006,0))&gt;=100000), " ",IF(INDEX($AB$2:$AQ$1001,MATCH(ROWS($U$2:U369),$U$2:$U$1001,0),MATCH(COLUMNS($AB$1006:AL1006),$AB$1006:$AQ$1006,0)), HYPERLINK("#",""), HYPERLINK(CONCATENATE("#metadata!", ADDRESS(INDEX($W$2:$W$1001,MATCH(ROWS($U$2:U369),$U$2:$U$1001,0),0), INDEX($AB$1004:$AQ$1004,1,MATCH(COLUMNS($AB$1006:AL1006),$AB$1006:$AQ$1006,0)))),"Fix")))</f>
        <v>0</v>
      </c>
      <c r="M369" s="4">
        <f>IF(OR(INDEX($V$2:$V$1001,MATCH(ROWS($U$2:U369),$U$2:$U$1001,0),1)&gt;=100000,INDEX($AB$1005:$AQ$1005,1,MATCH(COLUMNS($AB$1006:AM1006),$AB$1006:$AQ$1006,0))&gt;=100000), " ",IF(INDEX($AB$2:$AQ$1001,MATCH(ROWS($U$2:U369),$U$2:$U$1001,0),MATCH(COLUMNS($AB$1006:AM1006),$AB$1006:$AQ$1006,0)), HYPERLINK("#",""), HYPERLINK(CONCATENATE("#metadata!", ADDRESS(INDEX($W$2:$W$1001,MATCH(ROWS($U$2:U369),$U$2:$U$1001,0),0), INDEX($AB$1004:$AQ$1004,1,MATCH(COLUMNS($AB$1006:AM1006),$AB$1006:$AQ$1006,0)))),"Fix")))</f>
        <v>0</v>
      </c>
      <c r="N369" s="4">
        <f>IF(OR(INDEX($V$2:$V$1001,MATCH(ROWS($U$2:U369),$U$2:$U$1001,0),1)&gt;=100000,INDEX($AB$1005:$AQ$1005,1,MATCH(COLUMNS($AB$1006:AN1006),$AB$1006:$AQ$1006,0))&gt;=100000), " ",IF(INDEX($AB$2:$AQ$1001,MATCH(ROWS($U$2:U369),$U$2:$U$1001,0),MATCH(COLUMNS($AB$1006:AN1006),$AB$1006:$AQ$1006,0)), HYPERLINK("#",""), HYPERLINK(CONCATENATE("#metadata!", ADDRESS(INDEX($W$2:$W$1001,MATCH(ROWS($U$2:U369),$U$2:$U$1001,0),0), INDEX($AB$1004:$AQ$1004,1,MATCH(COLUMNS($AB$1006:AN1006),$AB$1006:$AQ$1006,0)))),"Fix")))</f>
        <v>0</v>
      </c>
      <c r="O369" s="4">
        <f>IF(OR(INDEX($V$2:$V$1001,MATCH(ROWS($U$2:U369),$U$2:$U$1001,0),1)&gt;=100000,INDEX($AB$1005:$AQ$1005,1,MATCH(COLUMNS($AB$1006:AO1006),$AB$1006:$AQ$1006,0))&gt;=100000), " ",IF(INDEX($AB$2:$AQ$1001,MATCH(ROWS($U$2:U369),$U$2:$U$1001,0),MATCH(COLUMNS($AB$1006:AO1006),$AB$1006:$AQ$1006,0)), HYPERLINK("#",""), HYPERLINK(CONCATENATE("#metadata!", ADDRESS(INDEX($W$2:$W$1001,MATCH(ROWS($U$2:U369),$U$2:$U$1001,0),0), INDEX($AB$1004:$AQ$1004,1,MATCH(COLUMNS($AB$1006:AO1006),$AB$1006:$AQ$1006,0)))),"Fix")))</f>
        <v>0</v>
      </c>
      <c r="P369" s="4">
        <f>IF(OR(INDEX($V$2:$V$1001,MATCH(ROWS($U$2:U369),$U$2:$U$1001,0),1)&gt;=100000,INDEX($AB$1005:$AQ$1005,1,MATCH(COLUMNS($AB$1006:AP1006),$AB$1006:$AQ$1006,0))&gt;=100000), " ",IF(INDEX($AB$2:$AQ$1001,MATCH(ROWS($U$2:U369),$U$2:$U$1001,0),MATCH(COLUMNS($AB$1006:AP1006),$AB$1006:$AQ$1006,0)), HYPERLINK("#",""), HYPERLINK(CONCATENATE("#metadata!", ADDRESS(INDEX($W$2:$W$1001,MATCH(ROWS($U$2:U369),$U$2:$U$1001,0),0), INDEX($AB$1004:$AQ$1004,1,MATCH(COLUMNS($AB$1006:AP1006),$AB$1006:$AQ$1006,0)))),"Fix")))</f>
        <v>0</v>
      </c>
      <c r="Q369" s="4">
        <f>IF(OR(INDEX($V$2:$V$1001,MATCH(ROWS($U$2:U369),$U$2:$U$1001,0),1)&gt;=100000,INDEX($AB$1005:$AQ$1005,1,MATCH(COLUMNS($AB$1006:AQ1006),$AB$1006:$AQ$1006,0))&gt;=100000), " ",IF(INDEX($AB$2:$AQ$1001,MATCH(ROWS($U$2:U369),$U$2:$U$1001,0),MATCH(COLUMNS($AB$1006:AQ1006),$AB$1006:$AQ$1006,0)), HYPERLINK("#",""), HYPERLINK(CONCATENATE("#metadata!", ADDRESS(INDEX($W$2:$W$1001,MATCH(ROWS($U$2:U369),$U$2:$U$1001,0),0), INDEX($AB$1004:$AQ$1004,1,MATCH(COLUMNS($AB$1006:AQ1006),$AB$1006:$AQ$1006,0)))),"Fix")))</f>
        <v>0</v>
      </c>
      <c r="U369">
        <v>0</v>
      </c>
      <c r="V369">
        <v>0</v>
      </c>
      <c r="W369">
        <v>0</v>
      </c>
      <c r="X369">
        <f>IF(Y369,TRUE,AND(AB369:AQ369))</f>
        <v>0</v>
      </c>
      <c r="Y369">
        <f>COUNTBLANK(metadata!B369:Q369)=COLUMNS(metadata!B369:Q369)</f>
        <v>0</v>
      </c>
      <c r="Z369">
        <v>0</v>
      </c>
      <c r="AB369">
        <f>AND(IF(metadata!B369="",FALSE,TRUE),COUNTIF(metadata!B:B, metadata!B369) = 1,NOT(ISERROR(SUMPRODUCT(SEARCH(MID(metadata!B369,ROW(INDIRECT("1:"&amp;LEN(metadata!B369))), 1),"0123456789abcdefghijklmnopqrstuvwxyzABCDEFGHIJKLMNOPQRSTUVWXYZ.")))))</f>
        <v>0</v>
      </c>
      <c r="AC369">
        <f>OR(AND(IF(metadata!C369="",FALSE,TRUE),OR(exact(metadata!C369,"missing: not collected"),exact(metadata!C369,"missing: not provided"),exact(metadata!C369,"missing: restricted access"))),AND(IF(metadata!C369="",FALSE,TRUE),AND(AND(IFERROR(INT(LEFT(metadata!C369,4))&gt;1900,FALSE),IFERROR(INT(LEFT(metadata!C369,4))&lt;=YEAR(NOW()),FALSE)), OR(MID(metadata!C369,5,1)="", AND(AND(MID(metadata!C369,5,1)="-",IFERROR(INT(MID(metadata!C369,6,1))&gt;=0,FALSE),IFERROR(INT(MID(metadata!C369,6,1))&lt;=1,FALSE),NOT(MID(metadata!C369,7,1)=""),IFERROR(INT(MID(metadata!C369,6,2))&gt;=1,FALSE),IFERROR(INT(MID(metadata!C369,6,2))&lt;=12,FALSE)), OR(MID(metadata!C369,8,1)="", AND(AND(MID(metadata!C369,8,1)="-",IFERROR(INT(MID(metadata!C369,9,1))&gt;=0,FALSE),IFERROR(INT(MID(metadata!C369,9,1))&lt;=3,FALSE),NOT(MID(metadata!C369,10,1)=""),IFERROR(INT(MID(metadata!C369,9,2))&gt;=1,FALSE),IFERROR(INT(MID(metadata!C369,9,2))&lt;=31,FALSE)), OR(MID(metadata!C369,11,1)="", AND(AND(MID(metadata!C369,11,1)=" ",IFERROR(INT(MID(metadata!C369,12,1))&gt;=0,FALSE),IFERROR(INT(MID(metadata!C369,12,1))&lt;=2,FALSE),NOT(MID(metadata!C369,13,1)=""),IFERROR(INT(MID(metadata!C369,12,2))&gt;=0,FALSE),IFERROR(INT(MID(metadata!C369,12,2))&lt;=23,FALSE)), OR(MID(metadata!C369,14,1)="", AND(AND(MID(metadata!C369,14,1)=":",IFERROR(INT(MID(metadata!C369,15,1))&gt;=0,FALSE),IFERROR(INT(MID(metadata!C369,15,1))&lt;=5,FALSE),NOT(MID(metadata!C369,16,1)=""),IFERROR(INT(MID(metadata!C369,15,2))&gt;=0,FALSE),IFERROR(INT(MID(metadata!C369,15,2))&lt;=59,FALSE)), OR(MID(metadata!C369,17,1)="", AND(AND(MID(metadata!C369,17,1)=":",IFERROR(INT(MID(metadata!C369,18,1))&gt;=0,FALSE),IFERROR(INT(MID(metadata!C369,18,1))&lt;=5,FALSE),NOT(MID(metadata!C369,19,1)=""),IFERROR(INT(MID(metadata!C369,18,2))&gt;=0,FALSE),IFERROR(INT(MID(metadata!C369,18,2))&lt;=59,FALSE)), LEN(metadata!C369)&lt;=19)))))))))))))</f>
        <v>0</v>
      </c>
      <c r="AD369">
        <f>IF(metadata!D369="",FALSE,TRUE)</f>
        <v>0</v>
      </c>
      <c r="AE369">
        <f>OR(AND(IF(metadata!E369="",FALSE,TRUE),OR(exact(metadata!E369,"missing: not collected"),exact(metadata!E369,"missing: not provided"))),AND(IF(metadata!E369="",FALSE,TRUE),OR(exact(metadata!E369,"TRUE"),exact(metadata!E369,"FALSE"))))</f>
        <v>0</v>
      </c>
      <c r="AF369">
        <f>IF(metadata!F369="",FALSE,TRUE)</f>
        <v>0</v>
      </c>
      <c r="AG369">
        <f>IF(metadata!G369="",FALSE,TRUE)</f>
        <v>0</v>
      </c>
      <c r="AH369">
        <f>IF(metadata!H369="",FALSE,TRUE)</f>
        <v>0</v>
      </c>
      <c r="AI369">
        <f>OR(AND(IF(metadata!I369="",FALSE,TRUE),OR(exact(metadata!I369,"missing: not collected"),exact(metadata!I369,"missing: not provided"),exact(metadata!I369,"missing: restricted access"))),AND(IF(metadata!I369="",FALSE,TRUE),OR(exact(metadata!I369,"air"),exact(metadata!I369,"built environment"),exact(metadata!I369,"host-associated"),exact(metadata!I369,"human-associated"),exact(metadata!I369,"human-skin"),exact(metadata!I369,"human-oral"),exact(metadata!I369,"human-gut"),exact(metadata!I369,"human-vaginal"),exact(metadata!I369,"microbial mat/biofilm"),exact(metadata!I369,"misc environment"),exact(metadata!I369,"plant-associated"),exact(metadata!I369,"sediment"),exact(metadata!I369,"soil"),exact(metadata!I369,"wastewater/sludge"),exact(metadata!I369,"water"))))</f>
        <v>0</v>
      </c>
      <c r="AJ369">
        <f>IF(metadata!J369="",FALSE,TRUE)</f>
        <v>0</v>
      </c>
      <c r="AK369">
        <f>OR(AND(IF(metadata!K369="",FALSE,TRUE),OR(exact(metadata!K369,"missing: not collected"),exact(metadata!K369,"missing: not provided"),exact(metadata!K369,"missing: restricted access"))),AND(IF(metadata!K369="",FALSE,ISNUMBER(VALUE(metadata!K369))),metadata!K369&gt;=-90.00,metadata!K369&lt;=90.00))</f>
        <v>0</v>
      </c>
      <c r="AL369">
        <f>OR(AND(IF(metadata!L369="",FALSE,TRUE),OR(exact(metadata!L369,"missing: not collected"),exact(metadata!L369,"missing: not provided"),exact(metadata!L369,"missing: restricted access"))),AND(IF(metadata!L369="",FALSE,ISNUMBER(VALUE(metadata!L369))),metadata!L369&gt;=-180.00,metadata!L369&lt;=180.00))</f>
        <v>0</v>
      </c>
      <c r="AM369">
        <f>IF(metadata!M369="",FALSE,TRUE)</f>
        <v>0</v>
      </c>
      <c r="AN369">
        <f>OR(AND(IF(metadata!N369="",FALSE,TRUE),OR(exact(metadata!N369,"missing: not collected"),exact(metadata!N369,"missing: not provided"),exact(metadata!N369,"missing: restricted access"))),AND(IF(metadata!N369="",FALSE,TRUE),OR(exact(metadata!N369,"TRUE"),exact(metadata!N369,"FALSE"))))</f>
        <v>0</v>
      </c>
      <c r="AO369">
        <f>IF(metadata!O369="",FALSE,TRUE)</f>
        <v>0</v>
      </c>
      <c r="AP369">
        <f>OR(AND(IF(metadata!P369="",FALSE,TRUE),OR(exact(metadata!P369,"missing: not collected"),exact(metadata!P369,"missing: not provided"))),AND(IF(metadata!P369="",FALSE,IF(ISERROR(INT(metadata!P369)),FALSE,INT(metadata!P369)=metadata!P369)),metadata!P369&gt;0))</f>
        <v>0</v>
      </c>
      <c r="AQ369">
        <f>IF(metadata!Q369="",FALSE,TRUE)</f>
        <v>0</v>
      </c>
    </row>
    <row r="370" spans="1:43">
      <c r="A370" s="5">
        <f>IF(B370=" "," ",HYPERLINK(CONCATENATE("#metadata!",ADDRESS(INDEX($W$2:$W$1001,MATCH(ROWS($U$2:U370),$U$2:$U$1001,0),0),1)),INDEX($Z$2:$Z$1001,MATCH(ROWS($U$2:U370),$U$2:$U$1001,0),0)))</f>
        <v>0</v>
      </c>
      <c r="B370" s="4">
        <f>IF(OR(INDEX($V$2:$V$1001,MATCH(ROWS($U$2:U370),$U$2:$U$1001,0),1)&gt;=100000,INDEX($AB$1005:$AQ$1005,1,MATCH(COLUMNS($AB$1006:AB1006),$AB$1006:$AQ$1006,0))&gt;=100000), " ",IF(INDEX($AB$2:$AQ$1001,MATCH(ROWS($U$2:U370),$U$2:$U$1001,0),MATCH(COLUMNS($AB$1006:AB1006),$AB$1006:$AQ$1006,0)), HYPERLINK("#",""), HYPERLINK(CONCATENATE("#metadata!", ADDRESS(INDEX($W$2:$W$1001,MATCH(ROWS($U$2:U370),$U$2:$U$1001,0),0), INDEX($AB$1004:$AQ$1004,1,MATCH(COLUMNS($AB$1006:AB1006),$AB$1006:$AQ$1006,0)))),"Fix")))</f>
        <v>0</v>
      </c>
      <c r="C370" s="4">
        <f>IF(OR(INDEX($V$2:$V$1001,MATCH(ROWS($U$2:U370),$U$2:$U$1001,0),1)&gt;=100000,INDEX($AB$1005:$AQ$1005,1,MATCH(COLUMNS($AB$1006:AC1006),$AB$1006:$AQ$1006,0))&gt;=100000), " ",IF(INDEX($AB$2:$AQ$1001,MATCH(ROWS($U$2:U370),$U$2:$U$1001,0),MATCH(COLUMNS($AB$1006:AC1006),$AB$1006:$AQ$1006,0)), HYPERLINK("#",""), HYPERLINK(CONCATENATE("#metadata!", ADDRESS(INDEX($W$2:$W$1001,MATCH(ROWS($U$2:U370),$U$2:$U$1001,0),0), INDEX($AB$1004:$AQ$1004,1,MATCH(COLUMNS($AB$1006:AC1006),$AB$1006:$AQ$1006,0)))),"Fix")))</f>
        <v>0</v>
      </c>
      <c r="D370" s="4">
        <f>IF(OR(INDEX($V$2:$V$1001,MATCH(ROWS($U$2:U370),$U$2:$U$1001,0),1)&gt;=100000,INDEX($AB$1005:$AQ$1005,1,MATCH(COLUMNS($AB$1006:AD1006),$AB$1006:$AQ$1006,0))&gt;=100000), " ",IF(INDEX($AB$2:$AQ$1001,MATCH(ROWS($U$2:U370),$U$2:$U$1001,0),MATCH(COLUMNS($AB$1006:AD1006),$AB$1006:$AQ$1006,0)), HYPERLINK("#",""), HYPERLINK(CONCATENATE("#metadata!", ADDRESS(INDEX($W$2:$W$1001,MATCH(ROWS($U$2:U370),$U$2:$U$1001,0),0), INDEX($AB$1004:$AQ$1004,1,MATCH(COLUMNS($AB$1006:AD1006),$AB$1006:$AQ$1006,0)))),"Fix")))</f>
        <v>0</v>
      </c>
      <c r="E370" s="4">
        <f>IF(OR(INDEX($V$2:$V$1001,MATCH(ROWS($U$2:U370),$U$2:$U$1001,0),1)&gt;=100000,INDEX($AB$1005:$AQ$1005,1,MATCH(COLUMNS($AB$1006:AE1006),$AB$1006:$AQ$1006,0))&gt;=100000), " ",IF(INDEX($AB$2:$AQ$1001,MATCH(ROWS($U$2:U370),$U$2:$U$1001,0),MATCH(COLUMNS($AB$1006:AE1006),$AB$1006:$AQ$1006,0)), HYPERLINK("#",""), HYPERLINK(CONCATENATE("#metadata!", ADDRESS(INDEX($W$2:$W$1001,MATCH(ROWS($U$2:U370),$U$2:$U$1001,0),0), INDEX($AB$1004:$AQ$1004,1,MATCH(COLUMNS($AB$1006:AE1006),$AB$1006:$AQ$1006,0)))),"Fix")))</f>
        <v>0</v>
      </c>
      <c r="F370" s="4">
        <f>IF(OR(INDEX($V$2:$V$1001,MATCH(ROWS($U$2:U370),$U$2:$U$1001,0),1)&gt;=100000,INDEX($AB$1005:$AQ$1005,1,MATCH(COLUMNS($AB$1006:AF1006),$AB$1006:$AQ$1006,0))&gt;=100000), " ",IF(INDEX($AB$2:$AQ$1001,MATCH(ROWS($U$2:U370),$U$2:$U$1001,0),MATCH(COLUMNS($AB$1006:AF1006),$AB$1006:$AQ$1006,0)), HYPERLINK("#",""), HYPERLINK(CONCATENATE("#metadata!", ADDRESS(INDEX($W$2:$W$1001,MATCH(ROWS($U$2:U370),$U$2:$U$1001,0),0), INDEX($AB$1004:$AQ$1004,1,MATCH(COLUMNS($AB$1006:AF1006),$AB$1006:$AQ$1006,0)))),"Fix")))</f>
        <v>0</v>
      </c>
      <c r="G370" s="4">
        <f>IF(OR(INDEX($V$2:$V$1001,MATCH(ROWS($U$2:U370),$U$2:$U$1001,0),1)&gt;=100000,INDEX($AB$1005:$AQ$1005,1,MATCH(COLUMNS($AB$1006:AG1006),$AB$1006:$AQ$1006,0))&gt;=100000), " ",IF(INDEX($AB$2:$AQ$1001,MATCH(ROWS($U$2:U370),$U$2:$U$1001,0),MATCH(COLUMNS($AB$1006:AG1006),$AB$1006:$AQ$1006,0)), HYPERLINK("#",""), HYPERLINK(CONCATENATE("#metadata!", ADDRESS(INDEX($W$2:$W$1001,MATCH(ROWS($U$2:U370),$U$2:$U$1001,0),0), INDEX($AB$1004:$AQ$1004,1,MATCH(COLUMNS($AB$1006:AG1006),$AB$1006:$AQ$1006,0)))),"Fix")))</f>
        <v>0</v>
      </c>
      <c r="H370" s="4">
        <f>IF(OR(INDEX($V$2:$V$1001,MATCH(ROWS($U$2:U370),$U$2:$U$1001,0),1)&gt;=100000,INDEX($AB$1005:$AQ$1005,1,MATCH(COLUMNS($AB$1006:AH1006),$AB$1006:$AQ$1006,0))&gt;=100000), " ",IF(INDEX($AB$2:$AQ$1001,MATCH(ROWS($U$2:U370),$U$2:$U$1001,0),MATCH(COLUMNS($AB$1006:AH1006),$AB$1006:$AQ$1006,0)), HYPERLINK("#",""), HYPERLINK(CONCATENATE("#metadata!", ADDRESS(INDEX($W$2:$W$1001,MATCH(ROWS($U$2:U370),$U$2:$U$1001,0),0), INDEX($AB$1004:$AQ$1004,1,MATCH(COLUMNS($AB$1006:AH1006),$AB$1006:$AQ$1006,0)))),"Fix")))</f>
        <v>0</v>
      </c>
      <c r="I370" s="4">
        <f>IF(OR(INDEX($V$2:$V$1001,MATCH(ROWS($U$2:U370),$U$2:$U$1001,0),1)&gt;=100000,INDEX($AB$1005:$AQ$1005,1,MATCH(COLUMNS($AB$1006:AI1006),$AB$1006:$AQ$1006,0))&gt;=100000), " ",IF(INDEX($AB$2:$AQ$1001,MATCH(ROWS($U$2:U370),$U$2:$U$1001,0),MATCH(COLUMNS($AB$1006:AI1006),$AB$1006:$AQ$1006,0)), HYPERLINK("#",""), HYPERLINK(CONCATENATE("#metadata!", ADDRESS(INDEX($W$2:$W$1001,MATCH(ROWS($U$2:U370),$U$2:$U$1001,0),0), INDEX($AB$1004:$AQ$1004,1,MATCH(COLUMNS($AB$1006:AI1006),$AB$1006:$AQ$1006,0)))),"Fix")))</f>
        <v>0</v>
      </c>
      <c r="J370" s="4">
        <f>IF(OR(INDEX($V$2:$V$1001,MATCH(ROWS($U$2:U370),$U$2:$U$1001,0),1)&gt;=100000,INDEX($AB$1005:$AQ$1005,1,MATCH(COLUMNS($AB$1006:AJ1006),$AB$1006:$AQ$1006,0))&gt;=100000), " ",IF(INDEX($AB$2:$AQ$1001,MATCH(ROWS($U$2:U370),$U$2:$U$1001,0),MATCH(COLUMNS($AB$1006:AJ1006),$AB$1006:$AQ$1006,0)), HYPERLINK("#",""), HYPERLINK(CONCATENATE("#metadata!", ADDRESS(INDEX($W$2:$W$1001,MATCH(ROWS($U$2:U370),$U$2:$U$1001,0),0), INDEX($AB$1004:$AQ$1004,1,MATCH(COLUMNS($AB$1006:AJ1006),$AB$1006:$AQ$1006,0)))),"Fix")))</f>
        <v>0</v>
      </c>
      <c r="K370" s="4">
        <f>IF(OR(INDEX($V$2:$V$1001,MATCH(ROWS($U$2:U370),$U$2:$U$1001,0),1)&gt;=100000,INDEX($AB$1005:$AQ$1005,1,MATCH(COLUMNS($AB$1006:AK1006),$AB$1006:$AQ$1006,0))&gt;=100000), " ",IF(INDEX($AB$2:$AQ$1001,MATCH(ROWS($U$2:U370),$U$2:$U$1001,0),MATCH(COLUMNS($AB$1006:AK1006),$AB$1006:$AQ$1006,0)), HYPERLINK("#",""), HYPERLINK(CONCATENATE("#metadata!", ADDRESS(INDEX($W$2:$W$1001,MATCH(ROWS($U$2:U370),$U$2:$U$1001,0),0), INDEX($AB$1004:$AQ$1004,1,MATCH(COLUMNS($AB$1006:AK1006),$AB$1006:$AQ$1006,0)))),"Fix")))</f>
        <v>0</v>
      </c>
      <c r="L370" s="4">
        <f>IF(OR(INDEX($V$2:$V$1001,MATCH(ROWS($U$2:U370),$U$2:$U$1001,0),1)&gt;=100000,INDEX($AB$1005:$AQ$1005,1,MATCH(COLUMNS($AB$1006:AL1006),$AB$1006:$AQ$1006,0))&gt;=100000), " ",IF(INDEX($AB$2:$AQ$1001,MATCH(ROWS($U$2:U370),$U$2:$U$1001,0),MATCH(COLUMNS($AB$1006:AL1006),$AB$1006:$AQ$1006,0)), HYPERLINK("#",""), HYPERLINK(CONCATENATE("#metadata!", ADDRESS(INDEX($W$2:$W$1001,MATCH(ROWS($U$2:U370),$U$2:$U$1001,0),0), INDEX($AB$1004:$AQ$1004,1,MATCH(COLUMNS($AB$1006:AL1006),$AB$1006:$AQ$1006,0)))),"Fix")))</f>
        <v>0</v>
      </c>
      <c r="M370" s="4">
        <f>IF(OR(INDEX($V$2:$V$1001,MATCH(ROWS($U$2:U370),$U$2:$U$1001,0),1)&gt;=100000,INDEX($AB$1005:$AQ$1005,1,MATCH(COLUMNS($AB$1006:AM1006),$AB$1006:$AQ$1006,0))&gt;=100000), " ",IF(INDEX($AB$2:$AQ$1001,MATCH(ROWS($U$2:U370),$U$2:$U$1001,0),MATCH(COLUMNS($AB$1006:AM1006),$AB$1006:$AQ$1006,0)), HYPERLINK("#",""), HYPERLINK(CONCATENATE("#metadata!", ADDRESS(INDEX($W$2:$W$1001,MATCH(ROWS($U$2:U370),$U$2:$U$1001,0),0), INDEX($AB$1004:$AQ$1004,1,MATCH(COLUMNS($AB$1006:AM1006),$AB$1006:$AQ$1006,0)))),"Fix")))</f>
        <v>0</v>
      </c>
      <c r="N370" s="4">
        <f>IF(OR(INDEX($V$2:$V$1001,MATCH(ROWS($U$2:U370),$U$2:$U$1001,0),1)&gt;=100000,INDEX($AB$1005:$AQ$1005,1,MATCH(COLUMNS($AB$1006:AN1006),$AB$1006:$AQ$1006,0))&gt;=100000), " ",IF(INDEX($AB$2:$AQ$1001,MATCH(ROWS($U$2:U370),$U$2:$U$1001,0),MATCH(COLUMNS($AB$1006:AN1006),$AB$1006:$AQ$1006,0)), HYPERLINK("#",""), HYPERLINK(CONCATENATE("#metadata!", ADDRESS(INDEX($W$2:$W$1001,MATCH(ROWS($U$2:U370),$U$2:$U$1001,0),0), INDEX($AB$1004:$AQ$1004,1,MATCH(COLUMNS($AB$1006:AN1006),$AB$1006:$AQ$1006,0)))),"Fix")))</f>
        <v>0</v>
      </c>
      <c r="O370" s="4">
        <f>IF(OR(INDEX($V$2:$V$1001,MATCH(ROWS($U$2:U370),$U$2:$U$1001,0),1)&gt;=100000,INDEX($AB$1005:$AQ$1005,1,MATCH(COLUMNS($AB$1006:AO1006),$AB$1006:$AQ$1006,0))&gt;=100000), " ",IF(INDEX($AB$2:$AQ$1001,MATCH(ROWS($U$2:U370),$U$2:$U$1001,0),MATCH(COLUMNS($AB$1006:AO1006),$AB$1006:$AQ$1006,0)), HYPERLINK("#",""), HYPERLINK(CONCATENATE("#metadata!", ADDRESS(INDEX($W$2:$W$1001,MATCH(ROWS($U$2:U370),$U$2:$U$1001,0),0), INDEX($AB$1004:$AQ$1004,1,MATCH(COLUMNS($AB$1006:AO1006),$AB$1006:$AQ$1006,0)))),"Fix")))</f>
        <v>0</v>
      </c>
      <c r="P370" s="4">
        <f>IF(OR(INDEX($V$2:$V$1001,MATCH(ROWS($U$2:U370),$U$2:$U$1001,0),1)&gt;=100000,INDEX($AB$1005:$AQ$1005,1,MATCH(COLUMNS($AB$1006:AP1006),$AB$1006:$AQ$1006,0))&gt;=100000), " ",IF(INDEX($AB$2:$AQ$1001,MATCH(ROWS($U$2:U370),$U$2:$U$1001,0),MATCH(COLUMNS($AB$1006:AP1006),$AB$1006:$AQ$1006,0)), HYPERLINK("#",""), HYPERLINK(CONCATENATE("#metadata!", ADDRESS(INDEX($W$2:$W$1001,MATCH(ROWS($U$2:U370),$U$2:$U$1001,0),0), INDEX($AB$1004:$AQ$1004,1,MATCH(COLUMNS($AB$1006:AP1006),$AB$1006:$AQ$1006,0)))),"Fix")))</f>
        <v>0</v>
      </c>
      <c r="Q370" s="4">
        <f>IF(OR(INDEX($V$2:$V$1001,MATCH(ROWS($U$2:U370),$U$2:$U$1001,0),1)&gt;=100000,INDEX($AB$1005:$AQ$1005,1,MATCH(COLUMNS($AB$1006:AQ1006),$AB$1006:$AQ$1006,0))&gt;=100000), " ",IF(INDEX($AB$2:$AQ$1001,MATCH(ROWS($U$2:U370),$U$2:$U$1001,0),MATCH(COLUMNS($AB$1006:AQ1006),$AB$1006:$AQ$1006,0)), HYPERLINK("#",""), HYPERLINK(CONCATENATE("#metadata!", ADDRESS(INDEX($W$2:$W$1001,MATCH(ROWS($U$2:U370),$U$2:$U$1001,0),0), INDEX($AB$1004:$AQ$1004,1,MATCH(COLUMNS($AB$1006:AQ1006),$AB$1006:$AQ$1006,0)))),"Fix")))</f>
        <v>0</v>
      </c>
      <c r="U370">
        <v>0</v>
      </c>
      <c r="V370">
        <v>0</v>
      </c>
      <c r="W370">
        <v>0</v>
      </c>
      <c r="X370">
        <f>IF(Y370,TRUE,AND(AB370:AQ370))</f>
        <v>0</v>
      </c>
      <c r="Y370">
        <f>COUNTBLANK(metadata!B370:Q370)=COLUMNS(metadata!B370:Q370)</f>
        <v>0</v>
      </c>
      <c r="Z370">
        <v>0</v>
      </c>
      <c r="AB370">
        <f>AND(IF(metadata!B370="",FALSE,TRUE),COUNTIF(metadata!B:B, metadata!B370) = 1,NOT(ISERROR(SUMPRODUCT(SEARCH(MID(metadata!B370,ROW(INDIRECT("1:"&amp;LEN(metadata!B370))), 1),"0123456789abcdefghijklmnopqrstuvwxyzABCDEFGHIJKLMNOPQRSTUVWXYZ.")))))</f>
        <v>0</v>
      </c>
      <c r="AC370">
        <f>OR(AND(IF(metadata!C370="",FALSE,TRUE),OR(exact(metadata!C370,"missing: not collected"),exact(metadata!C370,"missing: not provided"),exact(metadata!C370,"missing: restricted access"))),AND(IF(metadata!C370="",FALSE,TRUE),AND(AND(IFERROR(INT(LEFT(metadata!C370,4))&gt;1900,FALSE),IFERROR(INT(LEFT(metadata!C370,4))&lt;=YEAR(NOW()),FALSE)), OR(MID(metadata!C370,5,1)="", AND(AND(MID(metadata!C370,5,1)="-",IFERROR(INT(MID(metadata!C370,6,1))&gt;=0,FALSE),IFERROR(INT(MID(metadata!C370,6,1))&lt;=1,FALSE),NOT(MID(metadata!C370,7,1)=""),IFERROR(INT(MID(metadata!C370,6,2))&gt;=1,FALSE),IFERROR(INT(MID(metadata!C370,6,2))&lt;=12,FALSE)), OR(MID(metadata!C370,8,1)="", AND(AND(MID(metadata!C370,8,1)="-",IFERROR(INT(MID(metadata!C370,9,1))&gt;=0,FALSE),IFERROR(INT(MID(metadata!C370,9,1))&lt;=3,FALSE),NOT(MID(metadata!C370,10,1)=""),IFERROR(INT(MID(metadata!C370,9,2))&gt;=1,FALSE),IFERROR(INT(MID(metadata!C370,9,2))&lt;=31,FALSE)), OR(MID(metadata!C370,11,1)="", AND(AND(MID(metadata!C370,11,1)=" ",IFERROR(INT(MID(metadata!C370,12,1))&gt;=0,FALSE),IFERROR(INT(MID(metadata!C370,12,1))&lt;=2,FALSE),NOT(MID(metadata!C370,13,1)=""),IFERROR(INT(MID(metadata!C370,12,2))&gt;=0,FALSE),IFERROR(INT(MID(metadata!C370,12,2))&lt;=23,FALSE)), OR(MID(metadata!C370,14,1)="", AND(AND(MID(metadata!C370,14,1)=":",IFERROR(INT(MID(metadata!C370,15,1))&gt;=0,FALSE),IFERROR(INT(MID(metadata!C370,15,1))&lt;=5,FALSE),NOT(MID(metadata!C370,16,1)=""),IFERROR(INT(MID(metadata!C370,15,2))&gt;=0,FALSE),IFERROR(INT(MID(metadata!C370,15,2))&lt;=59,FALSE)), OR(MID(metadata!C370,17,1)="", AND(AND(MID(metadata!C370,17,1)=":",IFERROR(INT(MID(metadata!C370,18,1))&gt;=0,FALSE),IFERROR(INT(MID(metadata!C370,18,1))&lt;=5,FALSE),NOT(MID(metadata!C370,19,1)=""),IFERROR(INT(MID(metadata!C370,18,2))&gt;=0,FALSE),IFERROR(INT(MID(metadata!C370,18,2))&lt;=59,FALSE)), LEN(metadata!C370)&lt;=19)))))))))))))</f>
        <v>0</v>
      </c>
      <c r="AD370">
        <f>IF(metadata!D370="",FALSE,TRUE)</f>
        <v>0</v>
      </c>
      <c r="AE370">
        <f>OR(AND(IF(metadata!E370="",FALSE,TRUE),OR(exact(metadata!E370,"missing: not collected"),exact(metadata!E370,"missing: not provided"))),AND(IF(metadata!E370="",FALSE,TRUE),OR(exact(metadata!E370,"TRUE"),exact(metadata!E370,"FALSE"))))</f>
        <v>0</v>
      </c>
      <c r="AF370">
        <f>IF(metadata!F370="",FALSE,TRUE)</f>
        <v>0</v>
      </c>
      <c r="AG370">
        <f>IF(metadata!G370="",FALSE,TRUE)</f>
        <v>0</v>
      </c>
      <c r="AH370">
        <f>IF(metadata!H370="",FALSE,TRUE)</f>
        <v>0</v>
      </c>
      <c r="AI370">
        <f>OR(AND(IF(metadata!I370="",FALSE,TRUE),OR(exact(metadata!I370,"missing: not collected"),exact(metadata!I370,"missing: not provided"),exact(metadata!I370,"missing: restricted access"))),AND(IF(metadata!I370="",FALSE,TRUE),OR(exact(metadata!I370,"air"),exact(metadata!I370,"built environment"),exact(metadata!I370,"host-associated"),exact(metadata!I370,"human-associated"),exact(metadata!I370,"human-skin"),exact(metadata!I370,"human-oral"),exact(metadata!I370,"human-gut"),exact(metadata!I370,"human-vaginal"),exact(metadata!I370,"microbial mat/biofilm"),exact(metadata!I370,"misc environment"),exact(metadata!I370,"plant-associated"),exact(metadata!I370,"sediment"),exact(metadata!I370,"soil"),exact(metadata!I370,"wastewater/sludge"),exact(metadata!I370,"water"))))</f>
        <v>0</v>
      </c>
      <c r="AJ370">
        <f>IF(metadata!J370="",FALSE,TRUE)</f>
        <v>0</v>
      </c>
      <c r="AK370">
        <f>OR(AND(IF(metadata!K370="",FALSE,TRUE),OR(exact(metadata!K370,"missing: not collected"),exact(metadata!K370,"missing: not provided"),exact(metadata!K370,"missing: restricted access"))),AND(IF(metadata!K370="",FALSE,ISNUMBER(VALUE(metadata!K370))),metadata!K370&gt;=-90.00,metadata!K370&lt;=90.00))</f>
        <v>0</v>
      </c>
      <c r="AL370">
        <f>OR(AND(IF(metadata!L370="",FALSE,TRUE),OR(exact(metadata!L370,"missing: not collected"),exact(metadata!L370,"missing: not provided"),exact(metadata!L370,"missing: restricted access"))),AND(IF(metadata!L370="",FALSE,ISNUMBER(VALUE(metadata!L370))),metadata!L370&gt;=-180.00,metadata!L370&lt;=180.00))</f>
        <v>0</v>
      </c>
      <c r="AM370">
        <f>IF(metadata!M370="",FALSE,TRUE)</f>
        <v>0</v>
      </c>
      <c r="AN370">
        <f>OR(AND(IF(metadata!N370="",FALSE,TRUE),OR(exact(metadata!N370,"missing: not collected"),exact(metadata!N370,"missing: not provided"),exact(metadata!N370,"missing: restricted access"))),AND(IF(metadata!N370="",FALSE,TRUE),OR(exact(metadata!N370,"TRUE"),exact(metadata!N370,"FALSE"))))</f>
        <v>0</v>
      </c>
      <c r="AO370">
        <f>IF(metadata!O370="",FALSE,TRUE)</f>
        <v>0</v>
      </c>
      <c r="AP370">
        <f>OR(AND(IF(metadata!P370="",FALSE,TRUE),OR(exact(metadata!P370,"missing: not collected"),exact(metadata!P370,"missing: not provided"))),AND(IF(metadata!P370="",FALSE,IF(ISERROR(INT(metadata!P370)),FALSE,INT(metadata!P370)=metadata!P370)),metadata!P370&gt;0))</f>
        <v>0</v>
      </c>
      <c r="AQ370">
        <f>IF(metadata!Q370="",FALSE,TRUE)</f>
        <v>0</v>
      </c>
    </row>
    <row r="371" spans="1:43">
      <c r="A371" s="5">
        <f>IF(B371=" "," ",HYPERLINK(CONCATENATE("#metadata!",ADDRESS(INDEX($W$2:$W$1001,MATCH(ROWS($U$2:U371),$U$2:$U$1001,0),0),1)),INDEX($Z$2:$Z$1001,MATCH(ROWS($U$2:U371),$U$2:$U$1001,0),0)))</f>
        <v>0</v>
      </c>
      <c r="B371" s="4">
        <f>IF(OR(INDEX($V$2:$V$1001,MATCH(ROWS($U$2:U371),$U$2:$U$1001,0),1)&gt;=100000,INDEX($AB$1005:$AQ$1005,1,MATCH(COLUMNS($AB$1006:AB1006),$AB$1006:$AQ$1006,0))&gt;=100000), " ",IF(INDEX($AB$2:$AQ$1001,MATCH(ROWS($U$2:U371),$U$2:$U$1001,0),MATCH(COLUMNS($AB$1006:AB1006),$AB$1006:$AQ$1006,0)), HYPERLINK("#",""), HYPERLINK(CONCATENATE("#metadata!", ADDRESS(INDEX($W$2:$W$1001,MATCH(ROWS($U$2:U371),$U$2:$U$1001,0),0), INDEX($AB$1004:$AQ$1004,1,MATCH(COLUMNS($AB$1006:AB1006),$AB$1006:$AQ$1006,0)))),"Fix")))</f>
        <v>0</v>
      </c>
      <c r="C371" s="4">
        <f>IF(OR(INDEX($V$2:$V$1001,MATCH(ROWS($U$2:U371),$U$2:$U$1001,0),1)&gt;=100000,INDEX($AB$1005:$AQ$1005,1,MATCH(COLUMNS($AB$1006:AC1006),$AB$1006:$AQ$1006,0))&gt;=100000), " ",IF(INDEX($AB$2:$AQ$1001,MATCH(ROWS($U$2:U371),$U$2:$U$1001,0),MATCH(COLUMNS($AB$1006:AC1006),$AB$1006:$AQ$1006,0)), HYPERLINK("#",""), HYPERLINK(CONCATENATE("#metadata!", ADDRESS(INDEX($W$2:$W$1001,MATCH(ROWS($U$2:U371),$U$2:$U$1001,0),0), INDEX($AB$1004:$AQ$1004,1,MATCH(COLUMNS($AB$1006:AC1006),$AB$1006:$AQ$1006,0)))),"Fix")))</f>
        <v>0</v>
      </c>
      <c r="D371" s="4">
        <f>IF(OR(INDEX($V$2:$V$1001,MATCH(ROWS($U$2:U371),$U$2:$U$1001,0),1)&gt;=100000,INDEX($AB$1005:$AQ$1005,1,MATCH(COLUMNS($AB$1006:AD1006),$AB$1006:$AQ$1006,0))&gt;=100000), " ",IF(INDEX($AB$2:$AQ$1001,MATCH(ROWS($U$2:U371),$U$2:$U$1001,0),MATCH(COLUMNS($AB$1006:AD1006),$AB$1006:$AQ$1006,0)), HYPERLINK("#",""), HYPERLINK(CONCATENATE("#metadata!", ADDRESS(INDEX($W$2:$W$1001,MATCH(ROWS($U$2:U371),$U$2:$U$1001,0),0), INDEX($AB$1004:$AQ$1004,1,MATCH(COLUMNS($AB$1006:AD1006),$AB$1006:$AQ$1006,0)))),"Fix")))</f>
        <v>0</v>
      </c>
      <c r="E371" s="4">
        <f>IF(OR(INDEX($V$2:$V$1001,MATCH(ROWS($U$2:U371),$U$2:$U$1001,0),1)&gt;=100000,INDEX($AB$1005:$AQ$1005,1,MATCH(COLUMNS($AB$1006:AE1006),$AB$1006:$AQ$1006,0))&gt;=100000), " ",IF(INDEX($AB$2:$AQ$1001,MATCH(ROWS($U$2:U371),$U$2:$U$1001,0),MATCH(COLUMNS($AB$1006:AE1006),$AB$1006:$AQ$1006,0)), HYPERLINK("#",""), HYPERLINK(CONCATENATE("#metadata!", ADDRESS(INDEX($W$2:$W$1001,MATCH(ROWS($U$2:U371),$U$2:$U$1001,0),0), INDEX($AB$1004:$AQ$1004,1,MATCH(COLUMNS($AB$1006:AE1006),$AB$1006:$AQ$1006,0)))),"Fix")))</f>
        <v>0</v>
      </c>
      <c r="F371" s="4">
        <f>IF(OR(INDEX($V$2:$V$1001,MATCH(ROWS($U$2:U371),$U$2:$U$1001,0),1)&gt;=100000,INDEX($AB$1005:$AQ$1005,1,MATCH(COLUMNS($AB$1006:AF1006),$AB$1006:$AQ$1006,0))&gt;=100000), " ",IF(INDEX($AB$2:$AQ$1001,MATCH(ROWS($U$2:U371),$U$2:$U$1001,0),MATCH(COLUMNS($AB$1006:AF1006),$AB$1006:$AQ$1006,0)), HYPERLINK("#",""), HYPERLINK(CONCATENATE("#metadata!", ADDRESS(INDEX($W$2:$W$1001,MATCH(ROWS($U$2:U371),$U$2:$U$1001,0),0), INDEX($AB$1004:$AQ$1004,1,MATCH(COLUMNS($AB$1006:AF1006),$AB$1006:$AQ$1006,0)))),"Fix")))</f>
        <v>0</v>
      </c>
      <c r="G371" s="4">
        <f>IF(OR(INDEX($V$2:$V$1001,MATCH(ROWS($U$2:U371),$U$2:$U$1001,0),1)&gt;=100000,INDEX($AB$1005:$AQ$1005,1,MATCH(COLUMNS($AB$1006:AG1006),$AB$1006:$AQ$1006,0))&gt;=100000), " ",IF(INDEX($AB$2:$AQ$1001,MATCH(ROWS($U$2:U371),$U$2:$U$1001,0),MATCH(COLUMNS($AB$1006:AG1006),$AB$1006:$AQ$1006,0)), HYPERLINK("#",""), HYPERLINK(CONCATENATE("#metadata!", ADDRESS(INDEX($W$2:$W$1001,MATCH(ROWS($U$2:U371),$U$2:$U$1001,0),0), INDEX($AB$1004:$AQ$1004,1,MATCH(COLUMNS($AB$1006:AG1006),$AB$1006:$AQ$1006,0)))),"Fix")))</f>
        <v>0</v>
      </c>
      <c r="H371" s="4">
        <f>IF(OR(INDEX($V$2:$V$1001,MATCH(ROWS($U$2:U371),$U$2:$U$1001,0),1)&gt;=100000,INDEX($AB$1005:$AQ$1005,1,MATCH(COLUMNS($AB$1006:AH1006),$AB$1006:$AQ$1006,0))&gt;=100000), " ",IF(INDEX($AB$2:$AQ$1001,MATCH(ROWS($U$2:U371),$U$2:$U$1001,0),MATCH(COLUMNS($AB$1006:AH1006),$AB$1006:$AQ$1006,0)), HYPERLINK("#",""), HYPERLINK(CONCATENATE("#metadata!", ADDRESS(INDEX($W$2:$W$1001,MATCH(ROWS($U$2:U371),$U$2:$U$1001,0),0), INDEX($AB$1004:$AQ$1004,1,MATCH(COLUMNS($AB$1006:AH1006),$AB$1006:$AQ$1006,0)))),"Fix")))</f>
        <v>0</v>
      </c>
      <c r="I371" s="4">
        <f>IF(OR(INDEX($V$2:$V$1001,MATCH(ROWS($U$2:U371),$U$2:$U$1001,0),1)&gt;=100000,INDEX($AB$1005:$AQ$1005,1,MATCH(COLUMNS($AB$1006:AI1006),$AB$1006:$AQ$1006,0))&gt;=100000), " ",IF(INDEX($AB$2:$AQ$1001,MATCH(ROWS($U$2:U371),$U$2:$U$1001,0),MATCH(COLUMNS($AB$1006:AI1006),$AB$1006:$AQ$1006,0)), HYPERLINK("#",""), HYPERLINK(CONCATENATE("#metadata!", ADDRESS(INDEX($W$2:$W$1001,MATCH(ROWS($U$2:U371),$U$2:$U$1001,0),0), INDEX($AB$1004:$AQ$1004,1,MATCH(COLUMNS($AB$1006:AI1006),$AB$1006:$AQ$1006,0)))),"Fix")))</f>
        <v>0</v>
      </c>
      <c r="J371" s="4">
        <f>IF(OR(INDEX($V$2:$V$1001,MATCH(ROWS($U$2:U371),$U$2:$U$1001,0),1)&gt;=100000,INDEX($AB$1005:$AQ$1005,1,MATCH(COLUMNS($AB$1006:AJ1006),$AB$1006:$AQ$1006,0))&gt;=100000), " ",IF(INDEX($AB$2:$AQ$1001,MATCH(ROWS($U$2:U371),$U$2:$U$1001,0),MATCH(COLUMNS($AB$1006:AJ1006),$AB$1006:$AQ$1006,0)), HYPERLINK("#",""), HYPERLINK(CONCATENATE("#metadata!", ADDRESS(INDEX($W$2:$W$1001,MATCH(ROWS($U$2:U371),$U$2:$U$1001,0),0), INDEX($AB$1004:$AQ$1004,1,MATCH(COLUMNS($AB$1006:AJ1006),$AB$1006:$AQ$1006,0)))),"Fix")))</f>
        <v>0</v>
      </c>
      <c r="K371" s="4">
        <f>IF(OR(INDEX($V$2:$V$1001,MATCH(ROWS($U$2:U371),$U$2:$U$1001,0),1)&gt;=100000,INDEX($AB$1005:$AQ$1005,1,MATCH(COLUMNS($AB$1006:AK1006),$AB$1006:$AQ$1006,0))&gt;=100000), " ",IF(INDEX($AB$2:$AQ$1001,MATCH(ROWS($U$2:U371),$U$2:$U$1001,0),MATCH(COLUMNS($AB$1006:AK1006),$AB$1006:$AQ$1006,0)), HYPERLINK("#",""), HYPERLINK(CONCATENATE("#metadata!", ADDRESS(INDEX($W$2:$W$1001,MATCH(ROWS($U$2:U371),$U$2:$U$1001,0),0), INDEX($AB$1004:$AQ$1004,1,MATCH(COLUMNS($AB$1006:AK1006),$AB$1006:$AQ$1006,0)))),"Fix")))</f>
        <v>0</v>
      </c>
      <c r="L371" s="4">
        <f>IF(OR(INDEX($V$2:$V$1001,MATCH(ROWS($U$2:U371),$U$2:$U$1001,0),1)&gt;=100000,INDEX($AB$1005:$AQ$1005,1,MATCH(COLUMNS($AB$1006:AL1006),$AB$1006:$AQ$1006,0))&gt;=100000), " ",IF(INDEX($AB$2:$AQ$1001,MATCH(ROWS($U$2:U371),$U$2:$U$1001,0),MATCH(COLUMNS($AB$1006:AL1006),$AB$1006:$AQ$1006,0)), HYPERLINK("#",""), HYPERLINK(CONCATENATE("#metadata!", ADDRESS(INDEX($W$2:$W$1001,MATCH(ROWS($U$2:U371),$U$2:$U$1001,0),0), INDEX($AB$1004:$AQ$1004,1,MATCH(COLUMNS($AB$1006:AL1006),$AB$1006:$AQ$1006,0)))),"Fix")))</f>
        <v>0</v>
      </c>
      <c r="M371" s="4">
        <f>IF(OR(INDEX($V$2:$V$1001,MATCH(ROWS($U$2:U371),$U$2:$U$1001,0),1)&gt;=100000,INDEX($AB$1005:$AQ$1005,1,MATCH(COLUMNS($AB$1006:AM1006),$AB$1006:$AQ$1006,0))&gt;=100000), " ",IF(INDEX($AB$2:$AQ$1001,MATCH(ROWS($U$2:U371),$U$2:$U$1001,0),MATCH(COLUMNS($AB$1006:AM1006),$AB$1006:$AQ$1006,0)), HYPERLINK("#",""), HYPERLINK(CONCATENATE("#metadata!", ADDRESS(INDEX($W$2:$W$1001,MATCH(ROWS($U$2:U371),$U$2:$U$1001,0),0), INDEX($AB$1004:$AQ$1004,1,MATCH(COLUMNS($AB$1006:AM1006),$AB$1006:$AQ$1006,0)))),"Fix")))</f>
        <v>0</v>
      </c>
      <c r="N371" s="4">
        <f>IF(OR(INDEX($V$2:$V$1001,MATCH(ROWS($U$2:U371),$U$2:$U$1001,0),1)&gt;=100000,INDEX($AB$1005:$AQ$1005,1,MATCH(COLUMNS($AB$1006:AN1006),$AB$1006:$AQ$1006,0))&gt;=100000), " ",IF(INDEX($AB$2:$AQ$1001,MATCH(ROWS($U$2:U371),$U$2:$U$1001,0),MATCH(COLUMNS($AB$1006:AN1006),$AB$1006:$AQ$1006,0)), HYPERLINK("#",""), HYPERLINK(CONCATENATE("#metadata!", ADDRESS(INDEX($W$2:$W$1001,MATCH(ROWS($U$2:U371),$U$2:$U$1001,0),0), INDEX($AB$1004:$AQ$1004,1,MATCH(COLUMNS($AB$1006:AN1006),$AB$1006:$AQ$1006,0)))),"Fix")))</f>
        <v>0</v>
      </c>
      <c r="O371" s="4">
        <f>IF(OR(INDEX($V$2:$V$1001,MATCH(ROWS($U$2:U371),$U$2:$U$1001,0),1)&gt;=100000,INDEX($AB$1005:$AQ$1005,1,MATCH(COLUMNS($AB$1006:AO1006),$AB$1006:$AQ$1006,0))&gt;=100000), " ",IF(INDEX($AB$2:$AQ$1001,MATCH(ROWS($U$2:U371),$U$2:$U$1001,0),MATCH(COLUMNS($AB$1006:AO1006),$AB$1006:$AQ$1006,0)), HYPERLINK("#",""), HYPERLINK(CONCATENATE("#metadata!", ADDRESS(INDEX($W$2:$W$1001,MATCH(ROWS($U$2:U371),$U$2:$U$1001,0),0), INDEX($AB$1004:$AQ$1004,1,MATCH(COLUMNS($AB$1006:AO1006),$AB$1006:$AQ$1006,0)))),"Fix")))</f>
        <v>0</v>
      </c>
      <c r="P371" s="4">
        <f>IF(OR(INDEX($V$2:$V$1001,MATCH(ROWS($U$2:U371),$U$2:$U$1001,0),1)&gt;=100000,INDEX($AB$1005:$AQ$1005,1,MATCH(COLUMNS($AB$1006:AP1006),$AB$1006:$AQ$1006,0))&gt;=100000), " ",IF(INDEX($AB$2:$AQ$1001,MATCH(ROWS($U$2:U371),$U$2:$U$1001,0),MATCH(COLUMNS($AB$1006:AP1006),$AB$1006:$AQ$1006,0)), HYPERLINK("#",""), HYPERLINK(CONCATENATE("#metadata!", ADDRESS(INDEX($W$2:$W$1001,MATCH(ROWS($U$2:U371),$U$2:$U$1001,0),0), INDEX($AB$1004:$AQ$1004,1,MATCH(COLUMNS($AB$1006:AP1006),$AB$1006:$AQ$1006,0)))),"Fix")))</f>
        <v>0</v>
      </c>
      <c r="Q371" s="4">
        <f>IF(OR(INDEX($V$2:$V$1001,MATCH(ROWS($U$2:U371),$U$2:$U$1001,0),1)&gt;=100000,INDEX($AB$1005:$AQ$1005,1,MATCH(COLUMNS($AB$1006:AQ1006),$AB$1006:$AQ$1006,0))&gt;=100000), " ",IF(INDEX($AB$2:$AQ$1001,MATCH(ROWS($U$2:U371),$U$2:$U$1001,0),MATCH(COLUMNS($AB$1006:AQ1006),$AB$1006:$AQ$1006,0)), HYPERLINK("#",""), HYPERLINK(CONCATENATE("#metadata!", ADDRESS(INDEX($W$2:$W$1001,MATCH(ROWS($U$2:U371),$U$2:$U$1001,0),0), INDEX($AB$1004:$AQ$1004,1,MATCH(COLUMNS($AB$1006:AQ1006),$AB$1006:$AQ$1006,0)))),"Fix")))</f>
        <v>0</v>
      </c>
      <c r="U371">
        <v>0</v>
      </c>
      <c r="V371">
        <v>0</v>
      </c>
      <c r="W371">
        <v>0</v>
      </c>
      <c r="X371">
        <f>IF(Y371,TRUE,AND(AB371:AQ371))</f>
        <v>0</v>
      </c>
      <c r="Y371">
        <f>COUNTBLANK(metadata!B371:Q371)=COLUMNS(metadata!B371:Q371)</f>
        <v>0</v>
      </c>
      <c r="Z371">
        <v>0</v>
      </c>
      <c r="AB371">
        <f>AND(IF(metadata!B371="",FALSE,TRUE),COUNTIF(metadata!B:B, metadata!B371) = 1,NOT(ISERROR(SUMPRODUCT(SEARCH(MID(metadata!B371,ROW(INDIRECT("1:"&amp;LEN(metadata!B371))), 1),"0123456789abcdefghijklmnopqrstuvwxyzABCDEFGHIJKLMNOPQRSTUVWXYZ.")))))</f>
        <v>0</v>
      </c>
      <c r="AC371">
        <f>OR(AND(IF(metadata!C371="",FALSE,TRUE),OR(exact(metadata!C371,"missing: not collected"),exact(metadata!C371,"missing: not provided"),exact(metadata!C371,"missing: restricted access"))),AND(IF(metadata!C371="",FALSE,TRUE),AND(AND(IFERROR(INT(LEFT(metadata!C371,4))&gt;1900,FALSE),IFERROR(INT(LEFT(metadata!C371,4))&lt;=YEAR(NOW()),FALSE)), OR(MID(metadata!C371,5,1)="", AND(AND(MID(metadata!C371,5,1)="-",IFERROR(INT(MID(metadata!C371,6,1))&gt;=0,FALSE),IFERROR(INT(MID(metadata!C371,6,1))&lt;=1,FALSE),NOT(MID(metadata!C371,7,1)=""),IFERROR(INT(MID(metadata!C371,6,2))&gt;=1,FALSE),IFERROR(INT(MID(metadata!C371,6,2))&lt;=12,FALSE)), OR(MID(metadata!C371,8,1)="", AND(AND(MID(metadata!C371,8,1)="-",IFERROR(INT(MID(metadata!C371,9,1))&gt;=0,FALSE),IFERROR(INT(MID(metadata!C371,9,1))&lt;=3,FALSE),NOT(MID(metadata!C371,10,1)=""),IFERROR(INT(MID(metadata!C371,9,2))&gt;=1,FALSE),IFERROR(INT(MID(metadata!C371,9,2))&lt;=31,FALSE)), OR(MID(metadata!C371,11,1)="", AND(AND(MID(metadata!C371,11,1)=" ",IFERROR(INT(MID(metadata!C371,12,1))&gt;=0,FALSE),IFERROR(INT(MID(metadata!C371,12,1))&lt;=2,FALSE),NOT(MID(metadata!C371,13,1)=""),IFERROR(INT(MID(metadata!C371,12,2))&gt;=0,FALSE),IFERROR(INT(MID(metadata!C371,12,2))&lt;=23,FALSE)), OR(MID(metadata!C371,14,1)="", AND(AND(MID(metadata!C371,14,1)=":",IFERROR(INT(MID(metadata!C371,15,1))&gt;=0,FALSE),IFERROR(INT(MID(metadata!C371,15,1))&lt;=5,FALSE),NOT(MID(metadata!C371,16,1)=""),IFERROR(INT(MID(metadata!C371,15,2))&gt;=0,FALSE),IFERROR(INT(MID(metadata!C371,15,2))&lt;=59,FALSE)), OR(MID(metadata!C371,17,1)="", AND(AND(MID(metadata!C371,17,1)=":",IFERROR(INT(MID(metadata!C371,18,1))&gt;=0,FALSE),IFERROR(INT(MID(metadata!C371,18,1))&lt;=5,FALSE),NOT(MID(metadata!C371,19,1)=""),IFERROR(INT(MID(metadata!C371,18,2))&gt;=0,FALSE),IFERROR(INT(MID(metadata!C371,18,2))&lt;=59,FALSE)), LEN(metadata!C371)&lt;=19)))))))))))))</f>
        <v>0</v>
      </c>
      <c r="AD371">
        <f>IF(metadata!D371="",FALSE,TRUE)</f>
        <v>0</v>
      </c>
      <c r="AE371">
        <f>OR(AND(IF(metadata!E371="",FALSE,TRUE),OR(exact(metadata!E371,"missing: not collected"),exact(metadata!E371,"missing: not provided"))),AND(IF(metadata!E371="",FALSE,TRUE),OR(exact(metadata!E371,"TRUE"),exact(metadata!E371,"FALSE"))))</f>
        <v>0</v>
      </c>
      <c r="AF371">
        <f>IF(metadata!F371="",FALSE,TRUE)</f>
        <v>0</v>
      </c>
      <c r="AG371">
        <f>IF(metadata!G371="",FALSE,TRUE)</f>
        <v>0</v>
      </c>
      <c r="AH371">
        <f>IF(metadata!H371="",FALSE,TRUE)</f>
        <v>0</v>
      </c>
      <c r="AI371">
        <f>OR(AND(IF(metadata!I371="",FALSE,TRUE),OR(exact(metadata!I371,"missing: not collected"),exact(metadata!I371,"missing: not provided"),exact(metadata!I371,"missing: restricted access"))),AND(IF(metadata!I371="",FALSE,TRUE),OR(exact(metadata!I371,"air"),exact(metadata!I371,"built environment"),exact(metadata!I371,"host-associated"),exact(metadata!I371,"human-associated"),exact(metadata!I371,"human-skin"),exact(metadata!I371,"human-oral"),exact(metadata!I371,"human-gut"),exact(metadata!I371,"human-vaginal"),exact(metadata!I371,"microbial mat/biofilm"),exact(metadata!I371,"misc environment"),exact(metadata!I371,"plant-associated"),exact(metadata!I371,"sediment"),exact(metadata!I371,"soil"),exact(metadata!I371,"wastewater/sludge"),exact(metadata!I371,"water"))))</f>
        <v>0</v>
      </c>
      <c r="AJ371">
        <f>IF(metadata!J371="",FALSE,TRUE)</f>
        <v>0</v>
      </c>
      <c r="AK371">
        <f>OR(AND(IF(metadata!K371="",FALSE,TRUE),OR(exact(metadata!K371,"missing: not collected"),exact(metadata!K371,"missing: not provided"),exact(metadata!K371,"missing: restricted access"))),AND(IF(metadata!K371="",FALSE,ISNUMBER(VALUE(metadata!K371))),metadata!K371&gt;=-90.00,metadata!K371&lt;=90.00))</f>
        <v>0</v>
      </c>
      <c r="AL371">
        <f>OR(AND(IF(metadata!L371="",FALSE,TRUE),OR(exact(metadata!L371,"missing: not collected"),exact(metadata!L371,"missing: not provided"),exact(metadata!L371,"missing: restricted access"))),AND(IF(metadata!L371="",FALSE,ISNUMBER(VALUE(metadata!L371))),metadata!L371&gt;=-180.00,metadata!L371&lt;=180.00))</f>
        <v>0</v>
      </c>
      <c r="AM371">
        <f>IF(metadata!M371="",FALSE,TRUE)</f>
        <v>0</v>
      </c>
      <c r="AN371">
        <f>OR(AND(IF(metadata!N371="",FALSE,TRUE),OR(exact(metadata!N371,"missing: not collected"),exact(metadata!N371,"missing: not provided"),exact(metadata!N371,"missing: restricted access"))),AND(IF(metadata!N371="",FALSE,TRUE),OR(exact(metadata!N371,"TRUE"),exact(metadata!N371,"FALSE"))))</f>
        <v>0</v>
      </c>
      <c r="AO371">
        <f>IF(metadata!O371="",FALSE,TRUE)</f>
        <v>0</v>
      </c>
      <c r="AP371">
        <f>OR(AND(IF(metadata!P371="",FALSE,TRUE),OR(exact(metadata!P371,"missing: not collected"),exact(metadata!P371,"missing: not provided"))),AND(IF(metadata!P371="",FALSE,IF(ISERROR(INT(metadata!P371)),FALSE,INT(metadata!P371)=metadata!P371)),metadata!P371&gt;0))</f>
        <v>0</v>
      </c>
      <c r="AQ371">
        <f>IF(metadata!Q371="",FALSE,TRUE)</f>
        <v>0</v>
      </c>
    </row>
    <row r="372" spans="1:43">
      <c r="A372" s="5">
        <f>IF(B372=" "," ",HYPERLINK(CONCATENATE("#metadata!",ADDRESS(INDEX($W$2:$W$1001,MATCH(ROWS($U$2:U372),$U$2:$U$1001,0),0),1)),INDEX($Z$2:$Z$1001,MATCH(ROWS($U$2:U372),$U$2:$U$1001,0),0)))</f>
        <v>0</v>
      </c>
      <c r="B372" s="4">
        <f>IF(OR(INDEX($V$2:$V$1001,MATCH(ROWS($U$2:U372),$U$2:$U$1001,0),1)&gt;=100000,INDEX($AB$1005:$AQ$1005,1,MATCH(COLUMNS($AB$1006:AB1006),$AB$1006:$AQ$1006,0))&gt;=100000), " ",IF(INDEX($AB$2:$AQ$1001,MATCH(ROWS($U$2:U372),$U$2:$U$1001,0),MATCH(COLUMNS($AB$1006:AB1006),$AB$1006:$AQ$1006,0)), HYPERLINK("#",""), HYPERLINK(CONCATENATE("#metadata!", ADDRESS(INDEX($W$2:$W$1001,MATCH(ROWS($U$2:U372),$U$2:$U$1001,0),0), INDEX($AB$1004:$AQ$1004,1,MATCH(COLUMNS($AB$1006:AB1006),$AB$1006:$AQ$1006,0)))),"Fix")))</f>
        <v>0</v>
      </c>
      <c r="C372" s="4">
        <f>IF(OR(INDEX($V$2:$V$1001,MATCH(ROWS($U$2:U372),$U$2:$U$1001,0),1)&gt;=100000,INDEX($AB$1005:$AQ$1005,1,MATCH(COLUMNS($AB$1006:AC1006),$AB$1006:$AQ$1006,0))&gt;=100000), " ",IF(INDEX($AB$2:$AQ$1001,MATCH(ROWS($U$2:U372),$U$2:$U$1001,0),MATCH(COLUMNS($AB$1006:AC1006),$AB$1006:$AQ$1006,0)), HYPERLINK("#",""), HYPERLINK(CONCATENATE("#metadata!", ADDRESS(INDEX($W$2:$W$1001,MATCH(ROWS($U$2:U372),$U$2:$U$1001,0),0), INDEX($AB$1004:$AQ$1004,1,MATCH(COLUMNS($AB$1006:AC1006),$AB$1006:$AQ$1006,0)))),"Fix")))</f>
        <v>0</v>
      </c>
      <c r="D372" s="4">
        <f>IF(OR(INDEX($V$2:$V$1001,MATCH(ROWS($U$2:U372),$U$2:$U$1001,0),1)&gt;=100000,INDEX($AB$1005:$AQ$1005,1,MATCH(COLUMNS($AB$1006:AD1006),$AB$1006:$AQ$1006,0))&gt;=100000), " ",IF(INDEX($AB$2:$AQ$1001,MATCH(ROWS($U$2:U372),$U$2:$U$1001,0),MATCH(COLUMNS($AB$1006:AD1006),$AB$1006:$AQ$1006,0)), HYPERLINK("#",""), HYPERLINK(CONCATENATE("#metadata!", ADDRESS(INDEX($W$2:$W$1001,MATCH(ROWS($U$2:U372),$U$2:$U$1001,0),0), INDEX($AB$1004:$AQ$1004,1,MATCH(COLUMNS($AB$1006:AD1006),$AB$1006:$AQ$1006,0)))),"Fix")))</f>
        <v>0</v>
      </c>
      <c r="E372" s="4">
        <f>IF(OR(INDEX($V$2:$V$1001,MATCH(ROWS($U$2:U372),$U$2:$U$1001,0),1)&gt;=100000,INDEX($AB$1005:$AQ$1005,1,MATCH(COLUMNS($AB$1006:AE1006),$AB$1006:$AQ$1006,0))&gt;=100000), " ",IF(INDEX($AB$2:$AQ$1001,MATCH(ROWS($U$2:U372),$U$2:$U$1001,0),MATCH(COLUMNS($AB$1006:AE1006),$AB$1006:$AQ$1006,0)), HYPERLINK("#",""), HYPERLINK(CONCATENATE("#metadata!", ADDRESS(INDEX($W$2:$W$1001,MATCH(ROWS($U$2:U372),$U$2:$U$1001,0),0), INDEX($AB$1004:$AQ$1004,1,MATCH(COLUMNS($AB$1006:AE1006),$AB$1006:$AQ$1006,0)))),"Fix")))</f>
        <v>0</v>
      </c>
      <c r="F372" s="4">
        <f>IF(OR(INDEX($V$2:$V$1001,MATCH(ROWS($U$2:U372),$U$2:$U$1001,0),1)&gt;=100000,INDEX($AB$1005:$AQ$1005,1,MATCH(COLUMNS($AB$1006:AF1006),$AB$1006:$AQ$1006,0))&gt;=100000), " ",IF(INDEX($AB$2:$AQ$1001,MATCH(ROWS($U$2:U372),$U$2:$U$1001,0),MATCH(COLUMNS($AB$1006:AF1006),$AB$1006:$AQ$1006,0)), HYPERLINK("#",""), HYPERLINK(CONCATENATE("#metadata!", ADDRESS(INDEX($W$2:$W$1001,MATCH(ROWS($U$2:U372),$U$2:$U$1001,0),0), INDEX($AB$1004:$AQ$1004,1,MATCH(COLUMNS($AB$1006:AF1006),$AB$1006:$AQ$1006,0)))),"Fix")))</f>
        <v>0</v>
      </c>
      <c r="G372" s="4">
        <f>IF(OR(INDEX($V$2:$V$1001,MATCH(ROWS($U$2:U372),$U$2:$U$1001,0),1)&gt;=100000,INDEX($AB$1005:$AQ$1005,1,MATCH(COLUMNS($AB$1006:AG1006),$AB$1006:$AQ$1006,0))&gt;=100000), " ",IF(INDEX($AB$2:$AQ$1001,MATCH(ROWS($U$2:U372),$U$2:$U$1001,0),MATCH(COLUMNS($AB$1006:AG1006),$AB$1006:$AQ$1006,0)), HYPERLINK("#",""), HYPERLINK(CONCATENATE("#metadata!", ADDRESS(INDEX($W$2:$W$1001,MATCH(ROWS($U$2:U372),$U$2:$U$1001,0),0), INDEX($AB$1004:$AQ$1004,1,MATCH(COLUMNS($AB$1006:AG1006),$AB$1006:$AQ$1006,0)))),"Fix")))</f>
        <v>0</v>
      </c>
      <c r="H372" s="4">
        <f>IF(OR(INDEX($V$2:$V$1001,MATCH(ROWS($U$2:U372),$U$2:$U$1001,0),1)&gt;=100000,INDEX($AB$1005:$AQ$1005,1,MATCH(COLUMNS($AB$1006:AH1006),$AB$1006:$AQ$1006,0))&gt;=100000), " ",IF(INDEX($AB$2:$AQ$1001,MATCH(ROWS($U$2:U372),$U$2:$U$1001,0),MATCH(COLUMNS($AB$1006:AH1006),$AB$1006:$AQ$1006,0)), HYPERLINK("#",""), HYPERLINK(CONCATENATE("#metadata!", ADDRESS(INDEX($W$2:$W$1001,MATCH(ROWS($U$2:U372),$U$2:$U$1001,0),0), INDEX($AB$1004:$AQ$1004,1,MATCH(COLUMNS($AB$1006:AH1006),$AB$1006:$AQ$1006,0)))),"Fix")))</f>
        <v>0</v>
      </c>
      <c r="I372" s="4">
        <f>IF(OR(INDEX($V$2:$V$1001,MATCH(ROWS($U$2:U372),$U$2:$U$1001,0),1)&gt;=100000,INDEX($AB$1005:$AQ$1005,1,MATCH(COLUMNS($AB$1006:AI1006),$AB$1006:$AQ$1006,0))&gt;=100000), " ",IF(INDEX($AB$2:$AQ$1001,MATCH(ROWS($U$2:U372),$U$2:$U$1001,0),MATCH(COLUMNS($AB$1006:AI1006),$AB$1006:$AQ$1006,0)), HYPERLINK("#",""), HYPERLINK(CONCATENATE("#metadata!", ADDRESS(INDEX($W$2:$W$1001,MATCH(ROWS($U$2:U372),$U$2:$U$1001,0),0), INDEX($AB$1004:$AQ$1004,1,MATCH(COLUMNS($AB$1006:AI1006),$AB$1006:$AQ$1006,0)))),"Fix")))</f>
        <v>0</v>
      </c>
      <c r="J372" s="4">
        <f>IF(OR(INDEX($V$2:$V$1001,MATCH(ROWS($U$2:U372),$U$2:$U$1001,0),1)&gt;=100000,INDEX($AB$1005:$AQ$1005,1,MATCH(COLUMNS($AB$1006:AJ1006),$AB$1006:$AQ$1006,0))&gt;=100000), " ",IF(INDEX($AB$2:$AQ$1001,MATCH(ROWS($U$2:U372),$U$2:$U$1001,0),MATCH(COLUMNS($AB$1006:AJ1006),$AB$1006:$AQ$1006,0)), HYPERLINK("#",""), HYPERLINK(CONCATENATE("#metadata!", ADDRESS(INDEX($W$2:$W$1001,MATCH(ROWS($U$2:U372),$U$2:$U$1001,0),0), INDEX($AB$1004:$AQ$1004,1,MATCH(COLUMNS($AB$1006:AJ1006),$AB$1006:$AQ$1006,0)))),"Fix")))</f>
        <v>0</v>
      </c>
      <c r="K372" s="4">
        <f>IF(OR(INDEX($V$2:$V$1001,MATCH(ROWS($U$2:U372),$U$2:$U$1001,0),1)&gt;=100000,INDEX($AB$1005:$AQ$1005,1,MATCH(COLUMNS($AB$1006:AK1006),$AB$1006:$AQ$1006,0))&gt;=100000), " ",IF(INDEX($AB$2:$AQ$1001,MATCH(ROWS($U$2:U372),$U$2:$U$1001,0),MATCH(COLUMNS($AB$1006:AK1006),$AB$1006:$AQ$1006,0)), HYPERLINK("#",""), HYPERLINK(CONCATENATE("#metadata!", ADDRESS(INDEX($W$2:$W$1001,MATCH(ROWS($U$2:U372),$U$2:$U$1001,0),0), INDEX($AB$1004:$AQ$1004,1,MATCH(COLUMNS($AB$1006:AK1006),$AB$1006:$AQ$1006,0)))),"Fix")))</f>
        <v>0</v>
      </c>
      <c r="L372" s="4">
        <f>IF(OR(INDEX($V$2:$V$1001,MATCH(ROWS($U$2:U372),$U$2:$U$1001,0),1)&gt;=100000,INDEX($AB$1005:$AQ$1005,1,MATCH(COLUMNS($AB$1006:AL1006),$AB$1006:$AQ$1006,0))&gt;=100000), " ",IF(INDEX($AB$2:$AQ$1001,MATCH(ROWS($U$2:U372),$U$2:$U$1001,0),MATCH(COLUMNS($AB$1006:AL1006),$AB$1006:$AQ$1006,0)), HYPERLINK("#",""), HYPERLINK(CONCATENATE("#metadata!", ADDRESS(INDEX($W$2:$W$1001,MATCH(ROWS($U$2:U372),$U$2:$U$1001,0),0), INDEX($AB$1004:$AQ$1004,1,MATCH(COLUMNS($AB$1006:AL1006),$AB$1006:$AQ$1006,0)))),"Fix")))</f>
        <v>0</v>
      </c>
      <c r="M372" s="4">
        <f>IF(OR(INDEX($V$2:$V$1001,MATCH(ROWS($U$2:U372),$U$2:$U$1001,0),1)&gt;=100000,INDEX($AB$1005:$AQ$1005,1,MATCH(COLUMNS($AB$1006:AM1006),$AB$1006:$AQ$1006,0))&gt;=100000), " ",IF(INDEX($AB$2:$AQ$1001,MATCH(ROWS($U$2:U372),$U$2:$U$1001,0),MATCH(COLUMNS($AB$1006:AM1006),$AB$1006:$AQ$1006,0)), HYPERLINK("#",""), HYPERLINK(CONCATENATE("#metadata!", ADDRESS(INDEX($W$2:$W$1001,MATCH(ROWS($U$2:U372),$U$2:$U$1001,0),0), INDEX($AB$1004:$AQ$1004,1,MATCH(COLUMNS($AB$1006:AM1006),$AB$1006:$AQ$1006,0)))),"Fix")))</f>
        <v>0</v>
      </c>
      <c r="N372" s="4">
        <f>IF(OR(INDEX($V$2:$V$1001,MATCH(ROWS($U$2:U372),$U$2:$U$1001,0),1)&gt;=100000,INDEX($AB$1005:$AQ$1005,1,MATCH(COLUMNS($AB$1006:AN1006),$AB$1006:$AQ$1006,0))&gt;=100000), " ",IF(INDEX($AB$2:$AQ$1001,MATCH(ROWS($U$2:U372),$U$2:$U$1001,0),MATCH(COLUMNS($AB$1006:AN1006),$AB$1006:$AQ$1006,0)), HYPERLINK("#",""), HYPERLINK(CONCATENATE("#metadata!", ADDRESS(INDEX($W$2:$W$1001,MATCH(ROWS($U$2:U372),$U$2:$U$1001,0),0), INDEX($AB$1004:$AQ$1004,1,MATCH(COLUMNS($AB$1006:AN1006),$AB$1006:$AQ$1006,0)))),"Fix")))</f>
        <v>0</v>
      </c>
      <c r="O372" s="4">
        <f>IF(OR(INDEX($V$2:$V$1001,MATCH(ROWS($U$2:U372),$U$2:$U$1001,0),1)&gt;=100000,INDEX($AB$1005:$AQ$1005,1,MATCH(COLUMNS($AB$1006:AO1006),$AB$1006:$AQ$1006,0))&gt;=100000), " ",IF(INDEX($AB$2:$AQ$1001,MATCH(ROWS($U$2:U372),$U$2:$U$1001,0),MATCH(COLUMNS($AB$1006:AO1006),$AB$1006:$AQ$1006,0)), HYPERLINK("#",""), HYPERLINK(CONCATENATE("#metadata!", ADDRESS(INDEX($W$2:$W$1001,MATCH(ROWS($U$2:U372),$U$2:$U$1001,0),0), INDEX($AB$1004:$AQ$1004,1,MATCH(COLUMNS($AB$1006:AO1006),$AB$1006:$AQ$1006,0)))),"Fix")))</f>
        <v>0</v>
      </c>
      <c r="P372" s="4">
        <f>IF(OR(INDEX($V$2:$V$1001,MATCH(ROWS($U$2:U372),$U$2:$U$1001,0),1)&gt;=100000,INDEX($AB$1005:$AQ$1005,1,MATCH(COLUMNS($AB$1006:AP1006),$AB$1006:$AQ$1006,0))&gt;=100000), " ",IF(INDEX($AB$2:$AQ$1001,MATCH(ROWS($U$2:U372),$U$2:$U$1001,0),MATCH(COLUMNS($AB$1006:AP1006),$AB$1006:$AQ$1006,0)), HYPERLINK("#",""), HYPERLINK(CONCATENATE("#metadata!", ADDRESS(INDEX($W$2:$W$1001,MATCH(ROWS($U$2:U372),$U$2:$U$1001,0),0), INDEX($AB$1004:$AQ$1004,1,MATCH(COLUMNS($AB$1006:AP1006),$AB$1006:$AQ$1006,0)))),"Fix")))</f>
        <v>0</v>
      </c>
      <c r="Q372" s="4">
        <f>IF(OR(INDEX($V$2:$V$1001,MATCH(ROWS($U$2:U372),$U$2:$U$1001,0),1)&gt;=100000,INDEX($AB$1005:$AQ$1005,1,MATCH(COLUMNS($AB$1006:AQ1006),$AB$1006:$AQ$1006,0))&gt;=100000), " ",IF(INDEX($AB$2:$AQ$1001,MATCH(ROWS($U$2:U372),$U$2:$U$1001,0),MATCH(COLUMNS($AB$1006:AQ1006),$AB$1006:$AQ$1006,0)), HYPERLINK("#",""), HYPERLINK(CONCATENATE("#metadata!", ADDRESS(INDEX($W$2:$W$1001,MATCH(ROWS($U$2:U372),$U$2:$U$1001,0),0), INDEX($AB$1004:$AQ$1004,1,MATCH(COLUMNS($AB$1006:AQ1006),$AB$1006:$AQ$1006,0)))),"Fix")))</f>
        <v>0</v>
      </c>
      <c r="U372">
        <v>0</v>
      </c>
      <c r="V372">
        <v>0</v>
      </c>
      <c r="W372">
        <v>0</v>
      </c>
      <c r="X372">
        <f>IF(Y372,TRUE,AND(AB372:AQ372))</f>
        <v>0</v>
      </c>
      <c r="Y372">
        <f>COUNTBLANK(metadata!B372:Q372)=COLUMNS(metadata!B372:Q372)</f>
        <v>0</v>
      </c>
      <c r="Z372">
        <v>0</v>
      </c>
      <c r="AB372">
        <f>AND(IF(metadata!B372="",FALSE,TRUE),COUNTIF(metadata!B:B, metadata!B372) = 1,NOT(ISERROR(SUMPRODUCT(SEARCH(MID(metadata!B372,ROW(INDIRECT("1:"&amp;LEN(metadata!B372))), 1),"0123456789abcdefghijklmnopqrstuvwxyzABCDEFGHIJKLMNOPQRSTUVWXYZ.")))))</f>
        <v>0</v>
      </c>
      <c r="AC372">
        <f>OR(AND(IF(metadata!C372="",FALSE,TRUE),OR(exact(metadata!C372,"missing: not collected"),exact(metadata!C372,"missing: not provided"),exact(metadata!C372,"missing: restricted access"))),AND(IF(metadata!C372="",FALSE,TRUE),AND(AND(IFERROR(INT(LEFT(metadata!C372,4))&gt;1900,FALSE),IFERROR(INT(LEFT(metadata!C372,4))&lt;=YEAR(NOW()),FALSE)), OR(MID(metadata!C372,5,1)="", AND(AND(MID(metadata!C372,5,1)="-",IFERROR(INT(MID(metadata!C372,6,1))&gt;=0,FALSE),IFERROR(INT(MID(metadata!C372,6,1))&lt;=1,FALSE),NOT(MID(metadata!C372,7,1)=""),IFERROR(INT(MID(metadata!C372,6,2))&gt;=1,FALSE),IFERROR(INT(MID(metadata!C372,6,2))&lt;=12,FALSE)), OR(MID(metadata!C372,8,1)="", AND(AND(MID(metadata!C372,8,1)="-",IFERROR(INT(MID(metadata!C372,9,1))&gt;=0,FALSE),IFERROR(INT(MID(metadata!C372,9,1))&lt;=3,FALSE),NOT(MID(metadata!C372,10,1)=""),IFERROR(INT(MID(metadata!C372,9,2))&gt;=1,FALSE),IFERROR(INT(MID(metadata!C372,9,2))&lt;=31,FALSE)), OR(MID(metadata!C372,11,1)="", AND(AND(MID(metadata!C372,11,1)=" ",IFERROR(INT(MID(metadata!C372,12,1))&gt;=0,FALSE),IFERROR(INT(MID(metadata!C372,12,1))&lt;=2,FALSE),NOT(MID(metadata!C372,13,1)=""),IFERROR(INT(MID(metadata!C372,12,2))&gt;=0,FALSE),IFERROR(INT(MID(metadata!C372,12,2))&lt;=23,FALSE)), OR(MID(metadata!C372,14,1)="", AND(AND(MID(metadata!C372,14,1)=":",IFERROR(INT(MID(metadata!C372,15,1))&gt;=0,FALSE),IFERROR(INT(MID(metadata!C372,15,1))&lt;=5,FALSE),NOT(MID(metadata!C372,16,1)=""),IFERROR(INT(MID(metadata!C372,15,2))&gt;=0,FALSE),IFERROR(INT(MID(metadata!C372,15,2))&lt;=59,FALSE)), OR(MID(metadata!C372,17,1)="", AND(AND(MID(metadata!C372,17,1)=":",IFERROR(INT(MID(metadata!C372,18,1))&gt;=0,FALSE),IFERROR(INT(MID(metadata!C372,18,1))&lt;=5,FALSE),NOT(MID(metadata!C372,19,1)=""),IFERROR(INT(MID(metadata!C372,18,2))&gt;=0,FALSE),IFERROR(INT(MID(metadata!C372,18,2))&lt;=59,FALSE)), LEN(metadata!C372)&lt;=19)))))))))))))</f>
        <v>0</v>
      </c>
      <c r="AD372">
        <f>IF(metadata!D372="",FALSE,TRUE)</f>
        <v>0</v>
      </c>
      <c r="AE372">
        <f>OR(AND(IF(metadata!E372="",FALSE,TRUE),OR(exact(metadata!E372,"missing: not collected"),exact(metadata!E372,"missing: not provided"))),AND(IF(metadata!E372="",FALSE,TRUE),OR(exact(metadata!E372,"TRUE"),exact(metadata!E372,"FALSE"))))</f>
        <v>0</v>
      </c>
      <c r="AF372">
        <f>IF(metadata!F372="",FALSE,TRUE)</f>
        <v>0</v>
      </c>
      <c r="AG372">
        <f>IF(metadata!G372="",FALSE,TRUE)</f>
        <v>0</v>
      </c>
      <c r="AH372">
        <f>IF(metadata!H372="",FALSE,TRUE)</f>
        <v>0</v>
      </c>
      <c r="AI372">
        <f>OR(AND(IF(metadata!I372="",FALSE,TRUE),OR(exact(metadata!I372,"missing: not collected"),exact(metadata!I372,"missing: not provided"),exact(metadata!I372,"missing: restricted access"))),AND(IF(metadata!I372="",FALSE,TRUE),OR(exact(metadata!I372,"air"),exact(metadata!I372,"built environment"),exact(metadata!I372,"host-associated"),exact(metadata!I372,"human-associated"),exact(metadata!I372,"human-skin"),exact(metadata!I372,"human-oral"),exact(metadata!I372,"human-gut"),exact(metadata!I372,"human-vaginal"),exact(metadata!I372,"microbial mat/biofilm"),exact(metadata!I372,"misc environment"),exact(metadata!I372,"plant-associated"),exact(metadata!I372,"sediment"),exact(metadata!I372,"soil"),exact(metadata!I372,"wastewater/sludge"),exact(metadata!I372,"water"))))</f>
        <v>0</v>
      </c>
      <c r="AJ372">
        <f>IF(metadata!J372="",FALSE,TRUE)</f>
        <v>0</v>
      </c>
      <c r="AK372">
        <f>OR(AND(IF(metadata!K372="",FALSE,TRUE),OR(exact(metadata!K372,"missing: not collected"),exact(metadata!K372,"missing: not provided"),exact(metadata!K372,"missing: restricted access"))),AND(IF(metadata!K372="",FALSE,ISNUMBER(VALUE(metadata!K372))),metadata!K372&gt;=-90.00,metadata!K372&lt;=90.00))</f>
        <v>0</v>
      </c>
      <c r="AL372">
        <f>OR(AND(IF(metadata!L372="",FALSE,TRUE),OR(exact(metadata!L372,"missing: not collected"),exact(metadata!L372,"missing: not provided"),exact(metadata!L372,"missing: restricted access"))),AND(IF(metadata!L372="",FALSE,ISNUMBER(VALUE(metadata!L372))),metadata!L372&gt;=-180.00,metadata!L372&lt;=180.00))</f>
        <v>0</v>
      </c>
      <c r="AM372">
        <f>IF(metadata!M372="",FALSE,TRUE)</f>
        <v>0</v>
      </c>
      <c r="AN372">
        <f>OR(AND(IF(metadata!N372="",FALSE,TRUE),OR(exact(metadata!N372,"missing: not collected"),exact(metadata!N372,"missing: not provided"),exact(metadata!N372,"missing: restricted access"))),AND(IF(metadata!N372="",FALSE,TRUE),OR(exact(metadata!N372,"TRUE"),exact(metadata!N372,"FALSE"))))</f>
        <v>0</v>
      </c>
      <c r="AO372">
        <f>IF(metadata!O372="",FALSE,TRUE)</f>
        <v>0</v>
      </c>
      <c r="AP372">
        <f>OR(AND(IF(metadata!P372="",FALSE,TRUE),OR(exact(metadata!P372,"missing: not collected"),exact(metadata!P372,"missing: not provided"))),AND(IF(metadata!P372="",FALSE,IF(ISERROR(INT(metadata!P372)),FALSE,INT(metadata!P372)=metadata!P372)),metadata!P372&gt;0))</f>
        <v>0</v>
      </c>
      <c r="AQ372">
        <f>IF(metadata!Q372="",FALSE,TRUE)</f>
        <v>0</v>
      </c>
    </row>
    <row r="373" spans="1:43">
      <c r="A373" s="5">
        <f>IF(B373=" "," ",HYPERLINK(CONCATENATE("#metadata!",ADDRESS(INDEX($W$2:$W$1001,MATCH(ROWS($U$2:U373),$U$2:$U$1001,0),0),1)),INDEX($Z$2:$Z$1001,MATCH(ROWS($U$2:U373),$U$2:$U$1001,0),0)))</f>
        <v>0</v>
      </c>
      <c r="B373" s="4">
        <f>IF(OR(INDEX($V$2:$V$1001,MATCH(ROWS($U$2:U373),$U$2:$U$1001,0),1)&gt;=100000,INDEX($AB$1005:$AQ$1005,1,MATCH(COLUMNS($AB$1006:AB1006),$AB$1006:$AQ$1006,0))&gt;=100000), " ",IF(INDEX($AB$2:$AQ$1001,MATCH(ROWS($U$2:U373),$U$2:$U$1001,0),MATCH(COLUMNS($AB$1006:AB1006),$AB$1006:$AQ$1006,0)), HYPERLINK("#",""), HYPERLINK(CONCATENATE("#metadata!", ADDRESS(INDEX($W$2:$W$1001,MATCH(ROWS($U$2:U373),$U$2:$U$1001,0),0), INDEX($AB$1004:$AQ$1004,1,MATCH(COLUMNS($AB$1006:AB1006),$AB$1006:$AQ$1006,0)))),"Fix")))</f>
        <v>0</v>
      </c>
      <c r="C373" s="4">
        <f>IF(OR(INDEX($V$2:$V$1001,MATCH(ROWS($U$2:U373),$U$2:$U$1001,0),1)&gt;=100000,INDEX($AB$1005:$AQ$1005,1,MATCH(COLUMNS($AB$1006:AC1006),$AB$1006:$AQ$1006,0))&gt;=100000), " ",IF(INDEX($AB$2:$AQ$1001,MATCH(ROWS($U$2:U373),$U$2:$U$1001,0),MATCH(COLUMNS($AB$1006:AC1006),$AB$1006:$AQ$1006,0)), HYPERLINK("#",""), HYPERLINK(CONCATENATE("#metadata!", ADDRESS(INDEX($W$2:$W$1001,MATCH(ROWS($U$2:U373),$U$2:$U$1001,0),0), INDEX($AB$1004:$AQ$1004,1,MATCH(COLUMNS($AB$1006:AC1006),$AB$1006:$AQ$1006,0)))),"Fix")))</f>
        <v>0</v>
      </c>
      <c r="D373" s="4">
        <f>IF(OR(INDEX($V$2:$V$1001,MATCH(ROWS($U$2:U373),$U$2:$U$1001,0),1)&gt;=100000,INDEX($AB$1005:$AQ$1005,1,MATCH(COLUMNS($AB$1006:AD1006),$AB$1006:$AQ$1006,0))&gt;=100000), " ",IF(INDEX($AB$2:$AQ$1001,MATCH(ROWS($U$2:U373),$U$2:$U$1001,0),MATCH(COLUMNS($AB$1006:AD1006),$AB$1006:$AQ$1006,0)), HYPERLINK("#",""), HYPERLINK(CONCATENATE("#metadata!", ADDRESS(INDEX($W$2:$W$1001,MATCH(ROWS($U$2:U373),$U$2:$U$1001,0),0), INDEX($AB$1004:$AQ$1004,1,MATCH(COLUMNS($AB$1006:AD1006),$AB$1006:$AQ$1006,0)))),"Fix")))</f>
        <v>0</v>
      </c>
      <c r="E373" s="4">
        <f>IF(OR(INDEX($V$2:$V$1001,MATCH(ROWS($U$2:U373),$U$2:$U$1001,0),1)&gt;=100000,INDEX($AB$1005:$AQ$1005,1,MATCH(COLUMNS($AB$1006:AE1006),$AB$1006:$AQ$1006,0))&gt;=100000), " ",IF(INDEX($AB$2:$AQ$1001,MATCH(ROWS($U$2:U373),$U$2:$U$1001,0),MATCH(COLUMNS($AB$1006:AE1006),$AB$1006:$AQ$1006,0)), HYPERLINK("#",""), HYPERLINK(CONCATENATE("#metadata!", ADDRESS(INDEX($W$2:$W$1001,MATCH(ROWS($U$2:U373),$U$2:$U$1001,0),0), INDEX($AB$1004:$AQ$1004,1,MATCH(COLUMNS($AB$1006:AE1006),$AB$1006:$AQ$1006,0)))),"Fix")))</f>
        <v>0</v>
      </c>
      <c r="F373" s="4">
        <f>IF(OR(INDEX($V$2:$V$1001,MATCH(ROWS($U$2:U373),$U$2:$U$1001,0),1)&gt;=100000,INDEX($AB$1005:$AQ$1005,1,MATCH(COLUMNS($AB$1006:AF1006),$AB$1006:$AQ$1006,0))&gt;=100000), " ",IF(INDEX($AB$2:$AQ$1001,MATCH(ROWS($U$2:U373),$U$2:$U$1001,0),MATCH(COLUMNS($AB$1006:AF1006),$AB$1006:$AQ$1006,0)), HYPERLINK("#",""), HYPERLINK(CONCATENATE("#metadata!", ADDRESS(INDEX($W$2:$W$1001,MATCH(ROWS($U$2:U373),$U$2:$U$1001,0),0), INDEX($AB$1004:$AQ$1004,1,MATCH(COLUMNS($AB$1006:AF1006),$AB$1006:$AQ$1006,0)))),"Fix")))</f>
        <v>0</v>
      </c>
      <c r="G373" s="4">
        <f>IF(OR(INDEX($V$2:$V$1001,MATCH(ROWS($U$2:U373),$U$2:$U$1001,0),1)&gt;=100000,INDEX($AB$1005:$AQ$1005,1,MATCH(COLUMNS($AB$1006:AG1006),$AB$1006:$AQ$1006,0))&gt;=100000), " ",IF(INDEX($AB$2:$AQ$1001,MATCH(ROWS($U$2:U373),$U$2:$U$1001,0),MATCH(COLUMNS($AB$1006:AG1006),$AB$1006:$AQ$1006,0)), HYPERLINK("#",""), HYPERLINK(CONCATENATE("#metadata!", ADDRESS(INDEX($W$2:$W$1001,MATCH(ROWS($U$2:U373),$U$2:$U$1001,0),0), INDEX($AB$1004:$AQ$1004,1,MATCH(COLUMNS($AB$1006:AG1006),$AB$1006:$AQ$1006,0)))),"Fix")))</f>
        <v>0</v>
      </c>
      <c r="H373" s="4">
        <f>IF(OR(INDEX($V$2:$V$1001,MATCH(ROWS($U$2:U373),$U$2:$U$1001,0),1)&gt;=100000,INDEX($AB$1005:$AQ$1005,1,MATCH(COLUMNS($AB$1006:AH1006),$AB$1006:$AQ$1006,0))&gt;=100000), " ",IF(INDEX($AB$2:$AQ$1001,MATCH(ROWS($U$2:U373),$U$2:$U$1001,0),MATCH(COLUMNS($AB$1006:AH1006),$AB$1006:$AQ$1006,0)), HYPERLINK("#",""), HYPERLINK(CONCATENATE("#metadata!", ADDRESS(INDEX($W$2:$W$1001,MATCH(ROWS($U$2:U373),$U$2:$U$1001,0),0), INDEX($AB$1004:$AQ$1004,1,MATCH(COLUMNS($AB$1006:AH1006),$AB$1006:$AQ$1006,0)))),"Fix")))</f>
        <v>0</v>
      </c>
      <c r="I373" s="4">
        <f>IF(OR(INDEX($V$2:$V$1001,MATCH(ROWS($U$2:U373),$U$2:$U$1001,0),1)&gt;=100000,INDEX($AB$1005:$AQ$1005,1,MATCH(COLUMNS($AB$1006:AI1006),$AB$1006:$AQ$1006,0))&gt;=100000), " ",IF(INDEX($AB$2:$AQ$1001,MATCH(ROWS($U$2:U373),$U$2:$U$1001,0),MATCH(COLUMNS($AB$1006:AI1006),$AB$1006:$AQ$1006,0)), HYPERLINK("#",""), HYPERLINK(CONCATENATE("#metadata!", ADDRESS(INDEX($W$2:$W$1001,MATCH(ROWS($U$2:U373),$U$2:$U$1001,0),0), INDEX($AB$1004:$AQ$1004,1,MATCH(COLUMNS($AB$1006:AI1006),$AB$1006:$AQ$1006,0)))),"Fix")))</f>
        <v>0</v>
      </c>
      <c r="J373" s="4">
        <f>IF(OR(INDEX($V$2:$V$1001,MATCH(ROWS($U$2:U373),$U$2:$U$1001,0),1)&gt;=100000,INDEX($AB$1005:$AQ$1005,1,MATCH(COLUMNS($AB$1006:AJ1006),$AB$1006:$AQ$1006,0))&gt;=100000), " ",IF(INDEX($AB$2:$AQ$1001,MATCH(ROWS($U$2:U373),$U$2:$U$1001,0),MATCH(COLUMNS($AB$1006:AJ1006),$AB$1006:$AQ$1006,0)), HYPERLINK("#",""), HYPERLINK(CONCATENATE("#metadata!", ADDRESS(INDEX($W$2:$W$1001,MATCH(ROWS($U$2:U373),$U$2:$U$1001,0),0), INDEX($AB$1004:$AQ$1004,1,MATCH(COLUMNS($AB$1006:AJ1006),$AB$1006:$AQ$1006,0)))),"Fix")))</f>
        <v>0</v>
      </c>
      <c r="K373" s="4">
        <f>IF(OR(INDEX($V$2:$V$1001,MATCH(ROWS($U$2:U373),$U$2:$U$1001,0),1)&gt;=100000,INDEX($AB$1005:$AQ$1005,1,MATCH(COLUMNS($AB$1006:AK1006),$AB$1006:$AQ$1006,0))&gt;=100000), " ",IF(INDEX($AB$2:$AQ$1001,MATCH(ROWS($U$2:U373),$U$2:$U$1001,0),MATCH(COLUMNS($AB$1006:AK1006),$AB$1006:$AQ$1006,0)), HYPERLINK("#",""), HYPERLINK(CONCATENATE("#metadata!", ADDRESS(INDEX($W$2:$W$1001,MATCH(ROWS($U$2:U373),$U$2:$U$1001,0),0), INDEX($AB$1004:$AQ$1004,1,MATCH(COLUMNS($AB$1006:AK1006),$AB$1006:$AQ$1006,0)))),"Fix")))</f>
        <v>0</v>
      </c>
      <c r="L373" s="4">
        <f>IF(OR(INDEX($V$2:$V$1001,MATCH(ROWS($U$2:U373),$U$2:$U$1001,0),1)&gt;=100000,INDEX($AB$1005:$AQ$1005,1,MATCH(COLUMNS($AB$1006:AL1006),$AB$1006:$AQ$1006,0))&gt;=100000), " ",IF(INDEX($AB$2:$AQ$1001,MATCH(ROWS($U$2:U373),$U$2:$U$1001,0),MATCH(COLUMNS($AB$1006:AL1006),$AB$1006:$AQ$1006,0)), HYPERLINK("#",""), HYPERLINK(CONCATENATE("#metadata!", ADDRESS(INDEX($W$2:$W$1001,MATCH(ROWS($U$2:U373),$U$2:$U$1001,0),0), INDEX($AB$1004:$AQ$1004,1,MATCH(COLUMNS($AB$1006:AL1006),$AB$1006:$AQ$1006,0)))),"Fix")))</f>
        <v>0</v>
      </c>
      <c r="M373" s="4">
        <f>IF(OR(INDEX($V$2:$V$1001,MATCH(ROWS($U$2:U373),$U$2:$U$1001,0),1)&gt;=100000,INDEX($AB$1005:$AQ$1005,1,MATCH(COLUMNS($AB$1006:AM1006),$AB$1006:$AQ$1006,0))&gt;=100000), " ",IF(INDEX($AB$2:$AQ$1001,MATCH(ROWS($U$2:U373),$U$2:$U$1001,0),MATCH(COLUMNS($AB$1006:AM1006),$AB$1006:$AQ$1006,0)), HYPERLINK("#",""), HYPERLINK(CONCATENATE("#metadata!", ADDRESS(INDEX($W$2:$W$1001,MATCH(ROWS($U$2:U373),$U$2:$U$1001,0),0), INDEX($AB$1004:$AQ$1004,1,MATCH(COLUMNS($AB$1006:AM1006),$AB$1006:$AQ$1006,0)))),"Fix")))</f>
        <v>0</v>
      </c>
      <c r="N373" s="4">
        <f>IF(OR(INDEX($V$2:$V$1001,MATCH(ROWS($U$2:U373),$U$2:$U$1001,0),1)&gt;=100000,INDEX($AB$1005:$AQ$1005,1,MATCH(COLUMNS($AB$1006:AN1006),$AB$1006:$AQ$1006,0))&gt;=100000), " ",IF(INDEX($AB$2:$AQ$1001,MATCH(ROWS($U$2:U373),$U$2:$U$1001,0),MATCH(COLUMNS($AB$1006:AN1006),$AB$1006:$AQ$1006,0)), HYPERLINK("#",""), HYPERLINK(CONCATENATE("#metadata!", ADDRESS(INDEX($W$2:$W$1001,MATCH(ROWS($U$2:U373),$U$2:$U$1001,0),0), INDEX($AB$1004:$AQ$1004,1,MATCH(COLUMNS($AB$1006:AN1006),$AB$1006:$AQ$1006,0)))),"Fix")))</f>
        <v>0</v>
      </c>
      <c r="O373" s="4">
        <f>IF(OR(INDEX($V$2:$V$1001,MATCH(ROWS($U$2:U373),$U$2:$U$1001,0),1)&gt;=100000,INDEX($AB$1005:$AQ$1005,1,MATCH(COLUMNS($AB$1006:AO1006),$AB$1006:$AQ$1006,0))&gt;=100000), " ",IF(INDEX($AB$2:$AQ$1001,MATCH(ROWS($U$2:U373),$U$2:$U$1001,0),MATCH(COLUMNS($AB$1006:AO1006),$AB$1006:$AQ$1006,0)), HYPERLINK("#",""), HYPERLINK(CONCATENATE("#metadata!", ADDRESS(INDEX($W$2:$W$1001,MATCH(ROWS($U$2:U373),$U$2:$U$1001,0),0), INDEX($AB$1004:$AQ$1004,1,MATCH(COLUMNS($AB$1006:AO1006),$AB$1006:$AQ$1006,0)))),"Fix")))</f>
        <v>0</v>
      </c>
      <c r="P373" s="4">
        <f>IF(OR(INDEX($V$2:$V$1001,MATCH(ROWS($U$2:U373),$U$2:$U$1001,0),1)&gt;=100000,INDEX($AB$1005:$AQ$1005,1,MATCH(COLUMNS($AB$1006:AP1006),$AB$1006:$AQ$1006,0))&gt;=100000), " ",IF(INDEX($AB$2:$AQ$1001,MATCH(ROWS($U$2:U373),$U$2:$U$1001,0),MATCH(COLUMNS($AB$1006:AP1006),$AB$1006:$AQ$1006,0)), HYPERLINK("#",""), HYPERLINK(CONCATENATE("#metadata!", ADDRESS(INDEX($W$2:$W$1001,MATCH(ROWS($U$2:U373),$U$2:$U$1001,0),0), INDEX($AB$1004:$AQ$1004,1,MATCH(COLUMNS($AB$1006:AP1006),$AB$1006:$AQ$1006,0)))),"Fix")))</f>
        <v>0</v>
      </c>
      <c r="Q373" s="4">
        <f>IF(OR(INDEX($V$2:$V$1001,MATCH(ROWS($U$2:U373),$U$2:$U$1001,0),1)&gt;=100000,INDEX($AB$1005:$AQ$1005,1,MATCH(COLUMNS($AB$1006:AQ1006),$AB$1006:$AQ$1006,0))&gt;=100000), " ",IF(INDEX($AB$2:$AQ$1001,MATCH(ROWS($U$2:U373),$U$2:$U$1001,0),MATCH(COLUMNS($AB$1006:AQ1006),$AB$1006:$AQ$1006,0)), HYPERLINK("#",""), HYPERLINK(CONCATENATE("#metadata!", ADDRESS(INDEX($W$2:$W$1001,MATCH(ROWS($U$2:U373),$U$2:$U$1001,0),0), INDEX($AB$1004:$AQ$1004,1,MATCH(COLUMNS($AB$1006:AQ1006),$AB$1006:$AQ$1006,0)))),"Fix")))</f>
        <v>0</v>
      </c>
      <c r="U373">
        <v>0</v>
      </c>
      <c r="V373">
        <v>0</v>
      </c>
      <c r="W373">
        <v>0</v>
      </c>
      <c r="X373">
        <f>IF(Y373,TRUE,AND(AB373:AQ373))</f>
        <v>0</v>
      </c>
      <c r="Y373">
        <f>COUNTBLANK(metadata!B373:Q373)=COLUMNS(metadata!B373:Q373)</f>
        <v>0</v>
      </c>
      <c r="Z373">
        <v>0</v>
      </c>
      <c r="AB373">
        <f>AND(IF(metadata!B373="",FALSE,TRUE),COUNTIF(metadata!B:B, metadata!B373) = 1,NOT(ISERROR(SUMPRODUCT(SEARCH(MID(metadata!B373,ROW(INDIRECT("1:"&amp;LEN(metadata!B373))), 1),"0123456789abcdefghijklmnopqrstuvwxyzABCDEFGHIJKLMNOPQRSTUVWXYZ.")))))</f>
        <v>0</v>
      </c>
      <c r="AC373">
        <f>OR(AND(IF(metadata!C373="",FALSE,TRUE),OR(exact(metadata!C373,"missing: not collected"),exact(metadata!C373,"missing: not provided"),exact(metadata!C373,"missing: restricted access"))),AND(IF(metadata!C373="",FALSE,TRUE),AND(AND(IFERROR(INT(LEFT(metadata!C373,4))&gt;1900,FALSE),IFERROR(INT(LEFT(metadata!C373,4))&lt;=YEAR(NOW()),FALSE)), OR(MID(metadata!C373,5,1)="", AND(AND(MID(metadata!C373,5,1)="-",IFERROR(INT(MID(metadata!C373,6,1))&gt;=0,FALSE),IFERROR(INT(MID(metadata!C373,6,1))&lt;=1,FALSE),NOT(MID(metadata!C373,7,1)=""),IFERROR(INT(MID(metadata!C373,6,2))&gt;=1,FALSE),IFERROR(INT(MID(metadata!C373,6,2))&lt;=12,FALSE)), OR(MID(metadata!C373,8,1)="", AND(AND(MID(metadata!C373,8,1)="-",IFERROR(INT(MID(metadata!C373,9,1))&gt;=0,FALSE),IFERROR(INT(MID(metadata!C373,9,1))&lt;=3,FALSE),NOT(MID(metadata!C373,10,1)=""),IFERROR(INT(MID(metadata!C373,9,2))&gt;=1,FALSE),IFERROR(INT(MID(metadata!C373,9,2))&lt;=31,FALSE)), OR(MID(metadata!C373,11,1)="", AND(AND(MID(metadata!C373,11,1)=" ",IFERROR(INT(MID(metadata!C373,12,1))&gt;=0,FALSE),IFERROR(INT(MID(metadata!C373,12,1))&lt;=2,FALSE),NOT(MID(metadata!C373,13,1)=""),IFERROR(INT(MID(metadata!C373,12,2))&gt;=0,FALSE),IFERROR(INT(MID(metadata!C373,12,2))&lt;=23,FALSE)), OR(MID(metadata!C373,14,1)="", AND(AND(MID(metadata!C373,14,1)=":",IFERROR(INT(MID(metadata!C373,15,1))&gt;=0,FALSE),IFERROR(INT(MID(metadata!C373,15,1))&lt;=5,FALSE),NOT(MID(metadata!C373,16,1)=""),IFERROR(INT(MID(metadata!C373,15,2))&gt;=0,FALSE),IFERROR(INT(MID(metadata!C373,15,2))&lt;=59,FALSE)), OR(MID(metadata!C373,17,1)="", AND(AND(MID(metadata!C373,17,1)=":",IFERROR(INT(MID(metadata!C373,18,1))&gt;=0,FALSE),IFERROR(INT(MID(metadata!C373,18,1))&lt;=5,FALSE),NOT(MID(metadata!C373,19,1)=""),IFERROR(INT(MID(metadata!C373,18,2))&gt;=0,FALSE),IFERROR(INT(MID(metadata!C373,18,2))&lt;=59,FALSE)), LEN(metadata!C373)&lt;=19)))))))))))))</f>
        <v>0</v>
      </c>
      <c r="AD373">
        <f>IF(metadata!D373="",FALSE,TRUE)</f>
        <v>0</v>
      </c>
      <c r="AE373">
        <f>OR(AND(IF(metadata!E373="",FALSE,TRUE),OR(exact(metadata!E373,"missing: not collected"),exact(metadata!E373,"missing: not provided"))),AND(IF(metadata!E373="",FALSE,TRUE),OR(exact(metadata!E373,"TRUE"),exact(metadata!E373,"FALSE"))))</f>
        <v>0</v>
      </c>
      <c r="AF373">
        <f>IF(metadata!F373="",FALSE,TRUE)</f>
        <v>0</v>
      </c>
      <c r="AG373">
        <f>IF(metadata!G373="",FALSE,TRUE)</f>
        <v>0</v>
      </c>
      <c r="AH373">
        <f>IF(metadata!H373="",FALSE,TRUE)</f>
        <v>0</v>
      </c>
      <c r="AI373">
        <f>OR(AND(IF(metadata!I373="",FALSE,TRUE),OR(exact(metadata!I373,"missing: not collected"),exact(metadata!I373,"missing: not provided"),exact(metadata!I373,"missing: restricted access"))),AND(IF(metadata!I373="",FALSE,TRUE),OR(exact(metadata!I373,"air"),exact(metadata!I373,"built environment"),exact(metadata!I373,"host-associated"),exact(metadata!I373,"human-associated"),exact(metadata!I373,"human-skin"),exact(metadata!I373,"human-oral"),exact(metadata!I373,"human-gut"),exact(metadata!I373,"human-vaginal"),exact(metadata!I373,"microbial mat/biofilm"),exact(metadata!I373,"misc environment"),exact(metadata!I373,"plant-associated"),exact(metadata!I373,"sediment"),exact(metadata!I373,"soil"),exact(metadata!I373,"wastewater/sludge"),exact(metadata!I373,"water"))))</f>
        <v>0</v>
      </c>
      <c r="AJ373">
        <f>IF(metadata!J373="",FALSE,TRUE)</f>
        <v>0</v>
      </c>
      <c r="AK373">
        <f>OR(AND(IF(metadata!K373="",FALSE,TRUE),OR(exact(metadata!K373,"missing: not collected"),exact(metadata!K373,"missing: not provided"),exact(metadata!K373,"missing: restricted access"))),AND(IF(metadata!K373="",FALSE,ISNUMBER(VALUE(metadata!K373))),metadata!K373&gt;=-90.00,metadata!K373&lt;=90.00))</f>
        <v>0</v>
      </c>
      <c r="AL373">
        <f>OR(AND(IF(metadata!L373="",FALSE,TRUE),OR(exact(metadata!L373,"missing: not collected"),exact(metadata!L373,"missing: not provided"),exact(metadata!L373,"missing: restricted access"))),AND(IF(metadata!L373="",FALSE,ISNUMBER(VALUE(metadata!L373))),metadata!L373&gt;=-180.00,metadata!L373&lt;=180.00))</f>
        <v>0</v>
      </c>
      <c r="AM373">
        <f>IF(metadata!M373="",FALSE,TRUE)</f>
        <v>0</v>
      </c>
      <c r="AN373">
        <f>OR(AND(IF(metadata!N373="",FALSE,TRUE),OR(exact(metadata!N373,"missing: not collected"),exact(metadata!N373,"missing: not provided"),exact(metadata!N373,"missing: restricted access"))),AND(IF(metadata!N373="",FALSE,TRUE),OR(exact(metadata!N373,"TRUE"),exact(metadata!N373,"FALSE"))))</f>
        <v>0</v>
      </c>
      <c r="AO373">
        <f>IF(metadata!O373="",FALSE,TRUE)</f>
        <v>0</v>
      </c>
      <c r="AP373">
        <f>OR(AND(IF(metadata!P373="",FALSE,TRUE),OR(exact(metadata!P373,"missing: not collected"),exact(metadata!P373,"missing: not provided"))),AND(IF(metadata!P373="",FALSE,IF(ISERROR(INT(metadata!P373)),FALSE,INT(metadata!P373)=metadata!P373)),metadata!P373&gt;0))</f>
        <v>0</v>
      </c>
      <c r="AQ373">
        <f>IF(metadata!Q373="",FALSE,TRUE)</f>
        <v>0</v>
      </c>
    </row>
    <row r="374" spans="1:43">
      <c r="A374" s="5">
        <f>IF(B374=" "," ",HYPERLINK(CONCATENATE("#metadata!",ADDRESS(INDEX($W$2:$W$1001,MATCH(ROWS($U$2:U374),$U$2:$U$1001,0),0),1)),INDEX($Z$2:$Z$1001,MATCH(ROWS($U$2:U374),$U$2:$U$1001,0),0)))</f>
        <v>0</v>
      </c>
      <c r="B374" s="4">
        <f>IF(OR(INDEX($V$2:$V$1001,MATCH(ROWS($U$2:U374),$U$2:$U$1001,0),1)&gt;=100000,INDEX($AB$1005:$AQ$1005,1,MATCH(COLUMNS($AB$1006:AB1006),$AB$1006:$AQ$1006,0))&gt;=100000), " ",IF(INDEX($AB$2:$AQ$1001,MATCH(ROWS($U$2:U374),$U$2:$U$1001,0),MATCH(COLUMNS($AB$1006:AB1006),$AB$1006:$AQ$1006,0)), HYPERLINK("#",""), HYPERLINK(CONCATENATE("#metadata!", ADDRESS(INDEX($W$2:$W$1001,MATCH(ROWS($U$2:U374),$U$2:$U$1001,0),0), INDEX($AB$1004:$AQ$1004,1,MATCH(COLUMNS($AB$1006:AB1006),$AB$1006:$AQ$1006,0)))),"Fix")))</f>
        <v>0</v>
      </c>
      <c r="C374" s="4">
        <f>IF(OR(INDEX($V$2:$V$1001,MATCH(ROWS($U$2:U374),$U$2:$U$1001,0),1)&gt;=100000,INDEX($AB$1005:$AQ$1005,1,MATCH(COLUMNS($AB$1006:AC1006),$AB$1006:$AQ$1006,0))&gt;=100000), " ",IF(INDEX($AB$2:$AQ$1001,MATCH(ROWS($U$2:U374),$U$2:$U$1001,0),MATCH(COLUMNS($AB$1006:AC1006),$AB$1006:$AQ$1006,0)), HYPERLINK("#",""), HYPERLINK(CONCATENATE("#metadata!", ADDRESS(INDEX($W$2:$W$1001,MATCH(ROWS($U$2:U374),$U$2:$U$1001,0),0), INDEX($AB$1004:$AQ$1004,1,MATCH(COLUMNS($AB$1006:AC1006),$AB$1006:$AQ$1006,0)))),"Fix")))</f>
        <v>0</v>
      </c>
      <c r="D374" s="4">
        <f>IF(OR(INDEX($V$2:$V$1001,MATCH(ROWS($U$2:U374),$U$2:$U$1001,0),1)&gt;=100000,INDEX($AB$1005:$AQ$1005,1,MATCH(COLUMNS($AB$1006:AD1006),$AB$1006:$AQ$1006,0))&gt;=100000), " ",IF(INDEX($AB$2:$AQ$1001,MATCH(ROWS($U$2:U374),$U$2:$U$1001,0),MATCH(COLUMNS($AB$1006:AD1006),$AB$1006:$AQ$1006,0)), HYPERLINK("#",""), HYPERLINK(CONCATENATE("#metadata!", ADDRESS(INDEX($W$2:$W$1001,MATCH(ROWS($U$2:U374),$U$2:$U$1001,0),0), INDEX($AB$1004:$AQ$1004,1,MATCH(COLUMNS($AB$1006:AD1006),$AB$1006:$AQ$1006,0)))),"Fix")))</f>
        <v>0</v>
      </c>
      <c r="E374" s="4">
        <f>IF(OR(INDEX($V$2:$V$1001,MATCH(ROWS($U$2:U374),$U$2:$U$1001,0),1)&gt;=100000,INDEX($AB$1005:$AQ$1005,1,MATCH(COLUMNS($AB$1006:AE1006),$AB$1006:$AQ$1006,0))&gt;=100000), " ",IF(INDEX($AB$2:$AQ$1001,MATCH(ROWS($U$2:U374),$U$2:$U$1001,0),MATCH(COLUMNS($AB$1006:AE1006),$AB$1006:$AQ$1006,0)), HYPERLINK("#",""), HYPERLINK(CONCATENATE("#metadata!", ADDRESS(INDEX($W$2:$W$1001,MATCH(ROWS($U$2:U374),$U$2:$U$1001,0),0), INDEX($AB$1004:$AQ$1004,1,MATCH(COLUMNS($AB$1006:AE1006),$AB$1006:$AQ$1006,0)))),"Fix")))</f>
        <v>0</v>
      </c>
      <c r="F374" s="4">
        <f>IF(OR(INDEX($V$2:$V$1001,MATCH(ROWS($U$2:U374),$U$2:$U$1001,0),1)&gt;=100000,INDEX($AB$1005:$AQ$1005,1,MATCH(COLUMNS($AB$1006:AF1006),$AB$1006:$AQ$1006,0))&gt;=100000), " ",IF(INDEX($AB$2:$AQ$1001,MATCH(ROWS($U$2:U374),$U$2:$U$1001,0),MATCH(COLUMNS($AB$1006:AF1006),$AB$1006:$AQ$1006,0)), HYPERLINK("#",""), HYPERLINK(CONCATENATE("#metadata!", ADDRESS(INDEX($W$2:$W$1001,MATCH(ROWS($U$2:U374),$U$2:$U$1001,0),0), INDEX($AB$1004:$AQ$1004,1,MATCH(COLUMNS($AB$1006:AF1006),$AB$1006:$AQ$1006,0)))),"Fix")))</f>
        <v>0</v>
      </c>
      <c r="G374" s="4">
        <f>IF(OR(INDEX($V$2:$V$1001,MATCH(ROWS($U$2:U374),$U$2:$U$1001,0),1)&gt;=100000,INDEX($AB$1005:$AQ$1005,1,MATCH(COLUMNS($AB$1006:AG1006),$AB$1006:$AQ$1006,0))&gt;=100000), " ",IF(INDEX($AB$2:$AQ$1001,MATCH(ROWS($U$2:U374),$U$2:$U$1001,0),MATCH(COLUMNS($AB$1006:AG1006),$AB$1006:$AQ$1006,0)), HYPERLINK("#",""), HYPERLINK(CONCATENATE("#metadata!", ADDRESS(INDEX($W$2:$W$1001,MATCH(ROWS($U$2:U374),$U$2:$U$1001,0),0), INDEX($AB$1004:$AQ$1004,1,MATCH(COLUMNS($AB$1006:AG1006),$AB$1006:$AQ$1006,0)))),"Fix")))</f>
        <v>0</v>
      </c>
      <c r="H374" s="4">
        <f>IF(OR(INDEX($V$2:$V$1001,MATCH(ROWS($U$2:U374),$U$2:$U$1001,0),1)&gt;=100000,INDEX($AB$1005:$AQ$1005,1,MATCH(COLUMNS($AB$1006:AH1006),$AB$1006:$AQ$1006,0))&gt;=100000), " ",IF(INDEX($AB$2:$AQ$1001,MATCH(ROWS($U$2:U374),$U$2:$U$1001,0),MATCH(COLUMNS($AB$1006:AH1006),$AB$1006:$AQ$1006,0)), HYPERLINK("#",""), HYPERLINK(CONCATENATE("#metadata!", ADDRESS(INDEX($W$2:$W$1001,MATCH(ROWS($U$2:U374),$U$2:$U$1001,0),0), INDEX($AB$1004:$AQ$1004,1,MATCH(COLUMNS($AB$1006:AH1006),$AB$1006:$AQ$1006,0)))),"Fix")))</f>
        <v>0</v>
      </c>
      <c r="I374" s="4">
        <f>IF(OR(INDEX($V$2:$V$1001,MATCH(ROWS($U$2:U374),$U$2:$U$1001,0),1)&gt;=100000,INDEX($AB$1005:$AQ$1005,1,MATCH(COLUMNS($AB$1006:AI1006),$AB$1006:$AQ$1006,0))&gt;=100000), " ",IF(INDEX($AB$2:$AQ$1001,MATCH(ROWS($U$2:U374),$U$2:$U$1001,0),MATCH(COLUMNS($AB$1006:AI1006),$AB$1006:$AQ$1006,0)), HYPERLINK("#",""), HYPERLINK(CONCATENATE("#metadata!", ADDRESS(INDEX($W$2:$W$1001,MATCH(ROWS($U$2:U374),$U$2:$U$1001,0),0), INDEX($AB$1004:$AQ$1004,1,MATCH(COLUMNS($AB$1006:AI1006),$AB$1006:$AQ$1006,0)))),"Fix")))</f>
        <v>0</v>
      </c>
      <c r="J374" s="4">
        <f>IF(OR(INDEX($V$2:$V$1001,MATCH(ROWS($U$2:U374),$U$2:$U$1001,0),1)&gt;=100000,INDEX($AB$1005:$AQ$1005,1,MATCH(COLUMNS($AB$1006:AJ1006),$AB$1006:$AQ$1006,0))&gt;=100000), " ",IF(INDEX($AB$2:$AQ$1001,MATCH(ROWS($U$2:U374),$U$2:$U$1001,0),MATCH(COLUMNS($AB$1006:AJ1006),$AB$1006:$AQ$1006,0)), HYPERLINK("#",""), HYPERLINK(CONCATENATE("#metadata!", ADDRESS(INDEX($W$2:$W$1001,MATCH(ROWS($U$2:U374),$U$2:$U$1001,0),0), INDEX($AB$1004:$AQ$1004,1,MATCH(COLUMNS($AB$1006:AJ1006),$AB$1006:$AQ$1006,0)))),"Fix")))</f>
        <v>0</v>
      </c>
      <c r="K374" s="4">
        <f>IF(OR(INDEX($V$2:$V$1001,MATCH(ROWS($U$2:U374),$U$2:$U$1001,0),1)&gt;=100000,INDEX($AB$1005:$AQ$1005,1,MATCH(COLUMNS($AB$1006:AK1006),$AB$1006:$AQ$1006,0))&gt;=100000), " ",IF(INDEX($AB$2:$AQ$1001,MATCH(ROWS($U$2:U374),$U$2:$U$1001,0),MATCH(COLUMNS($AB$1006:AK1006),$AB$1006:$AQ$1006,0)), HYPERLINK("#",""), HYPERLINK(CONCATENATE("#metadata!", ADDRESS(INDEX($W$2:$W$1001,MATCH(ROWS($U$2:U374),$U$2:$U$1001,0),0), INDEX($AB$1004:$AQ$1004,1,MATCH(COLUMNS($AB$1006:AK1006),$AB$1006:$AQ$1006,0)))),"Fix")))</f>
        <v>0</v>
      </c>
      <c r="L374" s="4">
        <f>IF(OR(INDEX($V$2:$V$1001,MATCH(ROWS($U$2:U374),$U$2:$U$1001,0),1)&gt;=100000,INDEX($AB$1005:$AQ$1005,1,MATCH(COLUMNS($AB$1006:AL1006),$AB$1006:$AQ$1006,0))&gt;=100000), " ",IF(INDEX($AB$2:$AQ$1001,MATCH(ROWS($U$2:U374),$U$2:$U$1001,0),MATCH(COLUMNS($AB$1006:AL1006),$AB$1006:$AQ$1006,0)), HYPERLINK("#",""), HYPERLINK(CONCATENATE("#metadata!", ADDRESS(INDEX($W$2:$W$1001,MATCH(ROWS($U$2:U374),$U$2:$U$1001,0),0), INDEX($AB$1004:$AQ$1004,1,MATCH(COLUMNS($AB$1006:AL1006),$AB$1006:$AQ$1006,0)))),"Fix")))</f>
        <v>0</v>
      </c>
      <c r="M374" s="4">
        <f>IF(OR(INDEX($V$2:$V$1001,MATCH(ROWS($U$2:U374),$U$2:$U$1001,0),1)&gt;=100000,INDEX($AB$1005:$AQ$1005,1,MATCH(COLUMNS($AB$1006:AM1006),$AB$1006:$AQ$1006,0))&gt;=100000), " ",IF(INDEX($AB$2:$AQ$1001,MATCH(ROWS($U$2:U374),$U$2:$U$1001,0),MATCH(COLUMNS($AB$1006:AM1006),$AB$1006:$AQ$1006,0)), HYPERLINK("#",""), HYPERLINK(CONCATENATE("#metadata!", ADDRESS(INDEX($W$2:$W$1001,MATCH(ROWS($U$2:U374),$U$2:$U$1001,0),0), INDEX($AB$1004:$AQ$1004,1,MATCH(COLUMNS($AB$1006:AM1006),$AB$1006:$AQ$1006,0)))),"Fix")))</f>
        <v>0</v>
      </c>
      <c r="N374" s="4">
        <f>IF(OR(INDEX($V$2:$V$1001,MATCH(ROWS($U$2:U374),$U$2:$U$1001,0),1)&gt;=100000,INDEX($AB$1005:$AQ$1005,1,MATCH(COLUMNS($AB$1006:AN1006),$AB$1006:$AQ$1006,0))&gt;=100000), " ",IF(INDEX($AB$2:$AQ$1001,MATCH(ROWS($U$2:U374),$U$2:$U$1001,0),MATCH(COLUMNS($AB$1006:AN1006),$AB$1006:$AQ$1006,0)), HYPERLINK("#",""), HYPERLINK(CONCATENATE("#metadata!", ADDRESS(INDEX($W$2:$W$1001,MATCH(ROWS($U$2:U374),$U$2:$U$1001,0),0), INDEX($AB$1004:$AQ$1004,1,MATCH(COLUMNS($AB$1006:AN1006),$AB$1006:$AQ$1006,0)))),"Fix")))</f>
        <v>0</v>
      </c>
      <c r="O374" s="4">
        <f>IF(OR(INDEX($V$2:$V$1001,MATCH(ROWS($U$2:U374),$U$2:$U$1001,0),1)&gt;=100000,INDEX($AB$1005:$AQ$1005,1,MATCH(COLUMNS($AB$1006:AO1006),$AB$1006:$AQ$1006,0))&gt;=100000), " ",IF(INDEX($AB$2:$AQ$1001,MATCH(ROWS($U$2:U374),$U$2:$U$1001,0),MATCH(COLUMNS($AB$1006:AO1006),$AB$1006:$AQ$1006,0)), HYPERLINK("#",""), HYPERLINK(CONCATENATE("#metadata!", ADDRESS(INDEX($W$2:$W$1001,MATCH(ROWS($U$2:U374),$U$2:$U$1001,0),0), INDEX($AB$1004:$AQ$1004,1,MATCH(COLUMNS($AB$1006:AO1006),$AB$1006:$AQ$1006,0)))),"Fix")))</f>
        <v>0</v>
      </c>
      <c r="P374" s="4">
        <f>IF(OR(INDEX($V$2:$V$1001,MATCH(ROWS($U$2:U374),$U$2:$U$1001,0),1)&gt;=100000,INDEX($AB$1005:$AQ$1005,1,MATCH(COLUMNS($AB$1006:AP1006),$AB$1006:$AQ$1006,0))&gt;=100000), " ",IF(INDEX($AB$2:$AQ$1001,MATCH(ROWS($U$2:U374),$U$2:$U$1001,0),MATCH(COLUMNS($AB$1006:AP1006),$AB$1006:$AQ$1006,0)), HYPERLINK("#",""), HYPERLINK(CONCATENATE("#metadata!", ADDRESS(INDEX($W$2:$W$1001,MATCH(ROWS($U$2:U374),$U$2:$U$1001,0),0), INDEX($AB$1004:$AQ$1004,1,MATCH(COLUMNS($AB$1006:AP1006),$AB$1006:$AQ$1006,0)))),"Fix")))</f>
        <v>0</v>
      </c>
      <c r="Q374" s="4">
        <f>IF(OR(INDEX($V$2:$V$1001,MATCH(ROWS($U$2:U374),$U$2:$U$1001,0),1)&gt;=100000,INDEX($AB$1005:$AQ$1005,1,MATCH(COLUMNS($AB$1006:AQ1006),$AB$1006:$AQ$1006,0))&gt;=100000), " ",IF(INDEX($AB$2:$AQ$1001,MATCH(ROWS($U$2:U374),$U$2:$U$1001,0),MATCH(COLUMNS($AB$1006:AQ1006),$AB$1006:$AQ$1006,0)), HYPERLINK("#",""), HYPERLINK(CONCATENATE("#metadata!", ADDRESS(INDEX($W$2:$W$1001,MATCH(ROWS($U$2:U374),$U$2:$U$1001,0),0), INDEX($AB$1004:$AQ$1004,1,MATCH(COLUMNS($AB$1006:AQ1006),$AB$1006:$AQ$1006,0)))),"Fix")))</f>
        <v>0</v>
      </c>
      <c r="U374">
        <v>0</v>
      </c>
      <c r="V374">
        <v>0</v>
      </c>
      <c r="W374">
        <v>0</v>
      </c>
      <c r="X374">
        <f>IF(Y374,TRUE,AND(AB374:AQ374))</f>
        <v>0</v>
      </c>
      <c r="Y374">
        <f>COUNTBLANK(metadata!B374:Q374)=COLUMNS(metadata!B374:Q374)</f>
        <v>0</v>
      </c>
      <c r="Z374">
        <v>0</v>
      </c>
      <c r="AB374">
        <f>AND(IF(metadata!B374="",FALSE,TRUE),COUNTIF(metadata!B:B, metadata!B374) = 1,NOT(ISERROR(SUMPRODUCT(SEARCH(MID(metadata!B374,ROW(INDIRECT("1:"&amp;LEN(metadata!B374))), 1),"0123456789abcdefghijklmnopqrstuvwxyzABCDEFGHIJKLMNOPQRSTUVWXYZ.")))))</f>
        <v>0</v>
      </c>
      <c r="AC374">
        <f>OR(AND(IF(metadata!C374="",FALSE,TRUE),OR(exact(metadata!C374,"missing: not collected"),exact(metadata!C374,"missing: not provided"),exact(metadata!C374,"missing: restricted access"))),AND(IF(metadata!C374="",FALSE,TRUE),AND(AND(IFERROR(INT(LEFT(metadata!C374,4))&gt;1900,FALSE),IFERROR(INT(LEFT(metadata!C374,4))&lt;=YEAR(NOW()),FALSE)), OR(MID(metadata!C374,5,1)="", AND(AND(MID(metadata!C374,5,1)="-",IFERROR(INT(MID(metadata!C374,6,1))&gt;=0,FALSE),IFERROR(INT(MID(metadata!C374,6,1))&lt;=1,FALSE),NOT(MID(metadata!C374,7,1)=""),IFERROR(INT(MID(metadata!C374,6,2))&gt;=1,FALSE),IFERROR(INT(MID(metadata!C374,6,2))&lt;=12,FALSE)), OR(MID(metadata!C374,8,1)="", AND(AND(MID(metadata!C374,8,1)="-",IFERROR(INT(MID(metadata!C374,9,1))&gt;=0,FALSE),IFERROR(INT(MID(metadata!C374,9,1))&lt;=3,FALSE),NOT(MID(metadata!C374,10,1)=""),IFERROR(INT(MID(metadata!C374,9,2))&gt;=1,FALSE),IFERROR(INT(MID(metadata!C374,9,2))&lt;=31,FALSE)), OR(MID(metadata!C374,11,1)="", AND(AND(MID(metadata!C374,11,1)=" ",IFERROR(INT(MID(metadata!C374,12,1))&gt;=0,FALSE),IFERROR(INT(MID(metadata!C374,12,1))&lt;=2,FALSE),NOT(MID(metadata!C374,13,1)=""),IFERROR(INT(MID(metadata!C374,12,2))&gt;=0,FALSE),IFERROR(INT(MID(metadata!C374,12,2))&lt;=23,FALSE)), OR(MID(metadata!C374,14,1)="", AND(AND(MID(metadata!C374,14,1)=":",IFERROR(INT(MID(metadata!C374,15,1))&gt;=0,FALSE),IFERROR(INT(MID(metadata!C374,15,1))&lt;=5,FALSE),NOT(MID(metadata!C374,16,1)=""),IFERROR(INT(MID(metadata!C374,15,2))&gt;=0,FALSE),IFERROR(INT(MID(metadata!C374,15,2))&lt;=59,FALSE)), OR(MID(metadata!C374,17,1)="", AND(AND(MID(metadata!C374,17,1)=":",IFERROR(INT(MID(metadata!C374,18,1))&gt;=0,FALSE),IFERROR(INT(MID(metadata!C374,18,1))&lt;=5,FALSE),NOT(MID(metadata!C374,19,1)=""),IFERROR(INT(MID(metadata!C374,18,2))&gt;=0,FALSE),IFERROR(INT(MID(metadata!C374,18,2))&lt;=59,FALSE)), LEN(metadata!C374)&lt;=19)))))))))))))</f>
        <v>0</v>
      </c>
      <c r="AD374">
        <f>IF(metadata!D374="",FALSE,TRUE)</f>
        <v>0</v>
      </c>
      <c r="AE374">
        <f>OR(AND(IF(metadata!E374="",FALSE,TRUE),OR(exact(metadata!E374,"missing: not collected"),exact(metadata!E374,"missing: not provided"))),AND(IF(metadata!E374="",FALSE,TRUE),OR(exact(metadata!E374,"TRUE"),exact(metadata!E374,"FALSE"))))</f>
        <v>0</v>
      </c>
      <c r="AF374">
        <f>IF(metadata!F374="",FALSE,TRUE)</f>
        <v>0</v>
      </c>
      <c r="AG374">
        <f>IF(metadata!G374="",FALSE,TRUE)</f>
        <v>0</v>
      </c>
      <c r="AH374">
        <f>IF(metadata!H374="",FALSE,TRUE)</f>
        <v>0</v>
      </c>
      <c r="AI374">
        <f>OR(AND(IF(metadata!I374="",FALSE,TRUE),OR(exact(metadata!I374,"missing: not collected"),exact(metadata!I374,"missing: not provided"),exact(metadata!I374,"missing: restricted access"))),AND(IF(metadata!I374="",FALSE,TRUE),OR(exact(metadata!I374,"air"),exact(metadata!I374,"built environment"),exact(metadata!I374,"host-associated"),exact(metadata!I374,"human-associated"),exact(metadata!I374,"human-skin"),exact(metadata!I374,"human-oral"),exact(metadata!I374,"human-gut"),exact(metadata!I374,"human-vaginal"),exact(metadata!I374,"microbial mat/biofilm"),exact(metadata!I374,"misc environment"),exact(metadata!I374,"plant-associated"),exact(metadata!I374,"sediment"),exact(metadata!I374,"soil"),exact(metadata!I374,"wastewater/sludge"),exact(metadata!I374,"water"))))</f>
        <v>0</v>
      </c>
      <c r="AJ374">
        <f>IF(metadata!J374="",FALSE,TRUE)</f>
        <v>0</v>
      </c>
      <c r="AK374">
        <f>OR(AND(IF(metadata!K374="",FALSE,TRUE),OR(exact(metadata!K374,"missing: not collected"),exact(metadata!K374,"missing: not provided"),exact(metadata!K374,"missing: restricted access"))),AND(IF(metadata!K374="",FALSE,ISNUMBER(VALUE(metadata!K374))),metadata!K374&gt;=-90.00,metadata!K374&lt;=90.00))</f>
        <v>0</v>
      </c>
      <c r="AL374">
        <f>OR(AND(IF(metadata!L374="",FALSE,TRUE),OR(exact(metadata!L374,"missing: not collected"),exact(metadata!L374,"missing: not provided"),exact(metadata!L374,"missing: restricted access"))),AND(IF(metadata!L374="",FALSE,ISNUMBER(VALUE(metadata!L374))),metadata!L374&gt;=-180.00,metadata!L374&lt;=180.00))</f>
        <v>0</v>
      </c>
      <c r="AM374">
        <f>IF(metadata!M374="",FALSE,TRUE)</f>
        <v>0</v>
      </c>
      <c r="AN374">
        <f>OR(AND(IF(metadata!N374="",FALSE,TRUE),OR(exact(metadata!N374,"missing: not collected"),exact(metadata!N374,"missing: not provided"),exact(metadata!N374,"missing: restricted access"))),AND(IF(metadata!N374="",FALSE,TRUE),OR(exact(metadata!N374,"TRUE"),exact(metadata!N374,"FALSE"))))</f>
        <v>0</v>
      </c>
      <c r="AO374">
        <f>IF(metadata!O374="",FALSE,TRUE)</f>
        <v>0</v>
      </c>
      <c r="AP374">
        <f>OR(AND(IF(metadata!P374="",FALSE,TRUE),OR(exact(metadata!P374,"missing: not collected"),exact(metadata!P374,"missing: not provided"))),AND(IF(metadata!P374="",FALSE,IF(ISERROR(INT(metadata!P374)),FALSE,INT(metadata!P374)=metadata!P374)),metadata!P374&gt;0))</f>
        <v>0</v>
      </c>
      <c r="AQ374">
        <f>IF(metadata!Q374="",FALSE,TRUE)</f>
        <v>0</v>
      </c>
    </row>
    <row r="375" spans="1:43">
      <c r="A375" s="5">
        <f>IF(B375=" "," ",HYPERLINK(CONCATENATE("#metadata!",ADDRESS(INDEX($W$2:$W$1001,MATCH(ROWS($U$2:U375),$U$2:$U$1001,0),0),1)),INDEX($Z$2:$Z$1001,MATCH(ROWS($U$2:U375),$U$2:$U$1001,0),0)))</f>
        <v>0</v>
      </c>
      <c r="B375" s="4">
        <f>IF(OR(INDEX($V$2:$V$1001,MATCH(ROWS($U$2:U375),$U$2:$U$1001,0),1)&gt;=100000,INDEX($AB$1005:$AQ$1005,1,MATCH(COLUMNS($AB$1006:AB1006),$AB$1006:$AQ$1006,0))&gt;=100000), " ",IF(INDEX($AB$2:$AQ$1001,MATCH(ROWS($U$2:U375),$U$2:$U$1001,0),MATCH(COLUMNS($AB$1006:AB1006),$AB$1006:$AQ$1006,0)), HYPERLINK("#",""), HYPERLINK(CONCATENATE("#metadata!", ADDRESS(INDEX($W$2:$W$1001,MATCH(ROWS($U$2:U375),$U$2:$U$1001,0),0), INDEX($AB$1004:$AQ$1004,1,MATCH(COLUMNS($AB$1006:AB1006),$AB$1006:$AQ$1006,0)))),"Fix")))</f>
        <v>0</v>
      </c>
      <c r="C375" s="4">
        <f>IF(OR(INDEX($V$2:$V$1001,MATCH(ROWS($U$2:U375),$U$2:$U$1001,0),1)&gt;=100000,INDEX($AB$1005:$AQ$1005,1,MATCH(COLUMNS($AB$1006:AC1006),$AB$1006:$AQ$1006,0))&gt;=100000), " ",IF(INDEX($AB$2:$AQ$1001,MATCH(ROWS($U$2:U375),$U$2:$U$1001,0),MATCH(COLUMNS($AB$1006:AC1006),$AB$1006:$AQ$1006,0)), HYPERLINK("#",""), HYPERLINK(CONCATENATE("#metadata!", ADDRESS(INDEX($W$2:$W$1001,MATCH(ROWS($U$2:U375),$U$2:$U$1001,0),0), INDEX($AB$1004:$AQ$1004,1,MATCH(COLUMNS($AB$1006:AC1006),$AB$1006:$AQ$1006,0)))),"Fix")))</f>
        <v>0</v>
      </c>
      <c r="D375" s="4">
        <f>IF(OR(INDEX($V$2:$V$1001,MATCH(ROWS($U$2:U375),$U$2:$U$1001,0),1)&gt;=100000,INDEX($AB$1005:$AQ$1005,1,MATCH(COLUMNS($AB$1006:AD1006),$AB$1006:$AQ$1006,0))&gt;=100000), " ",IF(INDEX($AB$2:$AQ$1001,MATCH(ROWS($U$2:U375),$U$2:$U$1001,0),MATCH(COLUMNS($AB$1006:AD1006),$AB$1006:$AQ$1006,0)), HYPERLINK("#",""), HYPERLINK(CONCATENATE("#metadata!", ADDRESS(INDEX($W$2:$W$1001,MATCH(ROWS($U$2:U375),$U$2:$U$1001,0),0), INDEX($AB$1004:$AQ$1004,1,MATCH(COLUMNS($AB$1006:AD1006),$AB$1006:$AQ$1006,0)))),"Fix")))</f>
        <v>0</v>
      </c>
      <c r="E375" s="4">
        <f>IF(OR(INDEX($V$2:$V$1001,MATCH(ROWS($U$2:U375),$U$2:$U$1001,0),1)&gt;=100000,INDEX($AB$1005:$AQ$1005,1,MATCH(COLUMNS($AB$1006:AE1006),$AB$1006:$AQ$1006,0))&gt;=100000), " ",IF(INDEX($AB$2:$AQ$1001,MATCH(ROWS($U$2:U375),$U$2:$U$1001,0),MATCH(COLUMNS($AB$1006:AE1006),$AB$1006:$AQ$1006,0)), HYPERLINK("#",""), HYPERLINK(CONCATENATE("#metadata!", ADDRESS(INDEX($W$2:$W$1001,MATCH(ROWS($U$2:U375),$U$2:$U$1001,0),0), INDEX($AB$1004:$AQ$1004,1,MATCH(COLUMNS($AB$1006:AE1006),$AB$1006:$AQ$1006,0)))),"Fix")))</f>
        <v>0</v>
      </c>
      <c r="F375" s="4">
        <f>IF(OR(INDEX($V$2:$V$1001,MATCH(ROWS($U$2:U375),$U$2:$U$1001,0),1)&gt;=100000,INDEX($AB$1005:$AQ$1005,1,MATCH(COLUMNS($AB$1006:AF1006),$AB$1006:$AQ$1006,0))&gt;=100000), " ",IF(INDEX($AB$2:$AQ$1001,MATCH(ROWS($U$2:U375),$U$2:$U$1001,0),MATCH(COLUMNS($AB$1006:AF1006),$AB$1006:$AQ$1006,0)), HYPERLINK("#",""), HYPERLINK(CONCATENATE("#metadata!", ADDRESS(INDEX($W$2:$W$1001,MATCH(ROWS($U$2:U375),$U$2:$U$1001,0),0), INDEX($AB$1004:$AQ$1004,1,MATCH(COLUMNS($AB$1006:AF1006),$AB$1006:$AQ$1006,0)))),"Fix")))</f>
        <v>0</v>
      </c>
      <c r="G375" s="4">
        <f>IF(OR(INDEX($V$2:$V$1001,MATCH(ROWS($U$2:U375),$U$2:$U$1001,0),1)&gt;=100000,INDEX($AB$1005:$AQ$1005,1,MATCH(COLUMNS($AB$1006:AG1006),$AB$1006:$AQ$1006,0))&gt;=100000), " ",IF(INDEX($AB$2:$AQ$1001,MATCH(ROWS($U$2:U375),$U$2:$U$1001,0),MATCH(COLUMNS($AB$1006:AG1006),$AB$1006:$AQ$1006,0)), HYPERLINK("#",""), HYPERLINK(CONCATENATE("#metadata!", ADDRESS(INDEX($W$2:$W$1001,MATCH(ROWS($U$2:U375),$U$2:$U$1001,0),0), INDEX($AB$1004:$AQ$1004,1,MATCH(COLUMNS($AB$1006:AG1006),$AB$1006:$AQ$1006,0)))),"Fix")))</f>
        <v>0</v>
      </c>
      <c r="H375" s="4">
        <f>IF(OR(INDEX($V$2:$V$1001,MATCH(ROWS($U$2:U375),$U$2:$U$1001,0),1)&gt;=100000,INDEX($AB$1005:$AQ$1005,1,MATCH(COLUMNS($AB$1006:AH1006),$AB$1006:$AQ$1006,0))&gt;=100000), " ",IF(INDEX($AB$2:$AQ$1001,MATCH(ROWS($U$2:U375),$U$2:$U$1001,0),MATCH(COLUMNS($AB$1006:AH1006),$AB$1006:$AQ$1006,0)), HYPERLINK("#",""), HYPERLINK(CONCATENATE("#metadata!", ADDRESS(INDEX($W$2:$W$1001,MATCH(ROWS($U$2:U375),$U$2:$U$1001,0),0), INDEX($AB$1004:$AQ$1004,1,MATCH(COLUMNS($AB$1006:AH1006),$AB$1006:$AQ$1006,0)))),"Fix")))</f>
        <v>0</v>
      </c>
      <c r="I375" s="4">
        <f>IF(OR(INDEX($V$2:$V$1001,MATCH(ROWS($U$2:U375),$U$2:$U$1001,0),1)&gt;=100000,INDEX($AB$1005:$AQ$1005,1,MATCH(COLUMNS($AB$1006:AI1006),$AB$1006:$AQ$1006,0))&gt;=100000), " ",IF(INDEX($AB$2:$AQ$1001,MATCH(ROWS($U$2:U375),$U$2:$U$1001,0),MATCH(COLUMNS($AB$1006:AI1006),$AB$1006:$AQ$1006,0)), HYPERLINK("#",""), HYPERLINK(CONCATENATE("#metadata!", ADDRESS(INDEX($W$2:$W$1001,MATCH(ROWS($U$2:U375),$U$2:$U$1001,0),0), INDEX($AB$1004:$AQ$1004,1,MATCH(COLUMNS($AB$1006:AI1006),$AB$1006:$AQ$1006,0)))),"Fix")))</f>
        <v>0</v>
      </c>
      <c r="J375" s="4">
        <f>IF(OR(INDEX($V$2:$V$1001,MATCH(ROWS($U$2:U375),$U$2:$U$1001,0),1)&gt;=100000,INDEX($AB$1005:$AQ$1005,1,MATCH(COLUMNS($AB$1006:AJ1006),$AB$1006:$AQ$1006,0))&gt;=100000), " ",IF(INDEX($AB$2:$AQ$1001,MATCH(ROWS($U$2:U375),$U$2:$U$1001,0),MATCH(COLUMNS($AB$1006:AJ1006),$AB$1006:$AQ$1006,0)), HYPERLINK("#",""), HYPERLINK(CONCATENATE("#metadata!", ADDRESS(INDEX($W$2:$W$1001,MATCH(ROWS($U$2:U375),$U$2:$U$1001,0),0), INDEX($AB$1004:$AQ$1004,1,MATCH(COLUMNS($AB$1006:AJ1006),$AB$1006:$AQ$1006,0)))),"Fix")))</f>
        <v>0</v>
      </c>
      <c r="K375" s="4">
        <f>IF(OR(INDEX($V$2:$V$1001,MATCH(ROWS($U$2:U375),$U$2:$U$1001,0),1)&gt;=100000,INDEX($AB$1005:$AQ$1005,1,MATCH(COLUMNS($AB$1006:AK1006),$AB$1006:$AQ$1006,0))&gt;=100000), " ",IF(INDEX($AB$2:$AQ$1001,MATCH(ROWS($U$2:U375),$U$2:$U$1001,0),MATCH(COLUMNS($AB$1006:AK1006),$AB$1006:$AQ$1006,0)), HYPERLINK("#",""), HYPERLINK(CONCATENATE("#metadata!", ADDRESS(INDEX($W$2:$W$1001,MATCH(ROWS($U$2:U375),$U$2:$U$1001,0),0), INDEX($AB$1004:$AQ$1004,1,MATCH(COLUMNS($AB$1006:AK1006),$AB$1006:$AQ$1006,0)))),"Fix")))</f>
        <v>0</v>
      </c>
      <c r="L375" s="4">
        <f>IF(OR(INDEX($V$2:$V$1001,MATCH(ROWS($U$2:U375),$U$2:$U$1001,0),1)&gt;=100000,INDEX($AB$1005:$AQ$1005,1,MATCH(COLUMNS($AB$1006:AL1006),$AB$1006:$AQ$1006,0))&gt;=100000), " ",IF(INDEX($AB$2:$AQ$1001,MATCH(ROWS($U$2:U375),$U$2:$U$1001,0),MATCH(COLUMNS($AB$1006:AL1006),$AB$1006:$AQ$1006,0)), HYPERLINK("#",""), HYPERLINK(CONCATENATE("#metadata!", ADDRESS(INDEX($W$2:$W$1001,MATCH(ROWS($U$2:U375),$U$2:$U$1001,0),0), INDEX($AB$1004:$AQ$1004,1,MATCH(COLUMNS($AB$1006:AL1006),$AB$1006:$AQ$1006,0)))),"Fix")))</f>
        <v>0</v>
      </c>
      <c r="M375" s="4">
        <f>IF(OR(INDEX($V$2:$V$1001,MATCH(ROWS($U$2:U375),$U$2:$U$1001,0),1)&gt;=100000,INDEX($AB$1005:$AQ$1005,1,MATCH(COLUMNS($AB$1006:AM1006),$AB$1006:$AQ$1006,0))&gt;=100000), " ",IF(INDEX($AB$2:$AQ$1001,MATCH(ROWS($U$2:U375),$U$2:$U$1001,0),MATCH(COLUMNS($AB$1006:AM1006),$AB$1006:$AQ$1006,0)), HYPERLINK("#",""), HYPERLINK(CONCATENATE("#metadata!", ADDRESS(INDEX($W$2:$W$1001,MATCH(ROWS($U$2:U375),$U$2:$U$1001,0),0), INDEX($AB$1004:$AQ$1004,1,MATCH(COLUMNS($AB$1006:AM1006),$AB$1006:$AQ$1006,0)))),"Fix")))</f>
        <v>0</v>
      </c>
      <c r="N375" s="4">
        <f>IF(OR(INDEX($V$2:$V$1001,MATCH(ROWS($U$2:U375),$U$2:$U$1001,0),1)&gt;=100000,INDEX($AB$1005:$AQ$1005,1,MATCH(COLUMNS($AB$1006:AN1006),$AB$1006:$AQ$1006,0))&gt;=100000), " ",IF(INDEX($AB$2:$AQ$1001,MATCH(ROWS($U$2:U375),$U$2:$U$1001,0),MATCH(COLUMNS($AB$1006:AN1006),$AB$1006:$AQ$1006,0)), HYPERLINK("#",""), HYPERLINK(CONCATENATE("#metadata!", ADDRESS(INDEX($W$2:$W$1001,MATCH(ROWS($U$2:U375),$U$2:$U$1001,0),0), INDEX($AB$1004:$AQ$1004,1,MATCH(COLUMNS($AB$1006:AN1006),$AB$1006:$AQ$1006,0)))),"Fix")))</f>
        <v>0</v>
      </c>
      <c r="O375" s="4">
        <f>IF(OR(INDEX($V$2:$V$1001,MATCH(ROWS($U$2:U375),$U$2:$U$1001,0),1)&gt;=100000,INDEX($AB$1005:$AQ$1005,1,MATCH(COLUMNS($AB$1006:AO1006),$AB$1006:$AQ$1006,0))&gt;=100000), " ",IF(INDEX($AB$2:$AQ$1001,MATCH(ROWS($U$2:U375),$U$2:$U$1001,0),MATCH(COLUMNS($AB$1006:AO1006),$AB$1006:$AQ$1006,0)), HYPERLINK("#",""), HYPERLINK(CONCATENATE("#metadata!", ADDRESS(INDEX($W$2:$W$1001,MATCH(ROWS($U$2:U375),$U$2:$U$1001,0),0), INDEX($AB$1004:$AQ$1004,1,MATCH(COLUMNS($AB$1006:AO1006),$AB$1006:$AQ$1006,0)))),"Fix")))</f>
        <v>0</v>
      </c>
      <c r="P375" s="4">
        <f>IF(OR(INDEX($V$2:$V$1001,MATCH(ROWS($U$2:U375),$U$2:$U$1001,0),1)&gt;=100000,INDEX($AB$1005:$AQ$1005,1,MATCH(COLUMNS($AB$1006:AP1006),$AB$1006:$AQ$1006,0))&gt;=100000), " ",IF(INDEX($AB$2:$AQ$1001,MATCH(ROWS($U$2:U375),$U$2:$U$1001,0),MATCH(COLUMNS($AB$1006:AP1006),$AB$1006:$AQ$1006,0)), HYPERLINK("#",""), HYPERLINK(CONCATENATE("#metadata!", ADDRESS(INDEX($W$2:$W$1001,MATCH(ROWS($U$2:U375),$U$2:$U$1001,0),0), INDEX($AB$1004:$AQ$1004,1,MATCH(COLUMNS($AB$1006:AP1006),$AB$1006:$AQ$1006,0)))),"Fix")))</f>
        <v>0</v>
      </c>
      <c r="Q375" s="4">
        <f>IF(OR(INDEX($V$2:$V$1001,MATCH(ROWS($U$2:U375),$U$2:$U$1001,0),1)&gt;=100000,INDEX($AB$1005:$AQ$1005,1,MATCH(COLUMNS($AB$1006:AQ1006),$AB$1006:$AQ$1006,0))&gt;=100000), " ",IF(INDEX($AB$2:$AQ$1001,MATCH(ROWS($U$2:U375),$U$2:$U$1001,0),MATCH(COLUMNS($AB$1006:AQ1006),$AB$1006:$AQ$1006,0)), HYPERLINK("#",""), HYPERLINK(CONCATENATE("#metadata!", ADDRESS(INDEX($W$2:$W$1001,MATCH(ROWS($U$2:U375),$U$2:$U$1001,0),0), INDEX($AB$1004:$AQ$1004,1,MATCH(COLUMNS($AB$1006:AQ1006),$AB$1006:$AQ$1006,0)))),"Fix")))</f>
        <v>0</v>
      </c>
      <c r="U375">
        <v>0</v>
      </c>
      <c r="V375">
        <v>0</v>
      </c>
      <c r="W375">
        <v>0</v>
      </c>
      <c r="X375">
        <f>IF(Y375,TRUE,AND(AB375:AQ375))</f>
        <v>0</v>
      </c>
      <c r="Y375">
        <f>COUNTBLANK(metadata!B375:Q375)=COLUMNS(metadata!B375:Q375)</f>
        <v>0</v>
      </c>
      <c r="Z375">
        <v>0</v>
      </c>
      <c r="AB375">
        <f>AND(IF(metadata!B375="",FALSE,TRUE),COUNTIF(metadata!B:B, metadata!B375) = 1,NOT(ISERROR(SUMPRODUCT(SEARCH(MID(metadata!B375,ROW(INDIRECT("1:"&amp;LEN(metadata!B375))), 1),"0123456789abcdefghijklmnopqrstuvwxyzABCDEFGHIJKLMNOPQRSTUVWXYZ.")))))</f>
        <v>0</v>
      </c>
      <c r="AC375">
        <f>OR(AND(IF(metadata!C375="",FALSE,TRUE),OR(exact(metadata!C375,"missing: not collected"),exact(metadata!C375,"missing: not provided"),exact(metadata!C375,"missing: restricted access"))),AND(IF(metadata!C375="",FALSE,TRUE),AND(AND(IFERROR(INT(LEFT(metadata!C375,4))&gt;1900,FALSE),IFERROR(INT(LEFT(metadata!C375,4))&lt;=YEAR(NOW()),FALSE)), OR(MID(metadata!C375,5,1)="", AND(AND(MID(metadata!C375,5,1)="-",IFERROR(INT(MID(metadata!C375,6,1))&gt;=0,FALSE),IFERROR(INT(MID(metadata!C375,6,1))&lt;=1,FALSE),NOT(MID(metadata!C375,7,1)=""),IFERROR(INT(MID(metadata!C375,6,2))&gt;=1,FALSE),IFERROR(INT(MID(metadata!C375,6,2))&lt;=12,FALSE)), OR(MID(metadata!C375,8,1)="", AND(AND(MID(metadata!C375,8,1)="-",IFERROR(INT(MID(metadata!C375,9,1))&gt;=0,FALSE),IFERROR(INT(MID(metadata!C375,9,1))&lt;=3,FALSE),NOT(MID(metadata!C375,10,1)=""),IFERROR(INT(MID(metadata!C375,9,2))&gt;=1,FALSE),IFERROR(INT(MID(metadata!C375,9,2))&lt;=31,FALSE)), OR(MID(metadata!C375,11,1)="", AND(AND(MID(metadata!C375,11,1)=" ",IFERROR(INT(MID(metadata!C375,12,1))&gt;=0,FALSE),IFERROR(INT(MID(metadata!C375,12,1))&lt;=2,FALSE),NOT(MID(metadata!C375,13,1)=""),IFERROR(INT(MID(metadata!C375,12,2))&gt;=0,FALSE),IFERROR(INT(MID(metadata!C375,12,2))&lt;=23,FALSE)), OR(MID(metadata!C375,14,1)="", AND(AND(MID(metadata!C375,14,1)=":",IFERROR(INT(MID(metadata!C375,15,1))&gt;=0,FALSE),IFERROR(INT(MID(metadata!C375,15,1))&lt;=5,FALSE),NOT(MID(metadata!C375,16,1)=""),IFERROR(INT(MID(metadata!C375,15,2))&gt;=0,FALSE),IFERROR(INT(MID(metadata!C375,15,2))&lt;=59,FALSE)), OR(MID(metadata!C375,17,1)="", AND(AND(MID(metadata!C375,17,1)=":",IFERROR(INT(MID(metadata!C375,18,1))&gt;=0,FALSE),IFERROR(INT(MID(metadata!C375,18,1))&lt;=5,FALSE),NOT(MID(metadata!C375,19,1)=""),IFERROR(INT(MID(metadata!C375,18,2))&gt;=0,FALSE),IFERROR(INT(MID(metadata!C375,18,2))&lt;=59,FALSE)), LEN(metadata!C375)&lt;=19)))))))))))))</f>
        <v>0</v>
      </c>
      <c r="AD375">
        <f>IF(metadata!D375="",FALSE,TRUE)</f>
        <v>0</v>
      </c>
      <c r="AE375">
        <f>OR(AND(IF(metadata!E375="",FALSE,TRUE),OR(exact(metadata!E375,"missing: not collected"),exact(metadata!E375,"missing: not provided"))),AND(IF(metadata!E375="",FALSE,TRUE),OR(exact(metadata!E375,"TRUE"),exact(metadata!E375,"FALSE"))))</f>
        <v>0</v>
      </c>
      <c r="AF375">
        <f>IF(metadata!F375="",FALSE,TRUE)</f>
        <v>0</v>
      </c>
      <c r="AG375">
        <f>IF(metadata!G375="",FALSE,TRUE)</f>
        <v>0</v>
      </c>
      <c r="AH375">
        <f>IF(metadata!H375="",FALSE,TRUE)</f>
        <v>0</v>
      </c>
      <c r="AI375">
        <f>OR(AND(IF(metadata!I375="",FALSE,TRUE),OR(exact(metadata!I375,"missing: not collected"),exact(metadata!I375,"missing: not provided"),exact(metadata!I375,"missing: restricted access"))),AND(IF(metadata!I375="",FALSE,TRUE),OR(exact(metadata!I375,"air"),exact(metadata!I375,"built environment"),exact(metadata!I375,"host-associated"),exact(metadata!I375,"human-associated"),exact(metadata!I375,"human-skin"),exact(metadata!I375,"human-oral"),exact(metadata!I375,"human-gut"),exact(metadata!I375,"human-vaginal"),exact(metadata!I375,"microbial mat/biofilm"),exact(metadata!I375,"misc environment"),exact(metadata!I375,"plant-associated"),exact(metadata!I375,"sediment"),exact(metadata!I375,"soil"),exact(metadata!I375,"wastewater/sludge"),exact(metadata!I375,"water"))))</f>
        <v>0</v>
      </c>
      <c r="AJ375">
        <f>IF(metadata!J375="",FALSE,TRUE)</f>
        <v>0</v>
      </c>
      <c r="AK375">
        <f>OR(AND(IF(metadata!K375="",FALSE,TRUE),OR(exact(metadata!K375,"missing: not collected"),exact(metadata!K375,"missing: not provided"),exact(metadata!K375,"missing: restricted access"))),AND(IF(metadata!K375="",FALSE,ISNUMBER(VALUE(metadata!K375))),metadata!K375&gt;=-90.00,metadata!K375&lt;=90.00))</f>
        <v>0</v>
      </c>
      <c r="AL375">
        <f>OR(AND(IF(metadata!L375="",FALSE,TRUE),OR(exact(metadata!L375,"missing: not collected"),exact(metadata!L375,"missing: not provided"),exact(metadata!L375,"missing: restricted access"))),AND(IF(metadata!L375="",FALSE,ISNUMBER(VALUE(metadata!L375))),metadata!L375&gt;=-180.00,metadata!L375&lt;=180.00))</f>
        <v>0</v>
      </c>
      <c r="AM375">
        <f>IF(metadata!M375="",FALSE,TRUE)</f>
        <v>0</v>
      </c>
      <c r="AN375">
        <f>OR(AND(IF(metadata!N375="",FALSE,TRUE),OR(exact(metadata!N375,"missing: not collected"),exact(metadata!N375,"missing: not provided"),exact(metadata!N375,"missing: restricted access"))),AND(IF(metadata!N375="",FALSE,TRUE),OR(exact(metadata!N375,"TRUE"),exact(metadata!N375,"FALSE"))))</f>
        <v>0</v>
      </c>
      <c r="AO375">
        <f>IF(metadata!O375="",FALSE,TRUE)</f>
        <v>0</v>
      </c>
      <c r="AP375">
        <f>OR(AND(IF(metadata!P375="",FALSE,TRUE),OR(exact(metadata!P375,"missing: not collected"),exact(metadata!P375,"missing: not provided"))),AND(IF(metadata!P375="",FALSE,IF(ISERROR(INT(metadata!P375)),FALSE,INT(metadata!P375)=metadata!P375)),metadata!P375&gt;0))</f>
        <v>0</v>
      </c>
      <c r="AQ375">
        <f>IF(metadata!Q375="",FALSE,TRUE)</f>
        <v>0</v>
      </c>
    </row>
    <row r="376" spans="1:43">
      <c r="A376" s="5">
        <f>IF(B376=" "," ",HYPERLINK(CONCATENATE("#metadata!",ADDRESS(INDEX($W$2:$W$1001,MATCH(ROWS($U$2:U376),$U$2:$U$1001,0),0),1)),INDEX($Z$2:$Z$1001,MATCH(ROWS($U$2:U376),$U$2:$U$1001,0),0)))</f>
        <v>0</v>
      </c>
      <c r="B376" s="4">
        <f>IF(OR(INDEX($V$2:$V$1001,MATCH(ROWS($U$2:U376),$U$2:$U$1001,0),1)&gt;=100000,INDEX($AB$1005:$AQ$1005,1,MATCH(COLUMNS($AB$1006:AB1006),$AB$1006:$AQ$1006,0))&gt;=100000), " ",IF(INDEX($AB$2:$AQ$1001,MATCH(ROWS($U$2:U376),$U$2:$U$1001,0),MATCH(COLUMNS($AB$1006:AB1006),$AB$1006:$AQ$1006,0)), HYPERLINK("#",""), HYPERLINK(CONCATENATE("#metadata!", ADDRESS(INDEX($W$2:$W$1001,MATCH(ROWS($U$2:U376),$U$2:$U$1001,0),0), INDEX($AB$1004:$AQ$1004,1,MATCH(COLUMNS($AB$1006:AB1006),$AB$1006:$AQ$1006,0)))),"Fix")))</f>
        <v>0</v>
      </c>
      <c r="C376" s="4">
        <f>IF(OR(INDEX($V$2:$V$1001,MATCH(ROWS($U$2:U376),$U$2:$U$1001,0),1)&gt;=100000,INDEX($AB$1005:$AQ$1005,1,MATCH(COLUMNS($AB$1006:AC1006),$AB$1006:$AQ$1006,0))&gt;=100000), " ",IF(INDEX($AB$2:$AQ$1001,MATCH(ROWS($U$2:U376),$U$2:$U$1001,0),MATCH(COLUMNS($AB$1006:AC1006),$AB$1006:$AQ$1006,0)), HYPERLINK("#",""), HYPERLINK(CONCATENATE("#metadata!", ADDRESS(INDEX($W$2:$W$1001,MATCH(ROWS($U$2:U376),$U$2:$U$1001,0),0), INDEX($AB$1004:$AQ$1004,1,MATCH(COLUMNS($AB$1006:AC1006),$AB$1006:$AQ$1006,0)))),"Fix")))</f>
        <v>0</v>
      </c>
      <c r="D376" s="4">
        <f>IF(OR(INDEX($V$2:$V$1001,MATCH(ROWS($U$2:U376),$U$2:$U$1001,0),1)&gt;=100000,INDEX($AB$1005:$AQ$1005,1,MATCH(COLUMNS($AB$1006:AD1006),$AB$1006:$AQ$1006,0))&gt;=100000), " ",IF(INDEX($AB$2:$AQ$1001,MATCH(ROWS($U$2:U376),$U$2:$U$1001,0),MATCH(COLUMNS($AB$1006:AD1006),$AB$1006:$AQ$1006,0)), HYPERLINK("#",""), HYPERLINK(CONCATENATE("#metadata!", ADDRESS(INDEX($W$2:$W$1001,MATCH(ROWS($U$2:U376),$U$2:$U$1001,0),0), INDEX($AB$1004:$AQ$1004,1,MATCH(COLUMNS($AB$1006:AD1006),$AB$1006:$AQ$1006,0)))),"Fix")))</f>
        <v>0</v>
      </c>
      <c r="E376" s="4">
        <f>IF(OR(INDEX($V$2:$V$1001,MATCH(ROWS($U$2:U376),$U$2:$U$1001,0),1)&gt;=100000,INDEX($AB$1005:$AQ$1005,1,MATCH(COLUMNS($AB$1006:AE1006),$AB$1006:$AQ$1006,0))&gt;=100000), " ",IF(INDEX($AB$2:$AQ$1001,MATCH(ROWS($U$2:U376),$U$2:$U$1001,0),MATCH(COLUMNS($AB$1006:AE1006),$AB$1006:$AQ$1006,0)), HYPERLINK("#",""), HYPERLINK(CONCATENATE("#metadata!", ADDRESS(INDEX($W$2:$W$1001,MATCH(ROWS($U$2:U376),$U$2:$U$1001,0),0), INDEX($AB$1004:$AQ$1004,1,MATCH(COLUMNS($AB$1006:AE1006),$AB$1006:$AQ$1006,0)))),"Fix")))</f>
        <v>0</v>
      </c>
      <c r="F376" s="4">
        <f>IF(OR(INDEX($V$2:$V$1001,MATCH(ROWS($U$2:U376),$U$2:$U$1001,0),1)&gt;=100000,INDEX($AB$1005:$AQ$1005,1,MATCH(COLUMNS($AB$1006:AF1006),$AB$1006:$AQ$1006,0))&gt;=100000), " ",IF(INDEX($AB$2:$AQ$1001,MATCH(ROWS($U$2:U376),$U$2:$U$1001,0),MATCH(COLUMNS($AB$1006:AF1006),$AB$1006:$AQ$1006,0)), HYPERLINK("#",""), HYPERLINK(CONCATENATE("#metadata!", ADDRESS(INDEX($W$2:$W$1001,MATCH(ROWS($U$2:U376),$U$2:$U$1001,0),0), INDEX($AB$1004:$AQ$1004,1,MATCH(COLUMNS($AB$1006:AF1006),$AB$1006:$AQ$1006,0)))),"Fix")))</f>
        <v>0</v>
      </c>
      <c r="G376" s="4">
        <f>IF(OR(INDEX($V$2:$V$1001,MATCH(ROWS($U$2:U376),$U$2:$U$1001,0),1)&gt;=100000,INDEX($AB$1005:$AQ$1005,1,MATCH(COLUMNS($AB$1006:AG1006),$AB$1006:$AQ$1006,0))&gt;=100000), " ",IF(INDEX($AB$2:$AQ$1001,MATCH(ROWS($U$2:U376),$U$2:$U$1001,0),MATCH(COLUMNS($AB$1006:AG1006),$AB$1006:$AQ$1006,0)), HYPERLINK("#",""), HYPERLINK(CONCATENATE("#metadata!", ADDRESS(INDEX($W$2:$W$1001,MATCH(ROWS($U$2:U376),$U$2:$U$1001,0),0), INDEX($AB$1004:$AQ$1004,1,MATCH(COLUMNS($AB$1006:AG1006),$AB$1006:$AQ$1006,0)))),"Fix")))</f>
        <v>0</v>
      </c>
      <c r="H376" s="4">
        <f>IF(OR(INDEX($V$2:$V$1001,MATCH(ROWS($U$2:U376),$U$2:$U$1001,0),1)&gt;=100000,INDEX($AB$1005:$AQ$1005,1,MATCH(COLUMNS($AB$1006:AH1006),$AB$1006:$AQ$1006,0))&gt;=100000), " ",IF(INDEX($AB$2:$AQ$1001,MATCH(ROWS($U$2:U376),$U$2:$U$1001,0),MATCH(COLUMNS($AB$1006:AH1006),$AB$1006:$AQ$1006,0)), HYPERLINK("#",""), HYPERLINK(CONCATENATE("#metadata!", ADDRESS(INDEX($W$2:$W$1001,MATCH(ROWS($U$2:U376),$U$2:$U$1001,0),0), INDEX($AB$1004:$AQ$1004,1,MATCH(COLUMNS($AB$1006:AH1006),$AB$1006:$AQ$1006,0)))),"Fix")))</f>
        <v>0</v>
      </c>
      <c r="I376" s="4">
        <f>IF(OR(INDEX($V$2:$V$1001,MATCH(ROWS($U$2:U376),$U$2:$U$1001,0),1)&gt;=100000,INDEX($AB$1005:$AQ$1005,1,MATCH(COLUMNS($AB$1006:AI1006),$AB$1006:$AQ$1006,0))&gt;=100000), " ",IF(INDEX($AB$2:$AQ$1001,MATCH(ROWS($U$2:U376),$U$2:$U$1001,0),MATCH(COLUMNS($AB$1006:AI1006),$AB$1006:$AQ$1006,0)), HYPERLINK("#",""), HYPERLINK(CONCATENATE("#metadata!", ADDRESS(INDEX($W$2:$W$1001,MATCH(ROWS($U$2:U376),$U$2:$U$1001,0),0), INDEX($AB$1004:$AQ$1004,1,MATCH(COLUMNS($AB$1006:AI1006),$AB$1006:$AQ$1006,0)))),"Fix")))</f>
        <v>0</v>
      </c>
      <c r="J376" s="4">
        <f>IF(OR(INDEX($V$2:$V$1001,MATCH(ROWS($U$2:U376),$U$2:$U$1001,0),1)&gt;=100000,INDEX($AB$1005:$AQ$1005,1,MATCH(COLUMNS($AB$1006:AJ1006),$AB$1006:$AQ$1006,0))&gt;=100000), " ",IF(INDEX($AB$2:$AQ$1001,MATCH(ROWS($U$2:U376),$U$2:$U$1001,0),MATCH(COLUMNS($AB$1006:AJ1006),$AB$1006:$AQ$1006,0)), HYPERLINK("#",""), HYPERLINK(CONCATENATE("#metadata!", ADDRESS(INDEX($W$2:$W$1001,MATCH(ROWS($U$2:U376),$U$2:$U$1001,0),0), INDEX($AB$1004:$AQ$1004,1,MATCH(COLUMNS($AB$1006:AJ1006),$AB$1006:$AQ$1006,0)))),"Fix")))</f>
        <v>0</v>
      </c>
      <c r="K376" s="4">
        <f>IF(OR(INDEX($V$2:$V$1001,MATCH(ROWS($U$2:U376),$U$2:$U$1001,0),1)&gt;=100000,INDEX($AB$1005:$AQ$1005,1,MATCH(COLUMNS($AB$1006:AK1006),$AB$1006:$AQ$1006,0))&gt;=100000), " ",IF(INDEX($AB$2:$AQ$1001,MATCH(ROWS($U$2:U376),$U$2:$U$1001,0),MATCH(COLUMNS($AB$1006:AK1006),$AB$1006:$AQ$1006,0)), HYPERLINK("#",""), HYPERLINK(CONCATENATE("#metadata!", ADDRESS(INDEX($W$2:$W$1001,MATCH(ROWS($U$2:U376),$U$2:$U$1001,0),0), INDEX($AB$1004:$AQ$1004,1,MATCH(COLUMNS($AB$1006:AK1006),$AB$1006:$AQ$1006,0)))),"Fix")))</f>
        <v>0</v>
      </c>
      <c r="L376" s="4">
        <f>IF(OR(INDEX($V$2:$V$1001,MATCH(ROWS($U$2:U376),$U$2:$U$1001,0),1)&gt;=100000,INDEX($AB$1005:$AQ$1005,1,MATCH(COLUMNS($AB$1006:AL1006),$AB$1006:$AQ$1006,0))&gt;=100000), " ",IF(INDEX($AB$2:$AQ$1001,MATCH(ROWS($U$2:U376),$U$2:$U$1001,0),MATCH(COLUMNS($AB$1006:AL1006),$AB$1006:$AQ$1006,0)), HYPERLINK("#",""), HYPERLINK(CONCATENATE("#metadata!", ADDRESS(INDEX($W$2:$W$1001,MATCH(ROWS($U$2:U376),$U$2:$U$1001,0),0), INDEX($AB$1004:$AQ$1004,1,MATCH(COLUMNS($AB$1006:AL1006),$AB$1006:$AQ$1006,0)))),"Fix")))</f>
        <v>0</v>
      </c>
      <c r="M376" s="4">
        <f>IF(OR(INDEX($V$2:$V$1001,MATCH(ROWS($U$2:U376),$U$2:$U$1001,0),1)&gt;=100000,INDEX($AB$1005:$AQ$1005,1,MATCH(COLUMNS($AB$1006:AM1006),$AB$1006:$AQ$1006,0))&gt;=100000), " ",IF(INDEX($AB$2:$AQ$1001,MATCH(ROWS($U$2:U376),$U$2:$U$1001,0),MATCH(COLUMNS($AB$1006:AM1006),$AB$1006:$AQ$1006,0)), HYPERLINK("#",""), HYPERLINK(CONCATENATE("#metadata!", ADDRESS(INDEX($W$2:$W$1001,MATCH(ROWS($U$2:U376),$U$2:$U$1001,0),0), INDEX($AB$1004:$AQ$1004,1,MATCH(COLUMNS($AB$1006:AM1006),$AB$1006:$AQ$1006,0)))),"Fix")))</f>
        <v>0</v>
      </c>
      <c r="N376" s="4">
        <f>IF(OR(INDEX($V$2:$V$1001,MATCH(ROWS($U$2:U376),$U$2:$U$1001,0),1)&gt;=100000,INDEX($AB$1005:$AQ$1005,1,MATCH(COLUMNS($AB$1006:AN1006),$AB$1006:$AQ$1006,0))&gt;=100000), " ",IF(INDEX($AB$2:$AQ$1001,MATCH(ROWS($U$2:U376),$U$2:$U$1001,0),MATCH(COLUMNS($AB$1006:AN1006),$AB$1006:$AQ$1006,0)), HYPERLINK("#",""), HYPERLINK(CONCATENATE("#metadata!", ADDRESS(INDEX($W$2:$W$1001,MATCH(ROWS($U$2:U376),$U$2:$U$1001,0),0), INDEX($AB$1004:$AQ$1004,1,MATCH(COLUMNS($AB$1006:AN1006),$AB$1006:$AQ$1006,0)))),"Fix")))</f>
        <v>0</v>
      </c>
      <c r="O376" s="4">
        <f>IF(OR(INDEX($V$2:$V$1001,MATCH(ROWS($U$2:U376),$U$2:$U$1001,0),1)&gt;=100000,INDEX($AB$1005:$AQ$1005,1,MATCH(COLUMNS($AB$1006:AO1006),$AB$1006:$AQ$1006,0))&gt;=100000), " ",IF(INDEX($AB$2:$AQ$1001,MATCH(ROWS($U$2:U376),$U$2:$U$1001,0),MATCH(COLUMNS($AB$1006:AO1006),$AB$1006:$AQ$1006,0)), HYPERLINK("#",""), HYPERLINK(CONCATENATE("#metadata!", ADDRESS(INDEX($W$2:$W$1001,MATCH(ROWS($U$2:U376),$U$2:$U$1001,0),0), INDEX($AB$1004:$AQ$1004,1,MATCH(COLUMNS($AB$1006:AO1006),$AB$1006:$AQ$1006,0)))),"Fix")))</f>
        <v>0</v>
      </c>
      <c r="P376" s="4">
        <f>IF(OR(INDEX($V$2:$V$1001,MATCH(ROWS($U$2:U376),$U$2:$U$1001,0),1)&gt;=100000,INDEX($AB$1005:$AQ$1005,1,MATCH(COLUMNS($AB$1006:AP1006),$AB$1006:$AQ$1006,0))&gt;=100000), " ",IF(INDEX($AB$2:$AQ$1001,MATCH(ROWS($U$2:U376),$U$2:$U$1001,0),MATCH(COLUMNS($AB$1006:AP1006),$AB$1006:$AQ$1006,0)), HYPERLINK("#",""), HYPERLINK(CONCATENATE("#metadata!", ADDRESS(INDEX($W$2:$W$1001,MATCH(ROWS($U$2:U376),$U$2:$U$1001,0),0), INDEX($AB$1004:$AQ$1004,1,MATCH(COLUMNS($AB$1006:AP1006),$AB$1006:$AQ$1006,0)))),"Fix")))</f>
        <v>0</v>
      </c>
      <c r="Q376" s="4">
        <f>IF(OR(INDEX($V$2:$V$1001,MATCH(ROWS($U$2:U376),$U$2:$U$1001,0),1)&gt;=100000,INDEX($AB$1005:$AQ$1005,1,MATCH(COLUMNS($AB$1006:AQ1006),$AB$1006:$AQ$1006,0))&gt;=100000), " ",IF(INDEX($AB$2:$AQ$1001,MATCH(ROWS($U$2:U376),$U$2:$U$1001,0),MATCH(COLUMNS($AB$1006:AQ1006),$AB$1006:$AQ$1006,0)), HYPERLINK("#",""), HYPERLINK(CONCATENATE("#metadata!", ADDRESS(INDEX($W$2:$W$1001,MATCH(ROWS($U$2:U376),$U$2:$U$1001,0),0), INDEX($AB$1004:$AQ$1004,1,MATCH(COLUMNS($AB$1006:AQ1006),$AB$1006:$AQ$1006,0)))),"Fix")))</f>
        <v>0</v>
      </c>
      <c r="U376">
        <v>0</v>
      </c>
      <c r="V376">
        <v>0</v>
      </c>
      <c r="W376">
        <v>0</v>
      </c>
      <c r="X376">
        <f>IF(Y376,TRUE,AND(AB376:AQ376))</f>
        <v>0</v>
      </c>
      <c r="Y376">
        <f>COUNTBLANK(metadata!B376:Q376)=COLUMNS(metadata!B376:Q376)</f>
        <v>0</v>
      </c>
      <c r="Z376">
        <v>0</v>
      </c>
      <c r="AB376">
        <f>AND(IF(metadata!B376="",FALSE,TRUE),COUNTIF(metadata!B:B, metadata!B376) = 1,NOT(ISERROR(SUMPRODUCT(SEARCH(MID(metadata!B376,ROW(INDIRECT("1:"&amp;LEN(metadata!B376))), 1),"0123456789abcdefghijklmnopqrstuvwxyzABCDEFGHIJKLMNOPQRSTUVWXYZ.")))))</f>
        <v>0</v>
      </c>
      <c r="AC376">
        <f>OR(AND(IF(metadata!C376="",FALSE,TRUE),OR(exact(metadata!C376,"missing: not collected"),exact(metadata!C376,"missing: not provided"),exact(metadata!C376,"missing: restricted access"))),AND(IF(metadata!C376="",FALSE,TRUE),AND(AND(IFERROR(INT(LEFT(metadata!C376,4))&gt;1900,FALSE),IFERROR(INT(LEFT(metadata!C376,4))&lt;=YEAR(NOW()),FALSE)), OR(MID(metadata!C376,5,1)="", AND(AND(MID(metadata!C376,5,1)="-",IFERROR(INT(MID(metadata!C376,6,1))&gt;=0,FALSE),IFERROR(INT(MID(metadata!C376,6,1))&lt;=1,FALSE),NOT(MID(metadata!C376,7,1)=""),IFERROR(INT(MID(metadata!C376,6,2))&gt;=1,FALSE),IFERROR(INT(MID(metadata!C376,6,2))&lt;=12,FALSE)), OR(MID(metadata!C376,8,1)="", AND(AND(MID(metadata!C376,8,1)="-",IFERROR(INT(MID(metadata!C376,9,1))&gt;=0,FALSE),IFERROR(INT(MID(metadata!C376,9,1))&lt;=3,FALSE),NOT(MID(metadata!C376,10,1)=""),IFERROR(INT(MID(metadata!C376,9,2))&gt;=1,FALSE),IFERROR(INT(MID(metadata!C376,9,2))&lt;=31,FALSE)), OR(MID(metadata!C376,11,1)="", AND(AND(MID(metadata!C376,11,1)=" ",IFERROR(INT(MID(metadata!C376,12,1))&gt;=0,FALSE),IFERROR(INT(MID(metadata!C376,12,1))&lt;=2,FALSE),NOT(MID(metadata!C376,13,1)=""),IFERROR(INT(MID(metadata!C376,12,2))&gt;=0,FALSE),IFERROR(INT(MID(metadata!C376,12,2))&lt;=23,FALSE)), OR(MID(metadata!C376,14,1)="", AND(AND(MID(metadata!C376,14,1)=":",IFERROR(INT(MID(metadata!C376,15,1))&gt;=0,FALSE),IFERROR(INT(MID(metadata!C376,15,1))&lt;=5,FALSE),NOT(MID(metadata!C376,16,1)=""),IFERROR(INT(MID(metadata!C376,15,2))&gt;=0,FALSE),IFERROR(INT(MID(metadata!C376,15,2))&lt;=59,FALSE)), OR(MID(metadata!C376,17,1)="", AND(AND(MID(metadata!C376,17,1)=":",IFERROR(INT(MID(metadata!C376,18,1))&gt;=0,FALSE),IFERROR(INT(MID(metadata!C376,18,1))&lt;=5,FALSE),NOT(MID(metadata!C376,19,1)=""),IFERROR(INT(MID(metadata!C376,18,2))&gt;=0,FALSE),IFERROR(INT(MID(metadata!C376,18,2))&lt;=59,FALSE)), LEN(metadata!C376)&lt;=19)))))))))))))</f>
        <v>0</v>
      </c>
      <c r="AD376">
        <f>IF(metadata!D376="",FALSE,TRUE)</f>
        <v>0</v>
      </c>
      <c r="AE376">
        <f>OR(AND(IF(metadata!E376="",FALSE,TRUE),OR(exact(metadata!E376,"missing: not collected"),exact(metadata!E376,"missing: not provided"))),AND(IF(metadata!E376="",FALSE,TRUE),OR(exact(metadata!E376,"TRUE"),exact(metadata!E376,"FALSE"))))</f>
        <v>0</v>
      </c>
      <c r="AF376">
        <f>IF(metadata!F376="",FALSE,TRUE)</f>
        <v>0</v>
      </c>
      <c r="AG376">
        <f>IF(metadata!G376="",FALSE,TRUE)</f>
        <v>0</v>
      </c>
      <c r="AH376">
        <f>IF(metadata!H376="",FALSE,TRUE)</f>
        <v>0</v>
      </c>
      <c r="AI376">
        <f>OR(AND(IF(metadata!I376="",FALSE,TRUE),OR(exact(metadata!I376,"missing: not collected"),exact(metadata!I376,"missing: not provided"),exact(metadata!I376,"missing: restricted access"))),AND(IF(metadata!I376="",FALSE,TRUE),OR(exact(metadata!I376,"air"),exact(metadata!I376,"built environment"),exact(metadata!I376,"host-associated"),exact(metadata!I376,"human-associated"),exact(metadata!I376,"human-skin"),exact(metadata!I376,"human-oral"),exact(metadata!I376,"human-gut"),exact(metadata!I376,"human-vaginal"),exact(metadata!I376,"microbial mat/biofilm"),exact(metadata!I376,"misc environment"),exact(metadata!I376,"plant-associated"),exact(metadata!I376,"sediment"),exact(metadata!I376,"soil"),exact(metadata!I376,"wastewater/sludge"),exact(metadata!I376,"water"))))</f>
        <v>0</v>
      </c>
      <c r="AJ376">
        <f>IF(metadata!J376="",FALSE,TRUE)</f>
        <v>0</v>
      </c>
      <c r="AK376">
        <f>OR(AND(IF(metadata!K376="",FALSE,TRUE),OR(exact(metadata!K376,"missing: not collected"),exact(metadata!K376,"missing: not provided"),exact(metadata!K376,"missing: restricted access"))),AND(IF(metadata!K376="",FALSE,ISNUMBER(VALUE(metadata!K376))),metadata!K376&gt;=-90.00,metadata!K376&lt;=90.00))</f>
        <v>0</v>
      </c>
      <c r="AL376">
        <f>OR(AND(IF(metadata!L376="",FALSE,TRUE),OR(exact(metadata!L376,"missing: not collected"),exact(metadata!L376,"missing: not provided"),exact(metadata!L376,"missing: restricted access"))),AND(IF(metadata!L376="",FALSE,ISNUMBER(VALUE(metadata!L376))),metadata!L376&gt;=-180.00,metadata!L376&lt;=180.00))</f>
        <v>0</v>
      </c>
      <c r="AM376">
        <f>IF(metadata!M376="",FALSE,TRUE)</f>
        <v>0</v>
      </c>
      <c r="AN376">
        <f>OR(AND(IF(metadata!N376="",FALSE,TRUE),OR(exact(metadata!N376,"missing: not collected"),exact(metadata!N376,"missing: not provided"),exact(metadata!N376,"missing: restricted access"))),AND(IF(metadata!N376="",FALSE,TRUE),OR(exact(metadata!N376,"TRUE"),exact(metadata!N376,"FALSE"))))</f>
        <v>0</v>
      </c>
      <c r="AO376">
        <f>IF(metadata!O376="",FALSE,TRUE)</f>
        <v>0</v>
      </c>
      <c r="AP376">
        <f>OR(AND(IF(metadata!P376="",FALSE,TRUE),OR(exact(metadata!P376,"missing: not collected"),exact(metadata!P376,"missing: not provided"))),AND(IF(metadata!P376="",FALSE,IF(ISERROR(INT(metadata!P376)),FALSE,INT(metadata!P376)=metadata!P376)),metadata!P376&gt;0))</f>
        <v>0</v>
      </c>
      <c r="AQ376">
        <f>IF(metadata!Q376="",FALSE,TRUE)</f>
        <v>0</v>
      </c>
    </row>
    <row r="377" spans="1:43">
      <c r="A377" s="5">
        <f>IF(B377=" "," ",HYPERLINK(CONCATENATE("#metadata!",ADDRESS(INDEX($W$2:$W$1001,MATCH(ROWS($U$2:U377),$U$2:$U$1001,0),0),1)),INDEX($Z$2:$Z$1001,MATCH(ROWS($U$2:U377),$U$2:$U$1001,0),0)))</f>
        <v>0</v>
      </c>
      <c r="B377" s="4">
        <f>IF(OR(INDEX($V$2:$V$1001,MATCH(ROWS($U$2:U377),$U$2:$U$1001,0),1)&gt;=100000,INDEX($AB$1005:$AQ$1005,1,MATCH(COLUMNS($AB$1006:AB1006),$AB$1006:$AQ$1006,0))&gt;=100000), " ",IF(INDEX($AB$2:$AQ$1001,MATCH(ROWS($U$2:U377),$U$2:$U$1001,0),MATCH(COLUMNS($AB$1006:AB1006),$AB$1006:$AQ$1006,0)), HYPERLINK("#",""), HYPERLINK(CONCATENATE("#metadata!", ADDRESS(INDEX($W$2:$W$1001,MATCH(ROWS($U$2:U377),$U$2:$U$1001,0),0), INDEX($AB$1004:$AQ$1004,1,MATCH(COLUMNS($AB$1006:AB1006),$AB$1006:$AQ$1006,0)))),"Fix")))</f>
        <v>0</v>
      </c>
      <c r="C377" s="4">
        <f>IF(OR(INDEX($V$2:$V$1001,MATCH(ROWS($U$2:U377),$U$2:$U$1001,0),1)&gt;=100000,INDEX($AB$1005:$AQ$1005,1,MATCH(COLUMNS($AB$1006:AC1006),$AB$1006:$AQ$1006,0))&gt;=100000), " ",IF(INDEX($AB$2:$AQ$1001,MATCH(ROWS($U$2:U377),$U$2:$U$1001,0),MATCH(COLUMNS($AB$1006:AC1006),$AB$1006:$AQ$1006,0)), HYPERLINK("#",""), HYPERLINK(CONCATENATE("#metadata!", ADDRESS(INDEX($W$2:$W$1001,MATCH(ROWS($U$2:U377),$U$2:$U$1001,0),0), INDEX($AB$1004:$AQ$1004,1,MATCH(COLUMNS($AB$1006:AC1006),$AB$1006:$AQ$1006,0)))),"Fix")))</f>
        <v>0</v>
      </c>
      <c r="D377" s="4">
        <f>IF(OR(INDEX($V$2:$V$1001,MATCH(ROWS($U$2:U377),$U$2:$U$1001,0),1)&gt;=100000,INDEX($AB$1005:$AQ$1005,1,MATCH(COLUMNS($AB$1006:AD1006),$AB$1006:$AQ$1006,0))&gt;=100000), " ",IF(INDEX($AB$2:$AQ$1001,MATCH(ROWS($U$2:U377),$U$2:$U$1001,0),MATCH(COLUMNS($AB$1006:AD1006),$AB$1006:$AQ$1006,0)), HYPERLINK("#",""), HYPERLINK(CONCATENATE("#metadata!", ADDRESS(INDEX($W$2:$W$1001,MATCH(ROWS($U$2:U377),$U$2:$U$1001,0),0), INDEX($AB$1004:$AQ$1004,1,MATCH(COLUMNS($AB$1006:AD1006),$AB$1006:$AQ$1006,0)))),"Fix")))</f>
        <v>0</v>
      </c>
      <c r="E377" s="4">
        <f>IF(OR(INDEX($V$2:$V$1001,MATCH(ROWS($U$2:U377),$U$2:$U$1001,0),1)&gt;=100000,INDEX($AB$1005:$AQ$1005,1,MATCH(COLUMNS($AB$1006:AE1006),$AB$1006:$AQ$1006,0))&gt;=100000), " ",IF(INDEX($AB$2:$AQ$1001,MATCH(ROWS($U$2:U377),$U$2:$U$1001,0),MATCH(COLUMNS($AB$1006:AE1006),$AB$1006:$AQ$1006,0)), HYPERLINK("#",""), HYPERLINK(CONCATENATE("#metadata!", ADDRESS(INDEX($W$2:$W$1001,MATCH(ROWS($U$2:U377),$U$2:$U$1001,0),0), INDEX($AB$1004:$AQ$1004,1,MATCH(COLUMNS($AB$1006:AE1006),$AB$1006:$AQ$1006,0)))),"Fix")))</f>
        <v>0</v>
      </c>
      <c r="F377" s="4">
        <f>IF(OR(INDEX($V$2:$V$1001,MATCH(ROWS($U$2:U377),$U$2:$U$1001,0),1)&gt;=100000,INDEX($AB$1005:$AQ$1005,1,MATCH(COLUMNS($AB$1006:AF1006),$AB$1006:$AQ$1006,0))&gt;=100000), " ",IF(INDEX($AB$2:$AQ$1001,MATCH(ROWS($U$2:U377),$U$2:$U$1001,0),MATCH(COLUMNS($AB$1006:AF1006),$AB$1006:$AQ$1006,0)), HYPERLINK("#",""), HYPERLINK(CONCATENATE("#metadata!", ADDRESS(INDEX($W$2:$W$1001,MATCH(ROWS($U$2:U377),$U$2:$U$1001,0),0), INDEX($AB$1004:$AQ$1004,1,MATCH(COLUMNS($AB$1006:AF1006),$AB$1006:$AQ$1006,0)))),"Fix")))</f>
        <v>0</v>
      </c>
      <c r="G377" s="4">
        <f>IF(OR(INDEX($V$2:$V$1001,MATCH(ROWS($U$2:U377),$U$2:$U$1001,0),1)&gt;=100000,INDEX($AB$1005:$AQ$1005,1,MATCH(COLUMNS($AB$1006:AG1006),$AB$1006:$AQ$1006,0))&gt;=100000), " ",IF(INDEX($AB$2:$AQ$1001,MATCH(ROWS($U$2:U377),$U$2:$U$1001,0),MATCH(COLUMNS($AB$1006:AG1006),$AB$1006:$AQ$1006,0)), HYPERLINK("#",""), HYPERLINK(CONCATENATE("#metadata!", ADDRESS(INDEX($W$2:$W$1001,MATCH(ROWS($U$2:U377),$U$2:$U$1001,0),0), INDEX($AB$1004:$AQ$1004,1,MATCH(COLUMNS($AB$1006:AG1006),$AB$1006:$AQ$1006,0)))),"Fix")))</f>
        <v>0</v>
      </c>
      <c r="H377" s="4">
        <f>IF(OR(INDEX($V$2:$V$1001,MATCH(ROWS($U$2:U377),$U$2:$U$1001,0),1)&gt;=100000,INDEX($AB$1005:$AQ$1005,1,MATCH(COLUMNS($AB$1006:AH1006),$AB$1006:$AQ$1006,0))&gt;=100000), " ",IF(INDEX($AB$2:$AQ$1001,MATCH(ROWS($U$2:U377),$U$2:$U$1001,0),MATCH(COLUMNS($AB$1006:AH1006),$AB$1006:$AQ$1006,0)), HYPERLINK("#",""), HYPERLINK(CONCATENATE("#metadata!", ADDRESS(INDEX($W$2:$W$1001,MATCH(ROWS($U$2:U377),$U$2:$U$1001,0),0), INDEX($AB$1004:$AQ$1004,1,MATCH(COLUMNS($AB$1006:AH1006),$AB$1006:$AQ$1006,0)))),"Fix")))</f>
        <v>0</v>
      </c>
      <c r="I377" s="4">
        <f>IF(OR(INDEX($V$2:$V$1001,MATCH(ROWS($U$2:U377),$U$2:$U$1001,0),1)&gt;=100000,INDEX($AB$1005:$AQ$1005,1,MATCH(COLUMNS($AB$1006:AI1006),$AB$1006:$AQ$1006,0))&gt;=100000), " ",IF(INDEX($AB$2:$AQ$1001,MATCH(ROWS($U$2:U377),$U$2:$U$1001,0),MATCH(COLUMNS($AB$1006:AI1006),$AB$1006:$AQ$1006,0)), HYPERLINK("#",""), HYPERLINK(CONCATENATE("#metadata!", ADDRESS(INDEX($W$2:$W$1001,MATCH(ROWS($U$2:U377),$U$2:$U$1001,0),0), INDEX($AB$1004:$AQ$1004,1,MATCH(COLUMNS($AB$1006:AI1006),$AB$1006:$AQ$1006,0)))),"Fix")))</f>
        <v>0</v>
      </c>
      <c r="J377" s="4">
        <f>IF(OR(INDEX($V$2:$V$1001,MATCH(ROWS($U$2:U377),$U$2:$U$1001,0),1)&gt;=100000,INDEX($AB$1005:$AQ$1005,1,MATCH(COLUMNS($AB$1006:AJ1006),$AB$1006:$AQ$1006,0))&gt;=100000), " ",IF(INDEX($AB$2:$AQ$1001,MATCH(ROWS($U$2:U377),$U$2:$U$1001,0),MATCH(COLUMNS($AB$1006:AJ1006),$AB$1006:$AQ$1006,0)), HYPERLINK("#",""), HYPERLINK(CONCATENATE("#metadata!", ADDRESS(INDEX($W$2:$W$1001,MATCH(ROWS($U$2:U377),$U$2:$U$1001,0),0), INDEX($AB$1004:$AQ$1004,1,MATCH(COLUMNS($AB$1006:AJ1006),$AB$1006:$AQ$1006,0)))),"Fix")))</f>
        <v>0</v>
      </c>
      <c r="K377" s="4">
        <f>IF(OR(INDEX($V$2:$V$1001,MATCH(ROWS($U$2:U377),$U$2:$U$1001,0),1)&gt;=100000,INDEX($AB$1005:$AQ$1005,1,MATCH(COLUMNS($AB$1006:AK1006),$AB$1006:$AQ$1006,0))&gt;=100000), " ",IF(INDEX($AB$2:$AQ$1001,MATCH(ROWS($U$2:U377),$U$2:$U$1001,0),MATCH(COLUMNS($AB$1006:AK1006),$AB$1006:$AQ$1006,0)), HYPERLINK("#",""), HYPERLINK(CONCATENATE("#metadata!", ADDRESS(INDEX($W$2:$W$1001,MATCH(ROWS($U$2:U377),$U$2:$U$1001,0),0), INDEX($AB$1004:$AQ$1004,1,MATCH(COLUMNS($AB$1006:AK1006),$AB$1006:$AQ$1006,0)))),"Fix")))</f>
        <v>0</v>
      </c>
      <c r="L377" s="4">
        <f>IF(OR(INDEX($V$2:$V$1001,MATCH(ROWS($U$2:U377),$U$2:$U$1001,0),1)&gt;=100000,INDEX($AB$1005:$AQ$1005,1,MATCH(COLUMNS($AB$1006:AL1006),$AB$1006:$AQ$1006,0))&gt;=100000), " ",IF(INDEX($AB$2:$AQ$1001,MATCH(ROWS($U$2:U377),$U$2:$U$1001,0),MATCH(COLUMNS($AB$1006:AL1006),$AB$1006:$AQ$1006,0)), HYPERLINK("#",""), HYPERLINK(CONCATENATE("#metadata!", ADDRESS(INDEX($W$2:$W$1001,MATCH(ROWS($U$2:U377),$U$2:$U$1001,0),0), INDEX($AB$1004:$AQ$1004,1,MATCH(COLUMNS($AB$1006:AL1006),$AB$1006:$AQ$1006,0)))),"Fix")))</f>
        <v>0</v>
      </c>
      <c r="M377" s="4">
        <f>IF(OR(INDEX($V$2:$V$1001,MATCH(ROWS($U$2:U377),$U$2:$U$1001,0),1)&gt;=100000,INDEX($AB$1005:$AQ$1005,1,MATCH(COLUMNS($AB$1006:AM1006),$AB$1006:$AQ$1006,0))&gt;=100000), " ",IF(INDEX($AB$2:$AQ$1001,MATCH(ROWS($U$2:U377),$U$2:$U$1001,0),MATCH(COLUMNS($AB$1006:AM1006),$AB$1006:$AQ$1006,0)), HYPERLINK("#",""), HYPERLINK(CONCATENATE("#metadata!", ADDRESS(INDEX($W$2:$W$1001,MATCH(ROWS($U$2:U377),$U$2:$U$1001,0),0), INDEX($AB$1004:$AQ$1004,1,MATCH(COLUMNS($AB$1006:AM1006),$AB$1006:$AQ$1006,0)))),"Fix")))</f>
        <v>0</v>
      </c>
      <c r="N377" s="4">
        <f>IF(OR(INDEX($V$2:$V$1001,MATCH(ROWS($U$2:U377),$U$2:$U$1001,0),1)&gt;=100000,INDEX($AB$1005:$AQ$1005,1,MATCH(COLUMNS($AB$1006:AN1006),$AB$1006:$AQ$1006,0))&gt;=100000), " ",IF(INDEX($AB$2:$AQ$1001,MATCH(ROWS($U$2:U377),$U$2:$U$1001,0),MATCH(COLUMNS($AB$1006:AN1006),$AB$1006:$AQ$1006,0)), HYPERLINK("#",""), HYPERLINK(CONCATENATE("#metadata!", ADDRESS(INDEX($W$2:$W$1001,MATCH(ROWS($U$2:U377),$U$2:$U$1001,0),0), INDEX($AB$1004:$AQ$1004,1,MATCH(COLUMNS($AB$1006:AN1006),$AB$1006:$AQ$1006,0)))),"Fix")))</f>
        <v>0</v>
      </c>
      <c r="O377" s="4">
        <f>IF(OR(INDEX($V$2:$V$1001,MATCH(ROWS($U$2:U377),$U$2:$U$1001,0),1)&gt;=100000,INDEX($AB$1005:$AQ$1005,1,MATCH(COLUMNS($AB$1006:AO1006),$AB$1006:$AQ$1006,0))&gt;=100000), " ",IF(INDEX($AB$2:$AQ$1001,MATCH(ROWS($U$2:U377),$U$2:$U$1001,0),MATCH(COLUMNS($AB$1006:AO1006),$AB$1006:$AQ$1006,0)), HYPERLINK("#",""), HYPERLINK(CONCATENATE("#metadata!", ADDRESS(INDEX($W$2:$W$1001,MATCH(ROWS($U$2:U377),$U$2:$U$1001,0),0), INDEX($AB$1004:$AQ$1004,1,MATCH(COLUMNS($AB$1006:AO1006),$AB$1006:$AQ$1006,0)))),"Fix")))</f>
        <v>0</v>
      </c>
      <c r="P377" s="4">
        <f>IF(OR(INDEX($V$2:$V$1001,MATCH(ROWS($U$2:U377),$U$2:$U$1001,0),1)&gt;=100000,INDEX($AB$1005:$AQ$1005,1,MATCH(COLUMNS($AB$1006:AP1006),$AB$1006:$AQ$1006,0))&gt;=100000), " ",IF(INDEX($AB$2:$AQ$1001,MATCH(ROWS($U$2:U377),$U$2:$U$1001,0),MATCH(COLUMNS($AB$1006:AP1006),$AB$1006:$AQ$1006,0)), HYPERLINK("#",""), HYPERLINK(CONCATENATE("#metadata!", ADDRESS(INDEX($W$2:$W$1001,MATCH(ROWS($U$2:U377),$U$2:$U$1001,0),0), INDEX($AB$1004:$AQ$1004,1,MATCH(COLUMNS($AB$1006:AP1006),$AB$1006:$AQ$1006,0)))),"Fix")))</f>
        <v>0</v>
      </c>
      <c r="Q377" s="4">
        <f>IF(OR(INDEX($V$2:$V$1001,MATCH(ROWS($U$2:U377),$U$2:$U$1001,0),1)&gt;=100000,INDEX($AB$1005:$AQ$1005,1,MATCH(COLUMNS($AB$1006:AQ1006),$AB$1006:$AQ$1006,0))&gt;=100000), " ",IF(INDEX($AB$2:$AQ$1001,MATCH(ROWS($U$2:U377),$U$2:$U$1001,0),MATCH(COLUMNS($AB$1006:AQ1006),$AB$1006:$AQ$1006,0)), HYPERLINK("#",""), HYPERLINK(CONCATENATE("#metadata!", ADDRESS(INDEX($W$2:$W$1001,MATCH(ROWS($U$2:U377),$U$2:$U$1001,0),0), INDEX($AB$1004:$AQ$1004,1,MATCH(COLUMNS($AB$1006:AQ1006),$AB$1006:$AQ$1006,0)))),"Fix")))</f>
        <v>0</v>
      </c>
      <c r="U377">
        <v>0</v>
      </c>
      <c r="V377">
        <v>0</v>
      </c>
      <c r="W377">
        <v>0</v>
      </c>
      <c r="X377">
        <f>IF(Y377,TRUE,AND(AB377:AQ377))</f>
        <v>0</v>
      </c>
      <c r="Y377">
        <f>COUNTBLANK(metadata!B377:Q377)=COLUMNS(metadata!B377:Q377)</f>
        <v>0</v>
      </c>
      <c r="Z377">
        <v>0</v>
      </c>
      <c r="AB377">
        <f>AND(IF(metadata!B377="",FALSE,TRUE),COUNTIF(metadata!B:B, metadata!B377) = 1,NOT(ISERROR(SUMPRODUCT(SEARCH(MID(metadata!B377,ROW(INDIRECT("1:"&amp;LEN(metadata!B377))), 1),"0123456789abcdefghijklmnopqrstuvwxyzABCDEFGHIJKLMNOPQRSTUVWXYZ.")))))</f>
        <v>0</v>
      </c>
      <c r="AC377">
        <f>OR(AND(IF(metadata!C377="",FALSE,TRUE),OR(exact(metadata!C377,"missing: not collected"),exact(metadata!C377,"missing: not provided"),exact(metadata!C377,"missing: restricted access"))),AND(IF(metadata!C377="",FALSE,TRUE),AND(AND(IFERROR(INT(LEFT(metadata!C377,4))&gt;1900,FALSE),IFERROR(INT(LEFT(metadata!C377,4))&lt;=YEAR(NOW()),FALSE)), OR(MID(metadata!C377,5,1)="", AND(AND(MID(metadata!C377,5,1)="-",IFERROR(INT(MID(metadata!C377,6,1))&gt;=0,FALSE),IFERROR(INT(MID(metadata!C377,6,1))&lt;=1,FALSE),NOT(MID(metadata!C377,7,1)=""),IFERROR(INT(MID(metadata!C377,6,2))&gt;=1,FALSE),IFERROR(INT(MID(metadata!C377,6,2))&lt;=12,FALSE)), OR(MID(metadata!C377,8,1)="", AND(AND(MID(metadata!C377,8,1)="-",IFERROR(INT(MID(metadata!C377,9,1))&gt;=0,FALSE),IFERROR(INT(MID(metadata!C377,9,1))&lt;=3,FALSE),NOT(MID(metadata!C377,10,1)=""),IFERROR(INT(MID(metadata!C377,9,2))&gt;=1,FALSE),IFERROR(INT(MID(metadata!C377,9,2))&lt;=31,FALSE)), OR(MID(metadata!C377,11,1)="", AND(AND(MID(metadata!C377,11,1)=" ",IFERROR(INT(MID(metadata!C377,12,1))&gt;=0,FALSE),IFERROR(INT(MID(metadata!C377,12,1))&lt;=2,FALSE),NOT(MID(metadata!C377,13,1)=""),IFERROR(INT(MID(metadata!C377,12,2))&gt;=0,FALSE),IFERROR(INT(MID(metadata!C377,12,2))&lt;=23,FALSE)), OR(MID(metadata!C377,14,1)="", AND(AND(MID(metadata!C377,14,1)=":",IFERROR(INT(MID(metadata!C377,15,1))&gt;=0,FALSE),IFERROR(INT(MID(metadata!C377,15,1))&lt;=5,FALSE),NOT(MID(metadata!C377,16,1)=""),IFERROR(INT(MID(metadata!C377,15,2))&gt;=0,FALSE),IFERROR(INT(MID(metadata!C377,15,2))&lt;=59,FALSE)), OR(MID(metadata!C377,17,1)="", AND(AND(MID(metadata!C377,17,1)=":",IFERROR(INT(MID(metadata!C377,18,1))&gt;=0,FALSE),IFERROR(INT(MID(metadata!C377,18,1))&lt;=5,FALSE),NOT(MID(metadata!C377,19,1)=""),IFERROR(INT(MID(metadata!C377,18,2))&gt;=0,FALSE),IFERROR(INT(MID(metadata!C377,18,2))&lt;=59,FALSE)), LEN(metadata!C377)&lt;=19)))))))))))))</f>
        <v>0</v>
      </c>
      <c r="AD377">
        <f>IF(metadata!D377="",FALSE,TRUE)</f>
        <v>0</v>
      </c>
      <c r="AE377">
        <f>OR(AND(IF(metadata!E377="",FALSE,TRUE),OR(exact(metadata!E377,"missing: not collected"),exact(metadata!E377,"missing: not provided"))),AND(IF(metadata!E377="",FALSE,TRUE),OR(exact(metadata!E377,"TRUE"),exact(metadata!E377,"FALSE"))))</f>
        <v>0</v>
      </c>
      <c r="AF377">
        <f>IF(metadata!F377="",FALSE,TRUE)</f>
        <v>0</v>
      </c>
      <c r="AG377">
        <f>IF(metadata!G377="",FALSE,TRUE)</f>
        <v>0</v>
      </c>
      <c r="AH377">
        <f>IF(metadata!H377="",FALSE,TRUE)</f>
        <v>0</v>
      </c>
      <c r="AI377">
        <f>OR(AND(IF(metadata!I377="",FALSE,TRUE),OR(exact(metadata!I377,"missing: not collected"),exact(metadata!I377,"missing: not provided"),exact(metadata!I377,"missing: restricted access"))),AND(IF(metadata!I377="",FALSE,TRUE),OR(exact(metadata!I377,"air"),exact(metadata!I377,"built environment"),exact(metadata!I377,"host-associated"),exact(metadata!I377,"human-associated"),exact(metadata!I377,"human-skin"),exact(metadata!I377,"human-oral"),exact(metadata!I377,"human-gut"),exact(metadata!I377,"human-vaginal"),exact(metadata!I377,"microbial mat/biofilm"),exact(metadata!I377,"misc environment"),exact(metadata!I377,"plant-associated"),exact(metadata!I377,"sediment"),exact(metadata!I377,"soil"),exact(metadata!I377,"wastewater/sludge"),exact(metadata!I377,"water"))))</f>
        <v>0</v>
      </c>
      <c r="AJ377">
        <f>IF(metadata!J377="",FALSE,TRUE)</f>
        <v>0</v>
      </c>
      <c r="AK377">
        <f>OR(AND(IF(metadata!K377="",FALSE,TRUE),OR(exact(metadata!K377,"missing: not collected"),exact(metadata!K377,"missing: not provided"),exact(metadata!K377,"missing: restricted access"))),AND(IF(metadata!K377="",FALSE,ISNUMBER(VALUE(metadata!K377))),metadata!K377&gt;=-90.00,metadata!K377&lt;=90.00))</f>
        <v>0</v>
      </c>
      <c r="AL377">
        <f>OR(AND(IF(metadata!L377="",FALSE,TRUE),OR(exact(metadata!L377,"missing: not collected"),exact(metadata!L377,"missing: not provided"),exact(metadata!L377,"missing: restricted access"))),AND(IF(metadata!L377="",FALSE,ISNUMBER(VALUE(metadata!L377))),metadata!L377&gt;=-180.00,metadata!L377&lt;=180.00))</f>
        <v>0</v>
      </c>
      <c r="AM377">
        <f>IF(metadata!M377="",FALSE,TRUE)</f>
        <v>0</v>
      </c>
      <c r="AN377">
        <f>OR(AND(IF(metadata!N377="",FALSE,TRUE),OR(exact(metadata!N377,"missing: not collected"),exact(metadata!N377,"missing: not provided"),exact(metadata!N377,"missing: restricted access"))),AND(IF(metadata!N377="",FALSE,TRUE),OR(exact(metadata!N377,"TRUE"),exact(metadata!N377,"FALSE"))))</f>
        <v>0</v>
      </c>
      <c r="AO377">
        <f>IF(metadata!O377="",FALSE,TRUE)</f>
        <v>0</v>
      </c>
      <c r="AP377">
        <f>OR(AND(IF(metadata!P377="",FALSE,TRUE),OR(exact(metadata!P377,"missing: not collected"),exact(metadata!P377,"missing: not provided"))),AND(IF(metadata!P377="",FALSE,IF(ISERROR(INT(metadata!P377)),FALSE,INT(metadata!P377)=metadata!P377)),metadata!P377&gt;0))</f>
        <v>0</v>
      </c>
      <c r="AQ377">
        <f>IF(metadata!Q377="",FALSE,TRUE)</f>
        <v>0</v>
      </c>
    </row>
    <row r="378" spans="1:43">
      <c r="A378" s="5">
        <f>IF(B378=" "," ",HYPERLINK(CONCATENATE("#metadata!",ADDRESS(INDEX($W$2:$W$1001,MATCH(ROWS($U$2:U378),$U$2:$U$1001,0),0),1)),INDEX($Z$2:$Z$1001,MATCH(ROWS($U$2:U378),$U$2:$U$1001,0),0)))</f>
        <v>0</v>
      </c>
      <c r="B378" s="4">
        <f>IF(OR(INDEX($V$2:$V$1001,MATCH(ROWS($U$2:U378),$U$2:$U$1001,0),1)&gt;=100000,INDEX($AB$1005:$AQ$1005,1,MATCH(COLUMNS($AB$1006:AB1006),$AB$1006:$AQ$1006,0))&gt;=100000), " ",IF(INDEX($AB$2:$AQ$1001,MATCH(ROWS($U$2:U378),$U$2:$U$1001,0),MATCH(COLUMNS($AB$1006:AB1006),$AB$1006:$AQ$1006,0)), HYPERLINK("#",""), HYPERLINK(CONCATENATE("#metadata!", ADDRESS(INDEX($W$2:$W$1001,MATCH(ROWS($U$2:U378),$U$2:$U$1001,0),0), INDEX($AB$1004:$AQ$1004,1,MATCH(COLUMNS($AB$1006:AB1006),$AB$1006:$AQ$1006,0)))),"Fix")))</f>
        <v>0</v>
      </c>
      <c r="C378" s="4">
        <f>IF(OR(INDEX($V$2:$V$1001,MATCH(ROWS($U$2:U378),$U$2:$U$1001,0),1)&gt;=100000,INDEX($AB$1005:$AQ$1005,1,MATCH(COLUMNS($AB$1006:AC1006),$AB$1006:$AQ$1006,0))&gt;=100000), " ",IF(INDEX($AB$2:$AQ$1001,MATCH(ROWS($U$2:U378),$U$2:$U$1001,0),MATCH(COLUMNS($AB$1006:AC1006),$AB$1006:$AQ$1006,0)), HYPERLINK("#",""), HYPERLINK(CONCATENATE("#metadata!", ADDRESS(INDEX($W$2:$W$1001,MATCH(ROWS($U$2:U378),$U$2:$U$1001,0),0), INDEX($AB$1004:$AQ$1004,1,MATCH(COLUMNS($AB$1006:AC1006),$AB$1006:$AQ$1006,0)))),"Fix")))</f>
        <v>0</v>
      </c>
      <c r="D378" s="4">
        <f>IF(OR(INDEX($V$2:$V$1001,MATCH(ROWS($U$2:U378),$U$2:$U$1001,0),1)&gt;=100000,INDEX($AB$1005:$AQ$1005,1,MATCH(COLUMNS($AB$1006:AD1006),$AB$1006:$AQ$1006,0))&gt;=100000), " ",IF(INDEX($AB$2:$AQ$1001,MATCH(ROWS($U$2:U378),$U$2:$U$1001,0),MATCH(COLUMNS($AB$1006:AD1006),$AB$1006:$AQ$1006,0)), HYPERLINK("#",""), HYPERLINK(CONCATENATE("#metadata!", ADDRESS(INDEX($W$2:$W$1001,MATCH(ROWS($U$2:U378),$U$2:$U$1001,0),0), INDEX($AB$1004:$AQ$1004,1,MATCH(COLUMNS($AB$1006:AD1006),$AB$1006:$AQ$1006,0)))),"Fix")))</f>
        <v>0</v>
      </c>
      <c r="E378" s="4">
        <f>IF(OR(INDEX($V$2:$V$1001,MATCH(ROWS($U$2:U378),$U$2:$U$1001,0),1)&gt;=100000,INDEX($AB$1005:$AQ$1005,1,MATCH(COLUMNS($AB$1006:AE1006),$AB$1006:$AQ$1006,0))&gt;=100000), " ",IF(INDEX($AB$2:$AQ$1001,MATCH(ROWS($U$2:U378),$U$2:$U$1001,0),MATCH(COLUMNS($AB$1006:AE1006),$AB$1006:$AQ$1006,0)), HYPERLINK("#",""), HYPERLINK(CONCATENATE("#metadata!", ADDRESS(INDEX($W$2:$W$1001,MATCH(ROWS($U$2:U378),$U$2:$U$1001,0),0), INDEX($AB$1004:$AQ$1004,1,MATCH(COLUMNS($AB$1006:AE1006),$AB$1006:$AQ$1006,0)))),"Fix")))</f>
        <v>0</v>
      </c>
      <c r="F378" s="4">
        <f>IF(OR(INDEX($V$2:$V$1001,MATCH(ROWS($U$2:U378),$U$2:$U$1001,0),1)&gt;=100000,INDEX($AB$1005:$AQ$1005,1,MATCH(COLUMNS($AB$1006:AF1006),$AB$1006:$AQ$1006,0))&gt;=100000), " ",IF(INDEX($AB$2:$AQ$1001,MATCH(ROWS($U$2:U378),$U$2:$U$1001,0),MATCH(COLUMNS($AB$1006:AF1006),$AB$1006:$AQ$1006,0)), HYPERLINK("#",""), HYPERLINK(CONCATENATE("#metadata!", ADDRESS(INDEX($W$2:$W$1001,MATCH(ROWS($U$2:U378),$U$2:$U$1001,0),0), INDEX($AB$1004:$AQ$1004,1,MATCH(COLUMNS($AB$1006:AF1006),$AB$1006:$AQ$1006,0)))),"Fix")))</f>
        <v>0</v>
      </c>
      <c r="G378" s="4">
        <f>IF(OR(INDEX($V$2:$V$1001,MATCH(ROWS($U$2:U378),$U$2:$U$1001,0),1)&gt;=100000,INDEX($AB$1005:$AQ$1005,1,MATCH(COLUMNS($AB$1006:AG1006),$AB$1006:$AQ$1006,0))&gt;=100000), " ",IF(INDEX($AB$2:$AQ$1001,MATCH(ROWS($U$2:U378),$U$2:$U$1001,0),MATCH(COLUMNS($AB$1006:AG1006),$AB$1006:$AQ$1006,0)), HYPERLINK("#",""), HYPERLINK(CONCATENATE("#metadata!", ADDRESS(INDEX($W$2:$W$1001,MATCH(ROWS($U$2:U378),$U$2:$U$1001,0),0), INDEX($AB$1004:$AQ$1004,1,MATCH(COLUMNS($AB$1006:AG1006),$AB$1006:$AQ$1006,0)))),"Fix")))</f>
        <v>0</v>
      </c>
      <c r="H378" s="4">
        <f>IF(OR(INDEX($V$2:$V$1001,MATCH(ROWS($U$2:U378),$U$2:$U$1001,0),1)&gt;=100000,INDEX($AB$1005:$AQ$1005,1,MATCH(COLUMNS($AB$1006:AH1006),$AB$1006:$AQ$1006,0))&gt;=100000), " ",IF(INDEX($AB$2:$AQ$1001,MATCH(ROWS($U$2:U378),$U$2:$U$1001,0),MATCH(COLUMNS($AB$1006:AH1006),$AB$1006:$AQ$1006,0)), HYPERLINK("#",""), HYPERLINK(CONCATENATE("#metadata!", ADDRESS(INDEX($W$2:$W$1001,MATCH(ROWS($U$2:U378),$U$2:$U$1001,0),0), INDEX($AB$1004:$AQ$1004,1,MATCH(COLUMNS($AB$1006:AH1006),$AB$1006:$AQ$1006,0)))),"Fix")))</f>
        <v>0</v>
      </c>
      <c r="I378" s="4">
        <f>IF(OR(INDEX($V$2:$V$1001,MATCH(ROWS($U$2:U378),$U$2:$U$1001,0),1)&gt;=100000,INDEX($AB$1005:$AQ$1005,1,MATCH(COLUMNS($AB$1006:AI1006),$AB$1006:$AQ$1006,0))&gt;=100000), " ",IF(INDEX($AB$2:$AQ$1001,MATCH(ROWS($U$2:U378),$U$2:$U$1001,0),MATCH(COLUMNS($AB$1006:AI1006),$AB$1006:$AQ$1006,0)), HYPERLINK("#",""), HYPERLINK(CONCATENATE("#metadata!", ADDRESS(INDEX($W$2:$W$1001,MATCH(ROWS($U$2:U378),$U$2:$U$1001,0),0), INDEX($AB$1004:$AQ$1004,1,MATCH(COLUMNS($AB$1006:AI1006),$AB$1006:$AQ$1006,0)))),"Fix")))</f>
        <v>0</v>
      </c>
      <c r="J378" s="4">
        <f>IF(OR(INDEX($V$2:$V$1001,MATCH(ROWS($U$2:U378),$U$2:$U$1001,0),1)&gt;=100000,INDEX($AB$1005:$AQ$1005,1,MATCH(COLUMNS($AB$1006:AJ1006),$AB$1006:$AQ$1006,0))&gt;=100000), " ",IF(INDEX($AB$2:$AQ$1001,MATCH(ROWS($U$2:U378),$U$2:$U$1001,0),MATCH(COLUMNS($AB$1006:AJ1006),$AB$1006:$AQ$1006,0)), HYPERLINK("#",""), HYPERLINK(CONCATENATE("#metadata!", ADDRESS(INDEX($W$2:$W$1001,MATCH(ROWS($U$2:U378),$U$2:$U$1001,0),0), INDEX($AB$1004:$AQ$1004,1,MATCH(COLUMNS($AB$1006:AJ1006),$AB$1006:$AQ$1006,0)))),"Fix")))</f>
        <v>0</v>
      </c>
      <c r="K378" s="4">
        <f>IF(OR(INDEX($V$2:$V$1001,MATCH(ROWS($U$2:U378),$U$2:$U$1001,0),1)&gt;=100000,INDEX($AB$1005:$AQ$1005,1,MATCH(COLUMNS($AB$1006:AK1006),$AB$1006:$AQ$1006,0))&gt;=100000), " ",IF(INDEX($AB$2:$AQ$1001,MATCH(ROWS($U$2:U378),$U$2:$U$1001,0),MATCH(COLUMNS($AB$1006:AK1006),$AB$1006:$AQ$1006,0)), HYPERLINK("#",""), HYPERLINK(CONCATENATE("#metadata!", ADDRESS(INDEX($W$2:$W$1001,MATCH(ROWS($U$2:U378),$U$2:$U$1001,0),0), INDEX($AB$1004:$AQ$1004,1,MATCH(COLUMNS($AB$1006:AK1006),$AB$1006:$AQ$1006,0)))),"Fix")))</f>
        <v>0</v>
      </c>
      <c r="L378" s="4">
        <f>IF(OR(INDEX($V$2:$V$1001,MATCH(ROWS($U$2:U378),$U$2:$U$1001,0),1)&gt;=100000,INDEX($AB$1005:$AQ$1005,1,MATCH(COLUMNS($AB$1006:AL1006),$AB$1006:$AQ$1006,0))&gt;=100000), " ",IF(INDEX($AB$2:$AQ$1001,MATCH(ROWS($U$2:U378),$U$2:$U$1001,0),MATCH(COLUMNS($AB$1006:AL1006),$AB$1006:$AQ$1006,0)), HYPERLINK("#",""), HYPERLINK(CONCATENATE("#metadata!", ADDRESS(INDEX($W$2:$W$1001,MATCH(ROWS($U$2:U378),$U$2:$U$1001,0),0), INDEX($AB$1004:$AQ$1004,1,MATCH(COLUMNS($AB$1006:AL1006),$AB$1006:$AQ$1006,0)))),"Fix")))</f>
        <v>0</v>
      </c>
      <c r="M378" s="4">
        <f>IF(OR(INDEX($V$2:$V$1001,MATCH(ROWS($U$2:U378),$U$2:$U$1001,0),1)&gt;=100000,INDEX($AB$1005:$AQ$1005,1,MATCH(COLUMNS($AB$1006:AM1006),$AB$1006:$AQ$1006,0))&gt;=100000), " ",IF(INDEX($AB$2:$AQ$1001,MATCH(ROWS($U$2:U378),$U$2:$U$1001,0),MATCH(COLUMNS($AB$1006:AM1006),$AB$1006:$AQ$1006,0)), HYPERLINK("#",""), HYPERLINK(CONCATENATE("#metadata!", ADDRESS(INDEX($W$2:$W$1001,MATCH(ROWS($U$2:U378),$U$2:$U$1001,0),0), INDEX($AB$1004:$AQ$1004,1,MATCH(COLUMNS($AB$1006:AM1006),$AB$1006:$AQ$1006,0)))),"Fix")))</f>
        <v>0</v>
      </c>
      <c r="N378" s="4">
        <f>IF(OR(INDEX($V$2:$V$1001,MATCH(ROWS($U$2:U378),$U$2:$U$1001,0),1)&gt;=100000,INDEX($AB$1005:$AQ$1005,1,MATCH(COLUMNS($AB$1006:AN1006),$AB$1006:$AQ$1006,0))&gt;=100000), " ",IF(INDEX($AB$2:$AQ$1001,MATCH(ROWS($U$2:U378),$U$2:$U$1001,0),MATCH(COLUMNS($AB$1006:AN1006),$AB$1006:$AQ$1006,0)), HYPERLINK("#",""), HYPERLINK(CONCATENATE("#metadata!", ADDRESS(INDEX($W$2:$W$1001,MATCH(ROWS($U$2:U378),$U$2:$U$1001,0),0), INDEX($AB$1004:$AQ$1004,1,MATCH(COLUMNS($AB$1006:AN1006),$AB$1006:$AQ$1006,0)))),"Fix")))</f>
        <v>0</v>
      </c>
      <c r="O378" s="4">
        <f>IF(OR(INDEX($V$2:$V$1001,MATCH(ROWS($U$2:U378),$U$2:$U$1001,0),1)&gt;=100000,INDEX($AB$1005:$AQ$1005,1,MATCH(COLUMNS($AB$1006:AO1006),$AB$1006:$AQ$1006,0))&gt;=100000), " ",IF(INDEX($AB$2:$AQ$1001,MATCH(ROWS($U$2:U378),$U$2:$U$1001,0),MATCH(COLUMNS($AB$1006:AO1006),$AB$1006:$AQ$1006,0)), HYPERLINK("#",""), HYPERLINK(CONCATENATE("#metadata!", ADDRESS(INDEX($W$2:$W$1001,MATCH(ROWS($U$2:U378),$U$2:$U$1001,0),0), INDEX($AB$1004:$AQ$1004,1,MATCH(COLUMNS($AB$1006:AO1006),$AB$1006:$AQ$1006,0)))),"Fix")))</f>
        <v>0</v>
      </c>
      <c r="P378" s="4">
        <f>IF(OR(INDEX($V$2:$V$1001,MATCH(ROWS($U$2:U378),$U$2:$U$1001,0),1)&gt;=100000,INDEX($AB$1005:$AQ$1005,1,MATCH(COLUMNS($AB$1006:AP1006),$AB$1006:$AQ$1006,0))&gt;=100000), " ",IF(INDEX($AB$2:$AQ$1001,MATCH(ROWS($U$2:U378),$U$2:$U$1001,0),MATCH(COLUMNS($AB$1006:AP1006),$AB$1006:$AQ$1006,0)), HYPERLINK("#",""), HYPERLINK(CONCATENATE("#metadata!", ADDRESS(INDEX($W$2:$W$1001,MATCH(ROWS($U$2:U378),$U$2:$U$1001,0),0), INDEX($AB$1004:$AQ$1004,1,MATCH(COLUMNS($AB$1006:AP1006),$AB$1006:$AQ$1006,0)))),"Fix")))</f>
        <v>0</v>
      </c>
      <c r="Q378" s="4">
        <f>IF(OR(INDEX($V$2:$V$1001,MATCH(ROWS($U$2:U378),$U$2:$U$1001,0),1)&gt;=100000,INDEX($AB$1005:$AQ$1005,1,MATCH(COLUMNS($AB$1006:AQ1006),$AB$1006:$AQ$1006,0))&gt;=100000), " ",IF(INDEX($AB$2:$AQ$1001,MATCH(ROWS($U$2:U378),$U$2:$U$1001,0),MATCH(COLUMNS($AB$1006:AQ1006),$AB$1006:$AQ$1006,0)), HYPERLINK("#",""), HYPERLINK(CONCATENATE("#metadata!", ADDRESS(INDEX($W$2:$W$1001,MATCH(ROWS($U$2:U378),$U$2:$U$1001,0),0), INDEX($AB$1004:$AQ$1004,1,MATCH(COLUMNS($AB$1006:AQ1006),$AB$1006:$AQ$1006,0)))),"Fix")))</f>
        <v>0</v>
      </c>
      <c r="U378">
        <v>0</v>
      </c>
      <c r="V378">
        <v>0</v>
      </c>
      <c r="W378">
        <v>0</v>
      </c>
      <c r="X378">
        <f>IF(Y378,TRUE,AND(AB378:AQ378))</f>
        <v>0</v>
      </c>
      <c r="Y378">
        <f>COUNTBLANK(metadata!B378:Q378)=COLUMNS(metadata!B378:Q378)</f>
        <v>0</v>
      </c>
      <c r="Z378">
        <v>0</v>
      </c>
      <c r="AB378">
        <f>AND(IF(metadata!B378="",FALSE,TRUE),COUNTIF(metadata!B:B, metadata!B378) = 1,NOT(ISERROR(SUMPRODUCT(SEARCH(MID(metadata!B378,ROW(INDIRECT("1:"&amp;LEN(metadata!B378))), 1),"0123456789abcdefghijklmnopqrstuvwxyzABCDEFGHIJKLMNOPQRSTUVWXYZ.")))))</f>
        <v>0</v>
      </c>
      <c r="AC378">
        <f>OR(AND(IF(metadata!C378="",FALSE,TRUE),OR(exact(metadata!C378,"missing: not collected"),exact(metadata!C378,"missing: not provided"),exact(metadata!C378,"missing: restricted access"))),AND(IF(metadata!C378="",FALSE,TRUE),AND(AND(IFERROR(INT(LEFT(metadata!C378,4))&gt;1900,FALSE),IFERROR(INT(LEFT(metadata!C378,4))&lt;=YEAR(NOW()),FALSE)), OR(MID(metadata!C378,5,1)="", AND(AND(MID(metadata!C378,5,1)="-",IFERROR(INT(MID(metadata!C378,6,1))&gt;=0,FALSE),IFERROR(INT(MID(metadata!C378,6,1))&lt;=1,FALSE),NOT(MID(metadata!C378,7,1)=""),IFERROR(INT(MID(metadata!C378,6,2))&gt;=1,FALSE),IFERROR(INT(MID(metadata!C378,6,2))&lt;=12,FALSE)), OR(MID(metadata!C378,8,1)="", AND(AND(MID(metadata!C378,8,1)="-",IFERROR(INT(MID(metadata!C378,9,1))&gt;=0,FALSE),IFERROR(INT(MID(metadata!C378,9,1))&lt;=3,FALSE),NOT(MID(metadata!C378,10,1)=""),IFERROR(INT(MID(metadata!C378,9,2))&gt;=1,FALSE),IFERROR(INT(MID(metadata!C378,9,2))&lt;=31,FALSE)), OR(MID(metadata!C378,11,1)="", AND(AND(MID(metadata!C378,11,1)=" ",IFERROR(INT(MID(metadata!C378,12,1))&gt;=0,FALSE),IFERROR(INT(MID(metadata!C378,12,1))&lt;=2,FALSE),NOT(MID(metadata!C378,13,1)=""),IFERROR(INT(MID(metadata!C378,12,2))&gt;=0,FALSE),IFERROR(INT(MID(metadata!C378,12,2))&lt;=23,FALSE)), OR(MID(metadata!C378,14,1)="", AND(AND(MID(metadata!C378,14,1)=":",IFERROR(INT(MID(metadata!C378,15,1))&gt;=0,FALSE),IFERROR(INT(MID(metadata!C378,15,1))&lt;=5,FALSE),NOT(MID(metadata!C378,16,1)=""),IFERROR(INT(MID(metadata!C378,15,2))&gt;=0,FALSE),IFERROR(INT(MID(metadata!C378,15,2))&lt;=59,FALSE)), OR(MID(metadata!C378,17,1)="", AND(AND(MID(metadata!C378,17,1)=":",IFERROR(INT(MID(metadata!C378,18,1))&gt;=0,FALSE),IFERROR(INT(MID(metadata!C378,18,1))&lt;=5,FALSE),NOT(MID(metadata!C378,19,1)=""),IFERROR(INT(MID(metadata!C378,18,2))&gt;=0,FALSE),IFERROR(INT(MID(metadata!C378,18,2))&lt;=59,FALSE)), LEN(metadata!C378)&lt;=19)))))))))))))</f>
        <v>0</v>
      </c>
      <c r="AD378">
        <f>IF(metadata!D378="",FALSE,TRUE)</f>
        <v>0</v>
      </c>
      <c r="AE378">
        <f>OR(AND(IF(metadata!E378="",FALSE,TRUE),OR(exact(metadata!E378,"missing: not collected"),exact(metadata!E378,"missing: not provided"))),AND(IF(metadata!E378="",FALSE,TRUE),OR(exact(metadata!E378,"TRUE"),exact(metadata!E378,"FALSE"))))</f>
        <v>0</v>
      </c>
      <c r="AF378">
        <f>IF(metadata!F378="",FALSE,TRUE)</f>
        <v>0</v>
      </c>
      <c r="AG378">
        <f>IF(metadata!G378="",FALSE,TRUE)</f>
        <v>0</v>
      </c>
      <c r="AH378">
        <f>IF(metadata!H378="",FALSE,TRUE)</f>
        <v>0</v>
      </c>
      <c r="AI378">
        <f>OR(AND(IF(metadata!I378="",FALSE,TRUE),OR(exact(metadata!I378,"missing: not collected"),exact(metadata!I378,"missing: not provided"),exact(metadata!I378,"missing: restricted access"))),AND(IF(metadata!I378="",FALSE,TRUE),OR(exact(metadata!I378,"air"),exact(metadata!I378,"built environment"),exact(metadata!I378,"host-associated"),exact(metadata!I378,"human-associated"),exact(metadata!I378,"human-skin"),exact(metadata!I378,"human-oral"),exact(metadata!I378,"human-gut"),exact(metadata!I378,"human-vaginal"),exact(metadata!I378,"microbial mat/biofilm"),exact(metadata!I378,"misc environment"),exact(metadata!I378,"plant-associated"),exact(metadata!I378,"sediment"),exact(metadata!I378,"soil"),exact(metadata!I378,"wastewater/sludge"),exact(metadata!I378,"water"))))</f>
        <v>0</v>
      </c>
      <c r="AJ378">
        <f>IF(metadata!J378="",FALSE,TRUE)</f>
        <v>0</v>
      </c>
      <c r="AK378">
        <f>OR(AND(IF(metadata!K378="",FALSE,TRUE),OR(exact(metadata!K378,"missing: not collected"),exact(metadata!K378,"missing: not provided"),exact(metadata!K378,"missing: restricted access"))),AND(IF(metadata!K378="",FALSE,ISNUMBER(VALUE(metadata!K378))),metadata!K378&gt;=-90.00,metadata!K378&lt;=90.00))</f>
        <v>0</v>
      </c>
      <c r="AL378">
        <f>OR(AND(IF(metadata!L378="",FALSE,TRUE),OR(exact(metadata!L378,"missing: not collected"),exact(metadata!L378,"missing: not provided"),exact(metadata!L378,"missing: restricted access"))),AND(IF(metadata!L378="",FALSE,ISNUMBER(VALUE(metadata!L378))),metadata!L378&gt;=-180.00,metadata!L378&lt;=180.00))</f>
        <v>0</v>
      </c>
      <c r="AM378">
        <f>IF(metadata!M378="",FALSE,TRUE)</f>
        <v>0</v>
      </c>
      <c r="AN378">
        <f>OR(AND(IF(metadata!N378="",FALSE,TRUE),OR(exact(metadata!N378,"missing: not collected"),exact(metadata!N378,"missing: not provided"),exact(metadata!N378,"missing: restricted access"))),AND(IF(metadata!N378="",FALSE,TRUE),OR(exact(metadata!N378,"TRUE"),exact(metadata!N378,"FALSE"))))</f>
        <v>0</v>
      </c>
      <c r="AO378">
        <f>IF(metadata!O378="",FALSE,TRUE)</f>
        <v>0</v>
      </c>
      <c r="AP378">
        <f>OR(AND(IF(metadata!P378="",FALSE,TRUE),OR(exact(metadata!P378,"missing: not collected"),exact(metadata!P378,"missing: not provided"))),AND(IF(metadata!P378="",FALSE,IF(ISERROR(INT(metadata!P378)),FALSE,INT(metadata!P378)=metadata!P378)),metadata!P378&gt;0))</f>
        <v>0</v>
      </c>
      <c r="AQ378">
        <f>IF(metadata!Q378="",FALSE,TRUE)</f>
        <v>0</v>
      </c>
    </row>
    <row r="379" spans="1:43">
      <c r="A379" s="5">
        <f>IF(B379=" "," ",HYPERLINK(CONCATENATE("#metadata!",ADDRESS(INDEX($W$2:$W$1001,MATCH(ROWS($U$2:U379),$U$2:$U$1001,0),0),1)),INDEX($Z$2:$Z$1001,MATCH(ROWS($U$2:U379),$U$2:$U$1001,0),0)))</f>
        <v>0</v>
      </c>
      <c r="B379" s="4">
        <f>IF(OR(INDEX($V$2:$V$1001,MATCH(ROWS($U$2:U379),$U$2:$U$1001,0),1)&gt;=100000,INDEX($AB$1005:$AQ$1005,1,MATCH(COLUMNS($AB$1006:AB1006),$AB$1006:$AQ$1006,0))&gt;=100000), " ",IF(INDEX($AB$2:$AQ$1001,MATCH(ROWS($U$2:U379),$U$2:$U$1001,0),MATCH(COLUMNS($AB$1006:AB1006),$AB$1006:$AQ$1006,0)), HYPERLINK("#",""), HYPERLINK(CONCATENATE("#metadata!", ADDRESS(INDEX($W$2:$W$1001,MATCH(ROWS($U$2:U379),$U$2:$U$1001,0),0), INDEX($AB$1004:$AQ$1004,1,MATCH(COLUMNS($AB$1006:AB1006),$AB$1006:$AQ$1006,0)))),"Fix")))</f>
        <v>0</v>
      </c>
      <c r="C379" s="4">
        <f>IF(OR(INDEX($V$2:$V$1001,MATCH(ROWS($U$2:U379),$U$2:$U$1001,0),1)&gt;=100000,INDEX($AB$1005:$AQ$1005,1,MATCH(COLUMNS($AB$1006:AC1006),$AB$1006:$AQ$1006,0))&gt;=100000), " ",IF(INDEX($AB$2:$AQ$1001,MATCH(ROWS($U$2:U379),$U$2:$U$1001,0),MATCH(COLUMNS($AB$1006:AC1006),$AB$1006:$AQ$1006,0)), HYPERLINK("#",""), HYPERLINK(CONCATENATE("#metadata!", ADDRESS(INDEX($W$2:$W$1001,MATCH(ROWS($U$2:U379),$U$2:$U$1001,0),0), INDEX($AB$1004:$AQ$1004,1,MATCH(COLUMNS($AB$1006:AC1006),$AB$1006:$AQ$1006,0)))),"Fix")))</f>
        <v>0</v>
      </c>
      <c r="D379" s="4">
        <f>IF(OR(INDEX($V$2:$V$1001,MATCH(ROWS($U$2:U379),$U$2:$U$1001,0),1)&gt;=100000,INDEX($AB$1005:$AQ$1005,1,MATCH(COLUMNS($AB$1006:AD1006),$AB$1006:$AQ$1006,0))&gt;=100000), " ",IF(INDEX($AB$2:$AQ$1001,MATCH(ROWS($U$2:U379),$U$2:$U$1001,0),MATCH(COLUMNS($AB$1006:AD1006),$AB$1006:$AQ$1006,0)), HYPERLINK("#",""), HYPERLINK(CONCATENATE("#metadata!", ADDRESS(INDEX($W$2:$W$1001,MATCH(ROWS($U$2:U379),$U$2:$U$1001,0),0), INDEX($AB$1004:$AQ$1004,1,MATCH(COLUMNS($AB$1006:AD1006),$AB$1006:$AQ$1006,0)))),"Fix")))</f>
        <v>0</v>
      </c>
      <c r="E379" s="4">
        <f>IF(OR(INDEX($V$2:$V$1001,MATCH(ROWS($U$2:U379),$U$2:$U$1001,0),1)&gt;=100000,INDEX($AB$1005:$AQ$1005,1,MATCH(COLUMNS($AB$1006:AE1006),$AB$1006:$AQ$1006,0))&gt;=100000), " ",IF(INDEX($AB$2:$AQ$1001,MATCH(ROWS($U$2:U379),$U$2:$U$1001,0),MATCH(COLUMNS($AB$1006:AE1006),$AB$1006:$AQ$1006,0)), HYPERLINK("#",""), HYPERLINK(CONCATENATE("#metadata!", ADDRESS(INDEX($W$2:$W$1001,MATCH(ROWS($U$2:U379),$U$2:$U$1001,0),0), INDEX($AB$1004:$AQ$1004,1,MATCH(COLUMNS($AB$1006:AE1006),$AB$1006:$AQ$1006,0)))),"Fix")))</f>
        <v>0</v>
      </c>
      <c r="F379" s="4">
        <f>IF(OR(INDEX($V$2:$V$1001,MATCH(ROWS($U$2:U379),$U$2:$U$1001,0),1)&gt;=100000,INDEX($AB$1005:$AQ$1005,1,MATCH(COLUMNS($AB$1006:AF1006),$AB$1006:$AQ$1006,0))&gt;=100000), " ",IF(INDEX($AB$2:$AQ$1001,MATCH(ROWS($U$2:U379),$U$2:$U$1001,0),MATCH(COLUMNS($AB$1006:AF1006),$AB$1006:$AQ$1006,0)), HYPERLINK("#",""), HYPERLINK(CONCATENATE("#metadata!", ADDRESS(INDEX($W$2:$W$1001,MATCH(ROWS($U$2:U379),$U$2:$U$1001,0),0), INDEX($AB$1004:$AQ$1004,1,MATCH(COLUMNS($AB$1006:AF1006),$AB$1006:$AQ$1006,0)))),"Fix")))</f>
        <v>0</v>
      </c>
      <c r="G379" s="4">
        <f>IF(OR(INDEX($V$2:$V$1001,MATCH(ROWS($U$2:U379),$U$2:$U$1001,0),1)&gt;=100000,INDEX($AB$1005:$AQ$1005,1,MATCH(COLUMNS($AB$1006:AG1006),$AB$1006:$AQ$1006,0))&gt;=100000), " ",IF(INDEX($AB$2:$AQ$1001,MATCH(ROWS($U$2:U379),$U$2:$U$1001,0),MATCH(COLUMNS($AB$1006:AG1006),$AB$1006:$AQ$1006,0)), HYPERLINK("#",""), HYPERLINK(CONCATENATE("#metadata!", ADDRESS(INDEX($W$2:$W$1001,MATCH(ROWS($U$2:U379),$U$2:$U$1001,0),0), INDEX($AB$1004:$AQ$1004,1,MATCH(COLUMNS($AB$1006:AG1006),$AB$1006:$AQ$1006,0)))),"Fix")))</f>
        <v>0</v>
      </c>
      <c r="H379" s="4">
        <f>IF(OR(INDEX($V$2:$V$1001,MATCH(ROWS($U$2:U379),$U$2:$U$1001,0),1)&gt;=100000,INDEX($AB$1005:$AQ$1005,1,MATCH(COLUMNS($AB$1006:AH1006),$AB$1006:$AQ$1006,0))&gt;=100000), " ",IF(INDEX($AB$2:$AQ$1001,MATCH(ROWS($U$2:U379),$U$2:$U$1001,0),MATCH(COLUMNS($AB$1006:AH1006),$AB$1006:$AQ$1006,0)), HYPERLINK("#",""), HYPERLINK(CONCATENATE("#metadata!", ADDRESS(INDEX($W$2:$W$1001,MATCH(ROWS($U$2:U379),$U$2:$U$1001,0),0), INDEX($AB$1004:$AQ$1004,1,MATCH(COLUMNS($AB$1006:AH1006),$AB$1006:$AQ$1006,0)))),"Fix")))</f>
        <v>0</v>
      </c>
      <c r="I379" s="4">
        <f>IF(OR(INDEX($V$2:$V$1001,MATCH(ROWS($U$2:U379),$U$2:$U$1001,0),1)&gt;=100000,INDEX($AB$1005:$AQ$1005,1,MATCH(COLUMNS($AB$1006:AI1006),$AB$1006:$AQ$1006,0))&gt;=100000), " ",IF(INDEX($AB$2:$AQ$1001,MATCH(ROWS($U$2:U379),$U$2:$U$1001,0),MATCH(COLUMNS($AB$1006:AI1006),$AB$1006:$AQ$1006,0)), HYPERLINK("#",""), HYPERLINK(CONCATENATE("#metadata!", ADDRESS(INDEX($W$2:$W$1001,MATCH(ROWS($U$2:U379),$U$2:$U$1001,0),0), INDEX($AB$1004:$AQ$1004,1,MATCH(COLUMNS($AB$1006:AI1006),$AB$1006:$AQ$1006,0)))),"Fix")))</f>
        <v>0</v>
      </c>
      <c r="J379" s="4">
        <f>IF(OR(INDEX($V$2:$V$1001,MATCH(ROWS($U$2:U379),$U$2:$U$1001,0),1)&gt;=100000,INDEX($AB$1005:$AQ$1005,1,MATCH(COLUMNS($AB$1006:AJ1006),$AB$1006:$AQ$1006,0))&gt;=100000), " ",IF(INDEX($AB$2:$AQ$1001,MATCH(ROWS($U$2:U379),$U$2:$U$1001,0),MATCH(COLUMNS($AB$1006:AJ1006),$AB$1006:$AQ$1006,0)), HYPERLINK("#",""), HYPERLINK(CONCATENATE("#metadata!", ADDRESS(INDEX($W$2:$W$1001,MATCH(ROWS($U$2:U379),$U$2:$U$1001,0),0), INDEX($AB$1004:$AQ$1004,1,MATCH(COLUMNS($AB$1006:AJ1006),$AB$1006:$AQ$1006,0)))),"Fix")))</f>
        <v>0</v>
      </c>
      <c r="K379" s="4">
        <f>IF(OR(INDEX($V$2:$V$1001,MATCH(ROWS($U$2:U379),$U$2:$U$1001,0),1)&gt;=100000,INDEX($AB$1005:$AQ$1005,1,MATCH(COLUMNS($AB$1006:AK1006),$AB$1006:$AQ$1006,0))&gt;=100000), " ",IF(INDEX($AB$2:$AQ$1001,MATCH(ROWS($U$2:U379),$U$2:$U$1001,0),MATCH(COLUMNS($AB$1006:AK1006),$AB$1006:$AQ$1006,0)), HYPERLINK("#",""), HYPERLINK(CONCATENATE("#metadata!", ADDRESS(INDEX($W$2:$W$1001,MATCH(ROWS($U$2:U379),$U$2:$U$1001,0),0), INDEX($AB$1004:$AQ$1004,1,MATCH(COLUMNS($AB$1006:AK1006),$AB$1006:$AQ$1006,0)))),"Fix")))</f>
        <v>0</v>
      </c>
      <c r="L379" s="4">
        <f>IF(OR(INDEX($V$2:$V$1001,MATCH(ROWS($U$2:U379),$U$2:$U$1001,0),1)&gt;=100000,INDEX($AB$1005:$AQ$1005,1,MATCH(COLUMNS($AB$1006:AL1006),$AB$1006:$AQ$1006,0))&gt;=100000), " ",IF(INDEX($AB$2:$AQ$1001,MATCH(ROWS($U$2:U379),$U$2:$U$1001,0),MATCH(COLUMNS($AB$1006:AL1006),$AB$1006:$AQ$1006,0)), HYPERLINK("#",""), HYPERLINK(CONCATENATE("#metadata!", ADDRESS(INDEX($W$2:$W$1001,MATCH(ROWS($U$2:U379),$U$2:$U$1001,0),0), INDEX($AB$1004:$AQ$1004,1,MATCH(COLUMNS($AB$1006:AL1006),$AB$1006:$AQ$1006,0)))),"Fix")))</f>
        <v>0</v>
      </c>
      <c r="M379" s="4">
        <f>IF(OR(INDEX($V$2:$V$1001,MATCH(ROWS($U$2:U379),$U$2:$U$1001,0),1)&gt;=100000,INDEX($AB$1005:$AQ$1005,1,MATCH(COLUMNS($AB$1006:AM1006),$AB$1006:$AQ$1006,0))&gt;=100000), " ",IF(INDEX($AB$2:$AQ$1001,MATCH(ROWS($U$2:U379),$U$2:$U$1001,0),MATCH(COLUMNS($AB$1006:AM1006),$AB$1006:$AQ$1006,0)), HYPERLINK("#",""), HYPERLINK(CONCATENATE("#metadata!", ADDRESS(INDEX($W$2:$W$1001,MATCH(ROWS($U$2:U379),$U$2:$U$1001,0),0), INDEX($AB$1004:$AQ$1004,1,MATCH(COLUMNS($AB$1006:AM1006),$AB$1006:$AQ$1006,0)))),"Fix")))</f>
        <v>0</v>
      </c>
      <c r="N379" s="4">
        <f>IF(OR(INDEX($V$2:$V$1001,MATCH(ROWS($U$2:U379),$U$2:$U$1001,0),1)&gt;=100000,INDEX($AB$1005:$AQ$1005,1,MATCH(COLUMNS($AB$1006:AN1006),$AB$1006:$AQ$1006,0))&gt;=100000), " ",IF(INDEX($AB$2:$AQ$1001,MATCH(ROWS($U$2:U379),$U$2:$U$1001,0),MATCH(COLUMNS($AB$1006:AN1006),$AB$1006:$AQ$1006,0)), HYPERLINK("#",""), HYPERLINK(CONCATENATE("#metadata!", ADDRESS(INDEX($W$2:$W$1001,MATCH(ROWS($U$2:U379),$U$2:$U$1001,0),0), INDEX($AB$1004:$AQ$1004,1,MATCH(COLUMNS($AB$1006:AN1006),$AB$1006:$AQ$1006,0)))),"Fix")))</f>
        <v>0</v>
      </c>
      <c r="O379" s="4">
        <f>IF(OR(INDEX($V$2:$V$1001,MATCH(ROWS($U$2:U379),$U$2:$U$1001,0),1)&gt;=100000,INDEX($AB$1005:$AQ$1005,1,MATCH(COLUMNS($AB$1006:AO1006),$AB$1006:$AQ$1006,0))&gt;=100000), " ",IF(INDEX($AB$2:$AQ$1001,MATCH(ROWS($U$2:U379),$U$2:$U$1001,0),MATCH(COLUMNS($AB$1006:AO1006),$AB$1006:$AQ$1006,0)), HYPERLINK("#",""), HYPERLINK(CONCATENATE("#metadata!", ADDRESS(INDEX($W$2:$W$1001,MATCH(ROWS($U$2:U379),$U$2:$U$1001,0),0), INDEX($AB$1004:$AQ$1004,1,MATCH(COLUMNS($AB$1006:AO1006),$AB$1006:$AQ$1006,0)))),"Fix")))</f>
        <v>0</v>
      </c>
      <c r="P379" s="4">
        <f>IF(OR(INDEX($V$2:$V$1001,MATCH(ROWS($U$2:U379),$U$2:$U$1001,0),1)&gt;=100000,INDEX($AB$1005:$AQ$1005,1,MATCH(COLUMNS($AB$1006:AP1006),$AB$1006:$AQ$1006,0))&gt;=100000), " ",IF(INDEX($AB$2:$AQ$1001,MATCH(ROWS($U$2:U379),$U$2:$U$1001,0),MATCH(COLUMNS($AB$1006:AP1006),$AB$1006:$AQ$1006,0)), HYPERLINK("#",""), HYPERLINK(CONCATENATE("#metadata!", ADDRESS(INDEX($W$2:$W$1001,MATCH(ROWS($U$2:U379),$U$2:$U$1001,0),0), INDEX($AB$1004:$AQ$1004,1,MATCH(COLUMNS($AB$1006:AP1006),$AB$1006:$AQ$1006,0)))),"Fix")))</f>
        <v>0</v>
      </c>
      <c r="Q379" s="4">
        <f>IF(OR(INDEX($V$2:$V$1001,MATCH(ROWS($U$2:U379),$U$2:$U$1001,0),1)&gt;=100000,INDEX($AB$1005:$AQ$1005,1,MATCH(COLUMNS($AB$1006:AQ1006),$AB$1006:$AQ$1006,0))&gt;=100000), " ",IF(INDEX($AB$2:$AQ$1001,MATCH(ROWS($U$2:U379),$U$2:$U$1001,0),MATCH(COLUMNS($AB$1006:AQ1006),$AB$1006:$AQ$1006,0)), HYPERLINK("#",""), HYPERLINK(CONCATENATE("#metadata!", ADDRESS(INDEX($W$2:$W$1001,MATCH(ROWS($U$2:U379),$U$2:$U$1001,0),0), INDEX($AB$1004:$AQ$1004,1,MATCH(COLUMNS($AB$1006:AQ1006),$AB$1006:$AQ$1006,0)))),"Fix")))</f>
        <v>0</v>
      </c>
      <c r="U379">
        <v>0</v>
      </c>
      <c r="V379">
        <v>0</v>
      </c>
      <c r="W379">
        <v>0</v>
      </c>
      <c r="X379">
        <f>IF(Y379,TRUE,AND(AB379:AQ379))</f>
        <v>0</v>
      </c>
      <c r="Y379">
        <f>COUNTBLANK(metadata!B379:Q379)=COLUMNS(metadata!B379:Q379)</f>
        <v>0</v>
      </c>
      <c r="Z379">
        <v>0</v>
      </c>
      <c r="AB379">
        <f>AND(IF(metadata!B379="",FALSE,TRUE),COUNTIF(metadata!B:B, metadata!B379) = 1,NOT(ISERROR(SUMPRODUCT(SEARCH(MID(metadata!B379,ROW(INDIRECT("1:"&amp;LEN(metadata!B379))), 1),"0123456789abcdefghijklmnopqrstuvwxyzABCDEFGHIJKLMNOPQRSTUVWXYZ.")))))</f>
        <v>0</v>
      </c>
      <c r="AC379">
        <f>OR(AND(IF(metadata!C379="",FALSE,TRUE),OR(exact(metadata!C379,"missing: not collected"),exact(metadata!C379,"missing: not provided"),exact(metadata!C379,"missing: restricted access"))),AND(IF(metadata!C379="",FALSE,TRUE),AND(AND(IFERROR(INT(LEFT(metadata!C379,4))&gt;1900,FALSE),IFERROR(INT(LEFT(metadata!C379,4))&lt;=YEAR(NOW()),FALSE)), OR(MID(metadata!C379,5,1)="", AND(AND(MID(metadata!C379,5,1)="-",IFERROR(INT(MID(metadata!C379,6,1))&gt;=0,FALSE),IFERROR(INT(MID(metadata!C379,6,1))&lt;=1,FALSE),NOT(MID(metadata!C379,7,1)=""),IFERROR(INT(MID(metadata!C379,6,2))&gt;=1,FALSE),IFERROR(INT(MID(metadata!C379,6,2))&lt;=12,FALSE)), OR(MID(metadata!C379,8,1)="", AND(AND(MID(metadata!C379,8,1)="-",IFERROR(INT(MID(metadata!C379,9,1))&gt;=0,FALSE),IFERROR(INT(MID(metadata!C379,9,1))&lt;=3,FALSE),NOT(MID(metadata!C379,10,1)=""),IFERROR(INT(MID(metadata!C379,9,2))&gt;=1,FALSE),IFERROR(INT(MID(metadata!C379,9,2))&lt;=31,FALSE)), OR(MID(metadata!C379,11,1)="", AND(AND(MID(metadata!C379,11,1)=" ",IFERROR(INT(MID(metadata!C379,12,1))&gt;=0,FALSE),IFERROR(INT(MID(metadata!C379,12,1))&lt;=2,FALSE),NOT(MID(metadata!C379,13,1)=""),IFERROR(INT(MID(metadata!C379,12,2))&gt;=0,FALSE),IFERROR(INT(MID(metadata!C379,12,2))&lt;=23,FALSE)), OR(MID(metadata!C379,14,1)="", AND(AND(MID(metadata!C379,14,1)=":",IFERROR(INT(MID(metadata!C379,15,1))&gt;=0,FALSE),IFERROR(INT(MID(metadata!C379,15,1))&lt;=5,FALSE),NOT(MID(metadata!C379,16,1)=""),IFERROR(INT(MID(metadata!C379,15,2))&gt;=0,FALSE),IFERROR(INT(MID(metadata!C379,15,2))&lt;=59,FALSE)), OR(MID(metadata!C379,17,1)="", AND(AND(MID(metadata!C379,17,1)=":",IFERROR(INT(MID(metadata!C379,18,1))&gt;=0,FALSE),IFERROR(INT(MID(metadata!C379,18,1))&lt;=5,FALSE),NOT(MID(metadata!C379,19,1)=""),IFERROR(INT(MID(metadata!C379,18,2))&gt;=0,FALSE),IFERROR(INT(MID(metadata!C379,18,2))&lt;=59,FALSE)), LEN(metadata!C379)&lt;=19)))))))))))))</f>
        <v>0</v>
      </c>
      <c r="AD379">
        <f>IF(metadata!D379="",FALSE,TRUE)</f>
        <v>0</v>
      </c>
      <c r="AE379">
        <f>OR(AND(IF(metadata!E379="",FALSE,TRUE),OR(exact(metadata!E379,"missing: not collected"),exact(metadata!E379,"missing: not provided"))),AND(IF(metadata!E379="",FALSE,TRUE),OR(exact(metadata!E379,"TRUE"),exact(metadata!E379,"FALSE"))))</f>
        <v>0</v>
      </c>
      <c r="AF379">
        <f>IF(metadata!F379="",FALSE,TRUE)</f>
        <v>0</v>
      </c>
      <c r="AG379">
        <f>IF(metadata!G379="",FALSE,TRUE)</f>
        <v>0</v>
      </c>
      <c r="AH379">
        <f>IF(metadata!H379="",FALSE,TRUE)</f>
        <v>0</v>
      </c>
      <c r="AI379">
        <f>OR(AND(IF(metadata!I379="",FALSE,TRUE),OR(exact(metadata!I379,"missing: not collected"),exact(metadata!I379,"missing: not provided"),exact(metadata!I379,"missing: restricted access"))),AND(IF(metadata!I379="",FALSE,TRUE),OR(exact(metadata!I379,"air"),exact(metadata!I379,"built environment"),exact(metadata!I379,"host-associated"),exact(metadata!I379,"human-associated"),exact(metadata!I379,"human-skin"),exact(metadata!I379,"human-oral"),exact(metadata!I379,"human-gut"),exact(metadata!I379,"human-vaginal"),exact(metadata!I379,"microbial mat/biofilm"),exact(metadata!I379,"misc environment"),exact(metadata!I379,"plant-associated"),exact(metadata!I379,"sediment"),exact(metadata!I379,"soil"),exact(metadata!I379,"wastewater/sludge"),exact(metadata!I379,"water"))))</f>
        <v>0</v>
      </c>
      <c r="AJ379">
        <f>IF(metadata!J379="",FALSE,TRUE)</f>
        <v>0</v>
      </c>
      <c r="AK379">
        <f>OR(AND(IF(metadata!K379="",FALSE,TRUE),OR(exact(metadata!K379,"missing: not collected"),exact(metadata!K379,"missing: not provided"),exact(metadata!K379,"missing: restricted access"))),AND(IF(metadata!K379="",FALSE,ISNUMBER(VALUE(metadata!K379))),metadata!K379&gt;=-90.00,metadata!K379&lt;=90.00))</f>
        <v>0</v>
      </c>
      <c r="AL379">
        <f>OR(AND(IF(metadata!L379="",FALSE,TRUE),OR(exact(metadata!L379,"missing: not collected"),exact(metadata!L379,"missing: not provided"),exact(metadata!L379,"missing: restricted access"))),AND(IF(metadata!L379="",FALSE,ISNUMBER(VALUE(metadata!L379))),metadata!L379&gt;=-180.00,metadata!L379&lt;=180.00))</f>
        <v>0</v>
      </c>
      <c r="AM379">
        <f>IF(metadata!M379="",FALSE,TRUE)</f>
        <v>0</v>
      </c>
      <c r="AN379">
        <f>OR(AND(IF(metadata!N379="",FALSE,TRUE),OR(exact(metadata!N379,"missing: not collected"),exact(metadata!N379,"missing: not provided"),exact(metadata!N379,"missing: restricted access"))),AND(IF(metadata!N379="",FALSE,TRUE),OR(exact(metadata!N379,"TRUE"),exact(metadata!N379,"FALSE"))))</f>
        <v>0</v>
      </c>
      <c r="AO379">
        <f>IF(metadata!O379="",FALSE,TRUE)</f>
        <v>0</v>
      </c>
      <c r="AP379">
        <f>OR(AND(IF(metadata!P379="",FALSE,TRUE),OR(exact(metadata!P379,"missing: not collected"),exact(metadata!P379,"missing: not provided"))),AND(IF(metadata!P379="",FALSE,IF(ISERROR(INT(metadata!P379)),FALSE,INT(metadata!P379)=metadata!P379)),metadata!P379&gt;0))</f>
        <v>0</v>
      </c>
      <c r="AQ379">
        <f>IF(metadata!Q379="",FALSE,TRUE)</f>
        <v>0</v>
      </c>
    </row>
    <row r="380" spans="1:43">
      <c r="A380" s="5">
        <f>IF(B380=" "," ",HYPERLINK(CONCATENATE("#metadata!",ADDRESS(INDEX($W$2:$W$1001,MATCH(ROWS($U$2:U380),$U$2:$U$1001,0),0),1)),INDEX($Z$2:$Z$1001,MATCH(ROWS($U$2:U380),$U$2:$U$1001,0),0)))</f>
        <v>0</v>
      </c>
      <c r="B380" s="4">
        <f>IF(OR(INDEX($V$2:$V$1001,MATCH(ROWS($U$2:U380),$U$2:$U$1001,0),1)&gt;=100000,INDEX($AB$1005:$AQ$1005,1,MATCH(COLUMNS($AB$1006:AB1006),$AB$1006:$AQ$1006,0))&gt;=100000), " ",IF(INDEX($AB$2:$AQ$1001,MATCH(ROWS($U$2:U380),$U$2:$U$1001,0),MATCH(COLUMNS($AB$1006:AB1006),$AB$1006:$AQ$1006,0)), HYPERLINK("#",""), HYPERLINK(CONCATENATE("#metadata!", ADDRESS(INDEX($W$2:$W$1001,MATCH(ROWS($U$2:U380),$U$2:$U$1001,0),0), INDEX($AB$1004:$AQ$1004,1,MATCH(COLUMNS($AB$1006:AB1006),$AB$1006:$AQ$1006,0)))),"Fix")))</f>
        <v>0</v>
      </c>
      <c r="C380" s="4">
        <f>IF(OR(INDEX($V$2:$V$1001,MATCH(ROWS($U$2:U380),$U$2:$U$1001,0),1)&gt;=100000,INDEX($AB$1005:$AQ$1005,1,MATCH(COLUMNS($AB$1006:AC1006),$AB$1006:$AQ$1006,0))&gt;=100000), " ",IF(INDEX($AB$2:$AQ$1001,MATCH(ROWS($U$2:U380),$U$2:$U$1001,0),MATCH(COLUMNS($AB$1006:AC1006),$AB$1006:$AQ$1006,0)), HYPERLINK("#",""), HYPERLINK(CONCATENATE("#metadata!", ADDRESS(INDEX($W$2:$W$1001,MATCH(ROWS($U$2:U380),$U$2:$U$1001,0),0), INDEX($AB$1004:$AQ$1004,1,MATCH(COLUMNS($AB$1006:AC1006),$AB$1006:$AQ$1006,0)))),"Fix")))</f>
        <v>0</v>
      </c>
      <c r="D380" s="4">
        <f>IF(OR(INDEX($V$2:$V$1001,MATCH(ROWS($U$2:U380),$U$2:$U$1001,0),1)&gt;=100000,INDEX($AB$1005:$AQ$1005,1,MATCH(COLUMNS($AB$1006:AD1006),$AB$1006:$AQ$1006,0))&gt;=100000), " ",IF(INDEX($AB$2:$AQ$1001,MATCH(ROWS($U$2:U380),$U$2:$U$1001,0),MATCH(COLUMNS($AB$1006:AD1006),$AB$1006:$AQ$1006,0)), HYPERLINK("#",""), HYPERLINK(CONCATENATE("#metadata!", ADDRESS(INDEX($W$2:$W$1001,MATCH(ROWS($U$2:U380),$U$2:$U$1001,0),0), INDEX($AB$1004:$AQ$1004,1,MATCH(COLUMNS($AB$1006:AD1006),$AB$1006:$AQ$1006,0)))),"Fix")))</f>
        <v>0</v>
      </c>
      <c r="E380" s="4">
        <f>IF(OR(INDEX($V$2:$V$1001,MATCH(ROWS($U$2:U380),$U$2:$U$1001,0),1)&gt;=100000,INDEX($AB$1005:$AQ$1005,1,MATCH(COLUMNS($AB$1006:AE1006),$AB$1006:$AQ$1006,0))&gt;=100000), " ",IF(INDEX($AB$2:$AQ$1001,MATCH(ROWS($U$2:U380),$U$2:$U$1001,0),MATCH(COLUMNS($AB$1006:AE1006),$AB$1006:$AQ$1006,0)), HYPERLINK("#",""), HYPERLINK(CONCATENATE("#metadata!", ADDRESS(INDEX($W$2:$W$1001,MATCH(ROWS($U$2:U380),$U$2:$U$1001,0),0), INDEX($AB$1004:$AQ$1004,1,MATCH(COLUMNS($AB$1006:AE1006),$AB$1006:$AQ$1006,0)))),"Fix")))</f>
        <v>0</v>
      </c>
      <c r="F380" s="4">
        <f>IF(OR(INDEX($V$2:$V$1001,MATCH(ROWS($U$2:U380),$U$2:$U$1001,0),1)&gt;=100000,INDEX($AB$1005:$AQ$1005,1,MATCH(COLUMNS($AB$1006:AF1006),$AB$1006:$AQ$1006,0))&gt;=100000), " ",IF(INDEX($AB$2:$AQ$1001,MATCH(ROWS($U$2:U380),$U$2:$U$1001,0),MATCH(COLUMNS($AB$1006:AF1006),$AB$1006:$AQ$1006,0)), HYPERLINK("#",""), HYPERLINK(CONCATENATE("#metadata!", ADDRESS(INDEX($W$2:$W$1001,MATCH(ROWS($U$2:U380),$U$2:$U$1001,0),0), INDEX($AB$1004:$AQ$1004,1,MATCH(COLUMNS($AB$1006:AF1006),$AB$1006:$AQ$1006,0)))),"Fix")))</f>
        <v>0</v>
      </c>
      <c r="G380" s="4">
        <f>IF(OR(INDEX($V$2:$V$1001,MATCH(ROWS($U$2:U380),$U$2:$U$1001,0),1)&gt;=100000,INDEX($AB$1005:$AQ$1005,1,MATCH(COLUMNS($AB$1006:AG1006),$AB$1006:$AQ$1006,0))&gt;=100000), " ",IF(INDEX($AB$2:$AQ$1001,MATCH(ROWS($U$2:U380),$U$2:$U$1001,0),MATCH(COLUMNS($AB$1006:AG1006),$AB$1006:$AQ$1006,0)), HYPERLINK("#",""), HYPERLINK(CONCATENATE("#metadata!", ADDRESS(INDEX($W$2:$W$1001,MATCH(ROWS($U$2:U380),$U$2:$U$1001,0),0), INDEX($AB$1004:$AQ$1004,1,MATCH(COLUMNS($AB$1006:AG1006),$AB$1006:$AQ$1006,0)))),"Fix")))</f>
        <v>0</v>
      </c>
      <c r="H380" s="4">
        <f>IF(OR(INDEX($V$2:$V$1001,MATCH(ROWS($U$2:U380),$U$2:$U$1001,0),1)&gt;=100000,INDEX($AB$1005:$AQ$1005,1,MATCH(COLUMNS($AB$1006:AH1006),$AB$1006:$AQ$1006,0))&gt;=100000), " ",IF(INDEX($AB$2:$AQ$1001,MATCH(ROWS($U$2:U380),$U$2:$U$1001,0),MATCH(COLUMNS($AB$1006:AH1006),$AB$1006:$AQ$1006,0)), HYPERLINK("#",""), HYPERLINK(CONCATENATE("#metadata!", ADDRESS(INDEX($W$2:$W$1001,MATCH(ROWS($U$2:U380),$U$2:$U$1001,0),0), INDEX($AB$1004:$AQ$1004,1,MATCH(COLUMNS($AB$1006:AH1006),$AB$1006:$AQ$1006,0)))),"Fix")))</f>
        <v>0</v>
      </c>
      <c r="I380" s="4">
        <f>IF(OR(INDEX($V$2:$V$1001,MATCH(ROWS($U$2:U380),$U$2:$U$1001,0),1)&gt;=100000,INDEX($AB$1005:$AQ$1005,1,MATCH(COLUMNS($AB$1006:AI1006),$AB$1006:$AQ$1006,0))&gt;=100000), " ",IF(INDEX($AB$2:$AQ$1001,MATCH(ROWS($U$2:U380),$U$2:$U$1001,0),MATCH(COLUMNS($AB$1006:AI1006),$AB$1006:$AQ$1006,0)), HYPERLINK("#",""), HYPERLINK(CONCATENATE("#metadata!", ADDRESS(INDEX($W$2:$W$1001,MATCH(ROWS($U$2:U380),$U$2:$U$1001,0),0), INDEX($AB$1004:$AQ$1004,1,MATCH(COLUMNS($AB$1006:AI1006),$AB$1006:$AQ$1006,0)))),"Fix")))</f>
        <v>0</v>
      </c>
      <c r="J380" s="4">
        <f>IF(OR(INDEX($V$2:$V$1001,MATCH(ROWS($U$2:U380),$U$2:$U$1001,0),1)&gt;=100000,INDEX($AB$1005:$AQ$1005,1,MATCH(COLUMNS($AB$1006:AJ1006),$AB$1006:$AQ$1006,0))&gt;=100000), " ",IF(INDEX($AB$2:$AQ$1001,MATCH(ROWS($U$2:U380),$U$2:$U$1001,0),MATCH(COLUMNS($AB$1006:AJ1006),$AB$1006:$AQ$1006,0)), HYPERLINK("#",""), HYPERLINK(CONCATENATE("#metadata!", ADDRESS(INDEX($W$2:$W$1001,MATCH(ROWS($U$2:U380),$U$2:$U$1001,0),0), INDEX($AB$1004:$AQ$1004,1,MATCH(COLUMNS($AB$1006:AJ1006),$AB$1006:$AQ$1006,0)))),"Fix")))</f>
        <v>0</v>
      </c>
      <c r="K380" s="4">
        <f>IF(OR(INDEX($V$2:$V$1001,MATCH(ROWS($U$2:U380),$U$2:$U$1001,0),1)&gt;=100000,INDEX($AB$1005:$AQ$1005,1,MATCH(COLUMNS($AB$1006:AK1006),$AB$1006:$AQ$1006,0))&gt;=100000), " ",IF(INDEX($AB$2:$AQ$1001,MATCH(ROWS($U$2:U380),$U$2:$U$1001,0),MATCH(COLUMNS($AB$1006:AK1006),$AB$1006:$AQ$1006,0)), HYPERLINK("#",""), HYPERLINK(CONCATENATE("#metadata!", ADDRESS(INDEX($W$2:$W$1001,MATCH(ROWS($U$2:U380),$U$2:$U$1001,0),0), INDEX($AB$1004:$AQ$1004,1,MATCH(COLUMNS($AB$1006:AK1006),$AB$1006:$AQ$1006,0)))),"Fix")))</f>
        <v>0</v>
      </c>
      <c r="L380" s="4">
        <f>IF(OR(INDEX($V$2:$V$1001,MATCH(ROWS($U$2:U380),$U$2:$U$1001,0),1)&gt;=100000,INDEX($AB$1005:$AQ$1005,1,MATCH(COLUMNS($AB$1006:AL1006),$AB$1006:$AQ$1006,0))&gt;=100000), " ",IF(INDEX($AB$2:$AQ$1001,MATCH(ROWS($U$2:U380),$U$2:$U$1001,0),MATCH(COLUMNS($AB$1006:AL1006),$AB$1006:$AQ$1006,0)), HYPERLINK("#",""), HYPERLINK(CONCATENATE("#metadata!", ADDRESS(INDEX($W$2:$W$1001,MATCH(ROWS($U$2:U380),$U$2:$U$1001,0),0), INDEX($AB$1004:$AQ$1004,1,MATCH(COLUMNS($AB$1006:AL1006),$AB$1006:$AQ$1006,0)))),"Fix")))</f>
        <v>0</v>
      </c>
      <c r="M380" s="4">
        <f>IF(OR(INDEX($V$2:$V$1001,MATCH(ROWS($U$2:U380),$U$2:$U$1001,0),1)&gt;=100000,INDEX($AB$1005:$AQ$1005,1,MATCH(COLUMNS($AB$1006:AM1006),$AB$1006:$AQ$1006,0))&gt;=100000), " ",IF(INDEX($AB$2:$AQ$1001,MATCH(ROWS($U$2:U380),$U$2:$U$1001,0),MATCH(COLUMNS($AB$1006:AM1006),$AB$1006:$AQ$1006,0)), HYPERLINK("#",""), HYPERLINK(CONCATENATE("#metadata!", ADDRESS(INDEX($W$2:$W$1001,MATCH(ROWS($U$2:U380),$U$2:$U$1001,0),0), INDEX($AB$1004:$AQ$1004,1,MATCH(COLUMNS($AB$1006:AM1006),$AB$1006:$AQ$1006,0)))),"Fix")))</f>
        <v>0</v>
      </c>
      <c r="N380" s="4">
        <f>IF(OR(INDEX($V$2:$V$1001,MATCH(ROWS($U$2:U380),$U$2:$U$1001,0),1)&gt;=100000,INDEX($AB$1005:$AQ$1005,1,MATCH(COLUMNS($AB$1006:AN1006),$AB$1006:$AQ$1006,0))&gt;=100000), " ",IF(INDEX($AB$2:$AQ$1001,MATCH(ROWS($U$2:U380),$U$2:$U$1001,0),MATCH(COLUMNS($AB$1006:AN1006),$AB$1006:$AQ$1006,0)), HYPERLINK("#",""), HYPERLINK(CONCATENATE("#metadata!", ADDRESS(INDEX($W$2:$W$1001,MATCH(ROWS($U$2:U380),$U$2:$U$1001,0),0), INDEX($AB$1004:$AQ$1004,1,MATCH(COLUMNS($AB$1006:AN1006),$AB$1006:$AQ$1006,0)))),"Fix")))</f>
        <v>0</v>
      </c>
      <c r="O380" s="4">
        <f>IF(OR(INDEX($V$2:$V$1001,MATCH(ROWS($U$2:U380),$U$2:$U$1001,0),1)&gt;=100000,INDEX($AB$1005:$AQ$1005,1,MATCH(COLUMNS($AB$1006:AO1006),$AB$1006:$AQ$1006,0))&gt;=100000), " ",IF(INDEX($AB$2:$AQ$1001,MATCH(ROWS($U$2:U380),$U$2:$U$1001,0),MATCH(COLUMNS($AB$1006:AO1006),$AB$1006:$AQ$1006,0)), HYPERLINK("#",""), HYPERLINK(CONCATENATE("#metadata!", ADDRESS(INDEX($W$2:$W$1001,MATCH(ROWS($U$2:U380),$U$2:$U$1001,0),0), INDEX($AB$1004:$AQ$1004,1,MATCH(COLUMNS($AB$1006:AO1006),$AB$1006:$AQ$1006,0)))),"Fix")))</f>
        <v>0</v>
      </c>
      <c r="P380" s="4">
        <f>IF(OR(INDEX($V$2:$V$1001,MATCH(ROWS($U$2:U380),$U$2:$U$1001,0),1)&gt;=100000,INDEX($AB$1005:$AQ$1005,1,MATCH(COLUMNS($AB$1006:AP1006),$AB$1006:$AQ$1006,0))&gt;=100000), " ",IF(INDEX($AB$2:$AQ$1001,MATCH(ROWS($U$2:U380),$U$2:$U$1001,0),MATCH(COLUMNS($AB$1006:AP1006),$AB$1006:$AQ$1006,0)), HYPERLINK("#",""), HYPERLINK(CONCATENATE("#metadata!", ADDRESS(INDEX($W$2:$W$1001,MATCH(ROWS($U$2:U380),$U$2:$U$1001,0),0), INDEX($AB$1004:$AQ$1004,1,MATCH(COLUMNS($AB$1006:AP1006),$AB$1006:$AQ$1006,0)))),"Fix")))</f>
        <v>0</v>
      </c>
      <c r="Q380" s="4">
        <f>IF(OR(INDEX($V$2:$V$1001,MATCH(ROWS($U$2:U380),$U$2:$U$1001,0),1)&gt;=100000,INDEX($AB$1005:$AQ$1005,1,MATCH(COLUMNS($AB$1006:AQ1006),$AB$1006:$AQ$1006,0))&gt;=100000), " ",IF(INDEX($AB$2:$AQ$1001,MATCH(ROWS($U$2:U380),$U$2:$U$1001,0),MATCH(COLUMNS($AB$1006:AQ1006),$AB$1006:$AQ$1006,0)), HYPERLINK("#",""), HYPERLINK(CONCATENATE("#metadata!", ADDRESS(INDEX($W$2:$W$1001,MATCH(ROWS($U$2:U380),$U$2:$U$1001,0),0), INDEX($AB$1004:$AQ$1004,1,MATCH(COLUMNS($AB$1006:AQ1006),$AB$1006:$AQ$1006,0)))),"Fix")))</f>
        <v>0</v>
      </c>
      <c r="U380">
        <v>0</v>
      </c>
      <c r="V380">
        <v>0</v>
      </c>
      <c r="W380">
        <v>0</v>
      </c>
      <c r="X380">
        <f>IF(Y380,TRUE,AND(AB380:AQ380))</f>
        <v>0</v>
      </c>
      <c r="Y380">
        <f>COUNTBLANK(metadata!B380:Q380)=COLUMNS(metadata!B380:Q380)</f>
        <v>0</v>
      </c>
      <c r="Z380">
        <v>0</v>
      </c>
      <c r="AB380">
        <f>AND(IF(metadata!B380="",FALSE,TRUE),COUNTIF(metadata!B:B, metadata!B380) = 1,NOT(ISERROR(SUMPRODUCT(SEARCH(MID(metadata!B380,ROW(INDIRECT("1:"&amp;LEN(metadata!B380))), 1),"0123456789abcdefghijklmnopqrstuvwxyzABCDEFGHIJKLMNOPQRSTUVWXYZ.")))))</f>
        <v>0</v>
      </c>
      <c r="AC380">
        <f>OR(AND(IF(metadata!C380="",FALSE,TRUE),OR(exact(metadata!C380,"missing: not collected"),exact(metadata!C380,"missing: not provided"),exact(metadata!C380,"missing: restricted access"))),AND(IF(metadata!C380="",FALSE,TRUE),AND(AND(IFERROR(INT(LEFT(metadata!C380,4))&gt;1900,FALSE),IFERROR(INT(LEFT(metadata!C380,4))&lt;=YEAR(NOW()),FALSE)), OR(MID(metadata!C380,5,1)="", AND(AND(MID(metadata!C380,5,1)="-",IFERROR(INT(MID(metadata!C380,6,1))&gt;=0,FALSE),IFERROR(INT(MID(metadata!C380,6,1))&lt;=1,FALSE),NOT(MID(metadata!C380,7,1)=""),IFERROR(INT(MID(metadata!C380,6,2))&gt;=1,FALSE),IFERROR(INT(MID(metadata!C380,6,2))&lt;=12,FALSE)), OR(MID(metadata!C380,8,1)="", AND(AND(MID(metadata!C380,8,1)="-",IFERROR(INT(MID(metadata!C380,9,1))&gt;=0,FALSE),IFERROR(INT(MID(metadata!C380,9,1))&lt;=3,FALSE),NOT(MID(metadata!C380,10,1)=""),IFERROR(INT(MID(metadata!C380,9,2))&gt;=1,FALSE),IFERROR(INT(MID(metadata!C380,9,2))&lt;=31,FALSE)), OR(MID(metadata!C380,11,1)="", AND(AND(MID(metadata!C380,11,1)=" ",IFERROR(INT(MID(metadata!C380,12,1))&gt;=0,FALSE),IFERROR(INT(MID(metadata!C380,12,1))&lt;=2,FALSE),NOT(MID(metadata!C380,13,1)=""),IFERROR(INT(MID(metadata!C380,12,2))&gt;=0,FALSE),IFERROR(INT(MID(metadata!C380,12,2))&lt;=23,FALSE)), OR(MID(metadata!C380,14,1)="", AND(AND(MID(metadata!C380,14,1)=":",IFERROR(INT(MID(metadata!C380,15,1))&gt;=0,FALSE),IFERROR(INT(MID(metadata!C380,15,1))&lt;=5,FALSE),NOT(MID(metadata!C380,16,1)=""),IFERROR(INT(MID(metadata!C380,15,2))&gt;=0,FALSE),IFERROR(INT(MID(metadata!C380,15,2))&lt;=59,FALSE)), OR(MID(metadata!C380,17,1)="", AND(AND(MID(metadata!C380,17,1)=":",IFERROR(INT(MID(metadata!C380,18,1))&gt;=0,FALSE),IFERROR(INT(MID(metadata!C380,18,1))&lt;=5,FALSE),NOT(MID(metadata!C380,19,1)=""),IFERROR(INT(MID(metadata!C380,18,2))&gt;=0,FALSE),IFERROR(INT(MID(metadata!C380,18,2))&lt;=59,FALSE)), LEN(metadata!C380)&lt;=19)))))))))))))</f>
        <v>0</v>
      </c>
      <c r="AD380">
        <f>IF(metadata!D380="",FALSE,TRUE)</f>
        <v>0</v>
      </c>
      <c r="AE380">
        <f>OR(AND(IF(metadata!E380="",FALSE,TRUE),OR(exact(metadata!E380,"missing: not collected"),exact(metadata!E380,"missing: not provided"))),AND(IF(metadata!E380="",FALSE,TRUE),OR(exact(metadata!E380,"TRUE"),exact(metadata!E380,"FALSE"))))</f>
        <v>0</v>
      </c>
      <c r="AF380">
        <f>IF(metadata!F380="",FALSE,TRUE)</f>
        <v>0</v>
      </c>
      <c r="AG380">
        <f>IF(metadata!G380="",FALSE,TRUE)</f>
        <v>0</v>
      </c>
      <c r="AH380">
        <f>IF(metadata!H380="",FALSE,TRUE)</f>
        <v>0</v>
      </c>
      <c r="AI380">
        <f>OR(AND(IF(metadata!I380="",FALSE,TRUE),OR(exact(metadata!I380,"missing: not collected"),exact(metadata!I380,"missing: not provided"),exact(metadata!I380,"missing: restricted access"))),AND(IF(metadata!I380="",FALSE,TRUE),OR(exact(metadata!I380,"air"),exact(metadata!I380,"built environment"),exact(metadata!I380,"host-associated"),exact(metadata!I380,"human-associated"),exact(metadata!I380,"human-skin"),exact(metadata!I380,"human-oral"),exact(metadata!I380,"human-gut"),exact(metadata!I380,"human-vaginal"),exact(metadata!I380,"microbial mat/biofilm"),exact(metadata!I380,"misc environment"),exact(metadata!I380,"plant-associated"),exact(metadata!I380,"sediment"),exact(metadata!I380,"soil"),exact(metadata!I380,"wastewater/sludge"),exact(metadata!I380,"water"))))</f>
        <v>0</v>
      </c>
      <c r="AJ380">
        <f>IF(metadata!J380="",FALSE,TRUE)</f>
        <v>0</v>
      </c>
      <c r="AK380">
        <f>OR(AND(IF(metadata!K380="",FALSE,TRUE),OR(exact(metadata!K380,"missing: not collected"),exact(metadata!K380,"missing: not provided"),exact(metadata!K380,"missing: restricted access"))),AND(IF(metadata!K380="",FALSE,ISNUMBER(VALUE(metadata!K380))),metadata!K380&gt;=-90.00,metadata!K380&lt;=90.00))</f>
        <v>0</v>
      </c>
      <c r="AL380">
        <f>OR(AND(IF(metadata!L380="",FALSE,TRUE),OR(exact(metadata!L380,"missing: not collected"),exact(metadata!L380,"missing: not provided"),exact(metadata!L380,"missing: restricted access"))),AND(IF(metadata!L380="",FALSE,ISNUMBER(VALUE(metadata!L380))),metadata!L380&gt;=-180.00,metadata!L380&lt;=180.00))</f>
        <v>0</v>
      </c>
      <c r="AM380">
        <f>IF(metadata!M380="",FALSE,TRUE)</f>
        <v>0</v>
      </c>
      <c r="AN380">
        <f>OR(AND(IF(metadata!N380="",FALSE,TRUE),OR(exact(metadata!N380,"missing: not collected"),exact(metadata!N380,"missing: not provided"),exact(metadata!N380,"missing: restricted access"))),AND(IF(metadata!N380="",FALSE,TRUE),OR(exact(metadata!N380,"TRUE"),exact(metadata!N380,"FALSE"))))</f>
        <v>0</v>
      </c>
      <c r="AO380">
        <f>IF(metadata!O380="",FALSE,TRUE)</f>
        <v>0</v>
      </c>
      <c r="AP380">
        <f>OR(AND(IF(metadata!P380="",FALSE,TRUE),OR(exact(metadata!P380,"missing: not collected"),exact(metadata!P380,"missing: not provided"))),AND(IF(metadata!P380="",FALSE,IF(ISERROR(INT(metadata!P380)),FALSE,INT(metadata!P380)=metadata!P380)),metadata!P380&gt;0))</f>
        <v>0</v>
      </c>
      <c r="AQ380">
        <f>IF(metadata!Q380="",FALSE,TRUE)</f>
        <v>0</v>
      </c>
    </row>
    <row r="381" spans="1:43">
      <c r="A381" s="5">
        <f>IF(B381=" "," ",HYPERLINK(CONCATENATE("#metadata!",ADDRESS(INDEX($W$2:$W$1001,MATCH(ROWS($U$2:U381),$U$2:$U$1001,0),0),1)),INDEX($Z$2:$Z$1001,MATCH(ROWS($U$2:U381),$U$2:$U$1001,0),0)))</f>
        <v>0</v>
      </c>
      <c r="B381" s="4">
        <f>IF(OR(INDEX($V$2:$V$1001,MATCH(ROWS($U$2:U381),$U$2:$U$1001,0),1)&gt;=100000,INDEX($AB$1005:$AQ$1005,1,MATCH(COLUMNS($AB$1006:AB1006),$AB$1006:$AQ$1006,0))&gt;=100000), " ",IF(INDEX($AB$2:$AQ$1001,MATCH(ROWS($U$2:U381),$U$2:$U$1001,0),MATCH(COLUMNS($AB$1006:AB1006),$AB$1006:$AQ$1006,0)), HYPERLINK("#",""), HYPERLINK(CONCATENATE("#metadata!", ADDRESS(INDEX($W$2:$W$1001,MATCH(ROWS($U$2:U381),$U$2:$U$1001,0),0), INDEX($AB$1004:$AQ$1004,1,MATCH(COLUMNS($AB$1006:AB1006),$AB$1006:$AQ$1006,0)))),"Fix")))</f>
        <v>0</v>
      </c>
      <c r="C381" s="4">
        <f>IF(OR(INDEX($V$2:$V$1001,MATCH(ROWS($U$2:U381),$U$2:$U$1001,0),1)&gt;=100000,INDEX($AB$1005:$AQ$1005,1,MATCH(COLUMNS($AB$1006:AC1006),$AB$1006:$AQ$1006,0))&gt;=100000), " ",IF(INDEX($AB$2:$AQ$1001,MATCH(ROWS($U$2:U381),$U$2:$U$1001,0),MATCH(COLUMNS($AB$1006:AC1006),$AB$1006:$AQ$1006,0)), HYPERLINK("#",""), HYPERLINK(CONCATENATE("#metadata!", ADDRESS(INDEX($W$2:$W$1001,MATCH(ROWS($U$2:U381),$U$2:$U$1001,0),0), INDEX($AB$1004:$AQ$1004,1,MATCH(COLUMNS($AB$1006:AC1006),$AB$1006:$AQ$1006,0)))),"Fix")))</f>
        <v>0</v>
      </c>
      <c r="D381" s="4">
        <f>IF(OR(INDEX($V$2:$V$1001,MATCH(ROWS($U$2:U381),$U$2:$U$1001,0),1)&gt;=100000,INDEX($AB$1005:$AQ$1005,1,MATCH(COLUMNS($AB$1006:AD1006),$AB$1006:$AQ$1006,0))&gt;=100000), " ",IF(INDEX($AB$2:$AQ$1001,MATCH(ROWS($U$2:U381),$U$2:$U$1001,0),MATCH(COLUMNS($AB$1006:AD1006),$AB$1006:$AQ$1006,0)), HYPERLINK("#",""), HYPERLINK(CONCATENATE("#metadata!", ADDRESS(INDEX($W$2:$W$1001,MATCH(ROWS($U$2:U381),$U$2:$U$1001,0),0), INDEX($AB$1004:$AQ$1004,1,MATCH(COLUMNS($AB$1006:AD1006),$AB$1006:$AQ$1006,0)))),"Fix")))</f>
        <v>0</v>
      </c>
      <c r="E381" s="4">
        <f>IF(OR(INDEX($V$2:$V$1001,MATCH(ROWS($U$2:U381),$U$2:$U$1001,0),1)&gt;=100000,INDEX($AB$1005:$AQ$1005,1,MATCH(COLUMNS($AB$1006:AE1006),$AB$1006:$AQ$1006,0))&gt;=100000), " ",IF(INDEX($AB$2:$AQ$1001,MATCH(ROWS($U$2:U381),$U$2:$U$1001,0),MATCH(COLUMNS($AB$1006:AE1006),$AB$1006:$AQ$1006,0)), HYPERLINK("#",""), HYPERLINK(CONCATENATE("#metadata!", ADDRESS(INDEX($W$2:$W$1001,MATCH(ROWS($U$2:U381),$U$2:$U$1001,0),0), INDEX($AB$1004:$AQ$1004,1,MATCH(COLUMNS($AB$1006:AE1006),$AB$1006:$AQ$1006,0)))),"Fix")))</f>
        <v>0</v>
      </c>
      <c r="F381" s="4">
        <f>IF(OR(INDEX($V$2:$V$1001,MATCH(ROWS($U$2:U381),$U$2:$U$1001,0),1)&gt;=100000,INDEX($AB$1005:$AQ$1005,1,MATCH(COLUMNS($AB$1006:AF1006),$AB$1006:$AQ$1006,0))&gt;=100000), " ",IF(INDEX($AB$2:$AQ$1001,MATCH(ROWS($U$2:U381),$U$2:$U$1001,0),MATCH(COLUMNS($AB$1006:AF1006),$AB$1006:$AQ$1006,0)), HYPERLINK("#",""), HYPERLINK(CONCATENATE("#metadata!", ADDRESS(INDEX($W$2:$W$1001,MATCH(ROWS($U$2:U381),$U$2:$U$1001,0),0), INDEX($AB$1004:$AQ$1004,1,MATCH(COLUMNS($AB$1006:AF1006),$AB$1006:$AQ$1006,0)))),"Fix")))</f>
        <v>0</v>
      </c>
      <c r="G381" s="4">
        <f>IF(OR(INDEX($V$2:$V$1001,MATCH(ROWS($U$2:U381),$U$2:$U$1001,0),1)&gt;=100000,INDEX($AB$1005:$AQ$1005,1,MATCH(COLUMNS($AB$1006:AG1006),$AB$1006:$AQ$1006,0))&gt;=100000), " ",IF(INDEX($AB$2:$AQ$1001,MATCH(ROWS($U$2:U381),$U$2:$U$1001,0),MATCH(COLUMNS($AB$1006:AG1006),$AB$1006:$AQ$1006,0)), HYPERLINK("#",""), HYPERLINK(CONCATENATE("#metadata!", ADDRESS(INDEX($W$2:$W$1001,MATCH(ROWS($U$2:U381),$U$2:$U$1001,0),0), INDEX($AB$1004:$AQ$1004,1,MATCH(COLUMNS($AB$1006:AG1006),$AB$1006:$AQ$1006,0)))),"Fix")))</f>
        <v>0</v>
      </c>
      <c r="H381" s="4">
        <f>IF(OR(INDEX($V$2:$V$1001,MATCH(ROWS($U$2:U381),$U$2:$U$1001,0),1)&gt;=100000,INDEX($AB$1005:$AQ$1005,1,MATCH(COLUMNS($AB$1006:AH1006),$AB$1006:$AQ$1006,0))&gt;=100000), " ",IF(INDEX($AB$2:$AQ$1001,MATCH(ROWS($U$2:U381),$U$2:$U$1001,0),MATCH(COLUMNS($AB$1006:AH1006),$AB$1006:$AQ$1006,0)), HYPERLINK("#",""), HYPERLINK(CONCATENATE("#metadata!", ADDRESS(INDEX($W$2:$W$1001,MATCH(ROWS($U$2:U381),$U$2:$U$1001,0),0), INDEX($AB$1004:$AQ$1004,1,MATCH(COLUMNS($AB$1006:AH1006),$AB$1006:$AQ$1006,0)))),"Fix")))</f>
        <v>0</v>
      </c>
      <c r="I381" s="4">
        <f>IF(OR(INDEX($V$2:$V$1001,MATCH(ROWS($U$2:U381),$U$2:$U$1001,0),1)&gt;=100000,INDEX($AB$1005:$AQ$1005,1,MATCH(COLUMNS($AB$1006:AI1006),$AB$1006:$AQ$1006,0))&gt;=100000), " ",IF(INDEX($AB$2:$AQ$1001,MATCH(ROWS($U$2:U381),$U$2:$U$1001,0),MATCH(COLUMNS($AB$1006:AI1006),$AB$1006:$AQ$1006,0)), HYPERLINK("#",""), HYPERLINK(CONCATENATE("#metadata!", ADDRESS(INDEX($W$2:$W$1001,MATCH(ROWS($U$2:U381),$U$2:$U$1001,0),0), INDEX($AB$1004:$AQ$1004,1,MATCH(COLUMNS($AB$1006:AI1006),$AB$1006:$AQ$1006,0)))),"Fix")))</f>
        <v>0</v>
      </c>
      <c r="J381" s="4">
        <f>IF(OR(INDEX($V$2:$V$1001,MATCH(ROWS($U$2:U381),$U$2:$U$1001,0),1)&gt;=100000,INDEX($AB$1005:$AQ$1005,1,MATCH(COLUMNS($AB$1006:AJ1006),$AB$1006:$AQ$1006,0))&gt;=100000), " ",IF(INDEX($AB$2:$AQ$1001,MATCH(ROWS($U$2:U381),$U$2:$U$1001,0),MATCH(COLUMNS($AB$1006:AJ1006),$AB$1006:$AQ$1006,0)), HYPERLINK("#",""), HYPERLINK(CONCATENATE("#metadata!", ADDRESS(INDEX($W$2:$W$1001,MATCH(ROWS($U$2:U381),$U$2:$U$1001,0),0), INDEX($AB$1004:$AQ$1004,1,MATCH(COLUMNS($AB$1006:AJ1006),$AB$1006:$AQ$1006,0)))),"Fix")))</f>
        <v>0</v>
      </c>
      <c r="K381" s="4">
        <f>IF(OR(INDEX($V$2:$V$1001,MATCH(ROWS($U$2:U381),$U$2:$U$1001,0),1)&gt;=100000,INDEX($AB$1005:$AQ$1005,1,MATCH(COLUMNS($AB$1006:AK1006),$AB$1006:$AQ$1006,0))&gt;=100000), " ",IF(INDEX($AB$2:$AQ$1001,MATCH(ROWS($U$2:U381),$U$2:$U$1001,0),MATCH(COLUMNS($AB$1006:AK1006),$AB$1006:$AQ$1006,0)), HYPERLINK("#",""), HYPERLINK(CONCATENATE("#metadata!", ADDRESS(INDEX($W$2:$W$1001,MATCH(ROWS($U$2:U381),$U$2:$U$1001,0),0), INDEX($AB$1004:$AQ$1004,1,MATCH(COLUMNS($AB$1006:AK1006),$AB$1006:$AQ$1006,0)))),"Fix")))</f>
        <v>0</v>
      </c>
      <c r="L381" s="4">
        <f>IF(OR(INDEX($V$2:$V$1001,MATCH(ROWS($U$2:U381),$U$2:$U$1001,0),1)&gt;=100000,INDEX($AB$1005:$AQ$1005,1,MATCH(COLUMNS($AB$1006:AL1006),$AB$1006:$AQ$1006,0))&gt;=100000), " ",IF(INDEX($AB$2:$AQ$1001,MATCH(ROWS($U$2:U381),$U$2:$U$1001,0),MATCH(COLUMNS($AB$1006:AL1006),$AB$1006:$AQ$1006,0)), HYPERLINK("#",""), HYPERLINK(CONCATENATE("#metadata!", ADDRESS(INDEX($W$2:$W$1001,MATCH(ROWS($U$2:U381),$U$2:$U$1001,0),0), INDEX($AB$1004:$AQ$1004,1,MATCH(COLUMNS($AB$1006:AL1006),$AB$1006:$AQ$1006,0)))),"Fix")))</f>
        <v>0</v>
      </c>
      <c r="M381" s="4">
        <f>IF(OR(INDEX($V$2:$V$1001,MATCH(ROWS($U$2:U381),$U$2:$U$1001,0),1)&gt;=100000,INDEX($AB$1005:$AQ$1005,1,MATCH(COLUMNS($AB$1006:AM1006),$AB$1006:$AQ$1006,0))&gt;=100000), " ",IF(INDEX($AB$2:$AQ$1001,MATCH(ROWS($U$2:U381),$U$2:$U$1001,0),MATCH(COLUMNS($AB$1006:AM1006),$AB$1006:$AQ$1006,0)), HYPERLINK("#",""), HYPERLINK(CONCATENATE("#metadata!", ADDRESS(INDEX($W$2:$W$1001,MATCH(ROWS($U$2:U381),$U$2:$U$1001,0),0), INDEX($AB$1004:$AQ$1004,1,MATCH(COLUMNS($AB$1006:AM1006),$AB$1006:$AQ$1006,0)))),"Fix")))</f>
        <v>0</v>
      </c>
      <c r="N381" s="4">
        <f>IF(OR(INDEX($V$2:$V$1001,MATCH(ROWS($U$2:U381),$U$2:$U$1001,0),1)&gt;=100000,INDEX($AB$1005:$AQ$1005,1,MATCH(COLUMNS($AB$1006:AN1006),$AB$1006:$AQ$1006,0))&gt;=100000), " ",IF(INDEX($AB$2:$AQ$1001,MATCH(ROWS($U$2:U381),$U$2:$U$1001,0),MATCH(COLUMNS($AB$1006:AN1006),$AB$1006:$AQ$1006,0)), HYPERLINK("#",""), HYPERLINK(CONCATENATE("#metadata!", ADDRESS(INDEX($W$2:$W$1001,MATCH(ROWS($U$2:U381),$U$2:$U$1001,0),0), INDEX($AB$1004:$AQ$1004,1,MATCH(COLUMNS($AB$1006:AN1006),$AB$1006:$AQ$1006,0)))),"Fix")))</f>
        <v>0</v>
      </c>
      <c r="O381" s="4">
        <f>IF(OR(INDEX($V$2:$V$1001,MATCH(ROWS($U$2:U381),$U$2:$U$1001,0),1)&gt;=100000,INDEX($AB$1005:$AQ$1005,1,MATCH(COLUMNS($AB$1006:AO1006),$AB$1006:$AQ$1006,0))&gt;=100000), " ",IF(INDEX($AB$2:$AQ$1001,MATCH(ROWS($U$2:U381),$U$2:$U$1001,0),MATCH(COLUMNS($AB$1006:AO1006),$AB$1006:$AQ$1006,0)), HYPERLINK("#",""), HYPERLINK(CONCATENATE("#metadata!", ADDRESS(INDEX($W$2:$W$1001,MATCH(ROWS($U$2:U381),$U$2:$U$1001,0),0), INDEX($AB$1004:$AQ$1004,1,MATCH(COLUMNS($AB$1006:AO1006),$AB$1006:$AQ$1006,0)))),"Fix")))</f>
        <v>0</v>
      </c>
      <c r="P381" s="4">
        <f>IF(OR(INDEX($V$2:$V$1001,MATCH(ROWS($U$2:U381),$U$2:$U$1001,0),1)&gt;=100000,INDEX($AB$1005:$AQ$1005,1,MATCH(COLUMNS($AB$1006:AP1006),$AB$1006:$AQ$1006,0))&gt;=100000), " ",IF(INDEX($AB$2:$AQ$1001,MATCH(ROWS($U$2:U381),$U$2:$U$1001,0),MATCH(COLUMNS($AB$1006:AP1006),$AB$1006:$AQ$1006,0)), HYPERLINK("#",""), HYPERLINK(CONCATENATE("#metadata!", ADDRESS(INDEX($W$2:$W$1001,MATCH(ROWS($U$2:U381),$U$2:$U$1001,0),0), INDEX($AB$1004:$AQ$1004,1,MATCH(COLUMNS($AB$1006:AP1006),$AB$1006:$AQ$1006,0)))),"Fix")))</f>
        <v>0</v>
      </c>
      <c r="Q381" s="4">
        <f>IF(OR(INDEX($V$2:$V$1001,MATCH(ROWS($U$2:U381),$U$2:$U$1001,0),1)&gt;=100000,INDEX($AB$1005:$AQ$1005,1,MATCH(COLUMNS($AB$1006:AQ1006),$AB$1006:$AQ$1006,0))&gt;=100000), " ",IF(INDEX($AB$2:$AQ$1001,MATCH(ROWS($U$2:U381),$U$2:$U$1001,0),MATCH(COLUMNS($AB$1006:AQ1006),$AB$1006:$AQ$1006,0)), HYPERLINK("#",""), HYPERLINK(CONCATENATE("#metadata!", ADDRESS(INDEX($W$2:$W$1001,MATCH(ROWS($U$2:U381),$U$2:$U$1001,0),0), INDEX($AB$1004:$AQ$1004,1,MATCH(COLUMNS($AB$1006:AQ1006),$AB$1006:$AQ$1006,0)))),"Fix")))</f>
        <v>0</v>
      </c>
      <c r="U381">
        <v>0</v>
      </c>
      <c r="V381">
        <v>0</v>
      </c>
      <c r="W381">
        <v>0</v>
      </c>
      <c r="X381">
        <f>IF(Y381,TRUE,AND(AB381:AQ381))</f>
        <v>0</v>
      </c>
      <c r="Y381">
        <f>COUNTBLANK(metadata!B381:Q381)=COLUMNS(metadata!B381:Q381)</f>
        <v>0</v>
      </c>
      <c r="Z381">
        <v>0</v>
      </c>
      <c r="AB381">
        <f>AND(IF(metadata!B381="",FALSE,TRUE),COUNTIF(metadata!B:B, metadata!B381) = 1,NOT(ISERROR(SUMPRODUCT(SEARCH(MID(metadata!B381,ROW(INDIRECT("1:"&amp;LEN(metadata!B381))), 1),"0123456789abcdefghijklmnopqrstuvwxyzABCDEFGHIJKLMNOPQRSTUVWXYZ.")))))</f>
        <v>0</v>
      </c>
      <c r="AC381">
        <f>OR(AND(IF(metadata!C381="",FALSE,TRUE),OR(exact(metadata!C381,"missing: not collected"),exact(metadata!C381,"missing: not provided"),exact(metadata!C381,"missing: restricted access"))),AND(IF(metadata!C381="",FALSE,TRUE),AND(AND(IFERROR(INT(LEFT(metadata!C381,4))&gt;1900,FALSE),IFERROR(INT(LEFT(metadata!C381,4))&lt;=YEAR(NOW()),FALSE)), OR(MID(metadata!C381,5,1)="", AND(AND(MID(metadata!C381,5,1)="-",IFERROR(INT(MID(metadata!C381,6,1))&gt;=0,FALSE),IFERROR(INT(MID(metadata!C381,6,1))&lt;=1,FALSE),NOT(MID(metadata!C381,7,1)=""),IFERROR(INT(MID(metadata!C381,6,2))&gt;=1,FALSE),IFERROR(INT(MID(metadata!C381,6,2))&lt;=12,FALSE)), OR(MID(metadata!C381,8,1)="", AND(AND(MID(metadata!C381,8,1)="-",IFERROR(INT(MID(metadata!C381,9,1))&gt;=0,FALSE),IFERROR(INT(MID(metadata!C381,9,1))&lt;=3,FALSE),NOT(MID(metadata!C381,10,1)=""),IFERROR(INT(MID(metadata!C381,9,2))&gt;=1,FALSE),IFERROR(INT(MID(metadata!C381,9,2))&lt;=31,FALSE)), OR(MID(metadata!C381,11,1)="", AND(AND(MID(metadata!C381,11,1)=" ",IFERROR(INT(MID(metadata!C381,12,1))&gt;=0,FALSE),IFERROR(INT(MID(metadata!C381,12,1))&lt;=2,FALSE),NOT(MID(metadata!C381,13,1)=""),IFERROR(INT(MID(metadata!C381,12,2))&gt;=0,FALSE),IFERROR(INT(MID(metadata!C381,12,2))&lt;=23,FALSE)), OR(MID(metadata!C381,14,1)="", AND(AND(MID(metadata!C381,14,1)=":",IFERROR(INT(MID(metadata!C381,15,1))&gt;=0,FALSE),IFERROR(INT(MID(metadata!C381,15,1))&lt;=5,FALSE),NOT(MID(metadata!C381,16,1)=""),IFERROR(INT(MID(metadata!C381,15,2))&gt;=0,FALSE),IFERROR(INT(MID(metadata!C381,15,2))&lt;=59,FALSE)), OR(MID(metadata!C381,17,1)="", AND(AND(MID(metadata!C381,17,1)=":",IFERROR(INT(MID(metadata!C381,18,1))&gt;=0,FALSE),IFERROR(INT(MID(metadata!C381,18,1))&lt;=5,FALSE),NOT(MID(metadata!C381,19,1)=""),IFERROR(INT(MID(metadata!C381,18,2))&gt;=0,FALSE),IFERROR(INT(MID(metadata!C381,18,2))&lt;=59,FALSE)), LEN(metadata!C381)&lt;=19)))))))))))))</f>
        <v>0</v>
      </c>
      <c r="AD381">
        <f>IF(metadata!D381="",FALSE,TRUE)</f>
        <v>0</v>
      </c>
      <c r="AE381">
        <f>OR(AND(IF(metadata!E381="",FALSE,TRUE),OR(exact(metadata!E381,"missing: not collected"),exact(metadata!E381,"missing: not provided"))),AND(IF(metadata!E381="",FALSE,TRUE),OR(exact(metadata!E381,"TRUE"),exact(metadata!E381,"FALSE"))))</f>
        <v>0</v>
      </c>
      <c r="AF381">
        <f>IF(metadata!F381="",FALSE,TRUE)</f>
        <v>0</v>
      </c>
      <c r="AG381">
        <f>IF(metadata!G381="",FALSE,TRUE)</f>
        <v>0</v>
      </c>
      <c r="AH381">
        <f>IF(metadata!H381="",FALSE,TRUE)</f>
        <v>0</v>
      </c>
      <c r="AI381">
        <f>OR(AND(IF(metadata!I381="",FALSE,TRUE),OR(exact(metadata!I381,"missing: not collected"),exact(metadata!I381,"missing: not provided"),exact(metadata!I381,"missing: restricted access"))),AND(IF(metadata!I381="",FALSE,TRUE),OR(exact(metadata!I381,"air"),exact(metadata!I381,"built environment"),exact(metadata!I381,"host-associated"),exact(metadata!I381,"human-associated"),exact(metadata!I381,"human-skin"),exact(metadata!I381,"human-oral"),exact(metadata!I381,"human-gut"),exact(metadata!I381,"human-vaginal"),exact(metadata!I381,"microbial mat/biofilm"),exact(metadata!I381,"misc environment"),exact(metadata!I381,"plant-associated"),exact(metadata!I381,"sediment"),exact(metadata!I381,"soil"),exact(metadata!I381,"wastewater/sludge"),exact(metadata!I381,"water"))))</f>
        <v>0</v>
      </c>
      <c r="AJ381">
        <f>IF(metadata!J381="",FALSE,TRUE)</f>
        <v>0</v>
      </c>
      <c r="AK381">
        <f>OR(AND(IF(metadata!K381="",FALSE,TRUE),OR(exact(metadata!K381,"missing: not collected"),exact(metadata!K381,"missing: not provided"),exact(metadata!K381,"missing: restricted access"))),AND(IF(metadata!K381="",FALSE,ISNUMBER(VALUE(metadata!K381))),metadata!K381&gt;=-90.00,metadata!K381&lt;=90.00))</f>
        <v>0</v>
      </c>
      <c r="AL381">
        <f>OR(AND(IF(metadata!L381="",FALSE,TRUE),OR(exact(metadata!L381,"missing: not collected"),exact(metadata!L381,"missing: not provided"),exact(metadata!L381,"missing: restricted access"))),AND(IF(metadata!L381="",FALSE,ISNUMBER(VALUE(metadata!L381))),metadata!L381&gt;=-180.00,metadata!L381&lt;=180.00))</f>
        <v>0</v>
      </c>
      <c r="AM381">
        <f>IF(metadata!M381="",FALSE,TRUE)</f>
        <v>0</v>
      </c>
      <c r="AN381">
        <f>OR(AND(IF(metadata!N381="",FALSE,TRUE),OR(exact(metadata!N381,"missing: not collected"),exact(metadata!N381,"missing: not provided"),exact(metadata!N381,"missing: restricted access"))),AND(IF(metadata!N381="",FALSE,TRUE),OR(exact(metadata!N381,"TRUE"),exact(metadata!N381,"FALSE"))))</f>
        <v>0</v>
      </c>
      <c r="AO381">
        <f>IF(metadata!O381="",FALSE,TRUE)</f>
        <v>0</v>
      </c>
      <c r="AP381">
        <f>OR(AND(IF(metadata!P381="",FALSE,TRUE),OR(exact(metadata!P381,"missing: not collected"),exact(metadata!P381,"missing: not provided"))),AND(IF(metadata!P381="",FALSE,IF(ISERROR(INT(metadata!P381)),FALSE,INT(metadata!P381)=metadata!P381)),metadata!P381&gt;0))</f>
        <v>0</v>
      </c>
      <c r="AQ381">
        <f>IF(metadata!Q381="",FALSE,TRUE)</f>
        <v>0</v>
      </c>
    </row>
    <row r="382" spans="1:43">
      <c r="A382" s="5">
        <f>IF(B382=" "," ",HYPERLINK(CONCATENATE("#metadata!",ADDRESS(INDEX($W$2:$W$1001,MATCH(ROWS($U$2:U382),$U$2:$U$1001,0),0),1)),INDEX($Z$2:$Z$1001,MATCH(ROWS($U$2:U382),$U$2:$U$1001,0),0)))</f>
        <v>0</v>
      </c>
      <c r="B382" s="4">
        <f>IF(OR(INDEX($V$2:$V$1001,MATCH(ROWS($U$2:U382),$U$2:$U$1001,0),1)&gt;=100000,INDEX($AB$1005:$AQ$1005,1,MATCH(COLUMNS($AB$1006:AB1006),$AB$1006:$AQ$1006,0))&gt;=100000), " ",IF(INDEX($AB$2:$AQ$1001,MATCH(ROWS($U$2:U382),$U$2:$U$1001,0),MATCH(COLUMNS($AB$1006:AB1006),$AB$1006:$AQ$1006,0)), HYPERLINK("#",""), HYPERLINK(CONCATENATE("#metadata!", ADDRESS(INDEX($W$2:$W$1001,MATCH(ROWS($U$2:U382),$U$2:$U$1001,0),0), INDEX($AB$1004:$AQ$1004,1,MATCH(COLUMNS($AB$1006:AB1006),$AB$1006:$AQ$1006,0)))),"Fix")))</f>
        <v>0</v>
      </c>
      <c r="C382" s="4">
        <f>IF(OR(INDEX($V$2:$V$1001,MATCH(ROWS($U$2:U382),$U$2:$U$1001,0),1)&gt;=100000,INDEX($AB$1005:$AQ$1005,1,MATCH(COLUMNS($AB$1006:AC1006),$AB$1006:$AQ$1006,0))&gt;=100000), " ",IF(INDEX($AB$2:$AQ$1001,MATCH(ROWS($U$2:U382),$U$2:$U$1001,0),MATCH(COLUMNS($AB$1006:AC1006),$AB$1006:$AQ$1006,0)), HYPERLINK("#",""), HYPERLINK(CONCATENATE("#metadata!", ADDRESS(INDEX($W$2:$W$1001,MATCH(ROWS($U$2:U382),$U$2:$U$1001,0),0), INDEX($AB$1004:$AQ$1004,1,MATCH(COLUMNS($AB$1006:AC1006),$AB$1006:$AQ$1006,0)))),"Fix")))</f>
        <v>0</v>
      </c>
      <c r="D382" s="4">
        <f>IF(OR(INDEX($V$2:$V$1001,MATCH(ROWS($U$2:U382),$U$2:$U$1001,0),1)&gt;=100000,INDEX($AB$1005:$AQ$1005,1,MATCH(COLUMNS($AB$1006:AD1006),$AB$1006:$AQ$1006,0))&gt;=100000), " ",IF(INDEX($AB$2:$AQ$1001,MATCH(ROWS($U$2:U382),$U$2:$U$1001,0),MATCH(COLUMNS($AB$1006:AD1006),$AB$1006:$AQ$1006,0)), HYPERLINK("#",""), HYPERLINK(CONCATENATE("#metadata!", ADDRESS(INDEX($W$2:$W$1001,MATCH(ROWS($U$2:U382),$U$2:$U$1001,0),0), INDEX($AB$1004:$AQ$1004,1,MATCH(COLUMNS($AB$1006:AD1006),$AB$1006:$AQ$1006,0)))),"Fix")))</f>
        <v>0</v>
      </c>
      <c r="E382" s="4">
        <f>IF(OR(INDEX($V$2:$V$1001,MATCH(ROWS($U$2:U382),$U$2:$U$1001,0),1)&gt;=100000,INDEX($AB$1005:$AQ$1005,1,MATCH(COLUMNS($AB$1006:AE1006),$AB$1006:$AQ$1006,0))&gt;=100000), " ",IF(INDEX($AB$2:$AQ$1001,MATCH(ROWS($U$2:U382),$U$2:$U$1001,0),MATCH(COLUMNS($AB$1006:AE1006),$AB$1006:$AQ$1006,0)), HYPERLINK("#",""), HYPERLINK(CONCATENATE("#metadata!", ADDRESS(INDEX($W$2:$W$1001,MATCH(ROWS($U$2:U382),$U$2:$U$1001,0),0), INDEX($AB$1004:$AQ$1004,1,MATCH(COLUMNS($AB$1006:AE1006),$AB$1006:$AQ$1006,0)))),"Fix")))</f>
        <v>0</v>
      </c>
      <c r="F382" s="4">
        <f>IF(OR(INDEX($V$2:$V$1001,MATCH(ROWS($U$2:U382),$U$2:$U$1001,0),1)&gt;=100000,INDEX($AB$1005:$AQ$1005,1,MATCH(COLUMNS($AB$1006:AF1006),$AB$1006:$AQ$1006,0))&gt;=100000), " ",IF(INDEX($AB$2:$AQ$1001,MATCH(ROWS($U$2:U382),$U$2:$U$1001,0),MATCH(COLUMNS($AB$1006:AF1006),$AB$1006:$AQ$1006,0)), HYPERLINK("#",""), HYPERLINK(CONCATENATE("#metadata!", ADDRESS(INDEX($W$2:$W$1001,MATCH(ROWS($U$2:U382),$U$2:$U$1001,0),0), INDEX($AB$1004:$AQ$1004,1,MATCH(COLUMNS($AB$1006:AF1006),$AB$1006:$AQ$1006,0)))),"Fix")))</f>
        <v>0</v>
      </c>
      <c r="G382" s="4">
        <f>IF(OR(INDEX($V$2:$V$1001,MATCH(ROWS($U$2:U382),$U$2:$U$1001,0),1)&gt;=100000,INDEX($AB$1005:$AQ$1005,1,MATCH(COLUMNS($AB$1006:AG1006),$AB$1006:$AQ$1006,0))&gt;=100000), " ",IF(INDEX($AB$2:$AQ$1001,MATCH(ROWS($U$2:U382),$U$2:$U$1001,0),MATCH(COLUMNS($AB$1006:AG1006),$AB$1006:$AQ$1006,0)), HYPERLINK("#",""), HYPERLINK(CONCATENATE("#metadata!", ADDRESS(INDEX($W$2:$W$1001,MATCH(ROWS($U$2:U382),$U$2:$U$1001,0),0), INDEX($AB$1004:$AQ$1004,1,MATCH(COLUMNS($AB$1006:AG1006),$AB$1006:$AQ$1006,0)))),"Fix")))</f>
        <v>0</v>
      </c>
      <c r="H382" s="4">
        <f>IF(OR(INDEX($V$2:$V$1001,MATCH(ROWS($U$2:U382),$U$2:$U$1001,0),1)&gt;=100000,INDEX($AB$1005:$AQ$1005,1,MATCH(COLUMNS($AB$1006:AH1006),$AB$1006:$AQ$1006,0))&gt;=100000), " ",IF(INDEX($AB$2:$AQ$1001,MATCH(ROWS($U$2:U382),$U$2:$U$1001,0),MATCH(COLUMNS($AB$1006:AH1006),$AB$1006:$AQ$1006,0)), HYPERLINK("#",""), HYPERLINK(CONCATENATE("#metadata!", ADDRESS(INDEX($W$2:$W$1001,MATCH(ROWS($U$2:U382),$U$2:$U$1001,0),0), INDEX($AB$1004:$AQ$1004,1,MATCH(COLUMNS($AB$1006:AH1006),$AB$1006:$AQ$1006,0)))),"Fix")))</f>
        <v>0</v>
      </c>
      <c r="I382" s="4">
        <f>IF(OR(INDEX($V$2:$V$1001,MATCH(ROWS($U$2:U382),$U$2:$U$1001,0),1)&gt;=100000,INDEX($AB$1005:$AQ$1005,1,MATCH(COLUMNS($AB$1006:AI1006),$AB$1006:$AQ$1006,0))&gt;=100000), " ",IF(INDEX($AB$2:$AQ$1001,MATCH(ROWS($U$2:U382),$U$2:$U$1001,0),MATCH(COLUMNS($AB$1006:AI1006),$AB$1006:$AQ$1006,0)), HYPERLINK("#",""), HYPERLINK(CONCATENATE("#metadata!", ADDRESS(INDEX($W$2:$W$1001,MATCH(ROWS($U$2:U382),$U$2:$U$1001,0),0), INDEX($AB$1004:$AQ$1004,1,MATCH(COLUMNS($AB$1006:AI1006),$AB$1006:$AQ$1006,0)))),"Fix")))</f>
        <v>0</v>
      </c>
      <c r="J382" s="4">
        <f>IF(OR(INDEX($V$2:$V$1001,MATCH(ROWS($U$2:U382),$U$2:$U$1001,0),1)&gt;=100000,INDEX($AB$1005:$AQ$1005,1,MATCH(COLUMNS($AB$1006:AJ1006),$AB$1006:$AQ$1006,0))&gt;=100000), " ",IF(INDEX($AB$2:$AQ$1001,MATCH(ROWS($U$2:U382),$U$2:$U$1001,0),MATCH(COLUMNS($AB$1006:AJ1006),$AB$1006:$AQ$1006,0)), HYPERLINK("#",""), HYPERLINK(CONCATENATE("#metadata!", ADDRESS(INDEX($W$2:$W$1001,MATCH(ROWS($U$2:U382),$U$2:$U$1001,0),0), INDEX($AB$1004:$AQ$1004,1,MATCH(COLUMNS($AB$1006:AJ1006),$AB$1006:$AQ$1006,0)))),"Fix")))</f>
        <v>0</v>
      </c>
      <c r="K382" s="4">
        <f>IF(OR(INDEX($V$2:$V$1001,MATCH(ROWS($U$2:U382),$U$2:$U$1001,0),1)&gt;=100000,INDEX($AB$1005:$AQ$1005,1,MATCH(COLUMNS($AB$1006:AK1006),$AB$1006:$AQ$1006,0))&gt;=100000), " ",IF(INDEX($AB$2:$AQ$1001,MATCH(ROWS($U$2:U382),$U$2:$U$1001,0),MATCH(COLUMNS($AB$1006:AK1006),$AB$1006:$AQ$1006,0)), HYPERLINK("#",""), HYPERLINK(CONCATENATE("#metadata!", ADDRESS(INDEX($W$2:$W$1001,MATCH(ROWS($U$2:U382),$U$2:$U$1001,0),0), INDEX($AB$1004:$AQ$1004,1,MATCH(COLUMNS($AB$1006:AK1006),$AB$1006:$AQ$1006,0)))),"Fix")))</f>
        <v>0</v>
      </c>
      <c r="L382" s="4">
        <f>IF(OR(INDEX($V$2:$V$1001,MATCH(ROWS($U$2:U382),$U$2:$U$1001,0),1)&gt;=100000,INDEX($AB$1005:$AQ$1005,1,MATCH(COLUMNS($AB$1006:AL1006),$AB$1006:$AQ$1006,0))&gt;=100000), " ",IF(INDEX($AB$2:$AQ$1001,MATCH(ROWS($U$2:U382),$U$2:$U$1001,0),MATCH(COLUMNS($AB$1006:AL1006),$AB$1006:$AQ$1006,0)), HYPERLINK("#",""), HYPERLINK(CONCATENATE("#metadata!", ADDRESS(INDEX($W$2:$W$1001,MATCH(ROWS($U$2:U382),$U$2:$U$1001,0),0), INDEX($AB$1004:$AQ$1004,1,MATCH(COLUMNS($AB$1006:AL1006),$AB$1006:$AQ$1006,0)))),"Fix")))</f>
        <v>0</v>
      </c>
      <c r="M382" s="4">
        <f>IF(OR(INDEX($V$2:$V$1001,MATCH(ROWS($U$2:U382),$U$2:$U$1001,0),1)&gt;=100000,INDEX($AB$1005:$AQ$1005,1,MATCH(COLUMNS($AB$1006:AM1006),$AB$1006:$AQ$1006,0))&gt;=100000), " ",IF(INDEX($AB$2:$AQ$1001,MATCH(ROWS($U$2:U382),$U$2:$U$1001,0),MATCH(COLUMNS($AB$1006:AM1006),$AB$1006:$AQ$1006,0)), HYPERLINK("#",""), HYPERLINK(CONCATENATE("#metadata!", ADDRESS(INDEX($W$2:$W$1001,MATCH(ROWS($U$2:U382),$U$2:$U$1001,0),0), INDEX($AB$1004:$AQ$1004,1,MATCH(COLUMNS($AB$1006:AM1006),$AB$1006:$AQ$1006,0)))),"Fix")))</f>
        <v>0</v>
      </c>
      <c r="N382" s="4">
        <f>IF(OR(INDEX($V$2:$V$1001,MATCH(ROWS($U$2:U382),$U$2:$U$1001,0),1)&gt;=100000,INDEX($AB$1005:$AQ$1005,1,MATCH(COLUMNS($AB$1006:AN1006),$AB$1006:$AQ$1006,0))&gt;=100000), " ",IF(INDEX($AB$2:$AQ$1001,MATCH(ROWS($U$2:U382),$U$2:$U$1001,0),MATCH(COLUMNS($AB$1006:AN1006),$AB$1006:$AQ$1006,0)), HYPERLINK("#",""), HYPERLINK(CONCATENATE("#metadata!", ADDRESS(INDEX($W$2:$W$1001,MATCH(ROWS($U$2:U382),$U$2:$U$1001,0),0), INDEX($AB$1004:$AQ$1004,1,MATCH(COLUMNS($AB$1006:AN1006),$AB$1006:$AQ$1006,0)))),"Fix")))</f>
        <v>0</v>
      </c>
      <c r="O382" s="4">
        <f>IF(OR(INDEX($V$2:$V$1001,MATCH(ROWS($U$2:U382),$U$2:$U$1001,0),1)&gt;=100000,INDEX($AB$1005:$AQ$1005,1,MATCH(COLUMNS($AB$1006:AO1006),$AB$1006:$AQ$1006,0))&gt;=100000), " ",IF(INDEX($AB$2:$AQ$1001,MATCH(ROWS($U$2:U382),$U$2:$U$1001,0),MATCH(COLUMNS($AB$1006:AO1006),$AB$1006:$AQ$1006,0)), HYPERLINK("#",""), HYPERLINK(CONCATENATE("#metadata!", ADDRESS(INDEX($W$2:$W$1001,MATCH(ROWS($U$2:U382),$U$2:$U$1001,0),0), INDEX($AB$1004:$AQ$1004,1,MATCH(COLUMNS($AB$1006:AO1006),$AB$1006:$AQ$1006,0)))),"Fix")))</f>
        <v>0</v>
      </c>
      <c r="P382" s="4">
        <f>IF(OR(INDEX($V$2:$V$1001,MATCH(ROWS($U$2:U382),$U$2:$U$1001,0),1)&gt;=100000,INDEX($AB$1005:$AQ$1005,1,MATCH(COLUMNS($AB$1006:AP1006),$AB$1006:$AQ$1006,0))&gt;=100000), " ",IF(INDEX($AB$2:$AQ$1001,MATCH(ROWS($U$2:U382),$U$2:$U$1001,0),MATCH(COLUMNS($AB$1006:AP1006),$AB$1006:$AQ$1006,0)), HYPERLINK("#",""), HYPERLINK(CONCATENATE("#metadata!", ADDRESS(INDEX($W$2:$W$1001,MATCH(ROWS($U$2:U382),$U$2:$U$1001,0),0), INDEX($AB$1004:$AQ$1004,1,MATCH(COLUMNS($AB$1006:AP1006),$AB$1006:$AQ$1006,0)))),"Fix")))</f>
        <v>0</v>
      </c>
      <c r="Q382" s="4">
        <f>IF(OR(INDEX($V$2:$V$1001,MATCH(ROWS($U$2:U382),$U$2:$U$1001,0),1)&gt;=100000,INDEX($AB$1005:$AQ$1005,1,MATCH(COLUMNS($AB$1006:AQ1006),$AB$1006:$AQ$1006,0))&gt;=100000), " ",IF(INDEX($AB$2:$AQ$1001,MATCH(ROWS($U$2:U382),$U$2:$U$1001,0),MATCH(COLUMNS($AB$1006:AQ1006),$AB$1006:$AQ$1006,0)), HYPERLINK("#",""), HYPERLINK(CONCATENATE("#metadata!", ADDRESS(INDEX($W$2:$W$1001,MATCH(ROWS($U$2:U382),$U$2:$U$1001,0),0), INDEX($AB$1004:$AQ$1004,1,MATCH(COLUMNS($AB$1006:AQ1006),$AB$1006:$AQ$1006,0)))),"Fix")))</f>
        <v>0</v>
      </c>
      <c r="U382">
        <v>0</v>
      </c>
      <c r="V382">
        <v>0</v>
      </c>
      <c r="W382">
        <v>0</v>
      </c>
      <c r="X382">
        <f>IF(Y382,TRUE,AND(AB382:AQ382))</f>
        <v>0</v>
      </c>
      <c r="Y382">
        <f>COUNTBLANK(metadata!B382:Q382)=COLUMNS(metadata!B382:Q382)</f>
        <v>0</v>
      </c>
      <c r="Z382">
        <v>0</v>
      </c>
      <c r="AB382">
        <f>AND(IF(metadata!B382="",FALSE,TRUE),COUNTIF(metadata!B:B, metadata!B382) = 1,NOT(ISERROR(SUMPRODUCT(SEARCH(MID(metadata!B382,ROW(INDIRECT("1:"&amp;LEN(metadata!B382))), 1),"0123456789abcdefghijklmnopqrstuvwxyzABCDEFGHIJKLMNOPQRSTUVWXYZ.")))))</f>
        <v>0</v>
      </c>
      <c r="AC382">
        <f>OR(AND(IF(metadata!C382="",FALSE,TRUE),OR(exact(metadata!C382,"missing: not collected"),exact(metadata!C382,"missing: not provided"),exact(metadata!C382,"missing: restricted access"))),AND(IF(metadata!C382="",FALSE,TRUE),AND(AND(IFERROR(INT(LEFT(metadata!C382,4))&gt;1900,FALSE),IFERROR(INT(LEFT(metadata!C382,4))&lt;=YEAR(NOW()),FALSE)), OR(MID(metadata!C382,5,1)="", AND(AND(MID(metadata!C382,5,1)="-",IFERROR(INT(MID(metadata!C382,6,1))&gt;=0,FALSE),IFERROR(INT(MID(metadata!C382,6,1))&lt;=1,FALSE),NOT(MID(metadata!C382,7,1)=""),IFERROR(INT(MID(metadata!C382,6,2))&gt;=1,FALSE),IFERROR(INT(MID(metadata!C382,6,2))&lt;=12,FALSE)), OR(MID(metadata!C382,8,1)="", AND(AND(MID(metadata!C382,8,1)="-",IFERROR(INT(MID(metadata!C382,9,1))&gt;=0,FALSE),IFERROR(INT(MID(metadata!C382,9,1))&lt;=3,FALSE),NOT(MID(metadata!C382,10,1)=""),IFERROR(INT(MID(metadata!C382,9,2))&gt;=1,FALSE),IFERROR(INT(MID(metadata!C382,9,2))&lt;=31,FALSE)), OR(MID(metadata!C382,11,1)="", AND(AND(MID(metadata!C382,11,1)=" ",IFERROR(INT(MID(metadata!C382,12,1))&gt;=0,FALSE),IFERROR(INT(MID(metadata!C382,12,1))&lt;=2,FALSE),NOT(MID(metadata!C382,13,1)=""),IFERROR(INT(MID(metadata!C382,12,2))&gt;=0,FALSE),IFERROR(INT(MID(metadata!C382,12,2))&lt;=23,FALSE)), OR(MID(metadata!C382,14,1)="", AND(AND(MID(metadata!C382,14,1)=":",IFERROR(INT(MID(metadata!C382,15,1))&gt;=0,FALSE),IFERROR(INT(MID(metadata!C382,15,1))&lt;=5,FALSE),NOT(MID(metadata!C382,16,1)=""),IFERROR(INT(MID(metadata!C382,15,2))&gt;=0,FALSE),IFERROR(INT(MID(metadata!C382,15,2))&lt;=59,FALSE)), OR(MID(metadata!C382,17,1)="", AND(AND(MID(metadata!C382,17,1)=":",IFERROR(INT(MID(metadata!C382,18,1))&gt;=0,FALSE),IFERROR(INT(MID(metadata!C382,18,1))&lt;=5,FALSE),NOT(MID(metadata!C382,19,1)=""),IFERROR(INT(MID(metadata!C382,18,2))&gt;=0,FALSE),IFERROR(INT(MID(metadata!C382,18,2))&lt;=59,FALSE)), LEN(metadata!C382)&lt;=19)))))))))))))</f>
        <v>0</v>
      </c>
      <c r="AD382">
        <f>IF(metadata!D382="",FALSE,TRUE)</f>
        <v>0</v>
      </c>
      <c r="AE382">
        <f>OR(AND(IF(metadata!E382="",FALSE,TRUE),OR(exact(metadata!E382,"missing: not collected"),exact(metadata!E382,"missing: not provided"))),AND(IF(metadata!E382="",FALSE,TRUE),OR(exact(metadata!E382,"TRUE"),exact(metadata!E382,"FALSE"))))</f>
        <v>0</v>
      </c>
      <c r="AF382">
        <f>IF(metadata!F382="",FALSE,TRUE)</f>
        <v>0</v>
      </c>
      <c r="AG382">
        <f>IF(metadata!G382="",FALSE,TRUE)</f>
        <v>0</v>
      </c>
      <c r="AH382">
        <f>IF(metadata!H382="",FALSE,TRUE)</f>
        <v>0</v>
      </c>
      <c r="AI382">
        <f>OR(AND(IF(metadata!I382="",FALSE,TRUE),OR(exact(metadata!I382,"missing: not collected"),exact(metadata!I382,"missing: not provided"),exact(metadata!I382,"missing: restricted access"))),AND(IF(metadata!I382="",FALSE,TRUE),OR(exact(metadata!I382,"air"),exact(metadata!I382,"built environment"),exact(metadata!I382,"host-associated"),exact(metadata!I382,"human-associated"),exact(metadata!I382,"human-skin"),exact(metadata!I382,"human-oral"),exact(metadata!I382,"human-gut"),exact(metadata!I382,"human-vaginal"),exact(metadata!I382,"microbial mat/biofilm"),exact(metadata!I382,"misc environment"),exact(metadata!I382,"plant-associated"),exact(metadata!I382,"sediment"),exact(metadata!I382,"soil"),exact(metadata!I382,"wastewater/sludge"),exact(metadata!I382,"water"))))</f>
        <v>0</v>
      </c>
      <c r="AJ382">
        <f>IF(metadata!J382="",FALSE,TRUE)</f>
        <v>0</v>
      </c>
      <c r="AK382">
        <f>OR(AND(IF(metadata!K382="",FALSE,TRUE),OR(exact(metadata!K382,"missing: not collected"),exact(metadata!K382,"missing: not provided"),exact(metadata!K382,"missing: restricted access"))),AND(IF(metadata!K382="",FALSE,ISNUMBER(VALUE(metadata!K382))),metadata!K382&gt;=-90.00,metadata!K382&lt;=90.00))</f>
        <v>0</v>
      </c>
      <c r="AL382">
        <f>OR(AND(IF(metadata!L382="",FALSE,TRUE),OR(exact(metadata!L382,"missing: not collected"),exact(metadata!L382,"missing: not provided"),exact(metadata!L382,"missing: restricted access"))),AND(IF(metadata!L382="",FALSE,ISNUMBER(VALUE(metadata!L382))),metadata!L382&gt;=-180.00,metadata!L382&lt;=180.00))</f>
        <v>0</v>
      </c>
      <c r="AM382">
        <f>IF(metadata!M382="",FALSE,TRUE)</f>
        <v>0</v>
      </c>
      <c r="AN382">
        <f>OR(AND(IF(metadata!N382="",FALSE,TRUE),OR(exact(metadata!N382,"missing: not collected"),exact(metadata!N382,"missing: not provided"),exact(metadata!N382,"missing: restricted access"))),AND(IF(metadata!N382="",FALSE,TRUE),OR(exact(metadata!N382,"TRUE"),exact(metadata!N382,"FALSE"))))</f>
        <v>0</v>
      </c>
      <c r="AO382">
        <f>IF(metadata!O382="",FALSE,TRUE)</f>
        <v>0</v>
      </c>
      <c r="AP382">
        <f>OR(AND(IF(metadata!P382="",FALSE,TRUE),OR(exact(metadata!P382,"missing: not collected"),exact(metadata!P382,"missing: not provided"))),AND(IF(metadata!P382="",FALSE,IF(ISERROR(INT(metadata!P382)),FALSE,INT(metadata!P382)=metadata!P382)),metadata!P382&gt;0))</f>
        <v>0</v>
      </c>
      <c r="AQ382">
        <f>IF(metadata!Q382="",FALSE,TRUE)</f>
        <v>0</v>
      </c>
    </row>
    <row r="383" spans="1:43">
      <c r="A383" s="5">
        <f>IF(B383=" "," ",HYPERLINK(CONCATENATE("#metadata!",ADDRESS(INDEX($W$2:$W$1001,MATCH(ROWS($U$2:U383),$U$2:$U$1001,0),0),1)),INDEX($Z$2:$Z$1001,MATCH(ROWS($U$2:U383),$U$2:$U$1001,0),0)))</f>
        <v>0</v>
      </c>
      <c r="B383" s="4">
        <f>IF(OR(INDEX($V$2:$V$1001,MATCH(ROWS($U$2:U383),$U$2:$U$1001,0),1)&gt;=100000,INDEX($AB$1005:$AQ$1005,1,MATCH(COLUMNS($AB$1006:AB1006),$AB$1006:$AQ$1006,0))&gt;=100000), " ",IF(INDEX($AB$2:$AQ$1001,MATCH(ROWS($U$2:U383),$U$2:$U$1001,0),MATCH(COLUMNS($AB$1006:AB1006),$AB$1006:$AQ$1006,0)), HYPERLINK("#",""), HYPERLINK(CONCATENATE("#metadata!", ADDRESS(INDEX($W$2:$W$1001,MATCH(ROWS($U$2:U383),$U$2:$U$1001,0),0), INDEX($AB$1004:$AQ$1004,1,MATCH(COLUMNS($AB$1006:AB1006),$AB$1006:$AQ$1006,0)))),"Fix")))</f>
        <v>0</v>
      </c>
      <c r="C383" s="4">
        <f>IF(OR(INDEX($V$2:$V$1001,MATCH(ROWS($U$2:U383),$U$2:$U$1001,0),1)&gt;=100000,INDEX($AB$1005:$AQ$1005,1,MATCH(COLUMNS($AB$1006:AC1006),$AB$1006:$AQ$1006,0))&gt;=100000), " ",IF(INDEX($AB$2:$AQ$1001,MATCH(ROWS($U$2:U383),$U$2:$U$1001,0),MATCH(COLUMNS($AB$1006:AC1006),$AB$1006:$AQ$1006,0)), HYPERLINK("#",""), HYPERLINK(CONCATENATE("#metadata!", ADDRESS(INDEX($W$2:$W$1001,MATCH(ROWS($U$2:U383),$U$2:$U$1001,0),0), INDEX($AB$1004:$AQ$1004,1,MATCH(COLUMNS($AB$1006:AC1006),$AB$1006:$AQ$1006,0)))),"Fix")))</f>
        <v>0</v>
      </c>
      <c r="D383" s="4">
        <f>IF(OR(INDEX($V$2:$V$1001,MATCH(ROWS($U$2:U383),$U$2:$U$1001,0),1)&gt;=100000,INDEX($AB$1005:$AQ$1005,1,MATCH(COLUMNS($AB$1006:AD1006),$AB$1006:$AQ$1006,0))&gt;=100000), " ",IF(INDEX($AB$2:$AQ$1001,MATCH(ROWS($U$2:U383),$U$2:$U$1001,0),MATCH(COLUMNS($AB$1006:AD1006),$AB$1006:$AQ$1006,0)), HYPERLINK("#",""), HYPERLINK(CONCATENATE("#metadata!", ADDRESS(INDEX($W$2:$W$1001,MATCH(ROWS($U$2:U383),$U$2:$U$1001,0),0), INDEX($AB$1004:$AQ$1004,1,MATCH(COLUMNS($AB$1006:AD1006),$AB$1006:$AQ$1006,0)))),"Fix")))</f>
        <v>0</v>
      </c>
      <c r="E383" s="4">
        <f>IF(OR(INDEX($V$2:$V$1001,MATCH(ROWS($U$2:U383),$U$2:$U$1001,0),1)&gt;=100000,INDEX($AB$1005:$AQ$1005,1,MATCH(COLUMNS($AB$1006:AE1006),$AB$1006:$AQ$1006,0))&gt;=100000), " ",IF(INDEX($AB$2:$AQ$1001,MATCH(ROWS($U$2:U383),$U$2:$U$1001,0),MATCH(COLUMNS($AB$1006:AE1006),$AB$1006:$AQ$1006,0)), HYPERLINK("#",""), HYPERLINK(CONCATENATE("#metadata!", ADDRESS(INDEX($W$2:$W$1001,MATCH(ROWS($U$2:U383),$U$2:$U$1001,0),0), INDEX($AB$1004:$AQ$1004,1,MATCH(COLUMNS($AB$1006:AE1006),$AB$1006:$AQ$1006,0)))),"Fix")))</f>
        <v>0</v>
      </c>
      <c r="F383" s="4">
        <f>IF(OR(INDEX($V$2:$V$1001,MATCH(ROWS($U$2:U383),$U$2:$U$1001,0),1)&gt;=100000,INDEX($AB$1005:$AQ$1005,1,MATCH(COLUMNS($AB$1006:AF1006),$AB$1006:$AQ$1006,0))&gt;=100000), " ",IF(INDEX($AB$2:$AQ$1001,MATCH(ROWS($U$2:U383),$U$2:$U$1001,0),MATCH(COLUMNS($AB$1006:AF1006),$AB$1006:$AQ$1006,0)), HYPERLINK("#",""), HYPERLINK(CONCATENATE("#metadata!", ADDRESS(INDEX($W$2:$W$1001,MATCH(ROWS($U$2:U383),$U$2:$U$1001,0),0), INDEX($AB$1004:$AQ$1004,1,MATCH(COLUMNS($AB$1006:AF1006),$AB$1006:$AQ$1006,0)))),"Fix")))</f>
        <v>0</v>
      </c>
      <c r="G383" s="4">
        <f>IF(OR(INDEX($V$2:$V$1001,MATCH(ROWS($U$2:U383),$U$2:$U$1001,0),1)&gt;=100000,INDEX($AB$1005:$AQ$1005,1,MATCH(COLUMNS($AB$1006:AG1006),$AB$1006:$AQ$1006,0))&gt;=100000), " ",IF(INDEX($AB$2:$AQ$1001,MATCH(ROWS($U$2:U383),$U$2:$U$1001,0),MATCH(COLUMNS($AB$1006:AG1006),$AB$1006:$AQ$1006,0)), HYPERLINK("#",""), HYPERLINK(CONCATENATE("#metadata!", ADDRESS(INDEX($W$2:$W$1001,MATCH(ROWS($U$2:U383),$U$2:$U$1001,0),0), INDEX($AB$1004:$AQ$1004,1,MATCH(COLUMNS($AB$1006:AG1006),$AB$1006:$AQ$1006,0)))),"Fix")))</f>
        <v>0</v>
      </c>
      <c r="H383" s="4">
        <f>IF(OR(INDEX($V$2:$V$1001,MATCH(ROWS($U$2:U383),$U$2:$U$1001,0),1)&gt;=100000,INDEX($AB$1005:$AQ$1005,1,MATCH(COLUMNS($AB$1006:AH1006),$AB$1006:$AQ$1006,0))&gt;=100000), " ",IF(INDEX($AB$2:$AQ$1001,MATCH(ROWS($U$2:U383),$U$2:$U$1001,0),MATCH(COLUMNS($AB$1006:AH1006),$AB$1006:$AQ$1006,0)), HYPERLINK("#",""), HYPERLINK(CONCATENATE("#metadata!", ADDRESS(INDEX($W$2:$W$1001,MATCH(ROWS($U$2:U383),$U$2:$U$1001,0),0), INDEX($AB$1004:$AQ$1004,1,MATCH(COLUMNS($AB$1006:AH1006),$AB$1006:$AQ$1006,0)))),"Fix")))</f>
        <v>0</v>
      </c>
      <c r="I383" s="4">
        <f>IF(OR(INDEX($V$2:$V$1001,MATCH(ROWS($U$2:U383),$U$2:$U$1001,0),1)&gt;=100000,INDEX($AB$1005:$AQ$1005,1,MATCH(COLUMNS($AB$1006:AI1006),$AB$1006:$AQ$1006,0))&gt;=100000), " ",IF(INDEX($AB$2:$AQ$1001,MATCH(ROWS($U$2:U383),$U$2:$U$1001,0),MATCH(COLUMNS($AB$1006:AI1006),$AB$1006:$AQ$1006,0)), HYPERLINK("#",""), HYPERLINK(CONCATENATE("#metadata!", ADDRESS(INDEX($W$2:$W$1001,MATCH(ROWS($U$2:U383),$U$2:$U$1001,0),0), INDEX($AB$1004:$AQ$1004,1,MATCH(COLUMNS($AB$1006:AI1006),$AB$1006:$AQ$1006,0)))),"Fix")))</f>
        <v>0</v>
      </c>
      <c r="J383" s="4">
        <f>IF(OR(INDEX($V$2:$V$1001,MATCH(ROWS($U$2:U383),$U$2:$U$1001,0),1)&gt;=100000,INDEX($AB$1005:$AQ$1005,1,MATCH(COLUMNS($AB$1006:AJ1006),$AB$1006:$AQ$1006,0))&gt;=100000), " ",IF(INDEX($AB$2:$AQ$1001,MATCH(ROWS($U$2:U383),$U$2:$U$1001,0),MATCH(COLUMNS($AB$1006:AJ1006),$AB$1006:$AQ$1006,0)), HYPERLINK("#",""), HYPERLINK(CONCATENATE("#metadata!", ADDRESS(INDEX($W$2:$W$1001,MATCH(ROWS($U$2:U383),$U$2:$U$1001,0),0), INDEX($AB$1004:$AQ$1004,1,MATCH(COLUMNS($AB$1006:AJ1006),$AB$1006:$AQ$1006,0)))),"Fix")))</f>
        <v>0</v>
      </c>
      <c r="K383" s="4">
        <f>IF(OR(INDEX($V$2:$V$1001,MATCH(ROWS($U$2:U383),$U$2:$U$1001,0),1)&gt;=100000,INDEX($AB$1005:$AQ$1005,1,MATCH(COLUMNS($AB$1006:AK1006),$AB$1006:$AQ$1006,0))&gt;=100000), " ",IF(INDEX($AB$2:$AQ$1001,MATCH(ROWS($U$2:U383),$U$2:$U$1001,0),MATCH(COLUMNS($AB$1006:AK1006),$AB$1006:$AQ$1006,0)), HYPERLINK("#",""), HYPERLINK(CONCATENATE("#metadata!", ADDRESS(INDEX($W$2:$W$1001,MATCH(ROWS($U$2:U383),$U$2:$U$1001,0),0), INDEX($AB$1004:$AQ$1004,1,MATCH(COLUMNS($AB$1006:AK1006),$AB$1006:$AQ$1006,0)))),"Fix")))</f>
        <v>0</v>
      </c>
      <c r="L383" s="4">
        <f>IF(OR(INDEX($V$2:$V$1001,MATCH(ROWS($U$2:U383),$U$2:$U$1001,0),1)&gt;=100000,INDEX($AB$1005:$AQ$1005,1,MATCH(COLUMNS($AB$1006:AL1006),$AB$1006:$AQ$1006,0))&gt;=100000), " ",IF(INDEX($AB$2:$AQ$1001,MATCH(ROWS($U$2:U383),$U$2:$U$1001,0),MATCH(COLUMNS($AB$1006:AL1006),$AB$1006:$AQ$1006,0)), HYPERLINK("#",""), HYPERLINK(CONCATENATE("#metadata!", ADDRESS(INDEX($W$2:$W$1001,MATCH(ROWS($U$2:U383),$U$2:$U$1001,0),0), INDEX($AB$1004:$AQ$1004,1,MATCH(COLUMNS($AB$1006:AL1006),$AB$1006:$AQ$1006,0)))),"Fix")))</f>
        <v>0</v>
      </c>
      <c r="M383" s="4">
        <f>IF(OR(INDEX($V$2:$V$1001,MATCH(ROWS($U$2:U383),$U$2:$U$1001,0),1)&gt;=100000,INDEX($AB$1005:$AQ$1005,1,MATCH(COLUMNS($AB$1006:AM1006),$AB$1006:$AQ$1006,0))&gt;=100000), " ",IF(INDEX($AB$2:$AQ$1001,MATCH(ROWS($U$2:U383),$U$2:$U$1001,0),MATCH(COLUMNS($AB$1006:AM1006),$AB$1006:$AQ$1006,0)), HYPERLINK("#",""), HYPERLINK(CONCATENATE("#metadata!", ADDRESS(INDEX($W$2:$W$1001,MATCH(ROWS($U$2:U383),$U$2:$U$1001,0),0), INDEX($AB$1004:$AQ$1004,1,MATCH(COLUMNS($AB$1006:AM1006),$AB$1006:$AQ$1006,0)))),"Fix")))</f>
        <v>0</v>
      </c>
      <c r="N383" s="4">
        <f>IF(OR(INDEX($V$2:$V$1001,MATCH(ROWS($U$2:U383),$U$2:$U$1001,0),1)&gt;=100000,INDEX($AB$1005:$AQ$1005,1,MATCH(COLUMNS($AB$1006:AN1006),$AB$1006:$AQ$1006,0))&gt;=100000), " ",IF(INDEX($AB$2:$AQ$1001,MATCH(ROWS($U$2:U383),$U$2:$U$1001,0),MATCH(COLUMNS($AB$1006:AN1006),$AB$1006:$AQ$1006,0)), HYPERLINK("#",""), HYPERLINK(CONCATENATE("#metadata!", ADDRESS(INDEX($W$2:$W$1001,MATCH(ROWS($U$2:U383),$U$2:$U$1001,0),0), INDEX($AB$1004:$AQ$1004,1,MATCH(COLUMNS($AB$1006:AN1006),$AB$1006:$AQ$1006,0)))),"Fix")))</f>
        <v>0</v>
      </c>
      <c r="O383" s="4">
        <f>IF(OR(INDEX($V$2:$V$1001,MATCH(ROWS($U$2:U383),$U$2:$U$1001,0),1)&gt;=100000,INDEX($AB$1005:$AQ$1005,1,MATCH(COLUMNS($AB$1006:AO1006),$AB$1006:$AQ$1006,0))&gt;=100000), " ",IF(INDEX($AB$2:$AQ$1001,MATCH(ROWS($U$2:U383),$U$2:$U$1001,0),MATCH(COLUMNS($AB$1006:AO1006),$AB$1006:$AQ$1006,0)), HYPERLINK("#",""), HYPERLINK(CONCATENATE("#metadata!", ADDRESS(INDEX($W$2:$W$1001,MATCH(ROWS($U$2:U383),$U$2:$U$1001,0),0), INDEX($AB$1004:$AQ$1004,1,MATCH(COLUMNS($AB$1006:AO1006),$AB$1006:$AQ$1006,0)))),"Fix")))</f>
        <v>0</v>
      </c>
      <c r="P383" s="4">
        <f>IF(OR(INDEX($V$2:$V$1001,MATCH(ROWS($U$2:U383),$U$2:$U$1001,0),1)&gt;=100000,INDEX($AB$1005:$AQ$1005,1,MATCH(COLUMNS($AB$1006:AP1006),$AB$1006:$AQ$1006,0))&gt;=100000), " ",IF(INDEX($AB$2:$AQ$1001,MATCH(ROWS($U$2:U383),$U$2:$U$1001,0),MATCH(COLUMNS($AB$1006:AP1006),$AB$1006:$AQ$1006,0)), HYPERLINK("#",""), HYPERLINK(CONCATENATE("#metadata!", ADDRESS(INDEX($W$2:$W$1001,MATCH(ROWS($U$2:U383),$U$2:$U$1001,0),0), INDEX($AB$1004:$AQ$1004,1,MATCH(COLUMNS($AB$1006:AP1006),$AB$1006:$AQ$1006,0)))),"Fix")))</f>
        <v>0</v>
      </c>
      <c r="Q383" s="4">
        <f>IF(OR(INDEX($V$2:$V$1001,MATCH(ROWS($U$2:U383),$U$2:$U$1001,0),1)&gt;=100000,INDEX($AB$1005:$AQ$1005,1,MATCH(COLUMNS($AB$1006:AQ1006),$AB$1006:$AQ$1006,0))&gt;=100000), " ",IF(INDEX($AB$2:$AQ$1001,MATCH(ROWS($U$2:U383),$U$2:$U$1001,0),MATCH(COLUMNS($AB$1006:AQ1006),$AB$1006:$AQ$1006,0)), HYPERLINK("#",""), HYPERLINK(CONCATENATE("#metadata!", ADDRESS(INDEX($W$2:$W$1001,MATCH(ROWS($U$2:U383),$U$2:$U$1001,0),0), INDEX($AB$1004:$AQ$1004,1,MATCH(COLUMNS($AB$1006:AQ1006),$AB$1006:$AQ$1006,0)))),"Fix")))</f>
        <v>0</v>
      </c>
      <c r="U383">
        <v>0</v>
      </c>
      <c r="V383">
        <v>0</v>
      </c>
      <c r="W383">
        <v>0</v>
      </c>
      <c r="X383">
        <f>IF(Y383,TRUE,AND(AB383:AQ383))</f>
        <v>0</v>
      </c>
      <c r="Y383">
        <f>COUNTBLANK(metadata!B383:Q383)=COLUMNS(metadata!B383:Q383)</f>
        <v>0</v>
      </c>
      <c r="Z383">
        <v>0</v>
      </c>
      <c r="AB383">
        <f>AND(IF(metadata!B383="",FALSE,TRUE),COUNTIF(metadata!B:B, metadata!B383) = 1,NOT(ISERROR(SUMPRODUCT(SEARCH(MID(metadata!B383,ROW(INDIRECT("1:"&amp;LEN(metadata!B383))), 1),"0123456789abcdefghijklmnopqrstuvwxyzABCDEFGHIJKLMNOPQRSTUVWXYZ.")))))</f>
        <v>0</v>
      </c>
      <c r="AC383">
        <f>OR(AND(IF(metadata!C383="",FALSE,TRUE),OR(exact(metadata!C383,"missing: not collected"),exact(metadata!C383,"missing: not provided"),exact(metadata!C383,"missing: restricted access"))),AND(IF(metadata!C383="",FALSE,TRUE),AND(AND(IFERROR(INT(LEFT(metadata!C383,4))&gt;1900,FALSE),IFERROR(INT(LEFT(metadata!C383,4))&lt;=YEAR(NOW()),FALSE)), OR(MID(metadata!C383,5,1)="", AND(AND(MID(metadata!C383,5,1)="-",IFERROR(INT(MID(metadata!C383,6,1))&gt;=0,FALSE),IFERROR(INT(MID(metadata!C383,6,1))&lt;=1,FALSE),NOT(MID(metadata!C383,7,1)=""),IFERROR(INT(MID(metadata!C383,6,2))&gt;=1,FALSE),IFERROR(INT(MID(metadata!C383,6,2))&lt;=12,FALSE)), OR(MID(metadata!C383,8,1)="", AND(AND(MID(metadata!C383,8,1)="-",IFERROR(INT(MID(metadata!C383,9,1))&gt;=0,FALSE),IFERROR(INT(MID(metadata!C383,9,1))&lt;=3,FALSE),NOT(MID(metadata!C383,10,1)=""),IFERROR(INT(MID(metadata!C383,9,2))&gt;=1,FALSE),IFERROR(INT(MID(metadata!C383,9,2))&lt;=31,FALSE)), OR(MID(metadata!C383,11,1)="", AND(AND(MID(metadata!C383,11,1)=" ",IFERROR(INT(MID(metadata!C383,12,1))&gt;=0,FALSE),IFERROR(INT(MID(metadata!C383,12,1))&lt;=2,FALSE),NOT(MID(metadata!C383,13,1)=""),IFERROR(INT(MID(metadata!C383,12,2))&gt;=0,FALSE),IFERROR(INT(MID(metadata!C383,12,2))&lt;=23,FALSE)), OR(MID(metadata!C383,14,1)="", AND(AND(MID(metadata!C383,14,1)=":",IFERROR(INT(MID(metadata!C383,15,1))&gt;=0,FALSE),IFERROR(INT(MID(metadata!C383,15,1))&lt;=5,FALSE),NOT(MID(metadata!C383,16,1)=""),IFERROR(INT(MID(metadata!C383,15,2))&gt;=0,FALSE),IFERROR(INT(MID(metadata!C383,15,2))&lt;=59,FALSE)), OR(MID(metadata!C383,17,1)="", AND(AND(MID(metadata!C383,17,1)=":",IFERROR(INT(MID(metadata!C383,18,1))&gt;=0,FALSE),IFERROR(INT(MID(metadata!C383,18,1))&lt;=5,FALSE),NOT(MID(metadata!C383,19,1)=""),IFERROR(INT(MID(metadata!C383,18,2))&gt;=0,FALSE),IFERROR(INT(MID(metadata!C383,18,2))&lt;=59,FALSE)), LEN(metadata!C383)&lt;=19)))))))))))))</f>
        <v>0</v>
      </c>
      <c r="AD383">
        <f>IF(metadata!D383="",FALSE,TRUE)</f>
        <v>0</v>
      </c>
      <c r="AE383">
        <f>OR(AND(IF(metadata!E383="",FALSE,TRUE),OR(exact(metadata!E383,"missing: not collected"),exact(metadata!E383,"missing: not provided"))),AND(IF(metadata!E383="",FALSE,TRUE),OR(exact(metadata!E383,"TRUE"),exact(metadata!E383,"FALSE"))))</f>
        <v>0</v>
      </c>
      <c r="AF383">
        <f>IF(metadata!F383="",FALSE,TRUE)</f>
        <v>0</v>
      </c>
      <c r="AG383">
        <f>IF(metadata!G383="",FALSE,TRUE)</f>
        <v>0</v>
      </c>
      <c r="AH383">
        <f>IF(metadata!H383="",FALSE,TRUE)</f>
        <v>0</v>
      </c>
      <c r="AI383">
        <f>OR(AND(IF(metadata!I383="",FALSE,TRUE),OR(exact(metadata!I383,"missing: not collected"),exact(metadata!I383,"missing: not provided"),exact(metadata!I383,"missing: restricted access"))),AND(IF(metadata!I383="",FALSE,TRUE),OR(exact(metadata!I383,"air"),exact(metadata!I383,"built environment"),exact(metadata!I383,"host-associated"),exact(metadata!I383,"human-associated"),exact(metadata!I383,"human-skin"),exact(metadata!I383,"human-oral"),exact(metadata!I383,"human-gut"),exact(metadata!I383,"human-vaginal"),exact(metadata!I383,"microbial mat/biofilm"),exact(metadata!I383,"misc environment"),exact(metadata!I383,"plant-associated"),exact(metadata!I383,"sediment"),exact(metadata!I383,"soil"),exact(metadata!I383,"wastewater/sludge"),exact(metadata!I383,"water"))))</f>
        <v>0</v>
      </c>
      <c r="AJ383">
        <f>IF(metadata!J383="",FALSE,TRUE)</f>
        <v>0</v>
      </c>
      <c r="AK383">
        <f>OR(AND(IF(metadata!K383="",FALSE,TRUE),OR(exact(metadata!K383,"missing: not collected"),exact(metadata!K383,"missing: not provided"),exact(metadata!K383,"missing: restricted access"))),AND(IF(metadata!K383="",FALSE,ISNUMBER(VALUE(metadata!K383))),metadata!K383&gt;=-90.00,metadata!K383&lt;=90.00))</f>
        <v>0</v>
      </c>
      <c r="AL383">
        <f>OR(AND(IF(metadata!L383="",FALSE,TRUE),OR(exact(metadata!L383,"missing: not collected"),exact(metadata!L383,"missing: not provided"),exact(metadata!L383,"missing: restricted access"))),AND(IF(metadata!L383="",FALSE,ISNUMBER(VALUE(metadata!L383))),metadata!L383&gt;=-180.00,metadata!L383&lt;=180.00))</f>
        <v>0</v>
      </c>
      <c r="AM383">
        <f>IF(metadata!M383="",FALSE,TRUE)</f>
        <v>0</v>
      </c>
      <c r="AN383">
        <f>OR(AND(IF(metadata!N383="",FALSE,TRUE),OR(exact(metadata!N383,"missing: not collected"),exact(metadata!N383,"missing: not provided"),exact(metadata!N383,"missing: restricted access"))),AND(IF(metadata!N383="",FALSE,TRUE),OR(exact(metadata!N383,"TRUE"),exact(metadata!N383,"FALSE"))))</f>
        <v>0</v>
      </c>
      <c r="AO383">
        <f>IF(metadata!O383="",FALSE,TRUE)</f>
        <v>0</v>
      </c>
      <c r="AP383">
        <f>OR(AND(IF(metadata!P383="",FALSE,TRUE),OR(exact(metadata!P383,"missing: not collected"),exact(metadata!P383,"missing: not provided"))),AND(IF(metadata!P383="",FALSE,IF(ISERROR(INT(metadata!P383)),FALSE,INT(metadata!P383)=metadata!P383)),metadata!P383&gt;0))</f>
        <v>0</v>
      </c>
      <c r="AQ383">
        <f>IF(metadata!Q383="",FALSE,TRUE)</f>
        <v>0</v>
      </c>
    </row>
    <row r="384" spans="1:43">
      <c r="A384" s="5">
        <f>IF(B384=" "," ",HYPERLINK(CONCATENATE("#metadata!",ADDRESS(INDEX($W$2:$W$1001,MATCH(ROWS($U$2:U384),$U$2:$U$1001,0),0),1)),INDEX($Z$2:$Z$1001,MATCH(ROWS($U$2:U384),$U$2:$U$1001,0),0)))</f>
        <v>0</v>
      </c>
      <c r="B384" s="4">
        <f>IF(OR(INDEX($V$2:$V$1001,MATCH(ROWS($U$2:U384),$U$2:$U$1001,0),1)&gt;=100000,INDEX($AB$1005:$AQ$1005,1,MATCH(COLUMNS($AB$1006:AB1006),$AB$1006:$AQ$1006,0))&gt;=100000), " ",IF(INDEX($AB$2:$AQ$1001,MATCH(ROWS($U$2:U384),$U$2:$U$1001,0),MATCH(COLUMNS($AB$1006:AB1006),$AB$1006:$AQ$1006,0)), HYPERLINK("#",""), HYPERLINK(CONCATENATE("#metadata!", ADDRESS(INDEX($W$2:$W$1001,MATCH(ROWS($U$2:U384),$U$2:$U$1001,0),0), INDEX($AB$1004:$AQ$1004,1,MATCH(COLUMNS($AB$1006:AB1006),$AB$1006:$AQ$1006,0)))),"Fix")))</f>
        <v>0</v>
      </c>
      <c r="C384" s="4">
        <f>IF(OR(INDEX($V$2:$V$1001,MATCH(ROWS($U$2:U384),$U$2:$U$1001,0),1)&gt;=100000,INDEX($AB$1005:$AQ$1005,1,MATCH(COLUMNS($AB$1006:AC1006),$AB$1006:$AQ$1006,0))&gt;=100000), " ",IF(INDEX($AB$2:$AQ$1001,MATCH(ROWS($U$2:U384),$U$2:$U$1001,0),MATCH(COLUMNS($AB$1006:AC1006),$AB$1006:$AQ$1006,0)), HYPERLINK("#",""), HYPERLINK(CONCATENATE("#metadata!", ADDRESS(INDEX($W$2:$W$1001,MATCH(ROWS($U$2:U384),$U$2:$U$1001,0),0), INDEX($AB$1004:$AQ$1004,1,MATCH(COLUMNS($AB$1006:AC1006),$AB$1006:$AQ$1006,0)))),"Fix")))</f>
        <v>0</v>
      </c>
      <c r="D384" s="4">
        <f>IF(OR(INDEX($V$2:$V$1001,MATCH(ROWS($U$2:U384),$U$2:$U$1001,0),1)&gt;=100000,INDEX($AB$1005:$AQ$1005,1,MATCH(COLUMNS($AB$1006:AD1006),$AB$1006:$AQ$1006,0))&gt;=100000), " ",IF(INDEX($AB$2:$AQ$1001,MATCH(ROWS($U$2:U384),$U$2:$U$1001,0),MATCH(COLUMNS($AB$1006:AD1006),$AB$1006:$AQ$1006,0)), HYPERLINK("#",""), HYPERLINK(CONCATENATE("#metadata!", ADDRESS(INDEX($W$2:$W$1001,MATCH(ROWS($U$2:U384),$U$2:$U$1001,0),0), INDEX($AB$1004:$AQ$1004,1,MATCH(COLUMNS($AB$1006:AD1006),$AB$1006:$AQ$1006,0)))),"Fix")))</f>
        <v>0</v>
      </c>
      <c r="E384" s="4">
        <f>IF(OR(INDEX($V$2:$V$1001,MATCH(ROWS($U$2:U384),$U$2:$U$1001,0),1)&gt;=100000,INDEX($AB$1005:$AQ$1005,1,MATCH(COLUMNS($AB$1006:AE1006),$AB$1006:$AQ$1006,0))&gt;=100000), " ",IF(INDEX($AB$2:$AQ$1001,MATCH(ROWS($U$2:U384),$U$2:$U$1001,0),MATCH(COLUMNS($AB$1006:AE1006),$AB$1006:$AQ$1006,0)), HYPERLINK("#",""), HYPERLINK(CONCATENATE("#metadata!", ADDRESS(INDEX($W$2:$W$1001,MATCH(ROWS($U$2:U384),$U$2:$U$1001,0),0), INDEX($AB$1004:$AQ$1004,1,MATCH(COLUMNS($AB$1006:AE1006),$AB$1006:$AQ$1006,0)))),"Fix")))</f>
        <v>0</v>
      </c>
      <c r="F384" s="4">
        <f>IF(OR(INDEX($V$2:$V$1001,MATCH(ROWS($U$2:U384),$U$2:$U$1001,0),1)&gt;=100000,INDEX($AB$1005:$AQ$1005,1,MATCH(COLUMNS($AB$1006:AF1006),$AB$1006:$AQ$1006,0))&gt;=100000), " ",IF(INDEX($AB$2:$AQ$1001,MATCH(ROWS($U$2:U384),$U$2:$U$1001,0),MATCH(COLUMNS($AB$1006:AF1006),$AB$1006:$AQ$1006,0)), HYPERLINK("#",""), HYPERLINK(CONCATENATE("#metadata!", ADDRESS(INDEX($W$2:$W$1001,MATCH(ROWS($U$2:U384),$U$2:$U$1001,0),0), INDEX($AB$1004:$AQ$1004,1,MATCH(COLUMNS($AB$1006:AF1006),$AB$1006:$AQ$1006,0)))),"Fix")))</f>
        <v>0</v>
      </c>
      <c r="G384" s="4">
        <f>IF(OR(INDEX($V$2:$V$1001,MATCH(ROWS($U$2:U384),$U$2:$U$1001,0),1)&gt;=100000,INDEX($AB$1005:$AQ$1005,1,MATCH(COLUMNS($AB$1006:AG1006),$AB$1006:$AQ$1006,0))&gt;=100000), " ",IF(INDEX($AB$2:$AQ$1001,MATCH(ROWS($U$2:U384),$U$2:$U$1001,0),MATCH(COLUMNS($AB$1006:AG1006),$AB$1006:$AQ$1006,0)), HYPERLINK("#",""), HYPERLINK(CONCATENATE("#metadata!", ADDRESS(INDEX($W$2:$W$1001,MATCH(ROWS($U$2:U384),$U$2:$U$1001,0),0), INDEX($AB$1004:$AQ$1004,1,MATCH(COLUMNS($AB$1006:AG1006),$AB$1006:$AQ$1006,0)))),"Fix")))</f>
        <v>0</v>
      </c>
      <c r="H384" s="4">
        <f>IF(OR(INDEX($V$2:$V$1001,MATCH(ROWS($U$2:U384),$U$2:$U$1001,0),1)&gt;=100000,INDEX($AB$1005:$AQ$1005,1,MATCH(COLUMNS($AB$1006:AH1006),$AB$1006:$AQ$1006,0))&gt;=100000), " ",IF(INDEX($AB$2:$AQ$1001,MATCH(ROWS($U$2:U384),$U$2:$U$1001,0),MATCH(COLUMNS($AB$1006:AH1006),$AB$1006:$AQ$1006,0)), HYPERLINK("#",""), HYPERLINK(CONCATENATE("#metadata!", ADDRESS(INDEX($W$2:$W$1001,MATCH(ROWS($U$2:U384),$U$2:$U$1001,0),0), INDEX($AB$1004:$AQ$1004,1,MATCH(COLUMNS($AB$1006:AH1006),$AB$1006:$AQ$1006,0)))),"Fix")))</f>
        <v>0</v>
      </c>
      <c r="I384" s="4">
        <f>IF(OR(INDEX($V$2:$V$1001,MATCH(ROWS($U$2:U384),$U$2:$U$1001,0),1)&gt;=100000,INDEX($AB$1005:$AQ$1005,1,MATCH(COLUMNS($AB$1006:AI1006),$AB$1006:$AQ$1006,0))&gt;=100000), " ",IF(INDEX($AB$2:$AQ$1001,MATCH(ROWS($U$2:U384),$U$2:$U$1001,0),MATCH(COLUMNS($AB$1006:AI1006),$AB$1006:$AQ$1006,0)), HYPERLINK("#",""), HYPERLINK(CONCATENATE("#metadata!", ADDRESS(INDEX($W$2:$W$1001,MATCH(ROWS($U$2:U384),$U$2:$U$1001,0),0), INDEX($AB$1004:$AQ$1004,1,MATCH(COLUMNS($AB$1006:AI1006),$AB$1006:$AQ$1006,0)))),"Fix")))</f>
        <v>0</v>
      </c>
      <c r="J384" s="4">
        <f>IF(OR(INDEX($V$2:$V$1001,MATCH(ROWS($U$2:U384),$U$2:$U$1001,0),1)&gt;=100000,INDEX($AB$1005:$AQ$1005,1,MATCH(COLUMNS($AB$1006:AJ1006),$AB$1006:$AQ$1006,0))&gt;=100000), " ",IF(INDEX($AB$2:$AQ$1001,MATCH(ROWS($U$2:U384),$U$2:$U$1001,0),MATCH(COLUMNS($AB$1006:AJ1006),$AB$1006:$AQ$1006,0)), HYPERLINK("#",""), HYPERLINK(CONCATENATE("#metadata!", ADDRESS(INDEX($W$2:$W$1001,MATCH(ROWS($U$2:U384),$U$2:$U$1001,0),0), INDEX($AB$1004:$AQ$1004,1,MATCH(COLUMNS($AB$1006:AJ1006),$AB$1006:$AQ$1006,0)))),"Fix")))</f>
        <v>0</v>
      </c>
      <c r="K384" s="4">
        <f>IF(OR(INDEX($V$2:$V$1001,MATCH(ROWS($U$2:U384),$U$2:$U$1001,0),1)&gt;=100000,INDEX($AB$1005:$AQ$1005,1,MATCH(COLUMNS($AB$1006:AK1006),$AB$1006:$AQ$1006,0))&gt;=100000), " ",IF(INDEX($AB$2:$AQ$1001,MATCH(ROWS($U$2:U384),$U$2:$U$1001,0),MATCH(COLUMNS($AB$1006:AK1006),$AB$1006:$AQ$1006,0)), HYPERLINK("#",""), HYPERLINK(CONCATENATE("#metadata!", ADDRESS(INDEX($W$2:$W$1001,MATCH(ROWS($U$2:U384),$U$2:$U$1001,0),0), INDEX($AB$1004:$AQ$1004,1,MATCH(COLUMNS($AB$1006:AK1006),$AB$1006:$AQ$1006,0)))),"Fix")))</f>
        <v>0</v>
      </c>
      <c r="L384" s="4">
        <f>IF(OR(INDEX($V$2:$V$1001,MATCH(ROWS($U$2:U384),$U$2:$U$1001,0),1)&gt;=100000,INDEX($AB$1005:$AQ$1005,1,MATCH(COLUMNS($AB$1006:AL1006),$AB$1006:$AQ$1006,0))&gt;=100000), " ",IF(INDEX($AB$2:$AQ$1001,MATCH(ROWS($U$2:U384),$U$2:$U$1001,0),MATCH(COLUMNS($AB$1006:AL1006),$AB$1006:$AQ$1006,0)), HYPERLINK("#",""), HYPERLINK(CONCATENATE("#metadata!", ADDRESS(INDEX($W$2:$W$1001,MATCH(ROWS($U$2:U384),$U$2:$U$1001,0),0), INDEX($AB$1004:$AQ$1004,1,MATCH(COLUMNS($AB$1006:AL1006),$AB$1006:$AQ$1006,0)))),"Fix")))</f>
        <v>0</v>
      </c>
      <c r="M384" s="4">
        <f>IF(OR(INDEX($V$2:$V$1001,MATCH(ROWS($U$2:U384),$U$2:$U$1001,0),1)&gt;=100000,INDEX($AB$1005:$AQ$1005,1,MATCH(COLUMNS($AB$1006:AM1006),$AB$1006:$AQ$1006,0))&gt;=100000), " ",IF(INDEX($AB$2:$AQ$1001,MATCH(ROWS($U$2:U384),$U$2:$U$1001,0),MATCH(COLUMNS($AB$1006:AM1006),$AB$1006:$AQ$1006,0)), HYPERLINK("#",""), HYPERLINK(CONCATENATE("#metadata!", ADDRESS(INDEX($W$2:$W$1001,MATCH(ROWS($U$2:U384),$U$2:$U$1001,0),0), INDEX($AB$1004:$AQ$1004,1,MATCH(COLUMNS($AB$1006:AM1006),$AB$1006:$AQ$1006,0)))),"Fix")))</f>
        <v>0</v>
      </c>
      <c r="N384" s="4">
        <f>IF(OR(INDEX($V$2:$V$1001,MATCH(ROWS($U$2:U384),$U$2:$U$1001,0),1)&gt;=100000,INDEX($AB$1005:$AQ$1005,1,MATCH(COLUMNS($AB$1006:AN1006),$AB$1006:$AQ$1006,0))&gt;=100000), " ",IF(INDEX($AB$2:$AQ$1001,MATCH(ROWS($U$2:U384),$U$2:$U$1001,0),MATCH(COLUMNS($AB$1006:AN1006),$AB$1006:$AQ$1006,0)), HYPERLINK("#",""), HYPERLINK(CONCATENATE("#metadata!", ADDRESS(INDEX($W$2:$W$1001,MATCH(ROWS($U$2:U384),$U$2:$U$1001,0),0), INDEX($AB$1004:$AQ$1004,1,MATCH(COLUMNS($AB$1006:AN1006),$AB$1006:$AQ$1006,0)))),"Fix")))</f>
        <v>0</v>
      </c>
      <c r="O384" s="4">
        <f>IF(OR(INDEX($V$2:$V$1001,MATCH(ROWS($U$2:U384),$U$2:$U$1001,0),1)&gt;=100000,INDEX($AB$1005:$AQ$1005,1,MATCH(COLUMNS($AB$1006:AO1006),$AB$1006:$AQ$1006,0))&gt;=100000), " ",IF(INDEX($AB$2:$AQ$1001,MATCH(ROWS($U$2:U384),$U$2:$U$1001,0),MATCH(COLUMNS($AB$1006:AO1006),$AB$1006:$AQ$1006,0)), HYPERLINK("#",""), HYPERLINK(CONCATENATE("#metadata!", ADDRESS(INDEX($W$2:$W$1001,MATCH(ROWS($U$2:U384),$U$2:$U$1001,0),0), INDEX($AB$1004:$AQ$1004,1,MATCH(COLUMNS($AB$1006:AO1006),$AB$1006:$AQ$1006,0)))),"Fix")))</f>
        <v>0</v>
      </c>
      <c r="P384" s="4">
        <f>IF(OR(INDEX($V$2:$V$1001,MATCH(ROWS($U$2:U384),$U$2:$U$1001,0),1)&gt;=100000,INDEX($AB$1005:$AQ$1005,1,MATCH(COLUMNS($AB$1006:AP1006),$AB$1006:$AQ$1006,0))&gt;=100000), " ",IF(INDEX($AB$2:$AQ$1001,MATCH(ROWS($U$2:U384),$U$2:$U$1001,0),MATCH(COLUMNS($AB$1006:AP1006),$AB$1006:$AQ$1006,0)), HYPERLINK("#",""), HYPERLINK(CONCATENATE("#metadata!", ADDRESS(INDEX($W$2:$W$1001,MATCH(ROWS($U$2:U384),$U$2:$U$1001,0),0), INDEX($AB$1004:$AQ$1004,1,MATCH(COLUMNS($AB$1006:AP1006),$AB$1006:$AQ$1006,0)))),"Fix")))</f>
        <v>0</v>
      </c>
      <c r="Q384" s="4">
        <f>IF(OR(INDEX($V$2:$V$1001,MATCH(ROWS($U$2:U384),$U$2:$U$1001,0),1)&gt;=100000,INDEX($AB$1005:$AQ$1005,1,MATCH(COLUMNS($AB$1006:AQ1006),$AB$1006:$AQ$1006,0))&gt;=100000), " ",IF(INDEX($AB$2:$AQ$1001,MATCH(ROWS($U$2:U384),$U$2:$U$1001,0),MATCH(COLUMNS($AB$1006:AQ1006),$AB$1006:$AQ$1006,0)), HYPERLINK("#",""), HYPERLINK(CONCATENATE("#metadata!", ADDRESS(INDEX($W$2:$W$1001,MATCH(ROWS($U$2:U384),$U$2:$U$1001,0),0), INDEX($AB$1004:$AQ$1004,1,MATCH(COLUMNS($AB$1006:AQ1006),$AB$1006:$AQ$1006,0)))),"Fix")))</f>
        <v>0</v>
      </c>
      <c r="U384">
        <v>0</v>
      </c>
      <c r="V384">
        <v>0</v>
      </c>
      <c r="W384">
        <v>0</v>
      </c>
      <c r="X384">
        <f>IF(Y384,TRUE,AND(AB384:AQ384))</f>
        <v>0</v>
      </c>
      <c r="Y384">
        <f>COUNTBLANK(metadata!B384:Q384)=COLUMNS(metadata!B384:Q384)</f>
        <v>0</v>
      </c>
      <c r="Z384">
        <v>0</v>
      </c>
      <c r="AB384">
        <f>AND(IF(metadata!B384="",FALSE,TRUE),COUNTIF(metadata!B:B, metadata!B384) = 1,NOT(ISERROR(SUMPRODUCT(SEARCH(MID(metadata!B384,ROW(INDIRECT("1:"&amp;LEN(metadata!B384))), 1),"0123456789abcdefghijklmnopqrstuvwxyzABCDEFGHIJKLMNOPQRSTUVWXYZ.")))))</f>
        <v>0</v>
      </c>
      <c r="AC384">
        <f>OR(AND(IF(metadata!C384="",FALSE,TRUE),OR(exact(metadata!C384,"missing: not collected"),exact(metadata!C384,"missing: not provided"),exact(metadata!C384,"missing: restricted access"))),AND(IF(metadata!C384="",FALSE,TRUE),AND(AND(IFERROR(INT(LEFT(metadata!C384,4))&gt;1900,FALSE),IFERROR(INT(LEFT(metadata!C384,4))&lt;=YEAR(NOW()),FALSE)), OR(MID(metadata!C384,5,1)="", AND(AND(MID(metadata!C384,5,1)="-",IFERROR(INT(MID(metadata!C384,6,1))&gt;=0,FALSE),IFERROR(INT(MID(metadata!C384,6,1))&lt;=1,FALSE),NOT(MID(metadata!C384,7,1)=""),IFERROR(INT(MID(metadata!C384,6,2))&gt;=1,FALSE),IFERROR(INT(MID(metadata!C384,6,2))&lt;=12,FALSE)), OR(MID(metadata!C384,8,1)="", AND(AND(MID(metadata!C384,8,1)="-",IFERROR(INT(MID(metadata!C384,9,1))&gt;=0,FALSE),IFERROR(INT(MID(metadata!C384,9,1))&lt;=3,FALSE),NOT(MID(metadata!C384,10,1)=""),IFERROR(INT(MID(metadata!C384,9,2))&gt;=1,FALSE),IFERROR(INT(MID(metadata!C384,9,2))&lt;=31,FALSE)), OR(MID(metadata!C384,11,1)="", AND(AND(MID(metadata!C384,11,1)=" ",IFERROR(INT(MID(metadata!C384,12,1))&gt;=0,FALSE),IFERROR(INT(MID(metadata!C384,12,1))&lt;=2,FALSE),NOT(MID(metadata!C384,13,1)=""),IFERROR(INT(MID(metadata!C384,12,2))&gt;=0,FALSE),IFERROR(INT(MID(metadata!C384,12,2))&lt;=23,FALSE)), OR(MID(metadata!C384,14,1)="", AND(AND(MID(metadata!C384,14,1)=":",IFERROR(INT(MID(metadata!C384,15,1))&gt;=0,FALSE),IFERROR(INT(MID(metadata!C384,15,1))&lt;=5,FALSE),NOT(MID(metadata!C384,16,1)=""),IFERROR(INT(MID(metadata!C384,15,2))&gt;=0,FALSE),IFERROR(INT(MID(metadata!C384,15,2))&lt;=59,FALSE)), OR(MID(metadata!C384,17,1)="", AND(AND(MID(metadata!C384,17,1)=":",IFERROR(INT(MID(metadata!C384,18,1))&gt;=0,FALSE),IFERROR(INT(MID(metadata!C384,18,1))&lt;=5,FALSE),NOT(MID(metadata!C384,19,1)=""),IFERROR(INT(MID(metadata!C384,18,2))&gt;=0,FALSE),IFERROR(INT(MID(metadata!C384,18,2))&lt;=59,FALSE)), LEN(metadata!C384)&lt;=19)))))))))))))</f>
        <v>0</v>
      </c>
      <c r="AD384">
        <f>IF(metadata!D384="",FALSE,TRUE)</f>
        <v>0</v>
      </c>
      <c r="AE384">
        <f>OR(AND(IF(metadata!E384="",FALSE,TRUE),OR(exact(metadata!E384,"missing: not collected"),exact(metadata!E384,"missing: not provided"))),AND(IF(metadata!E384="",FALSE,TRUE),OR(exact(metadata!E384,"TRUE"),exact(metadata!E384,"FALSE"))))</f>
        <v>0</v>
      </c>
      <c r="AF384">
        <f>IF(metadata!F384="",FALSE,TRUE)</f>
        <v>0</v>
      </c>
      <c r="AG384">
        <f>IF(metadata!G384="",FALSE,TRUE)</f>
        <v>0</v>
      </c>
      <c r="AH384">
        <f>IF(metadata!H384="",FALSE,TRUE)</f>
        <v>0</v>
      </c>
      <c r="AI384">
        <f>OR(AND(IF(metadata!I384="",FALSE,TRUE),OR(exact(metadata!I384,"missing: not collected"),exact(metadata!I384,"missing: not provided"),exact(metadata!I384,"missing: restricted access"))),AND(IF(metadata!I384="",FALSE,TRUE),OR(exact(metadata!I384,"air"),exact(metadata!I384,"built environment"),exact(metadata!I384,"host-associated"),exact(metadata!I384,"human-associated"),exact(metadata!I384,"human-skin"),exact(metadata!I384,"human-oral"),exact(metadata!I384,"human-gut"),exact(metadata!I384,"human-vaginal"),exact(metadata!I384,"microbial mat/biofilm"),exact(metadata!I384,"misc environment"),exact(metadata!I384,"plant-associated"),exact(metadata!I384,"sediment"),exact(metadata!I384,"soil"),exact(metadata!I384,"wastewater/sludge"),exact(metadata!I384,"water"))))</f>
        <v>0</v>
      </c>
      <c r="AJ384">
        <f>IF(metadata!J384="",FALSE,TRUE)</f>
        <v>0</v>
      </c>
      <c r="AK384">
        <f>OR(AND(IF(metadata!K384="",FALSE,TRUE),OR(exact(metadata!K384,"missing: not collected"),exact(metadata!K384,"missing: not provided"),exact(metadata!K384,"missing: restricted access"))),AND(IF(metadata!K384="",FALSE,ISNUMBER(VALUE(metadata!K384))),metadata!K384&gt;=-90.00,metadata!K384&lt;=90.00))</f>
        <v>0</v>
      </c>
      <c r="AL384">
        <f>OR(AND(IF(metadata!L384="",FALSE,TRUE),OR(exact(metadata!L384,"missing: not collected"),exact(metadata!L384,"missing: not provided"),exact(metadata!L384,"missing: restricted access"))),AND(IF(metadata!L384="",FALSE,ISNUMBER(VALUE(metadata!L384))),metadata!L384&gt;=-180.00,metadata!L384&lt;=180.00))</f>
        <v>0</v>
      </c>
      <c r="AM384">
        <f>IF(metadata!M384="",FALSE,TRUE)</f>
        <v>0</v>
      </c>
      <c r="AN384">
        <f>OR(AND(IF(metadata!N384="",FALSE,TRUE),OR(exact(metadata!N384,"missing: not collected"),exact(metadata!N384,"missing: not provided"),exact(metadata!N384,"missing: restricted access"))),AND(IF(metadata!N384="",FALSE,TRUE),OR(exact(metadata!N384,"TRUE"),exact(metadata!N384,"FALSE"))))</f>
        <v>0</v>
      </c>
      <c r="AO384">
        <f>IF(metadata!O384="",FALSE,TRUE)</f>
        <v>0</v>
      </c>
      <c r="AP384">
        <f>OR(AND(IF(metadata!P384="",FALSE,TRUE),OR(exact(metadata!P384,"missing: not collected"),exact(metadata!P384,"missing: not provided"))),AND(IF(metadata!P384="",FALSE,IF(ISERROR(INT(metadata!P384)),FALSE,INT(metadata!P384)=metadata!P384)),metadata!P384&gt;0))</f>
        <v>0</v>
      </c>
      <c r="AQ384">
        <f>IF(metadata!Q384="",FALSE,TRUE)</f>
        <v>0</v>
      </c>
    </row>
    <row r="385" spans="1:43">
      <c r="A385" s="5">
        <f>IF(B385=" "," ",HYPERLINK(CONCATENATE("#metadata!",ADDRESS(INDEX($W$2:$W$1001,MATCH(ROWS($U$2:U385),$U$2:$U$1001,0),0),1)),INDEX($Z$2:$Z$1001,MATCH(ROWS($U$2:U385),$U$2:$U$1001,0),0)))</f>
        <v>0</v>
      </c>
      <c r="B385" s="4">
        <f>IF(OR(INDEX($V$2:$V$1001,MATCH(ROWS($U$2:U385),$U$2:$U$1001,0),1)&gt;=100000,INDEX($AB$1005:$AQ$1005,1,MATCH(COLUMNS($AB$1006:AB1006),$AB$1006:$AQ$1006,0))&gt;=100000), " ",IF(INDEX($AB$2:$AQ$1001,MATCH(ROWS($U$2:U385),$U$2:$U$1001,0),MATCH(COLUMNS($AB$1006:AB1006),$AB$1006:$AQ$1006,0)), HYPERLINK("#",""), HYPERLINK(CONCATENATE("#metadata!", ADDRESS(INDEX($W$2:$W$1001,MATCH(ROWS($U$2:U385),$U$2:$U$1001,0),0), INDEX($AB$1004:$AQ$1004,1,MATCH(COLUMNS($AB$1006:AB1006),$AB$1006:$AQ$1006,0)))),"Fix")))</f>
        <v>0</v>
      </c>
      <c r="C385" s="4">
        <f>IF(OR(INDEX($V$2:$V$1001,MATCH(ROWS($U$2:U385),$U$2:$U$1001,0),1)&gt;=100000,INDEX($AB$1005:$AQ$1005,1,MATCH(COLUMNS($AB$1006:AC1006),$AB$1006:$AQ$1006,0))&gt;=100000), " ",IF(INDEX($AB$2:$AQ$1001,MATCH(ROWS($U$2:U385),$U$2:$U$1001,0),MATCH(COLUMNS($AB$1006:AC1006),$AB$1006:$AQ$1006,0)), HYPERLINK("#",""), HYPERLINK(CONCATENATE("#metadata!", ADDRESS(INDEX($W$2:$W$1001,MATCH(ROWS($U$2:U385),$U$2:$U$1001,0),0), INDEX($AB$1004:$AQ$1004,1,MATCH(COLUMNS($AB$1006:AC1006),$AB$1006:$AQ$1006,0)))),"Fix")))</f>
        <v>0</v>
      </c>
      <c r="D385" s="4">
        <f>IF(OR(INDEX($V$2:$V$1001,MATCH(ROWS($U$2:U385),$U$2:$U$1001,0),1)&gt;=100000,INDEX($AB$1005:$AQ$1005,1,MATCH(COLUMNS($AB$1006:AD1006),$AB$1006:$AQ$1006,0))&gt;=100000), " ",IF(INDEX($AB$2:$AQ$1001,MATCH(ROWS($U$2:U385),$U$2:$U$1001,0),MATCH(COLUMNS($AB$1006:AD1006),$AB$1006:$AQ$1006,0)), HYPERLINK("#",""), HYPERLINK(CONCATENATE("#metadata!", ADDRESS(INDEX($W$2:$W$1001,MATCH(ROWS($U$2:U385),$U$2:$U$1001,0),0), INDEX($AB$1004:$AQ$1004,1,MATCH(COLUMNS($AB$1006:AD1006),$AB$1006:$AQ$1006,0)))),"Fix")))</f>
        <v>0</v>
      </c>
      <c r="E385" s="4">
        <f>IF(OR(INDEX($V$2:$V$1001,MATCH(ROWS($U$2:U385),$U$2:$U$1001,0),1)&gt;=100000,INDEX($AB$1005:$AQ$1005,1,MATCH(COLUMNS($AB$1006:AE1006),$AB$1006:$AQ$1006,0))&gt;=100000), " ",IF(INDEX($AB$2:$AQ$1001,MATCH(ROWS($U$2:U385),$U$2:$U$1001,0),MATCH(COLUMNS($AB$1006:AE1006),$AB$1006:$AQ$1006,0)), HYPERLINK("#",""), HYPERLINK(CONCATENATE("#metadata!", ADDRESS(INDEX($W$2:$W$1001,MATCH(ROWS($U$2:U385),$U$2:$U$1001,0),0), INDEX($AB$1004:$AQ$1004,1,MATCH(COLUMNS($AB$1006:AE1006),$AB$1006:$AQ$1006,0)))),"Fix")))</f>
        <v>0</v>
      </c>
      <c r="F385" s="4">
        <f>IF(OR(INDEX($V$2:$V$1001,MATCH(ROWS($U$2:U385),$U$2:$U$1001,0),1)&gt;=100000,INDEX($AB$1005:$AQ$1005,1,MATCH(COLUMNS($AB$1006:AF1006),$AB$1006:$AQ$1006,0))&gt;=100000), " ",IF(INDEX($AB$2:$AQ$1001,MATCH(ROWS($U$2:U385),$U$2:$U$1001,0),MATCH(COLUMNS($AB$1006:AF1006),$AB$1006:$AQ$1006,0)), HYPERLINK("#",""), HYPERLINK(CONCATENATE("#metadata!", ADDRESS(INDEX($W$2:$W$1001,MATCH(ROWS($U$2:U385),$U$2:$U$1001,0),0), INDEX($AB$1004:$AQ$1004,1,MATCH(COLUMNS($AB$1006:AF1006),$AB$1006:$AQ$1006,0)))),"Fix")))</f>
        <v>0</v>
      </c>
      <c r="G385" s="4">
        <f>IF(OR(INDEX($V$2:$V$1001,MATCH(ROWS($U$2:U385),$U$2:$U$1001,0),1)&gt;=100000,INDEX($AB$1005:$AQ$1005,1,MATCH(COLUMNS($AB$1006:AG1006),$AB$1006:$AQ$1006,0))&gt;=100000), " ",IF(INDEX($AB$2:$AQ$1001,MATCH(ROWS($U$2:U385),$U$2:$U$1001,0),MATCH(COLUMNS($AB$1006:AG1006),$AB$1006:$AQ$1006,0)), HYPERLINK("#",""), HYPERLINK(CONCATENATE("#metadata!", ADDRESS(INDEX($W$2:$W$1001,MATCH(ROWS($U$2:U385),$U$2:$U$1001,0),0), INDEX($AB$1004:$AQ$1004,1,MATCH(COLUMNS($AB$1006:AG1006),$AB$1006:$AQ$1006,0)))),"Fix")))</f>
        <v>0</v>
      </c>
      <c r="H385" s="4">
        <f>IF(OR(INDEX($V$2:$V$1001,MATCH(ROWS($U$2:U385),$U$2:$U$1001,0),1)&gt;=100000,INDEX($AB$1005:$AQ$1005,1,MATCH(COLUMNS($AB$1006:AH1006),$AB$1006:$AQ$1006,0))&gt;=100000), " ",IF(INDEX($AB$2:$AQ$1001,MATCH(ROWS($U$2:U385),$U$2:$U$1001,0),MATCH(COLUMNS($AB$1006:AH1006),$AB$1006:$AQ$1006,0)), HYPERLINK("#",""), HYPERLINK(CONCATENATE("#metadata!", ADDRESS(INDEX($W$2:$W$1001,MATCH(ROWS($U$2:U385),$U$2:$U$1001,0),0), INDEX($AB$1004:$AQ$1004,1,MATCH(COLUMNS($AB$1006:AH1006),$AB$1006:$AQ$1006,0)))),"Fix")))</f>
        <v>0</v>
      </c>
      <c r="I385" s="4">
        <f>IF(OR(INDEX($V$2:$V$1001,MATCH(ROWS($U$2:U385),$U$2:$U$1001,0),1)&gt;=100000,INDEX($AB$1005:$AQ$1005,1,MATCH(COLUMNS($AB$1006:AI1006),$AB$1006:$AQ$1006,0))&gt;=100000), " ",IF(INDEX($AB$2:$AQ$1001,MATCH(ROWS($U$2:U385),$U$2:$U$1001,0),MATCH(COLUMNS($AB$1006:AI1006),$AB$1006:$AQ$1006,0)), HYPERLINK("#",""), HYPERLINK(CONCATENATE("#metadata!", ADDRESS(INDEX($W$2:$W$1001,MATCH(ROWS($U$2:U385),$U$2:$U$1001,0),0), INDEX($AB$1004:$AQ$1004,1,MATCH(COLUMNS($AB$1006:AI1006),$AB$1006:$AQ$1006,0)))),"Fix")))</f>
        <v>0</v>
      </c>
      <c r="J385" s="4">
        <f>IF(OR(INDEX($V$2:$V$1001,MATCH(ROWS($U$2:U385),$U$2:$U$1001,0),1)&gt;=100000,INDEX($AB$1005:$AQ$1005,1,MATCH(COLUMNS($AB$1006:AJ1006),$AB$1006:$AQ$1006,0))&gt;=100000), " ",IF(INDEX($AB$2:$AQ$1001,MATCH(ROWS($U$2:U385),$U$2:$U$1001,0),MATCH(COLUMNS($AB$1006:AJ1006),$AB$1006:$AQ$1006,0)), HYPERLINK("#",""), HYPERLINK(CONCATENATE("#metadata!", ADDRESS(INDEX($W$2:$W$1001,MATCH(ROWS($U$2:U385),$U$2:$U$1001,0),0), INDEX($AB$1004:$AQ$1004,1,MATCH(COLUMNS($AB$1006:AJ1006),$AB$1006:$AQ$1006,0)))),"Fix")))</f>
        <v>0</v>
      </c>
      <c r="K385" s="4">
        <f>IF(OR(INDEX($V$2:$V$1001,MATCH(ROWS($U$2:U385),$U$2:$U$1001,0),1)&gt;=100000,INDEX($AB$1005:$AQ$1005,1,MATCH(COLUMNS($AB$1006:AK1006),$AB$1006:$AQ$1006,0))&gt;=100000), " ",IF(INDEX($AB$2:$AQ$1001,MATCH(ROWS($U$2:U385),$U$2:$U$1001,0),MATCH(COLUMNS($AB$1006:AK1006),$AB$1006:$AQ$1006,0)), HYPERLINK("#",""), HYPERLINK(CONCATENATE("#metadata!", ADDRESS(INDEX($W$2:$W$1001,MATCH(ROWS($U$2:U385),$U$2:$U$1001,0),0), INDEX($AB$1004:$AQ$1004,1,MATCH(COLUMNS($AB$1006:AK1006),$AB$1006:$AQ$1006,0)))),"Fix")))</f>
        <v>0</v>
      </c>
      <c r="L385" s="4">
        <f>IF(OR(INDEX($V$2:$V$1001,MATCH(ROWS($U$2:U385),$U$2:$U$1001,0),1)&gt;=100000,INDEX($AB$1005:$AQ$1005,1,MATCH(COLUMNS($AB$1006:AL1006),$AB$1006:$AQ$1006,0))&gt;=100000), " ",IF(INDEX($AB$2:$AQ$1001,MATCH(ROWS($U$2:U385),$U$2:$U$1001,0),MATCH(COLUMNS($AB$1006:AL1006),$AB$1006:$AQ$1006,0)), HYPERLINK("#",""), HYPERLINK(CONCATENATE("#metadata!", ADDRESS(INDEX($W$2:$W$1001,MATCH(ROWS($U$2:U385),$U$2:$U$1001,0),0), INDEX($AB$1004:$AQ$1004,1,MATCH(COLUMNS($AB$1006:AL1006),$AB$1006:$AQ$1006,0)))),"Fix")))</f>
        <v>0</v>
      </c>
      <c r="M385" s="4">
        <f>IF(OR(INDEX($V$2:$V$1001,MATCH(ROWS($U$2:U385),$U$2:$U$1001,0),1)&gt;=100000,INDEX($AB$1005:$AQ$1005,1,MATCH(COLUMNS($AB$1006:AM1006),$AB$1006:$AQ$1006,0))&gt;=100000), " ",IF(INDEX($AB$2:$AQ$1001,MATCH(ROWS($U$2:U385),$U$2:$U$1001,0),MATCH(COLUMNS($AB$1006:AM1006),$AB$1006:$AQ$1006,0)), HYPERLINK("#",""), HYPERLINK(CONCATENATE("#metadata!", ADDRESS(INDEX($W$2:$W$1001,MATCH(ROWS($U$2:U385),$U$2:$U$1001,0),0), INDEX($AB$1004:$AQ$1004,1,MATCH(COLUMNS($AB$1006:AM1006),$AB$1006:$AQ$1006,0)))),"Fix")))</f>
        <v>0</v>
      </c>
      <c r="N385" s="4">
        <f>IF(OR(INDEX($V$2:$V$1001,MATCH(ROWS($U$2:U385),$U$2:$U$1001,0),1)&gt;=100000,INDEX($AB$1005:$AQ$1005,1,MATCH(COLUMNS($AB$1006:AN1006),$AB$1006:$AQ$1006,0))&gt;=100000), " ",IF(INDEX($AB$2:$AQ$1001,MATCH(ROWS($U$2:U385),$U$2:$U$1001,0),MATCH(COLUMNS($AB$1006:AN1006),$AB$1006:$AQ$1006,0)), HYPERLINK("#",""), HYPERLINK(CONCATENATE("#metadata!", ADDRESS(INDEX($W$2:$W$1001,MATCH(ROWS($U$2:U385),$U$2:$U$1001,0),0), INDEX($AB$1004:$AQ$1004,1,MATCH(COLUMNS($AB$1006:AN1006),$AB$1006:$AQ$1006,0)))),"Fix")))</f>
        <v>0</v>
      </c>
      <c r="O385" s="4">
        <f>IF(OR(INDEX($V$2:$V$1001,MATCH(ROWS($U$2:U385),$U$2:$U$1001,0),1)&gt;=100000,INDEX($AB$1005:$AQ$1005,1,MATCH(COLUMNS($AB$1006:AO1006),$AB$1006:$AQ$1006,0))&gt;=100000), " ",IF(INDEX($AB$2:$AQ$1001,MATCH(ROWS($U$2:U385),$U$2:$U$1001,0),MATCH(COLUMNS($AB$1006:AO1006),$AB$1006:$AQ$1006,0)), HYPERLINK("#",""), HYPERLINK(CONCATENATE("#metadata!", ADDRESS(INDEX($W$2:$W$1001,MATCH(ROWS($U$2:U385),$U$2:$U$1001,0),0), INDEX($AB$1004:$AQ$1004,1,MATCH(COLUMNS($AB$1006:AO1006),$AB$1006:$AQ$1006,0)))),"Fix")))</f>
        <v>0</v>
      </c>
      <c r="P385" s="4">
        <f>IF(OR(INDEX($V$2:$V$1001,MATCH(ROWS($U$2:U385),$U$2:$U$1001,0),1)&gt;=100000,INDEX($AB$1005:$AQ$1005,1,MATCH(COLUMNS($AB$1006:AP1006),$AB$1006:$AQ$1006,0))&gt;=100000), " ",IF(INDEX($AB$2:$AQ$1001,MATCH(ROWS($U$2:U385),$U$2:$U$1001,0),MATCH(COLUMNS($AB$1006:AP1006),$AB$1006:$AQ$1006,0)), HYPERLINK("#",""), HYPERLINK(CONCATENATE("#metadata!", ADDRESS(INDEX($W$2:$W$1001,MATCH(ROWS($U$2:U385),$U$2:$U$1001,0),0), INDEX($AB$1004:$AQ$1004,1,MATCH(COLUMNS($AB$1006:AP1006),$AB$1006:$AQ$1006,0)))),"Fix")))</f>
        <v>0</v>
      </c>
      <c r="Q385" s="4">
        <f>IF(OR(INDEX($V$2:$V$1001,MATCH(ROWS($U$2:U385),$U$2:$U$1001,0),1)&gt;=100000,INDEX($AB$1005:$AQ$1005,1,MATCH(COLUMNS($AB$1006:AQ1006),$AB$1006:$AQ$1006,0))&gt;=100000), " ",IF(INDEX($AB$2:$AQ$1001,MATCH(ROWS($U$2:U385),$U$2:$U$1001,0),MATCH(COLUMNS($AB$1006:AQ1006),$AB$1006:$AQ$1006,0)), HYPERLINK("#",""), HYPERLINK(CONCATENATE("#metadata!", ADDRESS(INDEX($W$2:$W$1001,MATCH(ROWS($U$2:U385),$U$2:$U$1001,0),0), INDEX($AB$1004:$AQ$1004,1,MATCH(COLUMNS($AB$1006:AQ1006),$AB$1006:$AQ$1006,0)))),"Fix")))</f>
        <v>0</v>
      </c>
      <c r="U385">
        <v>0</v>
      </c>
      <c r="V385">
        <v>0</v>
      </c>
      <c r="W385">
        <v>0</v>
      </c>
      <c r="X385">
        <f>IF(Y385,TRUE,AND(AB385:AQ385))</f>
        <v>0</v>
      </c>
      <c r="Y385">
        <f>COUNTBLANK(metadata!B385:Q385)=COLUMNS(metadata!B385:Q385)</f>
        <v>0</v>
      </c>
      <c r="Z385">
        <v>0</v>
      </c>
      <c r="AB385">
        <f>AND(IF(metadata!B385="",FALSE,TRUE),COUNTIF(metadata!B:B, metadata!B385) = 1,NOT(ISERROR(SUMPRODUCT(SEARCH(MID(metadata!B385,ROW(INDIRECT("1:"&amp;LEN(metadata!B385))), 1),"0123456789abcdefghijklmnopqrstuvwxyzABCDEFGHIJKLMNOPQRSTUVWXYZ.")))))</f>
        <v>0</v>
      </c>
      <c r="AC385">
        <f>OR(AND(IF(metadata!C385="",FALSE,TRUE),OR(exact(metadata!C385,"missing: not collected"),exact(metadata!C385,"missing: not provided"),exact(metadata!C385,"missing: restricted access"))),AND(IF(metadata!C385="",FALSE,TRUE),AND(AND(IFERROR(INT(LEFT(metadata!C385,4))&gt;1900,FALSE),IFERROR(INT(LEFT(metadata!C385,4))&lt;=YEAR(NOW()),FALSE)), OR(MID(metadata!C385,5,1)="", AND(AND(MID(metadata!C385,5,1)="-",IFERROR(INT(MID(metadata!C385,6,1))&gt;=0,FALSE),IFERROR(INT(MID(metadata!C385,6,1))&lt;=1,FALSE),NOT(MID(metadata!C385,7,1)=""),IFERROR(INT(MID(metadata!C385,6,2))&gt;=1,FALSE),IFERROR(INT(MID(metadata!C385,6,2))&lt;=12,FALSE)), OR(MID(metadata!C385,8,1)="", AND(AND(MID(metadata!C385,8,1)="-",IFERROR(INT(MID(metadata!C385,9,1))&gt;=0,FALSE),IFERROR(INT(MID(metadata!C385,9,1))&lt;=3,FALSE),NOT(MID(metadata!C385,10,1)=""),IFERROR(INT(MID(metadata!C385,9,2))&gt;=1,FALSE),IFERROR(INT(MID(metadata!C385,9,2))&lt;=31,FALSE)), OR(MID(metadata!C385,11,1)="", AND(AND(MID(metadata!C385,11,1)=" ",IFERROR(INT(MID(metadata!C385,12,1))&gt;=0,FALSE),IFERROR(INT(MID(metadata!C385,12,1))&lt;=2,FALSE),NOT(MID(metadata!C385,13,1)=""),IFERROR(INT(MID(metadata!C385,12,2))&gt;=0,FALSE),IFERROR(INT(MID(metadata!C385,12,2))&lt;=23,FALSE)), OR(MID(metadata!C385,14,1)="", AND(AND(MID(metadata!C385,14,1)=":",IFERROR(INT(MID(metadata!C385,15,1))&gt;=0,FALSE),IFERROR(INT(MID(metadata!C385,15,1))&lt;=5,FALSE),NOT(MID(metadata!C385,16,1)=""),IFERROR(INT(MID(metadata!C385,15,2))&gt;=0,FALSE),IFERROR(INT(MID(metadata!C385,15,2))&lt;=59,FALSE)), OR(MID(metadata!C385,17,1)="", AND(AND(MID(metadata!C385,17,1)=":",IFERROR(INT(MID(metadata!C385,18,1))&gt;=0,FALSE),IFERROR(INT(MID(metadata!C385,18,1))&lt;=5,FALSE),NOT(MID(metadata!C385,19,1)=""),IFERROR(INT(MID(metadata!C385,18,2))&gt;=0,FALSE),IFERROR(INT(MID(metadata!C385,18,2))&lt;=59,FALSE)), LEN(metadata!C385)&lt;=19)))))))))))))</f>
        <v>0</v>
      </c>
      <c r="AD385">
        <f>IF(metadata!D385="",FALSE,TRUE)</f>
        <v>0</v>
      </c>
      <c r="AE385">
        <f>OR(AND(IF(metadata!E385="",FALSE,TRUE),OR(exact(metadata!E385,"missing: not collected"),exact(metadata!E385,"missing: not provided"))),AND(IF(metadata!E385="",FALSE,TRUE),OR(exact(metadata!E385,"TRUE"),exact(metadata!E385,"FALSE"))))</f>
        <v>0</v>
      </c>
      <c r="AF385">
        <f>IF(metadata!F385="",FALSE,TRUE)</f>
        <v>0</v>
      </c>
      <c r="AG385">
        <f>IF(metadata!G385="",FALSE,TRUE)</f>
        <v>0</v>
      </c>
      <c r="AH385">
        <f>IF(metadata!H385="",FALSE,TRUE)</f>
        <v>0</v>
      </c>
      <c r="AI385">
        <f>OR(AND(IF(metadata!I385="",FALSE,TRUE),OR(exact(metadata!I385,"missing: not collected"),exact(metadata!I385,"missing: not provided"),exact(metadata!I385,"missing: restricted access"))),AND(IF(metadata!I385="",FALSE,TRUE),OR(exact(metadata!I385,"air"),exact(metadata!I385,"built environment"),exact(metadata!I385,"host-associated"),exact(metadata!I385,"human-associated"),exact(metadata!I385,"human-skin"),exact(metadata!I385,"human-oral"),exact(metadata!I385,"human-gut"),exact(metadata!I385,"human-vaginal"),exact(metadata!I385,"microbial mat/biofilm"),exact(metadata!I385,"misc environment"),exact(metadata!I385,"plant-associated"),exact(metadata!I385,"sediment"),exact(metadata!I385,"soil"),exact(metadata!I385,"wastewater/sludge"),exact(metadata!I385,"water"))))</f>
        <v>0</v>
      </c>
      <c r="AJ385">
        <f>IF(metadata!J385="",FALSE,TRUE)</f>
        <v>0</v>
      </c>
      <c r="AK385">
        <f>OR(AND(IF(metadata!K385="",FALSE,TRUE),OR(exact(metadata!K385,"missing: not collected"),exact(metadata!K385,"missing: not provided"),exact(metadata!K385,"missing: restricted access"))),AND(IF(metadata!K385="",FALSE,ISNUMBER(VALUE(metadata!K385))),metadata!K385&gt;=-90.00,metadata!K385&lt;=90.00))</f>
        <v>0</v>
      </c>
      <c r="AL385">
        <f>OR(AND(IF(metadata!L385="",FALSE,TRUE),OR(exact(metadata!L385,"missing: not collected"),exact(metadata!L385,"missing: not provided"),exact(metadata!L385,"missing: restricted access"))),AND(IF(metadata!L385="",FALSE,ISNUMBER(VALUE(metadata!L385))),metadata!L385&gt;=-180.00,metadata!L385&lt;=180.00))</f>
        <v>0</v>
      </c>
      <c r="AM385">
        <f>IF(metadata!M385="",FALSE,TRUE)</f>
        <v>0</v>
      </c>
      <c r="AN385">
        <f>OR(AND(IF(metadata!N385="",FALSE,TRUE),OR(exact(metadata!N385,"missing: not collected"),exact(metadata!N385,"missing: not provided"),exact(metadata!N385,"missing: restricted access"))),AND(IF(metadata!N385="",FALSE,TRUE),OR(exact(metadata!N385,"TRUE"),exact(metadata!N385,"FALSE"))))</f>
        <v>0</v>
      </c>
      <c r="AO385">
        <f>IF(metadata!O385="",FALSE,TRUE)</f>
        <v>0</v>
      </c>
      <c r="AP385">
        <f>OR(AND(IF(metadata!P385="",FALSE,TRUE),OR(exact(metadata!P385,"missing: not collected"),exact(metadata!P385,"missing: not provided"))),AND(IF(metadata!P385="",FALSE,IF(ISERROR(INT(metadata!P385)),FALSE,INT(metadata!P385)=metadata!P385)),metadata!P385&gt;0))</f>
        <v>0</v>
      </c>
      <c r="AQ385">
        <f>IF(metadata!Q385="",FALSE,TRUE)</f>
        <v>0</v>
      </c>
    </row>
    <row r="386" spans="1:43">
      <c r="A386" s="5">
        <f>IF(B386=" "," ",HYPERLINK(CONCATENATE("#metadata!",ADDRESS(INDEX($W$2:$W$1001,MATCH(ROWS($U$2:U386),$U$2:$U$1001,0),0),1)),INDEX($Z$2:$Z$1001,MATCH(ROWS($U$2:U386),$U$2:$U$1001,0),0)))</f>
        <v>0</v>
      </c>
      <c r="B386" s="4">
        <f>IF(OR(INDEX($V$2:$V$1001,MATCH(ROWS($U$2:U386),$U$2:$U$1001,0),1)&gt;=100000,INDEX($AB$1005:$AQ$1005,1,MATCH(COLUMNS($AB$1006:AB1006),$AB$1006:$AQ$1006,0))&gt;=100000), " ",IF(INDEX($AB$2:$AQ$1001,MATCH(ROWS($U$2:U386),$U$2:$U$1001,0),MATCH(COLUMNS($AB$1006:AB1006),$AB$1006:$AQ$1006,0)), HYPERLINK("#",""), HYPERLINK(CONCATENATE("#metadata!", ADDRESS(INDEX($W$2:$W$1001,MATCH(ROWS($U$2:U386),$U$2:$U$1001,0),0), INDEX($AB$1004:$AQ$1004,1,MATCH(COLUMNS($AB$1006:AB1006),$AB$1006:$AQ$1006,0)))),"Fix")))</f>
        <v>0</v>
      </c>
      <c r="C386" s="4">
        <f>IF(OR(INDEX($V$2:$V$1001,MATCH(ROWS($U$2:U386),$U$2:$U$1001,0),1)&gt;=100000,INDEX($AB$1005:$AQ$1005,1,MATCH(COLUMNS($AB$1006:AC1006),$AB$1006:$AQ$1006,0))&gt;=100000), " ",IF(INDEX($AB$2:$AQ$1001,MATCH(ROWS($U$2:U386),$U$2:$U$1001,0),MATCH(COLUMNS($AB$1006:AC1006),$AB$1006:$AQ$1006,0)), HYPERLINK("#",""), HYPERLINK(CONCATENATE("#metadata!", ADDRESS(INDEX($W$2:$W$1001,MATCH(ROWS($U$2:U386),$U$2:$U$1001,0),0), INDEX($AB$1004:$AQ$1004,1,MATCH(COLUMNS($AB$1006:AC1006),$AB$1006:$AQ$1006,0)))),"Fix")))</f>
        <v>0</v>
      </c>
      <c r="D386" s="4">
        <f>IF(OR(INDEX($V$2:$V$1001,MATCH(ROWS($U$2:U386),$U$2:$U$1001,0),1)&gt;=100000,INDEX($AB$1005:$AQ$1005,1,MATCH(COLUMNS($AB$1006:AD1006),$AB$1006:$AQ$1006,0))&gt;=100000), " ",IF(INDEX($AB$2:$AQ$1001,MATCH(ROWS($U$2:U386),$U$2:$U$1001,0),MATCH(COLUMNS($AB$1006:AD1006),$AB$1006:$AQ$1006,0)), HYPERLINK("#",""), HYPERLINK(CONCATENATE("#metadata!", ADDRESS(INDEX($W$2:$W$1001,MATCH(ROWS($U$2:U386),$U$2:$U$1001,0),0), INDEX($AB$1004:$AQ$1004,1,MATCH(COLUMNS($AB$1006:AD1006),$AB$1006:$AQ$1006,0)))),"Fix")))</f>
        <v>0</v>
      </c>
      <c r="E386" s="4">
        <f>IF(OR(INDEX($V$2:$V$1001,MATCH(ROWS($U$2:U386),$U$2:$U$1001,0),1)&gt;=100000,INDEX($AB$1005:$AQ$1005,1,MATCH(COLUMNS($AB$1006:AE1006),$AB$1006:$AQ$1006,0))&gt;=100000), " ",IF(INDEX($AB$2:$AQ$1001,MATCH(ROWS($U$2:U386),$U$2:$U$1001,0),MATCH(COLUMNS($AB$1006:AE1006),$AB$1006:$AQ$1006,0)), HYPERLINK("#",""), HYPERLINK(CONCATENATE("#metadata!", ADDRESS(INDEX($W$2:$W$1001,MATCH(ROWS($U$2:U386),$U$2:$U$1001,0),0), INDEX($AB$1004:$AQ$1004,1,MATCH(COLUMNS($AB$1006:AE1006),$AB$1006:$AQ$1006,0)))),"Fix")))</f>
        <v>0</v>
      </c>
      <c r="F386" s="4">
        <f>IF(OR(INDEX($V$2:$V$1001,MATCH(ROWS($U$2:U386),$U$2:$U$1001,0),1)&gt;=100000,INDEX($AB$1005:$AQ$1005,1,MATCH(COLUMNS($AB$1006:AF1006),$AB$1006:$AQ$1006,0))&gt;=100000), " ",IF(INDEX($AB$2:$AQ$1001,MATCH(ROWS($U$2:U386),$U$2:$U$1001,0),MATCH(COLUMNS($AB$1006:AF1006),$AB$1006:$AQ$1006,0)), HYPERLINK("#",""), HYPERLINK(CONCATENATE("#metadata!", ADDRESS(INDEX($W$2:$W$1001,MATCH(ROWS($U$2:U386),$U$2:$U$1001,0),0), INDEX($AB$1004:$AQ$1004,1,MATCH(COLUMNS($AB$1006:AF1006),$AB$1006:$AQ$1006,0)))),"Fix")))</f>
        <v>0</v>
      </c>
      <c r="G386" s="4">
        <f>IF(OR(INDEX($V$2:$V$1001,MATCH(ROWS($U$2:U386),$U$2:$U$1001,0),1)&gt;=100000,INDEX($AB$1005:$AQ$1005,1,MATCH(COLUMNS($AB$1006:AG1006),$AB$1006:$AQ$1006,0))&gt;=100000), " ",IF(INDEX($AB$2:$AQ$1001,MATCH(ROWS($U$2:U386),$U$2:$U$1001,0),MATCH(COLUMNS($AB$1006:AG1006),$AB$1006:$AQ$1006,0)), HYPERLINK("#",""), HYPERLINK(CONCATENATE("#metadata!", ADDRESS(INDEX($W$2:$W$1001,MATCH(ROWS($U$2:U386),$U$2:$U$1001,0),0), INDEX($AB$1004:$AQ$1004,1,MATCH(COLUMNS($AB$1006:AG1006),$AB$1006:$AQ$1006,0)))),"Fix")))</f>
        <v>0</v>
      </c>
      <c r="H386" s="4">
        <f>IF(OR(INDEX($V$2:$V$1001,MATCH(ROWS($U$2:U386),$U$2:$U$1001,0),1)&gt;=100000,INDEX($AB$1005:$AQ$1005,1,MATCH(COLUMNS($AB$1006:AH1006),$AB$1006:$AQ$1006,0))&gt;=100000), " ",IF(INDEX($AB$2:$AQ$1001,MATCH(ROWS($U$2:U386),$U$2:$U$1001,0),MATCH(COLUMNS($AB$1006:AH1006),$AB$1006:$AQ$1006,0)), HYPERLINK("#",""), HYPERLINK(CONCATENATE("#metadata!", ADDRESS(INDEX($W$2:$W$1001,MATCH(ROWS($U$2:U386),$U$2:$U$1001,0),0), INDEX($AB$1004:$AQ$1004,1,MATCH(COLUMNS($AB$1006:AH1006),$AB$1006:$AQ$1006,0)))),"Fix")))</f>
        <v>0</v>
      </c>
      <c r="I386" s="4">
        <f>IF(OR(INDEX($V$2:$V$1001,MATCH(ROWS($U$2:U386),$U$2:$U$1001,0),1)&gt;=100000,INDEX($AB$1005:$AQ$1005,1,MATCH(COLUMNS($AB$1006:AI1006),$AB$1006:$AQ$1006,0))&gt;=100000), " ",IF(INDEX($AB$2:$AQ$1001,MATCH(ROWS($U$2:U386),$U$2:$U$1001,0),MATCH(COLUMNS($AB$1006:AI1006),$AB$1006:$AQ$1006,0)), HYPERLINK("#",""), HYPERLINK(CONCATENATE("#metadata!", ADDRESS(INDEX($W$2:$W$1001,MATCH(ROWS($U$2:U386),$U$2:$U$1001,0),0), INDEX($AB$1004:$AQ$1004,1,MATCH(COLUMNS($AB$1006:AI1006),$AB$1006:$AQ$1006,0)))),"Fix")))</f>
        <v>0</v>
      </c>
      <c r="J386" s="4">
        <f>IF(OR(INDEX($V$2:$V$1001,MATCH(ROWS($U$2:U386),$U$2:$U$1001,0),1)&gt;=100000,INDEX($AB$1005:$AQ$1005,1,MATCH(COLUMNS($AB$1006:AJ1006),$AB$1006:$AQ$1006,0))&gt;=100000), " ",IF(INDEX($AB$2:$AQ$1001,MATCH(ROWS($U$2:U386),$U$2:$U$1001,0),MATCH(COLUMNS($AB$1006:AJ1006),$AB$1006:$AQ$1006,0)), HYPERLINK("#",""), HYPERLINK(CONCATENATE("#metadata!", ADDRESS(INDEX($W$2:$W$1001,MATCH(ROWS($U$2:U386),$U$2:$U$1001,0),0), INDEX($AB$1004:$AQ$1004,1,MATCH(COLUMNS($AB$1006:AJ1006),$AB$1006:$AQ$1006,0)))),"Fix")))</f>
        <v>0</v>
      </c>
      <c r="K386" s="4">
        <f>IF(OR(INDEX($V$2:$V$1001,MATCH(ROWS($U$2:U386),$U$2:$U$1001,0),1)&gt;=100000,INDEX($AB$1005:$AQ$1005,1,MATCH(COLUMNS($AB$1006:AK1006),$AB$1006:$AQ$1006,0))&gt;=100000), " ",IF(INDEX($AB$2:$AQ$1001,MATCH(ROWS($U$2:U386),$U$2:$U$1001,0),MATCH(COLUMNS($AB$1006:AK1006),$AB$1006:$AQ$1006,0)), HYPERLINK("#",""), HYPERLINK(CONCATENATE("#metadata!", ADDRESS(INDEX($W$2:$W$1001,MATCH(ROWS($U$2:U386),$U$2:$U$1001,0),0), INDEX($AB$1004:$AQ$1004,1,MATCH(COLUMNS($AB$1006:AK1006),$AB$1006:$AQ$1006,0)))),"Fix")))</f>
        <v>0</v>
      </c>
      <c r="L386" s="4">
        <f>IF(OR(INDEX($V$2:$V$1001,MATCH(ROWS($U$2:U386),$U$2:$U$1001,0),1)&gt;=100000,INDEX($AB$1005:$AQ$1005,1,MATCH(COLUMNS($AB$1006:AL1006),$AB$1006:$AQ$1006,0))&gt;=100000), " ",IF(INDEX($AB$2:$AQ$1001,MATCH(ROWS($U$2:U386),$U$2:$U$1001,0),MATCH(COLUMNS($AB$1006:AL1006),$AB$1006:$AQ$1006,0)), HYPERLINK("#",""), HYPERLINK(CONCATENATE("#metadata!", ADDRESS(INDEX($W$2:$W$1001,MATCH(ROWS($U$2:U386),$U$2:$U$1001,0),0), INDEX($AB$1004:$AQ$1004,1,MATCH(COLUMNS($AB$1006:AL1006),$AB$1006:$AQ$1006,0)))),"Fix")))</f>
        <v>0</v>
      </c>
      <c r="M386" s="4">
        <f>IF(OR(INDEX($V$2:$V$1001,MATCH(ROWS($U$2:U386),$U$2:$U$1001,0),1)&gt;=100000,INDEX($AB$1005:$AQ$1005,1,MATCH(COLUMNS($AB$1006:AM1006),$AB$1006:$AQ$1006,0))&gt;=100000), " ",IF(INDEX($AB$2:$AQ$1001,MATCH(ROWS($U$2:U386),$U$2:$U$1001,0),MATCH(COLUMNS($AB$1006:AM1006),$AB$1006:$AQ$1006,0)), HYPERLINK("#",""), HYPERLINK(CONCATENATE("#metadata!", ADDRESS(INDEX($W$2:$W$1001,MATCH(ROWS($U$2:U386),$U$2:$U$1001,0),0), INDEX($AB$1004:$AQ$1004,1,MATCH(COLUMNS($AB$1006:AM1006),$AB$1006:$AQ$1006,0)))),"Fix")))</f>
        <v>0</v>
      </c>
      <c r="N386" s="4">
        <f>IF(OR(INDEX($V$2:$V$1001,MATCH(ROWS($U$2:U386),$U$2:$U$1001,0),1)&gt;=100000,INDEX($AB$1005:$AQ$1005,1,MATCH(COLUMNS($AB$1006:AN1006),$AB$1006:$AQ$1006,0))&gt;=100000), " ",IF(INDEX($AB$2:$AQ$1001,MATCH(ROWS($U$2:U386),$U$2:$U$1001,0),MATCH(COLUMNS($AB$1006:AN1006),$AB$1006:$AQ$1006,0)), HYPERLINK("#",""), HYPERLINK(CONCATENATE("#metadata!", ADDRESS(INDEX($W$2:$W$1001,MATCH(ROWS($U$2:U386),$U$2:$U$1001,0),0), INDEX($AB$1004:$AQ$1004,1,MATCH(COLUMNS($AB$1006:AN1006),$AB$1006:$AQ$1006,0)))),"Fix")))</f>
        <v>0</v>
      </c>
      <c r="O386" s="4">
        <f>IF(OR(INDEX($V$2:$V$1001,MATCH(ROWS($U$2:U386),$U$2:$U$1001,0),1)&gt;=100000,INDEX($AB$1005:$AQ$1005,1,MATCH(COLUMNS($AB$1006:AO1006),$AB$1006:$AQ$1006,0))&gt;=100000), " ",IF(INDEX($AB$2:$AQ$1001,MATCH(ROWS($U$2:U386),$U$2:$U$1001,0),MATCH(COLUMNS($AB$1006:AO1006),$AB$1006:$AQ$1006,0)), HYPERLINK("#",""), HYPERLINK(CONCATENATE("#metadata!", ADDRESS(INDEX($W$2:$W$1001,MATCH(ROWS($U$2:U386),$U$2:$U$1001,0),0), INDEX($AB$1004:$AQ$1004,1,MATCH(COLUMNS($AB$1006:AO1006),$AB$1006:$AQ$1006,0)))),"Fix")))</f>
        <v>0</v>
      </c>
      <c r="P386" s="4">
        <f>IF(OR(INDEX($V$2:$V$1001,MATCH(ROWS($U$2:U386),$U$2:$U$1001,0),1)&gt;=100000,INDEX($AB$1005:$AQ$1005,1,MATCH(COLUMNS($AB$1006:AP1006),$AB$1006:$AQ$1006,0))&gt;=100000), " ",IF(INDEX($AB$2:$AQ$1001,MATCH(ROWS($U$2:U386),$U$2:$U$1001,0),MATCH(COLUMNS($AB$1006:AP1006),$AB$1006:$AQ$1006,0)), HYPERLINK("#",""), HYPERLINK(CONCATENATE("#metadata!", ADDRESS(INDEX($W$2:$W$1001,MATCH(ROWS($U$2:U386),$U$2:$U$1001,0),0), INDEX($AB$1004:$AQ$1004,1,MATCH(COLUMNS($AB$1006:AP1006),$AB$1006:$AQ$1006,0)))),"Fix")))</f>
        <v>0</v>
      </c>
      <c r="Q386" s="4">
        <f>IF(OR(INDEX($V$2:$V$1001,MATCH(ROWS($U$2:U386),$U$2:$U$1001,0),1)&gt;=100000,INDEX($AB$1005:$AQ$1005,1,MATCH(COLUMNS($AB$1006:AQ1006),$AB$1006:$AQ$1006,0))&gt;=100000), " ",IF(INDEX($AB$2:$AQ$1001,MATCH(ROWS($U$2:U386),$U$2:$U$1001,0),MATCH(COLUMNS($AB$1006:AQ1006),$AB$1006:$AQ$1006,0)), HYPERLINK("#",""), HYPERLINK(CONCATENATE("#metadata!", ADDRESS(INDEX($W$2:$W$1001,MATCH(ROWS($U$2:U386),$U$2:$U$1001,0),0), INDEX($AB$1004:$AQ$1004,1,MATCH(COLUMNS($AB$1006:AQ1006),$AB$1006:$AQ$1006,0)))),"Fix")))</f>
        <v>0</v>
      </c>
      <c r="U386">
        <v>0</v>
      </c>
      <c r="V386">
        <v>0</v>
      </c>
      <c r="W386">
        <v>0</v>
      </c>
      <c r="X386">
        <f>IF(Y386,TRUE,AND(AB386:AQ386))</f>
        <v>0</v>
      </c>
      <c r="Y386">
        <f>COUNTBLANK(metadata!B386:Q386)=COLUMNS(metadata!B386:Q386)</f>
        <v>0</v>
      </c>
      <c r="Z386">
        <v>0</v>
      </c>
      <c r="AB386">
        <f>AND(IF(metadata!B386="",FALSE,TRUE),COUNTIF(metadata!B:B, metadata!B386) = 1,NOT(ISERROR(SUMPRODUCT(SEARCH(MID(metadata!B386,ROW(INDIRECT("1:"&amp;LEN(metadata!B386))), 1),"0123456789abcdefghijklmnopqrstuvwxyzABCDEFGHIJKLMNOPQRSTUVWXYZ.")))))</f>
        <v>0</v>
      </c>
      <c r="AC386">
        <f>OR(AND(IF(metadata!C386="",FALSE,TRUE),OR(exact(metadata!C386,"missing: not collected"),exact(metadata!C386,"missing: not provided"),exact(metadata!C386,"missing: restricted access"))),AND(IF(metadata!C386="",FALSE,TRUE),AND(AND(IFERROR(INT(LEFT(metadata!C386,4))&gt;1900,FALSE),IFERROR(INT(LEFT(metadata!C386,4))&lt;=YEAR(NOW()),FALSE)), OR(MID(metadata!C386,5,1)="", AND(AND(MID(metadata!C386,5,1)="-",IFERROR(INT(MID(metadata!C386,6,1))&gt;=0,FALSE),IFERROR(INT(MID(metadata!C386,6,1))&lt;=1,FALSE),NOT(MID(metadata!C386,7,1)=""),IFERROR(INT(MID(metadata!C386,6,2))&gt;=1,FALSE),IFERROR(INT(MID(metadata!C386,6,2))&lt;=12,FALSE)), OR(MID(metadata!C386,8,1)="", AND(AND(MID(metadata!C386,8,1)="-",IFERROR(INT(MID(metadata!C386,9,1))&gt;=0,FALSE),IFERROR(INT(MID(metadata!C386,9,1))&lt;=3,FALSE),NOT(MID(metadata!C386,10,1)=""),IFERROR(INT(MID(metadata!C386,9,2))&gt;=1,FALSE),IFERROR(INT(MID(metadata!C386,9,2))&lt;=31,FALSE)), OR(MID(metadata!C386,11,1)="", AND(AND(MID(metadata!C386,11,1)=" ",IFERROR(INT(MID(metadata!C386,12,1))&gt;=0,FALSE),IFERROR(INT(MID(metadata!C386,12,1))&lt;=2,FALSE),NOT(MID(metadata!C386,13,1)=""),IFERROR(INT(MID(metadata!C386,12,2))&gt;=0,FALSE),IFERROR(INT(MID(metadata!C386,12,2))&lt;=23,FALSE)), OR(MID(metadata!C386,14,1)="", AND(AND(MID(metadata!C386,14,1)=":",IFERROR(INT(MID(metadata!C386,15,1))&gt;=0,FALSE),IFERROR(INT(MID(metadata!C386,15,1))&lt;=5,FALSE),NOT(MID(metadata!C386,16,1)=""),IFERROR(INT(MID(metadata!C386,15,2))&gt;=0,FALSE),IFERROR(INT(MID(metadata!C386,15,2))&lt;=59,FALSE)), OR(MID(metadata!C386,17,1)="", AND(AND(MID(metadata!C386,17,1)=":",IFERROR(INT(MID(metadata!C386,18,1))&gt;=0,FALSE),IFERROR(INT(MID(metadata!C386,18,1))&lt;=5,FALSE),NOT(MID(metadata!C386,19,1)=""),IFERROR(INT(MID(metadata!C386,18,2))&gt;=0,FALSE),IFERROR(INT(MID(metadata!C386,18,2))&lt;=59,FALSE)), LEN(metadata!C386)&lt;=19)))))))))))))</f>
        <v>0</v>
      </c>
      <c r="AD386">
        <f>IF(metadata!D386="",FALSE,TRUE)</f>
        <v>0</v>
      </c>
      <c r="AE386">
        <f>OR(AND(IF(metadata!E386="",FALSE,TRUE),OR(exact(metadata!E386,"missing: not collected"),exact(metadata!E386,"missing: not provided"))),AND(IF(metadata!E386="",FALSE,TRUE),OR(exact(metadata!E386,"TRUE"),exact(metadata!E386,"FALSE"))))</f>
        <v>0</v>
      </c>
      <c r="AF386">
        <f>IF(metadata!F386="",FALSE,TRUE)</f>
        <v>0</v>
      </c>
      <c r="AG386">
        <f>IF(metadata!G386="",FALSE,TRUE)</f>
        <v>0</v>
      </c>
      <c r="AH386">
        <f>IF(metadata!H386="",FALSE,TRUE)</f>
        <v>0</v>
      </c>
      <c r="AI386">
        <f>OR(AND(IF(metadata!I386="",FALSE,TRUE),OR(exact(metadata!I386,"missing: not collected"),exact(metadata!I386,"missing: not provided"),exact(metadata!I386,"missing: restricted access"))),AND(IF(metadata!I386="",FALSE,TRUE),OR(exact(metadata!I386,"air"),exact(metadata!I386,"built environment"),exact(metadata!I386,"host-associated"),exact(metadata!I386,"human-associated"),exact(metadata!I386,"human-skin"),exact(metadata!I386,"human-oral"),exact(metadata!I386,"human-gut"),exact(metadata!I386,"human-vaginal"),exact(metadata!I386,"microbial mat/biofilm"),exact(metadata!I386,"misc environment"),exact(metadata!I386,"plant-associated"),exact(metadata!I386,"sediment"),exact(metadata!I386,"soil"),exact(metadata!I386,"wastewater/sludge"),exact(metadata!I386,"water"))))</f>
        <v>0</v>
      </c>
      <c r="AJ386">
        <f>IF(metadata!J386="",FALSE,TRUE)</f>
        <v>0</v>
      </c>
      <c r="AK386">
        <f>OR(AND(IF(metadata!K386="",FALSE,TRUE),OR(exact(metadata!K386,"missing: not collected"),exact(metadata!K386,"missing: not provided"),exact(metadata!K386,"missing: restricted access"))),AND(IF(metadata!K386="",FALSE,ISNUMBER(VALUE(metadata!K386))),metadata!K386&gt;=-90.00,metadata!K386&lt;=90.00))</f>
        <v>0</v>
      </c>
      <c r="AL386">
        <f>OR(AND(IF(metadata!L386="",FALSE,TRUE),OR(exact(metadata!L386,"missing: not collected"),exact(metadata!L386,"missing: not provided"),exact(metadata!L386,"missing: restricted access"))),AND(IF(metadata!L386="",FALSE,ISNUMBER(VALUE(metadata!L386))),metadata!L386&gt;=-180.00,metadata!L386&lt;=180.00))</f>
        <v>0</v>
      </c>
      <c r="AM386">
        <f>IF(metadata!M386="",FALSE,TRUE)</f>
        <v>0</v>
      </c>
      <c r="AN386">
        <f>OR(AND(IF(metadata!N386="",FALSE,TRUE),OR(exact(metadata!N386,"missing: not collected"),exact(metadata!N386,"missing: not provided"),exact(metadata!N386,"missing: restricted access"))),AND(IF(metadata!N386="",FALSE,TRUE),OR(exact(metadata!N386,"TRUE"),exact(metadata!N386,"FALSE"))))</f>
        <v>0</v>
      </c>
      <c r="AO386">
        <f>IF(metadata!O386="",FALSE,TRUE)</f>
        <v>0</v>
      </c>
      <c r="AP386">
        <f>OR(AND(IF(metadata!P386="",FALSE,TRUE),OR(exact(metadata!P386,"missing: not collected"),exact(metadata!P386,"missing: not provided"))),AND(IF(metadata!P386="",FALSE,IF(ISERROR(INT(metadata!P386)),FALSE,INT(metadata!P386)=metadata!P386)),metadata!P386&gt;0))</f>
        <v>0</v>
      </c>
      <c r="AQ386">
        <f>IF(metadata!Q386="",FALSE,TRUE)</f>
        <v>0</v>
      </c>
    </row>
    <row r="387" spans="1:43">
      <c r="A387" s="5">
        <f>IF(B387=" "," ",HYPERLINK(CONCATENATE("#metadata!",ADDRESS(INDEX($W$2:$W$1001,MATCH(ROWS($U$2:U387),$U$2:$U$1001,0),0),1)),INDEX($Z$2:$Z$1001,MATCH(ROWS($U$2:U387),$U$2:$U$1001,0),0)))</f>
        <v>0</v>
      </c>
      <c r="B387" s="4">
        <f>IF(OR(INDEX($V$2:$V$1001,MATCH(ROWS($U$2:U387),$U$2:$U$1001,0),1)&gt;=100000,INDEX($AB$1005:$AQ$1005,1,MATCH(COLUMNS($AB$1006:AB1006),$AB$1006:$AQ$1006,0))&gt;=100000), " ",IF(INDEX($AB$2:$AQ$1001,MATCH(ROWS($U$2:U387),$U$2:$U$1001,0),MATCH(COLUMNS($AB$1006:AB1006),$AB$1006:$AQ$1006,0)), HYPERLINK("#",""), HYPERLINK(CONCATENATE("#metadata!", ADDRESS(INDEX($W$2:$W$1001,MATCH(ROWS($U$2:U387),$U$2:$U$1001,0),0), INDEX($AB$1004:$AQ$1004,1,MATCH(COLUMNS($AB$1006:AB1006),$AB$1006:$AQ$1006,0)))),"Fix")))</f>
        <v>0</v>
      </c>
      <c r="C387" s="4">
        <f>IF(OR(INDEX($V$2:$V$1001,MATCH(ROWS($U$2:U387),$U$2:$U$1001,0),1)&gt;=100000,INDEX($AB$1005:$AQ$1005,1,MATCH(COLUMNS($AB$1006:AC1006),$AB$1006:$AQ$1006,0))&gt;=100000), " ",IF(INDEX($AB$2:$AQ$1001,MATCH(ROWS($U$2:U387),$U$2:$U$1001,0),MATCH(COLUMNS($AB$1006:AC1006),$AB$1006:$AQ$1006,0)), HYPERLINK("#",""), HYPERLINK(CONCATENATE("#metadata!", ADDRESS(INDEX($W$2:$W$1001,MATCH(ROWS($U$2:U387),$U$2:$U$1001,0),0), INDEX($AB$1004:$AQ$1004,1,MATCH(COLUMNS($AB$1006:AC1006),$AB$1006:$AQ$1006,0)))),"Fix")))</f>
        <v>0</v>
      </c>
      <c r="D387" s="4">
        <f>IF(OR(INDEX($V$2:$V$1001,MATCH(ROWS($U$2:U387),$U$2:$U$1001,0),1)&gt;=100000,INDEX($AB$1005:$AQ$1005,1,MATCH(COLUMNS($AB$1006:AD1006),$AB$1006:$AQ$1006,0))&gt;=100000), " ",IF(INDEX($AB$2:$AQ$1001,MATCH(ROWS($U$2:U387),$U$2:$U$1001,0),MATCH(COLUMNS($AB$1006:AD1006),$AB$1006:$AQ$1006,0)), HYPERLINK("#",""), HYPERLINK(CONCATENATE("#metadata!", ADDRESS(INDEX($W$2:$W$1001,MATCH(ROWS($U$2:U387),$U$2:$U$1001,0),0), INDEX($AB$1004:$AQ$1004,1,MATCH(COLUMNS($AB$1006:AD1006),$AB$1006:$AQ$1006,0)))),"Fix")))</f>
        <v>0</v>
      </c>
      <c r="E387" s="4">
        <f>IF(OR(INDEX($V$2:$V$1001,MATCH(ROWS($U$2:U387),$U$2:$U$1001,0),1)&gt;=100000,INDEX($AB$1005:$AQ$1005,1,MATCH(COLUMNS($AB$1006:AE1006),$AB$1006:$AQ$1006,0))&gt;=100000), " ",IF(INDEX($AB$2:$AQ$1001,MATCH(ROWS($U$2:U387),$U$2:$U$1001,0),MATCH(COLUMNS($AB$1006:AE1006),$AB$1006:$AQ$1006,0)), HYPERLINK("#",""), HYPERLINK(CONCATENATE("#metadata!", ADDRESS(INDEX($W$2:$W$1001,MATCH(ROWS($U$2:U387),$U$2:$U$1001,0),0), INDEX($AB$1004:$AQ$1004,1,MATCH(COLUMNS($AB$1006:AE1006),$AB$1006:$AQ$1006,0)))),"Fix")))</f>
        <v>0</v>
      </c>
      <c r="F387" s="4">
        <f>IF(OR(INDEX($V$2:$V$1001,MATCH(ROWS($U$2:U387),$U$2:$U$1001,0),1)&gt;=100000,INDEX($AB$1005:$AQ$1005,1,MATCH(COLUMNS($AB$1006:AF1006),$AB$1006:$AQ$1006,0))&gt;=100000), " ",IF(INDEX($AB$2:$AQ$1001,MATCH(ROWS($U$2:U387),$U$2:$U$1001,0),MATCH(COLUMNS($AB$1006:AF1006),$AB$1006:$AQ$1006,0)), HYPERLINK("#",""), HYPERLINK(CONCATENATE("#metadata!", ADDRESS(INDEX($W$2:$W$1001,MATCH(ROWS($U$2:U387),$U$2:$U$1001,0),0), INDEX($AB$1004:$AQ$1004,1,MATCH(COLUMNS($AB$1006:AF1006),$AB$1006:$AQ$1006,0)))),"Fix")))</f>
        <v>0</v>
      </c>
      <c r="G387" s="4">
        <f>IF(OR(INDEX($V$2:$V$1001,MATCH(ROWS($U$2:U387),$U$2:$U$1001,0),1)&gt;=100000,INDEX($AB$1005:$AQ$1005,1,MATCH(COLUMNS($AB$1006:AG1006),$AB$1006:$AQ$1006,0))&gt;=100000), " ",IF(INDEX($AB$2:$AQ$1001,MATCH(ROWS($U$2:U387),$U$2:$U$1001,0),MATCH(COLUMNS($AB$1006:AG1006),$AB$1006:$AQ$1006,0)), HYPERLINK("#",""), HYPERLINK(CONCATENATE("#metadata!", ADDRESS(INDEX($W$2:$W$1001,MATCH(ROWS($U$2:U387),$U$2:$U$1001,0),0), INDEX($AB$1004:$AQ$1004,1,MATCH(COLUMNS($AB$1006:AG1006),$AB$1006:$AQ$1006,0)))),"Fix")))</f>
        <v>0</v>
      </c>
      <c r="H387" s="4">
        <f>IF(OR(INDEX($V$2:$V$1001,MATCH(ROWS($U$2:U387),$U$2:$U$1001,0),1)&gt;=100000,INDEX($AB$1005:$AQ$1005,1,MATCH(COLUMNS($AB$1006:AH1006),$AB$1006:$AQ$1006,0))&gt;=100000), " ",IF(INDEX($AB$2:$AQ$1001,MATCH(ROWS($U$2:U387),$U$2:$U$1001,0),MATCH(COLUMNS($AB$1006:AH1006),$AB$1006:$AQ$1006,0)), HYPERLINK("#",""), HYPERLINK(CONCATENATE("#metadata!", ADDRESS(INDEX($W$2:$W$1001,MATCH(ROWS($U$2:U387),$U$2:$U$1001,0),0), INDEX($AB$1004:$AQ$1004,1,MATCH(COLUMNS($AB$1006:AH1006),$AB$1006:$AQ$1006,0)))),"Fix")))</f>
        <v>0</v>
      </c>
      <c r="I387" s="4">
        <f>IF(OR(INDEX($V$2:$V$1001,MATCH(ROWS($U$2:U387),$U$2:$U$1001,0),1)&gt;=100000,INDEX($AB$1005:$AQ$1005,1,MATCH(COLUMNS($AB$1006:AI1006),$AB$1006:$AQ$1006,0))&gt;=100000), " ",IF(INDEX($AB$2:$AQ$1001,MATCH(ROWS($U$2:U387),$U$2:$U$1001,0),MATCH(COLUMNS($AB$1006:AI1006),$AB$1006:$AQ$1006,0)), HYPERLINK("#",""), HYPERLINK(CONCATENATE("#metadata!", ADDRESS(INDEX($W$2:$W$1001,MATCH(ROWS($U$2:U387),$U$2:$U$1001,0),0), INDEX($AB$1004:$AQ$1004,1,MATCH(COLUMNS($AB$1006:AI1006),$AB$1006:$AQ$1006,0)))),"Fix")))</f>
        <v>0</v>
      </c>
      <c r="J387" s="4">
        <f>IF(OR(INDEX($V$2:$V$1001,MATCH(ROWS($U$2:U387),$U$2:$U$1001,0),1)&gt;=100000,INDEX($AB$1005:$AQ$1005,1,MATCH(COLUMNS($AB$1006:AJ1006),$AB$1006:$AQ$1006,0))&gt;=100000), " ",IF(INDEX($AB$2:$AQ$1001,MATCH(ROWS($U$2:U387),$U$2:$U$1001,0),MATCH(COLUMNS($AB$1006:AJ1006),$AB$1006:$AQ$1006,0)), HYPERLINK("#",""), HYPERLINK(CONCATENATE("#metadata!", ADDRESS(INDEX($W$2:$W$1001,MATCH(ROWS($U$2:U387),$U$2:$U$1001,0),0), INDEX($AB$1004:$AQ$1004,1,MATCH(COLUMNS($AB$1006:AJ1006),$AB$1006:$AQ$1006,0)))),"Fix")))</f>
        <v>0</v>
      </c>
      <c r="K387" s="4">
        <f>IF(OR(INDEX($V$2:$V$1001,MATCH(ROWS($U$2:U387),$U$2:$U$1001,0),1)&gt;=100000,INDEX($AB$1005:$AQ$1005,1,MATCH(COLUMNS($AB$1006:AK1006),$AB$1006:$AQ$1006,0))&gt;=100000), " ",IF(INDEX($AB$2:$AQ$1001,MATCH(ROWS($U$2:U387),$U$2:$U$1001,0),MATCH(COLUMNS($AB$1006:AK1006),$AB$1006:$AQ$1006,0)), HYPERLINK("#",""), HYPERLINK(CONCATENATE("#metadata!", ADDRESS(INDEX($W$2:$W$1001,MATCH(ROWS($U$2:U387),$U$2:$U$1001,0),0), INDEX($AB$1004:$AQ$1004,1,MATCH(COLUMNS($AB$1006:AK1006),$AB$1006:$AQ$1006,0)))),"Fix")))</f>
        <v>0</v>
      </c>
      <c r="L387" s="4">
        <f>IF(OR(INDEX($V$2:$V$1001,MATCH(ROWS($U$2:U387),$U$2:$U$1001,0),1)&gt;=100000,INDEX($AB$1005:$AQ$1005,1,MATCH(COLUMNS($AB$1006:AL1006),$AB$1006:$AQ$1006,0))&gt;=100000), " ",IF(INDEX($AB$2:$AQ$1001,MATCH(ROWS($U$2:U387),$U$2:$U$1001,0),MATCH(COLUMNS($AB$1006:AL1006),$AB$1006:$AQ$1006,0)), HYPERLINK("#",""), HYPERLINK(CONCATENATE("#metadata!", ADDRESS(INDEX($W$2:$W$1001,MATCH(ROWS($U$2:U387),$U$2:$U$1001,0),0), INDEX($AB$1004:$AQ$1004,1,MATCH(COLUMNS($AB$1006:AL1006),$AB$1006:$AQ$1006,0)))),"Fix")))</f>
        <v>0</v>
      </c>
      <c r="M387" s="4">
        <f>IF(OR(INDEX($V$2:$V$1001,MATCH(ROWS($U$2:U387),$U$2:$U$1001,0),1)&gt;=100000,INDEX($AB$1005:$AQ$1005,1,MATCH(COLUMNS($AB$1006:AM1006),$AB$1006:$AQ$1006,0))&gt;=100000), " ",IF(INDEX($AB$2:$AQ$1001,MATCH(ROWS($U$2:U387),$U$2:$U$1001,0),MATCH(COLUMNS($AB$1006:AM1006),$AB$1006:$AQ$1006,0)), HYPERLINK("#",""), HYPERLINK(CONCATENATE("#metadata!", ADDRESS(INDEX($W$2:$W$1001,MATCH(ROWS($U$2:U387),$U$2:$U$1001,0),0), INDEX($AB$1004:$AQ$1004,1,MATCH(COLUMNS($AB$1006:AM1006),$AB$1006:$AQ$1006,0)))),"Fix")))</f>
        <v>0</v>
      </c>
      <c r="N387" s="4">
        <f>IF(OR(INDEX($V$2:$V$1001,MATCH(ROWS($U$2:U387),$U$2:$U$1001,0),1)&gt;=100000,INDEX($AB$1005:$AQ$1005,1,MATCH(COLUMNS($AB$1006:AN1006),$AB$1006:$AQ$1006,0))&gt;=100000), " ",IF(INDEX($AB$2:$AQ$1001,MATCH(ROWS($U$2:U387),$U$2:$U$1001,0),MATCH(COLUMNS($AB$1006:AN1006),$AB$1006:$AQ$1006,0)), HYPERLINK("#",""), HYPERLINK(CONCATENATE("#metadata!", ADDRESS(INDEX($W$2:$W$1001,MATCH(ROWS($U$2:U387),$U$2:$U$1001,0),0), INDEX($AB$1004:$AQ$1004,1,MATCH(COLUMNS($AB$1006:AN1006),$AB$1006:$AQ$1006,0)))),"Fix")))</f>
        <v>0</v>
      </c>
      <c r="O387" s="4">
        <f>IF(OR(INDEX($V$2:$V$1001,MATCH(ROWS($U$2:U387),$U$2:$U$1001,0),1)&gt;=100000,INDEX($AB$1005:$AQ$1005,1,MATCH(COLUMNS($AB$1006:AO1006),$AB$1006:$AQ$1006,0))&gt;=100000), " ",IF(INDEX($AB$2:$AQ$1001,MATCH(ROWS($U$2:U387),$U$2:$U$1001,0),MATCH(COLUMNS($AB$1006:AO1006),$AB$1006:$AQ$1006,0)), HYPERLINK("#",""), HYPERLINK(CONCATENATE("#metadata!", ADDRESS(INDEX($W$2:$W$1001,MATCH(ROWS($U$2:U387),$U$2:$U$1001,0),0), INDEX($AB$1004:$AQ$1004,1,MATCH(COLUMNS($AB$1006:AO1006),$AB$1006:$AQ$1006,0)))),"Fix")))</f>
        <v>0</v>
      </c>
      <c r="P387" s="4">
        <f>IF(OR(INDEX($V$2:$V$1001,MATCH(ROWS($U$2:U387),$U$2:$U$1001,0),1)&gt;=100000,INDEX($AB$1005:$AQ$1005,1,MATCH(COLUMNS($AB$1006:AP1006),$AB$1006:$AQ$1006,0))&gt;=100000), " ",IF(INDEX($AB$2:$AQ$1001,MATCH(ROWS($U$2:U387),$U$2:$U$1001,0),MATCH(COLUMNS($AB$1006:AP1006),$AB$1006:$AQ$1006,0)), HYPERLINK("#",""), HYPERLINK(CONCATENATE("#metadata!", ADDRESS(INDEX($W$2:$W$1001,MATCH(ROWS($U$2:U387),$U$2:$U$1001,0),0), INDEX($AB$1004:$AQ$1004,1,MATCH(COLUMNS($AB$1006:AP1006),$AB$1006:$AQ$1006,0)))),"Fix")))</f>
        <v>0</v>
      </c>
      <c r="Q387" s="4">
        <f>IF(OR(INDEX($V$2:$V$1001,MATCH(ROWS($U$2:U387),$U$2:$U$1001,0),1)&gt;=100000,INDEX($AB$1005:$AQ$1005,1,MATCH(COLUMNS($AB$1006:AQ1006),$AB$1006:$AQ$1006,0))&gt;=100000), " ",IF(INDEX($AB$2:$AQ$1001,MATCH(ROWS($U$2:U387),$U$2:$U$1001,0),MATCH(COLUMNS($AB$1006:AQ1006),$AB$1006:$AQ$1006,0)), HYPERLINK("#",""), HYPERLINK(CONCATENATE("#metadata!", ADDRESS(INDEX($W$2:$W$1001,MATCH(ROWS($U$2:U387),$U$2:$U$1001,0),0), INDEX($AB$1004:$AQ$1004,1,MATCH(COLUMNS($AB$1006:AQ1006),$AB$1006:$AQ$1006,0)))),"Fix")))</f>
        <v>0</v>
      </c>
      <c r="U387">
        <v>0</v>
      </c>
      <c r="V387">
        <v>0</v>
      </c>
      <c r="W387">
        <v>0</v>
      </c>
      <c r="X387">
        <f>IF(Y387,TRUE,AND(AB387:AQ387))</f>
        <v>0</v>
      </c>
      <c r="Y387">
        <f>COUNTBLANK(metadata!B387:Q387)=COLUMNS(metadata!B387:Q387)</f>
        <v>0</v>
      </c>
      <c r="Z387">
        <v>0</v>
      </c>
      <c r="AB387">
        <f>AND(IF(metadata!B387="",FALSE,TRUE),COUNTIF(metadata!B:B, metadata!B387) = 1,NOT(ISERROR(SUMPRODUCT(SEARCH(MID(metadata!B387,ROW(INDIRECT("1:"&amp;LEN(metadata!B387))), 1),"0123456789abcdefghijklmnopqrstuvwxyzABCDEFGHIJKLMNOPQRSTUVWXYZ.")))))</f>
        <v>0</v>
      </c>
      <c r="AC387">
        <f>OR(AND(IF(metadata!C387="",FALSE,TRUE),OR(exact(metadata!C387,"missing: not collected"),exact(metadata!C387,"missing: not provided"),exact(metadata!C387,"missing: restricted access"))),AND(IF(metadata!C387="",FALSE,TRUE),AND(AND(IFERROR(INT(LEFT(metadata!C387,4))&gt;1900,FALSE),IFERROR(INT(LEFT(metadata!C387,4))&lt;=YEAR(NOW()),FALSE)), OR(MID(metadata!C387,5,1)="", AND(AND(MID(metadata!C387,5,1)="-",IFERROR(INT(MID(metadata!C387,6,1))&gt;=0,FALSE),IFERROR(INT(MID(metadata!C387,6,1))&lt;=1,FALSE),NOT(MID(metadata!C387,7,1)=""),IFERROR(INT(MID(metadata!C387,6,2))&gt;=1,FALSE),IFERROR(INT(MID(metadata!C387,6,2))&lt;=12,FALSE)), OR(MID(metadata!C387,8,1)="", AND(AND(MID(metadata!C387,8,1)="-",IFERROR(INT(MID(metadata!C387,9,1))&gt;=0,FALSE),IFERROR(INT(MID(metadata!C387,9,1))&lt;=3,FALSE),NOT(MID(metadata!C387,10,1)=""),IFERROR(INT(MID(metadata!C387,9,2))&gt;=1,FALSE),IFERROR(INT(MID(metadata!C387,9,2))&lt;=31,FALSE)), OR(MID(metadata!C387,11,1)="", AND(AND(MID(metadata!C387,11,1)=" ",IFERROR(INT(MID(metadata!C387,12,1))&gt;=0,FALSE),IFERROR(INT(MID(metadata!C387,12,1))&lt;=2,FALSE),NOT(MID(metadata!C387,13,1)=""),IFERROR(INT(MID(metadata!C387,12,2))&gt;=0,FALSE),IFERROR(INT(MID(metadata!C387,12,2))&lt;=23,FALSE)), OR(MID(metadata!C387,14,1)="", AND(AND(MID(metadata!C387,14,1)=":",IFERROR(INT(MID(metadata!C387,15,1))&gt;=0,FALSE),IFERROR(INT(MID(metadata!C387,15,1))&lt;=5,FALSE),NOT(MID(metadata!C387,16,1)=""),IFERROR(INT(MID(metadata!C387,15,2))&gt;=0,FALSE),IFERROR(INT(MID(metadata!C387,15,2))&lt;=59,FALSE)), OR(MID(metadata!C387,17,1)="", AND(AND(MID(metadata!C387,17,1)=":",IFERROR(INT(MID(metadata!C387,18,1))&gt;=0,FALSE),IFERROR(INT(MID(metadata!C387,18,1))&lt;=5,FALSE),NOT(MID(metadata!C387,19,1)=""),IFERROR(INT(MID(metadata!C387,18,2))&gt;=0,FALSE),IFERROR(INT(MID(metadata!C387,18,2))&lt;=59,FALSE)), LEN(metadata!C387)&lt;=19)))))))))))))</f>
        <v>0</v>
      </c>
      <c r="AD387">
        <f>IF(metadata!D387="",FALSE,TRUE)</f>
        <v>0</v>
      </c>
      <c r="AE387">
        <f>OR(AND(IF(metadata!E387="",FALSE,TRUE),OR(exact(metadata!E387,"missing: not collected"),exact(metadata!E387,"missing: not provided"))),AND(IF(metadata!E387="",FALSE,TRUE),OR(exact(metadata!E387,"TRUE"),exact(metadata!E387,"FALSE"))))</f>
        <v>0</v>
      </c>
      <c r="AF387">
        <f>IF(metadata!F387="",FALSE,TRUE)</f>
        <v>0</v>
      </c>
      <c r="AG387">
        <f>IF(metadata!G387="",FALSE,TRUE)</f>
        <v>0</v>
      </c>
      <c r="AH387">
        <f>IF(metadata!H387="",FALSE,TRUE)</f>
        <v>0</v>
      </c>
      <c r="AI387">
        <f>OR(AND(IF(metadata!I387="",FALSE,TRUE),OR(exact(metadata!I387,"missing: not collected"),exact(metadata!I387,"missing: not provided"),exact(metadata!I387,"missing: restricted access"))),AND(IF(metadata!I387="",FALSE,TRUE),OR(exact(metadata!I387,"air"),exact(metadata!I387,"built environment"),exact(metadata!I387,"host-associated"),exact(metadata!I387,"human-associated"),exact(metadata!I387,"human-skin"),exact(metadata!I387,"human-oral"),exact(metadata!I387,"human-gut"),exact(metadata!I387,"human-vaginal"),exact(metadata!I387,"microbial mat/biofilm"),exact(metadata!I387,"misc environment"),exact(metadata!I387,"plant-associated"),exact(metadata!I387,"sediment"),exact(metadata!I387,"soil"),exact(metadata!I387,"wastewater/sludge"),exact(metadata!I387,"water"))))</f>
        <v>0</v>
      </c>
      <c r="AJ387">
        <f>IF(metadata!J387="",FALSE,TRUE)</f>
        <v>0</v>
      </c>
      <c r="AK387">
        <f>OR(AND(IF(metadata!K387="",FALSE,TRUE),OR(exact(metadata!K387,"missing: not collected"),exact(metadata!K387,"missing: not provided"),exact(metadata!K387,"missing: restricted access"))),AND(IF(metadata!K387="",FALSE,ISNUMBER(VALUE(metadata!K387))),metadata!K387&gt;=-90.00,metadata!K387&lt;=90.00))</f>
        <v>0</v>
      </c>
      <c r="AL387">
        <f>OR(AND(IF(metadata!L387="",FALSE,TRUE),OR(exact(metadata!L387,"missing: not collected"),exact(metadata!L387,"missing: not provided"),exact(metadata!L387,"missing: restricted access"))),AND(IF(metadata!L387="",FALSE,ISNUMBER(VALUE(metadata!L387))),metadata!L387&gt;=-180.00,metadata!L387&lt;=180.00))</f>
        <v>0</v>
      </c>
      <c r="AM387">
        <f>IF(metadata!M387="",FALSE,TRUE)</f>
        <v>0</v>
      </c>
      <c r="AN387">
        <f>OR(AND(IF(metadata!N387="",FALSE,TRUE),OR(exact(metadata!N387,"missing: not collected"),exact(metadata!N387,"missing: not provided"),exact(metadata!N387,"missing: restricted access"))),AND(IF(metadata!N387="",FALSE,TRUE),OR(exact(metadata!N387,"TRUE"),exact(metadata!N387,"FALSE"))))</f>
        <v>0</v>
      </c>
      <c r="AO387">
        <f>IF(metadata!O387="",FALSE,TRUE)</f>
        <v>0</v>
      </c>
      <c r="AP387">
        <f>OR(AND(IF(metadata!P387="",FALSE,TRUE),OR(exact(metadata!P387,"missing: not collected"),exact(metadata!P387,"missing: not provided"))),AND(IF(metadata!P387="",FALSE,IF(ISERROR(INT(metadata!P387)),FALSE,INT(metadata!P387)=metadata!P387)),metadata!P387&gt;0))</f>
        <v>0</v>
      </c>
      <c r="AQ387">
        <f>IF(metadata!Q387="",FALSE,TRUE)</f>
        <v>0</v>
      </c>
    </row>
    <row r="388" spans="1:43">
      <c r="A388" s="5">
        <f>IF(B388=" "," ",HYPERLINK(CONCATENATE("#metadata!",ADDRESS(INDEX($W$2:$W$1001,MATCH(ROWS($U$2:U388),$U$2:$U$1001,0),0),1)),INDEX($Z$2:$Z$1001,MATCH(ROWS($U$2:U388),$U$2:$U$1001,0),0)))</f>
        <v>0</v>
      </c>
      <c r="B388" s="4">
        <f>IF(OR(INDEX($V$2:$V$1001,MATCH(ROWS($U$2:U388),$U$2:$U$1001,0),1)&gt;=100000,INDEX($AB$1005:$AQ$1005,1,MATCH(COLUMNS($AB$1006:AB1006),$AB$1006:$AQ$1006,0))&gt;=100000), " ",IF(INDEX($AB$2:$AQ$1001,MATCH(ROWS($U$2:U388),$U$2:$U$1001,0),MATCH(COLUMNS($AB$1006:AB1006),$AB$1006:$AQ$1006,0)), HYPERLINK("#",""), HYPERLINK(CONCATENATE("#metadata!", ADDRESS(INDEX($W$2:$W$1001,MATCH(ROWS($U$2:U388),$U$2:$U$1001,0),0), INDEX($AB$1004:$AQ$1004,1,MATCH(COLUMNS($AB$1006:AB1006),$AB$1006:$AQ$1006,0)))),"Fix")))</f>
        <v>0</v>
      </c>
      <c r="C388" s="4">
        <f>IF(OR(INDEX($V$2:$V$1001,MATCH(ROWS($U$2:U388),$U$2:$U$1001,0),1)&gt;=100000,INDEX($AB$1005:$AQ$1005,1,MATCH(COLUMNS($AB$1006:AC1006),$AB$1006:$AQ$1006,0))&gt;=100000), " ",IF(INDEX($AB$2:$AQ$1001,MATCH(ROWS($U$2:U388),$U$2:$U$1001,0),MATCH(COLUMNS($AB$1006:AC1006),$AB$1006:$AQ$1006,0)), HYPERLINK("#",""), HYPERLINK(CONCATENATE("#metadata!", ADDRESS(INDEX($W$2:$W$1001,MATCH(ROWS($U$2:U388),$U$2:$U$1001,0),0), INDEX($AB$1004:$AQ$1004,1,MATCH(COLUMNS($AB$1006:AC1006),$AB$1006:$AQ$1006,0)))),"Fix")))</f>
        <v>0</v>
      </c>
      <c r="D388" s="4">
        <f>IF(OR(INDEX($V$2:$V$1001,MATCH(ROWS($U$2:U388),$U$2:$U$1001,0),1)&gt;=100000,INDEX($AB$1005:$AQ$1005,1,MATCH(COLUMNS($AB$1006:AD1006),$AB$1006:$AQ$1006,0))&gt;=100000), " ",IF(INDEX($AB$2:$AQ$1001,MATCH(ROWS($U$2:U388),$U$2:$U$1001,0),MATCH(COLUMNS($AB$1006:AD1006),$AB$1006:$AQ$1006,0)), HYPERLINK("#",""), HYPERLINK(CONCATENATE("#metadata!", ADDRESS(INDEX($W$2:$W$1001,MATCH(ROWS($U$2:U388),$U$2:$U$1001,0),0), INDEX($AB$1004:$AQ$1004,1,MATCH(COLUMNS($AB$1006:AD1006),$AB$1006:$AQ$1006,0)))),"Fix")))</f>
        <v>0</v>
      </c>
      <c r="E388" s="4">
        <f>IF(OR(INDEX($V$2:$V$1001,MATCH(ROWS($U$2:U388),$U$2:$U$1001,0),1)&gt;=100000,INDEX($AB$1005:$AQ$1005,1,MATCH(COLUMNS($AB$1006:AE1006),$AB$1006:$AQ$1006,0))&gt;=100000), " ",IF(INDEX($AB$2:$AQ$1001,MATCH(ROWS($U$2:U388),$U$2:$U$1001,0),MATCH(COLUMNS($AB$1006:AE1006),$AB$1006:$AQ$1006,0)), HYPERLINK("#",""), HYPERLINK(CONCATENATE("#metadata!", ADDRESS(INDEX($W$2:$W$1001,MATCH(ROWS($U$2:U388),$U$2:$U$1001,0),0), INDEX($AB$1004:$AQ$1004,1,MATCH(COLUMNS($AB$1006:AE1006),$AB$1006:$AQ$1006,0)))),"Fix")))</f>
        <v>0</v>
      </c>
      <c r="F388" s="4">
        <f>IF(OR(INDEX($V$2:$V$1001,MATCH(ROWS($U$2:U388),$U$2:$U$1001,0),1)&gt;=100000,INDEX($AB$1005:$AQ$1005,1,MATCH(COLUMNS($AB$1006:AF1006),$AB$1006:$AQ$1006,0))&gt;=100000), " ",IF(INDEX($AB$2:$AQ$1001,MATCH(ROWS($U$2:U388),$U$2:$U$1001,0),MATCH(COLUMNS($AB$1006:AF1006),$AB$1006:$AQ$1006,0)), HYPERLINK("#",""), HYPERLINK(CONCATENATE("#metadata!", ADDRESS(INDEX($W$2:$W$1001,MATCH(ROWS($U$2:U388),$U$2:$U$1001,0),0), INDEX($AB$1004:$AQ$1004,1,MATCH(COLUMNS($AB$1006:AF1006),$AB$1006:$AQ$1006,0)))),"Fix")))</f>
        <v>0</v>
      </c>
      <c r="G388" s="4">
        <f>IF(OR(INDEX($V$2:$V$1001,MATCH(ROWS($U$2:U388),$U$2:$U$1001,0),1)&gt;=100000,INDEX($AB$1005:$AQ$1005,1,MATCH(COLUMNS($AB$1006:AG1006),$AB$1006:$AQ$1006,0))&gt;=100000), " ",IF(INDEX($AB$2:$AQ$1001,MATCH(ROWS($U$2:U388),$U$2:$U$1001,0),MATCH(COLUMNS($AB$1006:AG1006),$AB$1006:$AQ$1006,0)), HYPERLINK("#",""), HYPERLINK(CONCATENATE("#metadata!", ADDRESS(INDEX($W$2:$W$1001,MATCH(ROWS($U$2:U388),$U$2:$U$1001,0),0), INDEX($AB$1004:$AQ$1004,1,MATCH(COLUMNS($AB$1006:AG1006),$AB$1006:$AQ$1006,0)))),"Fix")))</f>
        <v>0</v>
      </c>
      <c r="H388" s="4">
        <f>IF(OR(INDEX($V$2:$V$1001,MATCH(ROWS($U$2:U388),$U$2:$U$1001,0),1)&gt;=100000,INDEX($AB$1005:$AQ$1005,1,MATCH(COLUMNS($AB$1006:AH1006),$AB$1006:$AQ$1006,0))&gt;=100000), " ",IF(INDEX($AB$2:$AQ$1001,MATCH(ROWS($U$2:U388),$U$2:$U$1001,0),MATCH(COLUMNS($AB$1006:AH1006),$AB$1006:$AQ$1006,0)), HYPERLINK("#",""), HYPERLINK(CONCATENATE("#metadata!", ADDRESS(INDEX($W$2:$W$1001,MATCH(ROWS($U$2:U388),$U$2:$U$1001,0),0), INDEX($AB$1004:$AQ$1004,1,MATCH(COLUMNS($AB$1006:AH1006),$AB$1006:$AQ$1006,0)))),"Fix")))</f>
        <v>0</v>
      </c>
      <c r="I388" s="4">
        <f>IF(OR(INDEX($V$2:$V$1001,MATCH(ROWS($U$2:U388),$U$2:$U$1001,0),1)&gt;=100000,INDEX($AB$1005:$AQ$1005,1,MATCH(COLUMNS($AB$1006:AI1006),$AB$1006:$AQ$1006,0))&gt;=100000), " ",IF(INDEX($AB$2:$AQ$1001,MATCH(ROWS($U$2:U388),$U$2:$U$1001,0),MATCH(COLUMNS($AB$1006:AI1006),$AB$1006:$AQ$1006,0)), HYPERLINK("#",""), HYPERLINK(CONCATENATE("#metadata!", ADDRESS(INDEX($W$2:$W$1001,MATCH(ROWS($U$2:U388),$U$2:$U$1001,0),0), INDEX($AB$1004:$AQ$1004,1,MATCH(COLUMNS($AB$1006:AI1006),$AB$1006:$AQ$1006,0)))),"Fix")))</f>
        <v>0</v>
      </c>
      <c r="J388" s="4">
        <f>IF(OR(INDEX($V$2:$V$1001,MATCH(ROWS($U$2:U388),$U$2:$U$1001,0),1)&gt;=100000,INDEX($AB$1005:$AQ$1005,1,MATCH(COLUMNS($AB$1006:AJ1006),$AB$1006:$AQ$1006,0))&gt;=100000), " ",IF(INDEX($AB$2:$AQ$1001,MATCH(ROWS($U$2:U388),$U$2:$U$1001,0),MATCH(COLUMNS($AB$1006:AJ1006),$AB$1006:$AQ$1006,0)), HYPERLINK("#",""), HYPERLINK(CONCATENATE("#metadata!", ADDRESS(INDEX($W$2:$W$1001,MATCH(ROWS($U$2:U388),$U$2:$U$1001,0),0), INDEX($AB$1004:$AQ$1004,1,MATCH(COLUMNS($AB$1006:AJ1006),$AB$1006:$AQ$1006,0)))),"Fix")))</f>
        <v>0</v>
      </c>
      <c r="K388" s="4">
        <f>IF(OR(INDEX($V$2:$V$1001,MATCH(ROWS($U$2:U388),$U$2:$U$1001,0),1)&gt;=100000,INDEX($AB$1005:$AQ$1005,1,MATCH(COLUMNS($AB$1006:AK1006),$AB$1006:$AQ$1006,0))&gt;=100000), " ",IF(INDEX($AB$2:$AQ$1001,MATCH(ROWS($U$2:U388),$U$2:$U$1001,0),MATCH(COLUMNS($AB$1006:AK1006),$AB$1006:$AQ$1006,0)), HYPERLINK("#",""), HYPERLINK(CONCATENATE("#metadata!", ADDRESS(INDEX($W$2:$W$1001,MATCH(ROWS($U$2:U388),$U$2:$U$1001,0),0), INDEX($AB$1004:$AQ$1004,1,MATCH(COLUMNS($AB$1006:AK1006),$AB$1006:$AQ$1006,0)))),"Fix")))</f>
        <v>0</v>
      </c>
      <c r="L388" s="4">
        <f>IF(OR(INDEX($V$2:$V$1001,MATCH(ROWS($U$2:U388),$U$2:$U$1001,0),1)&gt;=100000,INDEX($AB$1005:$AQ$1005,1,MATCH(COLUMNS($AB$1006:AL1006),$AB$1006:$AQ$1006,0))&gt;=100000), " ",IF(INDEX($AB$2:$AQ$1001,MATCH(ROWS($U$2:U388),$U$2:$U$1001,0),MATCH(COLUMNS($AB$1006:AL1006),$AB$1006:$AQ$1006,0)), HYPERLINK("#",""), HYPERLINK(CONCATENATE("#metadata!", ADDRESS(INDEX($W$2:$W$1001,MATCH(ROWS($U$2:U388),$U$2:$U$1001,0),0), INDEX($AB$1004:$AQ$1004,1,MATCH(COLUMNS($AB$1006:AL1006),$AB$1006:$AQ$1006,0)))),"Fix")))</f>
        <v>0</v>
      </c>
      <c r="M388" s="4">
        <f>IF(OR(INDEX($V$2:$V$1001,MATCH(ROWS($U$2:U388),$U$2:$U$1001,0),1)&gt;=100000,INDEX($AB$1005:$AQ$1005,1,MATCH(COLUMNS($AB$1006:AM1006),$AB$1006:$AQ$1006,0))&gt;=100000), " ",IF(INDEX($AB$2:$AQ$1001,MATCH(ROWS($U$2:U388),$U$2:$U$1001,0),MATCH(COLUMNS($AB$1006:AM1006),$AB$1006:$AQ$1006,0)), HYPERLINK("#",""), HYPERLINK(CONCATENATE("#metadata!", ADDRESS(INDEX($W$2:$W$1001,MATCH(ROWS($U$2:U388),$U$2:$U$1001,0),0), INDEX($AB$1004:$AQ$1004,1,MATCH(COLUMNS($AB$1006:AM1006),$AB$1006:$AQ$1006,0)))),"Fix")))</f>
        <v>0</v>
      </c>
      <c r="N388" s="4">
        <f>IF(OR(INDEX($V$2:$V$1001,MATCH(ROWS($U$2:U388),$U$2:$U$1001,0),1)&gt;=100000,INDEX($AB$1005:$AQ$1005,1,MATCH(COLUMNS($AB$1006:AN1006),$AB$1006:$AQ$1006,0))&gt;=100000), " ",IF(INDEX($AB$2:$AQ$1001,MATCH(ROWS($U$2:U388),$U$2:$U$1001,0),MATCH(COLUMNS($AB$1006:AN1006),$AB$1006:$AQ$1006,0)), HYPERLINK("#",""), HYPERLINK(CONCATENATE("#metadata!", ADDRESS(INDEX($W$2:$W$1001,MATCH(ROWS($U$2:U388),$U$2:$U$1001,0),0), INDEX($AB$1004:$AQ$1004,1,MATCH(COLUMNS($AB$1006:AN1006),$AB$1006:$AQ$1006,0)))),"Fix")))</f>
        <v>0</v>
      </c>
      <c r="O388" s="4">
        <f>IF(OR(INDEX($V$2:$V$1001,MATCH(ROWS($U$2:U388),$U$2:$U$1001,0),1)&gt;=100000,INDEX($AB$1005:$AQ$1005,1,MATCH(COLUMNS($AB$1006:AO1006),$AB$1006:$AQ$1006,0))&gt;=100000), " ",IF(INDEX($AB$2:$AQ$1001,MATCH(ROWS($U$2:U388),$U$2:$U$1001,0),MATCH(COLUMNS($AB$1006:AO1006),$AB$1006:$AQ$1006,0)), HYPERLINK("#",""), HYPERLINK(CONCATENATE("#metadata!", ADDRESS(INDEX($W$2:$W$1001,MATCH(ROWS($U$2:U388),$U$2:$U$1001,0),0), INDEX($AB$1004:$AQ$1004,1,MATCH(COLUMNS($AB$1006:AO1006),$AB$1006:$AQ$1006,0)))),"Fix")))</f>
        <v>0</v>
      </c>
      <c r="P388" s="4">
        <f>IF(OR(INDEX($V$2:$V$1001,MATCH(ROWS($U$2:U388),$U$2:$U$1001,0),1)&gt;=100000,INDEX($AB$1005:$AQ$1005,1,MATCH(COLUMNS($AB$1006:AP1006),$AB$1006:$AQ$1006,0))&gt;=100000), " ",IF(INDEX($AB$2:$AQ$1001,MATCH(ROWS($U$2:U388),$U$2:$U$1001,0),MATCH(COLUMNS($AB$1006:AP1006),$AB$1006:$AQ$1006,0)), HYPERLINK("#",""), HYPERLINK(CONCATENATE("#metadata!", ADDRESS(INDEX($W$2:$W$1001,MATCH(ROWS($U$2:U388),$U$2:$U$1001,0),0), INDEX($AB$1004:$AQ$1004,1,MATCH(COLUMNS($AB$1006:AP1006),$AB$1006:$AQ$1006,0)))),"Fix")))</f>
        <v>0</v>
      </c>
      <c r="Q388" s="4">
        <f>IF(OR(INDEX($V$2:$V$1001,MATCH(ROWS($U$2:U388),$U$2:$U$1001,0),1)&gt;=100000,INDEX($AB$1005:$AQ$1005,1,MATCH(COLUMNS($AB$1006:AQ1006),$AB$1006:$AQ$1006,0))&gt;=100000), " ",IF(INDEX($AB$2:$AQ$1001,MATCH(ROWS($U$2:U388),$U$2:$U$1001,0),MATCH(COLUMNS($AB$1006:AQ1006),$AB$1006:$AQ$1006,0)), HYPERLINK("#",""), HYPERLINK(CONCATENATE("#metadata!", ADDRESS(INDEX($W$2:$W$1001,MATCH(ROWS($U$2:U388),$U$2:$U$1001,0),0), INDEX($AB$1004:$AQ$1004,1,MATCH(COLUMNS($AB$1006:AQ1006),$AB$1006:$AQ$1006,0)))),"Fix")))</f>
        <v>0</v>
      </c>
      <c r="U388">
        <v>0</v>
      </c>
      <c r="V388">
        <v>0</v>
      </c>
      <c r="W388">
        <v>0</v>
      </c>
      <c r="X388">
        <f>IF(Y388,TRUE,AND(AB388:AQ388))</f>
        <v>0</v>
      </c>
      <c r="Y388">
        <f>COUNTBLANK(metadata!B388:Q388)=COLUMNS(metadata!B388:Q388)</f>
        <v>0</v>
      </c>
      <c r="Z388">
        <v>0</v>
      </c>
      <c r="AB388">
        <f>AND(IF(metadata!B388="",FALSE,TRUE),COUNTIF(metadata!B:B, metadata!B388) = 1,NOT(ISERROR(SUMPRODUCT(SEARCH(MID(metadata!B388,ROW(INDIRECT("1:"&amp;LEN(metadata!B388))), 1),"0123456789abcdefghijklmnopqrstuvwxyzABCDEFGHIJKLMNOPQRSTUVWXYZ.")))))</f>
        <v>0</v>
      </c>
      <c r="AC388">
        <f>OR(AND(IF(metadata!C388="",FALSE,TRUE),OR(exact(metadata!C388,"missing: not collected"),exact(metadata!C388,"missing: not provided"),exact(metadata!C388,"missing: restricted access"))),AND(IF(metadata!C388="",FALSE,TRUE),AND(AND(IFERROR(INT(LEFT(metadata!C388,4))&gt;1900,FALSE),IFERROR(INT(LEFT(metadata!C388,4))&lt;=YEAR(NOW()),FALSE)), OR(MID(metadata!C388,5,1)="", AND(AND(MID(metadata!C388,5,1)="-",IFERROR(INT(MID(metadata!C388,6,1))&gt;=0,FALSE),IFERROR(INT(MID(metadata!C388,6,1))&lt;=1,FALSE),NOT(MID(metadata!C388,7,1)=""),IFERROR(INT(MID(metadata!C388,6,2))&gt;=1,FALSE),IFERROR(INT(MID(metadata!C388,6,2))&lt;=12,FALSE)), OR(MID(metadata!C388,8,1)="", AND(AND(MID(metadata!C388,8,1)="-",IFERROR(INT(MID(metadata!C388,9,1))&gt;=0,FALSE),IFERROR(INT(MID(metadata!C388,9,1))&lt;=3,FALSE),NOT(MID(metadata!C388,10,1)=""),IFERROR(INT(MID(metadata!C388,9,2))&gt;=1,FALSE),IFERROR(INT(MID(metadata!C388,9,2))&lt;=31,FALSE)), OR(MID(metadata!C388,11,1)="", AND(AND(MID(metadata!C388,11,1)=" ",IFERROR(INT(MID(metadata!C388,12,1))&gt;=0,FALSE),IFERROR(INT(MID(metadata!C388,12,1))&lt;=2,FALSE),NOT(MID(metadata!C388,13,1)=""),IFERROR(INT(MID(metadata!C388,12,2))&gt;=0,FALSE),IFERROR(INT(MID(metadata!C388,12,2))&lt;=23,FALSE)), OR(MID(metadata!C388,14,1)="", AND(AND(MID(metadata!C388,14,1)=":",IFERROR(INT(MID(metadata!C388,15,1))&gt;=0,FALSE),IFERROR(INT(MID(metadata!C388,15,1))&lt;=5,FALSE),NOT(MID(metadata!C388,16,1)=""),IFERROR(INT(MID(metadata!C388,15,2))&gt;=0,FALSE),IFERROR(INT(MID(metadata!C388,15,2))&lt;=59,FALSE)), OR(MID(metadata!C388,17,1)="", AND(AND(MID(metadata!C388,17,1)=":",IFERROR(INT(MID(metadata!C388,18,1))&gt;=0,FALSE),IFERROR(INT(MID(metadata!C388,18,1))&lt;=5,FALSE),NOT(MID(metadata!C388,19,1)=""),IFERROR(INT(MID(metadata!C388,18,2))&gt;=0,FALSE),IFERROR(INT(MID(metadata!C388,18,2))&lt;=59,FALSE)), LEN(metadata!C388)&lt;=19)))))))))))))</f>
        <v>0</v>
      </c>
      <c r="AD388">
        <f>IF(metadata!D388="",FALSE,TRUE)</f>
        <v>0</v>
      </c>
      <c r="AE388">
        <f>OR(AND(IF(metadata!E388="",FALSE,TRUE),OR(exact(metadata!E388,"missing: not collected"),exact(metadata!E388,"missing: not provided"))),AND(IF(metadata!E388="",FALSE,TRUE),OR(exact(metadata!E388,"TRUE"),exact(metadata!E388,"FALSE"))))</f>
        <v>0</v>
      </c>
      <c r="AF388">
        <f>IF(metadata!F388="",FALSE,TRUE)</f>
        <v>0</v>
      </c>
      <c r="AG388">
        <f>IF(metadata!G388="",FALSE,TRUE)</f>
        <v>0</v>
      </c>
      <c r="AH388">
        <f>IF(metadata!H388="",FALSE,TRUE)</f>
        <v>0</v>
      </c>
      <c r="AI388">
        <f>OR(AND(IF(metadata!I388="",FALSE,TRUE),OR(exact(metadata!I388,"missing: not collected"),exact(metadata!I388,"missing: not provided"),exact(metadata!I388,"missing: restricted access"))),AND(IF(metadata!I388="",FALSE,TRUE),OR(exact(metadata!I388,"air"),exact(metadata!I388,"built environment"),exact(metadata!I388,"host-associated"),exact(metadata!I388,"human-associated"),exact(metadata!I388,"human-skin"),exact(metadata!I388,"human-oral"),exact(metadata!I388,"human-gut"),exact(metadata!I388,"human-vaginal"),exact(metadata!I388,"microbial mat/biofilm"),exact(metadata!I388,"misc environment"),exact(metadata!I388,"plant-associated"),exact(metadata!I388,"sediment"),exact(metadata!I388,"soil"),exact(metadata!I388,"wastewater/sludge"),exact(metadata!I388,"water"))))</f>
        <v>0</v>
      </c>
      <c r="AJ388">
        <f>IF(metadata!J388="",FALSE,TRUE)</f>
        <v>0</v>
      </c>
      <c r="AK388">
        <f>OR(AND(IF(metadata!K388="",FALSE,TRUE),OR(exact(metadata!K388,"missing: not collected"),exact(metadata!K388,"missing: not provided"),exact(metadata!K388,"missing: restricted access"))),AND(IF(metadata!K388="",FALSE,ISNUMBER(VALUE(metadata!K388))),metadata!K388&gt;=-90.00,metadata!K388&lt;=90.00))</f>
        <v>0</v>
      </c>
      <c r="AL388">
        <f>OR(AND(IF(metadata!L388="",FALSE,TRUE),OR(exact(metadata!L388,"missing: not collected"),exact(metadata!L388,"missing: not provided"),exact(metadata!L388,"missing: restricted access"))),AND(IF(metadata!L388="",FALSE,ISNUMBER(VALUE(metadata!L388))),metadata!L388&gt;=-180.00,metadata!L388&lt;=180.00))</f>
        <v>0</v>
      </c>
      <c r="AM388">
        <f>IF(metadata!M388="",FALSE,TRUE)</f>
        <v>0</v>
      </c>
      <c r="AN388">
        <f>OR(AND(IF(metadata!N388="",FALSE,TRUE),OR(exact(metadata!N388,"missing: not collected"),exact(metadata!N388,"missing: not provided"),exact(metadata!N388,"missing: restricted access"))),AND(IF(metadata!N388="",FALSE,TRUE),OR(exact(metadata!N388,"TRUE"),exact(metadata!N388,"FALSE"))))</f>
        <v>0</v>
      </c>
      <c r="AO388">
        <f>IF(metadata!O388="",FALSE,TRUE)</f>
        <v>0</v>
      </c>
      <c r="AP388">
        <f>OR(AND(IF(metadata!P388="",FALSE,TRUE),OR(exact(metadata!P388,"missing: not collected"),exact(metadata!P388,"missing: not provided"))),AND(IF(metadata!P388="",FALSE,IF(ISERROR(INT(metadata!P388)),FALSE,INT(metadata!P388)=metadata!P388)),metadata!P388&gt;0))</f>
        <v>0</v>
      </c>
      <c r="AQ388">
        <f>IF(metadata!Q388="",FALSE,TRUE)</f>
        <v>0</v>
      </c>
    </row>
    <row r="389" spans="1:43">
      <c r="A389" s="5">
        <f>IF(B389=" "," ",HYPERLINK(CONCATENATE("#metadata!",ADDRESS(INDEX($W$2:$W$1001,MATCH(ROWS($U$2:U389),$U$2:$U$1001,0),0),1)),INDEX($Z$2:$Z$1001,MATCH(ROWS($U$2:U389),$U$2:$U$1001,0),0)))</f>
        <v>0</v>
      </c>
      <c r="B389" s="4">
        <f>IF(OR(INDEX($V$2:$V$1001,MATCH(ROWS($U$2:U389),$U$2:$U$1001,0),1)&gt;=100000,INDEX($AB$1005:$AQ$1005,1,MATCH(COLUMNS($AB$1006:AB1006),$AB$1006:$AQ$1006,0))&gt;=100000), " ",IF(INDEX($AB$2:$AQ$1001,MATCH(ROWS($U$2:U389),$U$2:$U$1001,0),MATCH(COLUMNS($AB$1006:AB1006),$AB$1006:$AQ$1006,0)), HYPERLINK("#",""), HYPERLINK(CONCATENATE("#metadata!", ADDRESS(INDEX($W$2:$W$1001,MATCH(ROWS($U$2:U389),$U$2:$U$1001,0),0), INDEX($AB$1004:$AQ$1004,1,MATCH(COLUMNS($AB$1006:AB1006),$AB$1006:$AQ$1006,0)))),"Fix")))</f>
        <v>0</v>
      </c>
      <c r="C389" s="4">
        <f>IF(OR(INDEX($V$2:$V$1001,MATCH(ROWS($U$2:U389),$U$2:$U$1001,0),1)&gt;=100000,INDEX($AB$1005:$AQ$1005,1,MATCH(COLUMNS($AB$1006:AC1006),$AB$1006:$AQ$1006,0))&gt;=100000), " ",IF(INDEX($AB$2:$AQ$1001,MATCH(ROWS($U$2:U389),$U$2:$U$1001,0),MATCH(COLUMNS($AB$1006:AC1006),$AB$1006:$AQ$1006,0)), HYPERLINK("#",""), HYPERLINK(CONCATENATE("#metadata!", ADDRESS(INDEX($W$2:$W$1001,MATCH(ROWS($U$2:U389),$U$2:$U$1001,0),0), INDEX($AB$1004:$AQ$1004,1,MATCH(COLUMNS($AB$1006:AC1006),$AB$1006:$AQ$1006,0)))),"Fix")))</f>
        <v>0</v>
      </c>
      <c r="D389" s="4">
        <f>IF(OR(INDEX($V$2:$V$1001,MATCH(ROWS($U$2:U389),$U$2:$U$1001,0),1)&gt;=100000,INDEX($AB$1005:$AQ$1005,1,MATCH(COLUMNS($AB$1006:AD1006),$AB$1006:$AQ$1006,0))&gt;=100000), " ",IF(INDEX($AB$2:$AQ$1001,MATCH(ROWS($U$2:U389),$U$2:$U$1001,0),MATCH(COLUMNS($AB$1006:AD1006),$AB$1006:$AQ$1006,0)), HYPERLINK("#",""), HYPERLINK(CONCATENATE("#metadata!", ADDRESS(INDEX($W$2:$W$1001,MATCH(ROWS($U$2:U389),$U$2:$U$1001,0),0), INDEX($AB$1004:$AQ$1004,1,MATCH(COLUMNS($AB$1006:AD1006),$AB$1006:$AQ$1006,0)))),"Fix")))</f>
        <v>0</v>
      </c>
      <c r="E389" s="4">
        <f>IF(OR(INDEX($V$2:$V$1001,MATCH(ROWS($U$2:U389),$U$2:$U$1001,0),1)&gt;=100000,INDEX($AB$1005:$AQ$1005,1,MATCH(COLUMNS($AB$1006:AE1006),$AB$1006:$AQ$1006,0))&gt;=100000), " ",IF(INDEX($AB$2:$AQ$1001,MATCH(ROWS($U$2:U389),$U$2:$U$1001,0),MATCH(COLUMNS($AB$1006:AE1006),$AB$1006:$AQ$1006,0)), HYPERLINK("#",""), HYPERLINK(CONCATENATE("#metadata!", ADDRESS(INDEX($W$2:$W$1001,MATCH(ROWS($U$2:U389),$U$2:$U$1001,0),0), INDEX($AB$1004:$AQ$1004,1,MATCH(COLUMNS($AB$1006:AE1006),$AB$1006:$AQ$1006,0)))),"Fix")))</f>
        <v>0</v>
      </c>
      <c r="F389" s="4">
        <f>IF(OR(INDEX($V$2:$V$1001,MATCH(ROWS($U$2:U389),$U$2:$U$1001,0),1)&gt;=100000,INDEX($AB$1005:$AQ$1005,1,MATCH(COLUMNS($AB$1006:AF1006),$AB$1006:$AQ$1006,0))&gt;=100000), " ",IF(INDEX($AB$2:$AQ$1001,MATCH(ROWS($U$2:U389),$U$2:$U$1001,0),MATCH(COLUMNS($AB$1006:AF1006),$AB$1006:$AQ$1006,0)), HYPERLINK("#",""), HYPERLINK(CONCATENATE("#metadata!", ADDRESS(INDEX($W$2:$W$1001,MATCH(ROWS($U$2:U389),$U$2:$U$1001,0),0), INDEX($AB$1004:$AQ$1004,1,MATCH(COLUMNS($AB$1006:AF1006),$AB$1006:$AQ$1006,0)))),"Fix")))</f>
        <v>0</v>
      </c>
      <c r="G389" s="4">
        <f>IF(OR(INDEX($V$2:$V$1001,MATCH(ROWS($U$2:U389),$U$2:$U$1001,0),1)&gt;=100000,INDEX($AB$1005:$AQ$1005,1,MATCH(COLUMNS($AB$1006:AG1006),$AB$1006:$AQ$1006,0))&gt;=100000), " ",IF(INDEX($AB$2:$AQ$1001,MATCH(ROWS($U$2:U389),$U$2:$U$1001,0),MATCH(COLUMNS($AB$1006:AG1006),$AB$1006:$AQ$1006,0)), HYPERLINK("#",""), HYPERLINK(CONCATENATE("#metadata!", ADDRESS(INDEX($W$2:$W$1001,MATCH(ROWS($U$2:U389),$U$2:$U$1001,0),0), INDEX($AB$1004:$AQ$1004,1,MATCH(COLUMNS($AB$1006:AG1006),$AB$1006:$AQ$1006,0)))),"Fix")))</f>
        <v>0</v>
      </c>
      <c r="H389" s="4">
        <f>IF(OR(INDEX($V$2:$V$1001,MATCH(ROWS($U$2:U389),$U$2:$U$1001,0),1)&gt;=100000,INDEX($AB$1005:$AQ$1005,1,MATCH(COLUMNS($AB$1006:AH1006),$AB$1006:$AQ$1006,0))&gt;=100000), " ",IF(INDEX($AB$2:$AQ$1001,MATCH(ROWS($U$2:U389),$U$2:$U$1001,0),MATCH(COLUMNS($AB$1006:AH1006),$AB$1006:$AQ$1006,0)), HYPERLINK("#",""), HYPERLINK(CONCATENATE("#metadata!", ADDRESS(INDEX($W$2:$W$1001,MATCH(ROWS($U$2:U389),$U$2:$U$1001,0),0), INDEX($AB$1004:$AQ$1004,1,MATCH(COLUMNS($AB$1006:AH1006),$AB$1006:$AQ$1006,0)))),"Fix")))</f>
        <v>0</v>
      </c>
      <c r="I389" s="4">
        <f>IF(OR(INDEX($V$2:$V$1001,MATCH(ROWS($U$2:U389),$U$2:$U$1001,0),1)&gt;=100000,INDEX($AB$1005:$AQ$1005,1,MATCH(COLUMNS($AB$1006:AI1006),$AB$1006:$AQ$1006,0))&gt;=100000), " ",IF(INDEX($AB$2:$AQ$1001,MATCH(ROWS($U$2:U389),$U$2:$U$1001,0),MATCH(COLUMNS($AB$1006:AI1006),$AB$1006:$AQ$1006,0)), HYPERLINK("#",""), HYPERLINK(CONCATENATE("#metadata!", ADDRESS(INDEX($W$2:$W$1001,MATCH(ROWS($U$2:U389),$U$2:$U$1001,0),0), INDEX($AB$1004:$AQ$1004,1,MATCH(COLUMNS($AB$1006:AI1006),$AB$1006:$AQ$1006,0)))),"Fix")))</f>
        <v>0</v>
      </c>
      <c r="J389" s="4">
        <f>IF(OR(INDEX($V$2:$V$1001,MATCH(ROWS($U$2:U389),$U$2:$U$1001,0),1)&gt;=100000,INDEX($AB$1005:$AQ$1005,1,MATCH(COLUMNS($AB$1006:AJ1006),$AB$1006:$AQ$1006,0))&gt;=100000), " ",IF(INDEX($AB$2:$AQ$1001,MATCH(ROWS($U$2:U389),$U$2:$U$1001,0),MATCH(COLUMNS($AB$1006:AJ1006),$AB$1006:$AQ$1006,0)), HYPERLINK("#",""), HYPERLINK(CONCATENATE("#metadata!", ADDRESS(INDEX($W$2:$W$1001,MATCH(ROWS($U$2:U389),$U$2:$U$1001,0),0), INDEX($AB$1004:$AQ$1004,1,MATCH(COLUMNS($AB$1006:AJ1006),$AB$1006:$AQ$1006,0)))),"Fix")))</f>
        <v>0</v>
      </c>
      <c r="K389" s="4">
        <f>IF(OR(INDEX($V$2:$V$1001,MATCH(ROWS($U$2:U389),$U$2:$U$1001,0),1)&gt;=100000,INDEX($AB$1005:$AQ$1005,1,MATCH(COLUMNS($AB$1006:AK1006),$AB$1006:$AQ$1006,0))&gt;=100000), " ",IF(INDEX($AB$2:$AQ$1001,MATCH(ROWS($U$2:U389),$U$2:$U$1001,0),MATCH(COLUMNS($AB$1006:AK1006),$AB$1006:$AQ$1006,0)), HYPERLINK("#",""), HYPERLINK(CONCATENATE("#metadata!", ADDRESS(INDEX($W$2:$W$1001,MATCH(ROWS($U$2:U389),$U$2:$U$1001,0),0), INDEX($AB$1004:$AQ$1004,1,MATCH(COLUMNS($AB$1006:AK1006),$AB$1006:$AQ$1006,0)))),"Fix")))</f>
        <v>0</v>
      </c>
      <c r="L389" s="4">
        <f>IF(OR(INDEX($V$2:$V$1001,MATCH(ROWS($U$2:U389),$U$2:$U$1001,0),1)&gt;=100000,INDEX($AB$1005:$AQ$1005,1,MATCH(COLUMNS($AB$1006:AL1006),$AB$1006:$AQ$1006,0))&gt;=100000), " ",IF(INDEX($AB$2:$AQ$1001,MATCH(ROWS($U$2:U389),$U$2:$U$1001,0),MATCH(COLUMNS($AB$1006:AL1006),$AB$1006:$AQ$1006,0)), HYPERLINK("#",""), HYPERLINK(CONCATENATE("#metadata!", ADDRESS(INDEX($W$2:$W$1001,MATCH(ROWS($U$2:U389),$U$2:$U$1001,0),0), INDEX($AB$1004:$AQ$1004,1,MATCH(COLUMNS($AB$1006:AL1006),$AB$1006:$AQ$1006,0)))),"Fix")))</f>
        <v>0</v>
      </c>
      <c r="M389" s="4">
        <f>IF(OR(INDEX($V$2:$V$1001,MATCH(ROWS($U$2:U389),$U$2:$U$1001,0),1)&gt;=100000,INDEX($AB$1005:$AQ$1005,1,MATCH(COLUMNS($AB$1006:AM1006),$AB$1006:$AQ$1006,0))&gt;=100000), " ",IF(INDEX($AB$2:$AQ$1001,MATCH(ROWS($U$2:U389),$U$2:$U$1001,0),MATCH(COLUMNS($AB$1006:AM1006),$AB$1006:$AQ$1006,0)), HYPERLINK("#",""), HYPERLINK(CONCATENATE("#metadata!", ADDRESS(INDEX($W$2:$W$1001,MATCH(ROWS($U$2:U389),$U$2:$U$1001,0),0), INDEX($AB$1004:$AQ$1004,1,MATCH(COLUMNS($AB$1006:AM1006),$AB$1006:$AQ$1006,0)))),"Fix")))</f>
        <v>0</v>
      </c>
      <c r="N389" s="4">
        <f>IF(OR(INDEX($V$2:$V$1001,MATCH(ROWS($U$2:U389),$U$2:$U$1001,0),1)&gt;=100000,INDEX($AB$1005:$AQ$1005,1,MATCH(COLUMNS($AB$1006:AN1006),$AB$1006:$AQ$1006,0))&gt;=100000), " ",IF(INDEX($AB$2:$AQ$1001,MATCH(ROWS($U$2:U389),$U$2:$U$1001,0),MATCH(COLUMNS($AB$1006:AN1006),$AB$1006:$AQ$1006,0)), HYPERLINK("#",""), HYPERLINK(CONCATENATE("#metadata!", ADDRESS(INDEX($W$2:$W$1001,MATCH(ROWS($U$2:U389),$U$2:$U$1001,0),0), INDEX($AB$1004:$AQ$1004,1,MATCH(COLUMNS($AB$1006:AN1006),$AB$1006:$AQ$1006,0)))),"Fix")))</f>
        <v>0</v>
      </c>
      <c r="O389" s="4">
        <f>IF(OR(INDEX($V$2:$V$1001,MATCH(ROWS($U$2:U389),$U$2:$U$1001,0),1)&gt;=100000,INDEX($AB$1005:$AQ$1005,1,MATCH(COLUMNS($AB$1006:AO1006),$AB$1006:$AQ$1006,0))&gt;=100000), " ",IF(INDEX($AB$2:$AQ$1001,MATCH(ROWS($U$2:U389),$U$2:$U$1001,0),MATCH(COLUMNS($AB$1006:AO1006),$AB$1006:$AQ$1006,0)), HYPERLINK("#",""), HYPERLINK(CONCATENATE("#metadata!", ADDRESS(INDEX($W$2:$W$1001,MATCH(ROWS($U$2:U389),$U$2:$U$1001,0),0), INDEX($AB$1004:$AQ$1004,1,MATCH(COLUMNS($AB$1006:AO1006),$AB$1006:$AQ$1006,0)))),"Fix")))</f>
        <v>0</v>
      </c>
      <c r="P389" s="4">
        <f>IF(OR(INDEX($V$2:$V$1001,MATCH(ROWS($U$2:U389),$U$2:$U$1001,0),1)&gt;=100000,INDEX($AB$1005:$AQ$1005,1,MATCH(COLUMNS($AB$1006:AP1006),$AB$1006:$AQ$1006,0))&gt;=100000), " ",IF(INDEX($AB$2:$AQ$1001,MATCH(ROWS($U$2:U389),$U$2:$U$1001,0),MATCH(COLUMNS($AB$1006:AP1006),$AB$1006:$AQ$1006,0)), HYPERLINK("#",""), HYPERLINK(CONCATENATE("#metadata!", ADDRESS(INDEX($W$2:$W$1001,MATCH(ROWS($U$2:U389),$U$2:$U$1001,0),0), INDEX($AB$1004:$AQ$1004,1,MATCH(COLUMNS($AB$1006:AP1006),$AB$1006:$AQ$1006,0)))),"Fix")))</f>
        <v>0</v>
      </c>
      <c r="Q389" s="4">
        <f>IF(OR(INDEX($V$2:$V$1001,MATCH(ROWS($U$2:U389),$U$2:$U$1001,0),1)&gt;=100000,INDEX($AB$1005:$AQ$1005,1,MATCH(COLUMNS($AB$1006:AQ1006),$AB$1006:$AQ$1006,0))&gt;=100000), " ",IF(INDEX($AB$2:$AQ$1001,MATCH(ROWS($U$2:U389),$U$2:$U$1001,0),MATCH(COLUMNS($AB$1006:AQ1006),$AB$1006:$AQ$1006,0)), HYPERLINK("#",""), HYPERLINK(CONCATENATE("#metadata!", ADDRESS(INDEX($W$2:$W$1001,MATCH(ROWS($U$2:U389),$U$2:$U$1001,0),0), INDEX($AB$1004:$AQ$1004,1,MATCH(COLUMNS($AB$1006:AQ1006),$AB$1006:$AQ$1006,0)))),"Fix")))</f>
        <v>0</v>
      </c>
      <c r="U389">
        <v>0</v>
      </c>
      <c r="V389">
        <v>0</v>
      </c>
      <c r="W389">
        <v>0</v>
      </c>
      <c r="X389">
        <f>IF(Y389,TRUE,AND(AB389:AQ389))</f>
        <v>0</v>
      </c>
      <c r="Y389">
        <f>COUNTBLANK(metadata!B389:Q389)=COLUMNS(metadata!B389:Q389)</f>
        <v>0</v>
      </c>
      <c r="Z389">
        <v>0</v>
      </c>
      <c r="AB389">
        <f>AND(IF(metadata!B389="",FALSE,TRUE),COUNTIF(metadata!B:B, metadata!B389) = 1,NOT(ISERROR(SUMPRODUCT(SEARCH(MID(metadata!B389,ROW(INDIRECT("1:"&amp;LEN(metadata!B389))), 1),"0123456789abcdefghijklmnopqrstuvwxyzABCDEFGHIJKLMNOPQRSTUVWXYZ.")))))</f>
        <v>0</v>
      </c>
      <c r="AC389">
        <f>OR(AND(IF(metadata!C389="",FALSE,TRUE),OR(exact(metadata!C389,"missing: not collected"),exact(metadata!C389,"missing: not provided"),exact(metadata!C389,"missing: restricted access"))),AND(IF(metadata!C389="",FALSE,TRUE),AND(AND(IFERROR(INT(LEFT(metadata!C389,4))&gt;1900,FALSE),IFERROR(INT(LEFT(metadata!C389,4))&lt;=YEAR(NOW()),FALSE)), OR(MID(metadata!C389,5,1)="", AND(AND(MID(metadata!C389,5,1)="-",IFERROR(INT(MID(metadata!C389,6,1))&gt;=0,FALSE),IFERROR(INT(MID(metadata!C389,6,1))&lt;=1,FALSE),NOT(MID(metadata!C389,7,1)=""),IFERROR(INT(MID(metadata!C389,6,2))&gt;=1,FALSE),IFERROR(INT(MID(metadata!C389,6,2))&lt;=12,FALSE)), OR(MID(metadata!C389,8,1)="", AND(AND(MID(metadata!C389,8,1)="-",IFERROR(INT(MID(metadata!C389,9,1))&gt;=0,FALSE),IFERROR(INT(MID(metadata!C389,9,1))&lt;=3,FALSE),NOT(MID(metadata!C389,10,1)=""),IFERROR(INT(MID(metadata!C389,9,2))&gt;=1,FALSE),IFERROR(INT(MID(metadata!C389,9,2))&lt;=31,FALSE)), OR(MID(metadata!C389,11,1)="", AND(AND(MID(metadata!C389,11,1)=" ",IFERROR(INT(MID(metadata!C389,12,1))&gt;=0,FALSE),IFERROR(INT(MID(metadata!C389,12,1))&lt;=2,FALSE),NOT(MID(metadata!C389,13,1)=""),IFERROR(INT(MID(metadata!C389,12,2))&gt;=0,FALSE),IFERROR(INT(MID(metadata!C389,12,2))&lt;=23,FALSE)), OR(MID(metadata!C389,14,1)="", AND(AND(MID(metadata!C389,14,1)=":",IFERROR(INT(MID(metadata!C389,15,1))&gt;=0,FALSE),IFERROR(INT(MID(metadata!C389,15,1))&lt;=5,FALSE),NOT(MID(metadata!C389,16,1)=""),IFERROR(INT(MID(metadata!C389,15,2))&gt;=0,FALSE),IFERROR(INT(MID(metadata!C389,15,2))&lt;=59,FALSE)), OR(MID(metadata!C389,17,1)="", AND(AND(MID(metadata!C389,17,1)=":",IFERROR(INT(MID(metadata!C389,18,1))&gt;=0,FALSE),IFERROR(INT(MID(metadata!C389,18,1))&lt;=5,FALSE),NOT(MID(metadata!C389,19,1)=""),IFERROR(INT(MID(metadata!C389,18,2))&gt;=0,FALSE),IFERROR(INT(MID(metadata!C389,18,2))&lt;=59,FALSE)), LEN(metadata!C389)&lt;=19)))))))))))))</f>
        <v>0</v>
      </c>
      <c r="AD389">
        <f>IF(metadata!D389="",FALSE,TRUE)</f>
        <v>0</v>
      </c>
      <c r="AE389">
        <f>OR(AND(IF(metadata!E389="",FALSE,TRUE),OR(exact(metadata!E389,"missing: not collected"),exact(metadata!E389,"missing: not provided"))),AND(IF(metadata!E389="",FALSE,TRUE),OR(exact(metadata!E389,"TRUE"),exact(metadata!E389,"FALSE"))))</f>
        <v>0</v>
      </c>
      <c r="AF389">
        <f>IF(metadata!F389="",FALSE,TRUE)</f>
        <v>0</v>
      </c>
      <c r="AG389">
        <f>IF(metadata!G389="",FALSE,TRUE)</f>
        <v>0</v>
      </c>
      <c r="AH389">
        <f>IF(metadata!H389="",FALSE,TRUE)</f>
        <v>0</v>
      </c>
      <c r="AI389">
        <f>OR(AND(IF(metadata!I389="",FALSE,TRUE),OR(exact(metadata!I389,"missing: not collected"),exact(metadata!I389,"missing: not provided"),exact(metadata!I389,"missing: restricted access"))),AND(IF(metadata!I389="",FALSE,TRUE),OR(exact(metadata!I389,"air"),exact(metadata!I389,"built environment"),exact(metadata!I389,"host-associated"),exact(metadata!I389,"human-associated"),exact(metadata!I389,"human-skin"),exact(metadata!I389,"human-oral"),exact(metadata!I389,"human-gut"),exact(metadata!I389,"human-vaginal"),exact(metadata!I389,"microbial mat/biofilm"),exact(metadata!I389,"misc environment"),exact(metadata!I389,"plant-associated"),exact(metadata!I389,"sediment"),exact(metadata!I389,"soil"),exact(metadata!I389,"wastewater/sludge"),exact(metadata!I389,"water"))))</f>
        <v>0</v>
      </c>
      <c r="AJ389">
        <f>IF(metadata!J389="",FALSE,TRUE)</f>
        <v>0</v>
      </c>
      <c r="AK389">
        <f>OR(AND(IF(metadata!K389="",FALSE,TRUE),OR(exact(metadata!K389,"missing: not collected"),exact(metadata!K389,"missing: not provided"),exact(metadata!K389,"missing: restricted access"))),AND(IF(metadata!K389="",FALSE,ISNUMBER(VALUE(metadata!K389))),metadata!K389&gt;=-90.00,metadata!K389&lt;=90.00))</f>
        <v>0</v>
      </c>
      <c r="AL389">
        <f>OR(AND(IF(metadata!L389="",FALSE,TRUE),OR(exact(metadata!L389,"missing: not collected"),exact(metadata!L389,"missing: not provided"),exact(metadata!L389,"missing: restricted access"))),AND(IF(metadata!L389="",FALSE,ISNUMBER(VALUE(metadata!L389))),metadata!L389&gt;=-180.00,metadata!L389&lt;=180.00))</f>
        <v>0</v>
      </c>
      <c r="AM389">
        <f>IF(metadata!M389="",FALSE,TRUE)</f>
        <v>0</v>
      </c>
      <c r="AN389">
        <f>OR(AND(IF(metadata!N389="",FALSE,TRUE),OR(exact(metadata!N389,"missing: not collected"),exact(metadata!N389,"missing: not provided"),exact(metadata!N389,"missing: restricted access"))),AND(IF(metadata!N389="",FALSE,TRUE),OR(exact(metadata!N389,"TRUE"),exact(metadata!N389,"FALSE"))))</f>
        <v>0</v>
      </c>
      <c r="AO389">
        <f>IF(metadata!O389="",FALSE,TRUE)</f>
        <v>0</v>
      </c>
      <c r="AP389">
        <f>OR(AND(IF(metadata!P389="",FALSE,TRUE),OR(exact(metadata!P389,"missing: not collected"),exact(metadata!P389,"missing: not provided"))),AND(IF(metadata!P389="",FALSE,IF(ISERROR(INT(metadata!P389)),FALSE,INT(metadata!P389)=metadata!P389)),metadata!P389&gt;0))</f>
        <v>0</v>
      </c>
      <c r="AQ389">
        <f>IF(metadata!Q389="",FALSE,TRUE)</f>
        <v>0</v>
      </c>
    </row>
    <row r="390" spans="1:43">
      <c r="A390" s="5">
        <f>IF(B390=" "," ",HYPERLINK(CONCATENATE("#metadata!",ADDRESS(INDEX($W$2:$W$1001,MATCH(ROWS($U$2:U390),$U$2:$U$1001,0),0),1)),INDEX($Z$2:$Z$1001,MATCH(ROWS($U$2:U390),$U$2:$U$1001,0),0)))</f>
        <v>0</v>
      </c>
      <c r="B390" s="4">
        <f>IF(OR(INDEX($V$2:$V$1001,MATCH(ROWS($U$2:U390),$U$2:$U$1001,0),1)&gt;=100000,INDEX($AB$1005:$AQ$1005,1,MATCH(COLUMNS($AB$1006:AB1006),$AB$1006:$AQ$1006,0))&gt;=100000), " ",IF(INDEX($AB$2:$AQ$1001,MATCH(ROWS($U$2:U390),$U$2:$U$1001,0),MATCH(COLUMNS($AB$1006:AB1006),$AB$1006:$AQ$1006,0)), HYPERLINK("#",""), HYPERLINK(CONCATENATE("#metadata!", ADDRESS(INDEX($W$2:$W$1001,MATCH(ROWS($U$2:U390),$U$2:$U$1001,0),0), INDEX($AB$1004:$AQ$1004,1,MATCH(COLUMNS($AB$1006:AB1006),$AB$1006:$AQ$1006,0)))),"Fix")))</f>
        <v>0</v>
      </c>
      <c r="C390" s="4">
        <f>IF(OR(INDEX($V$2:$V$1001,MATCH(ROWS($U$2:U390),$U$2:$U$1001,0),1)&gt;=100000,INDEX($AB$1005:$AQ$1005,1,MATCH(COLUMNS($AB$1006:AC1006),$AB$1006:$AQ$1006,0))&gt;=100000), " ",IF(INDEX($AB$2:$AQ$1001,MATCH(ROWS($U$2:U390),$U$2:$U$1001,0),MATCH(COLUMNS($AB$1006:AC1006),$AB$1006:$AQ$1006,0)), HYPERLINK("#",""), HYPERLINK(CONCATENATE("#metadata!", ADDRESS(INDEX($W$2:$W$1001,MATCH(ROWS($U$2:U390),$U$2:$U$1001,0),0), INDEX($AB$1004:$AQ$1004,1,MATCH(COLUMNS($AB$1006:AC1006),$AB$1006:$AQ$1006,0)))),"Fix")))</f>
        <v>0</v>
      </c>
      <c r="D390" s="4">
        <f>IF(OR(INDEX($V$2:$V$1001,MATCH(ROWS($U$2:U390),$U$2:$U$1001,0),1)&gt;=100000,INDEX($AB$1005:$AQ$1005,1,MATCH(COLUMNS($AB$1006:AD1006),$AB$1006:$AQ$1006,0))&gt;=100000), " ",IF(INDEX($AB$2:$AQ$1001,MATCH(ROWS($U$2:U390),$U$2:$U$1001,0),MATCH(COLUMNS($AB$1006:AD1006),$AB$1006:$AQ$1006,0)), HYPERLINK("#",""), HYPERLINK(CONCATENATE("#metadata!", ADDRESS(INDEX($W$2:$W$1001,MATCH(ROWS($U$2:U390),$U$2:$U$1001,0),0), INDEX($AB$1004:$AQ$1004,1,MATCH(COLUMNS($AB$1006:AD1006),$AB$1006:$AQ$1006,0)))),"Fix")))</f>
        <v>0</v>
      </c>
      <c r="E390" s="4">
        <f>IF(OR(INDEX($V$2:$V$1001,MATCH(ROWS($U$2:U390),$U$2:$U$1001,0),1)&gt;=100000,INDEX($AB$1005:$AQ$1005,1,MATCH(COLUMNS($AB$1006:AE1006),$AB$1006:$AQ$1006,0))&gt;=100000), " ",IF(INDEX($AB$2:$AQ$1001,MATCH(ROWS($U$2:U390),$U$2:$U$1001,0),MATCH(COLUMNS($AB$1006:AE1006),$AB$1006:$AQ$1006,0)), HYPERLINK("#",""), HYPERLINK(CONCATENATE("#metadata!", ADDRESS(INDEX($W$2:$W$1001,MATCH(ROWS($U$2:U390),$U$2:$U$1001,0),0), INDEX($AB$1004:$AQ$1004,1,MATCH(COLUMNS($AB$1006:AE1006),$AB$1006:$AQ$1006,0)))),"Fix")))</f>
        <v>0</v>
      </c>
      <c r="F390" s="4">
        <f>IF(OR(INDEX($V$2:$V$1001,MATCH(ROWS($U$2:U390),$U$2:$U$1001,0),1)&gt;=100000,INDEX($AB$1005:$AQ$1005,1,MATCH(COLUMNS($AB$1006:AF1006),$AB$1006:$AQ$1006,0))&gt;=100000), " ",IF(INDEX($AB$2:$AQ$1001,MATCH(ROWS($U$2:U390),$U$2:$U$1001,0),MATCH(COLUMNS($AB$1006:AF1006),$AB$1006:$AQ$1006,0)), HYPERLINK("#",""), HYPERLINK(CONCATENATE("#metadata!", ADDRESS(INDEX($W$2:$W$1001,MATCH(ROWS($U$2:U390),$U$2:$U$1001,0),0), INDEX($AB$1004:$AQ$1004,1,MATCH(COLUMNS($AB$1006:AF1006),$AB$1006:$AQ$1006,0)))),"Fix")))</f>
        <v>0</v>
      </c>
      <c r="G390" s="4">
        <f>IF(OR(INDEX($V$2:$V$1001,MATCH(ROWS($U$2:U390),$U$2:$U$1001,0),1)&gt;=100000,INDEX($AB$1005:$AQ$1005,1,MATCH(COLUMNS($AB$1006:AG1006),$AB$1006:$AQ$1006,0))&gt;=100000), " ",IF(INDEX($AB$2:$AQ$1001,MATCH(ROWS($U$2:U390),$U$2:$U$1001,0),MATCH(COLUMNS($AB$1006:AG1006),$AB$1006:$AQ$1006,0)), HYPERLINK("#",""), HYPERLINK(CONCATENATE("#metadata!", ADDRESS(INDEX($W$2:$W$1001,MATCH(ROWS($U$2:U390),$U$2:$U$1001,0),0), INDEX($AB$1004:$AQ$1004,1,MATCH(COLUMNS($AB$1006:AG1006),$AB$1006:$AQ$1006,0)))),"Fix")))</f>
        <v>0</v>
      </c>
      <c r="H390" s="4">
        <f>IF(OR(INDEX($V$2:$V$1001,MATCH(ROWS($U$2:U390),$U$2:$U$1001,0),1)&gt;=100000,INDEX($AB$1005:$AQ$1005,1,MATCH(COLUMNS($AB$1006:AH1006),$AB$1006:$AQ$1006,0))&gt;=100000), " ",IF(INDEX($AB$2:$AQ$1001,MATCH(ROWS($U$2:U390),$U$2:$U$1001,0),MATCH(COLUMNS($AB$1006:AH1006),$AB$1006:$AQ$1006,0)), HYPERLINK("#",""), HYPERLINK(CONCATENATE("#metadata!", ADDRESS(INDEX($W$2:$W$1001,MATCH(ROWS($U$2:U390),$U$2:$U$1001,0),0), INDEX($AB$1004:$AQ$1004,1,MATCH(COLUMNS($AB$1006:AH1006),$AB$1006:$AQ$1006,0)))),"Fix")))</f>
        <v>0</v>
      </c>
      <c r="I390" s="4">
        <f>IF(OR(INDEX($V$2:$V$1001,MATCH(ROWS($U$2:U390),$U$2:$U$1001,0),1)&gt;=100000,INDEX($AB$1005:$AQ$1005,1,MATCH(COLUMNS($AB$1006:AI1006),$AB$1006:$AQ$1006,0))&gt;=100000), " ",IF(INDEX($AB$2:$AQ$1001,MATCH(ROWS($U$2:U390),$U$2:$U$1001,0),MATCH(COLUMNS($AB$1006:AI1006),$AB$1006:$AQ$1006,0)), HYPERLINK("#",""), HYPERLINK(CONCATENATE("#metadata!", ADDRESS(INDEX($W$2:$W$1001,MATCH(ROWS($U$2:U390),$U$2:$U$1001,0),0), INDEX($AB$1004:$AQ$1004,1,MATCH(COLUMNS($AB$1006:AI1006),$AB$1006:$AQ$1006,0)))),"Fix")))</f>
        <v>0</v>
      </c>
      <c r="J390" s="4">
        <f>IF(OR(INDEX($V$2:$V$1001,MATCH(ROWS($U$2:U390),$U$2:$U$1001,0),1)&gt;=100000,INDEX($AB$1005:$AQ$1005,1,MATCH(COLUMNS($AB$1006:AJ1006),$AB$1006:$AQ$1006,0))&gt;=100000), " ",IF(INDEX($AB$2:$AQ$1001,MATCH(ROWS($U$2:U390),$U$2:$U$1001,0),MATCH(COLUMNS($AB$1006:AJ1006),$AB$1006:$AQ$1006,0)), HYPERLINK("#",""), HYPERLINK(CONCATENATE("#metadata!", ADDRESS(INDEX($W$2:$W$1001,MATCH(ROWS($U$2:U390),$U$2:$U$1001,0),0), INDEX($AB$1004:$AQ$1004,1,MATCH(COLUMNS($AB$1006:AJ1006),$AB$1006:$AQ$1006,0)))),"Fix")))</f>
        <v>0</v>
      </c>
      <c r="K390" s="4">
        <f>IF(OR(INDEX($V$2:$V$1001,MATCH(ROWS($U$2:U390),$U$2:$U$1001,0),1)&gt;=100000,INDEX($AB$1005:$AQ$1005,1,MATCH(COLUMNS($AB$1006:AK1006),$AB$1006:$AQ$1006,0))&gt;=100000), " ",IF(INDEX($AB$2:$AQ$1001,MATCH(ROWS($U$2:U390),$U$2:$U$1001,0),MATCH(COLUMNS($AB$1006:AK1006),$AB$1006:$AQ$1006,0)), HYPERLINK("#",""), HYPERLINK(CONCATENATE("#metadata!", ADDRESS(INDEX($W$2:$W$1001,MATCH(ROWS($U$2:U390),$U$2:$U$1001,0),0), INDEX($AB$1004:$AQ$1004,1,MATCH(COLUMNS($AB$1006:AK1006),$AB$1006:$AQ$1006,0)))),"Fix")))</f>
        <v>0</v>
      </c>
      <c r="L390" s="4">
        <f>IF(OR(INDEX($V$2:$V$1001,MATCH(ROWS($U$2:U390),$U$2:$U$1001,0),1)&gt;=100000,INDEX($AB$1005:$AQ$1005,1,MATCH(COLUMNS($AB$1006:AL1006),$AB$1006:$AQ$1006,0))&gt;=100000), " ",IF(INDEX($AB$2:$AQ$1001,MATCH(ROWS($U$2:U390),$U$2:$U$1001,0),MATCH(COLUMNS($AB$1006:AL1006),$AB$1006:$AQ$1006,0)), HYPERLINK("#",""), HYPERLINK(CONCATENATE("#metadata!", ADDRESS(INDEX($W$2:$W$1001,MATCH(ROWS($U$2:U390),$U$2:$U$1001,0),0), INDEX($AB$1004:$AQ$1004,1,MATCH(COLUMNS($AB$1006:AL1006),$AB$1006:$AQ$1006,0)))),"Fix")))</f>
        <v>0</v>
      </c>
      <c r="M390" s="4">
        <f>IF(OR(INDEX($V$2:$V$1001,MATCH(ROWS($U$2:U390),$U$2:$U$1001,0),1)&gt;=100000,INDEX($AB$1005:$AQ$1005,1,MATCH(COLUMNS($AB$1006:AM1006),$AB$1006:$AQ$1006,0))&gt;=100000), " ",IF(INDEX($AB$2:$AQ$1001,MATCH(ROWS($U$2:U390),$U$2:$U$1001,0),MATCH(COLUMNS($AB$1006:AM1006),$AB$1006:$AQ$1006,0)), HYPERLINK("#",""), HYPERLINK(CONCATENATE("#metadata!", ADDRESS(INDEX($W$2:$W$1001,MATCH(ROWS($U$2:U390),$U$2:$U$1001,0),0), INDEX($AB$1004:$AQ$1004,1,MATCH(COLUMNS($AB$1006:AM1006),$AB$1006:$AQ$1006,0)))),"Fix")))</f>
        <v>0</v>
      </c>
      <c r="N390" s="4">
        <f>IF(OR(INDEX($V$2:$V$1001,MATCH(ROWS($U$2:U390),$U$2:$U$1001,0),1)&gt;=100000,INDEX($AB$1005:$AQ$1005,1,MATCH(COLUMNS($AB$1006:AN1006),$AB$1006:$AQ$1006,0))&gt;=100000), " ",IF(INDEX($AB$2:$AQ$1001,MATCH(ROWS($U$2:U390),$U$2:$U$1001,0),MATCH(COLUMNS($AB$1006:AN1006),$AB$1006:$AQ$1006,0)), HYPERLINK("#",""), HYPERLINK(CONCATENATE("#metadata!", ADDRESS(INDEX($W$2:$W$1001,MATCH(ROWS($U$2:U390),$U$2:$U$1001,0),0), INDEX($AB$1004:$AQ$1004,1,MATCH(COLUMNS($AB$1006:AN1006),$AB$1006:$AQ$1006,0)))),"Fix")))</f>
        <v>0</v>
      </c>
      <c r="O390" s="4">
        <f>IF(OR(INDEX($V$2:$V$1001,MATCH(ROWS($U$2:U390),$U$2:$U$1001,0),1)&gt;=100000,INDEX($AB$1005:$AQ$1005,1,MATCH(COLUMNS($AB$1006:AO1006),$AB$1006:$AQ$1006,0))&gt;=100000), " ",IF(INDEX($AB$2:$AQ$1001,MATCH(ROWS($U$2:U390),$U$2:$U$1001,0),MATCH(COLUMNS($AB$1006:AO1006),$AB$1006:$AQ$1006,0)), HYPERLINK("#",""), HYPERLINK(CONCATENATE("#metadata!", ADDRESS(INDEX($W$2:$W$1001,MATCH(ROWS($U$2:U390),$U$2:$U$1001,0),0), INDEX($AB$1004:$AQ$1004,1,MATCH(COLUMNS($AB$1006:AO1006),$AB$1006:$AQ$1006,0)))),"Fix")))</f>
        <v>0</v>
      </c>
      <c r="P390" s="4">
        <f>IF(OR(INDEX($V$2:$V$1001,MATCH(ROWS($U$2:U390),$U$2:$U$1001,0),1)&gt;=100000,INDEX($AB$1005:$AQ$1005,1,MATCH(COLUMNS($AB$1006:AP1006),$AB$1006:$AQ$1006,0))&gt;=100000), " ",IF(INDEX($AB$2:$AQ$1001,MATCH(ROWS($U$2:U390),$U$2:$U$1001,0),MATCH(COLUMNS($AB$1006:AP1006),$AB$1006:$AQ$1006,0)), HYPERLINK("#",""), HYPERLINK(CONCATENATE("#metadata!", ADDRESS(INDEX($W$2:$W$1001,MATCH(ROWS($U$2:U390),$U$2:$U$1001,0),0), INDEX($AB$1004:$AQ$1004,1,MATCH(COLUMNS($AB$1006:AP1006),$AB$1006:$AQ$1006,0)))),"Fix")))</f>
        <v>0</v>
      </c>
      <c r="Q390" s="4">
        <f>IF(OR(INDEX($V$2:$V$1001,MATCH(ROWS($U$2:U390),$U$2:$U$1001,0),1)&gt;=100000,INDEX($AB$1005:$AQ$1005,1,MATCH(COLUMNS($AB$1006:AQ1006),$AB$1006:$AQ$1006,0))&gt;=100000), " ",IF(INDEX($AB$2:$AQ$1001,MATCH(ROWS($U$2:U390),$U$2:$U$1001,0),MATCH(COLUMNS($AB$1006:AQ1006),$AB$1006:$AQ$1006,0)), HYPERLINK("#",""), HYPERLINK(CONCATENATE("#metadata!", ADDRESS(INDEX($W$2:$W$1001,MATCH(ROWS($U$2:U390),$U$2:$U$1001,0),0), INDEX($AB$1004:$AQ$1004,1,MATCH(COLUMNS($AB$1006:AQ1006),$AB$1006:$AQ$1006,0)))),"Fix")))</f>
        <v>0</v>
      </c>
      <c r="U390">
        <v>0</v>
      </c>
      <c r="V390">
        <v>0</v>
      </c>
      <c r="W390">
        <v>0</v>
      </c>
      <c r="X390">
        <f>IF(Y390,TRUE,AND(AB390:AQ390))</f>
        <v>0</v>
      </c>
      <c r="Y390">
        <f>COUNTBLANK(metadata!B390:Q390)=COLUMNS(metadata!B390:Q390)</f>
        <v>0</v>
      </c>
      <c r="Z390">
        <v>0</v>
      </c>
      <c r="AB390">
        <f>AND(IF(metadata!B390="",FALSE,TRUE),COUNTIF(metadata!B:B, metadata!B390) = 1,NOT(ISERROR(SUMPRODUCT(SEARCH(MID(metadata!B390,ROW(INDIRECT("1:"&amp;LEN(metadata!B390))), 1),"0123456789abcdefghijklmnopqrstuvwxyzABCDEFGHIJKLMNOPQRSTUVWXYZ.")))))</f>
        <v>0</v>
      </c>
      <c r="AC390">
        <f>OR(AND(IF(metadata!C390="",FALSE,TRUE),OR(exact(metadata!C390,"missing: not collected"),exact(metadata!C390,"missing: not provided"),exact(metadata!C390,"missing: restricted access"))),AND(IF(metadata!C390="",FALSE,TRUE),AND(AND(IFERROR(INT(LEFT(metadata!C390,4))&gt;1900,FALSE),IFERROR(INT(LEFT(metadata!C390,4))&lt;=YEAR(NOW()),FALSE)), OR(MID(metadata!C390,5,1)="", AND(AND(MID(metadata!C390,5,1)="-",IFERROR(INT(MID(metadata!C390,6,1))&gt;=0,FALSE),IFERROR(INT(MID(metadata!C390,6,1))&lt;=1,FALSE),NOT(MID(metadata!C390,7,1)=""),IFERROR(INT(MID(metadata!C390,6,2))&gt;=1,FALSE),IFERROR(INT(MID(metadata!C390,6,2))&lt;=12,FALSE)), OR(MID(metadata!C390,8,1)="", AND(AND(MID(metadata!C390,8,1)="-",IFERROR(INT(MID(metadata!C390,9,1))&gt;=0,FALSE),IFERROR(INT(MID(metadata!C390,9,1))&lt;=3,FALSE),NOT(MID(metadata!C390,10,1)=""),IFERROR(INT(MID(metadata!C390,9,2))&gt;=1,FALSE),IFERROR(INT(MID(metadata!C390,9,2))&lt;=31,FALSE)), OR(MID(metadata!C390,11,1)="", AND(AND(MID(metadata!C390,11,1)=" ",IFERROR(INT(MID(metadata!C390,12,1))&gt;=0,FALSE),IFERROR(INT(MID(metadata!C390,12,1))&lt;=2,FALSE),NOT(MID(metadata!C390,13,1)=""),IFERROR(INT(MID(metadata!C390,12,2))&gt;=0,FALSE),IFERROR(INT(MID(metadata!C390,12,2))&lt;=23,FALSE)), OR(MID(metadata!C390,14,1)="", AND(AND(MID(metadata!C390,14,1)=":",IFERROR(INT(MID(metadata!C390,15,1))&gt;=0,FALSE),IFERROR(INT(MID(metadata!C390,15,1))&lt;=5,FALSE),NOT(MID(metadata!C390,16,1)=""),IFERROR(INT(MID(metadata!C390,15,2))&gt;=0,FALSE),IFERROR(INT(MID(metadata!C390,15,2))&lt;=59,FALSE)), OR(MID(metadata!C390,17,1)="", AND(AND(MID(metadata!C390,17,1)=":",IFERROR(INT(MID(metadata!C390,18,1))&gt;=0,FALSE),IFERROR(INT(MID(metadata!C390,18,1))&lt;=5,FALSE),NOT(MID(metadata!C390,19,1)=""),IFERROR(INT(MID(metadata!C390,18,2))&gt;=0,FALSE),IFERROR(INT(MID(metadata!C390,18,2))&lt;=59,FALSE)), LEN(metadata!C390)&lt;=19)))))))))))))</f>
        <v>0</v>
      </c>
      <c r="AD390">
        <f>IF(metadata!D390="",FALSE,TRUE)</f>
        <v>0</v>
      </c>
      <c r="AE390">
        <f>OR(AND(IF(metadata!E390="",FALSE,TRUE),OR(exact(metadata!E390,"missing: not collected"),exact(metadata!E390,"missing: not provided"))),AND(IF(metadata!E390="",FALSE,TRUE),OR(exact(metadata!E390,"TRUE"),exact(metadata!E390,"FALSE"))))</f>
        <v>0</v>
      </c>
      <c r="AF390">
        <f>IF(metadata!F390="",FALSE,TRUE)</f>
        <v>0</v>
      </c>
      <c r="AG390">
        <f>IF(metadata!G390="",FALSE,TRUE)</f>
        <v>0</v>
      </c>
      <c r="AH390">
        <f>IF(metadata!H390="",FALSE,TRUE)</f>
        <v>0</v>
      </c>
      <c r="AI390">
        <f>OR(AND(IF(metadata!I390="",FALSE,TRUE),OR(exact(metadata!I390,"missing: not collected"),exact(metadata!I390,"missing: not provided"),exact(metadata!I390,"missing: restricted access"))),AND(IF(metadata!I390="",FALSE,TRUE),OR(exact(metadata!I390,"air"),exact(metadata!I390,"built environment"),exact(metadata!I390,"host-associated"),exact(metadata!I390,"human-associated"),exact(metadata!I390,"human-skin"),exact(metadata!I390,"human-oral"),exact(metadata!I390,"human-gut"),exact(metadata!I390,"human-vaginal"),exact(metadata!I390,"microbial mat/biofilm"),exact(metadata!I390,"misc environment"),exact(metadata!I390,"plant-associated"),exact(metadata!I390,"sediment"),exact(metadata!I390,"soil"),exact(metadata!I390,"wastewater/sludge"),exact(metadata!I390,"water"))))</f>
        <v>0</v>
      </c>
      <c r="AJ390">
        <f>IF(metadata!J390="",FALSE,TRUE)</f>
        <v>0</v>
      </c>
      <c r="AK390">
        <f>OR(AND(IF(metadata!K390="",FALSE,TRUE),OR(exact(metadata!K390,"missing: not collected"),exact(metadata!K390,"missing: not provided"),exact(metadata!K390,"missing: restricted access"))),AND(IF(metadata!K390="",FALSE,ISNUMBER(VALUE(metadata!K390))),metadata!K390&gt;=-90.00,metadata!K390&lt;=90.00))</f>
        <v>0</v>
      </c>
      <c r="AL390">
        <f>OR(AND(IF(metadata!L390="",FALSE,TRUE),OR(exact(metadata!L390,"missing: not collected"),exact(metadata!L390,"missing: not provided"),exact(metadata!L390,"missing: restricted access"))),AND(IF(metadata!L390="",FALSE,ISNUMBER(VALUE(metadata!L390))),metadata!L390&gt;=-180.00,metadata!L390&lt;=180.00))</f>
        <v>0</v>
      </c>
      <c r="AM390">
        <f>IF(metadata!M390="",FALSE,TRUE)</f>
        <v>0</v>
      </c>
      <c r="AN390">
        <f>OR(AND(IF(metadata!N390="",FALSE,TRUE),OR(exact(metadata!N390,"missing: not collected"),exact(metadata!N390,"missing: not provided"),exact(metadata!N390,"missing: restricted access"))),AND(IF(metadata!N390="",FALSE,TRUE),OR(exact(metadata!N390,"TRUE"),exact(metadata!N390,"FALSE"))))</f>
        <v>0</v>
      </c>
      <c r="AO390">
        <f>IF(metadata!O390="",FALSE,TRUE)</f>
        <v>0</v>
      </c>
      <c r="AP390">
        <f>OR(AND(IF(metadata!P390="",FALSE,TRUE),OR(exact(metadata!P390,"missing: not collected"),exact(metadata!P390,"missing: not provided"))),AND(IF(metadata!P390="",FALSE,IF(ISERROR(INT(metadata!P390)),FALSE,INT(metadata!P390)=metadata!P390)),metadata!P390&gt;0))</f>
        <v>0</v>
      </c>
      <c r="AQ390">
        <f>IF(metadata!Q390="",FALSE,TRUE)</f>
        <v>0</v>
      </c>
    </row>
    <row r="391" spans="1:43">
      <c r="A391" s="5">
        <f>IF(B391=" "," ",HYPERLINK(CONCATENATE("#metadata!",ADDRESS(INDEX($W$2:$W$1001,MATCH(ROWS($U$2:U391),$U$2:$U$1001,0),0),1)),INDEX($Z$2:$Z$1001,MATCH(ROWS($U$2:U391),$U$2:$U$1001,0),0)))</f>
        <v>0</v>
      </c>
      <c r="B391" s="4">
        <f>IF(OR(INDEX($V$2:$V$1001,MATCH(ROWS($U$2:U391),$U$2:$U$1001,0),1)&gt;=100000,INDEX($AB$1005:$AQ$1005,1,MATCH(COLUMNS($AB$1006:AB1006),$AB$1006:$AQ$1006,0))&gt;=100000), " ",IF(INDEX($AB$2:$AQ$1001,MATCH(ROWS($U$2:U391),$U$2:$U$1001,0),MATCH(COLUMNS($AB$1006:AB1006),$AB$1006:$AQ$1006,0)), HYPERLINK("#",""), HYPERLINK(CONCATENATE("#metadata!", ADDRESS(INDEX($W$2:$W$1001,MATCH(ROWS($U$2:U391),$U$2:$U$1001,0),0), INDEX($AB$1004:$AQ$1004,1,MATCH(COLUMNS($AB$1006:AB1006),$AB$1006:$AQ$1006,0)))),"Fix")))</f>
        <v>0</v>
      </c>
      <c r="C391" s="4">
        <f>IF(OR(INDEX($V$2:$V$1001,MATCH(ROWS($U$2:U391),$U$2:$U$1001,0),1)&gt;=100000,INDEX($AB$1005:$AQ$1005,1,MATCH(COLUMNS($AB$1006:AC1006),$AB$1006:$AQ$1006,0))&gt;=100000), " ",IF(INDEX($AB$2:$AQ$1001,MATCH(ROWS($U$2:U391),$U$2:$U$1001,0),MATCH(COLUMNS($AB$1006:AC1006),$AB$1006:$AQ$1006,0)), HYPERLINK("#",""), HYPERLINK(CONCATENATE("#metadata!", ADDRESS(INDEX($W$2:$W$1001,MATCH(ROWS($U$2:U391),$U$2:$U$1001,0),0), INDEX($AB$1004:$AQ$1004,1,MATCH(COLUMNS($AB$1006:AC1006),$AB$1006:$AQ$1006,0)))),"Fix")))</f>
        <v>0</v>
      </c>
      <c r="D391" s="4">
        <f>IF(OR(INDEX($V$2:$V$1001,MATCH(ROWS($U$2:U391),$U$2:$U$1001,0),1)&gt;=100000,INDEX($AB$1005:$AQ$1005,1,MATCH(COLUMNS($AB$1006:AD1006),$AB$1006:$AQ$1006,0))&gt;=100000), " ",IF(INDEX($AB$2:$AQ$1001,MATCH(ROWS($U$2:U391),$U$2:$U$1001,0),MATCH(COLUMNS($AB$1006:AD1006),$AB$1006:$AQ$1006,0)), HYPERLINK("#",""), HYPERLINK(CONCATENATE("#metadata!", ADDRESS(INDEX($W$2:$W$1001,MATCH(ROWS($U$2:U391),$U$2:$U$1001,0),0), INDEX($AB$1004:$AQ$1004,1,MATCH(COLUMNS($AB$1006:AD1006),$AB$1006:$AQ$1006,0)))),"Fix")))</f>
        <v>0</v>
      </c>
      <c r="E391" s="4">
        <f>IF(OR(INDEX($V$2:$V$1001,MATCH(ROWS($U$2:U391),$U$2:$U$1001,0),1)&gt;=100000,INDEX($AB$1005:$AQ$1005,1,MATCH(COLUMNS($AB$1006:AE1006),$AB$1006:$AQ$1006,0))&gt;=100000), " ",IF(INDEX($AB$2:$AQ$1001,MATCH(ROWS($U$2:U391),$U$2:$U$1001,0),MATCH(COLUMNS($AB$1006:AE1006),$AB$1006:$AQ$1006,0)), HYPERLINK("#",""), HYPERLINK(CONCATENATE("#metadata!", ADDRESS(INDEX($W$2:$W$1001,MATCH(ROWS($U$2:U391),$U$2:$U$1001,0),0), INDEX($AB$1004:$AQ$1004,1,MATCH(COLUMNS($AB$1006:AE1006),$AB$1006:$AQ$1006,0)))),"Fix")))</f>
        <v>0</v>
      </c>
      <c r="F391" s="4">
        <f>IF(OR(INDEX($V$2:$V$1001,MATCH(ROWS($U$2:U391),$U$2:$U$1001,0),1)&gt;=100000,INDEX($AB$1005:$AQ$1005,1,MATCH(COLUMNS($AB$1006:AF1006),$AB$1006:$AQ$1006,0))&gt;=100000), " ",IF(INDEX($AB$2:$AQ$1001,MATCH(ROWS($U$2:U391),$U$2:$U$1001,0),MATCH(COLUMNS($AB$1006:AF1006),$AB$1006:$AQ$1006,0)), HYPERLINK("#",""), HYPERLINK(CONCATENATE("#metadata!", ADDRESS(INDEX($W$2:$W$1001,MATCH(ROWS($U$2:U391),$U$2:$U$1001,0),0), INDEX($AB$1004:$AQ$1004,1,MATCH(COLUMNS($AB$1006:AF1006),$AB$1006:$AQ$1006,0)))),"Fix")))</f>
        <v>0</v>
      </c>
      <c r="G391" s="4">
        <f>IF(OR(INDEX($V$2:$V$1001,MATCH(ROWS($U$2:U391),$U$2:$U$1001,0),1)&gt;=100000,INDEX($AB$1005:$AQ$1005,1,MATCH(COLUMNS($AB$1006:AG1006),$AB$1006:$AQ$1006,0))&gt;=100000), " ",IF(INDEX($AB$2:$AQ$1001,MATCH(ROWS($U$2:U391),$U$2:$U$1001,0),MATCH(COLUMNS($AB$1006:AG1006),$AB$1006:$AQ$1006,0)), HYPERLINK("#",""), HYPERLINK(CONCATENATE("#metadata!", ADDRESS(INDEX($W$2:$W$1001,MATCH(ROWS($U$2:U391),$U$2:$U$1001,0),0), INDEX($AB$1004:$AQ$1004,1,MATCH(COLUMNS($AB$1006:AG1006),$AB$1006:$AQ$1006,0)))),"Fix")))</f>
        <v>0</v>
      </c>
      <c r="H391" s="4">
        <f>IF(OR(INDEX($V$2:$V$1001,MATCH(ROWS($U$2:U391),$U$2:$U$1001,0),1)&gt;=100000,INDEX($AB$1005:$AQ$1005,1,MATCH(COLUMNS($AB$1006:AH1006),$AB$1006:$AQ$1006,0))&gt;=100000), " ",IF(INDEX($AB$2:$AQ$1001,MATCH(ROWS($U$2:U391),$U$2:$U$1001,0),MATCH(COLUMNS($AB$1006:AH1006),$AB$1006:$AQ$1006,0)), HYPERLINK("#",""), HYPERLINK(CONCATENATE("#metadata!", ADDRESS(INDEX($W$2:$W$1001,MATCH(ROWS($U$2:U391),$U$2:$U$1001,0),0), INDEX($AB$1004:$AQ$1004,1,MATCH(COLUMNS($AB$1006:AH1006),$AB$1006:$AQ$1006,0)))),"Fix")))</f>
        <v>0</v>
      </c>
      <c r="I391" s="4">
        <f>IF(OR(INDEX($V$2:$V$1001,MATCH(ROWS($U$2:U391),$U$2:$U$1001,0),1)&gt;=100000,INDEX($AB$1005:$AQ$1005,1,MATCH(COLUMNS($AB$1006:AI1006),$AB$1006:$AQ$1006,0))&gt;=100000), " ",IF(INDEX($AB$2:$AQ$1001,MATCH(ROWS($U$2:U391),$U$2:$U$1001,0),MATCH(COLUMNS($AB$1006:AI1006),$AB$1006:$AQ$1006,0)), HYPERLINK("#",""), HYPERLINK(CONCATENATE("#metadata!", ADDRESS(INDEX($W$2:$W$1001,MATCH(ROWS($U$2:U391),$U$2:$U$1001,0),0), INDEX($AB$1004:$AQ$1004,1,MATCH(COLUMNS($AB$1006:AI1006),$AB$1006:$AQ$1006,0)))),"Fix")))</f>
        <v>0</v>
      </c>
      <c r="J391" s="4">
        <f>IF(OR(INDEX($V$2:$V$1001,MATCH(ROWS($U$2:U391),$U$2:$U$1001,0),1)&gt;=100000,INDEX($AB$1005:$AQ$1005,1,MATCH(COLUMNS($AB$1006:AJ1006),$AB$1006:$AQ$1006,0))&gt;=100000), " ",IF(INDEX($AB$2:$AQ$1001,MATCH(ROWS($U$2:U391),$U$2:$U$1001,0),MATCH(COLUMNS($AB$1006:AJ1006),$AB$1006:$AQ$1006,0)), HYPERLINK("#",""), HYPERLINK(CONCATENATE("#metadata!", ADDRESS(INDEX($W$2:$W$1001,MATCH(ROWS($U$2:U391),$U$2:$U$1001,0),0), INDEX($AB$1004:$AQ$1004,1,MATCH(COLUMNS($AB$1006:AJ1006),$AB$1006:$AQ$1006,0)))),"Fix")))</f>
        <v>0</v>
      </c>
      <c r="K391" s="4">
        <f>IF(OR(INDEX($V$2:$V$1001,MATCH(ROWS($U$2:U391),$U$2:$U$1001,0),1)&gt;=100000,INDEX($AB$1005:$AQ$1005,1,MATCH(COLUMNS($AB$1006:AK1006),$AB$1006:$AQ$1006,0))&gt;=100000), " ",IF(INDEX($AB$2:$AQ$1001,MATCH(ROWS($U$2:U391),$U$2:$U$1001,0),MATCH(COLUMNS($AB$1006:AK1006),$AB$1006:$AQ$1006,0)), HYPERLINK("#",""), HYPERLINK(CONCATENATE("#metadata!", ADDRESS(INDEX($W$2:$W$1001,MATCH(ROWS($U$2:U391),$U$2:$U$1001,0),0), INDEX($AB$1004:$AQ$1004,1,MATCH(COLUMNS($AB$1006:AK1006),$AB$1006:$AQ$1006,0)))),"Fix")))</f>
        <v>0</v>
      </c>
      <c r="L391" s="4">
        <f>IF(OR(INDEX($V$2:$V$1001,MATCH(ROWS($U$2:U391),$U$2:$U$1001,0),1)&gt;=100000,INDEX($AB$1005:$AQ$1005,1,MATCH(COLUMNS($AB$1006:AL1006),$AB$1006:$AQ$1006,0))&gt;=100000), " ",IF(INDEX($AB$2:$AQ$1001,MATCH(ROWS($U$2:U391),$U$2:$U$1001,0),MATCH(COLUMNS($AB$1006:AL1006),$AB$1006:$AQ$1006,0)), HYPERLINK("#",""), HYPERLINK(CONCATENATE("#metadata!", ADDRESS(INDEX($W$2:$W$1001,MATCH(ROWS($U$2:U391),$U$2:$U$1001,0),0), INDEX($AB$1004:$AQ$1004,1,MATCH(COLUMNS($AB$1006:AL1006),$AB$1006:$AQ$1006,0)))),"Fix")))</f>
        <v>0</v>
      </c>
      <c r="M391" s="4">
        <f>IF(OR(INDEX($V$2:$V$1001,MATCH(ROWS($U$2:U391),$U$2:$U$1001,0),1)&gt;=100000,INDEX($AB$1005:$AQ$1005,1,MATCH(COLUMNS($AB$1006:AM1006),$AB$1006:$AQ$1006,0))&gt;=100000), " ",IF(INDEX($AB$2:$AQ$1001,MATCH(ROWS($U$2:U391),$U$2:$U$1001,0),MATCH(COLUMNS($AB$1006:AM1006),$AB$1006:$AQ$1006,0)), HYPERLINK("#",""), HYPERLINK(CONCATENATE("#metadata!", ADDRESS(INDEX($W$2:$W$1001,MATCH(ROWS($U$2:U391),$U$2:$U$1001,0),0), INDEX($AB$1004:$AQ$1004,1,MATCH(COLUMNS($AB$1006:AM1006),$AB$1006:$AQ$1006,0)))),"Fix")))</f>
        <v>0</v>
      </c>
      <c r="N391" s="4">
        <f>IF(OR(INDEX($V$2:$V$1001,MATCH(ROWS($U$2:U391),$U$2:$U$1001,0),1)&gt;=100000,INDEX($AB$1005:$AQ$1005,1,MATCH(COLUMNS($AB$1006:AN1006),$AB$1006:$AQ$1006,0))&gt;=100000), " ",IF(INDEX($AB$2:$AQ$1001,MATCH(ROWS($U$2:U391),$U$2:$U$1001,0),MATCH(COLUMNS($AB$1006:AN1006),$AB$1006:$AQ$1006,0)), HYPERLINK("#",""), HYPERLINK(CONCATENATE("#metadata!", ADDRESS(INDEX($W$2:$W$1001,MATCH(ROWS($U$2:U391),$U$2:$U$1001,0),0), INDEX($AB$1004:$AQ$1004,1,MATCH(COLUMNS($AB$1006:AN1006),$AB$1006:$AQ$1006,0)))),"Fix")))</f>
        <v>0</v>
      </c>
      <c r="O391" s="4">
        <f>IF(OR(INDEX($V$2:$V$1001,MATCH(ROWS($U$2:U391),$U$2:$U$1001,0),1)&gt;=100000,INDEX($AB$1005:$AQ$1005,1,MATCH(COLUMNS($AB$1006:AO1006),$AB$1006:$AQ$1006,0))&gt;=100000), " ",IF(INDEX($AB$2:$AQ$1001,MATCH(ROWS($U$2:U391),$U$2:$U$1001,0),MATCH(COLUMNS($AB$1006:AO1006),$AB$1006:$AQ$1006,0)), HYPERLINK("#",""), HYPERLINK(CONCATENATE("#metadata!", ADDRESS(INDEX($W$2:$W$1001,MATCH(ROWS($U$2:U391),$U$2:$U$1001,0),0), INDEX($AB$1004:$AQ$1004,1,MATCH(COLUMNS($AB$1006:AO1006),$AB$1006:$AQ$1006,0)))),"Fix")))</f>
        <v>0</v>
      </c>
      <c r="P391" s="4">
        <f>IF(OR(INDEX($V$2:$V$1001,MATCH(ROWS($U$2:U391),$U$2:$U$1001,0),1)&gt;=100000,INDEX($AB$1005:$AQ$1005,1,MATCH(COLUMNS($AB$1006:AP1006),$AB$1006:$AQ$1006,0))&gt;=100000), " ",IF(INDEX($AB$2:$AQ$1001,MATCH(ROWS($U$2:U391),$U$2:$U$1001,0),MATCH(COLUMNS($AB$1006:AP1006),$AB$1006:$AQ$1006,0)), HYPERLINK("#",""), HYPERLINK(CONCATENATE("#metadata!", ADDRESS(INDEX($W$2:$W$1001,MATCH(ROWS($U$2:U391),$U$2:$U$1001,0),0), INDEX($AB$1004:$AQ$1004,1,MATCH(COLUMNS($AB$1006:AP1006),$AB$1006:$AQ$1006,0)))),"Fix")))</f>
        <v>0</v>
      </c>
      <c r="Q391" s="4">
        <f>IF(OR(INDEX($V$2:$V$1001,MATCH(ROWS($U$2:U391),$U$2:$U$1001,0),1)&gt;=100000,INDEX($AB$1005:$AQ$1005,1,MATCH(COLUMNS($AB$1006:AQ1006),$AB$1006:$AQ$1006,0))&gt;=100000), " ",IF(INDEX($AB$2:$AQ$1001,MATCH(ROWS($U$2:U391),$U$2:$U$1001,0),MATCH(COLUMNS($AB$1006:AQ1006),$AB$1006:$AQ$1006,0)), HYPERLINK("#",""), HYPERLINK(CONCATENATE("#metadata!", ADDRESS(INDEX($W$2:$W$1001,MATCH(ROWS($U$2:U391),$U$2:$U$1001,0),0), INDEX($AB$1004:$AQ$1004,1,MATCH(COLUMNS($AB$1006:AQ1006),$AB$1006:$AQ$1006,0)))),"Fix")))</f>
        <v>0</v>
      </c>
      <c r="U391">
        <v>0</v>
      </c>
      <c r="V391">
        <v>0</v>
      </c>
      <c r="W391">
        <v>0</v>
      </c>
      <c r="X391">
        <f>IF(Y391,TRUE,AND(AB391:AQ391))</f>
        <v>0</v>
      </c>
      <c r="Y391">
        <f>COUNTBLANK(metadata!B391:Q391)=COLUMNS(metadata!B391:Q391)</f>
        <v>0</v>
      </c>
      <c r="Z391">
        <v>0</v>
      </c>
      <c r="AB391">
        <f>AND(IF(metadata!B391="",FALSE,TRUE),COUNTIF(metadata!B:B, metadata!B391) = 1,NOT(ISERROR(SUMPRODUCT(SEARCH(MID(metadata!B391,ROW(INDIRECT("1:"&amp;LEN(metadata!B391))), 1),"0123456789abcdefghijklmnopqrstuvwxyzABCDEFGHIJKLMNOPQRSTUVWXYZ.")))))</f>
        <v>0</v>
      </c>
      <c r="AC391">
        <f>OR(AND(IF(metadata!C391="",FALSE,TRUE),OR(exact(metadata!C391,"missing: not collected"),exact(metadata!C391,"missing: not provided"),exact(metadata!C391,"missing: restricted access"))),AND(IF(metadata!C391="",FALSE,TRUE),AND(AND(IFERROR(INT(LEFT(metadata!C391,4))&gt;1900,FALSE),IFERROR(INT(LEFT(metadata!C391,4))&lt;=YEAR(NOW()),FALSE)), OR(MID(metadata!C391,5,1)="", AND(AND(MID(metadata!C391,5,1)="-",IFERROR(INT(MID(metadata!C391,6,1))&gt;=0,FALSE),IFERROR(INT(MID(metadata!C391,6,1))&lt;=1,FALSE),NOT(MID(metadata!C391,7,1)=""),IFERROR(INT(MID(metadata!C391,6,2))&gt;=1,FALSE),IFERROR(INT(MID(metadata!C391,6,2))&lt;=12,FALSE)), OR(MID(metadata!C391,8,1)="", AND(AND(MID(metadata!C391,8,1)="-",IFERROR(INT(MID(metadata!C391,9,1))&gt;=0,FALSE),IFERROR(INT(MID(metadata!C391,9,1))&lt;=3,FALSE),NOT(MID(metadata!C391,10,1)=""),IFERROR(INT(MID(metadata!C391,9,2))&gt;=1,FALSE),IFERROR(INT(MID(metadata!C391,9,2))&lt;=31,FALSE)), OR(MID(metadata!C391,11,1)="", AND(AND(MID(metadata!C391,11,1)=" ",IFERROR(INT(MID(metadata!C391,12,1))&gt;=0,FALSE),IFERROR(INT(MID(metadata!C391,12,1))&lt;=2,FALSE),NOT(MID(metadata!C391,13,1)=""),IFERROR(INT(MID(metadata!C391,12,2))&gt;=0,FALSE),IFERROR(INT(MID(metadata!C391,12,2))&lt;=23,FALSE)), OR(MID(metadata!C391,14,1)="", AND(AND(MID(metadata!C391,14,1)=":",IFERROR(INT(MID(metadata!C391,15,1))&gt;=0,FALSE),IFERROR(INT(MID(metadata!C391,15,1))&lt;=5,FALSE),NOT(MID(metadata!C391,16,1)=""),IFERROR(INT(MID(metadata!C391,15,2))&gt;=0,FALSE),IFERROR(INT(MID(metadata!C391,15,2))&lt;=59,FALSE)), OR(MID(metadata!C391,17,1)="", AND(AND(MID(metadata!C391,17,1)=":",IFERROR(INT(MID(metadata!C391,18,1))&gt;=0,FALSE),IFERROR(INT(MID(metadata!C391,18,1))&lt;=5,FALSE),NOT(MID(metadata!C391,19,1)=""),IFERROR(INT(MID(metadata!C391,18,2))&gt;=0,FALSE),IFERROR(INT(MID(metadata!C391,18,2))&lt;=59,FALSE)), LEN(metadata!C391)&lt;=19)))))))))))))</f>
        <v>0</v>
      </c>
      <c r="AD391">
        <f>IF(metadata!D391="",FALSE,TRUE)</f>
        <v>0</v>
      </c>
      <c r="AE391">
        <f>OR(AND(IF(metadata!E391="",FALSE,TRUE),OR(exact(metadata!E391,"missing: not collected"),exact(metadata!E391,"missing: not provided"))),AND(IF(metadata!E391="",FALSE,TRUE),OR(exact(metadata!E391,"TRUE"),exact(metadata!E391,"FALSE"))))</f>
        <v>0</v>
      </c>
      <c r="AF391">
        <f>IF(metadata!F391="",FALSE,TRUE)</f>
        <v>0</v>
      </c>
      <c r="AG391">
        <f>IF(metadata!G391="",FALSE,TRUE)</f>
        <v>0</v>
      </c>
      <c r="AH391">
        <f>IF(metadata!H391="",FALSE,TRUE)</f>
        <v>0</v>
      </c>
      <c r="AI391">
        <f>OR(AND(IF(metadata!I391="",FALSE,TRUE),OR(exact(metadata!I391,"missing: not collected"),exact(metadata!I391,"missing: not provided"),exact(metadata!I391,"missing: restricted access"))),AND(IF(metadata!I391="",FALSE,TRUE),OR(exact(metadata!I391,"air"),exact(metadata!I391,"built environment"),exact(metadata!I391,"host-associated"),exact(metadata!I391,"human-associated"),exact(metadata!I391,"human-skin"),exact(metadata!I391,"human-oral"),exact(metadata!I391,"human-gut"),exact(metadata!I391,"human-vaginal"),exact(metadata!I391,"microbial mat/biofilm"),exact(metadata!I391,"misc environment"),exact(metadata!I391,"plant-associated"),exact(metadata!I391,"sediment"),exact(metadata!I391,"soil"),exact(metadata!I391,"wastewater/sludge"),exact(metadata!I391,"water"))))</f>
        <v>0</v>
      </c>
      <c r="AJ391">
        <f>IF(metadata!J391="",FALSE,TRUE)</f>
        <v>0</v>
      </c>
      <c r="AK391">
        <f>OR(AND(IF(metadata!K391="",FALSE,TRUE),OR(exact(metadata!K391,"missing: not collected"),exact(metadata!K391,"missing: not provided"),exact(metadata!K391,"missing: restricted access"))),AND(IF(metadata!K391="",FALSE,ISNUMBER(VALUE(metadata!K391))),metadata!K391&gt;=-90.00,metadata!K391&lt;=90.00))</f>
        <v>0</v>
      </c>
      <c r="AL391">
        <f>OR(AND(IF(metadata!L391="",FALSE,TRUE),OR(exact(metadata!L391,"missing: not collected"),exact(metadata!L391,"missing: not provided"),exact(metadata!L391,"missing: restricted access"))),AND(IF(metadata!L391="",FALSE,ISNUMBER(VALUE(metadata!L391))),metadata!L391&gt;=-180.00,metadata!L391&lt;=180.00))</f>
        <v>0</v>
      </c>
      <c r="AM391">
        <f>IF(metadata!M391="",FALSE,TRUE)</f>
        <v>0</v>
      </c>
      <c r="AN391">
        <f>OR(AND(IF(metadata!N391="",FALSE,TRUE),OR(exact(metadata!N391,"missing: not collected"),exact(metadata!N391,"missing: not provided"),exact(metadata!N391,"missing: restricted access"))),AND(IF(metadata!N391="",FALSE,TRUE),OR(exact(metadata!N391,"TRUE"),exact(metadata!N391,"FALSE"))))</f>
        <v>0</v>
      </c>
      <c r="AO391">
        <f>IF(metadata!O391="",FALSE,TRUE)</f>
        <v>0</v>
      </c>
      <c r="AP391">
        <f>OR(AND(IF(metadata!P391="",FALSE,TRUE),OR(exact(metadata!P391,"missing: not collected"),exact(metadata!P391,"missing: not provided"))),AND(IF(metadata!P391="",FALSE,IF(ISERROR(INT(metadata!P391)),FALSE,INT(metadata!P391)=metadata!P391)),metadata!P391&gt;0))</f>
        <v>0</v>
      </c>
      <c r="AQ391">
        <f>IF(metadata!Q391="",FALSE,TRUE)</f>
        <v>0</v>
      </c>
    </row>
    <row r="392" spans="1:43">
      <c r="A392" s="5">
        <f>IF(B392=" "," ",HYPERLINK(CONCATENATE("#metadata!",ADDRESS(INDEX($W$2:$W$1001,MATCH(ROWS($U$2:U392),$U$2:$U$1001,0),0),1)),INDEX($Z$2:$Z$1001,MATCH(ROWS($U$2:U392),$U$2:$U$1001,0),0)))</f>
        <v>0</v>
      </c>
      <c r="B392" s="4">
        <f>IF(OR(INDEX($V$2:$V$1001,MATCH(ROWS($U$2:U392),$U$2:$U$1001,0),1)&gt;=100000,INDEX($AB$1005:$AQ$1005,1,MATCH(COLUMNS($AB$1006:AB1006),$AB$1006:$AQ$1006,0))&gt;=100000), " ",IF(INDEX($AB$2:$AQ$1001,MATCH(ROWS($U$2:U392),$U$2:$U$1001,0),MATCH(COLUMNS($AB$1006:AB1006),$AB$1006:$AQ$1006,0)), HYPERLINK("#",""), HYPERLINK(CONCATENATE("#metadata!", ADDRESS(INDEX($W$2:$W$1001,MATCH(ROWS($U$2:U392),$U$2:$U$1001,0),0), INDEX($AB$1004:$AQ$1004,1,MATCH(COLUMNS($AB$1006:AB1006),$AB$1006:$AQ$1006,0)))),"Fix")))</f>
        <v>0</v>
      </c>
      <c r="C392" s="4">
        <f>IF(OR(INDEX($V$2:$V$1001,MATCH(ROWS($U$2:U392),$U$2:$U$1001,0),1)&gt;=100000,INDEX($AB$1005:$AQ$1005,1,MATCH(COLUMNS($AB$1006:AC1006),$AB$1006:$AQ$1006,0))&gt;=100000), " ",IF(INDEX($AB$2:$AQ$1001,MATCH(ROWS($U$2:U392),$U$2:$U$1001,0),MATCH(COLUMNS($AB$1006:AC1006),$AB$1006:$AQ$1006,0)), HYPERLINK("#",""), HYPERLINK(CONCATENATE("#metadata!", ADDRESS(INDEX($W$2:$W$1001,MATCH(ROWS($U$2:U392),$U$2:$U$1001,0),0), INDEX($AB$1004:$AQ$1004,1,MATCH(COLUMNS($AB$1006:AC1006),$AB$1006:$AQ$1006,0)))),"Fix")))</f>
        <v>0</v>
      </c>
      <c r="D392" s="4">
        <f>IF(OR(INDEX($V$2:$V$1001,MATCH(ROWS($U$2:U392),$U$2:$U$1001,0),1)&gt;=100000,INDEX($AB$1005:$AQ$1005,1,MATCH(COLUMNS($AB$1006:AD1006),$AB$1006:$AQ$1006,0))&gt;=100000), " ",IF(INDEX($AB$2:$AQ$1001,MATCH(ROWS($U$2:U392),$U$2:$U$1001,0),MATCH(COLUMNS($AB$1006:AD1006),$AB$1006:$AQ$1006,0)), HYPERLINK("#",""), HYPERLINK(CONCATENATE("#metadata!", ADDRESS(INDEX($W$2:$W$1001,MATCH(ROWS($U$2:U392),$U$2:$U$1001,0),0), INDEX($AB$1004:$AQ$1004,1,MATCH(COLUMNS($AB$1006:AD1006),$AB$1006:$AQ$1006,0)))),"Fix")))</f>
        <v>0</v>
      </c>
      <c r="E392" s="4">
        <f>IF(OR(INDEX($V$2:$V$1001,MATCH(ROWS($U$2:U392),$U$2:$U$1001,0),1)&gt;=100000,INDEX($AB$1005:$AQ$1005,1,MATCH(COLUMNS($AB$1006:AE1006),$AB$1006:$AQ$1006,0))&gt;=100000), " ",IF(INDEX($AB$2:$AQ$1001,MATCH(ROWS($U$2:U392),$U$2:$U$1001,0),MATCH(COLUMNS($AB$1006:AE1006),$AB$1006:$AQ$1006,0)), HYPERLINK("#",""), HYPERLINK(CONCATENATE("#metadata!", ADDRESS(INDEX($W$2:$W$1001,MATCH(ROWS($U$2:U392),$U$2:$U$1001,0),0), INDEX($AB$1004:$AQ$1004,1,MATCH(COLUMNS($AB$1006:AE1006),$AB$1006:$AQ$1006,0)))),"Fix")))</f>
        <v>0</v>
      </c>
      <c r="F392" s="4">
        <f>IF(OR(INDEX($V$2:$V$1001,MATCH(ROWS($U$2:U392),$U$2:$U$1001,0),1)&gt;=100000,INDEX($AB$1005:$AQ$1005,1,MATCH(COLUMNS($AB$1006:AF1006),$AB$1006:$AQ$1006,0))&gt;=100000), " ",IF(INDEX($AB$2:$AQ$1001,MATCH(ROWS($U$2:U392),$U$2:$U$1001,0),MATCH(COLUMNS($AB$1006:AF1006),$AB$1006:$AQ$1006,0)), HYPERLINK("#",""), HYPERLINK(CONCATENATE("#metadata!", ADDRESS(INDEX($W$2:$W$1001,MATCH(ROWS($U$2:U392),$U$2:$U$1001,0),0), INDEX($AB$1004:$AQ$1004,1,MATCH(COLUMNS($AB$1006:AF1006),$AB$1006:$AQ$1006,0)))),"Fix")))</f>
        <v>0</v>
      </c>
      <c r="G392" s="4">
        <f>IF(OR(INDEX($V$2:$V$1001,MATCH(ROWS($U$2:U392),$U$2:$U$1001,0),1)&gt;=100000,INDEX($AB$1005:$AQ$1005,1,MATCH(COLUMNS($AB$1006:AG1006),$AB$1006:$AQ$1006,0))&gt;=100000), " ",IF(INDEX($AB$2:$AQ$1001,MATCH(ROWS($U$2:U392),$U$2:$U$1001,0),MATCH(COLUMNS($AB$1006:AG1006),$AB$1006:$AQ$1006,0)), HYPERLINK("#",""), HYPERLINK(CONCATENATE("#metadata!", ADDRESS(INDEX($W$2:$W$1001,MATCH(ROWS($U$2:U392),$U$2:$U$1001,0),0), INDEX($AB$1004:$AQ$1004,1,MATCH(COLUMNS($AB$1006:AG1006),$AB$1006:$AQ$1006,0)))),"Fix")))</f>
        <v>0</v>
      </c>
      <c r="H392" s="4">
        <f>IF(OR(INDEX($V$2:$V$1001,MATCH(ROWS($U$2:U392),$U$2:$U$1001,0),1)&gt;=100000,INDEX($AB$1005:$AQ$1005,1,MATCH(COLUMNS($AB$1006:AH1006),$AB$1006:$AQ$1006,0))&gt;=100000), " ",IF(INDEX($AB$2:$AQ$1001,MATCH(ROWS($U$2:U392),$U$2:$U$1001,0),MATCH(COLUMNS($AB$1006:AH1006),$AB$1006:$AQ$1006,0)), HYPERLINK("#",""), HYPERLINK(CONCATENATE("#metadata!", ADDRESS(INDEX($W$2:$W$1001,MATCH(ROWS($U$2:U392),$U$2:$U$1001,0),0), INDEX($AB$1004:$AQ$1004,1,MATCH(COLUMNS($AB$1006:AH1006),$AB$1006:$AQ$1006,0)))),"Fix")))</f>
        <v>0</v>
      </c>
      <c r="I392" s="4">
        <f>IF(OR(INDEX($V$2:$V$1001,MATCH(ROWS($U$2:U392),$U$2:$U$1001,0),1)&gt;=100000,INDEX($AB$1005:$AQ$1005,1,MATCH(COLUMNS($AB$1006:AI1006),$AB$1006:$AQ$1006,0))&gt;=100000), " ",IF(INDEX($AB$2:$AQ$1001,MATCH(ROWS($U$2:U392),$U$2:$U$1001,0),MATCH(COLUMNS($AB$1006:AI1006),$AB$1006:$AQ$1006,0)), HYPERLINK("#",""), HYPERLINK(CONCATENATE("#metadata!", ADDRESS(INDEX($W$2:$W$1001,MATCH(ROWS($U$2:U392),$U$2:$U$1001,0),0), INDEX($AB$1004:$AQ$1004,1,MATCH(COLUMNS($AB$1006:AI1006),$AB$1006:$AQ$1006,0)))),"Fix")))</f>
        <v>0</v>
      </c>
      <c r="J392" s="4">
        <f>IF(OR(INDEX($V$2:$V$1001,MATCH(ROWS($U$2:U392),$U$2:$U$1001,0),1)&gt;=100000,INDEX($AB$1005:$AQ$1005,1,MATCH(COLUMNS($AB$1006:AJ1006),$AB$1006:$AQ$1006,0))&gt;=100000), " ",IF(INDEX($AB$2:$AQ$1001,MATCH(ROWS($U$2:U392),$U$2:$U$1001,0),MATCH(COLUMNS($AB$1006:AJ1006),$AB$1006:$AQ$1006,0)), HYPERLINK("#",""), HYPERLINK(CONCATENATE("#metadata!", ADDRESS(INDEX($W$2:$W$1001,MATCH(ROWS($U$2:U392),$U$2:$U$1001,0),0), INDEX($AB$1004:$AQ$1004,1,MATCH(COLUMNS($AB$1006:AJ1006),$AB$1006:$AQ$1006,0)))),"Fix")))</f>
        <v>0</v>
      </c>
      <c r="K392" s="4">
        <f>IF(OR(INDEX($V$2:$V$1001,MATCH(ROWS($U$2:U392),$U$2:$U$1001,0),1)&gt;=100000,INDEX($AB$1005:$AQ$1005,1,MATCH(COLUMNS($AB$1006:AK1006),$AB$1006:$AQ$1006,0))&gt;=100000), " ",IF(INDEX($AB$2:$AQ$1001,MATCH(ROWS($U$2:U392),$U$2:$U$1001,0),MATCH(COLUMNS($AB$1006:AK1006),$AB$1006:$AQ$1006,0)), HYPERLINK("#",""), HYPERLINK(CONCATENATE("#metadata!", ADDRESS(INDEX($W$2:$W$1001,MATCH(ROWS($U$2:U392),$U$2:$U$1001,0),0), INDEX($AB$1004:$AQ$1004,1,MATCH(COLUMNS($AB$1006:AK1006),$AB$1006:$AQ$1006,0)))),"Fix")))</f>
        <v>0</v>
      </c>
      <c r="L392" s="4">
        <f>IF(OR(INDEX($V$2:$V$1001,MATCH(ROWS($U$2:U392),$U$2:$U$1001,0),1)&gt;=100000,INDEX($AB$1005:$AQ$1005,1,MATCH(COLUMNS($AB$1006:AL1006),$AB$1006:$AQ$1006,0))&gt;=100000), " ",IF(INDEX($AB$2:$AQ$1001,MATCH(ROWS($U$2:U392),$U$2:$U$1001,0),MATCH(COLUMNS($AB$1006:AL1006),$AB$1006:$AQ$1006,0)), HYPERLINK("#",""), HYPERLINK(CONCATENATE("#metadata!", ADDRESS(INDEX($W$2:$W$1001,MATCH(ROWS($U$2:U392),$U$2:$U$1001,0),0), INDEX($AB$1004:$AQ$1004,1,MATCH(COLUMNS($AB$1006:AL1006),$AB$1006:$AQ$1006,0)))),"Fix")))</f>
        <v>0</v>
      </c>
      <c r="M392" s="4">
        <f>IF(OR(INDEX($V$2:$V$1001,MATCH(ROWS($U$2:U392),$U$2:$U$1001,0),1)&gt;=100000,INDEX($AB$1005:$AQ$1005,1,MATCH(COLUMNS($AB$1006:AM1006),$AB$1006:$AQ$1006,0))&gt;=100000), " ",IF(INDEX($AB$2:$AQ$1001,MATCH(ROWS($U$2:U392),$U$2:$U$1001,0),MATCH(COLUMNS($AB$1006:AM1006),$AB$1006:$AQ$1006,0)), HYPERLINK("#",""), HYPERLINK(CONCATENATE("#metadata!", ADDRESS(INDEX($W$2:$W$1001,MATCH(ROWS($U$2:U392),$U$2:$U$1001,0),0), INDEX($AB$1004:$AQ$1004,1,MATCH(COLUMNS($AB$1006:AM1006),$AB$1006:$AQ$1006,0)))),"Fix")))</f>
        <v>0</v>
      </c>
      <c r="N392" s="4">
        <f>IF(OR(INDEX($V$2:$V$1001,MATCH(ROWS($U$2:U392),$U$2:$U$1001,0),1)&gt;=100000,INDEX($AB$1005:$AQ$1005,1,MATCH(COLUMNS($AB$1006:AN1006),$AB$1006:$AQ$1006,0))&gt;=100000), " ",IF(INDEX($AB$2:$AQ$1001,MATCH(ROWS($U$2:U392),$U$2:$U$1001,0),MATCH(COLUMNS($AB$1006:AN1006),$AB$1006:$AQ$1006,0)), HYPERLINK("#",""), HYPERLINK(CONCATENATE("#metadata!", ADDRESS(INDEX($W$2:$W$1001,MATCH(ROWS($U$2:U392),$U$2:$U$1001,0),0), INDEX($AB$1004:$AQ$1004,1,MATCH(COLUMNS($AB$1006:AN1006),$AB$1006:$AQ$1006,0)))),"Fix")))</f>
        <v>0</v>
      </c>
      <c r="O392" s="4">
        <f>IF(OR(INDEX($V$2:$V$1001,MATCH(ROWS($U$2:U392),$U$2:$U$1001,0),1)&gt;=100000,INDEX($AB$1005:$AQ$1005,1,MATCH(COLUMNS($AB$1006:AO1006),$AB$1006:$AQ$1006,0))&gt;=100000), " ",IF(INDEX($AB$2:$AQ$1001,MATCH(ROWS($U$2:U392),$U$2:$U$1001,0),MATCH(COLUMNS($AB$1006:AO1006),$AB$1006:$AQ$1006,0)), HYPERLINK("#",""), HYPERLINK(CONCATENATE("#metadata!", ADDRESS(INDEX($W$2:$W$1001,MATCH(ROWS($U$2:U392),$U$2:$U$1001,0),0), INDEX($AB$1004:$AQ$1004,1,MATCH(COLUMNS($AB$1006:AO1006),$AB$1006:$AQ$1006,0)))),"Fix")))</f>
        <v>0</v>
      </c>
      <c r="P392" s="4">
        <f>IF(OR(INDEX($V$2:$V$1001,MATCH(ROWS($U$2:U392),$U$2:$U$1001,0),1)&gt;=100000,INDEX($AB$1005:$AQ$1005,1,MATCH(COLUMNS($AB$1006:AP1006),$AB$1006:$AQ$1006,0))&gt;=100000), " ",IF(INDEX($AB$2:$AQ$1001,MATCH(ROWS($U$2:U392),$U$2:$U$1001,0),MATCH(COLUMNS($AB$1006:AP1006),$AB$1006:$AQ$1006,0)), HYPERLINK("#",""), HYPERLINK(CONCATENATE("#metadata!", ADDRESS(INDEX($W$2:$W$1001,MATCH(ROWS($U$2:U392),$U$2:$U$1001,0),0), INDEX($AB$1004:$AQ$1004,1,MATCH(COLUMNS($AB$1006:AP1006),$AB$1006:$AQ$1006,0)))),"Fix")))</f>
        <v>0</v>
      </c>
      <c r="Q392" s="4">
        <f>IF(OR(INDEX($V$2:$V$1001,MATCH(ROWS($U$2:U392),$U$2:$U$1001,0),1)&gt;=100000,INDEX($AB$1005:$AQ$1005,1,MATCH(COLUMNS($AB$1006:AQ1006),$AB$1006:$AQ$1006,0))&gt;=100000), " ",IF(INDEX($AB$2:$AQ$1001,MATCH(ROWS($U$2:U392),$U$2:$U$1001,0),MATCH(COLUMNS($AB$1006:AQ1006),$AB$1006:$AQ$1006,0)), HYPERLINK("#",""), HYPERLINK(CONCATENATE("#metadata!", ADDRESS(INDEX($W$2:$W$1001,MATCH(ROWS($U$2:U392),$U$2:$U$1001,0),0), INDEX($AB$1004:$AQ$1004,1,MATCH(COLUMNS($AB$1006:AQ1006),$AB$1006:$AQ$1006,0)))),"Fix")))</f>
        <v>0</v>
      </c>
      <c r="U392">
        <v>0</v>
      </c>
      <c r="V392">
        <v>0</v>
      </c>
      <c r="W392">
        <v>0</v>
      </c>
      <c r="X392">
        <f>IF(Y392,TRUE,AND(AB392:AQ392))</f>
        <v>0</v>
      </c>
      <c r="Y392">
        <f>COUNTBLANK(metadata!B392:Q392)=COLUMNS(metadata!B392:Q392)</f>
        <v>0</v>
      </c>
      <c r="Z392">
        <v>0</v>
      </c>
      <c r="AB392">
        <f>AND(IF(metadata!B392="",FALSE,TRUE),COUNTIF(metadata!B:B, metadata!B392) = 1,NOT(ISERROR(SUMPRODUCT(SEARCH(MID(metadata!B392,ROW(INDIRECT("1:"&amp;LEN(metadata!B392))), 1),"0123456789abcdefghijklmnopqrstuvwxyzABCDEFGHIJKLMNOPQRSTUVWXYZ.")))))</f>
        <v>0</v>
      </c>
      <c r="AC392">
        <f>OR(AND(IF(metadata!C392="",FALSE,TRUE),OR(exact(metadata!C392,"missing: not collected"),exact(metadata!C392,"missing: not provided"),exact(metadata!C392,"missing: restricted access"))),AND(IF(metadata!C392="",FALSE,TRUE),AND(AND(IFERROR(INT(LEFT(metadata!C392,4))&gt;1900,FALSE),IFERROR(INT(LEFT(metadata!C392,4))&lt;=YEAR(NOW()),FALSE)), OR(MID(metadata!C392,5,1)="", AND(AND(MID(metadata!C392,5,1)="-",IFERROR(INT(MID(metadata!C392,6,1))&gt;=0,FALSE),IFERROR(INT(MID(metadata!C392,6,1))&lt;=1,FALSE),NOT(MID(metadata!C392,7,1)=""),IFERROR(INT(MID(metadata!C392,6,2))&gt;=1,FALSE),IFERROR(INT(MID(metadata!C392,6,2))&lt;=12,FALSE)), OR(MID(metadata!C392,8,1)="", AND(AND(MID(metadata!C392,8,1)="-",IFERROR(INT(MID(metadata!C392,9,1))&gt;=0,FALSE),IFERROR(INT(MID(metadata!C392,9,1))&lt;=3,FALSE),NOT(MID(metadata!C392,10,1)=""),IFERROR(INT(MID(metadata!C392,9,2))&gt;=1,FALSE),IFERROR(INT(MID(metadata!C392,9,2))&lt;=31,FALSE)), OR(MID(metadata!C392,11,1)="", AND(AND(MID(metadata!C392,11,1)=" ",IFERROR(INT(MID(metadata!C392,12,1))&gt;=0,FALSE),IFERROR(INT(MID(metadata!C392,12,1))&lt;=2,FALSE),NOT(MID(metadata!C392,13,1)=""),IFERROR(INT(MID(metadata!C392,12,2))&gt;=0,FALSE),IFERROR(INT(MID(metadata!C392,12,2))&lt;=23,FALSE)), OR(MID(metadata!C392,14,1)="", AND(AND(MID(metadata!C392,14,1)=":",IFERROR(INT(MID(metadata!C392,15,1))&gt;=0,FALSE),IFERROR(INT(MID(metadata!C392,15,1))&lt;=5,FALSE),NOT(MID(metadata!C392,16,1)=""),IFERROR(INT(MID(metadata!C392,15,2))&gt;=0,FALSE),IFERROR(INT(MID(metadata!C392,15,2))&lt;=59,FALSE)), OR(MID(metadata!C392,17,1)="", AND(AND(MID(metadata!C392,17,1)=":",IFERROR(INT(MID(metadata!C392,18,1))&gt;=0,FALSE),IFERROR(INT(MID(metadata!C392,18,1))&lt;=5,FALSE),NOT(MID(metadata!C392,19,1)=""),IFERROR(INT(MID(metadata!C392,18,2))&gt;=0,FALSE),IFERROR(INT(MID(metadata!C392,18,2))&lt;=59,FALSE)), LEN(metadata!C392)&lt;=19)))))))))))))</f>
        <v>0</v>
      </c>
      <c r="AD392">
        <f>IF(metadata!D392="",FALSE,TRUE)</f>
        <v>0</v>
      </c>
      <c r="AE392">
        <f>OR(AND(IF(metadata!E392="",FALSE,TRUE),OR(exact(metadata!E392,"missing: not collected"),exact(metadata!E392,"missing: not provided"))),AND(IF(metadata!E392="",FALSE,TRUE),OR(exact(metadata!E392,"TRUE"),exact(metadata!E392,"FALSE"))))</f>
        <v>0</v>
      </c>
      <c r="AF392">
        <f>IF(metadata!F392="",FALSE,TRUE)</f>
        <v>0</v>
      </c>
      <c r="AG392">
        <f>IF(metadata!G392="",FALSE,TRUE)</f>
        <v>0</v>
      </c>
      <c r="AH392">
        <f>IF(metadata!H392="",FALSE,TRUE)</f>
        <v>0</v>
      </c>
      <c r="AI392">
        <f>OR(AND(IF(metadata!I392="",FALSE,TRUE),OR(exact(metadata!I392,"missing: not collected"),exact(metadata!I392,"missing: not provided"),exact(metadata!I392,"missing: restricted access"))),AND(IF(metadata!I392="",FALSE,TRUE),OR(exact(metadata!I392,"air"),exact(metadata!I392,"built environment"),exact(metadata!I392,"host-associated"),exact(metadata!I392,"human-associated"),exact(metadata!I392,"human-skin"),exact(metadata!I392,"human-oral"),exact(metadata!I392,"human-gut"),exact(metadata!I392,"human-vaginal"),exact(metadata!I392,"microbial mat/biofilm"),exact(metadata!I392,"misc environment"),exact(metadata!I392,"plant-associated"),exact(metadata!I392,"sediment"),exact(metadata!I392,"soil"),exact(metadata!I392,"wastewater/sludge"),exact(metadata!I392,"water"))))</f>
        <v>0</v>
      </c>
      <c r="AJ392">
        <f>IF(metadata!J392="",FALSE,TRUE)</f>
        <v>0</v>
      </c>
      <c r="AK392">
        <f>OR(AND(IF(metadata!K392="",FALSE,TRUE),OR(exact(metadata!K392,"missing: not collected"),exact(metadata!K392,"missing: not provided"),exact(metadata!K392,"missing: restricted access"))),AND(IF(metadata!K392="",FALSE,ISNUMBER(VALUE(metadata!K392))),metadata!K392&gt;=-90.00,metadata!K392&lt;=90.00))</f>
        <v>0</v>
      </c>
      <c r="AL392">
        <f>OR(AND(IF(metadata!L392="",FALSE,TRUE),OR(exact(metadata!L392,"missing: not collected"),exact(metadata!L392,"missing: not provided"),exact(metadata!L392,"missing: restricted access"))),AND(IF(metadata!L392="",FALSE,ISNUMBER(VALUE(metadata!L392))),metadata!L392&gt;=-180.00,metadata!L392&lt;=180.00))</f>
        <v>0</v>
      </c>
      <c r="AM392">
        <f>IF(metadata!M392="",FALSE,TRUE)</f>
        <v>0</v>
      </c>
      <c r="AN392">
        <f>OR(AND(IF(metadata!N392="",FALSE,TRUE),OR(exact(metadata!N392,"missing: not collected"),exact(metadata!N392,"missing: not provided"),exact(metadata!N392,"missing: restricted access"))),AND(IF(metadata!N392="",FALSE,TRUE),OR(exact(metadata!N392,"TRUE"),exact(metadata!N392,"FALSE"))))</f>
        <v>0</v>
      </c>
      <c r="AO392">
        <f>IF(metadata!O392="",FALSE,TRUE)</f>
        <v>0</v>
      </c>
      <c r="AP392">
        <f>OR(AND(IF(metadata!P392="",FALSE,TRUE),OR(exact(metadata!P392,"missing: not collected"),exact(metadata!P392,"missing: not provided"))),AND(IF(metadata!P392="",FALSE,IF(ISERROR(INT(metadata!P392)),FALSE,INT(metadata!P392)=metadata!P392)),metadata!P392&gt;0))</f>
        <v>0</v>
      </c>
      <c r="AQ392">
        <f>IF(metadata!Q392="",FALSE,TRUE)</f>
        <v>0</v>
      </c>
    </row>
    <row r="393" spans="1:43">
      <c r="A393" s="5">
        <f>IF(B393=" "," ",HYPERLINK(CONCATENATE("#metadata!",ADDRESS(INDEX($W$2:$W$1001,MATCH(ROWS($U$2:U393),$U$2:$U$1001,0),0),1)),INDEX($Z$2:$Z$1001,MATCH(ROWS($U$2:U393),$U$2:$U$1001,0),0)))</f>
        <v>0</v>
      </c>
      <c r="B393" s="4">
        <f>IF(OR(INDEX($V$2:$V$1001,MATCH(ROWS($U$2:U393),$U$2:$U$1001,0),1)&gt;=100000,INDEX($AB$1005:$AQ$1005,1,MATCH(COLUMNS($AB$1006:AB1006),$AB$1006:$AQ$1006,0))&gt;=100000), " ",IF(INDEX($AB$2:$AQ$1001,MATCH(ROWS($U$2:U393),$U$2:$U$1001,0),MATCH(COLUMNS($AB$1006:AB1006),$AB$1006:$AQ$1006,0)), HYPERLINK("#",""), HYPERLINK(CONCATENATE("#metadata!", ADDRESS(INDEX($W$2:$W$1001,MATCH(ROWS($U$2:U393),$U$2:$U$1001,0),0), INDEX($AB$1004:$AQ$1004,1,MATCH(COLUMNS($AB$1006:AB1006),$AB$1006:$AQ$1006,0)))),"Fix")))</f>
        <v>0</v>
      </c>
      <c r="C393" s="4">
        <f>IF(OR(INDEX($V$2:$V$1001,MATCH(ROWS($U$2:U393),$U$2:$U$1001,0),1)&gt;=100000,INDEX($AB$1005:$AQ$1005,1,MATCH(COLUMNS($AB$1006:AC1006),$AB$1006:$AQ$1006,0))&gt;=100000), " ",IF(INDEX($AB$2:$AQ$1001,MATCH(ROWS($U$2:U393),$U$2:$U$1001,0),MATCH(COLUMNS($AB$1006:AC1006),$AB$1006:$AQ$1006,0)), HYPERLINK("#",""), HYPERLINK(CONCATENATE("#metadata!", ADDRESS(INDEX($W$2:$W$1001,MATCH(ROWS($U$2:U393),$U$2:$U$1001,0),0), INDEX($AB$1004:$AQ$1004,1,MATCH(COLUMNS($AB$1006:AC1006),$AB$1006:$AQ$1006,0)))),"Fix")))</f>
        <v>0</v>
      </c>
      <c r="D393" s="4">
        <f>IF(OR(INDEX($V$2:$V$1001,MATCH(ROWS($U$2:U393),$U$2:$U$1001,0),1)&gt;=100000,INDEX($AB$1005:$AQ$1005,1,MATCH(COLUMNS($AB$1006:AD1006),$AB$1006:$AQ$1006,0))&gt;=100000), " ",IF(INDEX($AB$2:$AQ$1001,MATCH(ROWS($U$2:U393),$U$2:$U$1001,0),MATCH(COLUMNS($AB$1006:AD1006),$AB$1006:$AQ$1006,0)), HYPERLINK("#",""), HYPERLINK(CONCATENATE("#metadata!", ADDRESS(INDEX($W$2:$W$1001,MATCH(ROWS($U$2:U393),$U$2:$U$1001,0),0), INDEX($AB$1004:$AQ$1004,1,MATCH(COLUMNS($AB$1006:AD1006),$AB$1006:$AQ$1006,0)))),"Fix")))</f>
        <v>0</v>
      </c>
      <c r="E393" s="4">
        <f>IF(OR(INDEX($V$2:$V$1001,MATCH(ROWS($U$2:U393),$U$2:$U$1001,0),1)&gt;=100000,INDEX($AB$1005:$AQ$1005,1,MATCH(COLUMNS($AB$1006:AE1006),$AB$1006:$AQ$1006,0))&gt;=100000), " ",IF(INDEX($AB$2:$AQ$1001,MATCH(ROWS($U$2:U393),$U$2:$U$1001,0),MATCH(COLUMNS($AB$1006:AE1006),$AB$1006:$AQ$1006,0)), HYPERLINK("#",""), HYPERLINK(CONCATENATE("#metadata!", ADDRESS(INDEX($W$2:$W$1001,MATCH(ROWS($U$2:U393),$U$2:$U$1001,0),0), INDEX($AB$1004:$AQ$1004,1,MATCH(COLUMNS($AB$1006:AE1006),$AB$1006:$AQ$1006,0)))),"Fix")))</f>
        <v>0</v>
      </c>
      <c r="F393" s="4">
        <f>IF(OR(INDEX($V$2:$V$1001,MATCH(ROWS($U$2:U393),$U$2:$U$1001,0),1)&gt;=100000,INDEX($AB$1005:$AQ$1005,1,MATCH(COLUMNS($AB$1006:AF1006),$AB$1006:$AQ$1006,0))&gt;=100000), " ",IF(INDEX($AB$2:$AQ$1001,MATCH(ROWS($U$2:U393),$U$2:$U$1001,0),MATCH(COLUMNS($AB$1006:AF1006),$AB$1006:$AQ$1006,0)), HYPERLINK("#",""), HYPERLINK(CONCATENATE("#metadata!", ADDRESS(INDEX($W$2:$W$1001,MATCH(ROWS($U$2:U393),$U$2:$U$1001,0),0), INDEX($AB$1004:$AQ$1004,1,MATCH(COLUMNS($AB$1006:AF1006),$AB$1006:$AQ$1006,0)))),"Fix")))</f>
        <v>0</v>
      </c>
      <c r="G393" s="4">
        <f>IF(OR(INDEX($V$2:$V$1001,MATCH(ROWS($U$2:U393),$U$2:$U$1001,0),1)&gt;=100000,INDEX($AB$1005:$AQ$1005,1,MATCH(COLUMNS($AB$1006:AG1006),$AB$1006:$AQ$1006,0))&gt;=100000), " ",IF(INDEX($AB$2:$AQ$1001,MATCH(ROWS($U$2:U393),$U$2:$U$1001,0),MATCH(COLUMNS($AB$1006:AG1006),$AB$1006:$AQ$1006,0)), HYPERLINK("#",""), HYPERLINK(CONCATENATE("#metadata!", ADDRESS(INDEX($W$2:$W$1001,MATCH(ROWS($U$2:U393),$U$2:$U$1001,0),0), INDEX($AB$1004:$AQ$1004,1,MATCH(COLUMNS($AB$1006:AG1006),$AB$1006:$AQ$1006,0)))),"Fix")))</f>
        <v>0</v>
      </c>
      <c r="H393" s="4">
        <f>IF(OR(INDEX($V$2:$V$1001,MATCH(ROWS($U$2:U393),$U$2:$U$1001,0),1)&gt;=100000,INDEX($AB$1005:$AQ$1005,1,MATCH(COLUMNS($AB$1006:AH1006),$AB$1006:$AQ$1006,0))&gt;=100000), " ",IF(INDEX($AB$2:$AQ$1001,MATCH(ROWS($U$2:U393),$U$2:$U$1001,0),MATCH(COLUMNS($AB$1006:AH1006),$AB$1006:$AQ$1006,0)), HYPERLINK("#",""), HYPERLINK(CONCATENATE("#metadata!", ADDRESS(INDEX($W$2:$W$1001,MATCH(ROWS($U$2:U393),$U$2:$U$1001,0),0), INDEX($AB$1004:$AQ$1004,1,MATCH(COLUMNS($AB$1006:AH1006),$AB$1006:$AQ$1006,0)))),"Fix")))</f>
        <v>0</v>
      </c>
      <c r="I393" s="4">
        <f>IF(OR(INDEX($V$2:$V$1001,MATCH(ROWS($U$2:U393),$U$2:$U$1001,0),1)&gt;=100000,INDEX($AB$1005:$AQ$1005,1,MATCH(COLUMNS($AB$1006:AI1006),$AB$1006:$AQ$1006,0))&gt;=100000), " ",IF(INDEX($AB$2:$AQ$1001,MATCH(ROWS($U$2:U393),$U$2:$U$1001,0),MATCH(COLUMNS($AB$1006:AI1006),$AB$1006:$AQ$1006,0)), HYPERLINK("#",""), HYPERLINK(CONCATENATE("#metadata!", ADDRESS(INDEX($W$2:$W$1001,MATCH(ROWS($U$2:U393),$U$2:$U$1001,0),0), INDEX($AB$1004:$AQ$1004,1,MATCH(COLUMNS($AB$1006:AI1006),$AB$1006:$AQ$1006,0)))),"Fix")))</f>
        <v>0</v>
      </c>
      <c r="J393" s="4">
        <f>IF(OR(INDEX($V$2:$V$1001,MATCH(ROWS($U$2:U393),$U$2:$U$1001,0),1)&gt;=100000,INDEX($AB$1005:$AQ$1005,1,MATCH(COLUMNS($AB$1006:AJ1006),$AB$1006:$AQ$1006,0))&gt;=100000), " ",IF(INDEX($AB$2:$AQ$1001,MATCH(ROWS($U$2:U393),$U$2:$U$1001,0),MATCH(COLUMNS($AB$1006:AJ1006),$AB$1006:$AQ$1006,0)), HYPERLINK("#",""), HYPERLINK(CONCATENATE("#metadata!", ADDRESS(INDEX($W$2:$W$1001,MATCH(ROWS($U$2:U393),$U$2:$U$1001,0),0), INDEX($AB$1004:$AQ$1004,1,MATCH(COLUMNS($AB$1006:AJ1006),$AB$1006:$AQ$1006,0)))),"Fix")))</f>
        <v>0</v>
      </c>
      <c r="K393" s="4">
        <f>IF(OR(INDEX($V$2:$V$1001,MATCH(ROWS($U$2:U393),$U$2:$U$1001,0),1)&gt;=100000,INDEX($AB$1005:$AQ$1005,1,MATCH(COLUMNS($AB$1006:AK1006),$AB$1006:$AQ$1006,0))&gt;=100000), " ",IF(INDEX($AB$2:$AQ$1001,MATCH(ROWS($U$2:U393),$U$2:$U$1001,0),MATCH(COLUMNS($AB$1006:AK1006),$AB$1006:$AQ$1006,0)), HYPERLINK("#",""), HYPERLINK(CONCATENATE("#metadata!", ADDRESS(INDEX($W$2:$W$1001,MATCH(ROWS($U$2:U393),$U$2:$U$1001,0),0), INDEX($AB$1004:$AQ$1004,1,MATCH(COLUMNS($AB$1006:AK1006),$AB$1006:$AQ$1006,0)))),"Fix")))</f>
        <v>0</v>
      </c>
      <c r="L393" s="4">
        <f>IF(OR(INDEX($V$2:$V$1001,MATCH(ROWS($U$2:U393),$U$2:$U$1001,0),1)&gt;=100000,INDEX($AB$1005:$AQ$1005,1,MATCH(COLUMNS($AB$1006:AL1006),$AB$1006:$AQ$1006,0))&gt;=100000), " ",IF(INDEX($AB$2:$AQ$1001,MATCH(ROWS($U$2:U393),$U$2:$U$1001,0),MATCH(COLUMNS($AB$1006:AL1006),$AB$1006:$AQ$1006,0)), HYPERLINK("#",""), HYPERLINK(CONCATENATE("#metadata!", ADDRESS(INDEX($W$2:$W$1001,MATCH(ROWS($U$2:U393),$U$2:$U$1001,0),0), INDEX($AB$1004:$AQ$1004,1,MATCH(COLUMNS($AB$1006:AL1006),$AB$1006:$AQ$1006,0)))),"Fix")))</f>
        <v>0</v>
      </c>
      <c r="M393" s="4">
        <f>IF(OR(INDEX($V$2:$V$1001,MATCH(ROWS($U$2:U393),$U$2:$U$1001,0),1)&gt;=100000,INDEX($AB$1005:$AQ$1005,1,MATCH(COLUMNS($AB$1006:AM1006),$AB$1006:$AQ$1006,0))&gt;=100000), " ",IF(INDEX($AB$2:$AQ$1001,MATCH(ROWS($U$2:U393),$U$2:$U$1001,0),MATCH(COLUMNS($AB$1006:AM1006),$AB$1006:$AQ$1006,0)), HYPERLINK("#",""), HYPERLINK(CONCATENATE("#metadata!", ADDRESS(INDEX($W$2:$W$1001,MATCH(ROWS($U$2:U393),$U$2:$U$1001,0),0), INDEX($AB$1004:$AQ$1004,1,MATCH(COLUMNS($AB$1006:AM1006),$AB$1006:$AQ$1006,0)))),"Fix")))</f>
        <v>0</v>
      </c>
      <c r="N393" s="4">
        <f>IF(OR(INDEX($V$2:$V$1001,MATCH(ROWS($U$2:U393),$U$2:$U$1001,0),1)&gt;=100000,INDEX($AB$1005:$AQ$1005,1,MATCH(COLUMNS($AB$1006:AN1006),$AB$1006:$AQ$1006,0))&gt;=100000), " ",IF(INDEX($AB$2:$AQ$1001,MATCH(ROWS($U$2:U393),$U$2:$U$1001,0),MATCH(COLUMNS($AB$1006:AN1006),$AB$1006:$AQ$1006,0)), HYPERLINK("#",""), HYPERLINK(CONCATENATE("#metadata!", ADDRESS(INDEX($W$2:$W$1001,MATCH(ROWS($U$2:U393),$U$2:$U$1001,0),0), INDEX($AB$1004:$AQ$1004,1,MATCH(COLUMNS($AB$1006:AN1006),$AB$1006:$AQ$1006,0)))),"Fix")))</f>
        <v>0</v>
      </c>
      <c r="O393" s="4">
        <f>IF(OR(INDEX($V$2:$V$1001,MATCH(ROWS($U$2:U393),$U$2:$U$1001,0),1)&gt;=100000,INDEX($AB$1005:$AQ$1005,1,MATCH(COLUMNS($AB$1006:AO1006),$AB$1006:$AQ$1006,0))&gt;=100000), " ",IF(INDEX($AB$2:$AQ$1001,MATCH(ROWS($U$2:U393),$U$2:$U$1001,0),MATCH(COLUMNS($AB$1006:AO1006),$AB$1006:$AQ$1006,0)), HYPERLINK("#",""), HYPERLINK(CONCATENATE("#metadata!", ADDRESS(INDEX($W$2:$W$1001,MATCH(ROWS($U$2:U393),$U$2:$U$1001,0),0), INDEX($AB$1004:$AQ$1004,1,MATCH(COLUMNS($AB$1006:AO1006),$AB$1006:$AQ$1006,0)))),"Fix")))</f>
        <v>0</v>
      </c>
      <c r="P393" s="4">
        <f>IF(OR(INDEX($V$2:$V$1001,MATCH(ROWS($U$2:U393),$U$2:$U$1001,0),1)&gt;=100000,INDEX($AB$1005:$AQ$1005,1,MATCH(COLUMNS($AB$1006:AP1006),$AB$1006:$AQ$1006,0))&gt;=100000), " ",IF(INDEX($AB$2:$AQ$1001,MATCH(ROWS($U$2:U393),$U$2:$U$1001,0),MATCH(COLUMNS($AB$1006:AP1006),$AB$1006:$AQ$1006,0)), HYPERLINK("#",""), HYPERLINK(CONCATENATE("#metadata!", ADDRESS(INDEX($W$2:$W$1001,MATCH(ROWS($U$2:U393),$U$2:$U$1001,0),0), INDEX($AB$1004:$AQ$1004,1,MATCH(COLUMNS($AB$1006:AP1006),$AB$1006:$AQ$1006,0)))),"Fix")))</f>
        <v>0</v>
      </c>
      <c r="Q393" s="4">
        <f>IF(OR(INDEX($V$2:$V$1001,MATCH(ROWS($U$2:U393),$U$2:$U$1001,0),1)&gt;=100000,INDEX($AB$1005:$AQ$1005,1,MATCH(COLUMNS($AB$1006:AQ1006),$AB$1006:$AQ$1006,0))&gt;=100000), " ",IF(INDEX($AB$2:$AQ$1001,MATCH(ROWS($U$2:U393),$U$2:$U$1001,0),MATCH(COLUMNS($AB$1006:AQ1006),$AB$1006:$AQ$1006,0)), HYPERLINK("#",""), HYPERLINK(CONCATENATE("#metadata!", ADDRESS(INDEX($W$2:$W$1001,MATCH(ROWS($U$2:U393),$U$2:$U$1001,0),0), INDEX($AB$1004:$AQ$1004,1,MATCH(COLUMNS($AB$1006:AQ1006),$AB$1006:$AQ$1006,0)))),"Fix")))</f>
        <v>0</v>
      </c>
      <c r="U393">
        <v>0</v>
      </c>
      <c r="V393">
        <v>0</v>
      </c>
      <c r="W393">
        <v>0</v>
      </c>
      <c r="X393">
        <f>IF(Y393,TRUE,AND(AB393:AQ393))</f>
        <v>0</v>
      </c>
      <c r="Y393">
        <f>COUNTBLANK(metadata!B393:Q393)=COLUMNS(metadata!B393:Q393)</f>
        <v>0</v>
      </c>
      <c r="Z393">
        <v>0</v>
      </c>
      <c r="AB393">
        <f>AND(IF(metadata!B393="",FALSE,TRUE),COUNTIF(metadata!B:B, metadata!B393) = 1,NOT(ISERROR(SUMPRODUCT(SEARCH(MID(metadata!B393,ROW(INDIRECT("1:"&amp;LEN(metadata!B393))), 1),"0123456789abcdefghijklmnopqrstuvwxyzABCDEFGHIJKLMNOPQRSTUVWXYZ.")))))</f>
        <v>0</v>
      </c>
      <c r="AC393">
        <f>OR(AND(IF(metadata!C393="",FALSE,TRUE),OR(exact(metadata!C393,"missing: not collected"),exact(metadata!C393,"missing: not provided"),exact(metadata!C393,"missing: restricted access"))),AND(IF(metadata!C393="",FALSE,TRUE),AND(AND(IFERROR(INT(LEFT(metadata!C393,4))&gt;1900,FALSE),IFERROR(INT(LEFT(metadata!C393,4))&lt;=YEAR(NOW()),FALSE)), OR(MID(metadata!C393,5,1)="", AND(AND(MID(metadata!C393,5,1)="-",IFERROR(INT(MID(metadata!C393,6,1))&gt;=0,FALSE),IFERROR(INT(MID(metadata!C393,6,1))&lt;=1,FALSE),NOT(MID(metadata!C393,7,1)=""),IFERROR(INT(MID(metadata!C393,6,2))&gt;=1,FALSE),IFERROR(INT(MID(metadata!C393,6,2))&lt;=12,FALSE)), OR(MID(metadata!C393,8,1)="", AND(AND(MID(metadata!C393,8,1)="-",IFERROR(INT(MID(metadata!C393,9,1))&gt;=0,FALSE),IFERROR(INT(MID(metadata!C393,9,1))&lt;=3,FALSE),NOT(MID(metadata!C393,10,1)=""),IFERROR(INT(MID(metadata!C393,9,2))&gt;=1,FALSE),IFERROR(INT(MID(metadata!C393,9,2))&lt;=31,FALSE)), OR(MID(metadata!C393,11,1)="", AND(AND(MID(metadata!C393,11,1)=" ",IFERROR(INT(MID(metadata!C393,12,1))&gt;=0,FALSE),IFERROR(INT(MID(metadata!C393,12,1))&lt;=2,FALSE),NOT(MID(metadata!C393,13,1)=""),IFERROR(INT(MID(metadata!C393,12,2))&gt;=0,FALSE),IFERROR(INT(MID(metadata!C393,12,2))&lt;=23,FALSE)), OR(MID(metadata!C393,14,1)="", AND(AND(MID(metadata!C393,14,1)=":",IFERROR(INT(MID(metadata!C393,15,1))&gt;=0,FALSE),IFERROR(INT(MID(metadata!C393,15,1))&lt;=5,FALSE),NOT(MID(metadata!C393,16,1)=""),IFERROR(INT(MID(metadata!C393,15,2))&gt;=0,FALSE),IFERROR(INT(MID(metadata!C393,15,2))&lt;=59,FALSE)), OR(MID(metadata!C393,17,1)="", AND(AND(MID(metadata!C393,17,1)=":",IFERROR(INT(MID(metadata!C393,18,1))&gt;=0,FALSE),IFERROR(INT(MID(metadata!C393,18,1))&lt;=5,FALSE),NOT(MID(metadata!C393,19,1)=""),IFERROR(INT(MID(metadata!C393,18,2))&gt;=0,FALSE),IFERROR(INT(MID(metadata!C393,18,2))&lt;=59,FALSE)), LEN(metadata!C393)&lt;=19)))))))))))))</f>
        <v>0</v>
      </c>
      <c r="AD393">
        <f>IF(metadata!D393="",FALSE,TRUE)</f>
        <v>0</v>
      </c>
      <c r="AE393">
        <f>OR(AND(IF(metadata!E393="",FALSE,TRUE),OR(exact(metadata!E393,"missing: not collected"),exact(metadata!E393,"missing: not provided"))),AND(IF(metadata!E393="",FALSE,TRUE),OR(exact(metadata!E393,"TRUE"),exact(metadata!E393,"FALSE"))))</f>
        <v>0</v>
      </c>
      <c r="AF393">
        <f>IF(metadata!F393="",FALSE,TRUE)</f>
        <v>0</v>
      </c>
      <c r="AG393">
        <f>IF(metadata!G393="",FALSE,TRUE)</f>
        <v>0</v>
      </c>
      <c r="AH393">
        <f>IF(metadata!H393="",FALSE,TRUE)</f>
        <v>0</v>
      </c>
      <c r="AI393">
        <f>OR(AND(IF(metadata!I393="",FALSE,TRUE),OR(exact(metadata!I393,"missing: not collected"),exact(metadata!I393,"missing: not provided"),exact(metadata!I393,"missing: restricted access"))),AND(IF(metadata!I393="",FALSE,TRUE),OR(exact(metadata!I393,"air"),exact(metadata!I393,"built environment"),exact(metadata!I393,"host-associated"),exact(metadata!I393,"human-associated"),exact(metadata!I393,"human-skin"),exact(metadata!I393,"human-oral"),exact(metadata!I393,"human-gut"),exact(metadata!I393,"human-vaginal"),exact(metadata!I393,"microbial mat/biofilm"),exact(metadata!I393,"misc environment"),exact(metadata!I393,"plant-associated"),exact(metadata!I393,"sediment"),exact(metadata!I393,"soil"),exact(metadata!I393,"wastewater/sludge"),exact(metadata!I393,"water"))))</f>
        <v>0</v>
      </c>
      <c r="AJ393">
        <f>IF(metadata!J393="",FALSE,TRUE)</f>
        <v>0</v>
      </c>
      <c r="AK393">
        <f>OR(AND(IF(metadata!K393="",FALSE,TRUE),OR(exact(metadata!K393,"missing: not collected"),exact(metadata!K393,"missing: not provided"),exact(metadata!K393,"missing: restricted access"))),AND(IF(metadata!K393="",FALSE,ISNUMBER(VALUE(metadata!K393))),metadata!K393&gt;=-90.00,metadata!K393&lt;=90.00))</f>
        <v>0</v>
      </c>
      <c r="AL393">
        <f>OR(AND(IF(metadata!L393="",FALSE,TRUE),OR(exact(metadata!L393,"missing: not collected"),exact(metadata!L393,"missing: not provided"),exact(metadata!L393,"missing: restricted access"))),AND(IF(metadata!L393="",FALSE,ISNUMBER(VALUE(metadata!L393))),metadata!L393&gt;=-180.00,metadata!L393&lt;=180.00))</f>
        <v>0</v>
      </c>
      <c r="AM393">
        <f>IF(metadata!M393="",FALSE,TRUE)</f>
        <v>0</v>
      </c>
      <c r="AN393">
        <f>OR(AND(IF(metadata!N393="",FALSE,TRUE),OR(exact(metadata!N393,"missing: not collected"),exact(metadata!N393,"missing: not provided"),exact(metadata!N393,"missing: restricted access"))),AND(IF(metadata!N393="",FALSE,TRUE),OR(exact(metadata!N393,"TRUE"),exact(metadata!N393,"FALSE"))))</f>
        <v>0</v>
      </c>
      <c r="AO393">
        <f>IF(metadata!O393="",FALSE,TRUE)</f>
        <v>0</v>
      </c>
      <c r="AP393">
        <f>OR(AND(IF(metadata!P393="",FALSE,TRUE),OR(exact(metadata!P393,"missing: not collected"),exact(metadata!P393,"missing: not provided"))),AND(IF(metadata!P393="",FALSE,IF(ISERROR(INT(metadata!P393)),FALSE,INT(metadata!P393)=metadata!P393)),metadata!P393&gt;0))</f>
        <v>0</v>
      </c>
      <c r="AQ393">
        <f>IF(metadata!Q393="",FALSE,TRUE)</f>
        <v>0</v>
      </c>
    </row>
    <row r="394" spans="1:43">
      <c r="A394" s="5">
        <f>IF(B394=" "," ",HYPERLINK(CONCATENATE("#metadata!",ADDRESS(INDEX($W$2:$W$1001,MATCH(ROWS($U$2:U394),$U$2:$U$1001,0),0),1)),INDEX($Z$2:$Z$1001,MATCH(ROWS($U$2:U394),$U$2:$U$1001,0),0)))</f>
        <v>0</v>
      </c>
      <c r="B394" s="4">
        <f>IF(OR(INDEX($V$2:$V$1001,MATCH(ROWS($U$2:U394),$U$2:$U$1001,0),1)&gt;=100000,INDEX($AB$1005:$AQ$1005,1,MATCH(COLUMNS($AB$1006:AB1006),$AB$1006:$AQ$1006,0))&gt;=100000), " ",IF(INDEX($AB$2:$AQ$1001,MATCH(ROWS($U$2:U394),$U$2:$U$1001,0),MATCH(COLUMNS($AB$1006:AB1006),$AB$1006:$AQ$1006,0)), HYPERLINK("#",""), HYPERLINK(CONCATENATE("#metadata!", ADDRESS(INDEX($W$2:$W$1001,MATCH(ROWS($U$2:U394),$U$2:$U$1001,0),0), INDEX($AB$1004:$AQ$1004,1,MATCH(COLUMNS($AB$1006:AB1006),$AB$1006:$AQ$1006,0)))),"Fix")))</f>
        <v>0</v>
      </c>
      <c r="C394" s="4">
        <f>IF(OR(INDEX($V$2:$V$1001,MATCH(ROWS($U$2:U394),$U$2:$U$1001,0),1)&gt;=100000,INDEX($AB$1005:$AQ$1005,1,MATCH(COLUMNS($AB$1006:AC1006),$AB$1006:$AQ$1006,0))&gt;=100000), " ",IF(INDEX($AB$2:$AQ$1001,MATCH(ROWS($U$2:U394),$U$2:$U$1001,0),MATCH(COLUMNS($AB$1006:AC1006),$AB$1006:$AQ$1006,0)), HYPERLINK("#",""), HYPERLINK(CONCATENATE("#metadata!", ADDRESS(INDEX($W$2:$W$1001,MATCH(ROWS($U$2:U394),$U$2:$U$1001,0),0), INDEX($AB$1004:$AQ$1004,1,MATCH(COLUMNS($AB$1006:AC1006),$AB$1006:$AQ$1006,0)))),"Fix")))</f>
        <v>0</v>
      </c>
      <c r="D394" s="4">
        <f>IF(OR(INDEX($V$2:$V$1001,MATCH(ROWS($U$2:U394),$U$2:$U$1001,0),1)&gt;=100000,INDEX($AB$1005:$AQ$1005,1,MATCH(COLUMNS($AB$1006:AD1006),$AB$1006:$AQ$1006,0))&gt;=100000), " ",IF(INDEX($AB$2:$AQ$1001,MATCH(ROWS($U$2:U394),$U$2:$U$1001,0),MATCH(COLUMNS($AB$1006:AD1006),$AB$1006:$AQ$1006,0)), HYPERLINK("#",""), HYPERLINK(CONCATENATE("#metadata!", ADDRESS(INDEX($W$2:$W$1001,MATCH(ROWS($U$2:U394),$U$2:$U$1001,0),0), INDEX($AB$1004:$AQ$1004,1,MATCH(COLUMNS($AB$1006:AD1006),$AB$1006:$AQ$1006,0)))),"Fix")))</f>
        <v>0</v>
      </c>
      <c r="E394" s="4">
        <f>IF(OR(INDEX($V$2:$V$1001,MATCH(ROWS($U$2:U394),$U$2:$U$1001,0),1)&gt;=100000,INDEX($AB$1005:$AQ$1005,1,MATCH(COLUMNS($AB$1006:AE1006),$AB$1006:$AQ$1006,0))&gt;=100000), " ",IF(INDEX($AB$2:$AQ$1001,MATCH(ROWS($U$2:U394),$U$2:$U$1001,0),MATCH(COLUMNS($AB$1006:AE1006),$AB$1006:$AQ$1006,0)), HYPERLINK("#",""), HYPERLINK(CONCATENATE("#metadata!", ADDRESS(INDEX($W$2:$W$1001,MATCH(ROWS($U$2:U394),$U$2:$U$1001,0),0), INDEX($AB$1004:$AQ$1004,1,MATCH(COLUMNS($AB$1006:AE1006),$AB$1006:$AQ$1006,0)))),"Fix")))</f>
        <v>0</v>
      </c>
      <c r="F394" s="4">
        <f>IF(OR(INDEX($V$2:$V$1001,MATCH(ROWS($U$2:U394),$U$2:$U$1001,0),1)&gt;=100000,INDEX($AB$1005:$AQ$1005,1,MATCH(COLUMNS($AB$1006:AF1006),$AB$1006:$AQ$1006,0))&gt;=100000), " ",IF(INDEX($AB$2:$AQ$1001,MATCH(ROWS($U$2:U394),$U$2:$U$1001,0),MATCH(COLUMNS($AB$1006:AF1006),$AB$1006:$AQ$1006,0)), HYPERLINK("#",""), HYPERLINK(CONCATENATE("#metadata!", ADDRESS(INDEX($W$2:$W$1001,MATCH(ROWS($U$2:U394),$U$2:$U$1001,0),0), INDEX($AB$1004:$AQ$1004,1,MATCH(COLUMNS($AB$1006:AF1006),$AB$1006:$AQ$1006,0)))),"Fix")))</f>
        <v>0</v>
      </c>
      <c r="G394" s="4">
        <f>IF(OR(INDEX($V$2:$V$1001,MATCH(ROWS($U$2:U394),$U$2:$U$1001,0),1)&gt;=100000,INDEX($AB$1005:$AQ$1005,1,MATCH(COLUMNS($AB$1006:AG1006),$AB$1006:$AQ$1006,0))&gt;=100000), " ",IF(INDEX($AB$2:$AQ$1001,MATCH(ROWS($U$2:U394),$U$2:$U$1001,0),MATCH(COLUMNS($AB$1006:AG1006),$AB$1006:$AQ$1006,0)), HYPERLINK("#",""), HYPERLINK(CONCATENATE("#metadata!", ADDRESS(INDEX($W$2:$W$1001,MATCH(ROWS($U$2:U394),$U$2:$U$1001,0),0), INDEX($AB$1004:$AQ$1004,1,MATCH(COLUMNS($AB$1006:AG1006),$AB$1006:$AQ$1006,0)))),"Fix")))</f>
        <v>0</v>
      </c>
      <c r="H394" s="4">
        <f>IF(OR(INDEX($V$2:$V$1001,MATCH(ROWS($U$2:U394),$U$2:$U$1001,0),1)&gt;=100000,INDEX($AB$1005:$AQ$1005,1,MATCH(COLUMNS($AB$1006:AH1006),$AB$1006:$AQ$1006,0))&gt;=100000), " ",IF(INDEX($AB$2:$AQ$1001,MATCH(ROWS($U$2:U394),$U$2:$U$1001,0),MATCH(COLUMNS($AB$1006:AH1006),$AB$1006:$AQ$1006,0)), HYPERLINK("#",""), HYPERLINK(CONCATENATE("#metadata!", ADDRESS(INDEX($W$2:$W$1001,MATCH(ROWS($U$2:U394),$U$2:$U$1001,0),0), INDEX($AB$1004:$AQ$1004,1,MATCH(COLUMNS($AB$1006:AH1006),$AB$1006:$AQ$1006,0)))),"Fix")))</f>
        <v>0</v>
      </c>
      <c r="I394" s="4">
        <f>IF(OR(INDEX($V$2:$V$1001,MATCH(ROWS($U$2:U394),$U$2:$U$1001,0),1)&gt;=100000,INDEX($AB$1005:$AQ$1005,1,MATCH(COLUMNS($AB$1006:AI1006),$AB$1006:$AQ$1006,0))&gt;=100000), " ",IF(INDEX($AB$2:$AQ$1001,MATCH(ROWS($U$2:U394),$U$2:$U$1001,0),MATCH(COLUMNS($AB$1006:AI1006),$AB$1006:$AQ$1006,0)), HYPERLINK("#",""), HYPERLINK(CONCATENATE("#metadata!", ADDRESS(INDEX($W$2:$W$1001,MATCH(ROWS($U$2:U394),$U$2:$U$1001,0),0), INDEX($AB$1004:$AQ$1004,1,MATCH(COLUMNS($AB$1006:AI1006),$AB$1006:$AQ$1006,0)))),"Fix")))</f>
        <v>0</v>
      </c>
      <c r="J394" s="4">
        <f>IF(OR(INDEX($V$2:$V$1001,MATCH(ROWS($U$2:U394),$U$2:$U$1001,0),1)&gt;=100000,INDEX($AB$1005:$AQ$1005,1,MATCH(COLUMNS($AB$1006:AJ1006),$AB$1006:$AQ$1006,0))&gt;=100000), " ",IF(INDEX($AB$2:$AQ$1001,MATCH(ROWS($U$2:U394),$U$2:$U$1001,0),MATCH(COLUMNS($AB$1006:AJ1006),$AB$1006:$AQ$1006,0)), HYPERLINK("#",""), HYPERLINK(CONCATENATE("#metadata!", ADDRESS(INDEX($W$2:$W$1001,MATCH(ROWS($U$2:U394),$U$2:$U$1001,0),0), INDEX($AB$1004:$AQ$1004,1,MATCH(COLUMNS($AB$1006:AJ1006),$AB$1006:$AQ$1006,0)))),"Fix")))</f>
        <v>0</v>
      </c>
      <c r="K394" s="4">
        <f>IF(OR(INDEX($V$2:$V$1001,MATCH(ROWS($U$2:U394),$U$2:$U$1001,0),1)&gt;=100000,INDEX($AB$1005:$AQ$1005,1,MATCH(COLUMNS($AB$1006:AK1006),$AB$1006:$AQ$1006,0))&gt;=100000), " ",IF(INDEX($AB$2:$AQ$1001,MATCH(ROWS($U$2:U394),$U$2:$U$1001,0),MATCH(COLUMNS($AB$1006:AK1006),$AB$1006:$AQ$1006,0)), HYPERLINK("#",""), HYPERLINK(CONCATENATE("#metadata!", ADDRESS(INDEX($W$2:$W$1001,MATCH(ROWS($U$2:U394),$U$2:$U$1001,0),0), INDEX($AB$1004:$AQ$1004,1,MATCH(COLUMNS($AB$1006:AK1006),$AB$1006:$AQ$1006,0)))),"Fix")))</f>
        <v>0</v>
      </c>
      <c r="L394" s="4">
        <f>IF(OR(INDEX($V$2:$V$1001,MATCH(ROWS($U$2:U394),$U$2:$U$1001,0),1)&gt;=100000,INDEX($AB$1005:$AQ$1005,1,MATCH(COLUMNS($AB$1006:AL1006),$AB$1006:$AQ$1006,0))&gt;=100000), " ",IF(INDEX($AB$2:$AQ$1001,MATCH(ROWS($U$2:U394),$U$2:$U$1001,0),MATCH(COLUMNS($AB$1006:AL1006),$AB$1006:$AQ$1006,0)), HYPERLINK("#",""), HYPERLINK(CONCATENATE("#metadata!", ADDRESS(INDEX($W$2:$W$1001,MATCH(ROWS($U$2:U394),$U$2:$U$1001,0),0), INDEX($AB$1004:$AQ$1004,1,MATCH(COLUMNS($AB$1006:AL1006),$AB$1006:$AQ$1006,0)))),"Fix")))</f>
        <v>0</v>
      </c>
      <c r="M394" s="4">
        <f>IF(OR(INDEX($V$2:$V$1001,MATCH(ROWS($U$2:U394),$U$2:$U$1001,0),1)&gt;=100000,INDEX($AB$1005:$AQ$1005,1,MATCH(COLUMNS($AB$1006:AM1006),$AB$1006:$AQ$1006,0))&gt;=100000), " ",IF(INDEX($AB$2:$AQ$1001,MATCH(ROWS($U$2:U394),$U$2:$U$1001,0),MATCH(COLUMNS($AB$1006:AM1006),$AB$1006:$AQ$1006,0)), HYPERLINK("#",""), HYPERLINK(CONCATENATE("#metadata!", ADDRESS(INDEX($W$2:$W$1001,MATCH(ROWS($U$2:U394),$U$2:$U$1001,0),0), INDEX($AB$1004:$AQ$1004,1,MATCH(COLUMNS($AB$1006:AM1006),$AB$1006:$AQ$1006,0)))),"Fix")))</f>
        <v>0</v>
      </c>
      <c r="N394" s="4">
        <f>IF(OR(INDEX($V$2:$V$1001,MATCH(ROWS($U$2:U394),$U$2:$U$1001,0),1)&gt;=100000,INDEX($AB$1005:$AQ$1005,1,MATCH(COLUMNS($AB$1006:AN1006),$AB$1006:$AQ$1006,0))&gt;=100000), " ",IF(INDEX($AB$2:$AQ$1001,MATCH(ROWS($U$2:U394),$U$2:$U$1001,0),MATCH(COLUMNS($AB$1006:AN1006),$AB$1006:$AQ$1006,0)), HYPERLINK("#",""), HYPERLINK(CONCATENATE("#metadata!", ADDRESS(INDEX($W$2:$W$1001,MATCH(ROWS($U$2:U394),$U$2:$U$1001,0),0), INDEX($AB$1004:$AQ$1004,1,MATCH(COLUMNS($AB$1006:AN1006),$AB$1006:$AQ$1006,0)))),"Fix")))</f>
        <v>0</v>
      </c>
      <c r="O394" s="4">
        <f>IF(OR(INDEX($V$2:$V$1001,MATCH(ROWS($U$2:U394),$U$2:$U$1001,0),1)&gt;=100000,INDEX($AB$1005:$AQ$1005,1,MATCH(COLUMNS($AB$1006:AO1006),$AB$1006:$AQ$1006,0))&gt;=100000), " ",IF(INDEX($AB$2:$AQ$1001,MATCH(ROWS($U$2:U394),$U$2:$U$1001,0),MATCH(COLUMNS($AB$1006:AO1006),$AB$1006:$AQ$1006,0)), HYPERLINK("#",""), HYPERLINK(CONCATENATE("#metadata!", ADDRESS(INDEX($W$2:$W$1001,MATCH(ROWS($U$2:U394),$U$2:$U$1001,0),0), INDEX($AB$1004:$AQ$1004,1,MATCH(COLUMNS($AB$1006:AO1006),$AB$1006:$AQ$1006,0)))),"Fix")))</f>
        <v>0</v>
      </c>
      <c r="P394" s="4">
        <f>IF(OR(INDEX($V$2:$V$1001,MATCH(ROWS($U$2:U394),$U$2:$U$1001,0),1)&gt;=100000,INDEX($AB$1005:$AQ$1005,1,MATCH(COLUMNS($AB$1006:AP1006),$AB$1006:$AQ$1006,0))&gt;=100000), " ",IF(INDEX($AB$2:$AQ$1001,MATCH(ROWS($U$2:U394),$U$2:$U$1001,0),MATCH(COLUMNS($AB$1006:AP1006),$AB$1006:$AQ$1006,0)), HYPERLINK("#",""), HYPERLINK(CONCATENATE("#metadata!", ADDRESS(INDEX($W$2:$W$1001,MATCH(ROWS($U$2:U394),$U$2:$U$1001,0),0), INDEX($AB$1004:$AQ$1004,1,MATCH(COLUMNS($AB$1006:AP1006),$AB$1006:$AQ$1006,0)))),"Fix")))</f>
        <v>0</v>
      </c>
      <c r="Q394" s="4">
        <f>IF(OR(INDEX($V$2:$V$1001,MATCH(ROWS($U$2:U394),$U$2:$U$1001,0),1)&gt;=100000,INDEX($AB$1005:$AQ$1005,1,MATCH(COLUMNS($AB$1006:AQ1006),$AB$1006:$AQ$1006,0))&gt;=100000), " ",IF(INDEX($AB$2:$AQ$1001,MATCH(ROWS($U$2:U394),$U$2:$U$1001,0),MATCH(COLUMNS($AB$1006:AQ1006),$AB$1006:$AQ$1006,0)), HYPERLINK("#",""), HYPERLINK(CONCATENATE("#metadata!", ADDRESS(INDEX($W$2:$W$1001,MATCH(ROWS($U$2:U394),$U$2:$U$1001,0),0), INDEX($AB$1004:$AQ$1004,1,MATCH(COLUMNS($AB$1006:AQ1006),$AB$1006:$AQ$1006,0)))),"Fix")))</f>
        <v>0</v>
      </c>
      <c r="U394">
        <v>0</v>
      </c>
      <c r="V394">
        <v>0</v>
      </c>
      <c r="W394">
        <v>0</v>
      </c>
      <c r="X394">
        <f>IF(Y394,TRUE,AND(AB394:AQ394))</f>
        <v>0</v>
      </c>
      <c r="Y394">
        <f>COUNTBLANK(metadata!B394:Q394)=COLUMNS(metadata!B394:Q394)</f>
        <v>0</v>
      </c>
      <c r="Z394">
        <v>0</v>
      </c>
      <c r="AB394">
        <f>AND(IF(metadata!B394="",FALSE,TRUE),COUNTIF(metadata!B:B, metadata!B394) = 1,NOT(ISERROR(SUMPRODUCT(SEARCH(MID(metadata!B394,ROW(INDIRECT("1:"&amp;LEN(metadata!B394))), 1),"0123456789abcdefghijklmnopqrstuvwxyzABCDEFGHIJKLMNOPQRSTUVWXYZ.")))))</f>
        <v>0</v>
      </c>
      <c r="AC394">
        <f>OR(AND(IF(metadata!C394="",FALSE,TRUE),OR(exact(metadata!C394,"missing: not collected"),exact(metadata!C394,"missing: not provided"),exact(metadata!C394,"missing: restricted access"))),AND(IF(metadata!C394="",FALSE,TRUE),AND(AND(IFERROR(INT(LEFT(metadata!C394,4))&gt;1900,FALSE),IFERROR(INT(LEFT(metadata!C394,4))&lt;=YEAR(NOW()),FALSE)), OR(MID(metadata!C394,5,1)="", AND(AND(MID(metadata!C394,5,1)="-",IFERROR(INT(MID(metadata!C394,6,1))&gt;=0,FALSE),IFERROR(INT(MID(metadata!C394,6,1))&lt;=1,FALSE),NOT(MID(metadata!C394,7,1)=""),IFERROR(INT(MID(metadata!C394,6,2))&gt;=1,FALSE),IFERROR(INT(MID(metadata!C394,6,2))&lt;=12,FALSE)), OR(MID(metadata!C394,8,1)="", AND(AND(MID(metadata!C394,8,1)="-",IFERROR(INT(MID(metadata!C394,9,1))&gt;=0,FALSE),IFERROR(INT(MID(metadata!C394,9,1))&lt;=3,FALSE),NOT(MID(metadata!C394,10,1)=""),IFERROR(INT(MID(metadata!C394,9,2))&gt;=1,FALSE),IFERROR(INT(MID(metadata!C394,9,2))&lt;=31,FALSE)), OR(MID(metadata!C394,11,1)="", AND(AND(MID(metadata!C394,11,1)=" ",IFERROR(INT(MID(metadata!C394,12,1))&gt;=0,FALSE),IFERROR(INT(MID(metadata!C394,12,1))&lt;=2,FALSE),NOT(MID(metadata!C394,13,1)=""),IFERROR(INT(MID(metadata!C394,12,2))&gt;=0,FALSE),IFERROR(INT(MID(metadata!C394,12,2))&lt;=23,FALSE)), OR(MID(metadata!C394,14,1)="", AND(AND(MID(metadata!C394,14,1)=":",IFERROR(INT(MID(metadata!C394,15,1))&gt;=0,FALSE),IFERROR(INT(MID(metadata!C394,15,1))&lt;=5,FALSE),NOT(MID(metadata!C394,16,1)=""),IFERROR(INT(MID(metadata!C394,15,2))&gt;=0,FALSE),IFERROR(INT(MID(metadata!C394,15,2))&lt;=59,FALSE)), OR(MID(metadata!C394,17,1)="", AND(AND(MID(metadata!C394,17,1)=":",IFERROR(INT(MID(metadata!C394,18,1))&gt;=0,FALSE),IFERROR(INT(MID(metadata!C394,18,1))&lt;=5,FALSE),NOT(MID(metadata!C394,19,1)=""),IFERROR(INT(MID(metadata!C394,18,2))&gt;=0,FALSE),IFERROR(INT(MID(metadata!C394,18,2))&lt;=59,FALSE)), LEN(metadata!C394)&lt;=19)))))))))))))</f>
        <v>0</v>
      </c>
      <c r="AD394">
        <f>IF(metadata!D394="",FALSE,TRUE)</f>
        <v>0</v>
      </c>
      <c r="AE394">
        <f>OR(AND(IF(metadata!E394="",FALSE,TRUE),OR(exact(metadata!E394,"missing: not collected"),exact(metadata!E394,"missing: not provided"))),AND(IF(metadata!E394="",FALSE,TRUE),OR(exact(metadata!E394,"TRUE"),exact(metadata!E394,"FALSE"))))</f>
        <v>0</v>
      </c>
      <c r="AF394">
        <f>IF(metadata!F394="",FALSE,TRUE)</f>
        <v>0</v>
      </c>
      <c r="AG394">
        <f>IF(metadata!G394="",FALSE,TRUE)</f>
        <v>0</v>
      </c>
      <c r="AH394">
        <f>IF(metadata!H394="",FALSE,TRUE)</f>
        <v>0</v>
      </c>
      <c r="AI394">
        <f>OR(AND(IF(metadata!I394="",FALSE,TRUE),OR(exact(metadata!I394,"missing: not collected"),exact(metadata!I394,"missing: not provided"),exact(metadata!I394,"missing: restricted access"))),AND(IF(metadata!I394="",FALSE,TRUE),OR(exact(metadata!I394,"air"),exact(metadata!I394,"built environment"),exact(metadata!I394,"host-associated"),exact(metadata!I394,"human-associated"),exact(metadata!I394,"human-skin"),exact(metadata!I394,"human-oral"),exact(metadata!I394,"human-gut"),exact(metadata!I394,"human-vaginal"),exact(metadata!I394,"microbial mat/biofilm"),exact(metadata!I394,"misc environment"),exact(metadata!I394,"plant-associated"),exact(metadata!I394,"sediment"),exact(metadata!I394,"soil"),exact(metadata!I394,"wastewater/sludge"),exact(metadata!I394,"water"))))</f>
        <v>0</v>
      </c>
      <c r="AJ394">
        <f>IF(metadata!J394="",FALSE,TRUE)</f>
        <v>0</v>
      </c>
      <c r="AK394">
        <f>OR(AND(IF(metadata!K394="",FALSE,TRUE),OR(exact(metadata!K394,"missing: not collected"),exact(metadata!K394,"missing: not provided"),exact(metadata!K394,"missing: restricted access"))),AND(IF(metadata!K394="",FALSE,ISNUMBER(VALUE(metadata!K394))),metadata!K394&gt;=-90.00,metadata!K394&lt;=90.00))</f>
        <v>0</v>
      </c>
      <c r="AL394">
        <f>OR(AND(IF(metadata!L394="",FALSE,TRUE),OR(exact(metadata!L394,"missing: not collected"),exact(metadata!L394,"missing: not provided"),exact(metadata!L394,"missing: restricted access"))),AND(IF(metadata!L394="",FALSE,ISNUMBER(VALUE(metadata!L394))),metadata!L394&gt;=-180.00,metadata!L394&lt;=180.00))</f>
        <v>0</v>
      </c>
      <c r="AM394">
        <f>IF(metadata!M394="",FALSE,TRUE)</f>
        <v>0</v>
      </c>
      <c r="AN394">
        <f>OR(AND(IF(metadata!N394="",FALSE,TRUE),OR(exact(metadata!N394,"missing: not collected"),exact(metadata!N394,"missing: not provided"),exact(metadata!N394,"missing: restricted access"))),AND(IF(metadata!N394="",FALSE,TRUE),OR(exact(metadata!N394,"TRUE"),exact(metadata!N394,"FALSE"))))</f>
        <v>0</v>
      </c>
      <c r="AO394">
        <f>IF(metadata!O394="",FALSE,TRUE)</f>
        <v>0</v>
      </c>
      <c r="AP394">
        <f>OR(AND(IF(metadata!P394="",FALSE,TRUE),OR(exact(metadata!P394,"missing: not collected"),exact(metadata!P394,"missing: not provided"))),AND(IF(metadata!P394="",FALSE,IF(ISERROR(INT(metadata!P394)),FALSE,INT(metadata!P394)=metadata!P394)),metadata!P394&gt;0))</f>
        <v>0</v>
      </c>
      <c r="AQ394">
        <f>IF(metadata!Q394="",FALSE,TRUE)</f>
        <v>0</v>
      </c>
    </row>
    <row r="395" spans="1:43">
      <c r="A395" s="5">
        <f>IF(B395=" "," ",HYPERLINK(CONCATENATE("#metadata!",ADDRESS(INDEX($W$2:$W$1001,MATCH(ROWS($U$2:U395),$U$2:$U$1001,0),0),1)),INDEX($Z$2:$Z$1001,MATCH(ROWS($U$2:U395),$U$2:$U$1001,0),0)))</f>
        <v>0</v>
      </c>
      <c r="B395" s="4">
        <f>IF(OR(INDEX($V$2:$V$1001,MATCH(ROWS($U$2:U395),$U$2:$U$1001,0),1)&gt;=100000,INDEX($AB$1005:$AQ$1005,1,MATCH(COLUMNS($AB$1006:AB1006),$AB$1006:$AQ$1006,0))&gt;=100000), " ",IF(INDEX($AB$2:$AQ$1001,MATCH(ROWS($U$2:U395),$U$2:$U$1001,0),MATCH(COLUMNS($AB$1006:AB1006),$AB$1006:$AQ$1006,0)), HYPERLINK("#",""), HYPERLINK(CONCATENATE("#metadata!", ADDRESS(INDEX($W$2:$W$1001,MATCH(ROWS($U$2:U395),$U$2:$U$1001,0),0), INDEX($AB$1004:$AQ$1004,1,MATCH(COLUMNS($AB$1006:AB1006),$AB$1006:$AQ$1006,0)))),"Fix")))</f>
        <v>0</v>
      </c>
      <c r="C395" s="4">
        <f>IF(OR(INDEX($V$2:$V$1001,MATCH(ROWS($U$2:U395),$U$2:$U$1001,0),1)&gt;=100000,INDEX($AB$1005:$AQ$1005,1,MATCH(COLUMNS($AB$1006:AC1006),$AB$1006:$AQ$1006,0))&gt;=100000), " ",IF(INDEX($AB$2:$AQ$1001,MATCH(ROWS($U$2:U395),$U$2:$U$1001,0),MATCH(COLUMNS($AB$1006:AC1006),$AB$1006:$AQ$1006,0)), HYPERLINK("#",""), HYPERLINK(CONCATENATE("#metadata!", ADDRESS(INDEX($W$2:$W$1001,MATCH(ROWS($U$2:U395),$U$2:$U$1001,0),0), INDEX($AB$1004:$AQ$1004,1,MATCH(COLUMNS($AB$1006:AC1006),$AB$1006:$AQ$1006,0)))),"Fix")))</f>
        <v>0</v>
      </c>
      <c r="D395" s="4">
        <f>IF(OR(INDEX($V$2:$V$1001,MATCH(ROWS($U$2:U395),$U$2:$U$1001,0),1)&gt;=100000,INDEX($AB$1005:$AQ$1005,1,MATCH(COLUMNS($AB$1006:AD1006),$AB$1006:$AQ$1006,0))&gt;=100000), " ",IF(INDEX($AB$2:$AQ$1001,MATCH(ROWS($U$2:U395),$U$2:$U$1001,0),MATCH(COLUMNS($AB$1006:AD1006),$AB$1006:$AQ$1006,0)), HYPERLINK("#",""), HYPERLINK(CONCATENATE("#metadata!", ADDRESS(INDEX($W$2:$W$1001,MATCH(ROWS($U$2:U395),$U$2:$U$1001,0),0), INDEX($AB$1004:$AQ$1004,1,MATCH(COLUMNS($AB$1006:AD1006),$AB$1006:$AQ$1006,0)))),"Fix")))</f>
        <v>0</v>
      </c>
      <c r="E395" s="4">
        <f>IF(OR(INDEX($V$2:$V$1001,MATCH(ROWS($U$2:U395),$U$2:$U$1001,0),1)&gt;=100000,INDEX($AB$1005:$AQ$1005,1,MATCH(COLUMNS($AB$1006:AE1006),$AB$1006:$AQ$1006,0))&gt;=100000), " ",IF(INDEX($AB$2:$AQ$1001,MATCH(ROWS($U$2:U395),$U$2:$U$1001,0),MATCH(COLUMNS($AB$1006:AE1006),$AB$1006:$AQ$1006,0)), HYPERLINK("#",""), HYPERLINK(CONCATENATE("#metadata!", ADDRESS(INDEX($W$2:$W$1001,MATCH(ROWS($U$2:U395),$U$2:$U$1001,0),0), INDEX($AB$1004:$AQ$1004,1,MATCH(COLUMNS($AB$1006:AE1006),$AB$1006:$AQ$1006,0)))),"Fix")))</f>
        <v>0</v>
      </c>
      <c r="F395" s="4">
        <f>IF(OR(INDEX($V$2:$V$1001,MATCH(ROWS($U$2:U395),$U$2:$U$1001,0),1)&gt;=100000,INDEX($AB$1005:$AQ$1005,1,MATCH(COLUMNS($AB$1006:AF1006),$AB$1006:$AQ$1006,0))&gt;=100000), " ",IF(INDEX($AB$2:$AQ$1001,MATCH(ROWS($U$2:U395),$U$2:$U$1001,0),MATCH(COLUMNS($AB$1006:AF1006),$AB$1006:$AQ$1006,0)), HYPERLINK("#",""), HYPERLINK(CONCATENATE("#metadata!", ADDRESS(INDEX($W$2:$W$1001,MATCH(ROWS($U$2:U395),$U$2:$U$1001,0),0), INDEX($AB$1004:$AQ$1004,1,MATCH(COLUMNS($AB$1006:AF1006),$AB$1006:$AQ$1006,0)))),"Fix")))</f>
        <v>0</v>
      </c>
      <c r="G395" s="4">
        <f>IF(OR(INDEX($V$2:$V$1001,MATCH(ROWS($U$2:U395),$U$2:$U$1001,0),1)&gt;=100000,INDEX($AB$1005:$AQ$1005,1,MATCH(COLUMNS($AB$1006:AG1006),$AB$1006:$AQ$1006,0))&gt;=100000), " ",IF(INDEX($AB$2:$AQ$1001,MATCH(ROWS($U$2:U395),$U$2:$U$1001,0),MATCH(COLUMNS($AB$1006:AG1006),$AB$1006:$AQ$1006,0)), HYPERLINK("#",""), HYPERLINK(CONCATENATE("#metadata!", ADDRESS(INDEX($W$2:$W$1001,MATCH(ROWS($U$2:U395),$U$2:$U$1001,0),0), INDEX($AB$1004:$AQ$1004,1,MATCH(COLUMNS($AB$1006:AG1006),$AB$1006:$AQ$1006,0)))),"Fix")))</f>
        <v>0</v>
      </c>
      <c r="H395" s="4">
        <f>IF(OR(INDEX($V$2:$V$1001,MATCH(ROWS($U$2:U395),$U$2:$U$1001,0),1)&gt;=100000,INDEX($AB$1005:$AQ$1005,1,MATCH(COLUMNS($AB$1006:AH1006),$AB$1006:$AQ$1006,0))&gt;=100000), " ",IF(INDEX($AB$2:$AQ$1001,MATCH(ROWS($U$2:U395),$U$2:$U$1001,0),MATCH(COLUMNS($AB$1006:AH1006),$AB$1006:$AQ$1006,0)), HYPERLINK("#",""), HYPERLINK(CONCATENATE("#metadata!", ADDRESS(INDEX($W$2:$W$1001,MATCH(ROWS($U$2:U395),$U$2:$U$1001,0),0), INDEX($AB$1004:$AQ$1004,1,MATCH(COLUMNS($AB$1006:AH1006),$AB$1006:$AQ$1006,0)))),"Fix")))</f>
        <v>0</v>
      </c>
      <c r="I395" s="4">
        <f>IF(OR(INDEX($V$2:$V$1001,MATCH(ROWS($U$2:U395),$U$2:$U$1001,0),1)&gt;=100000,INDEX($AB$1005:$AQ$1005,1,MATCH(COLUMNS($AB$1006:AI1006),$AB$1006:$AQ$1006,0))&gt;=100000), " ",IF(INDEX($AB$2:$AQ$1001,MATCH(ROWS($U$2:U395),$U$2:$U$1001,0),MATCH(COLUMNS($AB$1006:AI1006),$AB$1006:$AQ$1006,0)), HYPERLINK("#",""), HYPERLINK(CONCATENATE("#metadata!", ADDRESS(INDEX($W$2:$W$1001,MATCH(ROWS($U$2:U395),$U$2:$U$1001,0),0), INDEX($AB$1004:$AQ$1004,1,MATCH(COLUMNS($AB$1006:AI1006),$AB$1006:$AQ$1006,0)))),"Fix")))</f>
        <v>0</v>
      </c>
      <c r="J395" s="4">
        <f>IF(OR(INDEX($V$2:$V$1001,MATCH(ROWS($U$2:U395),$U$2:$U$1001,0),1)&gt;=100000,INDEX($AB$1005:$AQ$1005,1,MATCH(COLUMNS($AB$1006:AJ1006),$AB$1006:$AQ$1006,0))&gt;=100000), " ",IF(INDEX($AB$2:$AQ$1001,MATCH(ROWS($U$2:U395),$U$2:$U$1001,0),MATCH(COLUMNS($AB$1006:AJ1006),$AB$1006:$AQ$1006,0)), HYPERLINK("#",""), HYPERLINK(CONCATENATE("#metadata!", ADDRESS(INDEX($W$2:$W$1001,MATCH(ROWS($U$2:U395),$U$2:$U$1001,0),0), INDEX($AB$1004:$AQ$1004,1,MATCH(COLUMNS($AB$1006:AJ1006),$AB$1006:$AQ$1006,0)))),"Fix")))</f>
        <v>0</v>
      </c>
      <c r="K395" s="4">
        <f>IF(OR(INDEX($V$2:$V$1001,MATCH(ROWS($U$2:U395),$U$2:$U$1001,0),1)&gt;=100000,INDEX($AB$1005:$AQ$1005,1,MATCH(COLUMNS($AB$1006:AK1006),$AB$1006:$AQ$1006,0))&gt;=100000), " ",IF(INDEX($AB$2:$AQ$1001,MATCH(ROWS($U$2:U395),$U$2:$U$1001,0),MATCH(COLUMNS($AB$1006:AK1006),$AB$1006:$AQ$1006,0)), HYPERLINK("#",""), HYPERLINK(CONCATENATE("#metadata!", ADDRESS(INDEX($W$2:$W$1001,MATCH(ROWS($U$2:U395),$U$2:$U$1001,0),0), INDEX($AB$1004:$AQ$1004,1,MATCH(COLUMNS($AB$1006:AK1006),$AB$1006:$AQ$1006,0)))),"Fix")))</f>
        <v>0</v>
      </c>
      <c r="L395" s="4">
        <f>IF(OR(INDEX($V$2:$V$1001,MATCH(ROWS($U$2:U395),$U$2:$U$1001,0),1)&gt;=100000,INDEX($AB$1005:$AQ$1005,1,MATCH(COLUMNS($AB$1006:AL1006),$AB$1006:$AQ$1006,0))&gt;=100000), " ",IF(INDEX($AB$2:$AQ$1001,MATCH(ROWS($U$2:U395),$U$2:$U$1001,0),MATCH(COLUMNS($AB$1006:AL1006),$AB$1006:$AQ$1006,0)), HYPERLINK("#",""), HYPERLINK(CONCATENATE("#metadata!", ADDRESS(INDEX($W$2:$W$1001,MATCH(ROWS($U$2:U395),$U$2:$U$1001,0),0), INDEX($AB$1004:$AQ$1004,1,MATCH(COLUMNS($AB$1006:AL1006),$AB$1006:$AQ$1006,0)))),"Fix")))</f>
        <v>0</v>
      </c>
      <c r="M395" s="4">
        <f>IF(OR(INDEX($V$2:$V$1001,MATCH(ROWS($U$2:U395),$U$2:$U$1001,0),1)&gt;=100000,INDEX($AB$1005:$AQ$1005,1,MATCH(COLUMNS($AB$1006:AM1006),$AB$1006:$AQ$1006,0))&gt;=100000), " ",IF(INDEX($AB$2:$AQ$1001,MATCH(ROWS($U$2:U395),$U$2:$U$1001,0),MATCH(COLUMNS($AB$1006:AM1006),$AB$1006:$AQ$1006,0)), HYPERLINK("#",""), HYPERLINK(CONCATENATE("#metadata!", ADDRESS(INDEX($W$2:$W$1001,MATCH(ROWS($U$2:U395),$U$2:$U$1001,0),0), INDEX($AB$1004:$AQ$1004,1,MATCH(COLUMNS($AB$1006:AM1006),$AB$1006:$AQ$1006,0)))),"Fix")))</f>
        <v>0</v>
      </c>
      <c r="N395" s="4">
        <f>IF(OR(INDEX($V$2:$V$1001,MATCH(ROWS($U$2:U395),$U$2:$U$1001,0),1)&gt;=100000,INDEX($AB$1005:$AQ$1005,1,MATCH(COLUMNS($AB$1006:AN1006),$AB$1006:$AQ$1006,0))&gt;=100000), " ",IF(INDEX($AB$2:$AQ$1001,MATCH(ROWS($U$2:U395),$U$2:$U$1001,0),MATCH(COLUMNS($AB$1006:AN1006),$AB$1006:$AQ$1006,0)), HYPERLINK("#",""), HYPERLINK(CONCATENATE("#metadata!", ADDRESS(INDEX($W$2:$W$1001,MATCH(ROWS($U$2:U395),$U$2:$U$1001,0),0), INDEX($AB$1004:$AQ$1004,1,MATCH(COLUMNS($AB$1006:AN1006),$AB$1006:$AQ$1006,0)))),"Fix")))</f>
        <v>0</v>
      </c>
      <c r="O395" s="4">
        <f>IF(OR(INDEX($V$2:$V$1001,MATCH(ROWS($U$2:U395),$U$2:$U$1001,0),1)&gt;=100000,INDEX($AB$1005:$AQ$1005,1,MATCH(COLUMNS($AB$1006:AO1006),$AB$1006:$AQ$1006,0))&gt;=100000), " ",IF(INDEX($AB$2:$AQ$1001,MATCH(ROWS($U$2:U395),$U$2:$U$1001,0),MATCH(COLUMNS($AB$1006:AO1006),$AB$1006:$AQ$1006,0)), HYPERLINK("#",""), HYPERLINK(CONCATENATE("#metadata!", ADDRESS(INDEX($W$2:$W$1001,MATCH(ROWS($U$2:U395),$U$2:$U$1001,0),0), INDEX($AB$1004:$AQ$1004,1,MATCH(COLUMNS($AB$1006:AO1006),$AB$1006:$AQ$1006,0)))),"Fix")))</f>
        <v>0</v>
      </c>
      <c r="P395" s="4">
        <f>IF(OR(INDEX($V$2:$V$1001,MATCH(ROWS($U$2:U395),$U$2:$U$1001,0),1)&gt;=100000,INDEX($AB$1005:$AQ$1005,1,MATCH(COLUMNS($AB$1006:AP1006),$AB$1006:$AQ$1006,0))&gt;=100000), " ",IF(INDEX($AB$2:$AQ$1001,MATCH(ROWS($U$2:U395),$U$2:$U$1001,0),MATCH(COLUMNS($AB$1006:AP1006),$AB$1006:$AQ$1006,0)), HYPERLINK("#",""), HYPERLINK(CONCATENATE("#metadata!", ADDRESS(INDEX($W$2:$W$1001,MATCH(ROWS($U$2:U395),$U$2:$U$1001,0),0), INDEX($AB$1004:$AQ$1004,1,MATCH(COLUMNS($AB$1006:AP1006),$AB$1006:$AQ$1006,0)))),"Fix")))</f>
        <v>0</v>
      </c>
      <c r="Q395" s="4">
        <f>IF(OR(INDEX($V$2:$V$1001,MATCH(ROWS($U$2:U395),$U$2:$U$1001,0),1)&gt;=100000,INDEX($AB$1005:$AQ$1005,1,MATCH(COLUMNS($AB$1006:AQ1006),$AB$1006:$AQ$1006,0))&gt;=100000), " ",IF(INDEX($AB$2:$AQ$1001,MATCH(ROWS($U$2:U395),$U$2:$U$1001,0),MATCH(COLUMNS($AB$1006:AQ1006),$AB$1006:$AQ$1006,0)), HYPERLINK("#",""), HYPERLINK(CONCATENATE("#metadata!", ADDRESS(INDEX($W$2:$W$1001,MATCH(ROWS($U$2:U395),$U$2:$U$1001,0),0), INDEX($AB$1004:$AQ$1004,1,MATCH(COLUMNS($AB$1006:AQ1006),$AB$1006:$AQ$1006,0)))),"Fix")))</f>
        <v>0</v>
      </c>
      <c r="U395">
        <v>0</v>
      </c>
      <c r="V395">
        <v>0</v>
      </c>
      <c r="W395">
        <v>0</v>
      </c>
      <c r="X395">
        <f>IF(Y395,TRUE,AND(AB395:AQ395))</f>
        <v>0</v>
      </c>
      <c r="Y395">
        <f>COUNTBLANK(metadata!B395:Q395)=COLUMNS(metadata!B395:Q395)</f>
        <v>0</v>
      </c>
      <c r="Z395">
        <v>0</v>
      </c>
      <c r="AB395">
        <f>AND(IF(metadata!B395="",FALSE,TRUE),COUNTIF(metadata!B:B, metadata!B395) = 1,NOT(ISERROR(SUMPRODUCT(SEARCH(MID(metadata!B395,ROW(INDIRECT("1:"&amp;LEN(metadata!B395))), 1),"0123456789abcdefghijklmnopqrstuvwxyzABCDEFGHIJKLMNOPQRSTUVWXYZ.")))))</f>
        <v>0</v>
      </c>
      <c r="AC395">
        <f>OR(AND(IF(metadata!C395="",FALSE,TRUE),OR(exact(metadata!C395,"missing: not collected"),exact(metadata!C395,"missing: not provided"),exact(metadata!C395,"missing: restricted access"))),AND(IF(metadata!C395="",FALSE,TRUE),AND(AND(IFERROR(INT(LEFT(metadata!C395,4))&gt;1900,FALSE),IFERROR(INT(LEFT(metadata!C395,4))&lt;=YEAR(NOW()),FALSE)), OR(MID(metadata!C395,5,1)="", AND(AND(MID(metadata!C395,5,1)="-",IFERROR(INT(MID(metadata!C395,6,1))&gt;=0,FALSE),IFERROR(INT(MID(metadata!C395,6,1))&lt;=1,FALSE),NOT(MID(metadata!C395,7,1)=""),IFERROR(INT(MID(metadata!C395,6,2))&gt;=1,FALSE),IFERROR(INT(MID(metadata!C395,6,2))&lt;=12,FALSE)), OR(MID(metadata!C395,8,1)="", AND(AND(MID(metadata!C395,8,1)="-",IFERROR(INT(MID(metadata!C395,9,1))&gt;=0,FALSE),IFERROR(INT(MID(metadata!C395,9,1))&lt;=3,FALSE),NOT(MID(metadata!C395,10,1)=""),IFERROR(INT(MID(metadata!C395,9,2))&gt;=1,FALSE),IFERROR(INT(MID(metadata!C395,9,2))&lt;=31,FALSE)), OR(MID(metadata!C395,11,1)="", AND(AND(MID(metadata!C395,11,1)=" ",IFERROR(INT(MID(metadata!C395,12,1))&gt;=0,FALSE),IFERROR(INT(MID(metadata!C395,12,1))&lt;=2,FALSE),NOT(MID(metadata!C395,13,1)=""),IFERROR(INT(MID(metadata!C395,12,2))&gt;=0,FALSE),IFERROR(INT(MID(metadata!C395,12,2))&lt;=23,FALSE)), OR(MID(metadata!C395,14,1)="", AND(AND(MID(metadata!C395,14,1)=":",IFERROR(INT(MID(metadata!C395,15,1))&gt;=0,FALSE),IFERROR(INT(MID(metadata!C395,15,1))&lt;=5,FALSE),NOT(MID(metadata!C395,16,1)=""),IFERROR(INT(MID(metadata!C395,15,2))&gt;=0,FALSE),IFERROR(INT(MID(metadata!C395,15,2))&lt;=59,FALSE)), OR(MID(metadata!C395,17,1)="", AND(AND(MID(metadata!C395,17,1)=":",IFERROR(INT(MID(metadata!C395,18,1))&gt;=0,FALSE),IFERROR(INT(MID(metadata!C395,18,1))&lt;=5,FALSE),NOT(MID(metadata!C395,19,1)=""),IFERROR(INT(MID(metadata!C395,18,2))&gt;=0,FALSE),IFERROR(INT(MID(metadata!C395,18,2))&lt;=59,FALSE)), LEN(metadata!C395)&lt;=19)))))))))))))</f>
        <v>0</v>
      </c>
      <c r="AD395">
        <f>IF(metadata!D395="",FALSE,TRUE)</f>
        <v>0</v>
      </c>
      <c r="AE395">
        <f>OR(AND(IF(metadata!E395="",FALSE,TRUE),OR(exact(metadata!E395,"missing: not collected"),exact(metadata!E395,"missing: not provided"))),AND(IF(metadata!E395="",FALSE,TRUE),OR(exact(metadata!E395,"TRUE"),exact(metadata!E395,"FALSE"))))</f>
        <v>0</v>
      </c>
      <c r="AF395">
        <f>IF(metadata!F395="",FALSE,TRUE)</f>
        <v>0</v>
      </c>
      <c r="AG395">
        <f>IF(metadata!G395="",FALSE,TRUE)</f>
        <v>0</v>
      </c>
      <c r="AH395">
        <f>IF(metadata!H395="",FALSE,TRUE)</f>
        <v>0</v>
      </c>
      <c r="AI395">
        <f>OR(AND(IF(metadata!I395="",FALSE,TRUE),OR(exact(metadata!I395,"missing: not collected"),exact(metadata!I395,"missing: not provided"),exact(metadata!I395,"missing: restricted access"))),AND(IF(metadata!I395="",FALSE,TRUE),OR(exact(metadata!I395,"air"),exact(metadata!I395,"built environment"),exact(metadata!I395,"host-associated"),exact(metadata!I395,"human-associated"),exact(metadata!I395,"human-skin"),exact(metadata!I395,"human-oral"),exact(metadata!I395,"human-gut"),exact(metadata!I395,"human-vaginal"),exact(metadata!I395,"microbial mat/biofilm"),exact(metadata!I395,"misc environment"),exact(metadata!I395,"plant-associated"),exact(metadata!I395,"sediment"),exact(metadata!I395,"soil"),exact(metadata!I395,"wastewater/sludge"),exact(metadata!I395,"water"))))</f>
        <v>0</v>
      </c>
      <c r="AJ395">
        <f>IF(metadata!J395="",FALSE,TRUE)</f>
        <v>0</v>
      </c>
      <c r="AK395">
        <f>OR(AND(IF(metadata!K395="",FALSE,TRUE),OR(exact(metadata!K395,"missing: not collected"),exact(metadata!K395,"missing: not provided"),exact(metadata!K395,"missing: restricted access"))),AND(IF(metadata!K395="",FALSE,ISNUMBER(VALUE(metadata!K395))),metadata!K395&gt;=-90.00,metadata!K395&lt;=90.00))</f>
        <v>0</v>
      </c>
      <c r="AL395">
        <f>OR(AND(IF(metadata!L395="",FALSE,TRUE),OR(exact(metadata!L395,"missing: not collected"),exact(metadata!L395,"missing: not provided"),exact(metadata!L395,"missing: restricted access"))),AND(IF(metadata!L395="",FALSE,ISNUMBER(VALUE(metadata!L395))),metadata!L395&gt;=-180.00,metadata!L395&lt;=180.00))</f>
        <v>0</v>
      </c>
      <c r="AM395">
        <f>IF(metadata!M395="",FALSE,TRUE)</f>
        <v>0</v>
      </c>
      <c r="AN395">
        <f>OR(AND(IF(metadata!N395="",FALSE,TRUE),OR(exact(metadata!N395,"missing: not collected"),exact(metadata!N395,"missing: not provided"),exact(metadata!N395,"missing: restricted access"))),AND(IF(metadata!N395="",FALSE,TRUE),OR(exact(metadata!N395,"TRUE"),exact(metadata!N395,"FALSE"))))</f>
        <v>0</v>
      </c>
      <c r="AO395">
        <f>IF(metadata!O395="",FALSE,TRUE)</f>
        <v>0</v>
      </c>
      <c r="AP395">
        <f>OR(AND(IF(metadata!P395="",FALSE,TRUE),OR(exact(metadata!P395,"missing: not collected"),exact(metadata!P395,"missing: not provided"))),AND(IF(metadata!P395="",FALSE,IF(ISERROR(INT(metadata!P395)),FALSE,INT(metadata!P395)=metadata!P395)),metadata!P395&gt;0))</f>
        <v>0</v>
      </c>
      <c r="AQ395">
        <f>IF(metadata!Q395="",FALSE,TRUE)</f>
        <v>0</v>
      </c>
    </row>
    <row r="396" spans="1:43">
      <c r="A396" s="5">
        <f>IF(B396=" "," ",HYPERLINK(CONCATENATE("#metadata!",ADDRESS(INDEX($W$2:$W$1001,MATCH(ROWS($U$2:U396),$U$2:$U$1001,0),0),1)),INDEX($Z$2:$Z$1001,MATCH(ROWS($U$2:U396),$U$2:$U$1001,0),0)))</f>
        <v>0</v>
      </c>
      <c r="B396" s="4">
        <f>IF(OR(INDEX($V$2:$V$1001,MATCH(ROWS($U$2:U396),$U$2:$U$1001,0),1)&gt;=100000,INDEX($AB$1005:$AQ$1005,1,MATCH(COLUMNS($AB$1006:AB1006),$AB$1006:$AQ$1006,0))&gt;=100000), " ",IF(INDEX($AB$2:$AQ$1001,MATCH(ROWS($U$2:U396),$U$2:$U$1001,0),MATCH(COLUMNS($AB$1006:AB1006),$AB$1006:$AQ$1006,0)), HYPERLINK("#",""), HYPERLINK(CONCATENATE("#metadata!", ADDRESS(INDEX($W$2:$W$1001,MATCH(ROWS($U$2:U396),$U$2:$U$1001,0),0), INDEX($AB$1004:$AQ$1004,1,MATCH(COLUMNS($AB$1006:AB1006),$AB$1006:$AQ$1006,0)))),"Fix")))</f>
        <v>0</v>
      </c>
      <c r="C396" s="4">
        <f>IF(OR(INDEX($V$2:$V$1001,MATCH(ROWS($U$2:U396),$U$2:$U$1001,0),1)&gt;=100000,INDEX($AB$1005:$AQ$1005,1,MATCH(COLUMNS($AB$1006:AC1006),$AB$1006:$AQ$1006,0))&gt;=100000), " ",IF(INDEX($AB$2:$AQ$1001,MATCH(ROWS($U$2:U396),$U$2:$U$1001,0),MATCH(COLUMNS($AB$1006:AC1006),$AB$1006:$AQ$1006,0)), HYPERLINK("#",""), HYPERLINK(CONCATENATE("#metadata!", ADDRESS(INDEX($W$2:$W$1001,MATCH(ROWS($U$2:U396),$U$2:$U$1001,0),0), INDEX($AB$1004:$AQ$1004,1,MATCH(COLUMNS($AB$1006:AC1006),$AB$1006:$AQ$1006,0)))),"Fix")))</f>
        <v>0</v>
      </c>
      <c r="D396" s="4">
        <f>IF(OR(INDEX($V$2:$V$1001,MATCH(ROWS($U$2:U396),$U$2:$U$1001,0),1)&gt;=100000,INDEX($AB$1005:$AQ$1005,1,MATCH(COLUMNS($AB$1006:AD1006),$AB$1006:$AQ$1006,0))&gt;=100000), " ",IF(INDEX($AB$2:$AQ$1001,MATCH(ROWS($U$2:U396),$U$2:$U$1001,0),MATCH(COLUMNS($AB$1006:AD1006),$AB$1006:$AQ$1006,0)), HYPERLINK("#",""), HYPERLINK(CONCATENATE("#metadata!", ADDRESS(INDEX($W$2:$W$1001,MATCH(ROWS($U$2:U396),$U$2:$U$1001,0),0), INDEX($AB$1004:$AQ$1004,1,MATCH(COLUMNS($AB$1006:AD1006),$AB$1006:$AQ$1006,0)))),"Fix")))</f>
        <v>0</v>
      </c>
      <c r="E396" s="4">
        <f>IF(OR(INDEX($V$2:$V$1001,MATCH(ROWS($U$2:U396),$U$2:$U$1001,0),1)&gt;=100000,INDEX($AB$1005:$AQ$1005,1,MATCH(COLUMNS($AB$1006:AE1006),$AB$1006:$AQ$1006,0))&gt;=100000), " ",IF(INDEX($AB$2:$AQ$1001,MATCH(ROWS($U$2:U396),$U$2:$U$1001,0),MATCH(COLUMNS($AB$1006:AE1006),$AB$1006:$AQ$1006,0)), HYPERLINK("#",""), HYPERLINK(CONCATENATE("#metadata!", ADDRESS(INDEX($W$2:$W$1001,MATCH(ROWS($U$2:U396),$U$2:$U$1001,0),0), INDEX($AB$1004:$AQ$1004,1,MATCH(COLUMNS($AB$1006:AE1006),$AB$1006:$AQ$1006,0)))),"Fix")))</f>
        <v>0</v>
      </c>
      <c r="F396" s="4">
        <f>IF(OR(INDEX($V$2:$V$1001,MATCH(ROWS($U$2:U396),$U$2:$U$1001,0),1)&gt;=100000,INDEX($AB$1005:$AQ$1005,1,MATCH(COLUMNS($AB$1006:AF1006),$AB$1006:$AQ$1006,0))&gt;=100000), " ",IF(INDEX($AB$2:$AQ$1001,MATCH(ROWS($U$2:U396),$U$2:$U$1001,0),MATCH(COLUMNS($AB$1006:AF1006),$AB$1006:$AQ$1006,0)), HYPERLINK("#",""), HYPERLINK(CONCATENATE("#metadata!", ADDRESS(INDEX($W$2:$W$1001,MATCH(ROWS($U$2:U396),$U$2:$U$1001,0),0), INDEX($AB$1004:$AQ$1004,1,MATCH(COLUMNS($AB$1006:AF1006),$AB$1006:$AQ$1006,0)))),"Fix")))</f>
        <v>0</v>
      </c>
      <c r="G396" s="4">
        <f>IF(OR(INDEX($V$2:$V$1001,MATCH(ROWS($U$2:U396),$U$2:$U$1001,0),1)&gt;=100000,INDEX($AB$1005:$AQ$1005,1,MATCH(COLUMNS($AB$1006:AG1006),$AB$1006:$AQ$1006,0))&gt;=100000), " ",IF(INDEX($AB$2:$AQ$1001,MATCH(ROWS($U$2:U396),$U$2:$U$1001,0),MATCH(COLUMNS($AB$1006:AG1006),$AB$1006:$AQ$1006,0)), HYPERLINK("#",""), HYPERLINK(CONCATENATE("#metadata!", ADDRESS(INDEX($W$2:$W$1001,MATCH(ROWS($U$2:U396),$U$2:$U$1001,0),0), INDEX($AB$1004:$AQ$1004,1,MATCH(COLUMNS($AB$1006:AG1006),$AB$1006:$AQ$1006,0)))),"Fix")))</f>
        <v>0</v>
      </c>
      <c r="H396" s="4">
        <f>IF(OR(INDEX($V$2:$V$1001,MATCH(ROWS($U$2:U396),$U$2:$U$1001,0),1)&gt;=100000,INDEX($AB$1005:$AQ$1005,1,MATCH(COLUMNS($AB$1006:AH1006),$AB$1006:$AQ$1006,0))&gt;=100000), " ",IF(INDEX($AB$2:$AQ$1001,MATCH(ROWS($U$2:U396),$U$2:$U$1001,0),MATCH(COLUMNS($AB$1006:AH1006),$AB$1006:$AQ$1006,0)), HYPERLINK("#",""), HYPERLINK(CONCATENATE("#metadata!", ADDRESS(INDEX($W$2:$W$1001,MATCH(ROWS($U$2:U396),$U$2:$U$1001,0),0), INDEX($AB$1004:$AQ$1004,1,MATCH(COLUMNS($AB$1006:AH1006),$AB$1006:$AQ$1006,0)))),"Fix")))</f>
        <v>0</v>
      </c>
      <c r="I396" s="4">
        <f>IF(OR(INDEX($V$2:$V$1001,MATCH(ROWS($U$2:U396),$U$2:$U$1001,0),1)&gt;=100000,INDEX($AB$1005:$AQ$1005,1,MATCH(COLUMNS($AB$1006:AI1006),$AB$1006:$AQ$1006,0))&gt;=100000), " ",IF(INDEX($AB$2:$AQ$1001,MATCH(ROWS($U$2:U396),$U$2:$U$1001,0),MATCH(COLUMNS($AB$1006:AI1006),$AB$1006:$AQ$1006,0)), HYPERLINK("#",""), HYPERLINK(CONCATENATE("#metadata!", ADDRESS(INDEX($W$2:$W$1001,MATCH(ROWS($U$2:U396),$U$2:$U$1001,0),0), INDEX($AB$1004:$AQ$1004,1,MATCH(COLUMNS($AB$1006:AI1006),$AB$1006:$AQ$1006,0)))),"Fix")))</f>
        <v>0</v>
      </c>
      <c r="J396" s="4">
        <f>IF(OR(INDEX($V$2:$V$1001,MATCH(ROWS($U$2:U396),$U$2:$U$1001,0),1)&gt;=100000,INDEX($AB$1005:$AQ$1005,1,MATCH(COLUMNS($AB$1006:AJ1006),$AB$1006:$AQ$1006,0))&gt;=100000), " ",IF(INDEX($AB$2:$AQ$1001,MATCH(ROWS($U$2:U396),$U$2:$U$1001,0),MATCH(COLUMNS($AB$1006:AJ1006),$AB$1006:$AQ$1006,0)), HYPERLINK("#",""), HYPERLINK(CONCATENATE("#metadata!", ADDRESS(INDEX($W$2:$W$1001,MATCH(ROWS($U$2:U396),$U$2:$U$1001,0),0), INDEX($AB$1004:$AQ$1004,1,MATCH(COLUMNS($AB$1006:AJ1006),$AB$1006:$AQ$1006,0)))),"Fix")))</f>
        <v>0</v>
      </c>
      <c r="K396" s="4">
        <f>IF(OR(INDEX($V$2:$V$1001,MATCH(ROWS($U$2:U396),$U$2:$U$1001,0),1)&gt;=100000,INDEX($AB$1005:$AQ$1005,1,MATCH(COLUMNS($AB$1006:AK1006),$AB$1006:$AQ$1006,0))&gt;=100000), " ",IF(INDEX($AB$2:$AQ$1001,MATCH(ROWS($U$2:U396),$U$2:$U$1001,0),MATCH(COLUMNS($AB$1006:AK1006),$AB$1006:$AQ$1006,0)), HYPERLINK("#",""), HYPERLINK(CONCATENATE("#metadata!", ADDRESS(INDEX($W$2:$W$1001,MATCH(ROWS($U$2:U396),$U$2:$U$1001,0),0), INDEX($AB$1004:$AQ$1004,1,MATCH(COLUMNS($AB$1006:AK1006),$AB$1006:$AQ$1006,0)))),"Fix")))</f>
        <v>0</v>
      </c>
      <c r="L396" s="4">
        <f>IF(OR(INDEX($V$2:$V$1001,MATCH(ROWS($U$2:U396),$U$2:$U$1001,0),1)&gt;=100000,INDEX($AB$1005:$AQ$1005,1,MATCH(COLUMNS($AB$1006:AL1006),$AB$1006:$AQ$1006,0))&gt;=100000), " ",IF(INDEX($AB$2:$AQ$1001,MATCH(ROWS($U$2:U396),$U$2:$U$1001,0),MATCH(COLUMNS($AB$1006:AL1006),$AB$1006:$AQ$1006,0)), HYPERLINK("#",""), HYPERLINK(CONCATENATE("#metadata!", ADDRESS(INDEX($W$2:$W$1001,MATCH(ROWS($U$2:U396),$U$2:$U$1001,0),0), INDEX($AB$1004:$AQ$1004,1,MATCH(COLUMNS($AB$1006:AL1006),$AB$1006:$AQ$1006,0)))),"Fix")))</f>
        <v>0</v>
      </c>
      <c r="M396" s="4">
        <f>IF(OR(INDEX($V$2:$V$1001,MATCH(ROWS($U$2:U396),$U$2:$U$1001,0),1)&gt;=100000,INDEX($AB$1005:$AQ$1005,1,MATCH(COLUMNS($AB$1006:AM1006),$AB$1006:$AQ$1006,0))&gt;=100000), " ",IF(INDEX($AB$2:$AQ$1001,MATCH(ROWS($U$2:U396),$U$2:$U$1001,0),MATCH(COLUMNS($AB$1006:AM1006),$AB$1006:$AQ$1006,0)), HYPERLINK("#",""), HYPERLINK(CONCATENATE("#metadata!", ADDRESS(INDEX($W$2:$W$1001,MATCH(ROWS($U$2:U396),$U$2:$U$1001,0),0), INDEX($AB$1004:$AQ$1004,1,MATCH(COLUMNS($AB$1006:AM1006),$AB$1006:$AQ$1006,0)))),"Fix")))</f>
        <v>0</v>
      </c>
      <c r="N396" s="4">
        <f>IF(OR(INDEX($V$2:$V$1001,MATCH(ROWS($U$2:U396),$U$2:$U$1001,0),1)&gt;=100000,INDEX($AB$1005:$AQ$1005,1,MATCH(COLUMNS($AB$1006:AN1006),$AB$1006:$AQ$1006,0))&gt;=100000), " ",IF(INDEX($AB$2:$AQ$1001,MATCH(ROWS($U$2:U396),$U$2:$U$1001,0),MATCH(COLUMNS($AB$1006:AN1006),$AB$1006:$AQ$1006,0)), HYPERLINK("#",""), HYPERLINK(CONCATENATE("#metadata!", ADDRESS(INDEX($W$2:$W$1001,MATCH(ROWS($U$2:U396),$U$2:$U$1001,0),0), INDEX($AB$1004:$AQ$1004,1,MATCH(COLUMNS($AB$1006:AN1006),$AB$1006:$AQ$1006,0)))),"Fix")))</f>
        <v>0</v>
      </c>
      <c r="O396" s="4">
        <f>IF(OR(INDEX($V$2:$V$1001,MATCH(ROWS($U$2:U396),$U$2:$U$1001,0),1)&gt;=100000,INDEX($AB$1005:$AQ$1005,1,MATCH(COLUMNS($AB$1006:AO1006),$AB$1006:$AQ$1006,0))&gt;=100000), " ",IF(INDEX($AB$2:$AQ$1001,MATCH(ROWS($U$2:U396),$U$2:$U$1001,0),MATCH(COLUMNS($AB$1006:AO1006),$AB$1006:$AQ$1006,0)), HYPERLINK("#",""), HYPERLINK(CONCATENATE("#metadata!", ADDRESS(INDEX($W$2:$W$1001,MATCH(ROWS($U$2:U396),$U$2:$U$1001,0),0), INDEX($AB$1004:$AQ$1004,1,MATCH(COLUMNS($AB$1006:AO1006),$AB$1006:$AQ$1006,0)))),"Fix")))</f>
        <v>0</v>
      </c>
      <c r="P396" s="4">
        <f>IF(OR(INDEX($V$2:$V$1001,MATCH(ROWS($U$2:U396),$U$2:$U$1001,0),1)&gt;=100000,INDEX($AB$1005:$AQ$1005,1,MATCH(COLUMNS($AB$1006:AP1006),$AB$1006:$AQ$1006,0))&gt;=100000), " ",IF(INDEX($AB$2:$AQ$1001,MATCH(ROWS($U$2:U396),$U$2:$U$1001,0),MATCH(COLUMNS($AB$1006:AP1006),$AB$1006:$AQ$1006,0)), HYPERLINK("#",""), HYPERLINK(CONCATENATE("#metadata!", ADDRESS(INDEX($W$2:$W$1001,MATCH(ROWS($U$2:U396),$U$2:$U$1001,0),0), INDEX($AB$1004:$AQ$1004,1,MATCH(COLUMNS($AB$1006:AP1006),$AB$1006:$AQ$1006,0)))),"Fix")))</f>
        <v>0</v>
      </c>
      <c r="Q396" s="4">
        <f>IF(OR(INDEX($V$2:$V$1001,MATCH(ROWS($U$2:U396),$U$2:$U$1001,0),1)&gt;=100000,INDEX($AB$1005:$AQ$1005,1,MATCH(COLUMNS($AB$1006:AQ1006),$AB$1006:$AQ$1006,0))&gt;=100000), " ",IF(INDEX($AB$2:$AQ$1001,MATCH(ROWS($U$2:U396),$U$2:$U$1001,0),MATCH(COLUMNS($AB$1006:AQ1006),$AB$1006:$AQ$1006,0)), HYPERLINK("#",""), HYPERLINK(CONCATENATE("#metadata!", ADDRESS(INDEX($W$2:$W$1001,MATCH(ROWS($U$2:U396),$U$2:$U$1001,0),0), INDEX($AB$1004:$AQ$1004,1,MATCH(COLUMNS($AB$1006:AQ1006),$AB$1006:$AQ$1006,0)))),"Fix")))</f>
        <v>0</v>
      </c>
      <c r="U396">
        <v>0</v>
      </c>
      <c r="V396">
        <v>0</v>
      </c>
      <c r="W396">
        <v>0</v>
      </c>
      <c r="X396">
        <f>IF(Y396,TRUE,AND(AB396:AQ396))</f>
        <v>0</v>
      </c>
      <c r="Y396">
        <f>COUNTBLANK(metadata!B396:Q396)=COLUMNS(metadata!B396:Q396)</f>
        <v>0</v>
      </c>
      <c r="Z396">
        <v>0</v>
      </c>
      <c r="AB396">
        <f>AND(IF(metadata!B396="",FALSE,TRUE),COUNTIF(metadata!B:B, metadata!B396) = 1,NOT(ISERROR(SUMPRODUCT(SEARCH(MID(metadata!B396,ROW(INDIRECT("1:"&amp;LEN(metadata!B396))), 1),"0123456789abcdefghijklmnopqrstuvwxyzABCDEFGHIJKLMNOPQRSTUVWXYZ.")))))</f>
        <v>0</v>
      </c>
      <c r="AC396">
        <f>OR(AND(IF(metadata!C396="",FALSE,TRUE),OR(exact(metadata!C396,"missing: not collected"),exact(metadata!C396,"missing: not provided"),exact(metadata!C396,"missing: restricted access"))),AND(IF(metadata!C396="",FALSE,TRUE),AND(AND(IFERROR(INT(LEFT(metadata!C396,4))&gt;1900,FALSE),IFERROR(INT(LEFT(metadata!C396,4))&lt;=YEAR(NOW()),FALSE)), OR(MID(metadata!C396,5,1)="", AND(AND(MID(metadata!C396,5,1)="-",IFERROR(INT(MID(metadata!C396,6,1))&gt;=0,FALSE),IFERROR(INT(MID(metadata!C396,6,1))&lt;=1,FALSE),NOT(MID(metadata!C396,7,1)=""),IFERROR(INT(MID(metadata!C396,6,2))&gt;=1,FALSE),IFERROR(INT(MID(metadata!C396,6,2))&lt;=12,FALSE)), OR(MID(metadata!C396,8,1)="", AND(AND(MID(metadata!C396,8,1)="-",IFERROR(INT(MID(metadata!C396,9,1))&gt;=0,FALSE),IFERROR(INT(MID(metadata!C396,9,1))&lt;=3,FALSE),NOT(MID(metadata!C396,10,1)=""),IFERROR(INT(MID(metadata!C396,9,2))&gt;=1,FALSE),IFERROR(INT(MID(metadata!C396,9,2))&lt;=31,FALSE)), OR(MID(metadata!C396,11,1)="", AND(AND(MID(metadata!C396,11,1)=" ",IFERROR(INT(MID(metadata!C396,12,1))&gt;=0,FALSE),IFERROR(INT(MID(metadata!C396,12,1))&lt;=2,FALSE),NOT(MID(metadata!C396,13,1)=""),IFERROR(INT(MID(metadata!C396,12,2))&gt;=0,FALSE),IFERROR(INT(MID(metadata!C396,12,2))&lt;=23,FALSE)), OR(MID(metadata!C396,14,1)="", AND(AND(MID(metadata!C396,14,1)=":",IFERROR(INT(MID(metadata!C396,15,1))&gt;=0,FALSE),IFERROR(INT(MID(metadata!C396,15,1))&lt;=5,FALSE),NOT(MID(metadata!C396,16,1)=""),IFERROR(INT(MID(metadata!C396,15,2))&gt;=0,FALSE),IFERROR(INT(MID(metadata!C396,15,2))&lt;=59,FALSE)), OR(MID(metadata!C396,17,1)="", AND(AND(MID(metadata!C396,17,1)=":",IFERROR(INT(MID(metadata!C396,18,1))&gt;=0,FALSE),IFERROR(INT(MID(metadata!C396,18,1))&lt;=5,FALSE),NOT(MID(metadata!C396,19,1)=""),IFERROR(INT(MID(metadata!C396,18,2))&gt;=0,FALSE),IFERROR(INT(MID(metadata!C396,18,2))&lt;=59,FALSE)), LEN(metadata!C396)&lt;=19)))))))))))))</f>
        <v>0</v>
      </c>
      <c r="AD396">
        <f>IF(metadata!D396="",FALSE,TRUE)</f>
        <v>0</v>
      </c>
      <c r="AE396">
        <f>OR(AND(IF(metadata!E396="",FALSE,TRUE),OR(exact(metadata!E396,"missing: not collected"),exact(metadata!E396,"missing: not provided"))),AND(IF(metadata!E396="",FALSE,TRUE),OR(exact(metadata!E396,"TRUE"),exact(metadata!E396,"FALSE"))))</f>
        <v>0</v>
      </c>
      <c r="AF396">
        <f>IF(metadata!F396="",FALSE,TRUE)</f>
        <v>0</v>
      </c>
      <c r="AG396">
        <f>IF(metadata!G396="",FALSE,TRUE)</f>
        <v>0</v>
      </c>
      <c r="AH396">
        <f>IF(metadata!H396="",FALSE,TRUE)</f>
        <v>0</v>
      </c>
      <c r="AI396">
        <f>OR(AND(IF(metadata!I396="",FALSE,TRUE),OR(exact(metadata!I396,"missing: not collected"),exact(metadata!I396,"missing: not provided"),exact(metadata!I396,"missing: restricted access"))),AND(IF(metadata!I396="",FALSE,TRUE),OR(exact(metadata!I396,"air"),exact(metadata!I396,"built environment"),exact(metadata!I396,"host-associated"),exact(metadata!I396,"human-associated"),exact(metadata!I396,"human-skin"),exact(metadata!I396,"human-oral"),exact(metadata!I396,"human-gut"),exact(metadata!I396,"human-vaginal"),exact(metadata!I396,"microbial mat/biofilm"),exact(metadata!I396,"misc environment"),exact(metadata!I396,"plant-associated"),exact(metadata!I396,"sediment"),exact(metadata!I396,"soil"),exact(metadata!I396,"wastewater/sludge"),exact(metadata!I396,"water"))))</f>
        <v>0</v>
      </c>
      <c r="AJ396">
        <f>IF(metadata!J396="",FALSE,TRUE)</f>
        <v>0</v>
      </c>
      <c r="AK396">
        <f>OR(AND(IF(metadata!K396="",FALSE,TRUE),OR(exact(metadata!K396,"missing: not collected"),exact(metadata!K396,"missing: not provided"),exact(metadata!K396,"missing: restricted access"))),AND(IF(metadata!K396="",FALSE,ISNUMBER(VALUE(metadata!K396))),metadata!K396&gt;=-90.00,metadata!K396&lt;=90.00))</f>
        <v>0</v>
      </c>
      <c r="AL396">
        <f>OR(AND(IF(metadata!L396="",FALSE,TRUE),OR(exact(metadata!L396,"missing: not collected"),exact(metadata!L396,"missing: not provided"),exact(metadata!L396,"missing: restricted access"))),AND(IF(metadata!L396="",FALSE,ISNUMBER(VALUE(metadata!L396))),metadata!L396&gt;=-180.00,metadata!L396&lt;=180.00))</f>
        <v>0</v>
      </c>
      <c r="AM396">
        <f>IF(metadata!M396="",FALSE,TRUE)</f>
        <v>0</v>
      </c>
      <c r="AN396">
        <f>OR(AND(IF(metadata!N396="",FALSE,TRUE),OR(exact(metadata!N396,"missing: not collected"),exact(metadata!N396,"missing: not provided"),exact(metadata!N396,"missing: restricted access"))),AND(IF(metadata!N396="",FALSE,TRUE),OR(exact(metadata!N396,"TRUE"),exact(metadata!N396,"FALSE"))))</f>
        <v>0</v>
      </c>
      <c r="AO396">
        <f>IF(metadata!O396="",FALSE,TRUE)</f>
        <v>0</v>
      </c>
      <c r="AP396">
        <f>OR(AND(IF(metadata!P396="",FALSE,TRUE),OR(exact(metadata!P396,"missing: not collected"),exact(metadata!P396,"missing: not provided"))),AND(IF(metadata!P396="",FALSE,IF(ISERROR(INT(metadata!P396)),FALSE,INT(metadata!P396)=metadata!P396)),metadata!P396&gt;0))</f>
        <v>0</v>
      </c>
      <c r="AQ396">
        <f>IF(metadata!Q396="",FALSE,TRUE)</f>
        <v>0</v>
      </c>
    </row>
    <row r="397" spans="1:43">
      <c r="A397" s="5">
        <f>IF(B397=" "," ",HYPERLINK(CONCATENATE("#metadata!",ADDRESS(INDEX($W$2:$W$1001,MATCH(ROWS($U$2:U397),$U$2:$U$1001,0),0),1)),INDEX($Z$2:$Z$1001,MATCH(ROWS($U$2:U397),$U$2:$U$1001,0),0)))</f>
        <v>0</v>
      </c>
      <c r="B397" s="4">
        <f>IF(OR(INDEX($V$2:$V$1001,MATCH(ROWS($U$2:U397),$U$2:$U$1001,0),1)&gt;=100000,INDEX($AB$1005:$AQ$1005,1,MATCH(COLUMNS($AB$1006:AB1006),$AB$1006:$AQ$1006,0))&gt;=100000), " ",IF(INDEX($AB$2:$AQ$1001,MATCH(ROWS($U$2:U397),$U$2:$U$1001,0),MATCH(COLUMNS($AB$1006:AB1006),$AB$1006:$AQ$1006,0)), HYPERLINK("#",""), HYPERLINK(CONCATENATE("#metadata!", ADDRESS(INDEX($W$2:$W$1001,MATCH(ROWS($U$2:U397),$U$2:$U$1001,0),0), INDEX($AB$1004:$AQ$1004,1,MATCH(COLUMNS($AB$1006:AB1006),$AB$1006:$AQ$1006,0)))),"Fix")))</f>
        <v>0</v>
      </c>
      <c r="C397" s="4">
        <f>IF(OR(INDEX($V$2:$V$1001,MATCH(ROWS($U$2:U397),$U$2:$U$1001,0),1)&gt;=100000,INDEX($AB$1005:$AQ$1005,1,MATCH(COLUMNS($AB$1006:AC1006),$AB$1006:$AQ$1006,0))&gt;=100000), " ",IF(INDEX($AB$2:$AQ$1001,MATCH(ROWS($U$2:U397),$U$2:$U$1001,0),MATCH(COLUMNS($AB$1006:AC1006),$AB$1006:$AQ$1006,0)), HYPERLINK("#",""), HYPERLINK(CONCATENATE("#metadata!", ADDRESS(INDEX($W$2:$W$1001,MATCH(ROWS($U$2:U397),$U$2:$U$1001,0),0), INDEX($AB$1004:$AQ$1004,1,MATCH(COLUMNS($AB$1006:AC1006),$AB$1006:$AQ$1006,0)))),"Fix")))</f>
        <v>0</v>
      </c>
      <c r="D397" s="4">
        <f>IF(OR(INDEX($V$2:$V$1001,MATCH(ROWS($U$2:U397),$U$2:$U$1001,0),1)&gt;=100000,INDEX($AB$1005:$AQ$1005,1,MATCH(COLUMNS($AB$1006:AD1006),$AB$1006:$AQ$1006,0))&gt;=100000), " ",IF(INDEX($AB$2:$AQ$1001,MATCH(ROWS($U$2:U397),$U$2:$U$1001,0),MATCH(COLUMNS($AB$1006:AD1006),$AB$1006:$AQ$1006,0)), HYPERLINK("#",""), HYPERLINK(CONCATENATE("#metadata!", ADDRESS(INDEX($W$2:$W$1001,MATCH(ROWS($U$2:U397),$U$2:$U$1001,0),0), INDEX($AB$1004:$AQ$1004,1,MATCH(COLUMNS($AB$1006:AD1006),$AB$1006:$AQ$1006,0)))),"Fix")))</f>
        <v>0</v>
      </c>
      <c r="E397" s="4">
        <f>IF(OR(INDEX($V$2:$V$1001,MATCH(ROWS($U$2:U397),$U$2:$U$1001,0),1)&gt;=100000,INDEX($AB$1005:$AQ$1005,1,MATCH(COLUMNS($AB$1006:AE1006),$AB$1006:$AQ$1006,0))&gt;=100000), " ",IF(INDEX($AB$2:$AQ$1001,MATCH(ROWS($U$2:U397),$U$2:$U$1001,0),MATCH(COLUMNS($AB$1006:AE1006),$AB$1006:$AQ$1006,0)), HYPERLINK("#",""), HYPERLINK(CONCATENATE("#metadata!", ADDRESS(INDEX($W$2:$W$1001,MATCH(ROWS($U$2:U397),$U$2:$U$1001,0),0), INDEX($AB$1004:$AQ$1004,1,MATCH(COLUMNS($AB$1006:AE1006),$AB$1006:$AQ$1006,0)))),"Fix")))</f>
        <v>0</v>
      </c>
      <c r="F397" s="4">
        <f>IF(OR(INDEX($V$2:$V$1001,MATCH(ROWS($U$2:U397),$U$2:$U$1001,0),1)&gt;=100000,INDEX($AB$1005:$AQ$1005,1,MATCH(COLUMNS($AB$1006:AF1006),$AB$1006:$AQ$1006,0))&gt;=100000), " ",IF(INDEX($AB$2:$AQ$1001,MATCH(ROWS($U$2:U397),$U$2:$U$1001,0),MATCH(COLUMNS($AB$1006:AF1006),$AB$1006:$AQ$1006,0)), HYPERLINK("#",""), HYPERLINK(CONCATENATE("#metadata!", ADDRESS(INDEX($W$2:$W$1001,MATCH(ROWS($U$2:U397),$U$2:$U$1001,0),0), INDEX($AB$1004:$AQ$1004,1,MATCH(COLUMNS($AB$1006:AF1006),$AB$1006:$AQ$1006,0)))),"Fix")))</f>
        <v>0</v>
      </c>
      <c r="G397" s="4">
        <f>IF(OR(INDEX($V$2:$V$1001,MATCH(ROWS($U$2:U397),$U$2:$U$1001,0),1)&gt;=100000,INDEX($AB$1005:$AQ$1005,1,MATCH(COLUMNS($AB$1006:AG1006),$AB$1006:$AQ$1006,0))&gt;=100000), " ",IF(INDEX($AB$2:$AQ$1001,MATCH(ROWS($U$2:U397),$U$2:$U$1001,0),MATCH(COLUMNS($AB$1006:AG1006),$AB$1006:$AQ$1006,0)), HYPERLINK("#",""), HYPERLINK(CONCATENATE("#metadata!", ADDRESS(INDEX($W$2:$W$1001,MATCH(ROWS($U$2:U397),$U$2:$U$1001,0),0), INDEX($AB$1004:$AQ$1004,1,MATCH(COLUMNS($AB$1006:AG1006),$AB$1006:$AQ$1006,0)))),"Fix")))</f>
        <v>0</v>
      </c>
      <c r="H397" s="4">
        <f>IF(OR(INDEX($V$2:$V$1001,MATCH(ROWS($U$2:U397),$U$2:$U$1001,0),1)&gt;=100000,INDEX($AB$1005:$AQ$1005,1,MATCH(COLUMNS($AB$1006:AH1006),$AB$1006:$AQ$1006,0))&gt;=100000), " ",IF(INDEX($AB$2:$AQ$1001,MATCH(ROWS($U$2:U397),$U$2:$U$1001,0),MATCH(COLUMNS($AB$1006:AH1006),$AB$1006:$AQ$1006,0)), HYPERLINK("#",""), HYPERLINK(CONCATENATE("#metadata!", ADDRESS(INDEX($W$2:$W$1001,MATCH(ROWS($U$2:U397),$U$2:$U$1001,0),0), INDEX($AB$1004:$AQ$1004,1,MATCH(COLUMNS($AB$1006:AH1006),$AB$1006:$AQ$1006,0)))),"Fix")))</f>
        <v>0</v>
      </c>
      <c r="I397" s="4">
        <f>IF(OR(INDEX($V$2:$V$1001,MATCH(ROWS($U$2:U397),$U$2:$U$1001,0),1)&gt;=100000,INDEX($AB$1005:$AQ$1005,1,MATCH(COLUMNS($AB$1006:AI1006),$AB$1006:$AQ$1006,0))&gt;=100000), " ",IF(INDEX($AB$2:$AQ$1001,MATCH(ROWS($U$2:U397),$U$2:$U$1001,0),MATCH(COLUMNS($AB$1006:AI1006),$AB$1006:$AQ$1006,0)), HYPERLINK("#",""), HYPERLINK(CONCATENATE("#metadata!", ADDRESS(INDEX($W$2:$W$1001,MATCH(ROWS($U$2:U397),$U$2:$U$1001,0),0), INDEX($AB$1004:$AQ$1004,1,MATCH(COLUMNS($AB$1006:AI1006),$AB$1006:$AQ$1006,0)))),"Fix")))</f>
        <v>0</v>
      </c>
      <c r="J397" s="4">
        <f>IF(OR(INDEX($V$2:$V$1001,MATCH(ROWS($U$2:U397),$U$2:$U$1001,0),1)&gt;=100000,INDEX($AB$1005:$AQ$1005,1,MATCH(COLUMNS($AB$1006:AJ1006),$AB$1006:$AQ$1006,0))&gt;=100000), " ",IF(INDEX($AB$2:$AQ$1001,MATCH(ROWS($U$2:U397),$U$2:$U$1001,0),MATCH(COLUMNS($AB$1006:AJ1006),$AB$1006:$AQ$1006,0)), HYPERLINK("#",""), HYPERLINK(CONCATENATE("#metadata!", ADDRESS(INDEX($W$2:$W$1001,MATCH(ROWS($U$2:U397),$U$2:$U$1001,0),0), INDEX($AB$1004:$AQ$1004,1,MATCH(COLUMNS($AB$1006:AJ1006),$AB$1006:$AQ$1006,0)))),"Fix")))</f>
        <v>0</v>
      </c>
      <c r="K397" s="4">
        <f>IF(OR(INDEX($V$2:$V$1001,MATCH(ROWS($U$2:U397),$U$2:$U$1001,0),1)&gt;=100000,INDEX($AB$1005:$AQ$1005,1,MATCH(COLUMNS($AB$1006:AK1006),$AB$1006:$AQ$1006,0))&gt;=100000), " ",IF(INDEX($AB$2:$AQ$1001,MATCH(ROWS($U$2:U397),$U$2:$U$1001,0),MATCH(COLUMNS($AB$1006:AK1006),$AB$1006:$AQ$1006,0)), HYPERLINK("#",""), HYPERLINK(CONCATENATE("#metadata!", ADDRESS(INDEX($W$2:$W$1001,MATCH(ROWS($U$2:U397),$U$2:$U$1001,0),0), INDEX($AB$1004:$AQ$1004,1,MATCH(COLUMNS($AB$1006:AK1006),$AB$1006:$AQ$1006,0)))),"Fix")))</f>
        <v>0</v>
      </c>
      <c r="L397" s="4">
        <f>IF(OR(INDEX($V$2:$V$1001,MATCH(ROWS($U$2:U397),$U$2:$U$1001,0),1)&gt;=100000,INDEX($AB$1005:$AQ$1005,1,MATCH(COLUMNS($AB$1006:AL1006),$AB$1006:$AQ$1006,0))&gt;=100000), " ",IF(INDEX($AB$2:$AQ$1001,MATCH(ROWS($U$2:U397),$U$2:$U$1001,0),MATCH(COLUMNS($AB$1006:AL1006),$AB$1006:$AQ$1006,0)), HYPERLINK("#",""), HYPERLINK(CONCATENATE("#metadata!", ADDRESS(INDEX($W$2:$W$1001,MATCH(ROWS($U$2:U397),$U$2:$U$1001,0),0), INDEX($AB$1004:$AQ$1004,1,MATCH(COLUMNS($AB$1006:AL1006),$AB$1006:$AQ$1006,0)))),"Fix")))</f>
        <v>0</v>
      </c>
      <c r="M397" s="4">
        <f>IF(OR(INDEX($V$2:$V$1001,MATCH(ROWS($U$2:U397),$U$2:$U$1001,0),1)&gt;=100000,INDEX($AB$1005:$AQ$1005,1,MATCH(COLUMNS($AB$1006:AM1006),$AB$1006:$AQ$1006,0))&gt;=100000), " ",IF(INDEX($AB$2:$AQ$1001,MATCH(ROWS($U$2:U397),$U$2:$U$1001,0),MATCH(COLUMNS($AB$1006:AM1006),$AB$1006:$AQ$1006,0)), HYPERLINK("#",""), HYPERLINK(CONCATENATE("#metadata!", ADDRESS(INDEX($W$2:$W$1001,MATCH(ROWS($U$2:U397),$U$2:$U$1001,0),0), INDEX($AB$1004:$AQ$1004,1,MATCH(COLUMNS($AB$1006:AM1006),$AB$1006:$AQ$1006,0)))),"Fix")))</f>
        <v>0</v>
      </c>
      <c r="N397" s="4">
        <f>IF(OR(INDEX($V$2:$V$1001,MATCH(ROWS($U$2:U397),$U$2:$U$1001,0),1)&gt;=100000,INDEX($AB$1005:$AQ$1005,1,MATCH(COLUMNS($AB$1006:AN1006),$AB$1006:$AQ$1006,0))&gt;=100000), " ",IF(INDEX($AB$2:$AQ$1001,MATCH(ROWS($U$2:U397),$U$2:$U$1001,0),MATCH(COLUMNS($AB$1006:AN1006),$AB$1006:$AQ$1006,0)), HYPERLINK("#",""), HYPERLINK(CONCATENATE("#metadata!", ADDRESS(INDEX($W$2:$W$1001,MATCH(ROWS($U$2:U397),$U$2:$U$1001,0),0), INDEX($AB$1004:$AQ$1004,1,MATCH(COLUMNS($AB$1006:AN1006),$AB$1006:$AQ$1006,0)))),"Fix")))</f>
        <v>0</v>
      </c>
      <c r="O397" s="4">
        <f>IF(OR(INDEX($V$2:$V$1001,MATCH(ROWS($U$2:U397),$U$2:$U$1001,0),1)&gt;=100000,INDEX($AB$1005:$AQ$1005,1,MATCH(COLUMNS($AB$1006:AO1006),$AB$1006:$AQ$1006,0))&gt;=100000), " ",IF(INDEX($AB$2:$AQ$1001,MATCH(ROWS($U$2:U397),$U$2:$U$1001,0),MATCH(COLUMNS($AB$1006:AO1006),$AB$1006:$AQ$1006,0)), HYPERLINK("#",""), HYPERLINK(CONCATENATE("#metadata!", ADDRESS(INDEX($W$2:$W$1001,MATCH(ROWS($U$2:U397),$U$2:$U$1001,0),0), INDEX($AB$1004:$AQ$1004,1,MATCH(COLUMNS($AB$1006:AO1006),$AB$1006:$AQ$1006,0)))),"Fix")))</f>
        <v>0</v>
      </c>
      <c r="P397" s="4">
        <f>IF(OR(INDEX($V$2:$V$1001,MATCH(ROWS($U$2:U397),$U$2:$U$1001,0),1)&gt;=100000,INDEX($AB$1005:$AQ$1005,1,MATCH(COLUMNS($AB$1006:AP1006),$AB$1006:$AQ$1006,0))&gt;=100000), " ",IF(INDEX($AB$2:$AQ$1001,MATCH(ROWS($U$2:U397),$U$2:$U$1001,0),MATCH(COLUMNS($AB$1006:AP1006),$AB$1006:$AQ$1006,0)), HYPERLINK("#",""), HYPERLINK(CONCATENATE("#metadata!", ADDRESS(INDEX($W$2:$W$1001,MATCH(ROWS($U$2:U397),$U$2:$U$1001,0),0), INDEX($AB$1004:$AQ$1004,1,MATCH(COLUMNS($AB$1006:AP1006),$AB$1006:$AQ$1006,0)))),"Fix")))</f>
        <v>0</v>
      </c>
      <c r="Q397" s="4">
        <f>IF(OR(INDEX($V$2:$V$1001,MATCH(ROWS($U$2:U397),$U$2:$U$1001,0),1)&gt;=100000,INDEX($AB$1005:$AQ$1005,1,MATCH(COLUMNS($AB$1006:AQ1006),$AB$1006:$AQ$1006,0))&gt;=100000), " ",IF(INDEX($AB$2:$AQ$1001,MATCH(ROWS($U$2:U397),$U$2:$U$1001,0),MATCH(COLUMNS($AB$1006:AQ1006),$AB$1006:$AQ$1006,0)), HYPERLINK("#",""), HYPERLINK(CONCATENATE("#metadata!", ADDRESS(INDEX($W$2:$W$1001,MATCH(ROWS($U$2:U397),$U$2:$U$1001,0),0), INDEX($AB$1004:$AQ$1004,1,MATCH(COLUMNS($AB$1006:AQ1006),$AB$1006:$AQ$1006,0)))),"Fix")))</f>
        <v>0</v>
      </c>
      <c r="U397">
        <v>0</v>
      </c>
      <c r="V397">
        <v>0</v>
      </c>
      <c r="W397">
        <v>0</v>
      </c>
      <c r="X397">
        <f>IF(Y397,TRUE,AND(AB397:AQ397))</f>
        <v>0</v>
      </c>
      <c r="Y397">
        <f>COUNTBLANK(metadata!B397:Q397)=COLUMNS(metadata!B397:Q397)</f>
        <v>0</v>
      </c>
      <c r="Z397">
        <v>0</v>
      </c>
      <c r="AB397">
        <f>AND(IF(metadata!B397="",FALSE,TRUE),COUNTIF(metadata!B:B, metadata!B397) = 1,NOT(ISERROR(SUMPRODUCT(SEARCH(MID(metadata!B397,ROW(INDIRECT("1:"&amp;LEN(metadata!B397))), 1),"0123456789abcdefghijklmnopqrstuvwxyzABCDEFGHIJKLMNOPQRSTUVWXYZ.")))))</f>
        <v>0</v>
      </c>
      <c r="AC397">
        <f>OR(AND(IF(metadata!C397="",FALSE,TRUE),OR(exact(metadata!C397,"missing: not collected"),exact(metadata!C397,"missing: not provided"),exact(metadata!C397,"missing: restricted access"))),AND(IF(metadata!C397="",FALSE,TRUE),AND(AND(IFERROR(INT(LEFT(metadata!C397,4))&gt;1900,FALSE),IFERROR(INT(LEFT(metadata!C397,4))&lt;=YEAR(NOW()),FALSE)), OR(MID(metadata!C397,5,1)="", AND(AND(MID(metadata!C397,5,1)="-",IFERROR(INT(MID(metadata!C397,6,1))&gt;=0,FALSE),IFERROR(INT(MID(metadata!C397,6,1))&lt;=1,FALSE),NOT(MID(metadata!C397,7,1)=""),IFERROR(INT(MID(metadata!C397,6,2))&gt;=1,FALSE),IFERROR(INT(MID(metadata!C397,6,2))&lt;=12,FALSE)), OR(MID(metadata!C397,8,1)="", AND(AND(MID(metadata!C397,8,1)="-",IFERROR(INT(MID(metadata!C397,9,1))&gt;=0,FALSE),IFERROR(INT(MID(metadata!C397,9,1))&lt;=3,FALSE),NOT(MID(metadata!C397,10,1)=""),IFERROR(INT(MID(metadata!C397,9,2))&gt;=1,FALSE),IFERROR(INT(MID(metadata!C397,9,2))&lt;=31,FALSE)), OR(MID(metadata!C397,11,1)="", AND(AND(MID(metadata!C397,11,1)=" ",IFERROR(INT(MID(metadata!C397,12,1))&gt;=0,FALSE),IFERROR(INT(MID(metadata!C397,12,1))&lt;=2,FALSE),NOT(MID(metadata!C397,13,1)=""),IFERROR(INT(MID(metadata!C397,12,2))&gt;=0,FALSE),IFERROR(INT(MID(metadata!C397,12,2))&lt;=23,FALSE)), OR(MID(metadata!C397,14,1)="", AND(AND(MID(metadata!C397,14,1)=":",IFERROR(INT(MID(metadata!C397,15,1))&gt;=0,FALSE),IFERROR(INT(MID(metadata!C397,15,1))&lt;=5,FALSE),NOT(MID(metadata!C397,16,1)=""),IFERROR(INT(MID(metadata!C397,15,2))&gt;=0,FALSE),IFERROR(INT(MID(metadata!C397,15,2))&lt;=59,FALSE)), OR(MID(metadata!C397,17,1)="", AND(AND(MID(metadata!C397,17,1)=":",IFERROR(INT(MID(metadata!C397,18,1))&gt;=0,FALSE),IFERROR(INT(MID(metadata!C397,18,1))&lt;=5,FALSE),NOT(MID(metadata!C397,19,1)=""),IFERROR(INT(MID(metadata!C397,18,2))&gt;=0,FALSE),IFERROR(INT(MID(metadata!C397,18,2))&lt;=59,FALSE)), LEN(metadata!C397)&lt;=19)))))))))))))</f>
        <v>0</v>
      </c>
      <c r="AD397">
        <f>IF(metadata!D397="",FALSE,TRUE)</f>
        <v>0</v>
      </c>
      <c r="AE397">
        <f>OR(AND(IF(metadata!E397="",FALSE,TRUE),OR(exact(metadata!E397,"missing: not collected"),exact(metadata!E397,"missing: not provided"))),AND(IF(metadata!E397="",FALSE,TRUE),OR(exact(metadata!E397,"TRUE"),exact(metadata!E397,"FALSE"))))</f>
        <v>0</v>
      </c>
      <c r="AF397">
        <f>IF(metadata!F397="",FALSE,TRUE)</f>
        <v>0</v>
      </c>
      <c r="AG397">
        <f>IF(metadata!G397="",FALSE,TRUE)</f>
        <v>0</v>
      </c>
      <c r="AH397">
        <f>IF(metadata!H397="",FALSE,TRUE)</f>
        <v>0</v>
      </c>
      <c r="AI397">
        <f>OR(AND(IF(metadata!I397="",FALSE,TRUE),OR(exact(metadata!I397,"missing: not collected"),exact(metadata!I397,"missing: not provided"),exact(metadata!I397,"missing: restricted access"))),AND(IF(metadata!I397="",FALSE,TRUE),OR(exact(metadata!I397,"air"),exact(metadata!I397,"built environment"),exact(metadata!I397,"host-associated"),exact(metadata!I397,"human-associated"),exact(metadata!I397,"human-skin"),exact(metadata!I397,"human-oral"),exact(metadata!I397,"human-gut"),exact(metadata!I397,"human-vaginal"),exact(metadata!I397,"microbial mat/biofilm"),exact(metadata!I397,"misc environment"),exact(metadata!I397,"plant-associated"),exact(metadata!I397,"sediment"),exact(metadata!I397,"soil"),exact(metadata!I397,"wastewater/sludge"),exact(metadata!I397,"water"))))</f>
        <v>0</v>
      </c>
      <c r="AJ397">
        <f>IF(metadata!J397="",FALSE,TRUE)</f>
        <v>0</v>
      </c>
      <c r="AK397">
        <f>OR(AND(IF(metadata!K397="",FALSE,TRUE),OR(exact(metadata!K397,"missing: not collected"),exact(metadata!K397,"missing: not provided"),exact(metadata!K397,"missing: restricted access"))),AND(IF(metadata!K397="",FALSE,ISNUMBER(VALUE(metadata!K397))),metadata!K397&gt;=-90.00,metadata!K397&lt;=90.00))</f>
        <v>0</v>
      </c>
      <c r="AL397">
        <f>OR(AND(IF(metadata!L397="",FALSE,TRUE),OR(exact(metadata!L397,"missing: not collected"),exact(metadata!L397,"missing: not provided"),exact(metadata!L397,"missing: restricted access"))),AND(IF(metadata!L397="",FALSE,ISNUMBER(VALUE(metadata!L397))),metadata!L397&gt;=-180.00,metadata!L397&lt;=180.00))</f>
        <v>0</v>
      </c>
      <c r="AM397">
        <f>IF(metadata!M397="",FALSE,TRUE)</f>
        <v>0</v>
      </c>
      <c r="AN397">
        <f>OR(AND(IF(metadata!N397="",FALSE,TRUE),OR(exact(metadata!N397,"missing: not collected"),exact(metadata!N397,"missing: not provided"),exact(metadata!N397,"missing: restricted access"))),AND(IF(metadata!N397="",FALSE,TRUE),OR(exact(metadata!N397,"TRUE"),exact(metadata!N397,"FALSE"))))</f>
        <v>0</v>
      </c>
      <c r="AO397">
        <f>IF(metadata!O397="",FALSE,TRUE)</f>
        <v>0</v>
      </c>
      <c r="AP397">
        <f>OR(AND(IF(metadata!P397="",FALSE,TRUE),OR(exact(metadata!P397,"missing: not collected"),exact(metadata!P397,"missing: not provided"))),AND(IF(metadata!P397="",FALSE,IF(ISERROR(INT(metadata!P397)),FALSE,INT(metadata!P397)=metadata!P397)),metadata!P397&gt;0))</f>
        <v>0</v>
      </c>
      <c r="AQ397">
        <f>IF(metadata!Q397="",FALSE,TRUE)</f>
        <v>0</v>
      </c>
    </row>
    <row r="398" spans="1:43">
      <c r="A398" s="5">
        <f>IF(B398=" "," ",HYPERLINK(CONCATENATE("#metadata!",ADDRESS(INDEX($W$2:$W$1001,MATCH(ROWS($U$2:U398),$U$2:$U$1001,0),0),1)),INDEX($Z$2:$Z$1001,MATCH(ROWS($U$2:U398),$U$2:$U$1001,0),0)))</f>
        <v>0</v>
      </c>
      <c r="B398" s="4">
        <f>IF(OR(INDEX($V$2:$V$1001,MATCH(ROWS($U$2:U398),$U$2:$U$1001,0),1)&gt;=100000,INDEX($AB$1005:$AQ$1005,1,MATCH(COLUMNS($AB$1006:AB1006),$AB$1006:$AQ$1006,0))&gt;=100000), " ",IF(INDEX($AB$2:$AQ$1001,MATCH(ROWS($U$2:U398),$U$2:$U$1001,0),MATCH(COLUMNS($AB$1006:AB1006),$AB$1006:$AQ$1006,0)), HYPERLINK("#",""), HYPERLINK(CONCATENATE("#metadata!", ADDRESS(INDEX($W$2:$W$1001,MATCH(ROWS($U$2:U398),$U$2:$U$1001,0),0), INDEX($AB$1004:$AQ$1004,1,MATCH(COLUMNS($AB$1006:AB1006),$AB$1006:$AQ$1006,0)))),"Fix")))</f>
        <v>0</v>
      </c>
      <c r="C398" s="4">
        <f>IF(OR(INDEX($V$2:$V$1001,MATCH(ROWS($U$2:U398),$U$2:$U$1001,0),1)&gt;=100000,INDEX($AB$1005:$AQ$1005,1,MATCH(COLUMNS($AB$1006:AC1006),$AB$1006:$AQ$1006,0))&gt;=100000), " ",IF(INDEX($AB$2:$AQ$1001,MATCH(ROWS($U$2:U398),$U$2:$U$1001,0),MATCH(COLUMNS($AB$1006:AC1006),$AB$1006:$AQ$1006,0)), HYPERLINK("#",""), HYPERLINK(CONCATENATE("#metadata!", ADDRESS(INDEX($W$2:$W$1001,MATCH(ROWS($U$2:U398),$U$2:$U$1001,0),0), INDEX($AB$1004:$AQ$1004,1,MATCH(COLUMNS($AB$1006:AC1006),$AB$1006:$AQ$1006,0)))),"Fix")))</f>
        <v>0</v>
      </c>
      <c r="D398" s="4">
        <f>IF(OR(INDEX($V$2:$V$1001,MATCH(ROWS($U$2:U398),$U$2:$U$1001,0),1)&gt;=100000,INDEX($AB$1005:$AQ$1005,1,MATCH(COLUMNS($AB$1006:AD1006),$AB$1006:$AQ$1006,0))&gt;=100000), " ",IF(INDEX($AB$2:$AQ$1001,MATCH(ROWS($U$2:U398),$U$2:$U$1001,0),MATCH(COLUMNS($AB$1006:AD1006),$AB$1006:$AQ$1006,0)), HYPERLINK("#",""), HYPERLINK(CONCATENATE("#metadata!", ADDRESS(INDEX($W$2:$W$1001,MATCH(ROWS($U$2:U398),$U$2:$U$1001,0),0), INDEX($AB$1004:$AQ$1004,1,MATCH(COLUMNS($AB$1006:AD1006),$AB$1006:$AQ$1006,0)))),"Fix")))</f>
        <v>0</v>
      </c>
      <c r="E398" s="4">
        <f>IF(OR(INDEX($V$2:$V$1001,MATCH(ROWS($U$2:U398),$U$2:$U$1001,0),1)&gt;=100000,INDEX($AB$1005:$AQ$1005,1,MATCH(COLUMNS($AB$1006:AE1006),$AB$1006:$AQ$1006,0))&gt;=100000), " ",IF(INDEX($AB$2:$AQ$1001,MATCH(ROWS($U$2:U398),$U$2:$U$1001,0),MATCH(COLUMNS($AB$1006:AE1006),$AB$1006:$AQ$1006,0)), HYPERLINK("#",""), HYPERLINK(CONCATENATE("#metadata!", ADDRESS(INDEX($W$2:$W$1001,MATCH(ROWS($U$2:U398),$U$2:$U$1001,0),0), INDEX($AB$1004:$AQ$1004,1,MATCH(COLUMNS($AB$1006:AE1006),$AB$1006:$AQ$1006,0)))),"Fix")))</f>
        <v>0</v>
      </c>
      <c r="F398" s="4">
        <f>IF(OR(INDEX($V$2:$V$1001,MATCH(ROWS($U$2:U398),$U$2:$U$1001,0),1)&gt;=100000,INDEX($AB$1005:$AQ$1005,1,MATCH(COLUMNS($AB$1006:AF1006),$AB$1006:$AQ$1006,0))&gt;=100000), " ",IF(INDEX($AB$2:$AQ$1001,MATCH(ROWS($U$2:U398),$U$2:$U$1001,0),MATCH(COLUMNS($AB$1006:AF1006),$AB$1006:$AQ$1006,0)), HYPERLINK("#",""), HYPERLINK(CONCATENATE("#metadata!", ADDRESS(INDEX($W$2:$W$1001,MATCH(ROWS($U$2:U398),$U$2:$U$1001,0),0), INDEX($AB$1004:$AQ$1004,1,MATCH(COLUMNS($AB$1006:AF1006),$AB$1006:$AQ$1006,0)))),"Fix")))</f>
        <v>0</v>
      </c>
      <c r="G398" s="4">
        <f>IF(OR(INDEX($V$2:$V$1001,MATCH(ROWS($U$2:U398),$U$2:$U$1001,0),1)&gt;=100000,INDEX($AB$1005:$AQ$1005,1,MATCH(COLUMNS($AB$1006:AG1006),$AB$1006:$AQ$1006,0))&gt;=100000), " ",IF(INDEX($AB$2:$AQ$1001,MATCH(ROWS($U$2:U398),$U$2:$U$1001,0),MATCH(COLUMNS($AB$1006:AG1006),$AB$1006:$AQ$1006,0)), HYPERLINK("#",""), HYPERLINK(CONCATENATE("#metadata!", ADDRESS(INDEX($W$2:$W$1001,MATCH(ROWS($U$2:U398),$U$2:$U$1001,0),0), INDEX($AB$1004:$AQ$1004,1,MATCH(COLUMNS($AB$1006:AG1006),$AB$1006:$AQ$1006,0)))),"Fix")))</f>
        <v>0</v>
      </c>
      <c r="H398" s="4">
        <f>IF(OR(INDEX($V$2:$V$1001,MATCH(ROWS($U$2:U398),$U$2:$U$1001,0),1)&gt;=100000,INDEX($AB$1005:$AQ$1005,1,MATCH(COLUMNS($AB$1006:AH1006),$AB$1006:$AQ$1006,0))&gt;=100000), " ",IF(INDEX($AB$2:$AQ$1001,MATCH(ROWS($U$2:U398),$U$2:$U$1001,0),MATCH(COLUMNS($AB$1006:AH1006),$AB$1006:$AQ$1006,0)), HYPERLINK("#",""), HYPERLINK(CONCATENATE("#metadata!", ADDRESS(INDEX($W$2:$W$1001,MATCH(ROWS($U$2:U398),$U$2:$U$1001,0),0), INDEX($AB$1004:$AQ$1004,1,MATCH(COLUMNS($AB$1006:AH1006),$AB$1006:$AQ$1006,0)))),"Fix")))</f>
        <v>0</v>
      </c>
      <c r="I398" s="4">
        <f>IF(OR(INDEX($V$2:$V$1001,MATCH(ROWS($U$2:U398),$U$2:$U$1001,0),1)&gt;=100000,INDEX($AB$1005:$AQ$1005,1,MATCH(COLUMNS($AB$1006:AI1006),$AB$1006:$AQ$1006,0))&gt;=100000), " ",IF(INDEX($AB$2:$AQ$1001,MATCH(ROWS($U$2:U398),$U$2:$U$1001,0),MATCH(COLUMNS($AB$1006:AI1006),$AB$1006:$AQ$1006,0)), HYPERLINK("#",""), HYPERLINK(CONCATENATE("#metadata!", ADDRESS(INDEX($W$2:$W$1001,MATCH(ROWS($U$2:U398),$U$2:$U$1001,0),0), INDEX($AB$1004:$AQ$1004,1,MATCH(COLUMNS($AB$1006:AI1006),$AB$1006:$AQ$1006,0)))),"Fix")))</f>
        <v>0</v>
      </c>
      <c r="J398" s="4">
        <f>IF(OR(INDEX($V$2:$V$1001,MATCH(ROWS($U$2:U398),$U$2:$U$1001,0),1)&gt;=100000,INDEX($AB$1005:$AQ$1005,1,MATCH(COLUMNS($AB$1006:AJ1006),$AB$1006:$AQ$1006,0))&gt;=100000), " ",IF(INDEX($AB$2:$AQ$1001,MATCH(ROWS($U$2:U398),$U$2:$U$1001,0),MATCH(COLUMNS($AB$1006:AJ1006),$AB$1006:$AQ$1006,0)), HYPERLINK("#",""), HYPERLINK(CONCATENATE("#metadata!", ADDRESS(INDEX($W$2:$W$1001,MATCH(ROWS($U$2:U398),$U$2:$U$1001,0),0), INDEX($AB$1004:$AQ$1004,1,MATCH(COLUMNS($AB$1006:AJ1006),$AB$1006:$AQ$1006,0)))),"Fix")))</f>
        <v>0</v>
      </c>
      <c r="K398" s="4">
        <f>IF(OR(INDEX($V$2:$V$1001,MATCH(ROWS($U$2:U398),$U$2:$U$1001,0),1)&gt;=100000,INDEX($AB$1005:$AQ$1005,1,MATCH(COLUMNS($AB$1006:AK1006),$AB$1006:$AQ$1006,0))&gt;=100000), " ",IF(INDEX($AB$2:$AQ$1001,MATCH(ROWS($U$2:U398),$U$2:$U$1001,0),MATCH(COLUMNS($AB$1006:AK1006),$AB$1006:$AQ$1006,0)), HYPERLINK("#",""), HYPERLINK(CONCATENATE("#metadata!", ADDRESS(INDEX($W$2:$W$1001,MATCH(ROWS($U$2:U398),$U$2:$U$1001,0),0), INDEX($AB$1004:$AQ$1004,1,MATCH(COLUMNS($AB$1006:AK1006),$AB$1006:$AQ$1006,0)))),"Fix")))</f>
        <v>0</v>
      </c>
      <c r="L398" s="4">
        <f>IF(OR(INDEX($V$2:$V$1001,MATCH(ROWS($U$2:U398),$U$2:$U$1001,0),1)&gt;=100000,INDEX($AB$1005:$AQ$1005,1,MATCH(COLUMNS($AB$1006:AL1006),$AB$1006:$AQ$1006,0))&gt;=100000), " ",IF(INDEX($AB$2:$AQ$1001,MATCH(ROWS($U$2:U398),$U$2:$U$1001,0),MATCH(COLUMNS($AB$1006:AL1006),$AB$1006:$AQ$1006,0)), HYPERLINK("#",""), HYPERLINK(CONCATENATE("#metadata!", ADDRESS(INDEX($W$2:$W$1001,MATCH(ROWS($U$2:U398),$U$2:$U$1001,0),0), INDEX($AB$1004:$AQ$1004,1,MATCH(COLUMNS($AB$1006:AL1006),$AB$1006:$AQ$1006,0)))),"Fix")))</f>
        <v>0</v>
      </c>
      <c r="M398" s="4">
        <f>IF(OR(INDEX($V$2:$V$1001,MATCH(ROWS($U$2:U398),$U$2:$U$1001,0),1)&gt;=100000,INDEX($AB$1005:$AQ$1005,1,MATCH(COLUMNS($AB$1006:AM1006),$AB$1006:$AQ$1006,0))&gt;=100000), " ",IF(INDEX($AB$2:$AQ$1001,MATCH(ROWS($U$2:U398),$U$2:$U$1001,0),MATCH(COLUMNS($AB$1006:AM1006),$AB$1006:$AQ$1006,0)), HYPERLINK("#",""), HYPERLINK(CONCATENATE("#metadata!", ADDRESS(INDEX($W$2:$W$1001,MATCH(ROWS($U$2:U398),$U$2:$U$1001,0),0), INDEX($AB$1004:$AQ$1004,1,MATCH(COLUMNS($AB$1006:AM1006),$AB$1006:$AQ$1006,0)))),"Fix")))</f>
        <v>0</v>
      </c>
      <c r="N398" s="4">
        <f>IF(OR(INDEX($V$2:$V$1001,MATCH(ROWS($U$2:U398),$U$2:$U$1001,0),1)&gt;=100000,INDEX($AB$1005:$AQ$1005,1,MATCH(COLUMNS($AB$1006:AN1006),$AB$1006:$AQ$1006,0))&gt;=100000), " ",IF(INDEX($AB$2:$AQ$1001,MATCH(ROWS($U$2:U398),$U$2:$U$1001,0),MATCH(COLUMNS($AB$1006:AN1006),$AB$1006:$AQ$1006,0)), HYPERLINK("#",""), HYPERLINK(CONCATENATE("#metadata!", ADDRESS(INDEX($W$2:$W$1001,MATCH(ROWS($U$2:U398),$U$2:$U$1001,0),0), INDEX($AB$1004:$AQ$1004,1,MATCH(COLUMNS($AB$1006:AN1006),$AB$1006:$AQ$1006,0)))),"Fix")))</f>
        <v>0</v>
      </c>
      <c r="O398" s="4">
        <f>IF(OR(INDEX($V$2:$V$1001,MATCH(ROWS($U$2:U398),$U$2:$U$1001,0),1)&gt;=100000,INDEX($AB$1005:$AQ$1005,1,MATCH(COLUMNS($AB$1006:AO1006),$AB$1006:$AQ$1006,0))&gt;=100000), " ",IF(INDEX($AB$2:$AQ$1001,MATCH(ROWS($U$2:U398),$U$2:$U$1001,0),MATCH(COLUMNS($AB$1006:AO1006),$AB$1006:$AQ$1006,0)), HYPERLINK("#",""), HYPERLINK(CONCATENATE("#metadata!", ADDRESS(INDEX($W$2:$W$1001,MATCH(ROWS($U$2:U398),$U$2:$U$1001,0),0), INDEX($AB$1004:$AQ$1004,1,MATCH(COLUMNS($AB$1006:AO1006),$AB$1006:$AQ$1006,0)))),"Fix")))</f>
        <v>0</v>
      </c>
      <c r="P398" s="4">
        <f>IF(OR(INDEX($V$2:$V$1001,MATCH(ROWS($U$2:U398),$U$2:$U$1001,0),1)&gt;=100000,INDEX($AB$1005:$AQ$1005,1,MATCH(COLUMNS($AB$1006:AP1006),$AB$1006:$AQ$1006,0))&gt;=100000), " ",IF(INDEX($AB$2:$AQ$1001,MATCH(ROWS($U$2:U398),$U$2:$U$1001,0),MATCH(COLUMNS($AB$1006:AP1006),$AB$1006:$AQ$1006,0)), HYPERLINK("#",""), HYPERLINK(CONCATENATE("#metadata!", ADDRESS(INDEX($W$2:$W$1001,MATCH(ROWS($U$2:U398),$U$2:$U$1001,0),0), INDEX($AB$1004:$AQ$1004,1,MATCH(COLUMNS($AB$1006:AP1006),$AB$1006:$AQ$1006,0)))),"Fix")))</f>
        <v>0</v>
      </c>
      <c r="Q398" s="4">
        <f>IF(OR(INDEX($V$2:$V$1001,MATCH(ROWS($U$2:U398),$U$2:$U$1001,0),1)&gt;=100000,INDEX($AB$1005:$AQ$1005,1,MATCH(COLUMNS($AB$1006:AQ1006),$AB$1006:$AQ$1006,0))&gt;=100000), " ",IF(INDEX($AB$2:$AQ$1001,MATCH(ROWS($U$2:U398),$U$2:$U$1001,0),MATCH(COLUMNS($AB$1006:AQ1006),$AB$1006:$AQ$1006,0)), HYPERLINK("#",""), HYPERLINK(CONCATENATE("#metadata!", ADDRESS(INDEX($W$2:$W$1001,MATCH(ROWS($U$2:U398),$U$2:$U$1001,0),0), INDEX($AB$1004:$AQ$1004,1,MATCH(COLUMNS($AB$1006:AQ1006),$AB$1006:$AQ$1006,0)))),"Fix")))</f>
        <v>0</v>
      </c>
      <c r="U398">
        <v>0</v>
      </c>
      <c r="V398">
        <v>0</v>
      </c>
      <c r="W398">
        <v>0</v>
      </c>
      <c r="X398">
        <f>IF(Y398,TRUE,AND(AB398:AQ398))</f>
        <v>0</v>
      </c>
      <c r="Y398">
        <f>COUNTBLANK(metadata!B398:Q398)=COLUMNS(metadata!B398:Q398)</f>
        <v>0</v>
      </c>
      <c r="Z398">
        <v>0</v>
      </c>
      <c r="AB398">
        <f>AND(IF(metadata!B398="",FALSE,TRUE),COUNTIF(metadata!B:B, metadata!B398) = 1,NOT(ISERROR(SUMPRODUCT(SEARCH(MID(metadata!B398,ROW(INDIRECT("1:"&amp;LEN(metadata!B398))), 1),"0123456789abcdefghijklmnopqrstuvwxyzABCDEFGHIJKLMNOPQRSTUVWXYZ.")))))</f>
        <v>0</v>
      </c>
      <c r="AC398">
        <f>OR(AND(IF(metadata!C398="",FALSE,TRUE),OR(exact(metadata!C398,"missing: not collected"),exact(metadata!C398,"missing: not provided"),exact(metadata!C398,"missing: restricted access"))),AND(IF(metadata!C398="",FALSE,TRUE),AND(AND(IFERROR(INT(LEFT(metadata!C398,4))&gt;1900,FALSE),IFERROR(INT(LEFT(metadata!C398,4))&lt;=YEAR(NOW()),FALSE)), OR(MID(metadata!C398,5,1)="", AND(AND(MID(metadata!C398,5,1)="-",IFERROR(INT(MID(metadata!C398,6,1))&gt;=0,FALSE),IFERROR(INT(MID(metadata!C398,6,1))&lt;=1,FALSE),NOT(MID(metadata!C398,7,1)=""),IFERROR(INT(MID(metadata!C398,6,2))&gt;=1,FALSE),IFERROR(INT(MID(metadata!C398,6,2))&lt;=12,FALSE)), OR(MID(metadata!C398,8,1)="", AND(AND(MID(metadata!C398,8,1)="-",IFERROR(INT(MID(metadata!C398,9,1))&gt;=0,FALSE),IFERROR(INT(MID(metadata!C398,9,1))&lt;=3,FALSE),NOT(MID(metadata!C398,10,1)=""),IFERROR(INT(MID(metadata!C398,9,2))&gt;=1,FALSE),IFERROR(INT(MID(metadata!C398,9,2))&lt;=31,FALSE)), OR(MID(metadata!C398,11,1)="", AND(AND(MID(metadata!C398,11,1)=" ",IFERROR(INT(MID(metadata!C398,12,1))&gt;=0,FALSE),IFERROR(INT(MID(metadata!C398,12,1))&lt;=2,FALSE),NOT(MID(metadata!C398,13,1)=""),IFERROR(INT(MID(metadata!C398,12,2))&gt;=0,FALSE),IFERROR(INT(MID(metadata!C398,12,2))&lt;=23,FALSE)), OR(MID(metadata!C398,14,1)="", AND(AND(MID(metadata!C398,14,1)=":",IFERROR(INT(MID(metadata!C398,15,1))&gt;=0,FALSE),IFERROR(INT(MID(metadata!C398,15,1))&lt;=5,FALSE),NOT(MID(metadata!C398,16,1)=""),IFERROR(INT(MID(metadata!C398,15,2))&gt;=0,FALSE),IFERROR(INT(MID(metadata!C398,15,2))&lt;=59,FALSE)), OR(MID(metadata!C398,17,1)="", AND(AND(MID(metadata!C398,17,1)=":",IFERROR(INT(MID(metadata!C398,18,1))&gt;=0,FALSE),IFERROR(INT(MID(metadata!C398,18,1))&lt;=5,FALSE),NOT(MID(metadata!C398,19,1)=""),IFERROR(INT(MID(metadata!C398,18,2))&gt;=0,FALSE),IFERROR(INT(MID(metadata!C398,18,2))&lt;=59,FALSE)), LEN(metadata!C398)&lt;=19)))))))))))))</f>
        <v>0</v>
      </c>
      <c r="AD398">
        <f>IF(metadata!D398="",FALSE,TRUE)</f>
        <v>0</v>
      </c>
      <c r="AE398">
        <f>OR(AND(IF(metadata!E398="",FALSE,TRUE),OR(exact(metadata!E398,"missing: not collected"),exact(metadata!E398,"missing: not provided"))),AND(IF(metadata!E398="",FALSE,TRUE),OR(exact(metadata!E398,"TRUE"),exact(metadata!E398,"FALSE"))))</f>
        <v>0</v>
      </c>
      <c r="AF398">
        <f>IF(metadata!F398="",FALSE,TRUE)</f>
        <v>0</v>
      </c>
      <c r="AG398">
        <f>IF(metadata!G398="",FALSE,TRUE)</f>
        <v>0</v>
      </c>
      <c r="AH398">
        <f>IF(metadata!H398="",FALSE,TRUE)</f>
        <v>0</v>
      </c>
      <c r="AI398">
        <f>OR(AND(IF(metadata!I398="",FALSE,TRUE),OR(exact(metadata!I398,"missing: not collected"),exact(metadata!I398,"missing: not provided"),exact(metadata!I398,"missing: restricted access"))),AND(IF(metadata!I398="",FALSE,TRUE),OR(exact(metadata!I398,"air"),exact(metadata!I398,"built environment"),exact(metadata!I398,"host-associated"),exact(metadata!I398,"human-associated"),exact(metadata!I398,"human-skin"),exact(metadata!I398,"human-oral"),exact(metadata!I398,"human-gut"),exact(metadata!I398,"human-vaginal"),exact(metadata!I398,"microbial mat/biofilm"),exact(metadata!I398,"misc environment"),exact(metadata!I398,"plant-associated"),exact(metadata!I398,"sediment"),exact(metadata!I398,"soil"),exact(metadata!I398,"wastewater/sludge"),exact(metadata!I398,"water"))))</f>
        <v>0</v>
      </c>
      <c r="AJ398">
        <f>IF(metadata!J398="",FALSE,TRUE)</f>
        <v>0</v>
      </c>
      <c r="AK398">
        <f>OR(AND(IF(metadata!K398="",FALSE,TRUE),OR(exact(metadata!K398,"missing: not collected"),exact(metadata!K398,"missing: not provided"),exact(metadata!K398,"missing: restricted access"))),AND(IF(metadata!K398="",FALSE,ISNUMBER(VALUE(metadata!K398))),metadata!K398&gt;=-90.00,metadata!K398&lt;=90.00))</f>
        <v>0</v>
      </c>
      <c r="AL398">
        <f>OR(AND(IF(metadata!L398="",FALSE,TRUE),OR(exact(metadata!L398,"missing: not collected"),exact(metadata!L398,"missing: not provided"),exact(metadata!L398,"missing: restricted access"))),AND(IF(metadata!L398="",FALSE,ISNUMBER(VALUE(metadata!L398))),metadata!L398&gt;=-180.00,metadata!L398&lt;=180.00))</f>
        <v>0</v>
      </c>
      <c r="AM398">
        <f>IF(metadata!M398="",FALSE,TRUE)</f>
        <v>0</v>
      </c>
      <c r="AN398">
        <f>OR(AND(IF(metadata!N398="",FALSE,TRUE),OR(exact(metadata!N398,"missing: not collected"),exact(metadata!N398,"missing: not provided"),exact(metadata!N398,"missing: restricted access"))),AND(IF(metadata!N398="",FALSE,TRUE),OR(exact(metadata!N398,"TRUE"),exact(metadata!N398,"FALSE"))))</f>
        <v>0</v>
      </c>
      <c r="AO398">
        <f>IF(metadata!O398="",FALSE,TRUE)</f>
        <v>0</v>
      </c>
      <c r="AP398">
        <f>OR(AND(IF(metadata!P398="",FALSE,TRUE),OR(exact(metadata!P398,"missing: not collected"),exact(metadata!P398,"missing: not provided"))),AND(IF(metadata!P398="",FALSE,IF(ISERROR(INT(metadata!P398)),FALSE,INT(metadata!P398)=metadata!P398)),metadata!P398&gt;0))</f>
        <v>0</v>
      </c>
      <c r="AQ398">
        <f>IF(metadata!Q398="",FALSE,TRUE)</f>
        <v>0</v>
      </c>
    </row>
    <row r="399" spans="1:43">
      <c r="A399" s="5">
        <f>IF(B399=" "," ",HYPERLINK(CONCATENATE("#metadata!",ADDRESS(INDEX($W$2:$W$1001,MATCH(ROWS($U$2:U399),$U$2:$U$1001,0),0),1)),INDEX($Z$2:$Z$1001,MATCH(ROWS($U$2:U399),$U$2:$U$1001,0),0)))</f>
        <v>0</v>
      </c>
      <c r="B399" s="4">
        <f>IF(OR(INDEX($V$2:$V$1001,MATCH(ROWS($U$2:U399),$U$2:$U$1001,0),1)&gt;=100000,INDEX($AB$1005:$AQ$1005,1,MATCH(COLUMNS($AB$1006:AB1006),$AB$1006:$AQ$1006,0))&gt;=100000), " ",IF(INDEX($AB$2:$AQ$1001,MATCH(ROWS($U$2:U399),$U$2:$U$1001,0),MATCH(COLUMNS($AB$1006:AB1006),$AB$1006:$AQ$1006,0)), HYPERLINK("#",""), HYPERLINK(CONCATENATE("#metadata!", ADDRESS(INDEX($W$2:$W$1001,MATCH(ROWS($U$2:U399),$U$2:$U$1001,0),0), INDEX($AB$1004:$AQ$1004,1,MATCH(COLUMNS($AB$1006:AB1006),$AB$1006:$AQ$1006,0)))),"Fix")))</f>
        <v>0</v>
      </c>
      <c r="C399" s="4">
        <f>IF(OR(INDEX($V$2:$V$1001,MATCH(ROWS($U$2:U399),$U$2:$U$1001,0),1)&gt;=100000,INDEX($AB$1005:$AQ$1005,1,MATCH(COLUMNS($AB$1006:AC1006),$AB$1006:$AQ$1006,0))&gt;=100000), " ",IF(INDEX($AB$2:$AQ$1001,MATCH(ROWS($U$2:U399),$U$2:$U$1001,0),MATCH(COLUMNS($AB$1006:AC1006),$AB$1006:$AQ$1006,0)), HYPERLINK("#",""), HYPERLINK(CONCATENATE("#metadata!", ADDRESS(INDEX($W$2:$W$1001,MATCH(ROWS($U$2:U399),$U$2:$U$1001,0),0), INDEX($AB$1004:$AQ$1004,1,MATCH(COLUMNS($AB$1006:AC1006),$AB$1006:$AQ$1006,0)))),"Fix")))</f>
        <v>0</v>
      </c>
      <c r="D399" s="4">
        <f>IF(OR(INDEX($V$2:$V$1001,MATCH(ROWS($U$2:U399),$U$2:$U$1001,0),1)&gt;=100000,INDEX($AB$1005:$AQ$1005,1,MATCH(COLUMNS($AB$1006:AD1006),$AB$1006:$AQ$1006,0))&gt;=100000), " ",IF(INDEX($AB$2:$AQ$1001,MATCH(ROWS($U$2:U399),$U$2:$U$1001,0),MATCH(COLUMNS($AB$1006:AD1006),$AB$1006:$AQ$1006,0)), HYPERLINK("#",""), HYPERLINK(CONCATENATE("#metadata!", ADDRESS(INDEX($W$2:$W$1001,MATCH(ROWS($U$2:U399),$U$2:$U$1001,0),0), INDEX($AB$1004:$AQ$1004,1,MATCH(COLUMNS($AB$1006:AD1006),$AB$1006:$AQ$1006,0)))),"Fix")))</f>
        <v>0</v>
      </c>
      <c r="E399" s="4">
        <f>IF(OR(INDEX($V$2:$V$1001,MATCH(ROWS($U$2:U399),$U$2:$U$1001,0),1)&gt;=100000,INDEX($AB$1005:$AQ$1005,1,MATCH(COLUMNS($AB$1006:AE1006),$AB$1006:$AQ$1006,0))&gt;=100000), " ",IF(INDEX($AB$2:$AQ$1001,MATCH(ROWS($U$2:U399),$U$2:$U$1001,0),MATCH(COLUMNS($AB$1006:AE1006),$AB$1006:$AQ$1006,0)), HYPERLINK("#",""), HYPERLINK(CONCATENATE("#metadata!", ADDRESS(INDEX($W$2:$W$1001,MATCH(ROWS($U$2:U399),$U$2:$U$1001,0),0), INDEX($AB$1004:$AQ$1004,1,MATCH(COLUMNS($AB$1006:AE1006),$AB$1006:$AQ$1006,0)))),"Fix")))</f>
        <v>0</v>
      </c>
      <c r="F399" s="4">
        <f>IF(OR(INDEX($V$2:$V$1001,MATCH(ROWS($U$2:U399),$U$2:$U$1001,0),1)&gt;=100000,INDEX($AB$1005:$AQ$1005,1,MATCH(COLUMNS($AB$1006:AF1006),$AB$1006:$AQ$1006,0))&gt;=100000), " ",IF(INDEX($AB$2:$AQ$1001,MATCH(ROWS($U$2:U399),$U$2:$U$1001,0),MATCH(COLUMNS($AB$1006:AF1006),$AB$1006:$AQ$1006,0)), HYPERLINK("#",""), HYPERLINK(CONCATENATE("#metadata!", ADDRESS(INDEX($W$2:$W$1001,MATCH(ROWS($U$2:U399),$U$2:$U$1001,0),0), INDEX($AB$1004:$AQ$1004,1,MATCH(COLUMNS($AB$1006:AF1006),$AB$1006:$AQ$1006,0)))),"Fix")))</f>
        <v>0</v>
      </c>
      <c r="G399" s="4">
        <f>IF(OR(INDEX($V$2:$V$1001,MATCH(ROWS($U$2:U399),$U$2:$U$1001,0),1)&gt;=100000,INDEX($AB$1005:$AQ$1005,1,MATCH(COLUMNS($AB$1006:AG1006),$AB$1006:$AQ$1006,0))&gt;=100000), " ",IF(INDEX($AB$2:$AQ$1001,MATCH(ROWS($U$2:U399),$U$2:$U$1001,0),MATCH(COLUMNS($AB$1006:AG1006),$AB$1006:$AQ$1006,0)), HYPERLINK("#",""), HYPERLINK(CONCATENATE("#metadata!", ADDRESS(INDEX($W$2:$W$1001,MATCH(ROWS($U$2:U399),$U$2:$U$1001,0),0), INDEX($AB$1004:$AQ$1004,1,MATCH(COLUMNS($AB$1006:AG1006),$AB$1006:$AQ$1006,0)))),"Fix")))</f>
        <v>0</v>
      </c>
      <c r="H399" s="4">
        <f>IF(OR(INDEX($V$2:$V$1001,MATCH(ROWS($U$2:U399),$U$2:$U$1001,0),1)&gt;=100000,INDEX($AB$1005:$AQ$1005,1,MATCH(COLUMNS($AB$1006:AH1006),$AB$1006:$AQ$1006,0))&gt;=100000), " ",IF(INDEX($AB$2:$AQ$1001,MATCH(ROWS($U$2:U399),$U$2:$U$1001,0),MATCH(COLUMNS($AB$1006:AH1006),$AB$1006:$AQ$1006,0)), HYPERLINK("#",""), HYPERLINK(CONCATENATE("#metadata!", ADDRESS(INDEX($W$2:$W$1001,MATCH(ROWS($U$2:U399),$U$2:$U$1001,0),0), INDEX($AB$1004:$AQ$1004,1,MATCH(COLUMNS($AB$1006:AH1006),$AB$1006:$AQ$1006,0)))),"Fix")))</f>
        <v>0</v>
      </c>
      <c r="I399" s="4">
        <f>IF(OR(INDEX($V$2:$V$1001,MATCH(ROWS($U$2:U399),$U$2:$U$1001,0),1)&gt;=100000,INDEX($AB$1005:$AQ$1005,1,MATCH(COLUMNS($AB$1006:AI1006),$AB$1006:$AQ$1006,0))&gt;=100000), " ",IF(INDEX($AB$2:$AQ$1001,MATCH(ROWS($U$2:U399),$U$2:$U$1001,0),MATCH(COLUMNS($AB$1006:AI1006),$AB$1006:$AQ$1006,0)), HYPERLINK("#",""), HYPERLINK(CONCATENATE("#metadata!", ADDRESS(INDEX($W$2:$W$1001,MATCH(ROWS($U$2:U399),$U$2:$U$1001,0),0), INDEX($AB$1004:$AQ$1004,1,MATCH(COLUMNS($AB$1006:AI1006),$AB$1006:$AQ$1006,0)))),"Fix")))</f>
        <v>0</v>
      </c>
      <c r="J399" s="4">
        <f>IF(OR(INDEX($V$2:$V$1001,MATCH(ROWS($U$2:U399),$U$2:$U$1001,0),1)&gt;=100000,INDEX($AB$1005:$AQ$1005,1,MATCH(COLUMNS($AB$1006:AJ1006),$AB$1006:$AQ$1006,0))&gt;=100000), " ",IF(INDEX($AB$2:$AQ$1001,MATCH(ROWS($U$2:U399),$U$2:$U$1001,0),MATCH(COLUMNS($AB$1006:AJ1006),$AB$1006:$AQ$1006,0)), HYPERLINK("#",""), HYPERLINK(CONCATENATE("#metadata!", ADDRESS(INDEX($W$2:$W$1001,MATCH(ROWS($U$2:U399),$U$2:$U$1001,0),0), INDEX($AB$1004:$AQ$1004,1,MATCH(COLUMNS($AB$1006:AJ1006),$AB$1006:$AQ$1006,0)))),"Fix")))</f>
        <v>0</v>
      </c>
      <c r="K399" s="4">
        <f>IF(OR(INDEX($V$2:$V$1001,MATCH(ROWS($U$2:U399),$U$2:$U$1001,0),1)&gt;=100000,INDEX($AB$1005:$AQ$1005,1,MATCH(COLUMNS($AB$1006:AK1006),$AB$1006:$AQ$1006,0))&gt;=100000), " ",IF(INDEX($AB$2:$AQ$1001,MATCH(ROWS($U$2:U399),$U$2:$U$1001,0),MATCH(COLUMNS($AB$1006:AK1006),$AB$1006:$AQ$1006,0)), HYPERLINK("#",""), HYPERLINK(CONCATENATE("#metadata!", ADDRESS(INDEX($W$2:$W$1001,MATCH(ROWS($U$2:U399),$U$2:$U$1001,0),0), INDEX($AB$1004:$AQ$1004,1,MATCH(COLUMNS($AB$1006:AK1006),$AB$1006:$AQ$1006,0)))),"Fix")))</f>
        <v>0</v>
      </c>
      <c r="L399" s="4">
        <f>IF(OR(INDEX($V$2:$V$1001,MATCH(ROWS($U$2:U399),$U$2:$U$1001,0),1)&gt;=100000,INDEX($AB$1005:$AQ$1005,1,MATCH(COLUMNS($AB$1006:AL1006),$AB$1006:$AQ$1006,0))&gt;=100000), " ",IF(INDEX($AB$2:$AQ$1001,MATCH(ROWS($U$2:U399),$U$2:$U$1001,0),MATCH(COLUMNS($AB$1006:AL1006),$AB$1006:$AQ$1006,0)), HYPERLINK("#",""), HYPERLINK(CONCATENATE("#metadata!", ADDRESS(INDEX($W$2:$W$1001,MATCH(ROWS($U$2:U399),$U$2:$U$1001,0),0), INDEX($AB$1004:$AQ$1004,1,MATCH(COLUMNS($AB$1006:AL1006),$AB$1006:$AQ$1006,0)))),"Fix")))</f>
        <v>0</v>
      </c>
      <c r="M399" s="4">
        <f>IF(OR(INDEX($V$2:$V$1001,MATCH(ROWS($U$2:U399),$U$2:$U$1001,0),1)&gt;=100000,INDEX($AB$1005:$AQ$1005,1,MATCH(COLUMNS($AB$1006:AM1006),$AB$1006:$AQ$1006,0))&gt;=100000), " ",IF(INDEX($AB$2:$AQ$1001,MATCH(ROWS($U$2:U399),$U$2:$U$1001,0),MATCH(COLUMNS($AB$1006:AM1006),$AB$1006:$AQ$1006,0)), HYPERLINK("#",""), HYPERLINK(CONCATENATE("#metadata!", ADDRESS(INDEX($W$2:$W$1001,MATCH(ROWS($U$2:U399),$U$2:$U$1001,0),0), INDEX($AB$1004:$AQ$1004,1,MATCH(COLUMNS($AB$1006:AM1006),$AB$1006:$AQ$1006,0)))),"Fix")))</f>
        <v>0</v>
      </c>
      <c r="N399" s="4">
        <f>IF(OR(INDEX($V$2:$V$1001,MATCH(ROWS($U$2:U399),$U$2:$U$1001,0),1)&gt;=100000,INDEX($AB$1005:$AQ$1005,1,MATCH(COLUMNS($AB$1006:AN1006),$AB$1006:$AQ$1006,0))&gt;=100000), " ",IF(INDEX($AB$2:$AQ$1001,MATCH(ROWS($U$2:U399),$U$2:$U$1001,0),MATCH(COLUMNS($AB$1006:AN1006),$AB$1006:$AQ$1006,0)), HYPERLINK("#",""), HYPERLINK(CONCATENATE("#metadata!", ADDRESS(INDEX($W$2:$W$1001,MATCH(ROWS($U$2:U399),$U$2:$U$1001,0),0), INDEX($AB$1004:$AQ$1004,1,MATCH(COLUMNS($AB$1006:AN1006),$AB$1006:$AQ$1006,0)))),"Fix")))</f>
        <v>0</v>
      </c>
      <c r="O399" s="4">
        <f>IF(OR(INDEX($V$2:$V$1001,MATCH(ROWS($U$2:U399),$U$2:$U$1001,0),1)&gt;=100000,INDEX($AB$1005:$AQ$1005,1,MATCH(COLUMNS($AB$1006:AO1006),$AB$1006:$AQ$1006,0))&gt;=100000), " ",IF(INDEX($AB$2:$AQ$1001,MATCH(ROWS($U$2:U399),$U$2:$U$1001,0),MATCH(COLUMNS($AB$1006:AO1006),$AB$1006:$AQ$1006,0)), HYPERLINK("#",""), HYPERLINK(CONCATENATE("#metadata!", ADDRESS(INDEX($W$2:$W$1001,MATCH(ROWS($U$2:U399),$U$2:$U$1001,0),0), INDEX($AB$1004:$AQ$1004,1,MATCH(COLUMNS($AB$1006:AO1006),$AB$1006:$AQ$1006,0)))),"Fix")))</f>
        <v>0</v>
      </c>
      <c r="P399" s="4">
        <f>IF(OR(INDEX($V$2:$V$1001,MATCH(ROWS($U$2:U399),$U$2:$U$1001,0),1)&gt;=100000,INDEX($AB$1005:$AQ$1005,1,MATCH(COLUMNS($AB$1006:AP1006),$AB$1006:$AQ$1006,0))&gt;=100000), " ",IF(INDEX($AB$2:$AQ$1001,MATCH(ROWS($U$2:U399),$U$2:$U$1001,0),MATCH(COLUMNS($AB$1006:AP1006),$AB$1006:$AQ$1006,0)), HYPERLINK("#",""), HYPERLINK(CONCATENATE("#metadata!", ADDRESS(INDEX($W$2:$W$1001,MATCH(ROWS($U$2:U399),$U$2:$U$1001,0),0), INDEX($AB$1004:$AQ$1004,1,MATCH(COLUMNS($AB$1006:AP1006),$AB$1006:$AQ$1006,0)))),"Fix")))</f>
        <v>0</v>
      </c>
      <c r="Q399" s="4">
        <f>IF(OR(INDEX($V$2:$V$1001,MATCH(ROWS($U$2:U399),$U$2:$U$1001,0),1)&gt;=100000,INDEX($AB$1005:$AQ$1005,1,MATCH(COLUMNS($AB$1006:AQ1006),$AB$1006:$AQ$1006,0))&gt;=100000), " ",IF(INDEX($AB$2:$AQ$1001,MATCH(ROWS($U$2:U399),$U$2:$U$1001,0),MATCH(COLUMNS($AB$1006:AQ1006),$AB$1006:$AQ$1006,0)), HYPERLINK("#",""), HYPERLINK(CONCATENATE("#metadata!", ADDRESS(INDEX($W$2:$W$1001,MATCH(ROWS($U$2:U399),$U$2:$U$1001,0),0), INDEX($AB$1004:$AQ$1004,1,MATCH(COLUMNS($AB$1006:AQ1006),$AB$1006:$AQ$1006,0)))),"Fix")))</f>
        <v>0</v>
      </c>
      <c r="U399">
        <v>0</v>
      </c>
      <c r="V399">
        <v>0</v>
      </c>
      <c r="W399">
        <v>0</v>
      </c>
      <c r="X399">
        <f>IF(Y399,TRUE,AND(AB399:AQ399))</f>
        <v>0</v>
      </c>
      <c r="Y399">
        <f>COUNTBLANK(metadata!B399:Q399)=COLUMNS(metadata!B399:Q399)</f>
        <v>0</v>
      </c>
      <c r="Z399">
        <v>0</v>
      </c>
      <c r="AB399">
        <f>AND(IF(metadata!B399="",FALSE,TRUE),COUNTIF(metadata!B:B, metadata!B399) = 1,NOT(ISERROR(SUMPRODUCT(SEARCH(MID(metadata!B399,ROW(INDIRECT("1:"&amp;LEN(metadata!B399))), 1),"0123456789abcdefghijklmnopqrstuvwxyzABCDEFGHIJKLMNOPQRSTUVWXYZ.")))))</f>
        <v>0</v>
      </c>
      <c r="AC399">
        <f>OR(AND(IF(metadata!C399="",FALSE,TRUE),OR(exact(metadata!C399,"missing: not collected"),exact(metadata!C399,"missing: not provided"),exact(metadata!C399,"missing: restricted access"))),AND(IF(metadata!C399="",FALSE,TRUE),AND(AND(IFERROR(INT(LEFT(metadata!C399,4))&gt;1900,FALSE),IFERROR(INT(LEFT(metadata!C399,4))&lt;=YEAR(NOW()),FALSE)), OR(MID(metadata!C399,5,1)="", AND(AND(MID(metadata!C399,5,1)="-",IFERROR(INT(MID(metadata!C399,6,1))&gt;=0,FALSE),IFERROR(INT(MID(metadata!C399,6,1))&lt;=1,FALSE),NOT(MID(metadata!C399,7,1)=""),IFERROR(INT(MID(metadata!C399,6,2))&gt;=1,FALSE),IFERROR(INT(MID(metadata!C399,6,2))&lt;=12,FALSE)), OR(MID(metadata!C399,8,1)="", AND(AND(MID(metadata!C399,8,1)="-",IFERROR(INT(MID(metadata!C399,9,1))&gt;=0,FALSE),IFERROR(INT(MID(metadata!C399,9,1))&lt;=3,FALSE),NOT(MID(metadata!C399,10,1)=""),IFERROR(INT(MID(metadata!C399,9,2))&gt;=1,FALSE),IFERROR(INT(MID(metadata!C399,9,2))&lt;=31,FALSE)), OR(MID(metadata!C399,11,1)="", AND(AND(MID(metadata!C399,11,1)=" ",IFERROR(INT(MID(metadata!C399,12,1))&gt;=0,FALSE),IFERROR(INT(MID(metadata!C399,12,1))&lt;=2,FALSE),NOT(MID(metadata!C399,13,1)=""),IFERROR(INT(MID(metadata!C399,12,2))&gt;=0,FALSE),IFERROR(INT(MID(metadata!C399,12,2))&lt;=23,FALSE)), OR(MID(metadata!C399,14,1)="", AND(AND(MID(metadata!C399,14,1)=":",IFERROR(INT(MID(metadata!C399,15,1))&gt;=0,FALSE),IFERROR(INT(MID(metadata!C399,15,1))&lt;=5,FALSE),NOT(MID(metadata!C399,16,1)=""),IFERROR(INT(MID(metadata!C399,15,2))&gt;=0,FALSE),IFERROR(INT(MID(metadata!C399,15,2))&lt;=59,FALSE)), OR(MID(metadata!C399,17,1)="", AND(AND(MID(metadata!C399,17,1)=":",IFERROR(INT(MID(metadata!C399,18,1))&gt;=0,FALSE),IFERROR(INT(MID(metadata!C399,18,1))&lt;=5,FALSE),NOT(MID(metadata!C399,19,1)=""),IFERROR(INT(MID(metadata!C399,18,2))&gt;=0,FALSE),IFERROR(INT(MID(metadata!C399,18,2))&lt;=59,FALSE)), LEN(metadata!C399)&lt;=19)))))))))))))</f>
        <v>0</v>
      </c>
      <c r="AD399">
        <f>IF(metadata!D399="",FALSE,TRUE)</f>
        <v>0</v>
      </c>
      <c r="AE399">
        <f>OR(AND(IF(metadata!E399="",FALSE,TRUE),OR(exact(metadata!E399,"missing: not collected"),exact(metadata!E399,"missing: not provided"))),AND(IF(metadata!E399="",FALSE,TRUE),OR(exact(metadata!E399,"TRUE"),exact(metadata!E399,"FALSE"))))</f>
        <v>0</v>
      </c>
      <c r="AF399">
        <f>IF(metadata!F399="",FALSE,TRUE)</f>
        <v>0</v>
      </c>
      <c r="AG399">
        <f>IF(metadata!G399="",FALSE,TRUE)</f>
        <v>0</v>
      </c>
      <c r="AH399">
        <f>IF(metadata!H399="",FALSE,TRUE)</f>
        <v>0</v>
      </c>
      <c r="AI399">
        <f>OR(AND(IF(metadata!I399="",FALSE,TRUE),OR(exact(metadata!I399,"missing: not collected"),exact(metadata!I399,"missing: not provided"),exact(metadata!I399,"missing: restricted access"))),AND(IF(metadata!I399="",FALSE,TRUE),OR(exact(metadata!I399,"air"),exact(metadata!I399,"built environment"),exact(metadata!I399,"host-associated"),exact(metadata!I399,"human-associated"),exact(metadata!I399,"human-skin"),exact(metadata!I399,"human-oral"),exact(metadata!I399,"human-gut"),exact(metadata!I399,"human-vaginal"),exact(metadata!I399,"microbial mat/biofilm"),exact(metadata!I399,"misc environment"),exact(metadata!I399,"plant-associated"),exact(metadata!I399,"sediment"),exact(metadata!I399,"soil"),exact(metadata!I399,"wastewater/sludge"),exact(metadata!I399,"water"))))</f>
        <v>0</v>
      </c>
      <c r="AJ399">
        <f>IF(metadata!J399="",FALSE,TRUE)</f>
        <v>0</v>
      </c>
      <c r="AK399">
        <f>OR(AND(IF(metadata!K399="",FALSE,TRUE),OR(exact(metadata!K399,"missing: not collected"),exact(metadata!K399,"missing: not provided"),exact(metadata!K399,"missing: restricted access"))),AND(IF(metadata!K399="",FALSE,ISNUMBER(VALUE(metadata!K399))),metadata!K399&gt;=-90.00,metadata!K399&lt;=90.00))</f>
        <v>0</v>
      </c>
      <c r="AL399">
        <f>OR(AND(IF(metadata!L399="",FALSE,TRUE),OR(exact(metadata!L399,"missing: not collected"),exact(metadata!L399,"missing: not provided"),exact(metadata!L399,"missing: restricted access"))),AND(IF(metadata!L399="",FALSE,ISNUMBER(VALUE(metadata!L399))),metadata!L399&gt;=-180.00,metadata!L399&lt;=180.00))</f>
        <v>0</v>
      </c>
      <c r="AM399">
        <f>IF(metadata!M399="",FALSE,TRUE)</f>
        <v>0</v>
      </c>
      <c r="AN399">
        <f>OR(AND(IF(metadata!N399="",FALSE,TRUE),OR(exact(metadata!N399,"missing: not collected"),exact(metadata!N399,"missing: not provided"),exact(metadata!N399,"missing: restricted access"))),AND(IF(metadata!N399="",FALSE,TRUE),OR(exact(metadata!N399,"TRUE"),exact(metadata!N399,"FALSE"))))</f>
        <v>0</v>
      </c>
      <c r="AO399">
        <f>IF(metadata!O399="",FALSE,TRUE)</f>
        <v>0</v>
      </c>
      <c r="AP399">
        <f>OR(AND(IF(metadata!P399="",FALSE,TRUE),OR(exact(metadata!P399,"missing: not collected"),exact(metadata!P399,"missing: not provided"))),AND(IF(metadata!P399="",FALSE,IF(ISERROR(INT(metadata!P399)),FALSE,INT(metadata!P399)=metadata!P399)),metadata!P399&gt;0))</f>
        <v>0</v>
      </c>
      <c r="AQ399">
        <f>IF(metadata!Q399="",FALSE,TRUE)</f>
        <v>0</v>
      </c>
    </row>
    <row r="400" spans="1:43">
      <c r="A400" s="5">
        <f>IF(B400=" "," ",HYPERLINK(CONCATENATE("#metadata!",ADDRESS(INDEX($W$2:$W$1001,MATCH(ROWS($U$2:U400),$U$2:$U$1001,0),0),1)),INDEX($Z$2:$Z$1001,MATCH(ROWS($U$2:U400),$U$2:$U$1001,0),0)))</f>
        <v>0</v>
      </c>
      <c r="B400" s="4">
        <f>IF(OR(INDEX($V$2:$V$1001,MATCH(ROWS($U$2:U400),$U$2:$U$1001,0),1)&gt;=100000,INDEX($AB$1005:$AQ$1005,1,MATCH(COLUMNS($AB$1006:AB1006),$AB$1006:$AQ$1006,0))&gt;=100000), " ",IF(INDEX($AB$2:$AQ$1001,MATCH(ROWS($U$2:U400),$U$2:$U$1001,0),MATCH(COLUMNS($AB$1006:AB1006),$AB$1006:$AQ$1006,0)), HYPERLINK("#",""), HYPERLINK(CONCATENATE("#metadata!", ADDRESS(INDEX($W$2:$W$1001,MATCH(ROWS($U$2:U400),$U$2:$U$1001,0),0), INDEX($AB$1004:$AQ$1004,1,MATCH(COLUMNS($AB$1006:AB1006),$AB$1006:$AQ$1006,0)))),"Fix")))</f>
        <v>0</v>
      </c>
      <c r="C400" s="4">
        <f>IF(OR(INDEX($V$2:$V$1001,MATCH(ROWS($U$2:U400),$U$2:$U$1001,0),1)&gt;=100000,INDEX($AB$1005:$AQ$1005,1,MATCH(COLUMNS($AB$1006:AC1006),$AB$1006:$AQ$1006,0))&gt;=100000), " ",IF(INDEX($AB$2:$AQ$1001,MATCH(ROWS($U$2:U400),$U$2:$U$1001,0),MATCH(COLUMNS($AB$1006:AC1006),$AB$1006:$AQ$1006,0)), HYPERLINK("#",""), HYPERLINK(CONCATENATE("#metadata!", ADDRESS(INDEX($W$2:$W$1001,MATCH(ROWS($U$2:U400),$U$2:$U$1001,0),0), INDEX($AB$1004:$AQ$1004,1,MATCH(COLUMNS($AB$1006:AC1006),$AB$1006:$AQ$1006,0)))),"Fix")))</f>
        <v>0</v>
      </c>
      <c r="D400" s="4">
        <f>IF(OR(INDEX($V$2:$V$1001,MATCH(ROWS($U$2:U400),$U$2:$U$1001,0),1)&gt;=100000,INDEX($AB$1005:$AQ$1005,1,MATCH(COLUMNS($AB$1006:AD1006),$AB$1006:$AQ$1006,0))&gt;=100000), " ",IF(INDEX($AB$2:$AQ$1001,MATCH(ROWS($U$2:U400),$U$2:$U$1001,0),MATCH(COLUMNS($AB$1006:AD1006),$AB$1006:$AQ$1006,0)), HYPERLINK("#",""), HYPERLINK(CONCATENATE("#metadata!", ADDRESS(INDEX($W$2:$W$1001,MATCH(ROWS($U$2:U400),$U$2:$U$1001,0),0), INDEX($AB$1004:$AQ$1004,1,MATCH(COLUMNS($AB$1006:AD1006),$AB$1006:$AQ$1006,0)))),"Fix")))</f>
        <v>0</v>
      </c>
      <c r="E400" s="4">
        <f>IF(OR(INDEX($V$2:$V$1001,MATCH(ROWS($U$2:U400),$U$2:$U$1001,0),1)&gt;=100000,INDEX($AB$1005:$AQ$1005,1,MATCH(COLUMNS($AB$1006:AE1006),$AB$1006:$AQ$1006,0))&gt;=100000), " ",IF(INDEX($AB$2:$AQ$1001,MATCH(ROWS($U$2:U400),$U$2:$U$1001,0),MATCH(COLUMNS($AB$1006:AE1006),$AB$1006:$AQ$1006,0)), HYPERLINK("#",""), HYPERLINK(CONCATENATE("#metadata!", ADDRESS(INDEX($W$2:$W$1001,MATCH(ROWS($U$2:U400),$U$2:$U$1001,0),0), INDEX($AB$1004:$AQ$1004,1,MATCH(COLUMNS($AB$1006:AE1006),$AB$1006:$AQ$1006,0)))),"Fix")))</f>
        <v>0</v>
      </c>
      <c r="F400" s="4">
        <f>IF(OR(INDEX($V$2:$V$1001,MATCH(ROWS($U$2:U400),$U$2:$U$1001,0),1)&gt;=100000,INDEX($AB$1005:$AQ$1005,1,MATCH(COLUMNS($AB$1006:AF1006),$AB$1006:$AQ$1006,0))&gt;=100000), " ",IF(INDEX($AB$2:$AQ$1001,MATCH(ROWS($U$2:U400),$U$2:$U$1001,0),MATCH(COLUMNS($AB$1006:AF1006),$AB$1006:$AQ$1006,0)), HYPERLINK("#",""), HYPERLINK(CONCATENATE("#metadata!", ADDRESS(INDEX($W$2:$W$1001,MATCH(ROWS($U$2:U400),$U$2:$U$1001,0),0), INDEX($AB$1004:$AQ$1004,1,MATCH(COLUMNS($AB$1006:AF1006),$AB$1006:$AQ$1006,0)))),"Fix")))</f>
        <v>0</v>
      </c>
      <c r="G400" s="4">
        <f>IF(OR(INDEX($V$2:$V$1001,MATCH(ROWS($U$2:U400),$U$2:$U$1001,0),1)&gt;=100000,INDEX($AB$1005:$AQ$1005,1,MATCH(COLUMNS($AB$1006:AG1006),$AB$1006:$AQ$1006,0))&gt;=100000), " ",IF(INDEX($AB$2:$AQ$1001,MATCH(ROWS($U$2:U400),$U$2:$U$1001,0),MATCH(COLUMNS($AB$1006:AG1006),$AB$1006:$AQ$1006,0)), HYPERLINK("#",""), HYPERLINK(CONCATENATE("#metadata!", ADDRESS(INDEX($W$2:$W$1001,MATCH(ROWS($U$2:U400),$U$2:$U$1001,0),0), INDEX($AB$1004:$AQ$1004,1,MATCH(COLUMNS($AB$1006:AG1006),$AB$1006:$AQ$1006,0)))),"Fix")))</f>
        <v>0</v>
      </c>
      <c r="H400" s="4">
        <f>IF(OR(INDEX($V$2:$V$1001,MATCH(ROWS($U$2:U400),$U$2:$U$1001,0),1)&gt;=100000,INDEX($AB$1005:$AQ$1005,1,MATCH(COLUMNS($AB$1006:AH1006),$AB$1006:$AQ$1006,0))&gt;=100000), " ",IF(INDEX($AB$2:$AQ$1001,MATCH(ROWS($U$2:U400),$U$2:$U$1001,0),MATCH(COLUMNS($AB$1006:AH1006),$AB$1006:$AQ$1006,0)), HYPERLINK("#",""), HYPERLINK(CONCATENATE("#metadata!", ADDRESS(INDEX($W$2:$W$1001,MATCH(ROWS($U$2:U400),$U$2:$U$1001,0),0), INDEX($AB$1004:$AQ$1004,1,MATCH(COLUMNS($AB$1006:AH1006),$AB$1006:$AQ$1006,0)))),"Fix")))</f>
        <v>0</v>
      </c>
      <c r="I400" s="4">
        <f>IF(OR(INDEX($V$2:$V$1001,MATCH(ROWS($U$2:U400),$U$2:$U$1001,0),1)&gt;=100000,INDEX($AB$1005:$AQ$1005,1,MATCH(COLUMNS($AB$1006:AI1006),$AB$1006:$AQ$1006,0))&gt;=100000), " ",IF(INDEX($AB$2:$AQ$1001,MATCH(ROWS($U$2:U400),$U$2:$U$1001,0),MATCH(COLUMNS($AB$1006:AI1006),$AB$1006:$AQ$1006,0)), HYPERLINK("#",""), HYPERLINK(CONCATENATE("#metadata!", ADDRESS(INDEX($W$2:$W$1001,MATCH(ROWS($U$2:U400),$U$2:$U$1001,0),0), INDEX($AB$1004:$AQ$1004,1,MATCH(COLUMNS($AB$1006:AI1006),$AB$1006:$AQ$1006,0)))),"Fix")))</f>
        <v>0</v>
      </c>
      <c r="J400" s="4">
        <f>IF(OR(INDEX($V$2:$V$1001,MATCH(ROWS($U$2:U400),$U$2:$U$1001,0),1)&gt;=100000,INDEX($AB$1005:$AQ$1005,1,MATCH(COLUMNS($AB$1006:AJ1006),$AB$1006:$AQ$1006,0))&gt;=100000), " ",IF(INDEX($AB$2:$AQ$1001,MATCH(ROWS($U$2:U400),$U$2:$U$1001,0),MATCH(COLUMNS($AB$1006:AJ1006),$AB$1006:$AQ$1006,0)), HYPERLINK("#",""), HYPERLINK(CONCATENATE("#metadata!", ADDRESS(INDEX($W$2:$W$1001,MATCH(ROWS($U$2:U400),$U$2:$U$1001,0),0), INDEX($AB$1004:$AQ$1004,1,MATCH(COLUMNS($AB$1006:AJ1006),$AB$1006:$AQ$1006,0)))),"Fix")))</f>
        <v>0</v>
      </c>
      <c r="K400" s="4">
        <f>IF(OR(INDEX($V$2:$V$1001,MATCH(ROWS($U$2:U400),$U$2:$U$1001,0),1)&gt;=100000,INDEX($AB$1005:$AQ$1005,1,MATCH(COLUMNS($AB$1006:AK1006),$AB$1006:$AQ$1006,0))&gt;=100000), " ",IF(INDEX($AB$2:$AQ$1001,MATCH(ROWS($U$2:U400),$U$2:$U$1001,0),MATCH(COLUMNS($AB$1006:AK1006),$AB$1006:$AQ$1006,0)), HYPERLINK("#",""), HYPERLINK(CONCATENATE("#metadata!", ADDRESS(INDEX($W$2:$W$1001,MATCH(ROWS($U$2:U400),$U$2:$U$1001,0),0), INDEX($AB$1004:$AQ$1004,1,MATCH(COLUMNS($AB$1006:AK1006),$AB$1006:$AQ$1006,0)))),"Fix")))</f>
        <v>0</v>
      </c>
      <c r="L400" s="4">
        <f>IF(OR(INDEX($V$2:$V$1001,MATCH(ROWS($U$2:U400),$U$2:$U$1001,0),1)&gt;=100000,INDEX($AB$1005:$AQ$1005,1,MATCH(COLUMNS($AB$1006:AL1006),$AB$1006:$AQ$1006,0))&gt;=100000), " ",IF(INDEX($AB$2:$AQ$1001,MATCH(ROWS($U$2:U400),$U$2:$U$1001,0),MATCH(COLUMNS($AB$1006:AL1006),$AB$1006:$AQ$1006,0)), HYPERLINK("#",""), HYPERLINK(CONCATENATE("#metadata!", ADDRESS(INDEX($W$2:$W$1001,MATCH(ROWS($U$2:U400),$U$2:$U$1001,0),0), INDEX($AB$1004:$AQ$1004,1,MATCH(COLUMNS($AB$1006:AL1006),$AB$1006:$AQ$1006,0)))),"Fix")))</f>
        <v>0</v>
      </c>
      <c r="M400" s="4">
        <f>IF(OR(INDEX($V$2:$V$1001,MATCH(ROWS($U$2:U400),$U$2:$U$1001,0),1)&gt;=100000,INDEX($AB$1005:$AQ$1005,1,MATCH(COLUMNS($AB$1006:AM1006),$AB$1006:$AQ$1006,0))&gt;=100000), " ",IF(INDEX($AB$2:$AQ$1001,MATCH(ROWS($U$2:U400),$U$2:$U$1001,0),MATCH(COLUMNS($AB$1006:AM1006),$AB$1006:$AQ$1006,0)), HYPERLINK("#",""), HYPERLINK(CONCATENATE("#metadata!", ADDRESS(INDEX($W$2:$W$1001,MATCH(ROWS($U$2:U400),$U$2:$U$1001,0),0), INDEX($AB$1004:$AQ$1004,1,MATCH(COLUMNS($AB$1006:AM1006),$AB$1006:$AQ$1006,0)))),"Fix")))</f>
        <v>0</v>
      </c>
      <c r="N400" s="4">
        <f>IF(OR(INDEX($V$2:$V$1001,MATCH(ROWS($U$2:U400),$U$2:$U$1001,0),1)&gt;=100000,INDEX($AB$1005:$AQ$1005,1,MATCH(COLUMNS($AB$1006:AN1006),$AB$1006:$AQ$1006,0))&gt;=100000), " ",IF(INDEX($AB$2:$AQ$1001,MATCH(ROWS($U$2:U400),$U$2:$U$1001,0),MATCH(COLUMNS($AB$1006:AN1006),$AB$1006:$AQ$1006,0)), HYPERLINK("#",""), HYPERLINK(CONCATENATE("#metadata!", ADDRESS(INDEX($W$2:$W$1001,MATCH(ROWS($U$2:U400),$U$2:$U$1001,0),0), INDEX($AB$1004:$AQ$1004,1,MATCH(COLUMNS($AB$1006:AN1006),$AB$1006:$AQ$1006,0)))),"Fix")))</f>
        <v>0</v>
      </c>
      <c r="O400" s="4">
        <f>IF(OR(INDEX($V$2:$V$1001,MATCH(ROWS($U$2:U400),$U$2:$U$1001,0),1)&gt;=100000,INDEX($AB$1005:$AQ$1005,1,MATCH(COLUMNS($AB$1006:AO1006),$AB$1006:$AQ$1006,0))&gt;=100000), " ",IF(INDEX($AB$2:$AQ$1001,MATCH(ROWS($U$2:U400),$U$2:$U$1001,0),MATCH(COLUMNS($AB$1006:AO1006),$AB$1006:$AQ$1006,0)), HYPERLINK("#",""), HYPERLINK(CONCATENATE("#metadata!", ADDRESS(INDEX($W$2:$W$1001,MATCH(ROWS($U$2:U400),$U$2:$U$1001,0),0), INDEX($AB$1004:$AQ$1004,1,MATCH(COLUMNS($AB$1006:AO1006),$AB$1006:$AQ$1006,0)))),"Fix")))</f>
        <v>0</v>
      </c>
      <c r="P400" s="4">
        <f>IF(OR(INDEX($V$2:$V$1001,MATCH(ROWS($U$2:U400),$U$2:$U$1001,0),1)&gt;=100000,INDEX($AB$1005:$AQ$1005,1,MATCH(COLUMNS($AB$1006:AP1006),$AB$1006:$AQ$1006,0))&gt;=100000), " ",IF(INDEX($AB$2:$AQ$1001,MATCH(ROWS($U$2:U400),$U$2:$U$1001,0),MATCH(COLUMNS($AB$1006:AP1006),$AB$1006:$AQ$1006,0)), HYPERLINK("#",""), HYPERLINK(CONCATENATE("#metadata!", ADDRESS(INDEX($W$2:$W$1001,MATCH(ROWS($U$2:U400),$U$2:$U$1001,0),0), INDEX($AB$1004:$AQ$1004,1,MATCH(COLUMNS($AB$1006:AP1006),$AB$1006:$AQ$1006,0)))),"Fix")))</f>
        <v>0</v>
      </c>
      <c r="Q400" s="4">
        <f>IF(OR(INDEX($V$2:$V$1001,MATCH(ROWS($U$2:U400),$U$2:$U$1001,0),1)&gt;=100000,INDEX($AB$1005:$AQ$1005,1,MATCH(COLUMNS($AB$1006:AQ1006),$AB$1006:$AQ$1006,0))&gt;=100000), " ",IF(INDEX($AB$2:$AQ$1001,MATCH(ROWS($U$2:U400),$U$2:$U$1001,0),MATCH(COLUMNS($AB$1006:AQ1006),$AB$1006:$AQ$1006,0)), HYPERLINK("#",""), HYPERLINK(CONCATENATE("#metadata!", ADDRESS(INDEX($W$2:$W$1001,MATCH(ROWS($U$2:U400),$U$2:$U$1001,0),0), INDEX($AB$1004:$AQ$1004,1,MATCH(COLUMNS($AB$1006:AQ1006),$AB$1006:$AQ$1006,0)))),"Fix")))</f>
        <v>0</v>
      </c>
      <c r="U400">
        <v>0</v>
      </c>
      <c r="V400">
        <v>0</v>
      </c>
      <c r="W400">
        <v>0</v>
      </c>
      <c r="X400">
        <f>IF(Y400,TRUE,AND(AB400:AQ400))</f>
        <v>0</v>
      </c>
      <c r="Y400">
        <f>COUNTBLANK(metadata!B400:Q400)=COLUMNS(metadata!B400:Q400)</f>
        <v>0</v>
      </c>
      <c r="Z400">
        <v>0</v>
      </c>
      <c r="AB400">
        <f>AND(IF(metadata!B400="",FALSE,TRUE),COUNTIF(metadata!B:B, metadata!B400) = 1,NOT(ISERROR(SUMPRODUCT(SEARCH(MID(metadata!B400,ROW(INDIRECT("1:"&amp;LEN(metadata!B400))), 1),"0123456789abcdefghijklmnopqrstuvwxyzABCDEFGHIJKLMNOPQRSTUVWXYZ.")))))</f>
        <v>0</v>
      </c>
      <c r="AC400">
        <f>OR(AND(IF(metadata!C400="",FALSE,TRUE),OR(exact(metadata!C400,"missing: not collected"),exact(metadata!C400,"missing: not provided"),exact(metadata!C400,"missing: restricted access"))),AND(IF(metadata!C400="",FALSE,TRUE),AND(AND(IFERROR(INT(LEFT(metadata!C400,4))&gt;1900,FALSE),IFERROR(INT(LEFT(metadata!C400,4))&lt;=YEAR(NOW()),FALSE)), OR(MID(metadata!C400,5,1)="", AND(AND(MID(metadata!C400,5,1)="-",IFERROR(INT(MID(metadata!C400,6,1))&gt;=0,FALSE),IFERROR(INT(MID(metadata!C400,6,1))&lt;=1,FALSE),NOT(MID(metadata!C400,7,1)=""),IFERROR(INT(MID(metadata!C400,6,2))&gt;=1,FALSE),IFERROR(INT(MID(metadata!C400,6,2))&lt;=12,FALSE)), OR(MID(metadata!C400,8,1)="", AND(AND(MID(metadata!C400,8,1)="-",IFERROR(INT(MID(metadata!C400,9,1))&gt;=0,FALSE),IFERROR(INT(MID(metadata!C400,9,1))&lt;=3,FALSE),NOT(MID(metadata!C400,10,1)=""),IFERROR(INT(MID(metadata!C400,9,2))&gt;=1,FALSE),IFERROR(INT(MID(metadata!C400,9,2))&lt;=31,FALSE)), OR(MID(metadata!C400,11,1)="", AND(AND(MID(metadata!C400,11,1)=" ",IFERROR(INT(MID(metadata!C400,12,1))&gt;=0,FALSE),IFERROR(INT(MID(metadata!C400,12,1))&lt;=2,FALSE),NOT(MID(metadata!C400,13,1)=""),IFERROR(INT(MID(metadata!C400,12,2))&gt;=0,FALSE),IFERROR(INT(MID(metadata!C400,12,2))&lt;=23,FALSE)), OR(MID(metadata!C400,14,1)="", AND(AND(MID(metadata!C400,14,1)=":",IFERROR(INT(MID(metadata!C400,15,1))&gt;=0,FALSE),IFERROR(INT(MID(metadata!C400,15,1))&lt;=5,FALSE),NOT(MID(metadata!C400,16,1)=""),IFERROR(INT(MID(metadata!C400,15,2))&gt;=0,FALSE),IFERROR(INT(MID(metadata!C400,15,2))&lt;=59,FALSE)), OR(MID(metadata!C400,17,1)="", AND(AND(MID(metadata!C400,17,1)=":",IFERROR(INT(MID(metadata!C400,18,1))&gt;=0,FALSE),IFERROR(INT(MID(metadata!C400,18,1))&lt;=5,FALSE),NOT(MID(metadata!C400,19,1)=""),IFERROR(INT(MID(metadata!C400,18,2))&gt;=0,FALSE),IFERROR(INT(MID(metadata!C400,18,2))&lt;=59,FALSE)), LEN(metadata!C400)&lt;=19)))))))))))))</f>
        <v>0</v>
      </c>
      <c r="AD400">
        <f>IF(metadata!D400="",FALSE,TRUE)</f>
        <v>0</v>
      </c>
      <c r="AE400">
        <f>OR(AND(IF(metadata!E400="",FALSE,TRUE),OR(exact(metadata!E400,"missing: not collected"),exact(metadata!E400,"missing: not provided"))),AND(IF(metadata!E400="",FALSE,TRUE),OR(exact(metadata!E400,"TRUE"),exact(metadata!E400,"FALSE"))))</f>
        <v>0</v>
      </c>
      <c r="AF400">
        <f>IF(metadata!F400="",FALSE,TRUE)</f>
        <v>0</v>
      </c>
      <c r="AG400">
        <f>IF(metadata!G400="",FALSE,TRUE)</f>
        <v>0</v>
      </c>
      <c r="AH400">
        <f>IF(metadata!H400="",FALSE,TRUE)</f>
        <v>0</v>
      </c>
      <c r="AI400">
        <f>OR(AND(IF(metadata!I400="",FALSE,TRUE),OR(exact(metadata!I400,"missing: not collected"),exact(metadata!I400,"missing: not provided"),exact(metadata!I400,"missing: restricted access"))),AND(IF(metadata!I400="",FALSE,TRUE),OR(exact(metadata!I400,"air"),exact(metadata!I400,"built environment"),exact(metadata!I400,"host-associated"),exact(metadata!I400,"human-associated"),exact(metadata!I400,"human-skin"),exact(metadata!I400,"human-oral"),exact(metadata!I400,"human-gut"),exact(metadata!I400,"human-vaginal"),exact(metadata!I400,"microbial mat/biofilm"),exact(metadata!I400,"misc environment"),exact(metadata!I400,"plant-associated"),exact(metadata!I400,"sediment"),exact(metadata!I400,"soil"),exact(metadata!I400,"wastewater/sludge"),exact(metadata!I400,"water"))))</f>
        <v>0</v>
      </c>
      <c r="AJ400">
        <f>IF(metadata!J400="",FALSE,TRUE)</f>
        <v>0</v>
      </c>
      <c r="AK400">
        <f>OR(AND(IF(metadata!K400="",FALSE,TRUE),OR(exact(metadata!K400,"missing: not collected"),exact(metadata!K400,"missing: not provided"),exact(metadata!K400,"missing: restricted access"))),AND(IF(metadata!K400="",FALSE,ISNUMBER(VALUE(metadata!K400))),metadata!K400&gt;=-90.00,metadata!K400&lt;=90.00))</f>
        <v>0</v>
      </c>
      <c r="AL400">
        <f>OR(AND(IF(metadata!L400="",FALSE,TRUE),OR(exact(metadata!L400,"missing: not collected"),exact(metadata!L400,"missing: not provided"),exact(metadata!L400,"missing: restricted access"))),AND(IF(metadata!L400="",FALSE,ISNUMBER(VALUE(metadata!L400))),metadata!L400&gt;=-180.00,metadata!L400&lt;=180.00))</f>
        <v>0</v>
      </c>
      <c r="AM400">
        <f>IF(metadata!M400="",FALSE,TRUE)</f>
        <v>0</v>
      </c>
      <c r="AN400">
        <f>OR(AND(IF(metadata!N400="",FALSE,TRUE),OR(exact(metadata!N400,"missing: not collected"),exact(metadata!N400,"missing: not provided"),exact(metadata!N400,"missing: restricted access"))),AND(IF(metadata!N400="",FALSE,TRUE),OR(exact(metadata!N400,"TRUE"),exact(metadata!N400,"FALSE"))))</f>
        <v>0</v>
      </c>
      <c r="AO400">
        <f>IF(metadata!O400="",FALSE,TRUE)</f>
        <v>0</v>
      </c>
      <c r="AP400">
        <f>OR(AND(IF(metadata!P400="",FALSE,TRUE),OR(exact(metadata!P400,"missing: not collected"),exact(metadata!P400,"missing: not provided"))),AND(IF(metadata!P400="",FALSE,IF(ISERROR(INT(metadata!P400)),FALSE,INT(metadata!P400)=metadata!P400)),metadata!P400&gt;0))</f>
        <v>0</v>
      </c>
      <c r="AQ400">
        <f>IF(metadata!Q400="",FALSE,TRUE)</f>
        <v>0</v>
      </c>
    </row>
    <row r="401" spans="1:43">
      <c r="A401" s="5">
        <f>IF(B401=" "," ",HYPERLINK(CONCATENATE("#metadata!",ADDRESS(INDEX($W$2:$W$1001,MATCH(ROWS($U$2:U401),$U$2:$U$1001,0),0),1)),INDEX($Z$2:$Z$1001,MATCH(ROWS($U$2:U401),$U$2:$U$1001,0),0)))</f>
        <v>0</v>
      </c>
      <c r="B401" s="4">
        <f>IF(OR(INDEX($V$2:$V$1001,MATCH(ROWS($U$2:U401),$U$2:$U$1001,0),1)&gt;=100000,INDEX($AB$1005:$AQ$1005,1,MATCH(COLUMNS($AB$1006:AB1006),$AB$1006:$AQ$1006,0))&gt;=100000), " ",IF(INDEX($AB$2:$AQ$1001,MATCH(ROWS($U$2:U401),$U$2:$U$1001,0),MATCH(COLUMNS($AB$1006:AB1006),$AB$1006:$AQ$1006,0)), HYPERLINK("#",""), HYPERLINK(CONCATENATE("#metadata!", ADDRESS(INDEX($W$2:$W$1001,MATCH(ROWS($U$2:U401),$U$2:$U$1001,0),0), INDEX($AB$1004:$AQ$1004,1,MATCH(COLUMNS($AB$1006:AB1006),$AB$1006:$AQ$1006,0)))),"Fix")))</f>
        <v>0</v>
      </c>
      <c r="C401" s="4">
        <f>IF(OR(INDEX($V$2:$V$1001,MATCH(ROWS($U$2:U401),$U$2:$U$1001,0),1)&gt;=100000,INDEX($AB$1005:$AQ$1005,1,MATCH(COLUMNS($AB$1006:AC1006),$AB$1006:$AQ$1006,0))&gt;=100000), " ",IF(INDEX($AB$2:$AQ$1001,MATCH(ROWS($U$2:U401),$U$2:$U$1001,0),MATCH(COLUMNS($AB$1006:AC1006),$AB$1006:$AQ$1006,0)), HYPERLINK("#",""), HYPERLINK(CONCATENATE("#metadata!", ADDRESS(INDEX($W$2:$W$1001,MATCH(ROWS($U$2:U401),$U$2:$U$1001,0),0), INDEX($AB$1004:$AQ$1004,1,MATCH(COLUMNS($AB$1006:AC1006),$AB$1006:$AQ$1006,0)))),"Fix")))</f>
        <v>0</v>
      </c>
      <c r="D401" s="4">
        <f>IF(OR(INDEX($V$2:$V$1001,MATCH(ROWS($U$2:U401),$U$2:$U$1001,0),1)&gt;=100000,INDEX($AB$1005:$AQ$1005,1,MATCH(COLUMNS($AB$1006:AD1006),$AB$1006:$AQ$1006,0))&gt;=100000), " ",IF(INDEX($AB$2:$AQ$1001,MATCH(ROWS($U$2:U401),$U$2:$U$1001,0),MATCH(COLUMNS($AB$1006:AD1006),$AB$1006:$AQ$1006,0)), HYPERLINK("#",""), HYPERLINK(CONCATENATE("#metadata!", ADDRESS(INDEX($W$2:$W$1001,MATCH(ROWS($U$2:U401),$U$2:$U$1001,0),0), INDEX($AB$1004:$AQ$1004,1,MATCH(COLUMNS($AB$1006:AD1006),$AB$1006:$AQ$1006,0)))),"Fix")))</f>
        <v>0</v>
      </c>
      <c r="E401" s="4">
        <f>IF(OR(INDEX($V$2:$V$1001,MATCH(ROWS($U$2:U401),$U$2:$U$1001,0),1)&gt;=100000,INDEX($AB$1005:$AQ$1005,1,MATCH(COLUMNS($AB$1006:AE1006),$AB$1006:$AQ$1006,0))&gt;=100000), " ",IF(INDEX($AB$2:$AQ$1001,MATCH(ROWS($U$2:U401),$U$2:$U$1001,0),MATCH(COLUMNS($AB$1006:AE1006),$AB$1006:$AQ$1006,0)), HYPERLINK("#",""), HYPERLINK(CONCATENATE("#metadata!", ADDRESS(INDEX($W$2:$W$1001,MATCH(ROWS($U$2:U401),$U$2:$U$1001,0),0), INDEX($AB$1004:$AQ$1004,1,MATCH(COLUMNS($AB$1006:AE1006),$AB$1006:$AQ$1006,0)))),"Fix")))</f>
        <v>0</v>
      </c>
      <c r="F401" s="4">
        <f>IF(OR(INDEX($V$2:$V$1001,MATCH(ROWS($U$2:U401),$U$2:$U$1001,0),1)&gt;=100000,INDEX($AB$1005:$AQ$1005,1,MATCH(COLUMNS($AB$1006:AF1006),$AB$1006:$AQ$1006,0))&gt;=100000), " ",IF(INDEX($AB$2:$AQ$1001,MATCH(ROWS($U$2:U401),$U$2:$U$1001,0),MATCH(COLUMNS($AB$1006:AF1006),$AB$1006:$AQ$1006,0)), HYPERLINK("#",""), HYPERLINK(CONCATENATE("#metadata!", ADDRESS(INDEX($W$2:$W$1001,MATCH(ROWS($U$2:U401),$U$2:$U$1001,0),0), INDEX($AB$1004:$AQ$1004,1,MATCH(COLUMNS($AB$1006:AF1006),$AB$1006:$AQ$1006,0)))),"Fix")))</f>
        <v>0</v>
      </c>
      <c r="G401" s="4">
        <f>IF(OR(INDEX($V$2:$V$1001,MATCH(ROWS($U$2:U401),$U$2:$U$1001,0),1)&gt;=100000,INDEX($AB$1005:$AQ$1005,1,MATCH(COLUMNS($AB$1006:AG1006),$AB$1006:$AQ$1006,0))&gt;=100000), " ",IF(INDEX($AB$2:$AQ$1001,MATCH(ROWS($U$2:U401),$U$2:$U$1001,0),MATCH(COLUMNS($AB$1006:AG1006),$AB$1006:$AQ$1006,0)), HYPERLINK("#",""), HYPERLINK(CONCATENATE("#metadata!", ADDRESS(INDEX($W$2:$W$1001,MATCH(ROWS($U$2:U401),$U$2:$U$1001,0),0), INDEX($AB$1004:$AQ$1004,1,MATCH(COLUMNS($AB$1006:AG1006),$AB$1006:$AQ$1006,0)))),"Fix")))</f>
        <v>0</v>
      </c>
      <c r="H401" s="4">
        <f>IF(OR(INDEX($V$2:$V$1001,MATCH(ROWS($U$2:U401),$U$2:$U$1001,0),1)&gt;=100000,INDEX($AB$1005:$AQ$1005,1,MATCH(COLUMNS($AB$1006:AH1006),$AB$1006:$AQ$1006,0))&gt;=100000), " ",IF(INDEX($AB$2:$AQ$1001,MATCH(ROWS($U$2:U401),$U$2:$U$1001,0),MATCH(COLUMNS($AB$1006:AH1006),$AB$1006:$AQ$1006,0)), HYPERLINK("#",""), HYPERLINK(CONCATENATE("#metadata!", ADDRESS(INDEX($W$2:$W$1001,MATCH(ROWS($U$2:U401),$U$2:$U$1001,0),0), INDEX($AB$1004:$AQ$1004,1,MATCH(COLUMNS($AB$1006:AH1006),$AB$1006:$AQ$1006,0)))),"Fix")))</f>
        <v>0</v>
      </c>
      <c r="I401" s="4">
        <f>IF(OR(INDEX($V$2:$V$1001,MATCH(ROWS($U$2:U401),$U$2:$U$1001,0),1)&gt;=100000,INDEX($AB$1005:$AQ$1005,1,MATCH(COLUMNS($AB$1006:AI1006),$AB$1006:$AQ$1006,0))&gt;=100000), " ",IF(INDEX($AB$2:$AQ$1001,MATCH(ROWS($U$2:U401),$U$2:$U$1001,0),MATCH(COLUMNS($AB$1006:AI1006),$AB$1006:$AQ$1006,0)), HYPERLINK("#",""), HYPERLINK(CONCATENATE("#metadata!", ADDRESS(INDEX($W$2:$W$1001,MATCH(ROWS($U$2:U401),$U$2:$U$1001,0),0), INDEX($AB$1004:$AQ$1004,1,MATCH(COLUMNS($AB$1006:AI1006),$AB$1006:$AQ$1006,0)))),"Fix")))</f>
        <v>0</v>
      </c>
      <c r="J401" s="4">
        <f>IF(OR(INDEX($V$2:$V$1001,MATCH(ROWS($U$2:U401),$U$2:$U$1001,0),1)&gt;=100000,INDEX($AB$1005:$AQ$1005,1,MATCH(COLUMNS($AB$1006:AJ1006),$AB$1006:$AQ$1006,0))&gt;=100000), " ",IF(INDEX($AB$2:$AQ$1001,MATCH(ROWS($U$2:U401),$U$2:$U$1001,0),MATCH(COLUMNS($AB$1006:AJ1006),$AB$1006:$AQ$1006,0)), HYPERLINK("#",""), HYPERLINK(CONCATENATE("#metadata!", ADDRESS(INDEX($W$2:$W$1001,MATCH(ROWS($U$2:U401),$U$2:$U$1001,0),0), INDEX($AB$1004:$AQ$1004,1,MATCH(COLUMNS($AB$1006:AJ1006),$AB$1006:$AQ$1006,0)))),"Fix")))</f>
        <v>0</v>
      </c>
      <c r="K401" s="4">
        <f>IF(OR(INDEX($V$2:$V$1001,MATCH(ROWS($U$2:U401),$U$2:$U$1001,0),1)&gt;=100000,INDEX($AB$1005:$AQ$1005,1,MATCH(COLUMNS($AB$1006:AK1006),$AB$1006:$AQ$1006,0))&gt;=100000), " ",IF(INDEX($AB$2:$AQ$1001,MATCH(ROWS($U$2:U401),$U$2:$U$1001,0),MATCH(COLUMNS($AB$1006:AK1006),$AB$1006:$AQ$1006,0)), HYPERLINK("#",""), HYPERLINK(CONCATENATE("#metadata!", ADDRESS(INDEX($W$2:$W$1001,MATCH(ROWS($U$2:U401),$U$2:$U$1001,0),0), INDEX($AB$1004:$AQ$1004,1,MATCH(COLUMNS($AB$1006:AK1006),$AB$1006:$AQ$1006,0)))),"Fix")))</f>
        <v>0</v>
      </c>
      <c r="L401" s="4">
        <f>IF(OR(INDEX($V$2:$V$1001,MATCH(ROWS($U$2:U401),$U$2:$U$1001,0),1)&gt;=100000,INDEX($AB$1005:$AQ$1005,1,MATCH(COLUMNS($AB$1006:AL1006),$AB$1006:$AQ$1006,0))&gt;=100000), " ",IF(INDEX($AB$2:$AQ$1001,MATCH(ROWS($U$2:U401),$U$2:$U$1001,0),MATCH(COLUMNS($AB$1006:AL1006),$AB$1006:$AQ$1006,0)), HYPERLINK("#",""), HYPERLINK(CONCATENATE("#metadata!", ADDRESS(INDEX($W$2:$W$1001,MATCH(ROWS($U$2:U401),$U$2:$U$1001,0),0), INDEX($AB$1004:$AQ$1004,1,MATCH(COLUMNS($AB$1006:AL1006),$AB$1006:$AQ$1006,0)))),"Fix")))</f>
        <v>0</v>
      </c>
      <c r="M401" s="4">
        <f>IF(OR(INDEX($V$2:$V$1001,MATCH(ROWS($U$2:U401),$U$2:$U$1001,0),1)&gt;=100000,INDEX($AB$1005:$AQ$1005,1,MATCH(COLUMNS($AB$1006:AM1006),$AB$1006:$AQ$1006,0))&gt;=100000), " ",IF(INDEX($AB$2:$AQ$1001,MATCH(ROWS($U$2:U401),$U$2:$U$1001,0),MATCH(COLUMNS($AB$1006:AM1006),$AB$1006:$AQ$1006,0)), HYPERLINK("#",""), HYPERLINK(CONCATENATE("#metadata!", ADDRESS(INDEX($W$2:$W$1001,MATCH(ROWS($U$2:U401),$U$2:$U$1001,0),0), INDEX($AB$1004:$AQ$1004,1,MATCH(COLUMNS($AB$1006:AM1006),$AB$1006:$AQ$1006,0)))),"Fix")))</f>
        <v>0</v>
      </c>
      <c r="N401" s="4">
        <f>IF(OR(INDEX($V$2:$V$1001,MATCH(ROWS($U$2:U401),$U$2:$U$1001,0),1)&gt;=100000,INDEX($AB$1005:$AQ$1005,1,MATCH(COLUMNS($AB$1006:AN1006),$AB$1006:$AQ$1006,0))&gt;=100000), " ",IF(INDEX($AB$2:$AQ$1001,MATCH(ROWS($U$2:U401),$U$2:$U$1001,0),MATCH(COLUMNS($AB$1006:AN1006),$AB$1006:$AQ$1006,0)), HYPERLINK("#",""), HYPERLINK(CONCATENATE("#metadata!", ADDRESS(INDEX($W$2:$W$1001,MATCH(ROWS($U$2:U401),$U$2:$U$1001,0),0), INDEX($AB$1004:$AQ$1004,1,MATCH(COLUMNS($AB$1006:AN1006),$AB$1006:$AQ$1006,0)))),"Fix")))</f>
        <v>0</v>
      </c>
      <c r="O401" s="4">
        <f>IF(OR(INDEX($V$2:$V$1001,MATCH(ROWS($U$2:U401),$U$2:$U$1001,0),1)&gt;=100000,INDEX($AB$1005:$AQ$1005,1,MATCH(COLUMNS($AB$1006:AO1006),$AB$1006:$AQ$1006,0))&gt;=100000), " ",IF(INDEX($AB$2:$AQ$1001,MATCH(ROWS($U$2:U401),$U$2:$U$1001,0),MATCH(COLUMNS($AB$1006:AO1006),$AB$1006:$AQ$1006,0)), HYPERLINK("#",""), HYPERLINK(CONCATENATE("#metadata!", ADDRESS(INDEX($W$2:$W$1001,MATCH(ROWS($U$2:U401),$U$2:$U$1001,0),0), INDEX($AB$1004:$AQ$1004,1,MATCH(COLUMNS($AB$1006:AO1006),$AB$1006:$AQ$1006,0)))),"Fix")))</f>
        <v>0</v>
      </c>
      <c r="P401" s="4">
        <f>IF(OR(INDEX($V$2:$V$1001,MATCH(ROWS($U$2:U401),$U$2:$U$1001,0),1)&gt;=100000,INDEX($AB$1005:$AQ$1005,1,MATCH(COLUMNS($AB$1006:AP1006),$AB$1006:$AQ$1006,0))&gt;=100000), " ",IF(INDEX($AB$2:$AQ$1001,MATCH(ROWS($U$2:U401),$U$2:$U$1001,0),MATCH(COLUMNS($AB$1006:AP1006),$AB$1006:$AQ$1006,0)), HYPERLINK("#",""), HYPERLINK(CONCATENATE("#metadata!", ADDRESS(INDEX($W$2:$W$1001,MATCH(ROWS($U$2:U401),$U$2:$U$1001,0),0), INDEX($AB$1004:$AQ$1004,1,MATCH(COLUMNS($AB$1006:AP1006),$AB$1006:$AQ$1006,0)))),"Fix")))</f>
        <v>0</v>
      </c>
      <c r="Q401" s="4">
        <f>IF(OR(INDEX($V$2:$V$1001,MATCH(ROWS($U$2:U401),$U$2:$U$1001,0),1)&gt;=100000,INDEX($AB$1005:$AQ$1005,1,MATCH(COLUMNS($AB$1006:AQ1006),$AB$1006:$AQ$1006,0))&gt;=100000), " ",IF(INDEX($AB$2:$AQ$1001,MATCH(ROWS($U$2:U401),$U$2:$U$1001,0),MATCH(COLUMNS($AB$1006:AQ1006),$AB$1006:$AQ$1006,0)), HYPERLINK("#",""), HYPERLINK(CONCATENATE("#metadata!", ADDRESS(INDEX($W$2:$W$1001,MATCH(ROWS($U$2:U401),$U$2:$U$1001,0),0), INDEX($AB$1004:$AQ$1004,1,MATCH(COLUMNS($AB$1006:AQ1006),$AB$1006:$AQ$1006,0)))),"Fix")))</f>
        <v>0</v>
      </c>
      <c r="U401">
        <v>0</v>
      </c>
      <c r="V401">
        <v>0</v>
      </c>
      <c r="W401">
        <v>0</v>
      </c>
      <c r="X401">
        <f>IF(Y401,TRUE,AND(AB401:AQ401))</f>
        <v>0</v>
      </c>
      <c r="Y401">
        <f>COUNTBLANK(metadata!B401:Q401)=COLUMNS(metadata!B401:Q401)</f>
        <v>0</v>
      </c>
      <c r="Z401">
        <v>0</v>
      </c>
      <c r="AB401">
        <f>AND(IF(metadata!B401="",FALSE,TRUE),COUNTIF(metadata!B:B, metadata!B401) = 1,NOT(ISERROR(SUMPRODUCT(SEARCH(MID(metadata!B401,ROW(INDIRECT("1:"&amp;LEN(metadata!B401))), 1),"0123456789abcdefghijklmnopqrstuvwxyzABCDEFGHIJKLMNOPQRSTUVWXYZ.")))))</f>
        <v>0</v>
      </c>
      <c r="AC401">
        <f>OR(AND(IF(metadata!C401="",FALSE,TRUE),OR(exact(metadata!C401,"missing: not collected"),exact(metadata!C401,"missing: not provided"),exact(metadata!C401,"missing: restricted access"))),AND(IF(metadata!C401="",FALSE,TRUE),AND(AND(IFERROR(INT(LEFT(metadata!C401,4))&gt;1900,FALSE),IFERROR(INT(LEFT(metadata!C401,4))&lt;=YEAR(NOW()),FALSE)), OR(MID(metadata!C401,5,1)="", AND(AND(MID(metadata!C401,5,1)="-",IFERROR(INT(MID(metadata!C401,6,1))&gt;=0,FALSE),IFERROR(INT(MID(metadata!C401,6,1))&lt;=1,FALSE),NOT(MID(metadata!C401,7,1)=""),IFERROR(INT(MID(metadata!C401,6,2))&gt;=1,FALSE),IFERROR(INT(MID(metadata!C401,6,2))&lt;=12,FALSE)), OR(MID(metadata!C401,8,1)="", AND(AND(MID(metadata!C401,8,1)="-",IFERROR(INT(MID(metadata!C401,9,1))&gt;=0,FALSE),IFERROR(INT(MID(metadata!C401,9,1))&lt;=3,FALSE),NOT(MID(metadata!C401,10,1)=""),IFERROR(INT(MID(metadata!C401,9,2))&gt;=1,FALSE),IFERROR(INT(MID(metadata!C401,9,2))&lt;=31,FALSE)), OR(MID(metadata!C401,11,1)="", AND(AND(MID(metadata!C401,11,1)=" ",IFERROR(INT(MID(metadata!C401,12,1))&gt;=0,FALSE),IFERROR(INT(MID(metadata!C401,12,1))&lt;=2,FALSE),NOT(MID(metadata!C401,13,1)=""),IFERROR(INT(MID(metadata!C401,12,2))&gt;=0,FALSE),IFERROR(INT(MID(metadata!C401,12,2))&lt;=23,FALSE)), OR(MID(metadata!C401,14,1)="", AND(AND(MID(metadata!C401,14,1)=":",IFERROR(INT(MID(metadata!C401,15,1))&gt;=0,FALSE),IFERROR(INT(MID(metadata!C401,15,1))&lt;=5,FALSE),NOT(MID(metadata!C401,16,1)=""),IFERROR(INT(MID(metadata!C401,15,2))&gt;=0,FALSE),IFERROR(INT(MID(metadata!C401,15,2))&lt;=59,FALSE)), OR(MID(metadata!C401,17,1)="", AND(AND(MID(metadata!C401,17,1)=":",IFERROR(INT(MID(metadata!C401,18,1))&gt;=0,FALSE),IFERROR(INT(MID(metadata!C401,18,1))&lt;=5,FALSE),NOT(MID(metadata!C401,19,1)=""),IFERROR(INT(MID(metadata!C401,18,2))&gt;=0,FALSE),IFERROR(INT(MID(metadata!C401,18,2))&lt;=59,FALSE)), LEN(metadata!C401)&lt;=19)))))))))))))</f>
        <v>0</v>
      </c>
      <c r="AD401">
        <f>IF(metadata!D401="",FALSE,TRUE)</f>
        <v>0</v>
      </c>
      <c r="AE401">
        <f>OR(AND(IF(metadata!E401="",FALSE,TRUE),OR(exact(metadata!E401,"missing: not collected"),exact(metadata!E401,"missing: not provided"))),AND(IF(metadata!E401="",FALSE,TRUE),OR(exact(metadata!E401,"TRUE"),exact(metadata!E401,"FALSE"))))</f>
        <v>0</v>
      </c>
      <c r="AF401">
        <f>IF(metadata!F401="",FALSE,TRUE)</f>
        <v>0</v>
      </c>
      <c r="AG401">
        <f>IF(metadata!G401="",FALSE,TRUE)</f>
        <v>0</v>
      </c>
      <c r="AH401">
        <f>IF(metadata!H401="",FALSE,TRUE)</f>
        <v>0</v>
      </c>
      <c r="AI401">
        <f>OR(AND(IF(metadata!I401="",FALSE,TRUE),OR(exact(metadata!I401,"missing: not collected"),exact(metadata!I401,"missing: not provided"),exact(metadata!I401,"missing: restricted access"))),AND(IF(metadata!I401="",FALSE,TRUE),OR(exact(metadata!I401,"air"),exact(metadata!I401,"built environment"),exact(metadata!I401,"host-associated"),exact(metadata!I401,"human-associated"),exact(metadata!I401,"human-skin"),exact(metadata!I401,"human-oral"),exact(metadata!I401,"human-gut"),exact(metadata!I401,"human-vaginal"),exact(metadata!I401,"microbial mat/biofilm"),exact(metadata!I401,"misc environment"),exact(metadata!I401,"plant-associated"),exact(metadata!I401,"sediment"),exact(metadata!I401,"soil"),exact(metadata!I401,"wastewater/sludge"),exact(metadata!I401,"water"))))</f>
        <v>0</v>
      </c>
      <c r="AJ401">
        <f>IF(metadata!J401="",FALSE,TRUE)</f>
        <v>0</v>
      </c>
      <c r="AK401">
        <f>OR(AND(IF(metadata!K401="",FALSE,TRUE),OR(exact(metadata!K401,"missing: not collected"),exact(metadata!K401,"missing: not provided"),exact(metadata!K401,"missing: restricted access"))),AND(IF(metadata!K401="",FALSE,ISNUMBER(VALUE(metadata!K401))),metadata!K401&gt;=-90.00,metadata!K401&lt;=90.00))</f>
        <v>0</v>
      </c>
      <c r="AL401">
        <f>OR(AND(IF(metadata!L401="",FALSE,TRUE),OR(exact(metadata!L401,"missing: not collected"),exact(metadata!L401,"missing: not provided"),exact(metadata!L401,"missing: restricted access"))),AND(IF(metadata!L401="",FALSE,ISNUMBER(VALUE(metadata!L401))),metadata!L401&gt;=-180.00,metadata!L401&lt;=180.00))</f>
        <v>0</v>
      </c>
      <c r="AM401">
        <f>IF(metadata!M401="",FALSE,TRUE)</f>
        <v>0</v>
      </c>
      <c r="AN401">
        <f>OR(AND(IF(metadata!N401="",FALSE,TRUE),OR(exact(metadata!N401,"missing: not collected"),exact(metadata!N401,"missing: not provided"),exact(metadata!N401,"missing: restricted access"))),AND(IF(metadata!N401="",FALSE,TRUE),OR(exact(metadata!N401,"TRUE"),exact(metadata!N401,"FALSE"))))</f>
        <v>0</v>
      </c>
      <c r="AO401">
        <f>IF(metadata!O401="",FALSE,TRUE)</f>
        <v>0</v>
      </c>
      <c r="AP401">
        <f>OR(AND(IF(metadata!P401="",FALSE,TRUE),OR(exact(metadata!P401,"missing: not collected"),exact(metadata!P401,"missing: not provided"))),AND(IF(metadata!P401="",FALSE,IF(ISERROR(INT(metadata!P401)),FALSE,INT(metadata!P401)=metadata!P401)),metadata!P401&gt;0))</f>
        <v>0</v>
      </c>
      <c r="AQ401">
        <f>IF(metadata!Q401="",FALSE,TRUE)</f>
        <v>0</v>
      </c>
    </row>
    <row r="402" spans="1:43">
      <c r="A402" s="5">
        <f>IF(B402=" "," ",HYPERLINK(CONCATENATE("#metadata!",ADDRESS(INDEX($W$2:$W$1001,MATCH(ROWS($U$2:U402),$U$2:$U$1001,0),0),1)),INDEX($Z$2:$Z$1001,MATCH(ROWS($U$2:U402),$U$2:$U$1001,0),0)))</f>
        <v>0</v>
      </c>
      <c r="B402" s="4">
        <f>IF(OR(INDEX($V$2:$V$1001,MATCH(ROWS($U$2:U402),$U$2:$U$1001,0),1)&gt;=100000,INDEX($AB$1005:$AQ$1005,1,MATCH(COLUMNS($AB$1006:AB1006),$AB$1006:$AQ$1006,0))&gt;=100000), " ",IF(INDEX($AB$2:$AQ$1001,MATCH(ROWS($U$2:U402),$U$2:$U$1001,0),MATCH(COLUMNS($AB$1006:AB1006),$AB$1006:$AQ$1006,0)), HYPERLINK("#",""), HYPERLINK(CONCATENATE("#metadata!", ADDRESS(INDEX($W$2:$W$1001,MATCH(ROWS($U$2:U402),$U$2:$U$1001,0),0), INDEX($AB$1004:$AQ$1004,1,MATCH(COLUMNS($AB$1006:AB1006),$AB$1006:$AQ$1006,0)))),"Fix")))</f>
        <v>0</v>
      </c>
      <c r="C402" s="4">
        <f>IF(OR(INDEX($V$2:$V$1001,MATCH(ROWS($U$2:U402),$U$2:$U$1001,0),1)&gt;=100000,INDEX($AB$1005:$AQ$1005,1,MATCH(COLUMNS($AB$1006:AC1006),$AB$1006:$AQ$1006,0))&gt;=100000), " ",IF(INDEX($AB$2:$AQ$1001,MATCH(ROWS($U$2:U402),$U$2:$U$1001,0),MATCH(COLUMNS($AB$1006:AC1006),$AB$1006:$AQ$1006,0)), HYPERLINK("#",""), HYPERLINK(CONCATENATE("#metadata!", ADDRESS(INDEX($W$2:$W$1001,MATCH(ROWS($U$2:U402),$U$2:$U$1001,0),0), INDEX($AB$1004:$AQ$1004,1,MATCH(COLUMNS($AB$1006:AC1006),$AB$1006:$AQ$1006,0)))),"Fix")))</f>
        <v>0</v>
      </c>
      <c r="D402" s="4">
        <f>IF(OR(INDEX($V$2:$V$1001,MATCH(ROWS($U$2:U402),$U$2:$U$1001,0),1)&gt;=100000,INDEX($AB$1005:$AQ$1005,1,MATCH(COLUMNS($AB$1006:AD1006),$AB$1006:$AQ$1006,0))&gt;=100000), " ",IF(INDEX($AB$2:$AQ$1001,MATCH(ROWS($U$2:U402),$U$2:$U$1001,0),MATCH(COLUMNS($AB$1006:AD1006),$AB$1006:$AQ$1006,0)), HYPERLINK("#",""), HYPERLINK(CONCATENATE("#metadata!", ADDRESS(INDEX($W$2:$W$1001,MATCH(ROWS($U$2:U402),$U$2:$U$1001,0),0), INDEX($AB$1004:$AQ$1004,1,MATCH(COLUMNS($AB$1006:AD1006),$AB$1006:$AQ$1006,0)))),"Fix")))</f>
        <v>0</v>
      </c>
      <c r="E402" s="4">
        <f>IF(OR(INDEX($V$2:$V$1001,MATCH(ROWS($U$2:U402),$U$2:$U$1001,0),1)&gt;=100000,INDEX($AB$1005:$AQ$1005,1,MATCH(COLUMNS($AB$1006:AE1006),$AB$1006:$AQ$1006,0))&gt;=100000), " ",IF(INDEX($AB$2:$AQ$1001,MATCH(ROWS($U$2:U402),$U$2:$U$1001,0),MATCH(COLUMNS($AB$1006:AE1006),$AB$1006:$AQ$1006,0)), HYPERLINK("#",""), HYPERLINK(CONCATENATE("#metadata!", ADDRESS(INDEX($W$2:$W$1001,MATCH(ROWS($U$2:U402),$U$2:$U$1001,0),0), INDEX($AB$1004:$AQ$1004,1,MATCH(COLUMNS($AB$1006:AE1006),$AB$1006:$AQ$1006,0)))),"Fix")))</f>
        <v>0</v>
      </c>
      <c r="F402" s="4">
        <f>IF(OR(INDEX($V$2:$V$1001,MATCH(ROWS($U$2:U402),$U$2:$U$1001,0),1)&gt;=100000,INDEX($AB$1005:$AQ$1005,1,MATCH(COLUMNS($AB$1006:AF1006),$AB$1006:$AQ$1006,0))&gt;=100000), " ",IF(INDEX($AB$2:$AQ$1001,MATCH(ROWS($U$2:U402),$U$2:$U$1001,0),MATCH(COLUMNS($AB$1006:AF1006),$AB$1006:$AQ$1006,0)), HYPERLINK("#",""), HYPERLINK(CONCATENATE("#metadata!", ADDRESS(INDEX($W$2:$W$1001,MATCH(ROWS($U$2:U402),$U$2:$U$1001,0),0), INDEX($AB$1004:$AQ$1004,1,MATCH(COLUMNS($AB$1006:AF1006),$AB$1006:$AQ$1006,0)))),"Fix")))</f>
        <v>0</v>
      </c>
      <c r="G402" s="4">
        <f>IF(OR(INDEX($V$2:$V$1001,MATCH(ROWS($U$2:U402),$U$2:$U$1001,0),1)&gt;=100000,INDEX($AB$1005:$AQ$1005,1,MATCH(COLUMNS($AB$1006:AG1006),$AB$1006:$AQ$1006,0))&gt;=100000), " ",IF(INDEX($AB$2:$AQ$1001,MATCH(ROWS($U$2:U402),$U$2:$U$1001,0),MATCH(COLUMNS($AB$1006:AG1006),$AB$1006:$AQ$1006,0)), HYPERLINK("#",""), HYPERLINK(CONCATENATE("#metadata!", ADDRESS(INDEX($W$2:$W$1001,MATCH(ROWS($U$2:U402),$U$2:$U$1001,0),0), INDEX($AB$1004:$AQ$1004,1,MATCH(COLUMNS($AB$1006:AG1006),$AB$1006:$AQ$1006,0)))),"Fix")))</f>
        <v>0</v>
      </c>
      <c r="H402" s="4">
        <f>IF(OR(INDEX($V$2:$V$1001,MATCH(ROWS($U$2:U402),$U$2:$U$1001,0),1)&gt;=100000,INDEX($AB$1005:$AQ$1005,1,MATCH(COLUMNS($AB$1006:AH1006),$AB$1006:$AQ$1006,0))&gt;=100000), " ",IF(INDEX($AB$2:$AQ$1001,MATCH(ROWS($U$2:U402),$U$2:$U$1001,0),MATCH(COLUMNS($AB$1006:AH1006),$AB$1006:$AQ$1006,0)), HYPERLINK("#",""), HYPERLINK(CONCATENATE("#metadata!", ADDRESS(INDEX($W$2:$W$1001,MATCH(ROWS($U$2:U402),$U$2:$U$1001,0),0), INDEX($AB$1004:$AQ$1004,1,MATCH(COLUMNS($AB$1006:AH1006),$AB$1006:$AQ$1006,0)))),"Fix")))</f>
        <v>0</v>
      </c>
      <c r="I402" s="4">
        <f>IF(OR(INDEX($V$2:$V$1001,MATCH(ROWS($U$2:U402),$U$2:$U$1001,0),1)&gt;=100000,INDEX($AB$1005:$AQ$1005,1,MATCH(COLUMNS($AB$1006:AI1006),$AB$1006:$AQ$1006,0))&gt;=100000), " ",IF(INDEX($AB$2:$AQ$1001,MATCH(ROWS($U$2:U402),$U$2:$U$1001,0),MATCH(COLUMNS($AB$1006:AI1006),$AB$1006:$AQ$1006,0)), HYPERLINK("#",""), HYPERLINK(CONCATENATE("#metadata!", ADDRESS(INDEX($W$2:$W$1001,MATCH(ROWS($U$2:U402),$U$2:$U$1001,0),0), INDEX($AB$1004:$AQ$1004,1,MATCH(COLUMNS($AB$1006:AI1006),$AB$1006:$AQ$1006,0)))),"Fix")))</f>
        <v>0</v>
      </c>
      <c r="J402" s="4">
        <f>IF(OR(INDEX($V$2:$V$1001,MATCH(ROWS($U$2:U402),$U$2:$U$1001,0),1)&gt;=100000,INDEX($AB$1005:$AQ$1005,1,MATCH(COLUMNS($AB$1006:AJ1006),$AB$1006:$AQ$1006,0))&gt;=100000), " ",IF(INDEX($AB$2:$AQ$1001,MATCH(ROWS($U$2:U402),$U$2:$U$1001,0),MATCH(COLUMNS($AB$1006:AJ1006),$AB$1006:$AQ$1006,0)), HYPERLINK("#",""), HYPERLINK(CONCATENATE("#metadata!", ADDRESS(INDEX($W$2:$W$1001,MATCH(ROWS($U$2:U402),$U$2:$U$1001,0),0), INDEX($AB$1004:$AQ$1004,1,MATCH(COLUMNS($AB$1006:AJ1006),$AB$1006:$AQ$1006,0)))),"Fix")))</f>
        <v>0</v>
      </c>
      <c r="K402" s="4">
        <f>IF(OR(INDEX($V$2:$V$1001,MATCH(ROWS($U$2:U402),$U$2:$U$1001,0),1)&gt;=100000,INDEX($AB$1005:$AQ$1005,1,MATCH(COLUMNS($AB$1006:AK1006),$AB$1006:$AQ$1006,0))&gt;=100000), " ",IF(INDEX($AB$2:$AQ$1001,MATCH(ROWS($U$2:U402),$U$2:$U$1001,0),MATCH(COLUMNS($AB$1006:AK1006),$AB$1006:$AQ$1006,0)), HYPERLINK("#",""), HYPERLINK(CONCATENATE("#metadata!", ADDRESS(INDEX($W$2:$W$1001,MATCH(ROWS($U$2:U402),$U$2:$U$1001,0),0), INDEX($AB$1004:$AQ$1004,1,MATCH(COLUMNS($AB$1006:AK1006),$AB$1006:$AQ$1006,0)))),"Fix")))</f>
        <v>0</v>
      </c>
      <c r="L402" s="4">
        <f>IF(OR(INDEX($V$2:$V$1001,MATCH(ROWS($U$2:U402),$U$2:$U$1001,0),1)&gt;=100000,INDEX($AB$1005:$AQ$1005,1,MATCH(COLUMNS($AB$1006:AL1006),$AB$1006:$AQ$1006,0))&gt;=100000), " ",IF(INDEX($AB$2:$AQ$1001,MATCH(ROWS($U$2:U402),$U$2:$U$1001,0),MATCH(COLUMNS($AB$1006:AL1006),$AB$1006:$AQ$1006,0)), HYPERLINK("#",""), HYPERLINK(CONCATENATE("#metadata!", ADDRESS(INDEX($W$2:$W$1001,MATCH(ROWS($U$2:U402),$U$2:$U$1001,0),0), INDEX($AB$1004:$AQ$1004,1,MATCH(COLUMNS($AB$1006:AL1006),$AB$1006:$AQ$1006,0)))),"Fix")))</f>
        <v>0</v>
      </c>
      <c r="M402" s="4">
        <f>IF(OR(INDEX($V$2:$V$1001,MATCH(ROWS($U$2:U402),$U$2:$U$1001,0),1)&gt;=100000,INDEX($AB$1005:$AQ$1005,1,MATCH(COLUMNS($AB$1006:AM1006),$AB$1006:$AQ$1006,0))&gt;=100000), " ",IF(INDEX($AB$2:$AQ$1001,MATCH(ROWS($U$2:U402),$U$2:$U$1001,0),MATCH(COLUMNS($AB$1006:AM1006),$AB$1006:$AQ$1006,0)), HYPERLINK("#",""), HYPERLINK(CONCATENATE("#metadata!", ADDRESS(INDEX($W$2:$W$1001,MATCH(ROWS($U$2:U402),$U$2:$U$1001,0),0), INDEX($AB$1004:$AQ$1004,1,MATCH(COLUMNS($AB$1006:AM1006),$AB$1006:$AQ$1006,0)))),"Fix")))</f>
        <v>0</v>
      </c>
      <c r="N402" s="4">
        <f>IF(OR(INDEX($V$2:$V$1001,MATCH(ROWS($U$2:U402),$U$2:$U$1001,0),1)&gt;=100000,INDEX($AB$1005:$AQ$1005,1,MATCH(COLUMNS($AB$1006:AN1006),$AB$1006:$AQ$1006,0))&gt;=100000), " ",IF(INDEX($AB$2:$AQ$1001,MATCH(ROWS($U$2:U402),$U$2:$U$1001,0),MATCH(COLUMNS($AB$1006:AN1006),$AB$1006:$AQ$1006,0)), HYPERLINK("#",""), HYPERLINK(CONCATENATE("#metadata!", ADDRESS(INDEX($W$2:$W$1001,MATCH(ROWS($U$2:U402),$U$2:$U$1001,0),0), INDEX($AB$1004:$AQ$1004,1,MATCH(COLUMNS($AB$1006:AN1006),$AB$1006:$AQ$1006,0)))),"Fix")))</f>
        <v>0</v>
      </c>
      <c r="O402" s="4">
        <f>IF(OR(INDEX($V$2:$V$1001,MATCH(ROWS($U$2:U402),$U$2:$U$1001,0),1)&gt;=100000,INDEX($AB$1005:$AQ$1005,1,MATCH(COLUMNS($AB$1006:AO1006),$AB$1006:$AQ$1006,0))&gt;=100000), " ",IF(INDEX($AB$2:$AQ$1001,MATCH(ROWS($U$2:U402),$U$2:$U$1001,0),MATCH(COLUMNS($AB$1006:AO1006),$AB$1006:$AQ$1006,0)), HYPERLINK("#",""), HYPERLINK(CONCATENATE("#metadata!", ADDRESS(INDEX($W$2:$W$1001,MATCH(ROWS($U$2:U402),$U$2:$U$1001,0),0), INDEX($AB$1004:$AQ$1004,1,MATCH(COLUMNS($AB$1006:AO1006),$AB$1006:$AQ$1006,0)))),"Fix")))</f>
        <v>0</v>
      </c>
      <c r="P402" s="4">
        <f>IF(OR(INDEX($V$2:$V$1001,MATCH(ROWS($U$2:U402),$U$2:$U$1001,0),1)&gt;=100000,INDEX($AB$1005:$AQ$1005,1,MATCH(COLUMNS($AB$1006:AP1006),$AB$1006:$AQ$1006,0))&gt;=100000), " ",IF(INDEX($AB$2:$AQ$1001,MATCH(ROWS($U$2:U402),$U$2:$U$1001,0),MATCH(COLUMNS($AB$1006:AP1006),$AB$1006:$AQ$1006,0)), HYPERLINK("#",""), HYPERLINK(CONCATENATE("#metadata!", ADDRESS(INDEX($W$2:$W$1001,MATCH(ROWS($U$2:U402),$U$2:$U$1001,0),0), INDEX($AB$1004:$AQ$1004,1,MATCH(COLUMNS($AB$1006:AP1006),$AB$1006:$AQ$1006,0)))),"Fix")))</f>
        <v>0</v>
      </c>
      <c r="Q402" s="4">
        <f>IF(OR(INDEX($V$2:$V$1001,MATCH(ROWS($U$2:U402),$U$2:$U$1001,0),1)&gt;=100000,INDEX($AB$1005:$AQ$1005,1,MATCH(COLUMNS($AB$1006:AQ1006),$AB$1006:$AQ$1006,0))&gt;=100000), " ",IF(INDEX($AB$2:$AQ$1001,MATCH(ROWS($U$2:U402),$U$2:$U$1001,0),MATCH(COLUMNS($AB$1006:AQ1006),$AB$1006:$AQ$1006,0)), HYPERLINK("#",""), HYPERLINK(CONCATENATE("#metadata!", ADDRESS(INDEX($W$2:$W$1001,MATCH(ROWS($U$2:U402),$U$2:$U$1001,0),0), INDEX($AB$1004:$AQ$1004,1,MATCH(COLUMNS($AB$1006:AQ1006),$AB$1006:$AQ$1006,0)))),"Fix")))</f>
        <v>0</v>
      </c>
      <c r="U402">
        <v>0</v>
      </c>
      <c r="V402">
        <v>0</v>
      </c>
      <c r="W402">
        <v>0</v>
      </c>
      <c r="X402">
        <f>IF(Y402,TRUE,AND(AB402:AQ402))</f>
        <v>0</v>
      </c>
      <c r="Y402">
        <f>COUNTBLANK(metadata!B402:Q402)=COLUMNS(metadata!B402:Q402)</f>
        <v>0</v>
      </c>
      <c r="Z402">
        <v>0</v>
      </c>
      <c r="AB402">
        <f>AND(IF(metadata!B402="",FALSE,TRUE),COUNTIF(metadata!B:B, metadata!B402) = 1,NOT(ISERROR(SUMPRODUCT(SEARCH(MID(metadata!B402,ROW(INDIRECT("1:"&amp;LEN(metadata!B402))), 1),"0123456789abcdefghijklmnopqrstuvwxyzABCDEFGHIJKLMNOPQRSTUVWXYZ.")))))</f>
        <v>0</v>
      </c>
      <c r="AC402">
        <f>OR(AND(IF(metadata!C402="",FALSE,TRUE),OR(exact(metadata!C402,"missing: not collected"),exact(metadata!C402,"missing: not provided"),exact(metadata!C402,"missing: restricted access"))),AND(IF(metadata!C402="",FALSE,TRUE),AND(AND(IFERROR(INT(LEFT(metadata!C402,4))&gt;1900,FALSE),IFERROR(INT(LEFT(metadata!C402,4))&lt;=YEAR(NOW()),FALSE)), OR(MID(metadata!C402,5,1)="", AND(AND(MID(metadata!C402,5,1)="-",IFERROR(INT(MID(metadata!C402,6,1))&gt;=0,FALSE),IFERROR(INT(MID(metadata!C402,6,1))&lt;=1,FALSE),NOT(MID(metadata!C402,7,1)=""),IFERROR(INT(MID(metadata!C402,6,2))&gt;=1,FALSE),IFERROR(INT(MID(metadata!C402,6,2))&lt;=12,FALSE)), OR(MID(metadata!C402,8,1)="", AND(AND(MID(metadata!C402,8,1)="-",IFERROR(INT(MID(metadata!C402,9,1))&gt;=0,FALSE),IFERROR(INT(MID(metadata!C402,9,1))&lt;=3,FALSE),NOT(MID(metadata!C402,10,1)=""),IFERROR(INT(MID(metadata!C402,9,2))&gt;=1,FALSE),IFERROR(INT(MID(metadata!C402,9,2))&lt;=31,FALSE)), OR(MID(metadata!C402,11,1)="", AND(AND(MID(metadata!C402,11,1)=" ",IFERROR(INT(MID(metadata!C402,12,1))&gt;=0,FALSE),IFERROR(INT(MID(metadata!C402,12,1))&lt;=2,FALSE),NOT(MID(metadata!C402,13,1)=""),IFERROR(INT(MID(metadata!C402,12,2))&gt;=0,FALSE),IFERROR(INT(MID(metadata!C402,12,2))&lt;=23,FALSE)), OR(MID(metadata!C402,14,1)="", AND(AND(MID(metadata!C402,14,1)=":",IFERROR(INT(MID(metadata!C402,15,1))&gt;=0,FALSE),IFERROR(INT(MID(metadata!C402,15,1))&lt;=5,FALSE),NOT(MID(metadata!C402,16,1)=""),IFERROR(INT(MID(metadata!C402,15,2))&gt;=0,FALSE),IFERROR(INT(MID(metadata!C402,15,2))&lt;=59,FALSE)), OR(MID(metadata!C402,17,1)="", AND(AND(MID(metadata!C402,17,1)=":",IFERROR(INT(MID(metadata!C402,18,1))&gt;=0,FALSE),IFERROR(INT(MID(metadata!C402,18,1))&lt;=5,FALSE),NOT(MID(metadata!C402,19,1)=""),IFERROR(INT(MID(metadata!C402,18,2))&gt;=0,FALSE),IFERROR(INT(MID(metadata!C402,18,2))&lt;=59,FALSE)), LEN(metadata!C402)&lt;=19)))))))))))))</f>
        <v>0</v>
      </c>
      <c r="AD402">
        <f>IF(metadata!D402="",FALSE,TRUE)</f>
        <v>0</v>
      </c>
      <c r="AE402">
        <f>OR(AND(IF(metadata!E402="",FALSE,TRUE),OR(exact(metadata!E402,"missing: not collected"),exact(metadata!E402,"missing: not provided"))),AND(IF(metadata!E402="",FALSE,TRUE),OR(exact(metadata!E402,"TRUE"),exact(metadata!E402,"FALSE"))))</f>
        <v>0</v>
      </c>
      <c r="AF402">
        <f>IF(metadata!F402="",FALSE,TRUE)</f>
        <v>0</v>
      </c>
      <c r="AG402">
        <f>IF(metadata!G402="",FALSE,TRUE)</f>
        <v>0</v>
      </c>
      <c r="AH402">
        <f>IF(metadata!H402="",FALSE,TRUE)</f>
        <v>0</v>
      </c>
      <c r="AI402">
        <f>OR(AND(IF(metadata!I402="",FALSE,TRUE),OR(exact(metadata!I402,"missing: not collected"),exact(metadata!I402,"missing: not provided"),exact(metadata!I402,"missing: restricted access"))),AND(IF(metadata!I402="",FALSE,TRUE),OR(exact(metadata!I402,"air"),exact(metadata!I402,"built environment"),exact(metadata!I402,"host-associated"),exact(metadata!I402,"human-associated"),exact(metadata!I402,"human-skin"),exact(metadata!I402,"human-oral"),exact(metadata!I402,"human-gut"),exact(metadata!I402,"human-vaginal"),exact(metadata!I402,"microbial mat/biofilm"),exact(metadata!I402,"misc environment"),exact(metadata!I402,"plant-associated"),exact(metadata!I402,"sediment"),exact(metadata!I402,"soil"),exact(metadata!I402,"wastewater/sludge"),exact(metadata!I402,"water"))))</f>
        <v>0</v>
      </c>
      <c r="AJ402">
        <f>IF(metadata!J402="",FALSE,TRUE)</f>
        <v>0</v>
      </c>
      <c r="AK402">
        <f>OR(AND(IF(metadata!K402="",FALSE,TRUE),OR(exact(metadata!K402,"missing: not collected"),exact(metadata!K402,"missing: not provided"),exact(metadata!K402,"missing: restricted access"))),AND(IF(metadata!K402="",FALSE,ISNUMBER(VALUE(metadata!K402))),metadata!K402&gt;=-90.00,metadata!K402&lt;=90.00))</f>
        <v>0</v>
      </c>
      <c r="AL402">
        <f>OR(AND(IF(metadata!L402="",FALSE,TRUE),OR(exact(metadata!L402,"missing: not collected"),exact(metadata!L402,"missing: not provided"),exact(metadata!L402,"missing: restricted access"))),AND(IF(metadata!L402="",FALSE,ISNUMBER(VALUE(metadata!L402))),metadata!L402&gt;=-180.00,metadata!L402&lt;=180.00))</f>
        <v>0</v>
      </c>
      <c r="AM402">
        <f>IF(metadata!M402="",FALSE,TRUE)</f>
        <v>0</v>
      </c>
      <c r="AN402">
        <f>OR(AND(IF(metadata!N402="",FALSE,TRUE),OR(exact(metadata!N402,"missing: not collected"),exact(metadata!N402,"missing: not provided"),exact(metadata!N402,"missing: restricted access"))),AND(IF(metadata!N402="",FALSE,TRUE),OR(exact(metadata!N402,"TRUE"),exact(metadata!N402,"FALSE"))))</f>
        <v>0</v>
      </c>
      <c r="AO402">
        <f>IF(metadata!O402="",FALSE,TRUE)</f>
        <v>0</v>
      </c>
      <c r="AP402">
        <f>OR(AND(IF(metadata!P402="",FALSE,TRUE),OR(exact(metadata!P402,"missing: not collected"),exact(metadata!P402,"missing: not provided"))),AND(IF(metadata!P402="",FALSE,IF(ISERROR(INT(metadata!P402)),FALSE,INT(metadata!P402)=metadata!P402)),metadata!P402&gt;0))</f>
        <v>0</v>
      </c>
      <c r="AQ402">
        <f>IF(metadata!Q402="",FALSE,TRUE)</f>
        <v>0</v>
      </c>
    </row>
    <row r="403" spans="1:43">
      <c r="A403" s="5">
        <f>IF(B403=" "," ",HYPERLINK(CONCATENATE("#metadata!",ADDRESS(INDEX($W$2:$W$1001,MATCH(ROWS($U$2:U403),$U$2:$U$1001,0),0),1)),INDEX($Z$2:$Z$1001,MATCH(ROWS($U$2:U403),$U$2:$U$1001,0),0)))</f>
        <v>0</v>
      </c>
      <c r="B403" s="4">
        <f>IF(OR(INDEX($V$2:$V$1001,MATCH(ROWS($U$2:U403),$U$2:$U$1001,0),1)&gt;=100000,INDEX($AB$1005:$AQ$1005,1,MATCH(COLUMNS($AB$1006:AB1006),$AB$1006:$AQ$1006,0))&gt;=100000), " ",IF(INDEX($AB$2:$AQ$1001,MATCH(ROWS($U$2:U403),$U$2:$U$1001,0),MATCH(COLUMNS($AB$1006:AB1006),$AB$1006:$AQ$1006,0)), HYPERLINK("#",""), HYPERLINK(CONCATENATE("#metadata!", ADDRESS(INDEX($W$2:$W$1001,MATCH(ROWS($U$2:U403),$U$2:$U$1001,0),0), INDEX($AB$1004:$AQ$1004,1,MATCH(COLUMNS($AB$1006:AB1006),$AB$1006:$AQ$1006,0)))),"Fix")))</f>
        <v>0</v>
      </c>
      <c r="C403" s="4">
        <f>IF(OR(INDEX($V$2:$V$1001,MATCH(ROWS($U$2:U403),$U$2:$U$1001,0),1)&gt;=100000,INDEX($AB$1005:$AQ$1005,1,MATCH(COLUMNS($AB$1006:AC1006),$AB$1006:$AQ$1006,0))&gt;=100000), " ",IF(INDEX($AB$2:$AQ$1001,MATCH(ROWS($U$2:U403),$U$2:$U$1001,0),MATCH(COLUMNS($AB$1006:AC1006),$AB$1006:$AQ$1006,0)), HYPERLINK("#",""), HYPERLINK(CONCATENATE("#metadata!", ADDRESS(INDEX($W$2:$W$1001,MATCH(ROWS($U$2:U403),$U$2:$U$1001,0),0), INDEX($AB$1004:$AQ$1004,1,MATCH(COLUMNS($AB$1006:AC1006),$AB$1006:$AQ$1006,0)))),"Fix")))</f>
        <v>0</v>
      </c>
      <c r="D403" s="4">
        <f>IF(OR(INDEX($V$2:$V$1001,MATCH(ROWS($U$2:U403),$U$2:$U$1001,0),1)&gt;=100000,INDEX($AB$1005:$AQ$1005,1,MATCH(COLUMNS($AB$1006:AD1006),$AB$1006:$AQ$1006,0))&gt;=100000), " ",IF(INDEX($AB$2:$AQ$1001,MATCH(ROWS($U$2:U403),$U$2:$U$1001,0),MATCH(COLUMNS($AB$1006:AD1006),$AB$1006:$AQ$1006,0)), HYPERLINK("#",""), HYPERLINK(CONCATENATE("#metadata!", ADDRESS(INDEX($W$2:$W$1001,MATCH(ROWS($U$2:U403),$U$2:$U$1001,0),0), INDEX($AB$1004:$AQ$1004,1,MATCH(COLUMNS($AB$1006:AD1006),$AB$1006:$AQ$1006,0)))),"Fix")))</f>
        <v>0</v>
      </c>
      <c r="E403" s="4">
        <f>IF(OR(INDEX($V$2:$V$1001,MATCH(ROWS($U$2:U403),$U$2:$U$1001,0),1)&gt;=100000,INDEX($AB$1005:$AQ$1005,1,MATCH(COLUMNS($AB$1006:AE1006),$AB$1006:$AQ$1006,0))&gt;=100000), " ",IF(INDEX($AB$2:$AQ$1001,MATCH(ROWS($U$2:U403),$U$2:$U$1001,0),MATCH(COLUMNS($AB$1006:AE1006),$AB$1006:$AQ$1006,0)), HYPERLINK("#",""), HYPERLINK(CONCATENATE("#metadata!", ADDRESS(INDEX($W$2:$W$1001,MATCH(ROWS($U$2:U403),$U$2:$U$1001,0),0), INDEX($AB$1004:$AQ$1004,1,MATCH(COLUMNS($AB$1006:AE1006),$AB$1006:$AQ$1006,0)))),"Fix")))</f>
        <v>0</v>
      </c>
      <c r="F403" s="4">
        <f>IF(OR(INDEX($V$2:$V$1001,MATCH(ROWS($U$2:U403),$U$2:$U$1001,0),1)&gt;=100000,INDEX($AB$1005:$AQ$1005,1,MATCH(COLUMNS($AB$1006:AF1006),$AB$1006:$AQ$1006,0))&gt;=100000), " ",IF(INDEX($AB$2:$AQ$1001,MATCH(ROWS($U$2:U403),$U$2:$U$1001,0),MATCH(COLUMNS($AB$1006:AF1006),$AB$1006:$AQ$1006,0)), HYPERLINK("#",""), HYPERLINK(CONCATENATE("#metadata!", ADDRESS(INDEX($W$2:$W$1001,MATCH(ROWS($U$2:U403),$U$2:$U$1001,0),0), INDEX($AB$1004:$AQ$1004,1,MATCH(COLUMNS($AB$1006:AF1006),$AB$1006:$AQ$1006,0)))),"Fix")))</f>
        <v>0</v>
      </c>
      <c r="G403" s="4">
        <f>IF(OR(INDEX($V$2:$V$1001,MATCH(ROWS($U$2:U403),$U$2:$U$1001,0),1)&gt;=100000,INDEX($AB$1005:$AQ$1005,1,MATCH(COLUMNS($AB$1006:AG1006),$AB$1006:$AQ$1006,0))&gt;=100000), " ",IF(INDEX($AB$2:$AQ$1001,MATCH(ROWS($U$2:U403),$U$2:$U$1001,0),MATCH(COLUMNS($AB$1006:AG1006),$AB$1006:$AQ$1006,0)), HYPERLINK("#",""), HYPERLINK(CONCATENATE("#metadata!", ADDRESS(INDEX($W$2:$W$1001,MATCH(ROWS($U$2:U403),$U$2:$U$1001,0),0), INDEX($AB$1004:$AQ$1004,1,MATCH(COLUMNS($AB$1006:AG1006),$AB$1006:$AQ$1006,0)))),"Fix")))</f>
        <v>0</v>
      </c>
      <c r="H403" s="4">
        <f>IF(OR(INDEX($V$2:$V$1001,MATCH(ROWS($U$2:U403),$U$2:$U$1001,0),1)&gt;=100000,INDEX($AB$1005:$AQ$1005,1,MATCH(COLUMNS($AB$1006:AH1006),$AB$1006:$AQ$1006,0))&gt;=100000), " ",IF(INDEX($AB$2:$AQ$1001,MATCH(ROWS($U$2:U403),$U$2:$U$1001,0),MATCH(COLUMNS($AB$1006:AH1006),$AB$1006:$AQ$1006,0)), HYPERLINK("#",""), HYPERLINK(CONCATENATE("#metadata!", ADDRESS(INDEX($W$2:$W$1001,MATCH(ROWS($U$2:U403),$U$2:$U$1001,0),0), INDEX($AB$1004:$AQ$1004,1,MATCH(COLUMNS($AB$1006:AH1006),$AB$1006:$AQ$1006,0)))),"Fix")))</f>
        <v>0</v>
      </c>
      <c r="I403" s="4">
        <f>IF(OR(INDEX($V$2:$V$1001,MATCH(ROWS($U$2:U403),$U$2:$U$1001,0),1)&gt;=100000,INDEX($AB$1005:$AQ$1005,1,MATCH(COLUMNS($AB$1006:AI1006),$AB$1006:$AQ$1006,0))&gt;=100000), " ",IF(INDEX($AB$2:$AQ$1001,MATCH(ROWS($U$2:U403),$U$2:$U$1001,0),MATCH(COLUMNS($AB$1006:AI1006),$AB$1006:$AQ$1006,0)), HYPERLINK("#",""), HYPERLINK(CONCATENATE("#metadata!", ADDRESS(INDEX($W$2:$W$1001,MATCH(ROWS($U$2:U403),$U$2:$U$1001,0),0), INDEX($AB$1004:$AQ$1004,1,MATCH(COLUMNS($AB$1006:AI1006),$AB$1006:$AQ$1006,0)))),"Fix")))</f>
        <v>0</v>
      </c>
      <c r="J403" s="4">
        <f>IF(OR(INDEX($V$2:$V$1001,MATCH(ROWS($U$2:U403),$U$2:$U$1001,0),1)&gt;=100000,INDEX($AB$1005:$AQ$1005,1,MATCH(COLUMNS($AB$1006:AJ1006),$AB$1006:$AQ$1006,0))&gt;=100000), " ",IF(INDEX($AB$2:$AQ$1001,MATCH(ROWS($U$2:U403),$U$2:$U$1001,0),MATCH(COLUMNS($AB$1006:AJ1006),$AB$1006:$AQ$1006,0)), HYPERLINK("#",""), HYPERLINK(CONCATENATE("#metadata!", ADDRESS(INDEX($W$2:$W$1001,MATCH(ROWS($U$2:U403),$U$2:$U$1001,0),0), INDEX($AB$1004:$AQ$1004,1,MATCH(COLUMNS($AB$1006:AJ1006),$AB$1006:$AQ$1006,0)))),"Fix")))</f>
        <v>0</v>
      </c>
      <c r="K403" s="4">
        <f>IF(OR(INDEX($V$2:$V$1001,MATCH(ROWS($U$2:U403),$U$2:$U$1001,0),1)&gt;=100000,INDEX($AB$1005:$AQ$1005,1,MATCH(COLUMNS($AB$1006:AK1006),$AB$1006:$AQ$1006,0))&gt;=100000), " ",IF(INDEX($AB$2:$AQ$1001,MATCH(ROWS($U$2:U403),$U$2:$U$1001,0),MATCH(COLUMNS($AB$1006:AK1006),$AB$1006:$AQ$1006,0)), HYPERLINK("#",""), HYPERLINK(CONCATENATE("#metadata!", ADDRESS(INDEX($W$2:$W$1001,MATCH(ROWS($U$2:U403),$U$2:$U$1001,0),0), INDEX($AB$1004:$AQ$1004,1,MATCH(COLUMNS($AB$1006:AK1006),$AB$1006:$AQ$1006,0)))),"Fix")))</f>
        <v>0</v>
      </c>
      <c r="L403" s="4">
        <f>IF(OR(INDEX($V$2:$V$1001,MATCH(ROWS($U$2:U403),$U$2:$U$1001,0),1)&gt;=100000,INDEX($AB$1005:$AQ$1005,1,MATCH(COLUMNS($AB$1006:AL1006),$AB$1006:$AQ$1006,0))&gt;=100000), " ",IF(INDEX($AB$2:$AQ$1001,MATCH(ROWS($U$2:U403),$U$2:$U$1001,0),MATCH(COLUMNS($AB$1006:AL1006),$AB$1006:$AQ$1006,0)), HYPERLINK("#",""), HYPERLINK(CONCATENATE("#metadata!", ADDRESS(INDEX($W$2:$W$1001,MATCH(ROWS($U$2:U403),$U$2:$U$1001,0),0), INDEX($AB$1004:$AQ$1004,1,MATCH(COLUMNS($AB$1006:AL1006),$AB$1006:$AQ$1006,0)))),"Fix")))</f>
        <v>0</v>
      </c>
      <c r="M403" s="4">
        <f>IF(OR(INDEX($V$2:$V$1001,MATCH(ROWS($U$2:U403),$U$2:$U$1001,0),1)&gt;=100000,INDEX($AB$1005:$AQ$1005,1,MATCH(COLUMNS($AB$1006:AM1006),$AB$1006:$AQ$1006,0))&gt;=100000), " ",IF(INDEX($AB$2:$AQ$1001,MATCH(ROWS($U$2:U403),$U$2:$U$1001,0),MATCH(COLUMNS($AB$1006:AM1006),$AB$1006:$AQ$1006,0)), HYPERLINK("#",""), HYPERLINK(CONCATENATE("#metadata!", ADDRESS(INDEX($W$2:$W$1001,MATCH(ROWS($U$2:U403),$U$2:$U$1001,0),0), INDEX($AB$1004:$AQ$1004,1,MATCH(COLUMNS($AB$1006:AM1006),$AB$1006:$AQ$1006,0)))),"Fix")))</f>
        <v>0</v>
      </c>
      <c r="N403" s="4">
        <f>IF(OR(INDEX($V$2:$V$1001,MATCH(ROWS($U$2:U403),$U$2:$U$1001,0),1)&gt;=100000,INDEX($AB$1005:$AQ$1005,1,MATCH(COLUMNS($AB$1006:AN1006),$AB$1006:$AQ$1006,0))&gt;=100000), " ",IF(INDEX($AB$2:$AQ$1001,MATCH(ROWS($U$2:U403),$U$2:$U$1001,0),MATCH(COLUMNS($AB$1006:AN1006),$AB$1006:$AQ$1006,0)), HYPERLINK("#",""), HYPERLINK(CONCATENATE("#metadata!", ADDRESS(INDEX($W$2:$W$1001,MATCH(ROWS($U$2:U403),$U$2:$U$1001,0),0), INDEX($AB$1004:$AQ$1004,1,MATCH(COLUMNS($AB$1006:AN1006),$AB$1006:$AQ$1006,0)))),"Fix")))</f>
        <v>0</v>
      </c>
      <c r="O403" s="4">
        <f>IF(OR(INDEX($V$2:$V$1001,MATCH(ROWS($U$2:U403),$U$2:$U$1001,0),1)&gt;=100000,INDEX($AB$1005:$AQ$1005,1,MATCH(COLUMNS($AB$1006:AO1006),$AB$1006:$AQ$1006,0))&gt;=100000), " ",IF(INDEX($AB$2:$AQ$1001,MATCH(ROWS($U$2:U403),$U$2:$U$1001,0),MATCH(COLUMNS($AB$1006:AO1006),$AB$1006:$AQ$1006,0)), HYPERLINK("#",""), HYPERLINK(CONCATENATE("#metadata!", ADDRESS(INDEX($W$2:$W$1001,MATCH(ROWS($U$2:U403),$U$2:$U$1001,0),0), INDEX($AB$1004:$AQ$1004,1,MATCH(COLUMNS($AB$1006:AO1006),$AB$1006:$AQ$1006,0)))),"Fix")))</f>
        <v>0</v>
      </c>
      <c r="P403" s="4">
        <f>IF(OR(INDEX($V$2:$V$1001,MATCH(ROWS($U$2:U403),$U$2:$U$1001,0),1)&gt;=100000,INDEX($AB$1005:$AQ$1005,1,MATCH(COLUMNS($AB$1006:AP1006),$AB$1006:$AQ$1006,0))&gt;=100000), " ",IF(INDEX($AB$2:$AQ$1001,MATCH(ROWS($U$2:U403),$U$2:$U$1001,0),MATCH(COLUMNS($AB$1006:AP1006),$AB$1006:$AQ$1006,0)), HYPERLINK("#",""), HYPERLINK(CONCATENATE("#metadata!", ADDRESS(INDEX($W$2:$W$1001,MATCH(ROWS($U$2:U403),$U$2:$U$1001,0),0), INDEX($AB$1004:$AQ$1004,1,MATCH(COLUMNS($AB$1006:AP1006),$AB$1006:$AQ$1006,0)))),"Fix")))</f>
        <v>0</v>
      </c>
      <c r="Q403" s="4">
        <f>IF(OR(INDEX($V$2:$V$1001,MATCH(ROWS($U$2:U403),$U$2:$U$1001,0),1)&gt;=100000,INDEX($AB$1005:$AQ$1005,1,MATCH(COLUMNS($AB$1006:AQ1006),$AB$1006:$AQ$1006,0))&gt;=100000), " ",IF(INDEX($AB$2:$AQ$1001,MATCH(ROWS($U$2:U403),$U$2:$U$1001,0),MATCH(COLUMNS($AB$1006:AQ1006),$AB$1006:$AQ$1006,0)), HYPERLINK("#",""), HYPERLINK(CONCATENATE("#metadata!", ADDRESS(INDEX($W$2:$W$1001,MATCH(ROWS($U$2:U403),$U$2:$U$1001,0),0), INDEX($AB$1004:$AQ$1004,1,MATCH(COLUMNS($AB$1006:AQ1006),$AB$1006:$AQ$1006,0)))),"Fix")))</f>
        <v>0</v>
      </c>
      <c r="U403">
        <v>0</v>
      </c>
      <c r="V403">
        <v>0</v>
      </c>
      <c r="W403">
        <v>0</v>
      </c>
      <c r="X403">
        <f>IF(Y403,TRUE,AND(AB403:AQ403))</f>
        <v>0</v>
      </c>
      <c r="Y403">
        <f>COUNTBLANK(metadata!B403:Q403)=COLUMNS(metadata!B403:Q403)</f>
        <v>0</v>
      </c>
      <c r="Z403">
        <v>0</v>
      </c>
      <c r="AB403">
        <f>AND(IF(metadata!B403="",FALSE,TRUE),COUNTIF(metadata!B:B, metadata!B403) = 1,NOT(ISERROR(SUMPRODUCT(SEARCH(MID(metadata!B403,ROW(INDIRECT("1:"&amp;LEN(metadata!B403))), 1),"0123456789abcdefghijklmnopqrstuvwxyzABCDEFGHIJKLMNOPQRSTUVWXYZ.")))))</f>
        <v>0</v>
      </c>
      <c r="AC403">
        <f>OR(AND(IF(metadata!C403="",FALSE,TRUE),OR(exact(metadata!C403,"missing: not collected"),exact(metadata!C403,"missing: not provided"),exact(metadata!C403,"missing: restricted access"))),AND(IF(metadata!C403="",FALSE,TRUE),AND(AND(IFERROR(INT(LEFT(metadata!C403,4))&gt;1900,FALSE),IFERROR(INT(LEFT(metadata!C403,4))&lt;=YEAR(NOW()),FALSE)), OR(MID(metadata!C403,5,1)="", AND(AND(MID(metadata!C403,5,1)="-",IFERROR(INT(MID(metadata!C403,6,1))&gt;=0,FALSE),IFERROR(INT(MID(metadata!C403,6,1))&lt;=1,FALSE),NOT(MID(metadata!C403,7,1)=""),IFERROR(INT(MID(metadata!C403,6,2))&gt;=1,FALSE),IFERROR(INT(MID(metadata!C403,6,2))&lt;=12,FALSE)), OR(MID(metadata!C403,8,1)="", AND(AND(MID(metadata!C403,8,1)="-",IFERROR(INT(MID(metadata!C403,9,1))&gt;=0,FALSE),IFERROR(INT(MID(metadata!C403,9,1))&lt;=3,FALSE),NOT(MID(metadata!C403,10,1)=""),IFERROR(INT(MID(metadata!C403,9,2))&gt;=1,FALSE),IFERROR(INT(MID(metadata!C403,9,2))&lt;=31,FALSE)), OR(MID(metadata!C403,11,1)="", AND(AND(MID(metadata!C403,11,1)=" ",IFERROR(INT(MID(metadata!C403,12,1))&gt;=0,FALSE),IFERROR(INT(MID(metadata!C403,12,1))&lt;=2,FALSE),NOT(MID(metadata!C403,13,1)=""),IFERROR(INT(MID(metadata!C403,12,2))&gt;=0,FALSE),IFERROR(INT(MID(metadata!C403,12,2))&lt;=23,FALSE)), OR(MID(metadata!C403,14,1)="", AND(AND(MID(metadata!C403,14,1)=":",IFERROR(INT(MID(metadata!C403,15,1))&gt;=0,FALSE),IFERROR(INT(MID(metadata!C403,15,1))&lt;=5,FALSE),NOT(MID(metadata!C403,16,1)=""),IFERROR(INT(MID(metadata!C403,15,2))&gt;=0,FALSE),IFERROR(INT(MID(metadata!C403,15,2))&lt;=59,FALSE)), OR(MID(metadata!C403,17,1)="", AND(AND(MID(metadata!C403,17,1)=":",IFERROR(INT(MID(metadata!C403,18,1))&gt;=0,FALSE),IFERROR(INT(MID(metadata!C403,18,1))&lt;=5,FALSE),NOT(MID(metadata!C403,19,1)=""),IFERROR(INT(MID(metadata!C403,18,2))&gt;=0,FALSE),IFERROR(INT(MID(metadata!C403,18,2))&lt;=59,FALSE)), LEN(metadata!C403)&lt;=19)))))))))))))</f>
        <v>0</v>
      </c>
      <c r="AD403">
        <f>IF(metadata!D403="",FALSE,TRUE)</f>
        <v>0</v>
      </c>
      <c r="AE403">
        <f>OR(AND(IF(metadata!E403="",FALSE,TRUE),OR(exact(metadata!E403,"missing: not collected"),exact(metadata!E403,"missing: not provided"))),AND(IF(metadata!E403="",FALSE,TRUE),OR(exact(metadata!E403,"TRUE"),exact(metadata!E403,"FALSE"))))</f>
        <v>0</v>
      </c>
      <c r="AF403">
        <f>IF(metadata!F403="",FALSE,TRUE)</f>
        <v>0</v>
      </c>
      <c r="AG403">
        <f>IF(metadata!G403="",FALSE,TRUE)</f>
        <v>0</v>
      </c>
      <c r="AH403">
        <f>IF(metadata!H403="",FALSE,TRUE)</f>
        <v>0</v>
      </c>
      <c r="AI403">
        <f>OR(AND(IF(metadata!I403="",FALSE,TRUE),OR(exact(metadata!I403,"missing: not collected"),exact(metadata!I403,"missing: not provided"),exact(metadata!I403,"missing: restricted access"))),AND(IF(metadata!I403="",FALSE,TRUE),OR(exact(metadata!I403,"air"),exact(metadata!I403,"built environment"),exact(metadata!I403,"host-associated"),exact(metadata!I403,"human-associated"),exact(metadata!I403,"human-skin"),exact(metadata!I403,"human-oral"),exact(metadata!I403,"human-gut"),exact(metadata!I403,"human-vaginal"),exact(metadata!I403,"microbial mat/biofilm"),exact(metadata!I403,"misc environment"),exact(metadata!I403,"plant-associated"),exact(metadata!I403,"sediment"),exact(metadata!I403,"soil"),exact(metadata!I403,"wastewater/sludge"),exact(metadata!I403,"water"))))</f>
        <v>0</v>
      </c>
      <c r="AJ403">
        <f>IF(metadata!J403="",FALSE,TRUE)</f>
        <v>0</v>
      </c>
      <c r="AK403">
        <f>OR(AND(IF(metadata!K403="",FALSE,TRUE),OR(exact(metadata!K403,"missing: not collected"),exact(metadata!K403,"missing: not provided"),exact(metadata!K403,"missing: restricted access"))),AND(IF(metadata!K403="",FALSE,ISNUMBER(VALUE(metadata!K403))),metadata!K403&gt;=-90.00,metadata!K403&lt;=90.00))</f>
        <v>0</v>
      </c>
      <c r="AL403">
        <f>OR(AND(IF(metadata!L403="",FALSE,TRUE),OR(exact(metadata!L403,"missing: not collected"),exact(metadata!L403,"missing: not provided"),exact(metadata!L403,"missing: restricted access"))),AND(IF(metadata!L403="",FALSE,ISNUMBER(VALUE(metadata!L403))),metadata!L403&gt;=-180.00,metadata!L403&lt;=180.00))</f>
        <v>0</v>
      </c>
      <c r="AM403">
        <f>IF(metadata!M403="",FALSE,TRUE)</f>
        <v>0</v>
      </c>
      <c r="AN403">
        <f>OR(AND(IF(metadata!N403="",FALSE,TRUE),OR(exact(metadata!N403,"missing: not collected"),exact(metadata!N403,"missing: not provided"),exact(metadata!N403,"missing: restricted access"))),AND(IF(metadata!N403="",FALSE,TRUE),OR(exact(metadata!N403,"TRUE"),exact(metadata!N403,"FALSE"))))</f>
        <v>0</v>
      </c>
      <c r="AO403">
        <f>IF(metadata!O403="",FALSE,TRUE)</f>
        <v>0</v>
      </c>
      <c r="AP403">
        <f>OR(AND(IF(metadata!P403="",FALSE,TRUE),OR(exact(metadata!P403,"missing: not collected"),exact(metadata!P403,"missing: not provided"))),AND(IF(metadata!P403="",FALSE,IF(ISERROR(INT(metadata!P403)),FALSE,INT(metadata!P403)=metadata!P403)),metadata!P403&gt;0))</f>
        <v>0</v>
      </c>
      <c r="AQ403">
        <f>IF(metadata!Q403="",FALSE,TRUE)</f>
        <v>0</v>
      </c>
    </row>
    <row r="404" spans="1:43">
      <c r="A404" s="5">
        <f>IF(B404=" "," ",HYPERLINK(CONCATENATE("#metadata!",ADDRESS(INDEX($W$2:$W$1001,MATCH(ROWS($U$2:U404),$U$2:$U$1001,0),0),1)),INDEX($Z$2:$Z$1001,MATCH(ROWS($U$2:U404),$U$2:$U$1001,0),0)))</f>
        <v>0</v>
      </c>
      <c r="B404" s="4">
        <f>IF(OR(INDEX($V$2:$V$1001,MATCH(ROWS($U$2:U404),$U$2:$U$1001,0),1)&gt;=100000,INDEX($AB$1005:$AQ$1005,1,MATCH(COLUMNS($AB$1006:AB1006),$AB$1006:$AQ$1006,0))&gt;=100000), " ",IF(INDEX($AB$2:$AQ$1001,MATCH(ROWS($U$2:U404),$U$2:$U$1001,0),MATCH(COLUMNS($AB$1006:AB1006),$AB$1006:$AQ$1006,0)), HYPERLINK("#",""), HYPERLINK(CONCATENATE("#metadata!", ADDRESS(INDEX($W$2:$W$1001,MATCH(ROWS($U$2:U404),$U$2:$U$1001,0),0), INDEX($AB$1004:$AQ$1004,1,MATCH(COLUMNS($AB$1006:AB1006),$AB$1006:$AQ$1006,0)))),"Fix")))</f>
        <v>0</v>
      </c>
      <c r="C404" s="4">
        <f>IF(OR(INDEX($V$2:$V$1001,MATCH(ROWS($U$2:U404),$U$2:$U$1001,0),1)&gt;=100000,INDEX($AB$1005:$AQ$1005,1,MATCH(COLUMNS($AB$1006:AC1006),$AB$1006:$AQ$1006,0))&gt;=100000), " ",IF(INDEX($AB$2:$AQ$1001,MATCH(ROWS($U$2:U404),$U$2:$U$1001,0),MATCH(COLUMNS($AB$1006:AC1006),$AB$1006:$AQ$1006,0)), HYPERLINK("#",""), HYPERLINK(CONCATENATE("#metadata!", ADDRESS(INDEX($W$2:$W$1001,MATCH(ROWS($U$2:U404),$U$2:$U$1001,0),0), INDEX($AB$1004:$AQ$1004,1,MATCH(COLUMNS($AB$1006:AC1006),$AB$1006:$AQ$1006,0)))),"Fix")))</f>
        <v>0</v>
      </c>
      <c r="D404" s="4">
        <f>IF(OR(INDEX($V$2:$V$1001,MATCH(ROWS($U$2:U404),$U$2:$U$1001,0),1)&gt;=100000,INDEX($AB$1005:$AQ$1005,1,MATCH(COLUMNS($AB$1006:AD1006),$AB$1006:$AQ$1006,0))&gt;=100000), " ",IF(INDEX($AB$2:$AQ$1001,MATCH(ROWS($U$2:U404),$U$2:$U$1001,0),MATCH(COLUMNS($AB$1006:AD1006),$AB$1006:$AQ$1006,0)), HYPERLINK("#",""), HYPERLINK(CONCATENATE("#metadata!", ADDRESS(INDEX($W$2:$W$1001,MATCH(ROWS($U$2:U404),$U$2:$U$1001,0),0), INDEX($AB$1004:$AQ$1004,1,MATCH(COLUMNS($AB$1006:AD1006),$AB$1006:$AQ$1006,0)))),"Fix")))</f>
        <v>0</v>
      </c>
      <c r="E404" s="4">
        <f>IF(OR(INDEX($V$2:$V$1001,MATCH(ROWS($U$2:U404),$U$2:$U$1001,0),1)&gt;=100000,INDEX($AB$1005:$AQ$1005,1,MATCH(COLUMNS($AB$1006:AE1006),$AB$1006:$AQ$1006,0))&gt;=100000), " ",IF(INDEX($AB$2:$AQ$1001,MATCH(ROWS($U$2:U404),$U$2:$U$1001,0),MATCH(COLUMNS($AB$1006:AE1006),$AB$1006:$AQ$1006,0)), HYPERLINK("#",""), HYPERLINK(CONCATENATE("#metadata!", ADDRESS(INDEX($W$2:$W$1001,MATCH(ROWS($U$2:U404),$U$2:$U$1001,0),0), INDEX($AB$1004:$AQ$1004,1,MATCH(COLUMNS($AB$1006:AE1006),$AB$1006:$AQ$1006,0)))),"Fix")))</f>
        <v>0</v>
      </c>
      <c r="F404" s="4">
        <f>IF(OR(INDEX($V$2:$V$1001,MATCH(ROWS($U$2:U404),$U$2:$U$1001,0),1)&gt;=100000,INDEX($AB$1005:$AQ$1005,1,MATCH(COLUMNS($AB$1006:AF1006),$AB$1006:$AQ$1006,0))&gt;=100000), " ",IF(INDEX($AB$2:$AQ$1001,MATCH(ROWS($U$2:U404),$U$2:$U$1001,0),MATCH(COLUMNS($AB$1006:AF1006),$AB$1006:$AQ$1006,0)), HYPERLINK("#",""), HYPERLINK(CONCATENATE("#metadata!", ADDRESS(INDEX($W$2:$W$1001,MATCH(ROWS($U$2:U404),$U$2:$U$1001,0),0), INDEX($AB$1004:$AQ$1004,1,MATCH(COLUMNS($AB$1006:AF1006),$AB$1006:$AQ$1006,0)))),"Fix")))</f>
        <v>0</v>
      </c>
      <c r="G404" s="4">
        <f>IF(OR(INDEX($V$2:$V$1001,MATCH(ROWS($U$2:U404),$U$2:$U$1001,0),1)&gt;=100000,INDEX($AB$1005:$AQ$1005,1,MATCH(COLUMNS($AB$1006:AG1006),$AB$1006:$AQ$1006,0))&gt;=100000), " ",IF(INDEX($AB$2:$AQ$1001,MATCH(ROWS($U$2:U404),$U$2:$U$1001,0),MATCH(COLUMNS($AB$1006:AG1006),$AB$1006:$AQ$1006,0)), HYPERLINK("#",""), HYPERLINK(CONCATENATE("#metadata!", ADDRESS(INDEX($W$2:$W$1001,MATCH(ROWS($U$2:U404),$U$2:$U$1001,0),0), INDEX($AB$1004:$AQ$1004,1,MATCH(COLUMNS($AB$1006:AG1006),$AB$1006:$AQ$1006,0)))),"Fix")))</f>
        <v>0</v>
      </c>
      <c r="H404" s="4">
        <f>IF(OR(INDEX($V$2:$V$1001,MATCH(ROWS($U$2:U404),$U$2:$U$1001,0),1)&gt;=100000,INDEX($AB$1005:$AQ$1005,1,MATCH(COLUMNS($AB$1006:AH1006),$AB$1006:$AQ$1006,0))&gt;=100000), " ",IF(INDEX($AB$2:$AQ$1001,MATCH(ROWS($U$2:U404),$U$2:$U$1001,0),MATCH(COLUMNS($AB$1006:AH1006),$AB$1006:$AQ$1006,0)), HYPERLINK("#",""), HYPERLINK(CONCATENATE("#metadata!", ADDRESS(INDEX($W$2:$W$1001,MATCH(ROWS($U$2:U404),$U$2:$U$1001,0),0), INDEX($AB$1004:$AQ$1004,1,MATCH(COLUMNS($AB$1006:AH1006),$AB$1006:$AQ$1006,0)))),"Fix")))</f>
        <v>0</v>
      </c>
      <c r="I404" s="4">
        <f>IF(OR(INDEX($V$2:$V$1001,MATCH(ROWS($U$2:U404),$U$2:$U$1001,0),1)&gt;=100000,INDEX($AB$1005:$AQ$1005,1,MATCH(COLUMNS($AB$1006:AI1006),$AB$1006:$AQ$1006,0))&gt;=100000), " ",IF(INDEX($AB$2:$AQ$1001,MATCH(ROWS($U$2:U404),$U$2:$U$1001,0),MATCH(COLUMNS($AB$1006:AI1006),$AB$1006:$AQ$1006,0)), HYPERLINK("#",""), HYPERLINK(CONCATENATE("#metadata!", ADDRESS(INDEX($W$2:$W$1001,MATCH(ROWS($U$2:U404),$U$2:$U$1001,0),0), INDEX($AB$1004:$AQ$1004,1,MATCH(COLUMNS($AB$1006:AI1006),$AB$1006:$AQ$1006,0)))),"Fix")))</f>
        <v>0</v>
      </c>
      <c r="J404" s="4">
        <f>IF(OR(INDEX($V$2:$V$1001,MATCH(ROWS($U$2:U404),$U$2:$U$1001,0),1)&gt;=100000,INDEX($AB$1005:$AQ$1005,1,MATCH(COLUMNS($AB$1006:AJ1006),$AB$1006:$AQ$1006,0))&gt;=100000), " ",IF(INDEX($AB$2:$AQ$1001,MATCH(ROWS($U$2:U404),$U$2:$U$1001,0),MATCH(COLUMNS($AB$1006:AJ1006),$AB$1006:$AQ$1006,0)), HYPERLINK("#",""), HYPERLINK(CONCATENATE("#metadata!", ADDRESS(INDEX($W$2:$W$1001,MATCH(ROWS($U$2:U404),$U$2:$U$1001,0),0), INDEX($AB$1004:$AQ$1004,1,MATCH(COLUMNS($AB$1006:AJ1006),$AB$1006:$AQ$1006,0)))),"Fix")))</f>
        <v>0</v>
      </c>
      <c r="K404" s="4">
        <f>IF(OR(INDEX($V$2:$V$1001,MATCH(ROWS($U$2:U404),$U$2:$U$1001,0),1)&gt;=100000,INDEX($AB$1005:$AQ$1005,1,MATCH(COLUMNS($AB$1006:AK1006),$AB$1006:$AQ$1006,0))&gt;=100000), " ",IF(INDEX($AB$2:$AQ$1001,MATCH(ROWS($U$2:U404),$U$2:$U$1001,0),MATCH(COLUMNS($AB$1006:AK1006),$AB$1006:$AQ$1006,0)), HYPERLINK("#",""), HYPERLINK(CONCATENATE("#metadata!", ADDRESS(INDEX($W$2:$W$1001,MATCH(ROWS($U$2:U404),$U$2:$U$1001,0),0), INDEX($AB$1004:$AQ$1004,1,MATCH(COLUMNS($AB$1006:AK1006),$AB$1006:$AQ$1006,0)))),"Fix")))</f>
        <v>0</v>
      </c>
      <c r="L404" s="4">
        <f>IF(OR(INDEX($V$2:$V$1001,MATCH(ROWS($U$2:U404),$U$2:$U$1001,0),1)&gt;=100000,INDEX($AB$1005:$AQ$1005,1,MATCH(COLUMNS($AB$1006:AL1006),$AB$1006:$AQ$1006,0))&gt;=100000), " ",IF(INDEX($AB$2:$AQ$1001,MATCH(ROWS($U$2:U404),$U$2:$U$1001,0),MATCH(COLUMNS($AB$1006:AL1006),$AB$1006:$AQ$1006,0)), HYPERLINK("#",""), HYPERLINK(CONCATENATE("#metadata!", ADDRESS(INDEX($W$2:$W$1001,MATCH(ROWS($U$2:U404),$U$2:$U$1001,0),0), INDEX($AB$1004:$AQ$1004,1,MATCH(COLUMNS($AB$1006:AL1006),$AB$1006:$AQ$1006,0)))),"Fix")))</f>
        <v>0</v>
      </c>
      <c r="M404" s="4">
        <f>IF(OR(INDEX($V$2:$V$1001,MATCH(ROWS($U$2:U404),$U$2:$U$1001,0),1)&gt;=100000,INDEX($AB$1005:$AQ$1005,1,MATCH(COLUMNS($AB$1006:AM1006),$AB$1006:$AQ$1006,0))&gt;=100000), " ",IF(INDEX($AB$2:$AQ$1001,MATCH(ROWS($U$2:U404),$U$2:$U$1001,0),MATCH(COLUMNS($AB$1006:AM1006),$AB$1006:$AQ$1006,0)), HYPERLINK("#",""), HYPERLINK(CONCATENATE("#metadata!", ADDRESS(INDEX($W$2:$W$1001,MATCH(ROWS($U$2:U404),$U$2:$U$1001,0),0), INDEX($AB$1004:$AQ$1004,1,MATCH(COLUMNS($AB$1006:AM1006),$AB$1006:$AQ$1006,0)))),"Fix")))</f>
        <v>0</v>
      </c>
      <c r="N404" s="4">
        <f>IF(OR(INDEX($V$2:$V$1001,MATCH(ROWS($U$2:U404),$U$2:$U$1001,0),1)&gt;=100000,INDEX($AB$1005:$AQ$1005,1,MATCH(COLUMNS($AB$1006:AN1006),$AB$1006:$AQ$1006,0))&gt;=100000), " ",IF(INDEX($AB$2:$AQ$1001,MATCH(ROWS($U$2:U404),$U$2:$U$1001,0),MATCH(COLUMNS($AB$1006:AN1006),$AB$1006:$AQ$1006,0)), HYPERLINK("#",""), HYPERLINK(CONCATENATE("#metadata!", ADDRESS(INDEX($W$2:$W$1001,MATCH(ROWS($U$2:U404),$U$2:$U$1001,0),0), INDEX($AB$1004:$AQ$1004,1,MATCH(COLUMNS($AB$1006:AN1006),$AB$1006:$AQ$1006,0)))),"Fix")))</f>
        <v>0</v>
      </c>
      <c r="O404" s="4">
        <f>IF(OR(INDEX($V$2:$V$1001,MATCH(ROWS($U$2:U404),$U$2:$U$1001,0),1)&gt;=100000,INDEX($AB$1005:$AQ$1005,1,MATCH(COLUMNS($AB$1006:AO1006),$AB$1006:$AQ$1006,0))&gt;=100000), " ",IF(INDEX($AB$2:$AQ$1001,MATCH(ROWS($U$2:U404),$U$2:$U$1001,0),MATCH(COLUMNS($AB$1006:AO1006),$AB$1006:$AQ$1006,0)), HYPERLINK("#",""), HYPERLINK(CONCATENATE("#metadata!", ADDRESS(INDEX($W$2:$W$1001,MATCH(ROWS($U$2:U404),$U$2:$U$1001,0),0), INDEX($AB$1004:$AQ$1004,1,MATCH(COLUMNS($AB$1006:AO1006),$AB$1006:$AQ$1006,0)))),"Fix")))</f>
        <v>0</v>
      </c>
      <c r="P404" s="4">
        <f>IF(OR(INDEX($V$2:$V$1001,MATCH(ROWS($U$2:U404),$U$2:$U$1001,0),1)&gt;=100000,INDEX($AB$1005:$AQ$1005,1,MATCH(COLUMNS($AB$1006:AP1006),$AB$1006:$AQ$1006,0))&gt;=100000), " ",IF(INDEX($AB$2:$AQ$1001,MATCH(ROWS($U$2:U404),$U$2:$U$1001,0),MATCH(COLUMNS($AB$1006:AP1006),$AB$1006:$AQ$1006,0)), HYPERLINK("#",""), HYPERLINK(CONCATENATE("#metadata!", ADDRESS(INDEX($W$2:$W$1001,MATCH(ROWS($U$2:U404),$U$2:$U$1001,0),0), INDEX($AB$1004:$AQ$1004,1,MATCH(COLUMNS($AB$1006:AP1006),$AB$1006:$AQ$1006,0)))),"Fix")))</f>
        <v>0</v>
      </c>
      <c r="Q404" s="4">
        <f>IF(OR(INDEX($V$2:$V$1001,MATCH(ROWS($U$2:U404),$U$2:$U$1001,0),1)&gt;=100000,INDEX($AB$1005:$AQ$1005,1,MATCH(COLUMNS($AB$1006:AQ1006),$AB$1006:$AQ$1006,0))&gt;=100000), " ",IF(INDEX($AB$2:$AQ$1001,MATCH(ROWS($U$2:U404),$U$2:$U$1001,0),MATCH(COLUMNS($AB$1006:AQ1006),$AB$1006:$AQ$1006,0)), HYPERLINK("#",""), HYPERLINK(CONCATENATE("#metadata!", ADDRESS(INDEX($W$2:$W$1001,MATCH(ROWS($U$2:U404),$U$2:$U$1001,0),0), INDEX($AB$1004:$AQ$1004,1,MATCH(COLUMNS($AB$1006:AQ1006),$AB$1006:$AQ$1006,0)))),"Fix")))</f>
        <v>0</v>
      </c>
      <c r="U404">
        <v>0</v>
      </c>
      <c r="V404">
        <v>0</v>
      </c>
      <c r="W404">
        <v>0</v>
      </c>
      <c r="X404">
        <f>IF(Y404,TRUE,AND(AB404:AQ404))</f>
        <v>0</v>
      </c>
      <c r="Y404">
        <f>COUNTBLANK(metadata!B404:Q404)=COLUMNS(metadata!B404:Q404)</f>
        <v>0</v>
      </c>
      <c r="Z404">
        <v>0</v>
      </c>
      <c r="AB404">
        <f>AND(IF(metadata!B404="",FALSE,TRUE),COUNTIF(metadata!B:B, metadata!B404) = 1,NOT(ISERROR(SUMPRODUCT(SEARCH(MID(metadata!B404,ROW(INDIRECT("1:"&amp;LEN(metadata!B404))), 1),"0123456789abcdefghijklmnopqrstuvwxyzABCDEFGHIJKLMNOPQRSTUVWXYZ.")))))</f>
        <v>0</v>
      </c>
      <c r="AC404">
        <f>OR(AND(IF(metadata!C404="",FALSE,TRUE),OR(exact(metadata!C404,"missing: not collected"),exact(metadata!C404,"missing: not provided"),exact(metadata!C404,"missing: restricted access"))),AND(IF(metadata!C404="",FALSE,TRUE),AND(AND(IFERROR(INT(LEFT(metadata!C404,4))&gt;1900,FALSE),IFERROR(INT(LEFT(metadata!C404,4))&lt;=YEAR(NOW()),FALSE)), OR(MID(metadata!C404,5,1)="", AND(AND(MID(metadata!C404,5,1)="-",IFERROR(INT(MID(metadata!C404,6,1))&gt;=0,FALSE),IFERROR(INT(MID(metadata!C404,6,1))&lt;=1,FALSE),NOT(MID(metadata!C404,7,1)=""),IFERROR(INT(MID(metadata!C404,6,2))&gt;=1,FALSE),IFERROR(INT(MID(metadata!C404,6,2))&lt;=12,FALSE)), OR(MID(metadata!C404,8,1)="", AND(AND(MID(metadata!C404,8,1)="-",IFERROR(INT(MID(metadata!C404,9,1))&gt;=0,FALSE),IFERROR(INT(MID(metadata!C404,9,1))&lt;=3,FALSE),NOT(MID(metadata!C404,10,1)=""),IFERROR(INT(MID(metadata!C404,9,2))&gt;=1,FALSE),IFERROR(INT(MID(metadata!C404,9,2))&lt;=31,FALSE)), OR(MID(metadata!C404,11,1)="", AND(AND(MID(metadata!C404,11,1)=" ",IFERROR(INT(MID(metadata!C404,12,1))&gt;=0,FALSE),IFERROR(INT(MID(metadata!C404,12,1))&lt;=2,FALSE),NOT(MID(metadata!C404,13,1)=""),IFERROR(INT(MID(metadata!C404,12,2))&gt;=0,FALSE),IFERROR(INT(MID(metadata!C404,12,2))&lt;=23,FALSE)), OR(MID(metadata!C404,14,1)="", AND(AND(MID(metadata!C404,14,1)=":",IFERROR(INT(MID(metadata!C404,15,1))&gt;=0,FALSE),IFERROR(INT(MID(metadata!C404,15,1))&lt;=5,FALSE),NOT(MID(metadata!C404,16,1)=""),IFERROR(INT(MID(metadata!C404,15,2))&gt;=0,FALSE),IFERROR(INT(MID(metadata!C404,15,2))&lt;=59,FALSE)), OR(MID(metadata!C404,17,1)="", AND(AND(MID(metadata!C404,17,1)=":",IFERROR(INT(MID(metadata!C404,18,1))&gt;=0,FALSE),IFERROR(INT(MID(metadata!C404,18,1))&lt;=5,FALSE),NOT(MID(metadata!C404,19,1)=""),IFERROR(INT(MID(metadata!C404,18,2))&gt;=0,FALSE),IFERROR(INT(MID(metadata!C404,18,2))&lt;=59,FALSE)), LEN(metadata!C404)&lt;=19)))))))))))))</f>
        <v>0</v>
      </c>
      <c r="AD404">
        <f>IF(metadata!D404="",FALSE,TRUE)</f>
        <v>0</v>
      </c>
      <c r="AE404">
        <f>OR(AND(IF(metadata!E404="",FALSE,TRUE),OR(exact(metadata!E404,"missing: not collected"),exact(metadata!E404,"missing: not provided"))),AND(IF(metadata!E404="",FALSE,TRUE),OR(exact(metadata!E404,"TRUE"),exact(metadata!E404,"FALSE"))))</f>
        <v>0</v>
      </c>
      <c r="AF404">
        <f>IF(metadata!F404="",FALSE,TRUE)</f>
        <v>0</v>
      </c>
      <c r="AG404">
        <f>IF(metadata!G404="",FALSE,TRUE)</f>
        <v>0</v>
      </c>
      <c r="AH404">
        <f>IF(metadata!H404="",FALSE,TRUE)</f>
        <v>0</v>
      </c>
      <c r="AI404">
        <f>OR(AND(IF(metadata!I404="",FALSE,TRUE),OR(exact(metadata!I404,"missing: not collected"),exact(metadata!I404,"missing: not provided"),exact(metadata!I404,"missing: restricted access"))),AND(IF(metadata!I404="",FALSE,TRUE),OR(exact(metadata!I404,"air"),exact(metadata!I404,"built environment"),exact(metadata!I404,"host-associated"),exact(metadata!I404,"human-associated"),exact(metadata!I404,"human-skin"),exact(metadata!I404,"human-oral"),exact(metadata!I404,"human-gut"),exact(metadata!I404,"human-vaginal"),exact(metadata!I404,"microbial mat/biofilm"),exact(metadata!I404,"misc environment"),exact(metadata!I404,"plant-associated"),exact(metadata!I404,"sediment"),exact(metadata!I404,"soil"),exact(metadata!I404,"wastewater/sludge"),exact(metadata!I404,"water"))))</f>
        <v>0</v>
      </c>
      <c r="AJ404">
        <f>IF(metadata!J404="",FALSE,TRUE)</f>
        <v>0</v>
      </c>
      <c r="AK404">
        <f>OR(AND(IF(metadata!K404="",FALSE,TRUE),OR(exact(metadata!K404,"missing: not collected"),exact(metadata!K404,"missing: not provided"),exact(metadata!K404,"missing: restricted access"))),AND(IF(metadata!K404="",FALSE,ISNUMBER(VALUE(metadata!K404))),metadata!K404&gt;=-90.00,metadata!K404&lt;=90.00))</f>
        <v>0</v>
      </c>
      <c r="AL404">
        <f>OR(AND(IF(metadata!L404="",FALSE,TRUE),OR(exact(metadata!L404,"missing: not collected"),exact(metadata!L404,"missing: not provided"),exact(metadata!L404,"missing: restricted access"))),AND(IF(metadata!L404="",FALSE,ISNUMBER(VALUE(metadata!L404))),metadata!L404&gt;=-180.00,metadata!L404&lt;=180.00))</f>
        <v>0</v>
      </c>
      <c r="AM404">
        <f>IF(metadata!M404="",FALSE,TRUE)</f>
        <v>0</v>
      </c>
      <c r="AN404">
        <f>OR(AND(IF(metadata!N404="",FALSE,TRUE),OR(exact(metadata!N404,"missing: not collected"),exact(metadata!N404,"missing: not provided"),exact(metadata!N404,"missing: restricted access"))),AND(IF(metadata!N404="",FALSE,TRUE),OR(exact(metadata!N404,"TRUE"),exact(metadata!N404,"FALSE"))))</f>
        <v>0</v>
      </c>
      <c r="AO404">
        <f>IF(metadata!O404="",FALSE,TRUE)</f>
        <v>0</v>
      </c>
      <c r="AP404">
        <f>OR(AND(IF(metadata!P404="",FALSE,TRUE),OR(exact(metadata!P404,"missing: not collected"),exact(metadata!P404,"missing: not provided"))),AND(IF(metadata!P404="",FALSE,IF(ISERROR(INT(metadata!P404)),FALSE,INT(metadata!P404)=metadata!P404)),metadata!P404&gt;0))</f>
        <v>0</v>
      </c>
      <c r="AQ404">
        <f>IF(metadata!Q404="",FALSE,TRUE)</f>
        <v>0</v>
      </c>
    </row>
    <row r="405" spans="1:43">
      <c r="A405" s="5">
        <f>IF(B405=" "," ",HYPERLINK(CONCATENATE("#metadata!",ADDRESS(INDEX($W$2:$W$1001,MATCH(ROWS($U$2:U405),$U$2:$U$1001,0),0),1)),INDEX($Z$2:$Z$1001,MATCH(ROWS($U$2:U405),$U$2:$U$1001,0),0)))</f>
        <v>0</v>
      </c>
      <c r="B405" s="4">
        <f>IF(OR(INDEX($V$2:$V$1001,MATCH(ROWS($U$2:U405),$U$2:$U$1001,0),1)&gt;=100000,INDEX($AB$1005:$AQ$1005,1,MATCH(COLUMNS($AB$1006:AB1006),$AB$1006:$AQ$1006,0))&gt;=100000), " ",IF(INDEX($AB$2:$AQ$1001,MATCH(ROWS($U$2:U405),$U$2:$U$1001,0),MATCH(COLUMNS($AB$1006:AB1006),$AB$1006:$AQ$1006,0)), HYPERLINK("#",""), HYPERLINK(CONCATENATE("#metadata!", ADDRESS(INDEX($W$2:$W$1001,MATCH(ROWS($U$2:U405),$U$2:$U$1001,0),0), INDEX($AB$1004:$AQ$1004,1,MATCH(COLUMNS($AB$1006:AB1006),$AB$1006:$AQ$1006,0)))),"Fix")))</f>
        <v>0</v>
      </c>
      <c r="C405" s="4">
        <f>IF(OR(INDEX($V$2:$V$1001,MATCH(ROWS($U$2:U405),$U$2:$U$1001,0),1)&gt;=100000,INDEX($AB$1005:$AQ$1005,1,MATCH(COLUMNS($AB$1006:AC1006),$AB$1006:$AQ$1006,0))&gt;=100000), " ",IF(INDEX($AB$2:$AQ$1001,MATCH(ROWS($U$2:U405),$U$2:$U$1001,0),MATCH(COLUMNS($AB$1006:AC1006),$AB$1006:$AQ$1006,0)), HYPERLINK("#",""), HYPERLINK(CONCATENATE("#metadata!", ADDRESS(INDEX($W$2:$W$1001,MATCH(ROWS($U$2:U405),$U$2:$U$1001,0),0), INDEX($AB$1004:$AQ$1004,1,MATCH(COLUMNS($AB$1006:AC1006),$AB$1006:$AQ$1006,0)))),"Fix")))</f>
        <v>0</v>
      </c>
      <c r="D405" s="4">
        <f>IF(OR(INDEX($V$2:$V$1001,MATCH(ROWS($U$2:U405),$U$2:$U$1001,0),1)&gt;=100000,INDEX($AB$1005:$AQ$1005,1,MATCH(COLUMNS($AB$1006:AD1006),$AB$1006:$AQ$1006,0))&gt;=100000), " ",IF(INDEX($AB$2:$AQ$1001,MATCH(ROWS($U$2:U405),$U$2:$U$1001,0),MATCH(COLUMNS($AB$1006:AD1006),$AB$1006:$AQ$1006,0)), HYPERLINK("#",""), HYPERLINK(CONCATENATE("#metadata!", ADDRESS(INDEX($W$2:$W$1001,MATCH(ROWS($U$2:U405),$U$2:$U$1001,0),0), INDEX($AB$1004:$AQ$1004,1,MATCH(COLUMNS($AB$1006:AD1006),$AB$1006:$AQ$1006,0)))),"Fix")))</f>
        <v>0</v>
      </c>
      <c r="E405" s="4">
        <f>IF(OR(INDEX($V$2:$V$1001,MATCH(ROWS($U$2:U405),$U$2:$U$1001,0),1)&gt;=100000,INDEX($AB$1005:$AQ$1005,1,MATCH(COLUMNS($AB$1006:AE1006),$AB$1006:$AQ$1006,0))&gt;=100000), " ",IF(INDEX($AB$2:$AQ$1001,MATCH(ROWS($U$2:U405),$U$2:$U$1001,0),MATCH(COLUMNS($AB$1006:AE1006),$AB$1006:$AQ$1006,0)), HYPERLINK("#",""), HYPERLINK(CONCATENATE("#metadata!", ADDRESS(INDEX($W$2:$W$1001,MATCH(ROWS($U$2:U405),$U$2:$U$1001,0),0), INDEX($AB$1004:$AQ$1004,1,MATCH(COLUMNS($AB$1006:AE1006),$AB$1006:$AQ$1006,0)))),"Fix")))</f>
        <v>0</v>
      </c>
      <c r="F405" s="4">
        <f>IF(OR(INDEX($V$2:$V$1001,MATCH(ROWS($U$2:U405),$U$2:$U$1001,0),1)&gt;=100000,INDEX($AB$1005:$AQ$1005,1,MATCH(COLUMNS($AB$1006:AF1006),$AB$1006:$AQ$1006,0))&gt;=100000), " ",IF(INDEX($AB$2:$AQ$1001,MATCH(ROWS($U$2:U405),$U$2:$U$1001,0),MATCH(COLUMNS($AB$1006:AF1006),$AB$1006:$AQ$1006,0)), HYPERLINK("#",""), HYPERLINK(CONCATENATE("#metadata!", ADDRESS(INDEX($W$2:$W$1001,MATCH(ROWS($U$2:U405),$U$2:$U$1001,0),0), INDEX($AB$1004:$AQ$1004,1,MATCH(COLUMNS($AB$1006:AF1006),$AB$1006:$AQ$1006,0)))),"Fix")))</f>
        <v>0</v>
      </c>
      <c r="G405" s="4">
        <f>IF(OR(INDEX($V$2:$V$1001,MATCH(ROWS($U$2:U405),$U$2:$U$1001,0),1)&gt;=100000,INDEX($AB$1005:$AQ$1005,1,MATCH(COLUMNS($AB$1006:AG1006),$AB$1006:$AQ$1006,0))&gt;=100000), " ",IF(INDEX($AB$2:$AQ$1001,MATCH(ROWS($U$2:U405),$U$2:$U$1001,0),MATCH(COLUMNS($AB$1006:AG1006),$AB$1006:$AQ$1006,0)), HYPERLINK("#",""), HYPERLINK(CONCATENATE("#metadata!", ADDRESS(INDEX($W$2:$W$1001,MATCH(ROWS($U$2:U405),$U$2:$U$1001,0),0), INDEX($AB$1004:$AQ$1004,1,MATCH(COLUMNS($AB$1006:AG1006),$AB$1006:$AQ$1006,0)))),"Fix")))</f>
        <v>0</v>
      </c>
      <c r="H405" s="4">
        <f>IF(OR(INDEX($V$2:$V$1001,MATCH(ROWS($U$2:U405),$U$2:$U$1001,0),1)&gt;=100000,INDEX($AB$1005:$AQ$1005,1,MATCH(COLUMNS($AB$1006:AH1006),$AB$1006:$AQ$1006,0))&gt;=100000), " ",IF(INDEX($AB$2:$AQ$1001,MATCH(ROWS($U$2:U405),$U$2:$U$1001,0),MATCH(COLUMNS($AB$1006:AH1006),$AB$1006:$AQ$1006,0)), HYPERLINK("#",""), HYPERLINK(CONCATENATE("#metadata!", ADDRESS(INDEX($W$2:$W$1001,MATCH(ROWS($U$2:U405),$U$2:$U$1001,0),0), INDEX($AB$1004:$AQ$1004,1,MATCH(COLUMNS($AB$1006:AH1006),$AB$1006:$AQ$1006,0)))),"Fix")))</f>
        <v>0</v>
      </c>
      <c r="I405" s="4">
        <f>IF(OR(INDEX($V$2:$V$1001,MATCH(ROWS($U$2:U405),$U$2:$U$1001,0),1)&gt;=100000,INDEX($AB$1005:$AQ$1005,1,MATCH(COLUMNS($AB$1006:AI1006),$AB$1006:$AQ$1006,0))&gt;=100000), " ",IF(INDEX($AB$2:$AQ$1001,MATCH(ROWS($U$2:U405),$U$2:$U$1001,0),MATCH(COLUMNS($AB$1006:AI1006),$AB$1006:$AQ$1006,0)), HYPERLINK("#",""), HYPERLINK(CONCATENATE("#metadata!", ADDRESS(INDEX($W$2:$W$1001,MATCH(ROWS($U$2:U405),$U$2:$U$1001,0),0), INDEX($AB$1004:$AQ$1004,1,MATCH(COLUMNS($AB$1006:AI1006),$AB$1006:$AQ$1006,0)))),"Fix")))</f>
        <v>0</v>
      </c>
      <c r="J405" s="4">
        <f>IF(OR(INDEX($V$2:$V$1001,MATCH(ROWS($U$2:U405),$U$2:$U$1001,0),1)&gt;=100000,INDEX($AB$1005:$AQ$1005,1,MATCH(COLUMNS($AB$1006:AJ1006),$AB$1006:$AQ$1006,0))&gt;=100000), " ",IF(INDEX($AB$2:$AQ$1001,MATCH(ROWS($U$2:U405),$U$2:$U$1001,0),MATCH(COLUMNS($AB$1006:AJ1006),$AB$1006:$AQ$1006,0)), HYPERLINK("#",""), HYPERLINK(CONCATENATE("#metadata!", ADDRESS(INDEX($W$2:$W$1001,MATCH(ROWS($U$2:U405),$U$2:$U$1001,0),0), INDEX($AB$1004:$AQ$1004,1,MATCH(COLUMNS($AB$1006:AJ1006),$AB$1006:$AQ$1006,0)))),"Fix")))</f>
        <v>0</v>
      </c>
      <c r="K405" s="4">
        <f>IF(OR(INDEX($V$2:$V$1001,MATCH(ROWS($U$2:U405),$U$2:$U$1001,0),1)&gt;=100000,INDEX($AB$1005:$AQ$1005,1,MATCH(COLUMNS($AB$1006:AK1006),$AB$1006:$AQ$1006,0))&gt;=100000), " ",IF(INDEX($AB$2:$AQ$1001,MATCH(ROWS($U$2:U405),$U$2:$U$1001,0),MATCH(COLUMNS($AB$1006:AK1006),$AB$1006:$AQ$1006,0)), HYPERLINK("#",""), HYPERLINK(CONCATENATE("#metadata!", ADDRESS(INDEX($W$2:$W$1001,MATCH(ROWS($U$2:U405),$U$2:$U$1001,0),0), INDEX($AB$1004:$AQ$1004,1,MATCH(COLUMNS($AB$1006:AK1006),$AB$1006:$AQ$1006,0)))),"Fix")))</f>
        <v>0</v>
      </c>
      <c r="L405" s="4">
        <f>IF(OR(INDEX($V$2:$V$1001,MATCH(ROWS($U$2:U405),$U$2:$U$1001,0),1)&gt;=100000,INDEX($AB$1005:$AQ$1005,1,MATCH(COLUMNS($AB$1006:AL1006),$AB$1006:$AQ$1006,0))&gt;=100000), " ",IF(INDEX($AB$2:$AQ$1001,MATCH(ROWS($U$2:U405),$U$2:$U$1001,0),MATCH(COLUMNS($AB$1006:AL1006),$AB$1006:$AQ$1006,0)), HYPERLINK("#",""), HYPERLINK(CONCATENATE("#metadata!", ADDRESS(INDEX($W$2:$W$1001,MATCH(ROWS($U$2:U405),$U$2:$U$1001,0),0), INDEX($AB$1004:$AQ$1004,1,MATCH(COLUMNS($AB$1006:AL1006),$AB$1006:$AQ$1006,0)))),"Fix")))</f>
        <v>0</v>
      </c>
      <c r="M405" s="4">
        <f>IF(OR(INDEX($V$2:$V$1001,MATCH(ROWS($U$2:U405),$U$2:$U$1001,0),1)&gt;=100000,INDEX($AB$1005:$AQ$1005,1,MATCH(COLUMNS($AB$1006:AM1006),$AB$1006:$AQ$1006,0))&gt;=100000), " ",IF(INDEX($AB$2:$AQ$1001,MATCH(ROWS($U$2:U405),$U$2:$U$1001,0),MATCH(COLUMNS($AB$1006:AM1006),$AB$1006:$AQ$1006,0)), HYPERLINK("#",""), HYPERLINK(CONCATENATE("#metadata!", ADDRESS(INDEX($W$2:$W$1001,MATCH(ROWS($U$2:U405),$U$2:$U$1001,0),0), INDEX($AB$1004:$AQ$1004,1,MATCH(COLUMNS($AB$1006:AM1006),$AB$1006:$AQ$1006,0)))),"Fix")))</f>
        <v>0</v>
      </c>
      <c r="N405" s="4">
        <f>IF(OR(INDEX($V$2:$V$1001,MATCH(ROWS($U$2:U405),$U$2:$U$1001,0),1)&gt;=100000,INDEX($AB$1005:$AQ$1005,1,MATCH(COLUMNS($AB$1006:AN1006),$AB$1006:$AQ$1006,0))&gt;=100000), " ",IF(INDEX($AB$2:$AQ$1001,MATCH(ROWS($U$2:U405),$U$2:$U$1001,0),MATCH(COLUMNS($AB$1006:AN1006),$AB$1006:$AQ$1006,0)), HYPERLINK("#",""), HYPERLINK(CONCATENATE("#metadata!", ADDRESS(INDEX($W$2:$W$1001,MATCH(ROWS($U$2:U405),$U$2:$U$1001,0),0), INDEX($AB$1004:$AQ$1004,1,MATCH(COLUMNS($AB$1006:AN1006),$AB$1006:$AQ$1006,0)))),"Fix")))</f>
        <v>0</v>
      </c>
      <c r="O405" s="4">
        <f>IF(OR(INDEX($V$2:$V$1001,MATCH(ROWS($U$2:U405),$U$2:$U$1001,0),1)&gt;=100000,INDEX($AB$1005:$AQ$1005,1,MATCH(COLUMNS($AB$1006:AO1006),$AB$1006:$AQ$1006,0))&gt;=100000), " ",IF(INDEX($AB$2:$AQ$1001,MATCH(ROWS($U$2:U405),$U$2:$U$1001,0),MATCH(COLUMNS($AB$1006:AO1006),$AB$1006:$AQ$1006,0)), HYPERLINK("#",""), HYPERLINK(CONCATENATE("#metadata!", ADDRESS(INDEX($W$2:$W$1001,MATCH(ROWS($U$2:U405),$U$2:$U$1001,0),0), INDEX($AB$1004:$AQ$1004,1,MATCH(COLUMNS($AB$1006:AO1006),$AB$1006:$AQ$1006,0)))),"Fix")))</f>
        <v>0</v>
      </c>
      <c r="P405" s="4">
        <f>IF(OR(INDEX($V$2:$V$1001,MATCH(ROWS($U$2:U405),$U$2:$U$1001,0),1)&gt;=100000,INDEX($AB$1005:$AQ$1005,1,MATCH(COLUMNS($AB$1006:AP1006),$AB$1006:$AQ$1006,0))&gt;=100000), " ",IF(INDEX($AB$2:$AQ$1001,MATCH(ROWS($U$2:U405),$U$2:$U$1001,0),MATCH(COLUMNS($AB$1006:AP1006),$AB$1006:$AQ$1006,0)), HYPERLINK("#",""), HYPERLINK(CONCATENATE("#metadata!", ADDRESS(INDEX($W$2:$W$1001,MATCH(ROWS($U$2:U405),$U$2:$U$1001,0),0), INDEX($AB$1004:$AQ$1004,1,MATCH(COLUMNS($AB$1006:AP1006),$AB$1006:$AQ$1006,0)))),"Fix")))</f>
        <v>0</v>
      </c>
      <c r="Q405" s="4">
        <f>IF(OR(INDEX($V$2:$V$1001,MATCH(ROWS($U$2:U405),$U$2:$U$1001,0),1)&gt;=100000,INDEX($AB$1005:$AQ$1005,1,MATCH(COLUMNS($AB$1006:AQ1006),$AB$1006:$AQ$1006,0))&gt;=100000), " ",IF(INDEX($AB$2:$AQ$1001,MATCH(ROWS($U$2:U405),$U$2:$U$1001,0),MATCH(COLUMNS($AB$1006:AQ1006),$AB$1006:$AQ$1006,0)), HYPERLINK("#",""), HYPERLINK(CONCATENATE("#metadata!", ADDRESS(INDEX($W$2:$W$1001,MATCH(ROWS($U$2:U405),$U$2:$U$1001,0),0), INDEX($AB$1004:$AQ$1004,1,MATCH(COLUMNS($AB$1006:AQ1006),$AB$1006:$AQ$1006,0)))),"Fix")))</f>
        <v>0</v>
      </c>
      <c r="U405">
        <v>0</v>
      </c>
      <c r="V405">
        <v>0</v>
      </c>
      <c r="W405">
        <v>0</v>
      </c>
      <c r="X405">
        <f>IF(Y405,TRUE,AND(AB405:AQ405))</f>
        <v>0</v>
      </c>
      <c r="Y405">
        <f>COUNTBLANK(metadata!B405:Q405)=COLUMNS(metadata!B405:Q405)</f>
        <v>0</v>
      </c>
      <c r="Z405">
        <v>0</v>
      </c>
      <c r="AB405">
        <f>AND(IF(metadata!B405="",FALSE,TRUE),COUNTIF(metadata!B:B, metadata!B405) = 1,NOT(ISERROR(SUMPRODUCT(SEARCH(MID(metadata!B405,ROW(INDIRECT("1:"&amp;LEN(metadata!B405))), 1),"0123456789abcdefghijklmnopqrstuvwxyzABCDEFGHIJKLMNOPQRSTUVWXYZ.")))))</f>
        <v>0</v>
      </c>
      <c r="AC405">
        <f>OR(AND(IF(metadata!C405="",FALSE,TRUE),OR(exact(metadata!C405,"missing: not collected"),exact(metadata!C405,"missing: not provided"),exact(metadata!C405,"missing: restricted access"))),AND(IF(metadata!C405="",FALSE,TRUE),AND(AND(IFERROR(INT(LEFT(metadata!C405,4))&gt;1900,FALSE),IFERROR(INT(LEFT(metadata!C405,4))&lt;=YEAR(NOW()),FALSE)), OR(MID(metadata!C405,5,1)="", AND(AND(MID(metadata!C405,5,1)="-",IFERROR(INT(MID(metadata!C405,6,1))&gt;=0,FALSE),IFERROR(INT(MID(metadata!C405,6,1))&lt;=1,FALSE),NOT(MID(metadata!C405,7,1)=""),IFERROR(INT(MID(metadata!C405,6,2))&gt;=1,FALSE),IFERROR(INT(MID(metadata!C405,6,2))&lt;=12,FALSE)), OR(MID(metadata!C405,8,1)="", AND(AND(MID(metadata!C405,8,1)="-",IFERROR(INT(MID(metadata!C405,9,1))&gt;=0,FALSE),IFERROR(INT(MID(metadata!C405,9,1))&lt;=3,FALSE),NOT(MID(metadata!C405,10,1)=""),IFERROR(INT(MID(metadata!C405,9,2))&gt;=1,FALSE),IFERROR(INT(MID(metadata!C405,9,2))&lt;=31,FALSE)), OR(MID(metadata!C405,11,1)="", AND(AND(MID(metadata!C405,11,1)=" ",IFERROR(INT(MID(metadata!C405,12,1))&gt;=0,FALSE),IFERROR(INT(MID(metadata!C405,12,1))&lt;=2,FALSE),NOT(MID(metadata!C405,13,1)=""),IFERROR(INT(MID(metadata!C405,12,2))&gt;=0,FALSE),IFERROR(INT(MID(metadata!C405,12,2))&lt;=23,FALSE)), OR(MID(metadata!C405,14,1)="", AND(AND(MID(metadata!C405,14,1)=":",IFERROR(INT(MID(metadata!C405,15,1))&gt;=0,FALSE),IFERROR(INT(MID(metadata!C405,15,1))&lt;=5,FALSE),NOT(MID(metadata!C405,16,1)=""),IFERROR(INT(MID(metadata!C405,15,2))&gt;=0,FALSE),IFERROR(INT(MID(metadata!C405,15,2))&lt;=59,FALSE)), OR(MID(metadata!C405,17,1)="", AND(AND(MID(metadata!C405,17,1)=":",IFERROR(INT(MID(metadata!C405,18,1))&gt;=0,FALSE),IFERROR(INT(MID(metadata!C405,18,1))&lt;=5,FALSE),NOT(MID(metadata!C405,19,1)=""),IFERROR(INT(MID(metadata!C405,18,2))&gt;=0,FALSE),IFERROR(INT(MID(metadata!C405,18,2))&lt;=59,FALSE)), LEN(metadata!C405)&lt;=19)))))))))))))</f>
        <v>0</v>
      </c>
      <c r="AD405">
        <f>IF(metadata!D405="",FALSE,TRUE)</f>
        <v>0</v>
      </c>
      <c r="AE405">
        <f>OR(AND(IF(metadata!E405="",FALSE,TRUE),OR(exact(metadata!E405,"missing: not collected"),exact(metadata!E405,"missing: not provided"))),AND(IF(metadata!E405="",FALSE,TRUE),OR(exact(metadata!E405,"TRUE"),exact(metadata!E405,"FALSE"))))</f>
        <v>0</v>
      </c>
      <c r="AF405">
        <f>IF(metadata!F405="",FALSE,TRUE)</f>
        <v>0</v>
      </c>
      <c r="AG405">
        <f>IF(metadata!G405="",FALSE,TRUE)</f>
        <v>0</v>
      </c>
      <c r="AH405">
        <f>IF(metadata!H405="",FALSE,TRUE)</f>
        <v>0</v>
      </c>
      <c r="AI405">
        <f>OR(AND(IF(metadata!I405="",FALSE,TRUE),OR(exact(metadata!I405,"missing: not collected"),exact(metadata!I405,"missing: not provided"),exact(metadata!I405,"missing: restricted access"))),AND(IF(metadata!I405="",FALSE,TRUE),OR(exact(metadata!I405,"air"),exact(metadata!I405,"built environment"),exact(metadata!I405,"host-associated"),exact(metadata!I405,"human-associated"),exact(metadata!I405,"human-skin"),exact(metadata!I405,"human-oral"),exact(metadata!I405,"human-gut"),exact(metadata!I405,"human-vaginal"),exact(metadata!I405,"microbial mat/biofilm"),exact(metadata!I405,"misc environment"),exact(metadata!I405,"plant-associated"),exact(metadata!I405,"sediment"),exact(metadata!I405,"soil"),exact(metadata!I405,"wastewater/sludge"),exact(metadata!I405,"water"))))</f>
        <v>0</v>
      </c>
      <c r="AJ405">
        <f>IF(metadata!J405="",FALSE,TRUE)</f>
        <v>0</v>
      </c>
      <c r="AK405">
        <f>OR(AND(IF(metadata!K405="",FALSE,TRUE),OR(exact(metadata!K405,"missing: not collected"),exact(metadata!K405,"missing: not provided"),exact(metadata!K405,"missing: restricted access"))),AND(IF(metadata!K405="",FALSE,ISNUMBER(VALUE(metadata!K405))),metadata!K405&gt;=-90.00,metadata!K405&lt;=90.00))</f>
        <v>0</v>
      </c>
      <c r="AL405">
        <f>OR(AND(IF(metadata!L405="",FALSE,TRUE),OR(exact(metadata!L405,"missing: not collected"),exact(metadata!L405,"missing: not provided"),exact(metadata!L405,"missing: restricted access"))),AND(IF(metadata!L405="",FALSE,ISNUMBER(VALUE(metadata!L405))),metadata!L405&gt;=-180.00,metadata!L405&lt;=180.00))</f>
        <v>0</v>
      </c>
      <c r="AM405">
        <f>IF(metadata!M405="",FALSE,TRUE)</f>
        <v>0</v>
      </c>
      <c r="AN405">
        <f>OR(AND(IF(metadata!N405="",FALSE,TRUE),OR(exact(metadata!N405,"missing: not collected"),exact(metadata!N405,"missing: not provided"),exact(metadata!N405,"missing: restricted access"))),AND(IF(metadata!N405="",FALSE,TRUE),OR(exact(metadata!N405,"TRUE"),exact(metadata!N405,"FALSE"))))</f>
        <v>0</v>
      </c>
      <c r="AO405">
        <f>IF(metadata!O405="",FALSE,TRUE)</f>
        <v>0</v>
      </c>
      <c r="AP405">
        <f>OR(AND(IF(metadata!P405="",FALSE,TRUE),OR(exact(metadata!P405,"missing: not collected"),exact(metadata!P405,"missing: not provided"))),AND(IF(metadata!P405="",FALSE,IF(ISERROR(INT(metadata!P405)),FALSE,INT(metadata!P405)=metadata!P405)),metadata!P405&gt;0))</f>
        <v>0</v>
      </c>
      <c r="AQ405">
        <f>IF(metadata!Q405="",FALSE,TRUE)</f>
        <v>0</v>
      </c>
    </row>
    <row r="406" spans="1:43">
      <c r="A406" s="5">
        <f>IF(B406=" "," ",HYPERLINK(CONCATENATE("#metadata!",ADDRESS(INDEX($W$2:$W$1001,MATCH(ROWS($U$2:U406),$U$2:$U$1001,0),0),1)),INDEX($Z$2:$Z$1001,MATCH(ROWS($U$2:U406),$U$2:$U$1001,0),0)))</f>
        <v>0</v>
      </c>
      <c r="B406" s="4">
        <f>IF(OR(INDEX($V$2:$V$1001,MATCH(ROWS($U$2:U406),$U$2:$U$1001,0),1)&gt;=100000,INDEX($AB$1005:$AQ$1005,1,MATCH(COLUMNS($AB$1006:AB1006),$AB$1006:$AQ$1006,0))&gt;=100000), " ",IF(INDEX($AB$2:$AQ$1001,MATCH(ROWS($U$2:U406),$U$2:$U$1001,0),MATCH(COLUMNS($AB$1006:AB1006),$AB$1006:$AQ$1006,0)), HYPERLINK("#",""), HYPERLINK(CONCATENATE("#metadata!", ADDRESS(INDEX($W$2:$W$1001,MATCH(ROWS($U$2:U406),$U$2:$U$1001,0),0), INDEX($AB$1004:$AQ$1004,1,MATCH(COLUMNS($AB$1006:AB1006),$AB$1006:$AQ$1006,0)))),"Fix")))</f>
        <v>0</v>
      </c>
      <c r="C406" s="4">
        <f>IF(OR(INDEX($V$2:$V$1001,MATCH(ROWS($U$2:U406),$U$2:$U$1001,0),1)&gt;=100000,INDEX($AB$1005:$AQ$1005,1,MATCH(COLUMNS($AB$1006:AC1006),$AB$1006:$AQ$1006,0))&gt;=100000), " ",IF(INDEX($AB$2:$AQ$1001,MATCH(ROWS($U$2:U406),$U$2:$U$1001,0),MATCH(COLUMNS($AB$1006:AC1006),$AB$1006:$AQ$1006,0)), HYPERLINK("#",""), HYPERLINK(CONCATENATE("#metadata!", ADDRESS(INDEX($W$2:$W$1001,MATCH(ROWS($U$2:U406),$U$2:$U$1001,0),0), INDEX($AB$1004:$AQ$1004,1,MATCH(COLUMNS($AB$1006:AC1006),$AB$1006:$AQ$1006,0)))),"Fix")))</f>
        <v>0</v>
      </c>
      <c r="D406" s="4">
        <f>IF(OR(INDEX($V$2:$V$1001,MATCH(ROWS($U$2:U406),$U$2:$U$1001,0),1)&gt;=100000,INDEX($AB$1005:$AQ$1005,1,MATCH(COLUMNS($AB$1006:AD1006),$AB$1006:$AQ$1006,0))&gt;=100000), " ",IF(INDEX($AB$2:$AQ$1001,MATCH(ROWS($U$2:U406),$U$2:$U$1001,0),MATCH(COLUMNS($AB$1006:AD1006),$AB$1006:$AQ$1006,0)), HYPERLINK("#",""), HYPERLINK(CONCATENATE("#metadata!", ADDRESS(INDEX($W$2:$W$1001,MATCH(ROWS($U$2:U406),$U$2:$U$1001,0),0), INDEX($AB$1004:$AQ$1004,1,MATCH(COLUMNS($AB$1006:AD1006),$AB$1006:$AQ$1006,0)))),"Fix")))</f>
        <v>0</v>
      </c>
      <c r="E406" s="4">
        <f>IF(OR(INDEX($V$2:$V$1001,MATCH(ROWS($U$2:U406),$U$2:$U$1001,0),1)&gt;=100000,INDEX($AB$1005:$AQ$1005,1,MATCH(COLUMNS($AB$1006:AE1006),$AB$1006:$AQ$1006,0))&gt;=100000), " ",IF(INDEX($AB$2:$AQ$1001,MATCH(ROWS($U$2:U406),$U$2:$U$1001,0),MATCH(COLUMNS($AB$1006:AE1006),$AB$1006:$AQ$1006,0)), HYPERLINK("#",""), HYPERLINK(CONCATENATE("#metadata!", ADDRESS(INDEX($W$2:$W$1001,MATCH(ROWS($U$2:U406),$U$2:$U$1001,0),0), INDEX($AB$1004:$AQ$1004,1,MATCH(COLUMNS($AB$1006:AE1006),$AB$1006:$AQ$1006,0)))),"Fix")))</f>
        <v>0</v>
      </c>
      <c r="F406" s="4">
        <f>IF(OR(INDEX($V$2:$V$1001,MATCH(ROWS($U$2:U406),$U$2:$U$1001,0),1)&gt;=100000,INDEX($AB$1005:$AQ$1005,1,MATCH(COLUMNS($AB$1006:AF1006),$AB$1006:$AQ$1006,0))&gt;=100000), " ",IF(INDEX($AB$2:$AQ$1001,MATCH(ROWS($U$2:U406),$U$2:$U$1001,0),MATCH(COLUMNS($AB$1006:AF1006),$AB$1006:$AQ$1006,0)), HYPERLINK("#",""), HYPERLINK(CONCATENATE("#metadata!", ADDRESS(INDEX($W$2:$W$1001,MATCH(ROWS($U$2:U406),$U$2:$U$1001,0),0), INDEX($AB$1004:$AQ$1004,1,MATCH(COLUMNS($AB$1006:AF1006),$AB$1006:$AQ$1006,0)))),"Fix")))</f>
        <v>0</v>
      </c>
      <c r="G406" s="4">
        <f>IF(OR(INDEX($V$2:$V$1001,MATCH(ROWS($U$2:U406),$U$2:$U$1001,0),1)&gt;=100000,INDEX($AB$1005:$AQ$1005,1,MATCH(COLUMNS($AB$1006:AG1006),$AB$1006:$AQ$1006,0))&gt;=100000), " ",IF(INDEX($AB$2:$AQ$1001,MATCH(ROWS($U$2:U406),$U$2:$U$1001,0),MATCH(COLUMNS($AB$1006:AG1006),$AB$1006:$AQ$1006,0)), HYPERLINK("#",""), HYPERLINK(CONCATENATE("#metadata!", ADDRESS(INDEX($W$2:$W$1001,MATCH(ROWS($U$2:U406),$U$2:$U$1001,0),0), INDEX($AB$1004:$AQ$1004,1,MATCH(COLUMNS($AB$1006:AG1006),$AB$1006:$AQ$1006,0)))),"Fix")))</f>
        <v>0</v>
      </c>
      <c r="H406" s="4">
        <f>IF(OR(INDEX($V$2:$V$1001,MATCH(ROWS($U$2:U406),$U$2:$U$1001,0),1)&gt;=100000,INDEX($AB$1005:$AQ$1005,1,MATCH(COLUMNS($AB$1006:AH1006),$AB$1006:$AQ$1006,0))&gt;=100000), " ",IF(INDEX($AB$2:$AQ$1001,MATCH(ROWS($U$2:U406),$U$2:$U$1001,0),MATCH(COLUMNS($AB$1006:AH1006),$AB$1006:$AQ$1006,0)), HYPERLINK("#",""), HYPERLINK(CONCATENATE("#metadata!", ADDRESS(INDEX($W$2:$W$1001,MATCH(ROWS($U$2:U406),$U$2:$U$1001,0),0), INDEX($AB$1004:$AQ$1004,1,MATCH(COLUMNS($AB$1006:AH1006),$AB$1006:$AQ$1006,0)))),"Fix")))</f>
        <v>0</v>
      </c>
      <c r="I406" s="4">
        <f>IF(OR(INDEX($V$2:$V$1001,MATCH(ROWS($U$2:U406),$U$2:$U$1001,0),1)&gt;=100000,INDEX($AB$1005:$AQ$1005,1,MATCH(COLUMNS($AB$1006:AI1006),$AB$1006:$AQ$1006,0))&gt;=100000), " ",IF(INDEX($AB$2:$AQ$1001,MATCH(ROWS($U$2:U406),$U$2:$U$1001,0),MATCH(COLUMNS($AB$1006:AI1006),$AB$1006:$AQ$1006,0)), HYPERLINK("#",""), HYPERLINK(CONCATENATE("#metadata!", ADDRESS(INDEX($W$2:$W$1001,MATCH(ROWS($U$2:U406),$U$2:$U$1001,0),0), INDEX($AB$1004:$AQ$1004,1,MATCH(COLUMNS($AB$1006:AI1006),$AB$1006:$AQ$1006,0)))),"Fix")))</f>
        <v>0</v>
      </c>
      <c r="J406" s="4">
        <f>IF(OR(INDEX($V$2:$V$1001,MATCH(ROWS($U$2:U406),$U$2:$U$1001,0),1)&gt;=100000,INDEX($AB$1005:$AQ$1005,1,MATCH(COLUMNS($AB$1006:AJ1006),$AB$1006:$AQ$1006,0))&gt;=100000), " ",IF(INDEX($AB$2:$AQ$1001,MATCH(ROWS($U$2:U406),$U$2:$U$1001,0),MATCH(COLUMNS($AB$1006:AJ1006),$AB$1006:$AQ$1006,0)), HYPERLINK("#",""), HYPERLINK(CONCATENATE("#metadata!", ADDRESS(INDEX($W$2:$W$1001,MATCH(ROWS($U$2:U406),$U$2:$U$1001,0),0), INDEX($AB$1004:$AQ$1004,1,MATCH(COLUMNS($AB$1006:AJ1006),$AB$1006:$AQ$1006,0)))),"Fix")))</f>
        <v>0</v>
      </c>
      <c r="K406" s="4">
        <f>IF(OR(INDEX($V$2:$V$1001,MATCH(ROWS($U$2:U406),$U$2:$U$1001,0),1)&gt;=100000,INDEX($AB$1005:$AQ$1005,1,MATCH(COLUMNS($AB$1006:AK1006),$AB$1006:$AQ$1006,0))&gt;=100000), " ",IF(INDEX($AB$2:$AQ$1001,MATCH(ROWS($U$2:U406),$U$2:$U$1001,0),MATCH(COLUMNS($AB$1006:AK1006),$AB$1006:$AQ$1006,0)), HYPERLINK("#",""), HYPERLINK(CONCATENATE("#metadata!", ADDRESS(INDEX($W$2:$W$1001,MATCH(ROWS($U$2:U406),$U$2:$U$1001,0),0), INDEX($AB$1004:$AQ$1004,1,MATCH(COLUMNS($AB$1006:AK1006),$AB$1006:$AQ$1006,0)))),"Fix")))</f>
        <v>0</v>
      </c>
      <c r="L406" s="4">
        <f>IF(OR(INDEX($V$2:$V$1001,MATCH(ROWS($U$2:U406),$U$2:$U$1001,0),1)&gt;=100000,INDEX($AB$1005:$AQ$1005,1,MATCH(COLUMNS($AB$1006:AL1006),$AB$1006:$AQ$1006,0))&gt;=100000), " ",IF(INDEX($AB$2:$AQ$1001,MATCH(ROWS($U$2:U406),$U$2:$U$1001,0),MATCH(COLUMNS($AB$1006:AL1006),$AB$1006:$AQ$1006,0)), HYPERLINK("#",""), HYPERLINK(CONCATENATE("#metadata!", ADDRESS(INDEX($W$2:$W$1001,MATCH(ROWS($U$2:U406),$U$2:$U$1001,0),0), INDEX($AB$1004:$AQ$1004,1,MATCH(COLUMNS($AB$1006:AL1006),$AB$1006:$AQ$1006,0)))),"Fix")))</f>
        <v>0</v>
      </c>
      <c r="M406" s="4">
        <f>IF(OR(INDEX($V$2:$V$1001,MATCH(ROWS($U$2:U406),$U$2:$U$1001,0),1)&gt;=100000,INDEX($AB$1005:$AQ$1005,1,MATCH(COLUMNS($AB$1006:AM1006),$AB$1006:$AQ$1006,0))&gt;=100000), " ",IF(INDEX($AB$2:$AQ$1001,MATCH(ROWS($U$2:U406),$U$2:$U$1001,0),MATCH(COLUMNS($AB$1006:AM1006),$AB$1006:$AQ$1006,0)), HYPERLINK("#",""), HYPERLINK(CONCATENATE("#metadata!", ADDRESS(INDEX($W$2:$W$1001,MATCH(ROWS($U$2:U406),$U$2:$U$1001,0),0), INDEX($AB$1004:$AQ$1004,1,MATCH(COLUMNS($AB$1006:AM1006),$AB$1006:$AQ$1006,0)))),"Fix")))</f>
        <v>0</v>
      </c>
      <c r="N406" s="4">
        <f>IF(OR(INDEX($V$2:$V$1001,MATCH(ROWS($U$2:U406),$U$2:$U$1001,0),1)&gt;=100000,INDEX($AB$1005:$AQ$1005,1,MATCH(COLUMNS($AB$1006:AN1006),$AB$1006:$AQ$1006,0))&gt;=100000), " ",IF(INDEX($AB$2:$AQ$1001,MATCH(ROWS($U$2:U406),$U$2:$U$1001,0),MATCH(COLUMNS($AB$1006:AN1006),$AB$1006:$AQ$1006,0)), HYPERLINK("#",""), HYPERLINK(CONCATENATE("#metadata!", ADDRESS(INDEX($W$2:$W$1001,MATCH(ROWS($U$2:U406),$U$2:$U$1001,0),0), INDEX($AB$1004:$AQ$1004,1,MATCH(COLUMNS($AB$1006:AN1006),$AB$1006:$AQ$1006,0)))),"Fix")))</f>
        <v>0</v>
      </c>
      <c r="O406" s="4">
        <f>IF(OR(INDEX($V$2:$V$1001,MATCH(ROWS($U$2:U406),$U$2:$U$1001,0),1)&gt;=100000,INDEX($AB$1005:$AQ$1005,1,MATCH(COLUMNS($AB$1006:AO1006),$AB$1006:$AQ$1006,0))&gt;=100000), " ",IF(INDEX($AB$2:$AQ$1001,MATCH(ROWS($U$2:U406),$U$2:$U$1001,0),MATCH(COLUMNS($AB$1006:AO1006),$AB$1006:$AQ$1006,0)), HYPERLINK("#",""), HYPERLINK(CONCATENATE("#metadata!", ADDRESS(INDEX($W$2:$W$1001,MATCH(ROWS($U$2:U406),$U$2:$U$1001,0),0), INDEX($AB$1004:$AQ$1004,1,MATCH(COLUMNS($AB$1006:AO1006),$AB$1006:$AQ$1006,0)))),"Fix")))</f>
        <v>0</v>
      </c>
      <c r="P406" s="4">
        <f>IF(OR(INDEX($V$2:$V$1001,MATCH(ROWS($U$2:U406),$U$2:$U$1001,0),1)&gt;=100000,INDEX($AB$1005:$AQ$1005,1,MATCH(COLUMNS($AB$1006:AP1006),$AB$1006:$AQ$1006,0))&gt;=100000), " ",IF(INDEX($AB$2:$AQ$1001,MATCH(ROWS($U$2:U406),$U$2:$U$1001,0),MATCH(COLUMNS($AB$1006:AP1006),$AB$1006:$AQ$1006,0)), HYPERLINK("#",""), HYPERLINK(CONCATENATE("#metadata!", ADDRESS(INDEX($W$2:$W$1001,MATCH(ROWS($U$2:U406),$U$2:$U$1001,0),0), INDEX($AB$1004:$AQ$1004,1,MATCH(COLUMNS($AB$1006:AP1006),$AB$1006:$AQ$1006,0)))),"Fix")))</f>
        <v>0</v>
      </c>
      <c r="Q406" s="4">
        <f>IF(OR(INDEX($V$2:$V$1001,MATCH(ROWS($U$2:U406),$U$2:$U$1001,0),1)&gt;=100000,INDEX($AB$1005:$AQ$1005,1,MATCH(COLUMNS($AB$1006:AQ1006),$AB$1006:$AQ$1006,0))&gt;=100000), " ",IF(INDEX($AB$2:$AQ$1001,MATCH(ROWS($U$2:U406),$U$2:$U$1001,0),MATCH(COLUMNS($AB$1006:AQ1006),$AB$1006:$AQ$1006,0)), HYPERLINK("#",""), HYPERLINK(CONCATENATE("#metadata!", ADDRESS(INDEX($W$2:$W$1001,MATCH(ROWS($U$2:U406),$U$2:$U$1001,0),0), INDEX($AB$1004:$AQ$1004,1,MATCH(COLUMNS($AB$1006:AQ1006),$AB$1006:$AQ$1006,0)))),"Fix")))</f>
        <v>0</v>
      </c>
      <c r="U406">
        <v>0</v>
      </c>
      <c r="V406">
        <v>0</v>
      </c>
      <c r="W406">
        <v>0</v>
      </c>
      <c r="X406">
        <f>IF(Y406,TRUE,AND(AB406:AQ406))</f>
        <v>0</v>
      </c>
      <c r="Y406">
        <f>COUNTBLANK(metadata!B406:Q406)=COLUMNS(metadata!B406:Q406)</f>
        <v>0</v>
      </c>
      <c r="Z406">
        <v>0</v>
      </c>
      <c r="AB406">
        <f>AND(IF(metadata!B406="",FALSE,TRUE),COUNTIF(metadata!B:B, metadata!B406) = 1,NOT(ISERROR(SUMPRODUCT(SEARCH(MID(metadata!B406,ROW(INDIRECT("1:"&amp;LEN(metadata!B406))), 1),"0123456789abcdefghijklmnopqrstuvwxyzABCDEFGHIJKLMNOPQRSTUVWXYZ.")))))</f>
        <v>0</v>
      </c>
      <c r="AC406">
        <f>OR(AND(IF(metadata!C406="",FALSE,TRUE),OR(exact(metadata!C406,"missing: not collected"),exact(metadata!C406,"missing: not provided"),exact(metadata!C406,"missing: restricted access"))),AND(IF(metadata!C406="",FALSE,TRUE),AND(AND(IFERROR(INT(LEFT(metadata!C406,4))&gt;1900,FALSE),IFERROR(INT(LEFT(metadata!C406,4))&lt;=YEAR(NOW()),FALSE)), OR(MID(metadata!C406,5,1)="", AND(AND(MID(metadata!C406,5,1)="-",IFERROR(INT(MID(metadata!C406,6,1))&gt;=0,FALSE),IFERROR(INT(MID(metadata!C406,6,1))&lt;=1,FALSE),NOT(MID(metadata!C406,7,1)=""),IFERROR(INT(MID(metadata!C406,6,2))&gt;=1,FALSE),IFERROR(INT(MID(metadata!C406,6,2))&lt;=12,FALSE)), OR(MID(metadata!C406,8,1)="", AND(AND(MID(metadata!C406,8,1)="-",IFERROR(INT(MID(metadata!C406,9,1))&gt;=0,FALSE),IFERROR(INT(MID(metadata!C406,9,1))&lt;=3,FALSE),NOT(MID(metadata!C406,10,1)=""),IFERROR(INT(MID(metadata!C406,9,2))&gt;=1,FALSE),IFERROR(INT(MID(metadata!C406,9,2))&lt;=31,FALSE)), OR(MID(metadata!C406,11,1)="", AND(AND(MID(metadata!C406,11,1)=" ",IFERROR(INT(MID(metadata!C406,12,1))&gt;=0,FALSE),IFERROR(INT(MID(metadata!C406,12,1))&lt;=2,FALSE),NOT(MID(metadata!C406,13,1)=""),IFERROR(INT(MID(metadata!C406,12,2))&gt;=0,FALSE),IFERROR(INT(MID(metadata!C406,12,2))&lt;=23,FALSE)), OR(MID(metadata!C406,14,1)="", AND(AND(MID(metadata!C406,14,1)=":",IFERROR(INT(MID(metadata!C406,15,1))&gt;=0,FALSE),IFERROR(INT(MID(metadata!C406,15,1))&lt;=5,FALSE),NOT(MID(metadata!C406,16,1)=""),IFERROR(INT(MID(metadata!C406,15,2))&gt;=0,FALSE),IFERROR(INT(MID(metadata!C406,15,2))&lt;=59,FALSE)), OR(MID(metadata!C406,17,1)="", AND(AND(MID(metadata!C406,17,1)=":",IFERROR(INT(MID(metadata!C406,18,1))&gt;=0,FALSE),IFERROR(INT(MID(metadata!C406,18,1))&lt;=5,FALSE),NOT(MID(metadata!C406,19,1)=""),IFERROR(INT(MID(metadata!C406,18,2))&gt;=0,FALSE),IFERROR(INT(MID(metadata!C406,18,2))&lt;=59,FALSE)), LEN(metadata!C406)&lt;=19)))))))))))))</f>
        <v>0</v>
      </c>
      <c r="AD406">
        <f>IF(metadata!D406="",FALSE,TRUE)</f>
        <v>0</v>
      </c>
      <c r="AE406">
        <f>OR(AND(IF(metadata!E406="",FALSE,TRUE),OR(exact(metadata!E406,"missing: not collected"),exact(metadata!E406,"missing: not provided"))),AND(IF(metadata!E406="",FALSE,TRUE),OR(exact(metadata!E406,"TRUE"),exact(metadata!E406,"FALSE"))))</f>
        <v>0</v>
      </c>
      <c r="AF406">
        <f>IF(metadata!F406="",FALSE,TRUE)</f>
        <v>0</v>
      </c>
      <c r="AG406">
        <f>IF(metadata!G406="",FALSE,TRUE)</f>
        <v>0</v>
      </c>
      <c r="AH406">
        <f>IF(metadata!H406="",FALSE,TRUE)</f>
        <v>0</v>
      </c>
      <c r="AI406">
        <f>OR(AND(IF(metadata!I406="",FALSE,TRUE),OR(exact(metadata!I406,"missing: not collected"),exact(metadata!I406,"missing: not provided"),exact(metadata!I406,"missing: restricted access"))),AND(IF(metadata!I406="",FALSE,TRUE),OR(exact(metadata!I406,"air"),exact(metadata!I406,"built environment"),exact(metadata!I406,"host-associated"),exact(metadata!I406,"human-associated"),exact(metadata!I406,"human-skin"),exact(metadata!I406,"human-oral"),exact(metadata!I406,"human-gut"),exact(metadata!I406,"human-vaginal"),exact(metadata!I406,"microbial mat/biofilm"),exact(metadata!I406,"misc environment"),exact(metadata!I406,"plant-associated"),exact(metadata!I406,"sediment"),exact(metadata!I406,"soil"),exact(metadata!I406,"wastewater/sludge"),exact(metadata!I406,"water"))))</f>
        <v>0</v>
      </c>
      <c r="AJ406">
        <f>IF(metadata!J406="",FALSE,TRUE)</f>
        <v>0</v>
      </c>
      <c r="AK406">
        <f>OR(AND(IF(metadata!K406="",FALSE,TRUE),OR(exact(metadata!K406,"missing: not collected"),exact(metadata!K406,"missing: not provided"),exact(metadata!K406,"missing: restricted access"))),AND(IF(metadata!K406="",FALSE,ISNUMBER(VALUE(metadata!K406))),metadata!K406&gt;=-90.00,metadata!K406&lt;=90.00))</f>
        <v>0</v>
      </c>
      <c r="AL406">
        <f>OR(AND(IF(metadata!L406="",FALSE,TRUE),OR(exact(metadata!L406,"missing: not collected"),exact(metadata!L406,"missing: not provided"),exact(metadata!L406,"missing: restricted access"))),AND(IF(metadata!L406="",FALSE,ISNUMBER(VALUE(metadata!L406))),metadata!L406&gt;=-180.00,metadata!L406&lt;=180.00))</f>
        <v>0</v>
      </c>
      <c r="AM406">
        <f>IF(metadata!M406="",FALSE,TRUE)</f>
        <v>0</v>
      </c>
      <c r="AN406">
        <f>OR(AND(IF(metadata!N406="",FALSE,TRUE),OR(exact(metadata!N406,"missing: not collected"),exact(metadata!N406,"missing: not provided"),exact(metadata!N406,"missing: restricted access"))),AND(IF(metadata!N406="",FALSE,TRUE),OR(exact(metadata!N406,"TRUE"),exact(metadata!N406,"FALSE"))))</f>
        <v>0</v>
      </c>
      <c r="AO406">
        <f>IF(metadata!O406="",FALSE,TRUE)</f>
        <v>0</v>
      </c>
      <c r="AP406">
        <f>OR(AND(IF(metadata!P406="",FALSE,TRUE),OR(exact(metadata!P406,"missing: not collected"),exact(metadata!P406,"missing: not provided"))),AND(IF(metadata!P406="",FALSE,IF(ISERROR(INT(metadata!P406)),FALSE,INT(metadata!P406)=metadata!P406)),metadata!P406&gt;0))</f>
        <v>0</v>
      </c>
      <c r="AQ406">
        <f>IF(metadata!Q406="",FALSE,TRUE)</f>
        <v>0</v>
      </c>
    </row>
    <row r="407" spans="1:43">
      <c r="A407" s="5">
        <f>IF(B407=" "," ",HYPERLINK(CONCATENATE("#metadata!",ADDRESS(INDEX($W$2:$W$1001,MATCH(ROWS($U$2:U407),$U$2:$U$1001,0),0),1)),INDEX($Z$2:$Z$1001,MATCH(ROWS($U$2:U407),$U$2:$U$1001,0),0)))</f>
        <v>0</v>
      </c>
      <c r="B407" s="4">
        <f>IF(OR(INDEX($V$2:$V$1001,MATCH(ROWS($U$2:U407),$U$2:$U$1001,0),1)&gt;=100000,INDEX($AB$1005:$AQ$1005,1,MATCH(COLUMNS($AB$1006:AB1006),$AB$1006:$AQ$1006,0))&gt;=100000), " ",IF(INDEX($AB$2:$AQ$1001,MATCH(ROWS($U$2:U407),$U$2:$U$1001,0),MATCH(COLUMNS($AB$1006:AB1006),$AB$1006:$AQ$1006,0)), HYPERLINK("#",""), HYPERLINK(CONCATENATE("#metadata!", ADDRESS(INDEX($W$2:$W$1001,MATCH(ROWS($U$2:U407),$U$2:$U$1001,0),0), INDEX($AB$1004:$AQ$1004,1,MATCH(COLUMNS($AB$1006:AB1006),$AB$1006:$AQ$1006,0)))),"Fix")))</f>
        <v>0</v>
      </c>
      <c r="C407" s="4">
        <f>IF(OR(INDEX($V$2:$V$1001,MATCH(ROWS($U$2:U407),$U$2:$U$1001,0),1)&gt;=100000,INDEX($AB$1005:$AQ$1005,1,MATCH(COLUMNS($AB$1006:AC1006),$AB$1006:$AQ$1006,0))&gt;=100000), " ",IF(INDEX($AB$2:$AQ$1001,MATCH(ROWS($U$2:U407),$U$2:$U$1001,0),MATCH(COLUMNS($AB$1006:AC1006),$AB$1006:$AQ$1006,0)), HYPERLINK("#",""), HYPERLINK(CONCATENATE("#metadata!", ADDRESS(INDEX($W$2:$W$1001,MATCH(ROWS($U$2:U407),$U$2:$U$1001,0),0), INDEX($AB$1004:$AQ$1004,1,MATCH(COLUMNS($AB$1006:AC1006),$AB$1006:$AQ$1006,0)))),"Fix")))</f>
        <v>0</v>
      </c>
      <c r="D407" s="4">
        <f>IF(OR(INDEX($V$2:$V$1001,MATCH(ROWS($U$2:U407),$U$2:$U$1001,0),1)&gt;=100000,INDEX($AB$1005:$AQ$1005,1,MATCH(COLUMNS($AB$1006:AD1006),$AB$1006:$AQ$1006,0))&gt;=100000), " ",IF(INDEX($AB$2:$AQ$1001,MATCH(ROWS($U$2:U407),$U$2:$U$1001,0),MATCH(COLUMNS($AB$1006:AD1006),$AB$1006:$AQ$1006,0)), HYPERLINK("#",""), HYPERLINK(CONCATENATE("#metadata!", ADDRESS(INDEX($W$2:$W$1001,MATCH(ROWS($U$2:U407),$U$2:$U$1001,0),0), INDEX($AB$1004:$AQ$1004,1,MATCH(COLUMNS($AB$1006:AD1006),$AB$1006:$AQ$1006,0)))),"Fix")))</f>
        <v>0</v>
      </c>
      <c r="E407" s="4">
        <f>IF(OR(INDEX($V$2:$V$1001,MATCH(ROWS($U$2:U407),$U$2:$U$1001,0),1)&gt;=100000,INDEX($AB$1005:$AQ$1005,1,MATCH(COLUMNS($AB$1006:AE1006),$AB$1006:$AQ$1006,0))&gt;=100000), " ",IF(INDEX($AB$2:$AQ$1001,MATCH(ROWS($U$2:U407),$U$2:$U$1001,0),MATCH(COLUMNS($AB$1006:AE1006),$AB$1006:$AQ$1006,0)), HYPERLINK("#",""), HYPERLINK(CONCATENATE("#metadata!", ADDRESS(INDEX($W$2:$W$1001,MATCH(ROWS($U$2:U407),$U$2:$U$1001,0),0), INDEX($AB$1004:$AQ$1004,1,MATCH(COLUMNS($AB$1006:AE1006),$AB$1006:$AQ$1006,0)))),"Fix")))</f>
        <v>0</v>
      </c>
      <c r="F407" s="4">
        <f>IF(OR(INDEX($V$2:$V$1001,MATCH(ROWS($U$2:U407),$U$2:$U$1001,0),1)&gt;=100000,INDEX($AB$1005:$AQ$1005,1,MATCH(COLUMNS($AB$1006:AF1006),$AB$1006:$AQ$1006,0))&gt;=100000), " ",IF(INDEX($AB$2:$AQ$1001,MATCH(ROWS($U$2:U407),$U$2:$U$1001,0),MATCH(COLUMNS($AB$1006:AF1006),$AB$1006:$AQ$1006,0)), HYPERLINK("#",""), HYPERLINK(CONCATENATE("#metadata!", ADDRESS(INDEX($W$2:$W$1001,MATCH(ROWS($U$2:U407),$U$2:$U$1001,0),0), INDEX($AB$1004:$AQ$1004,1,MATCH(COLUMNS($AB$1006:AF1006),$AB$1006:$AQ$1006,0)))),"Fix")))</f>
        <v>0</v>
      </c>
      <c r="G407" s="4">
        <f>IF(OR(INDEX($V$2:$V$1001,MATCH(ROWS($U$2:U407),$U$2:$U$1001,0),1)&gt;=100000,INDEX($AB$1005:$AQ$1005,1,MATCH(COLUMNS($AB$1006:AG1006),$AB$1006:$AQ$1006,0))&gt;=100000), " ",IF(INDEX($AB$2:$AQ$1001,MATCH(ROWS($U$2:U407),$U$2:$U$1001,0),MATCH(COLUMNS($AB$1006:AG1006),$AB$1006:$AQ$1006,0)), HYPERLINK("#",""), HYPERLINK(CONCATENATE("#metadata!", ADDRESS(INDEX($W$2:$W$1001,MATCH(ROWS($U$2:U407),$U$2:$U$1001,0),0), INDEX($AB$1004:$AQ$1004,1,MATCH(COLUMNS($AB$1006:AG1006),$AB$1006:$AQ$1006,0)))),"Fix")))</f>
        <v>0</v>
      </c>
      <c r="H407" s="4">
        <f>IF(OR(INDEX($V$2:$V$1001,MATCH(ROWS($U$2:U407),$U$2:$U$1001,0),1)&gt;=100000,INDEX($AB$1005:$AQ$1005,1,MATCH(COLUMNS($AB$1006:AH1006),$AB$1006:$AQ$1006,0))&gt;=100000), " ",IF(INDEX($AB$2:$AQ$1001,MATCH(ROWS($U$2:U407),$U$2:$U$1001,0),MATCH(COLUMNS($AB$1006:AH1006),$AB$1006:$AQ$1006,0)), HYPERLINK("#",""), HYPERLINK(CONCATENATE("#metadata!", ADDRESS(INDEX($W$2:$W$1001,MATCH(ROWS($U$2:U407),$U$2:$U$1001,0),0), INDEX($AB$1004:$AQ$1004,1,MATCH(COLUMNS($AB$1006:AH1006),$AB$1006:$AQ$1006,0)))),"Fix")))</f>
        <v>0</v>
      </c>
      <c r="I407" s="4">
        <f>IF(OR(INDEX($V$2:$V$1001,MATCH(ROWS($U$2:U407),$U$2:$U$1001,0),1)&gt;=100000,INDEX($AB$1005:$AQ$1005,1,MATCH(COLUMNS($AB$1006:AI1006),$AB$1006:$AQ$1006,0))&gt;=100000), " ",IF(INDEX($AB$2:$AQ$1001,MATCH(ROWS($U$2:U407),$U$2:$U$1001,0),MATCH(COLUMNS($AB$1006:AI1006),$AB$1006:$AQ$1006,0)), HYPERLINK("#",""), HYPERLINK(CONCATENATE("#metadata!", ADDRESS(INDEX($W$2:$W$1001,MATCH(ROWS($U$2:U407),$U$2:$U$1001,0),0), INDEX($AB$1004:$AQ$1004,1,MATCH(COLUMNS($AB$1006:AI1006),$AB$1006:$AQ$1006,0)))),"Fix")))</f>
        <v>0</v>
      </c>
      <c r="J407" s="4">
        <f>IF(OR(INDEX($V$2:$V$1001,MATCH(ROWS($U$2:U407),$U$2:$U$1001,0),1)&gt;=100000,INDEX($AB$1005:$AQ$1005,1,MATCH(COLUMNS($AB$1006:AJ1006),$AB$1006:$AQ$1006,0))&gt;=100000), " ",IF(INDEX($AB$2:$AQ$1001,MATCH(ROWS($U$2:U407),$U$2:$U$1001,0),MATCH(COLUMNS($AB$1006:AJ1006),$AB$1006:$AQ$1006,0)), HYPERLINK("#",""), HYPERLINK(CONCATENATE("#metadata!", ADDRESS(INDEX($W$2:$W$1001,MATCH(ROWS($U$2:U407),$U$2:$U$1001,0),0), INDEX($AB$1004:$AQ$1004,1,MATCH(COLUMNS($AB$1006:AJ1006),$AB$1006:$AQ$1006,0)))),"Fix")))</f>
        <v>0</v>
      </c>
      <c r="K407" s="4">
        <f>IF(OR(INDEX($V$2:$V$1001,MATCH(ROWS($U$2:U407),$U$2:$U$1001,0),1)&gt;=100000,INDEX($AB$1005:$AQ$1005,1,MATCH(COLUMNS($AB$1006:AK1006),$AB$1006:$AQ$1006,0))&gt;=100000), " ",IF(INDEX($AB$2:$AQ$1001,MATCH(ROWS($U$2:U407),$U$2:$U$1001,0),MATCH(COLUMNS($AB$1006:AK1006),$AB$1006:$AQ$1006,0)), HYPERLINK("#",""), HYPERLINK(CONCATENATE("#metadata!", ADDRESS(INDEX($W$2:$W$1001,MATCH(ROWS($U$2:U407),$U$2:$U$1001,0),0), INDEX($AB$1004:$AQ$1004,1,MATCH(COLUMNS($AB$1006:AK1006),$AB$1006:$AQ$1006,0)))),"Fix")))</f>
        <v>0</v>
      </c>
      <c r="L407" s="4">
        <f>IF(OR(INDEX($V$2:$V$1001,MATCH(ROWS($U$2:U407),$U$2:$U$1001,0),1)&gt;=100000,INDEX($AB$1005:$AQ$1005,1,MATCH(COLUMNS($AB$1006:AL1006),$AB$1006:$AQ$1006,0))&gt;=100000), " ",IF(INDEX($AB$2:$AQ$1001,MATCH(ROWS($U$2:U407),$U$2:$U$1001,0),MATCH(COLUMNS($AB$1006:AL1006),$AB$1006:$AQ$1006,0)), HYPERLINK("#",""), HYPERLINK(CONCATENATE("#metadata!", ADDRESS(INDEX($W$2:$W$1001,MATCH(ROWS($U$2:U407),$U$2:$U$1001,0),0), INDEX($AB$1004:$AQ$1004,1,MATCH(COLUMNS($AB$1006:AL1006),$AB$1006:$AQ$1006,0)))),"Fix")))</f>
        <v>0</v>
      </c>
      <c r="M407" s="4">
        <f>IF(OR(INDEX($V$2:$V$1001,MATCH(ROWS($U$2:U407),$U$2:$U$1001,0),1)&gt;=100000,INDEX($AB$1005:$AQ$1005,1,MATCH(COLUMNS($AB$1006:AM1006),$AB$1006:$AQ$1006,0))&gt;=100000), " ",IF(INDEX($AB$2:$AQ$1001,MATCH(ROWS($U$2:U407),$U$2:$U$1001,0),MATCH(COLUMNS($AB$1006:AM1006),$AB$1006:$AQ$1006,0)), HYPERLINK("#",""), HYPERLINK(CONCATENATE("#metadata!", ADDRESS(INDEX($W$2:$W$1001,MATCH(ROWS($U$2:U407),$U$2:$U$1001,0),0), INDEX($AB$1004:$AQ$1004,1,MATCH(COLUMNS($AB$1006:AM1006),$AB$1006:$AQ$1006,0)))),"Fix")))</f>
        <v>0</v>
      </c>
      <c r="N407" s="4">
        <f>IF(OR(INDEX($V$2:$V$1001,MATCH(ROWS($U$2:U407),$U$2:$U$1001,0),1)&gt;=100000,INDEX($AB$1005:$AQ$1005,1,MATCH(COLUMNS($AB$1006:AN1006),$AB$1006:$AQ$1006,0))&gt;=100000), " ",IF(INDEX($AB$2:$AQ$1001,MATCH(ROWS($U$2:U407),$U$2:$U$1001,0),MATCH(COLUMNS($AB$1006:AN1006),$AB$1006:$AQ$1006,0)), HYPERLINK("#",""), HYPERLINK(CONCATENATE("#metadata!", ADDRESS(INDEX($W$2:$W$1001,MATCH(ROWS($U$2:U407),$U$2:$U$1001,0),0), INDEX($AB$1004:$AQ$1004,1,MATCH(COLUMNS($AB$1006:AN1006),$AB$1006:$AQ$1006,0)))),"Fix")))</f>
        <v>0</v>
      </c>
      <c r="O407" s="4">
        <f>IF(OR(INDEX($V$2:$V$1001,MATCH(ROWS($U$2:U407),$U$2:$U$1001,0),1)&gt;=100000,INDEX($AB$1005:$AQ$1005,1,MATCH(COLUMNS($AB$1006:AO1006),$AB$1006:$AQ$1006,0))&gt;=100000), " ",IF(INDEX($AB$2:$AQ$1001,MATCH(ROWS($U$2:U407),$U$2:$U$1001,0),MATCH(COLUMNS($AB$1006:AO1006),$AB$1006:$AQ$1006,0)), HYPERLINK("#",""), HYPERLINK(CONCATENATE("#metadata!", ADDRESS(INDEX($W$2:$W$1001,MATCH(ROWS($U$2:U407),$U$2:$U$1001,0),0), INDEX($AB$1004:$AQ$1004,1,MATCH(COLUMNS($AB$1006:AO1006),$AB$1006:$AQ$1006,0)))),"Fix")))</f>
        <v>0</v>
      </c>
      <c r="P407" s="4">
        <f>IF(OR(INDEX($V$2:$V$1001,MATCH(ROWS($U$2:U407),$U$2:$U$1001,0),1)&gt;=100000,INDEX($AB$1005:$AQ$1005,1,MATCH(COLUMNS($AB$1006:AP1006),$AB$1006:$AQ$1006,0))&gt;=100000), " ",IF(INDEX($AB$2:$AQ$1001,MATCH(ROWS($U$2:U407),$U$2:$U$1001,0),MATCH(COLUMNS($AB$1006:AP1006),$AB$1006:$AQ$1006,0)), HYPERLINK("#",""), HYPERLINK(CONCATENATE("#metadata!", ADDRESS(INDEX($W$2:$W$1001,MATCH(ROWS($U$2:U407),$U$2:$U$1001,0),0), INDEX($AB$1004:$AQ$1004,1,MATCH(COLUMNS($AB$1006:AP1006),$AB$1006:$AQ$1006,0)))),"Fix")))</f>
        <v>0</v>
      </c>
      <c r="Q407" s="4">
        <f>IF(OR(INDEX($V$2:$V$1001,MATCH(ROWS($U$2:U407),$U$2:$U$1001,0),1)&gt;=100000,INDEX($AB$1005:$AQ$1005,1,MATCH(COLUMNS($AB$1006:AQ1006),$AB$1006:$AQ$1006,0))&gt;=100000), " ",IF(INDEX($AB$2:$AQ$1001,MATCH(ROWS($U$2:U407),$U$2:$U$1001,0),MATCH(COLUMNS($AB$1006:AQ1006),$AB$1006:$AQ$1006,0)), HYPERLINK("#",""), HYPERLINK(CONCATENATE("#metadata!", ADDRESS(INDEX($W$2:$W$1001,MATCH(ROWS($U$2:U407),$U$2:$U$1001,0),0), INDEX($AB$1004:$AQ$1004,1,MATCH(COLUMNS($AB$1006:AQ1006),$AB$1006:$AQ$1006,0)))),"Fix")))</f>
        <v>0</v>
      </c>
      <c r="U407">
        <v>0</v>
      </c>
      <c r="V407">
        <v>0</v>
      </c>
      <c r="W407">
        <v>0</v>
      </c>
      <c r="X407">
        <f>IF(Y407,TRUE,AND(AB407:AQ407))</f>
        <v>0</v>
      </c>
      <c r="Y407">
        <f>COUNTBLANK(metadata!B407:Q407)=COLUMNS(metadata!B407:Q407)</f>
        <v>0</v>
      </c>
      <c r="Z407">
        <v>0</v>
      </c>
      <c r="AB407">
        <f>AND(IF(metadata!B407="",FALSE,TRUE),COUNTIF(metadata!B:B, metadata!B407) = 1,NOT(ISERROR(SUMPRODUCT(SEARCH(MID(metadata!B407,ROW(INDIRECT("1:"&amp;LEN(metadata!B407))), 1),"0123456789abcdefghijklmnopqrstuvwxyzABCDEFGHIJKLMNOPQRSTUVWXYZ.")))))</f>
        <v>0</v>
      </c>
      <c r="AC407">
        <f>OR(AND(IF(metadata!C407="",FALSE,TRUE),OR(exact(metadata!C407,"missing: not collected"),exact(metadata!C407,"missing: not provided"),exact(metadata!C407,"missing: restricted access"))),AND(IF(metadata!C407="",FALSE,TRUE),AND(AND(IFERROR(INT(LEFT(metadata!C407,4))&gt;1900,FALSE),IFERROR(INT(LEFT(metadata!C407,4))&lt;=YEAR(NOW()),FALSE)), OR(MID(metadata!C407,5,1)="", AND(AND(MID(metadata!C407,5,1)="-",IFERROR(INT(MID(metadata!C407,6,1))&gt;=0,FALSE),IFERROR(INT(MID(metadata!C407,6,1))&lt;=1,FALSE),NOT(MID(metadata!C407,7,1)=""),IFERROR(INT(MID(metadata!C407,6,2))&gt;=1,FALSE),IFERROR(INT(MID(metadata!C407,6,2))&lt;=12,FALSE)), OR(MID(metadata!C407,8,1)="", AND(AND(MID(metadata!C407,8,1)="-",IFERROR(INT(MID(metadata!C407,9,1))&gt;=0,FALSE),IFERROR(INT(MID(metadata!C407,9,1))&lt;=3,FALSE),NOT(MID(metadata!C407,10,1)=""),IFERROR(INT(MID(metadata!C407,9,2))&gt;=1,FALSE),IFERROR(INT(MID(metadata!C407,9,2))&lt;=31,FALSE)), OR(MID(metadata!C407,11,1)="", AND(AND(MID(metadata!C407,11,1)=" ",IFERROR(INT(MID(metadata!C407,12,1))&gt;=0,FALSE),IFERROR(INT(MID(metadata!C407,12,1))&lt;=2,FALSE),NOT(MID(metadata!C407,13,1)=""),IFERROR(INT(MID(metadata!C407,12,2))&gt;=0,FALSE),IFERROR(INT(MID(metadata!C407,12,2))&lt;=23,FALSE)), OR(MID(metadata!C407,14,1)="", AND(AND(MID(metadata!C407,14,1)=":",IFERROR(INT(MID(metadata!C407,15,1))&gt;=0,FALSE),IFERROR(INT(MID(metadata!C407,15,1))&lt;=5,FALSE),NOT(MID(metadata!C407,16,1)=""),IFERROR(INT(MID(metadata!C407,15,2))&gt;=0,FALSE),IFERROR(INT(MID(metadata!C407,15,2))&lt;=59,FALSE)), OR(MID(metadata!C407,17,1)="", AND(AND(MID(metadata!C407,17,1)=":",IFERROR(INT(MID(metadata!C407,18,1))&gt;=0,FALSE),IFERROR(INT(MID(metadata!C407,18,1))&lt;=5,FALSE),NOT(MID(metadata!C407,19,1)=""),IFERROR(INT(MID(metadata!C407,18,2))&gt;=0,FALSE),IFERROR(INT(MID(metadata!C407,18,2))&lt;=59,FALSE)), LEN(metadata!C407)&lt;=19)))))))))))))</f>
        <v>0</v>
      </c>
      <c r="AD407">
        <f>IF(metadata!D407="",FALSE,TRUE)</f>
        <v>0</v>
      </c>
      <c r="AE407">
        <f>OR(AND(IF(metadata!E407="",FALSE,TRUE),OR(exact(metadata!E407,"missing: not collected"),exact(metadata!E407,"missing: not provided"))),AND(IF(metadata!E407="",FALSE,TRUE),OR(exact(metadata!E407,"TRUE"),exact(metadata!E407,"FALSE"))))</f>
        <v>0</v>
      </c>
      <c r="AF407">
        <f>IF(metadata!F407="",FALSE,TRUE)</f>
        <v>0</v>
      </c>
      <c r="AG407">
        <f>IF(metadata!G407="",FALSE,TRUE)</f>
        <v>0</v>
      </c>
      <c r="AH407">
        <f>IF(metadata!H407="",FALSE,TRUE)</f>
        <v>0</v>
      </c>
      <c r="AI407">
        <f>OR(AND(IF(metadata!I407="",FALSE,TRUE),OR(exact(metadata!I407,"missing: not collected"),exact(metadata!I407,"missing: not provided"),exact(metadata!I407,"missing: restricted access"))),AND(IF(metadata!I407="",FALSE,TRUE),OR(exact(metadata!I407,"air"),exact(metadata!I407,"built environment"),exact(metadata!I407,"host-associated"),exact(metadata!I407,"human-associated"),exact(metadata!I407,"human-skin"),exact(metadata!I407,"human-oral"),exact(metadata!I407,"human-gut"),exact(metadata!I407,"human-vaginal"),exact(metadata!I407,"microbial mat/biofilm"),exact(metadata!I407,"misc environment"),exact(metadata!I407,"plant-associated"),exact(metadata!I407,"sediment"),exact(metadata!I407,"soil"),exact(metadata!I407,"wastewater/sludge"),exact(metadata!I407,"water"))))</f>
        <v>0</v>
      </c>
      <c r="AJ407">
        <f>IF(metadata!J407="",FALSE,TRUE)</f>
        <v>0</v>
      </c>
      <c r="AK407">
        <f>OR(AND(IF(metadata!K407="",FALSE,TRUE),OR(exact(metadata!K407,"missing: not collected"),exact(metadata!K407,"missing: not provided"),exact(metadata!K407,"missing: restricted access"))),AND(IF(metadata!K407="",FALSE,ISNUMBER(VALUE(metadata!K407))),metadata!K407&gt;=-90.00,metadata!K407&lt;=90.00))</f>
        <v>0</v>
      </c>
      <c r="AL407">
        <f>OR(AND(IF(metadata!L407="",FALSE,TRUE),OR(exact(metadata!L407,"missing: not collected"),exact(metadata!L407,"missing: not provided"),exact(metadata!L407,"missing: restricted access"))),AND(IF(metadata!L407="",FALSE,ISNUMBER(VALUE(metadata!L407))),metadata!L407&gt;=-180.00,metadata!L407&lt;=180.00))</f>
        <v>0</v>
      </c>
      <c r="AM407">
        <f>IF(metadata!M407="",FALSE,TRUE)</f>
        <v>0</v>
      </c>
      <c r="AN407">
        <f>OR(AND(IF(metadata!N407="",FALSE,TRUE),OR(exact(metadata!N407,"missing: not collected"),exact(metadata!N407,"missing: not provided"),exact(metadata!N407,"missing: restricted access"))),AND(IF(metadata!N407="",FALSE,TRUE),OR(exact(metadata!N407,"TRUE"),exact(metadata!N407,"FALSE"))))</f>
        <v>0</v>
      </c>
      <c r="AO407">
        <f>IF(metadata!O407="",FALSE,TRUE)</f>
        <v>0</v>
      </c>
      <c r="AP407">
        <f>OR(AND(IF(metadata!P407="",FALSE,TRUE),OR(exact(metadata!P407,"missing: not collected"),exact(metadata!P407,"missing: not provided"))),AND(IF(metadata!P407="",FALSE,IF(ISERROR(INT(metadata!P407)),FALSE,INT(metadata!P407)=metadata!P407)),metadata!P407&gt;0))</f>
        <v>0</v>
      </c>
      <c r="AQ407">
        <f>IF(metadata!Q407="",FALSE,TRUE)</f>
        <v>0</v>
      </c>
    </row>
    <row r="408" spans="1:43">
      <c r="A408" s="5">
        <f>IF(B408=" "," ",HYPERLINK(CONCATENATE("#metadata!",ADDRESS(INDEX($W$2:$W$1001,MATCH(ROWS($U$2:U408),$U$2:$U$1001,0),0),1)),INDEX($Z$2:$Z$1001,MATCH(ROWS($U$2:U408),$U$2:$U$1001,0),0)))</f>
        <v>0</v>
      </c>
      <c r="B408" s="4">
        <f>IF(OR(INDEX($V$2:$V$1001,MATCH(ROWS($U$2:U408),$U$2:$U$1001,0),1)&gt;=100000,INDEX($AB$1005:$AQ$1005,1,MATCH(COLUMNS($AB$1006:AB1006),$AB$1006:$AQ$1006,0))&gt;=100000), " ",IF(INDEX($AB$2:$AQ$1001,MATCH(ROWS($U$2:U408),$U$2:$U$1001,0),MATCH(COLUMNS($AB$1006:AB1006),$AB$1006:$AQ$1006,0)), HYPERLINK("#",""), HYPERLINK(CONCATENATE("#metadata!", ADDRESS(INDEX($W$2:$W$1001,MATCH(ROWS($U$2:U408),$U$2:$U$1001,0),0), INDEX($AB$1004:$AQ$1004,1,MATCH(COLUMNS($AB$1006:AB1006),$AB$1006:$AQ$1006,0)))),"Fix")))</f>
        <v>0</v>
      </c>
      <c r="C408" s="4">
        <f>IF(OR(INDEX($V$2:$V$1001,MATCH(ROWS($U$2:U408),$U$2:$U$1001,0),1)&gt;=100000,INDEX($AB$1005:$AQ$1005,1,MATCH(COLUMNS($AB$1006:AC1006),$AB$1006:$AQ$1006,0))&gt;=100000), " ",IF(INDEX($AB$2:$AQ$1001,MATCH(ROWS($U$2:U408),$U$2:$U$1001,0),MATCH(COLUMNS($AB$1006:AC1006),$AB$1006:$AQ$1006,0)), HYPERLINK("#",""), HYPERLINK(CONCATENATE("#metadata!", ADDRESS(INDEX($W$2:$W$1001,MATCH(ROWS($U$2:U408),$U$2:$U$1001,0),0), INDEX($AB$1004:$AQ$1004,1,MATCH(COLUMNS($AB$1006:AC1006),$AB$1006:$AQ$1006,0)))),"Fix")))</f>
        <v>0</v>
      </c>
      <c r="D408" s="4">
        <f>IF(OR(INDEX($V$2:$V$1001,MATCH(ROWS($U$2:U408),$U$2:$U$1001,0),1)&gt;=100000,INDEX($AB$1005:$AQ$1005,1,MATCH(COLUMNS($AB$1006:AD1006),$AB$1006:$AQ$1006,0))&gt;=100000), " ",IF(INDEX($AB$2:$AQ$1001,MATCH(ROWS($U$2:U408),$U$2:$U$1001,0),MATCH(COLUMNS($AB$1006:AD1006),$AB$1006:$AQ$1006,0)), HYPERLINK("#",""), HYPERLINK(CONCATENATE("#metadata!", ADDRESS(INDEX($W$2:$W$1001,MATCH(ROWS($U$2:U408),$U$2:$U$1001,0),0), INDEX($AB$1004:$AQ$1004,1,MATCH(COLUMNS($AB$1006:AD1006),$AB$1006:$AQ$1006,0)))),"Fix")))</f>
        <v>0</v>
      </c>
      <c r="E408" s="4">
        <f>IF(OR(INDEX($V$2:$V$1001,MATCH(ROWS($U$2:U408),$U$2:$U$1001,0),1)&gt;=100000,INDEX($AB$1005:$AQ$1005,1,MATCH(COLUMNS($AB$1006:AE1006),$AB$1006:$AQ$1006,0))&gt;=100000), " ",IF(INDEX($AB$2:$AQ$1001,MATCH(ROWS($U$2:U408),$U$2:$U$1001,0),MATCH(COLUMNS($AB$1006:AE1006),$AB$1006:$AQ$1006,0)), HYPERLINK("#",""), HYPERLINK(CONCATENATE("#metadata!", ADDRESS(INDEX($W$2:$W$1001,MATCH(ROWS($U$2:U408),$U$2:$U$1001,0),0), INDEX($AB$1004:$AQ$1004,1,MATCH(COLUMNS($AB$1006:AE1006),$AB$1006:$AQ$1006,0)))),"Fix")))</f>
        <v>0</v>
      </c>
      <c r="F408" s="4">
        <f>IF(OR(INDEX($V$2:$V$1001,MATCH(ROWS($U$2:U408),$U$2:$U$1001,0),1)&gt;=100000,INDEX($AB$1005:$AQ$1005,1,MATCH(COLUMNS($AB$1006:AF1006),$AB$1006:$AQ$1006,0))&gt;=100000), " ",IF(INDEX($AB$2:$AQ$1001,MATCH(ROWS($U$2:U408),$U$2:$U$1001,0),MATCH(COLUMNS($AB$1006:AF1006),$AB$1006:$AQ$1006,0)), HYPERLINK("#",""), HYPERLINK(CONCATENATE("#metadata!", ADDRESS(INDEX($W$2:$W$1001,MATCH(ROWS($U$2:U408),$U$2:$U$1001,0),0), INDEX($AB$1004:$AQ$1004,1,MATCH(COLUMNS($AB$1006:AF1006),$AB$1006:$AQ$1006,0)))),"Fix")))</f>
        <v>0</v>
      </c>
      <c r="G408" s="4">
        <f>IF(OR(INDEX($V$2:$V$1001,MATCH(ROWS($U$2:U408),$U$2:$U$1001,0),1)&gt;=100000,INDEX($AB$1005:$AQ$1005,1,MATCH(COLUMNS($AB$1006:AG1006),$AB$1006:$AQ$1006,0))&gt;=100000), " ",IF(INDEX($AB$2:$AQ$1001,MATCH(ROWS($U$2:U408),$U$2:$U$1001,0),MATCH(COLUMNS($AB$1006:AG1006),$AB$1006:$AQ$1006,0)), HYPERLINK("#",""), HYPERLINK(CONCATENATE("#metadata!", ADDRESS(INDEX($W$2:$W$1001,MATCH(ROWS($U$2:U408),$U$2:$U$1001,0),0), INDEX($AB$1004:$AQ$1004,1,MATCH(COLUMNS($AB$1006:AG1006),$AB$1006:$AQ$1006,0)))),"Fix")))</f>
        <v>0</v>
      </c>
      <c r="H408" s="4">
        <f>IF(OR(INDEX($V$2:$V$1001,MATCH(ROWS($U$2:U408),$U$2:$U$1001,0),1)&gt;=100000,INDEX($AB$1005:$AQ$1005,1,MATCH(COLUMNS($AB$1006:AH1006),$AB$1006:$AQ$1006,0))&gt;=100000), " ",IF(INDEX($AB$2:$AQ$1001,MATCH(ROWS($U$2:U408),$U$2:$U$1001,0),MATCH(COLUMNS($AB$1006:AH1006),$AB$1006:$AQ$1006,0)), HYPERLINK("#",""), HYPERLINK(CONCATENATE("#metadata!", ADDRESS(INDEX($W$2:$W$1001,MATCH(ROWS($U$2:U408),$U$2:$U$1001,0),0), INDEX($AB$1004:$AQ$1004,1,MATCH(COLUMNS($AB$1006:AH1006),$AB$1006:$AQ$1006,0)))),"Fix")))</f>
        <v>0</v>
      </c>
      <c r="I408" s="4">
        <f>IF(OR(INDEX($V$2:$V$1001,MATCH(ROWS($U$2:U408),$U$2:$U$1001,0),1)&gt;=100000,INDEX($AB$1005:$AQ$1005,1,MATCH(COLUMNS($AB$1006:AI1006),$AB$1006:$AQ$1006,0))&gt;=100000), " ",IF(INDEX($AB$2:$AQ$1001,MATCH(ROWS($U$2:U408),$U$2:$U$1001,0),MATCH(COLUMNS($AB$1006:AI1006),$AB$1006:$AQ$1006,0)), HYPERLINK("#",""), HYPERLINK(CONCATENATE("#metadata!", ADDRESS(INDEX($W$2:$W$1001,MATCH(ROWS($U$2:U408),$U$2:$U$1001,0),0), INDEX($AB$1004:$AQ$1004,1,MATCH(COLUMNS($AB$1006:AI1006),$AB$1006:$AQ$1006,0)))),"Fix")))</f>
        <v>0</v>
      </c>
      <c r="J408" s="4">
        <f>IF(OR(INDEX($V$2:$V$1001,MATCH(ROWS($U$2:U408),$U$2:$U$1001,0),1)&gt;=100000,INDEX($AB$1005:$AQ$1005,1,MATCH(COLUMNS($AB$1006:AJ1006),$AB$1006:$AQ$1006,0))&gt;=100000), " ",IF(INDEX($AB$2:$AQ$1001,MATCH(ROWS($U$2:U408),$U$2:$U$1001,0),MATCH(COLUMNS($AB$1006:AJ1006),$AB$1006:$AQ$1006,0)), HYPERLINK("#",""), HYPERLINK(CONCATENATE("#metadata!", ADDRESS(INDEX($W$2:$W$1001,MATCH(ROWS($U$2:U408),$U$2:$U$1001,0),0), INDEX($AB$1004:$AQ$1004,1,MATCH(COLUMNS($AB$1006:AJ1006),$AB$1006:$AQ$1006,0)))),"Fix")))</f>
        <v>0</v>
      </c>
      <c r="K408" s="4">
        <f>IF(OR(INDEX($V$2:$V$1001,MATCH(ROWS($U$2:U408),$U$2:$U$1001,0),1)&gt;=100000,INDEX($AB$1005:$AQ$1005,1,MATCH(COLUMNS($AB$1006:AK1006),$AB$1006:$AQ$1006,0))&gt;=100000), " ",IF(INDEX($AB$2:$AQ$1001,MATCH(ROWS($U$2:U408),$U$2:$U$1001,0),MATCH(COLUMNS($AB$1006:AK1006),$AB$1006:$AQ$1006,0)), HYPERLINK("#",""), HYPERLINK(CONCATENATE("#metadata!", ADDRESS(INDEX($W$2:$W$1001,MATCH(ROWS($U$2:U408),$U$2:$U$1001,0),0), INDEX($AB$1004:$AQ$1004,1,MATCH(COLUMNS($AB$1006:AK1006),$AB$1006:$AQ$1006,0)))),"Fix")))</f>
        <v>0</v>
      </c>
      <c r="L408" s="4">
        <f>IF(OR(INDEX($V$2:$V$1001,MATCH(ROWS($U$2:U408),$U$2:$U$1001,0),1)&gt;=100000,INDEX($AB$1005:$AQ$1005,1,MATCH(COLUMNS($AB$1006:AL1006),$AB$1006:$AQ$1006,0))&gt;=100000), " ",IF(INDEX($AB$2:$AQ$1001,MATCH(ROWS($U$2:U408),$U$2:$U$1001,0),MATCH(COLUMNS($AB$1006:AL1006),$AB$1006:$AQ$1006,0)), HYPERLINK("#",""), HYPERLINK(CONCATENATE("#metadata!", ADDRESS(INDEX($W$2:$W$1001,MATCH(ROWS($U$2:U408),$U$2:$U$1001,0),0), INDEX($AB$1004:$AQ$1004,1,MATCH(COLUMNS($AB$1006:AL1006),$AB$1006:$AQ$1006,0)))),"Fix")))</f>
        <v>0</v>
      </c>
      <c r="M408" s="4">
        <f>IF(OR(INDEX($V$2:$V$1001,MATCH(ROWS($U$2:U408),$U$2:$U$1001,0),1)&gt;=100000,INDEX($AB$1005:$AQ$1005,1,MATCH(COLUMNS($AB$1006:AM1006),$AB$1006:$AQ$1006,0))&gt;=100000), " ",IF(INDEX($AB$2:$AQ$1001,MATCH(ROWS($U$2:U408),$U$2:$U$1001,0),MATCH(COLUMNS($AB$1006:AM1006),$AB$1006:$AQ$1006,0)), HYPERLINK("#",""), HYPERLINK(CONCATENATE("#metadata!", ADDRESS(INDEX($W$2:$W$1001,MATCH(ROWS($U$2:U408),$U$2:$U$1001,0),0), INDEX($AB$1004:$AQ$1004,1,MATCH(COLUMNS($AB$1006:AM1006),$AB$1006:$AQ$1006,0)))),"Fix")))</f>
        <v>0</v>
      </c>
      <c r="N408" s="4">
        <f>IF(OR(INDEX($V$2:$V$1001,MATCH(ROWS($U$2:U408),$U$2:$U$1001,0),1)&gt;=100000,INDEX($AB$1005:$AQ$1005,1,MATCH(COLUMNS($AB$1006:AN1006),$AB$1006:$AQ$1006,0))&gt;=100000), " ",IF(INDEX($AB$2:$AQ$1001,MATCH(ROWS($U$2:U408),$U$2:$U$1001,0),MATCH(COLUMNS($AB$1006:AN1006),$AB$1006:$AQ$1006,0)), HYPERLINK("#",""), HYPERLINK(CONCATENATE("#metadata!", ADDRESS(INDEX($W$2:$W$1001,MATCH(ROWS($U$2:U408),$U$2:$U$1001,0),0), INDEX($AB$1004:$AQ$1004,1,MATCH(COLUMNS($AB$1006:AN1006),$AB$1006:$AQ$1006,0)))),"Fix")))</f>
        <v>0</v>
      </c>
      <c r="O408" s="4">
        <f>IF(OR(INDEX($V$2:$V$1001,MATCH(ROWS($U$2:U408),$U$2:$U$1001,0),1)&gt;=100000,INDEX($AB$1005:$AQ$1005,1,MATCH(COLUMNS($AB$1006:AO1006),$AB$1006:$AQ$1006,0))&gt;=100000), " ",IF(INDEX($AB$2:$AQ$1001,MATCH(ROWS($U$2:U408),$U$2:$U$1001,0),MATCH(COLUMNS($AB$1006:AO1006),$AB$1006:$AQ$1006,0)), HYPERLINK("#",""), HYPERLINK(CONCATENATE("#metadata!", ADDRESS(INDEX($W$2:$W$1001,MATCH(ROWS($U$2:U408),$U$2:$U$1001,0),0), INDEX($AB$1004:$AQ$1004,1,MATCH(COLUMNS($AB$1006:AO1006),$AB$1006:$AQ$1006,0)))),"Fix")))</f>
        <v>0</v>
      </c>
      <c r="P408" s="4">
        <f>IF(OR(INDEX($V$2:$V$1001,MATCH(ROWS($U$2:U408),$U$2:$U$1001,0),1)&gt;=100000,INDEX($AB$1005:$AQ$1005,1,MATCH(COLUMNS($AB$1006:AP1006),$AB$1006:$AQ$1006,0))&gt;=100000), " ",IF(INDEX($AB$2:$AQ$1001,MATCH(ROWS($U$2:U408),$U$2:$U$1001,0),MATCH(COLUMNS($AB$1006:AP1006),$AB$1006:$AQ$1006,0)), HYPERLINK("#",""), HYPERLINK(CONCATENATE("#metadata!", ADDRESS(INDEX($W$2:$W$1001,MATCH(ROWS($U$2:U408),$U$2:$U$1001,0),0), INDEX($AB$1004:$AQ$1004,1,MATCH(COLUMNS($AB$1006:AP1006),$AB$1006:$AQ$1006,0)))),"Fix")))</f>
        <v>0</v>
      </c>
      <c r="Q408" s="4">
        <f>IF(OR(INDEX($V$2:$V$1001,MATCH(ROWS($U$2:U408),$U$2:$U$1001,0),1)&gt;=100000,INDEX($AB$1005:$AQ$1005,1,MATCH(COLUMNS($AB$1006:AQ1006),$AB$1006:$AQ$1006,0))&gt;=100000), " ",IF(INDEX($AB$2:$AQ$1001,MATCH(ROWS($U$2:U408),$U$2:$U$1001,0),MATCH(COLUMNS($AB$1006:AQ1006),$AB$1006:$AQ$1006,0)), HYPERLINK("#",""), HYPERLINK(CONCATENATE("#metadata!", ADDRESS(INDEX($W$2:$W$1001,MATCH(ROWS($U$2:U408),$U$2:$U$1001,0),0), INDEX($AB$1004:$AQ$1004,1,MATCH(COLUMNS($AB$1006:AQ1006),$AB$1006:$AQ$1006,0)))),"Fix")))</f>
        <v>0</v>
      </c>
      <c r="U408">
        <v>0</v>
      </c>
      <c r="V408">
        <v>0</v>
      </c>
      <c r="W408">
        <v>0</v>
      </c>
      <c r="X408">
        <f>IF(Y408,TRUE,AND(AB408:AQ408))</f>
        <v>0</v>
      </c>
      <c r="Y408">
        <f>COUNTBLANK(metadata!B408:Q408)=COLUMNS(metadata!B408:Q408)</f>
        <v>0</v>
      </c>
      <c r="Z408">
        <v>0</v>
      </c>
      <c r="AB408">
        <f>AND(IF(metadata!B408="",FALSE,TRUE),COUNTIF(metadata!B:B, metadata!B408) = 1,NOT(ISERROR(SUMPRODUCT(SEARCH(MID(metadata!B408,ROW(INDIRECT("1:"&amp;LEN(metadata!B408))), 1),"0123456789abcdefghijklmnopqrstuvwxyzABCDEFGHIJKLMNOPQRSTUVWXYZ.")))))</f>
        <v>0</v>
      </c>
      <c r="AC408">
        <f>OR(AND(IF(metadata!C408="",FALSE,TRUE),OR(exact(metadata!C408,"missing: not collected"),exact(metadata!C408,"missing: not provided"),exact(metadata!C408,"missing: restricted access"))),AND(IF(metadata!C408="",FALSE,TRUE),AND(AND(IFERROR(INT(LEFT(metadata!C408,4))&gt;1900,FALSE),IFERROR(INT(LEFT(metadata!C408,4))&lt;=YEAR(NOW()),FALSE)), OR(MID(metadata!C408,5,1)="", AND(AND(MID(metadata!C408,5,1)="-",IFERROR(INT(MID(metadata!C408,6,1))&gt;=0,FALSE),IFERROR(INT(MID(metadata!C408,6,1))&lt;=1,FALSE),NOT(MID(metadata!C408,7,1)=""),IFERROR(INT(MID(metadata!C408,6,2))&gt;=1,FALSE),IFERROR(INT(MID(metadata!C408,6,2))&lt;=12,FALSE)), OR(MID(metadata!C408,8,1)="", AND(AND(MID(metadata!C408,8,1)="-",IFERROR(INT(MID(metadata!C408,9,1))&gt;=0,FALSE),IFERROR(INT(MID(metadata!C408,9,1))&lt;=3,FALSE),NOT(MID(metadata!C408,10,1)=""),IFERROR(INT(MID(metadata!C408,9,2))&gt;=1,FALSE),IFERROR(INT(MID(metadata!C408,9,2))&lt;=31,FALSE)), OR(MID(metadata!C408,11,1)="", AND(AND(MID(metadata!C408,11,1)=" ",IFERROR(INT(MID(metadata!C408,12,1))&gt;=0,FALSE),IFERROR(INT(MID(metadata!C408,12,1))&lt;=2,FALSE),NOT(MID(metadata!C408,13,1)=""),IFERROR(INT(MID(metadata!C408,12,2))&gt;=0,FALSE),IFERROR(INT(MID(metadata!C408,12,2))&lt;=23,FALSE)), OR(MID(metadata!C408,14,1)="", AND(AND(MID(metadata!C408,14,1)=":",IFERROR(INT(MID(metadata!C408,15,1))&gt;=0,FALSE),IFERROR(INT(MID(metadata!C408,15,1))&lt;=5,FALSE),NOT(MID(metadata!C408,16,1)=""),IFERROR(INT(MID(metadata!C408,15,2))&gt;=0,FALSE),IFERROR(INT(MID(metadata!C408,15,2))&lt;=59,FALSE)), OR(MID(metadata!C408,17,1)="", AND(AND(MID(metadata!C408,17,1)=":",IFERROR(INT(MID(metadata!C408,18,1))&gt;=0,FALSE),IFERROR(INT(MID(metadata!C408,18,1))&lt;=5,FALSE),NOT(MID(metadata!C408,19,1)=""),IFERROR(INT(MID(metadata!C408,18,2))&gt;=0,FALSE),IFERROR(INT(MID(metadata!C408,18,2))&lt;=59,FALSE)), LEN(metadata!C408)&lt;=19)))))))))))))</f>
        <v>0</v>
      </c>
      <c r="AD408">
        <f>IF(metadata!D408="",FALSE,TRUE)</f>
        <v>0</v>
      </c>
      <c r="AE408">
        <f>OR(AND(IF(metadata!E408="",FALSE,TRUE),OR(exact(metadata!E408,"missing: not collected"),exact(metadata!E408,"missing: not provided"))),AND(IF(metadata!E408="",FALSE,TRUE),OR(exact(metadata!E408,"TRUE"),exact(metadata!E408,"FALSE"))))</f>
        <v>0</v>
      </c>
      <c r="AF408">
        <f>IF(metadata!F408="",FALSE,TRUE)</f>
        <v>0</v>
      </c>
      <c r="AG408">
        <f>IF(metadata!G408="",FALSE,TRUE)</f>
        <v>0</v>
      </c>
      <c r="AH408">
        <f>IF(metadata!H408="",FALSE,TRUE)</f>
        <v>0</v>
      </c>
      <c r="AI408">
        <f>OR(AND(IF(metadata!I408="",FALSE,TRUE),OR(exact(metadata!I408,"missing: not collected"),exact(metadata!I408,"missing: not provided"),exact(metadata!I408,"missing: restricted access"))),AND(IF(metadata!I408="",FALSE,TRUE),OR(exact(metadata!I408,"air"),exact(metadata!I408,"built environment"),exact(metadata!I408,"host-associated"),exact(metadata!I408,"human-associated"),exact(metadata!I408,"human-skin"),exact(metadata!I408,"human-oral"),exact(metadata!I408,"human-gut"),exact(metadata!I408,"human-vaginal"),exact(metadata!I408,"microbial mat/biofilm"),exact(metadata!I408,"misc environment"),exact(metadata!I408,"plant-associated"),exact(metadata!I408,"sediment"),exact(metadata!I408,"soil"),exact(metadata!I408,"wastewater/sludge"),exact(metadata!I408,"water"))))</f>
        <v>0</v>
      </c>
      <c r="AJ408">
        <f>IF(metadata!J408="",FALSE,TRUE)</f>
        <v>0</v>
      </c>
      <c r="AK408">
        <f>OR(AND(IF(metadata!K408="",FALSE,TRUE),OR(exact(metadata!K408,"missing: not collected"),exact(metadata!K408,"missing: not provided"),exact(metadata!K408,"missing: restricted access"))),AND(IF(metadata!K408="",FALSE,ISNUMBER(VALUE(metadata!K408))),metadata!K408&gt;=-90.00,metadata!K408&lt;=90.00))</f>
        <v>0</v>
      </c>
      <c r="AL408">
        <f>OR(AND(IF(metadata!L408="",FALSE,TRUE),OR(exact(metadata!L408,"missing: not collected"),exact(metadata!L408,"missing: not provided"),exact(metadata!L408,"missing: restricted access"))),AND(IF(metadata!L408="",FALSE,ISNUMBER(VALUE(metadata!L408))),metadata!L408&gt;=-180.00,metadata!L408&lt;=180.00))</f>
        <v>0</v>
      </c>
      <c r="AM408">
        <f>IF(metadata!M408="",FALSE,TRUE)</f>
        <v>0</v>
      </c>
      <c r="AN408">
        <f>OR(AND(IF(metadata!N408="",FALSE,TRUE),OR(exact(metadata!N408,"missing: not collected"),exact(metadata!N408,"missing: not provided"),exact(metadata!N408,"missing: restricted access"))),AND(IF(metadata!N408="",FALSE,TRUE),OR(exact(metadata!N408,"TRUE"),exact(metadata!N408,"FALSE"))))</f>
        <v>0</v>
      </c>
      <c r="AO408">
        <f>IF(metadata!O408="",FALSE,TRUE)</f>
        <v>0</v>
      </c>
      <c r="AP408">
        <f>OR(AND(IF(metadata!P408="",FALSE,TRUE),OR(exact(metadata!P408,"missing: not collected"),exact(metadata!P408,"missing: not provided"))),AND(IF(metadata!P408="",FALSE,IF(ISERROR(INT(metadata!P408)),FALSE,INT(metadata!P408)=metadata!P408)),metadata!P408&gt;0))</f>
        <v>0</v>
      </c>
      <c r="AQ408">
        <f>IF(metadata!Q408="",FALSE,TRUE)</f>
        <v>0</v>
      </c>
    </row>
    <row r="409" spans="1:43">
      <c r="A409" s="5">
        <f>IF(B409=" "," ",HYPERLINK(CONCATENATE("#metadata!",ADDRESS(INDEX($W$2:$W$1001,MATCH(ROWS($U$2:U409),$U$2:$U$1001,0),0),1)),INDEX($Z$2:$Z$1001,MATCH(ROWS($U$2:U409),$U$2:$U$1001,0),0)))</f>
        <v>0</v>
      </c>
      <c r="B409" s="4">
        <f>IF(OR(INDEX($V$2:$V$1001,MATCH(ROWS($U$2:U409),$U$2:$U$1001,0),1)&gt;=100000,INDEX($AB$1005:$AQ$1005,1,MATCH(COLUMNS($AB$1006:AB1006),$AB$1006:$AQ$1006,0))&gt;=100000), " ",IF(INDEX($AB$2:$AQ$1001,MATCH(ROWS($U$2:U409),$U$2:$U$1001,0),MATCH(COLUMNS($AB$1006:AB1006),$AB$1006:$AQ$1006,0)), HYPERLINK("#",""), HYPERLINK(CONCATENATE("#metadata!", ADDRESS(INDEX($W$2:$W$1001,MATCH(ROWS($U$2:U409),$U$2:$U$1001,0),0), INDEX($AB$1004:$AQ$1004,1,MATCH(COLUMNS($AB$1006:AB1006),$AB$1006:$AQ$1006,0)))),"Fix")))</f>
        <v>0</v>
      </c>
      <c r="C409" s="4">
        <f>IF(OR(INDEX($V$2:$V$1001,MATCH(ROWS($U$2:U409),$U$2:$U$1001,0),1)&gt;=100000,INDEX($AB$1005:$AQ$1005,1,MATCH(COLUMNS($AB$1006:AC1006),$AB$1006:$AQ$1006,0))&gt;=100000), " ",IF(INDEX($AB$2:$AQ$1001,MATCH(ROWS($U$2:U409),$U$2:$U$1001,0),MATCH(COLUMNS($AB$1006:AC1006),$AB$1006:$AQ$1006,0)), HYPERLINK("#",""), HYPERLINK(CONCATENATE("#metadata!", ADDRESS(INDEX($W$2:$W$1001,MATCH(ROWS($U$2:U409),$U$2:$U$1001,0),0), INDEX($AB$1004:$AQ$1004,1,MATCH(COLUMNS($AB$1006:AC1006),$AB$1006:$AQ$1006,0)))),"Fix")))</f>
        <v>0</v>
      </c>
      <c r="D409" s="4">
        <f>IF(OR(INDEX($V$2:$V$1001,MATCH(ROWS($U$2:U409),$U$2:$U$1001,0),1)&gt;=100000,INDEX($AB$1005:$AQ$1005,1,MATCH(COLUMNS($AB$1006:AD1006),$AB$1006:$AQ$1006,0))&gt;=100000), " ",IF(INDEX($AB$2:$AQ$1001,MATCH(ROWS($U$2:U409),$U$2:$U$1001,0),MATCH(COLUMNS($AB$1006:AD1006),$AB$1006:$AQ$1006,0)), HYPERLINK("#",""), HYPERLINK(CONCATENATE("#metadata!", ADDRESS(INDEX($W$2:$W$1001,MATCH(ROWS($U$2:U409),$U$2:$U$1001,0),0), INDEX($AB$1004:$AQ$1004,1,MATCH(COLUMNS($AB$1006:AD1006),$AB$1006:$AQ$1006,0)))),"Fix")))</f>
        <v>0</v>
      </c>
      <c r="E409" s="4">
        <f>IF(OR(INDEX($V$2:$V$1001,MATCH(ROWS($U$2:U409),$U$2:$U$1001,0),1)&gt;=100000,INDEX($AB$1005:$AQ$1005,1,MATCH(COLUMNS($AB$1006:AE1006),$AB$1006:$AQ$1006,0))&gt;=100000), " ",IF(INDEX($AB$2:$AQ$1001,MATCH(ROWS($U$2:U409),$U$2:$U$1001,0),MATCH(COLUMNS($AB$1006:AE1006),$AB$1006:$AQ$1006,0)), HYPERLINK("#",""), HYPERLINK(CONCATENATE("#metadata!", ADDRESS(INDEX($W$2:$W$1001,MATCH(ROWS($U$2:U409),$U$2:$U$1001,0),0), INDEX($AB$1004:$AQ$1004,1,MATCH(COLUMNS($AB$1006:AE1006),$AB$1006:$AQ$1006,0)))),"Fix")))</f>
        <v>0</v>
      </c>
      <c r="F409" s="4">
        <f>IF(OR(INDEX($V$2:$V$1001,MATCH(ROWS($U$2:U409),$U$2:$U$1001,0),1)&gt;=100000,INDEX($AB$1005:$AQ$1005,1,MATCH(COLUMNS($AB$1006:AF1006),$AB$1006:$AQ$1006,0))&gt;=100000), " ",IF(INDEX($AB$2:$AQ$1001,MATCH(ROWS($U$2:U409),$U$2:$U$1001,0),MATCH(COLUMNS($AB$1006:AF1006),$AB$1006:$AQ$1006,0)), HYPERLINK("#",""), HYPERLINK(CONCATENATE("#metadata!", ADDRESS(INDEX($W$2:$W$1001,MATCH(ROWS($U$2:U409),$U$2:$U$1001,0),0), INDEX($AB$1004:$AQ$1004,1,MATCH(COLUMNS($AB$1006:AF1006),$AB$1006:$AQ$1006,0)))),"Fix")))</f>
        <v>0</v>
      </c>
      <c r="G409" s="4">
        <f>IF(OR(INDEX($V$2:$V$1001,MATCH(ROWS($U$2:U409),$U$2:$U$1001,0),1)&gt;=100000,INDEX($AB$1005:$AQ$1005,1,MATCH(COLUMNS($AB$1006:AG1006),$AB$1006:$AQ$1006,0))&gt;=100000), " ",IF(INDEX($AB$2:$AQ$1001,MATCH(ROWS($U$2:U409),$U$2:$U$1001,0),MATCH(COLUMNS($AB$1006:AG1006),$AB$1006:$AQ$1006,0)), HYPERLINK("#",""), HYPERLINK(CONCATENATE("#metadata!", ADDRESS(INDEX($W$2:$W$1001,MATCH(ROWS($U$2:U409),$U$2:$U$1001,0),0), INDEX($AB$1004:$AQ$1004,1,MATCH(COLUMNS($AB$1006:AG1006),$AB$1006:$AQ$1006,0)))),"Fix")))</f>
        <v>0</v>
      </c>
      <c r="H409" s="4">
        <f>IF(OR(INDEX($V$2:$V$1001,MATCH(ROWS($U$2:U409),$U$2:$U$1001,0),1)&gt;=100000,INDEX($AB$1005:$AQ$1005,1,MATCH(COLUMNS($AB$1006:AH1006),$AB$1006:$AQ$1006,0))&gt;=100000), " ",IF(INDEX($AB$2:$AQ$1001,MATCH(ROWS($U$2:U409),$U$2:$U$1001,0),MATCH(COLUMNS($AB$1006:AH1006),$AB$1006:$AQ$1006,0)), HYPERLINK("#",""), HYPERLINK(CONCATENATE("#metadata!", ADDRESS(INDEX($W$2:$W$1001,MATCH(ROWS($U$2:U409),$U$2:$U$1001,0),0), INDEX($AB$1004:$AQ$1004,1,MATCH(COLUMNS($AB$1006:AH1006),$AB$1006:$AQ$1006,0)))),"Fix")))</f>
        <v>0</v>
      </c>
      <c r="I409" s="4">
        <f>IF(OR(INDEX($V$2:$V$1001,MATCH(ROWS($U$2:U409),$U$2:$U$1001,0),1)&gt;=100000,INDEX($AB$1005:$AQ$1005,1,MATCH(COLUMNS($AB$1006:AI1006),$AB$1006:$AQ$1006,0))&gt;=100000), " ",IF(INDEX($AB$2:$AQ$1001,MATCH(ROWS($U$2:U409),$U$2:$U$1001,0),MATCH(COLUMNS($AB$1006:AI1006),$AB$1006:$AQ$1006,0)), HYPERLINK("#",""), HYPERLINK(CONCATENATE("#metadata!", ADDRESS(INDEX($W$2:$W$1001,MATCH(ROWS($U$2:U409),$U$2:$U$1001,0),0), INDEX($AB$1004:$AQ$1004,1,MATCH(COLUMNS($AB$1006:AI1006),$AB$1006:$AQ$1006,0)))),"Fix")))</f>
        <v>0</v>
      </c>
      <c r="J409" s="4">
        <f>IF(OR(INDEX($V$2:$V$1001,MATCH(ROWS($U$2:U409),$U$2:$U$1001,0),1)&gt;=100000,INDEX($AB$1005:$AQ$1005,1,MATCH(COLUMNS($AB$1006:AJ1006),$AB$1006:$AQ$1006,0))&gt;=100000), " ",IF(INDEX($AB$2:$AQ$1001,MATCH(ROWS($U$2:U409),$U$2:$U$1001,0),MATCH(COLUMNS($AB$1006:AJ1006),$AB$1006:$AQ$1006,0)), HYPERLINK("#",""), HYPERLINK(CONCATENATE("#metadata!", ADDRESS(INDEX($W$2:$W$1001,MATCH(ROWS($U$2:U409),$U$2:$U$1001,0),0), INDEX($AB$1004:$AQ$1004,1,MATCH(COLUMNS($AB$1006:AJ1006),$AB$1006:$AQ$1006,0)))),"Fix")))</f>
        <v>0</v>
      </c>
      <c r="K409" s="4">
        <f>IF(OR(INDEX($V$2:$V$1001,MATCH(ROWS($U$2:U409),$U$2:$U$1001,0),1)&gt;=100000,INDEX($AB$1005:$AQ$1005,1,MATCH(COLUMNS($AB$1006:AK1006),$AB$1006:$AQ$1006,0))&gt;=100000), " ",IF(INDEX($AB$2:$AQ$1001,MATCH(ROWS($U$2:U409),$U$2:$U$1001,0),MATCH(COLUMNS($AB$1006:AK1006),$AB$1006:$AQ$1006,0)), HYPERLINK("#",""), HYPERLINK(CONCATENATE("#metadata!", ADDRESS(INDEX($W$2:$W$1001,MATCH(ROWS($U$2:U409),$U$2:$U$1001,0),0), INDEX($AB$1004:$AQ$1004,1,MATCH(COLUMNS($AB$1006:AK1006),$AB$1006:$AQ$1006,0)))),"Fix")))</f>
        <v>0</v>
      </c>
      <c r="L409" s="4">
        <f>IF(OR(INDEX($V$2:$V$1001,MATCH(ROWS($U$2:U409),$U$2:$U$1001,0),1)&gt;=100000,INDEX($AB$1005:$AQ$1005,1,MATCH(COLUMNS($AB$1006:AL1006),$AB$1006:$AQ$1006,0))&gt;=100000), " ",IF(INDEX($AB$2:$AQ$1001,MATCH(ROWS($U$2:U409),$U$2:$U$1001,0),MATCH(COLUMNS($AB$1006:AL1006),$AB$1006:$AQ$1006,0)), HYPERLINK("#",""), HYPERLINK(CONCATENATE("#metadata!", ADDRESS(INDEX($W$2:$W$1001,MATCH(ROWS($U$2:U409),$U$2:$U$1001,0),0), INDEX($AB$1004:$AQ$1004,1,MATCH(COLUMNS($AB$1006:AL1006),$AB$1006:$AQ$1006,0)))),"Fix")))</f>
        <v>0</v>
      </c>
      <c r="M409" s="4">
        <f>IF(OR(INDEX($V$2:$V$1001,MATCH(ROWS($U$2:U409),$U$2:$U$1001,0),1)&gt;=100000,INDEX($AB$1005:$AQ$1005,1,MATCH(COLUMNS($AB$1006:AM1006),$AB$1006:$AQ$1006,0))&gt;=100000), " ",IF(INDEX($AB$2:$AQ$1001,MATCH(ROWS($U$2:U409),$U$2:$U$1001,0),MATCH(COLUMNS($AB$1006:AM1006),$AB$1006:$AQ$1006,0)), HYPERLINK("#",""), HYPERLINK(CONCATENATE("#metadata!", ADDRESS(INDEX($W$2:$W$1001,MATCH(ROWS($U$2:U409),$U$2:$U$1001,0),0), INDEX($AB$1004:$AQ$1004,1,MATCH(COLUMNS($AB$1006:AM1006),$AB$1006:$AQ$1006,0)))),"Fix")))</f>
        <v>0</v>
      </c>
      <c r="N409" s="4">
        <f>IF(OR(INDEX($V$2:$V$1001,MATCH(ROWS($U$2:U409),$U$2:$U$1001,0),1)&gt;=100000,INDEX($AB$1005:$AQ$1005,1,MATCH(COLUMNS($AB$1006:AN1006),$AB$1006:$AQ$1006,0))&gt;=100000), " ",IF(INDEX($AB$2:$AQ$1001,MATCH(ROWS($U$2:U409),$U$2:$U$1001,0),MATCH(COLUMNS($AB$1006:AN1006),$AB$1006:$AQ$1006,0)), HYPERLINK("#",""), HYPERLINK(CONCATENATE("#metadata!", ADDRESS(INDEX($W$2:$W$1001,MATCH(ROWS($U$2:U409),$U$2:$U$1001,0),0), INDEX($AB$1004:$AQ$1004,1,MATCH(COLUMNS($AB$1006:AN1006),$AB$1006:$AQ$1006,0)))),"Fix")))</f>
        <v>0</v>
      </c>
      <c r="O409" s="4">
        <f>IF(OR(INDEX($V$2:$V$1001,MATCH(ROWS($U$2:U409),$U$2:$U$1001,0),1)&gt;=100000,INDEX($AB$1005:$AQ$1005,1,MATCH(COLUMNS($AB$1006:AO1006),$AB$1006:$AQ$1006,0))&gt;=100000), " ",IF(INDEX($AB$2:$AQ$1001,MATCH(ROWS($U$2:U409),$U$2:$U$1001,0),MATCH(COLUMNS($AB$1006:AO1006),$AB$1006:$AQ$1006,0)), HYPERLINK("#",""), HYPERLINK(CONCATENATE("#metadata!", ADDRESS(INDEX($W$2:$W$1001,MATCH(ROWS($U$2:U409),$U$2:$U$1001,0),0), INDEX($AB$1004:$AQ$1004,1,MATCH(COLUMNS($AB$1006:AO1006),$AB$1006:$AQ$1006,0)))),"Fix")))</f>
        <v>0</v>
      </c>
      <c r="P409" s="4">
        <f>IF(OR(INDEX($V$2:$V$1001,MATCH(ROWS($U$2:U409),$U$2:$U$1001,0),1)&gt;=100000,INDEX($AB$1005:$AQ$1005,1,MATCH(COLUMNS($AB$1006:AP1006),$AB$1006:$AQ$1006,0))&gt;=100000), " ",IF(INDEX($AB$2:$AQ$1001,MATCH(ROWS($U$2:U409),$U$2:$U$1001,0),MATCH(COLUMNS($AB$1006:AP1006),$AB$1006:$AQ$1006,0)), HYPERLINK("#",""), HYPERLINK(CONCATENATE("#metadata!", ADDRESS(INDEX($W$2:$W$1001,MATCH(ROWS($U$2:U409),$U$2:$U$1001,0),0), INDEX($AB$1004:$AQ$1004,1,MATCH(COLUMNS($AB$1006:AP1006),$AB$1006:$AQ$1006,0)))),"Fix")))</f>
        <v>0</v>
      </c>
      <c r="Q409" s="4">
        <f>IF(OR(INDEX($V$2:$V$1001,MATCH(ROWS($U$2:U409),$U$2:$U$1001,0),1)&gt;=100000,INDEX($AB$1005:$AQ$1005,1,MATCH(COLUMNS($AB$1006:AQ1006),$AB$1006:$AQ$1006,0))&gt;=100000), " ",IF(INDEX($AB$2:$AQ$1001,MATCH(ROWS($U$2:U409),$U$2:$U$1001,0),MATCH(COLUMNS($AB$1006:AQ1006),$AB$1006:$AQ$1006,0)), HYPERLINK("#",""), HYPERLINK(CONCATENATE("#metadata!", ADDRESS(INDEX($W$2:$W$1001,MATCH(ROWS($U$2:U409),$U$2:$U$1001,0),0), INDEX($AB$1004:$AQ$1004,1,MATCH(COLUMNS($AB$1006:AQ1006),$AB$1006:$AQ$1006,0)))),"Fix")))</f>
        <v>0</v>
      </c>
      <c r="U409">
        <v>0</v>
      </c>
      <c r="V409">
        <v>0</v>
      </c>
      <c r="W409">
        <v>0</v>
      </c>
      <c r="X409">
        <f>IF(Y409,TRUE,AND(AB409:AQ409))</f>
        <v>0</v>
      </c>
      <c r="Y409">
        <f>COUNTBLANK(metadata!B409:Q409)=COLUMNS(metadata!B409:Q409)</f>
        <v>0</v>
      </c>
      <c r="Z409">
        <v>0</v>
      </c>
      <c r="AB409">
        <f>AND(IF(metadata!B409="",FALSE,TRUE),COUNTIF(metadata!B:B, metadata!B409) = 1,NOT(ISERROR(SUMPRODUCT(SEARCH(MID(metadata!B409,ROW(INDIRECT("1:"&amp;LEN(metadata!B409))), 1),"0123456789abcdefghijklmnopqrstuvwxyzABCDEFGHIJKLMNOPQRSTUVWXYZ.")))))</f>
        <v>0</v>
      </c>
      <c r="AC409">
        <f>OR(AND(IF(metadata!C409="",FALSE,TRUE),OR(exact(metadata!C409,"missing: not collected"),exact(metadata!C409,"missing: not provided"),exact(metadata!C409,"missing: restricted access"))),AND(IF(metadata!C409="",FALSE,TRUE),AND(AND(IFERROR(INT(LEFT(metadata!C409,4))&gt;1900,FALSE),IFERROR(INT(LEFT(metadata!C409,4))&lt;=YEAR(NOW()),FALSE)), OR(MID(metadata!C409,5,1)="", AND(AND(MID(metadata!C409,5,1)="-",IFERROR(INT(MID(metadata!C409,6,1))&gt;=0,FALSE),IFERROR(INT(MID(metadata!C409,6,1))&lt;=1,FALSE),NOT(MID(metadata!C409,7,1)=""),IFERROR(INT(MID(metadata!C409,6,2))&gt;=1,FALSE),IFERROR(INT(MID(metadata!C409,6,2))&lt;=12,FALSE)), OR(MID(metadata!C409,8,1)="", AND(AND(MID(metadata!C409,8,1)="-",IFERROR(INT(MID(metadata!C409,9,1))&gt;=0,FALSE),IFERROR(INT(MID(metadata!C409,9,1))&lt;=3,FALSE),NOT(MID(metadata!C409,10,1)=""),IFERROR(INT(MID(metadata!C409,9,2))&gt;=1,FALSE),IFERROR(INT(MID(metadata!C409,9,2))&lt;=31,FALSE)), OR(MID(metadata!C409,11,1)="", AND(AND(MID(metadata!C409,11,1)=" ",IFERROR(INT(MID(metadata!C409,12,1))&gt;=0,FALSE),IFERROR(INT(MID(metadata!C409,12,1))&lt;=2,FALSE),NOT(MID(metadata!C409,13,1)=""),IFERROR(INT(MID(metadata!C409,12,2))&gt;=0,FALSE),IFERROR(INT(MID(metadata!C409,12,2))&lt;=23,FALSE)), OR(MID(metadata!C409,14,1)="", AND(AND(MID(metadata!C409,14,1)=":",IFERROR(INT(MID(metadata!C409,15,1))&gt;=0,FALSE),IFERROR(INT(MID(metadata!C409,15,1))&lt;=5,FALSE),NOT(MID(metadata!C409,16,1)=""),IFERROR(INT(MID(metadata!C409,15,2))&gt;=0,FALSE),IFERROR(INT(MID(metadata!C409,15,2))&lt;=59,FALSE)), OR(MID(metadata!C409,17,1)="", AND(AND(MID(metadata!C409,17,1)=":",IFERROR(INT(MID(metadata!C409,18,1))&gt;=0,FALSE),IFERROR(INT(MID(metadata!C409,18,1))&lt;=5,FALSE),NOT(MID(metadata!C409,19,1)=""),IFERROR(INT(MID(metadata!C409,18,2))&gt;=0,FALSE),IFERROR(INT(MID(metadata!C409,18,2))&lt;=59,FALSE)), LEN(metadata!C409)&lt;=19)))))))))))))</f>
        <v>0</v>
      </c>
      <c r="AD409">
        <f>IF(metadata!D409="",FALSE,TRUE)</f>
        <v>0</v>
      </c>
      <c r="AE409">
        <f>OR(AND(IF(metadata!E409="",FALSE,TRUE),OR(exact(metadata!E409,"missing: not collected"),exact(metadata!E409,"missing: not provided"))),AND(IF(metadata!E409="",FALSE,TRUE),OR(exact(metadata!E409,"TRUE"),exact(metadata!E409,"FALSE"))))</f>
        <v>0</v>
      </c>
      <c r="AF409">
        <f>IF(metadata!F409="",FALSE,TRUE)</f>
        <v>0</v>
      </c>
      <c r="AG409">
        <f>IF(metadata!G409="",FALSE,TRUE)</f>
        <v>0</v>
      </c>
      <c r="AH409">
        <f>IF(metadata!H409="",FALSE,TRUE)</f>
        <v>0</v>
      </c>
      <c r="AI409">
        <f>OR(AND(IF(metadata!I409="",FALSE,TRUE),OR(exact(metadata!I409,"missing: not collected"),exact(metadata!I409,"missing: not provided"),exact(metadata!I409,"missing: restricted access"))),AND(IF(metadata!I409="",FALSE,TRUE),OR(exact(metadata!I409,"air"),exact(metadata!I409,"built environment"),exact(metadata!I409,"host-associated"),exact(metadata!I409,"human-associated"),exact(metadata!I409,"human-skin"),exact(metadata!I409,"human-oral"),exact(metadata!I409,"human-gut"),exact(metadata!I409,"human-vaginal"),exact(metadata!I409,"microbial mat/biofilm"),exact(metadata!I409,"misc environment"),exact(metadata!I409,"plant-associated"),exact(metadata!I409,"sediment"),exact(metadata!I409,"soil"),exact(metadata!I409,"wastewater/sludge"),exact(metadata!I409,"water"))))</f>
        <v>0</v>
      </c>
      <c r="AJ409">
        <f>IF(metadata!J409="",FALSE,TRUE)</f>
        <v>0</v>
      </c>
      <c r="AK409">
        <f>OR(AND(IF(metadata!K409="",FALSE,TRUE),OR(exact(metadata!K409,"missing: not collected"),exact(metadata!K409,"missing: not provided"),exact(metadata!K409,"missing: restricted access"))),AND(IF(metadata!K409="",FALSE,ISNUMBER(VALUE(metadata!K409))),metadata!K409&gt;=-90.00,metadata!K409&lt;=90.00))</f>
        <v>0</v>
      </c>
      <c r="AL409">
        <f>OR(AND(IF(metadata!L409="",FALSE,TRUE),OR(exact(metadata!L409,"missing: not collected"),exact(metadata!L409,"missing: not provided"),exact(metadata!L409,"missing: restricted access"))),AND(IF(metadata!L409="",FALSE,ISNUMBER(VALUE(metadata!L409))),metadata!L409&gt;=-180.00,metadata!L409&lt;=180.00))</f>
        <v>0</v>
      </c>
      <c r="AM409">
        <f>IF(metadata!M409="",FALSE,TRUE)</f>
        <v>0</v>
      </c>
      <c r="AN409">
        <f>OR(AND(IF(metadata!N409="",FALSE,TRUE),OR(exact(metadata!N409,"missing: not collected"),exact(metadata!N409,"missing: not provided"),exact(metadata!N409,"missing: restricted access"))),AND(IF(metadata!N409="",FALSE,TRUE),OR(exact(metadata!N409,"TRUE"),exact(metadata!N409,"FALSE"))))</f>
        <v>0</v>
      </c>
      <c r="AO409">
        <f>IF(metadata!O409="",FALSE,TRUE)</f>
        <v>0</v>
      </c>
      <c r="AP409">
        <f>OR(AND(IF(metadata!P409="",FALSE,TRUE),OR(exact(metadata!P409,"missing: not collected"),exact(metadata!P409,"missing: not provided"))),AND(IF(metadata!P409="",FALSE,IF(ISERROR(INT(metadata!P409)),FALSE,INT(metadata!P409)=metadata!P409)),metadata!P409&gt;0))</f>
        <v>0</v>
      </c>
      <c r="AQ409">
        <f>IF(metadata!Q409="",FALSE,TRUE)</f>
        <v>0</v>
      </c>
    </row>
    <row r="410" spans="1:43">
      <c r="A410" s="5">
        <f>IF(B410=" "," ",HYPERLINK(CONCATENATE("#metadata!",ADDRESS(INDEX($W$2:$W$1001,MATCH(ROWS($U$2:U410),$U$2:$U$1001,0),0),1)),INDEX($Z$2:$Z$1001,MATCH(ROWS($U$2:U410),$U$2:$U$1001,0),0)))</f>
        <v>0</v>
      </c>
      <c r="B410" s="4">
        <f>IF(OR(INDEX($V$2:$V$1001,MATCH(ROWS($U$2:U410),$U$2:$U$1001,0),1)&gt;=100000,INDEX($AB$1005:$AQ$1005,1,MATCH(COLUMNS($AB$1006:AB1006),$AB$1006:$AQ$1006,0))&gt;=100000), " ",IF(INDEX($AB$2:$AQ$1001,MATCH(ROWS($U$2:U410),$U$2:$U$1001,0),MATCH(COLUMNS($AB$1006:AB1006),$AB$1006:$AQ$1006,0)), HYPERLINK("#",""), HYPERLINK(CONCATENATE("#metadata!", ADDRESS(INDEX($W$2:$W$1001,MATCH(ROWS($U$2:U410),$U$2:$U$1001,0),0), INDEX($AB$1004:$AQ$1004,1,MATCH(COLUMNS($AB$1006:AB1006),$AB$1006:$AQ$1006,0)))),"Fix")))</f>
        <v>0</v>
      </c>
      <c r="C410" s="4">
        <f>IF(OR(INDEX($V$2:$V$1001,MATCH(ROWS($U$2:U410),$U$2:$U$1001,0),1)&gt;=100000,INDEX($AB$1005:$AQ$1005,1,MATCH(COLUMNS($AB$1006:AC1006),$AB$1006:$AQ$1006,0))&gt;=100000), " ",IF(INDEX($AB$2:$AQ$1001,MATCH(ROWS($U$2:U410),$U$2:$U$1001,0),MATCH(COLUMNS($AB$1006:AC1006),$AB$1006:$AQ$1006,0)), HYPERLINK("#",""), HYPERLINK(CONCATENATE("#metadata!", ADDRESS(INDEX($W$2:$W$1001,MATCH(ROWS($U$2:U410),$U$2:$U$1001,0),0), INDEX($AB$1004:$AQ$1004,1,MATCH(COLUMNS($AB$1006:AC1006),$AB$1006:$AQ$1006,0)))),"Fix")))</f>
        <v>0</v>
      </c>
      <c r="D410" s="4">
        <f>IF(OR(INDEX($V$2:$V$1001,MATCH(ROWS($U$2:U410),$U$2:$U$1001,0),1)&gt;=100000,INDEX($AB$1005:$AQ$1005,1,MATCH(COLUMNS($AB$1006:AD1006),$AB$1006:$AQ$1006,0))&gt;=100000), " ",IF(INDEX($AB$2:$AQ$1001,MATCH(ROWS($U$2:U410),$U$2:$U$1001,0),MATCH(COLUMNS($AB$1006:AD1006),$AB$1006:$AQ$1006,0)), HYPERLINK("#",""), HYPERLINK(CONCATENATE("#metadata!", ADDRESS(INDEX($W$2:$W$1001,MATCH(ROWS($U$2:U410),$U$2:$U$1001,0),0), INDEX($AB$1004:$AQ$1004,1,MATCH(COLUMNS($AB$1006:AD1006),$AB$1006:$AQ$1006,0)))),"Fix")))</f>
        <v>0</v>
      </c>
      <c r="E410" s="4">
        <f>IF(OR(INDEX($V$2:$V$1001,MATCH(ROWS($U$2:U410),$U$2:$U$1001,0),1)&gt;=100000,INDEX($AB$1005:$AQ$1005,1,MATCH(COLUMNS($AB$1006:AE1006),$AB$1006:$AQ$1006,0))&gt;=100000), " ",IF(INDEX($AB$2:$AQ$1001,MATCH(ROWS($U$2:U410),$U$2:$U$1001,0),MATCH(COLUMNS($AB$1006:AE1006),$AB$1006:$AQ$1006,0)), HYPERLINK("#",""), HYPERLINK(CONCATENATE("#metadata!", ADDRESS(INDEX($W$2:$W$1001,MATCH(ROWS($U$2:U410),$U$2:$U$1001,0),0), INDEX($AB$1004:$AQ$1004,1,MATCH(COLUMNS($AB$1006:AE1006),$AB$1006:$AQ$1006,0)))),"Fix")))</f>
        <v>0</v>
      </c>
      <c r="F410" s="4">
        <f>IF(OR(INDEX($V$2:$V$1001,MATCH(ROWS($U$2:U410),$U$2:$U$1001,0),1)&gt;=100000,INDEX($AB$1005:$AQ$1005,1,MATCH(COLUMNS($AB$1006:AF1006),$AB$1006:$AQ$1006,0))&gt;=100000), " ",IF(INDEX($AB$2:$AQ$1001,MATCH(ROWS($U$2:U410),$U$2:$U$1001,0),MATCH(COLUMNS($AB$1006:AF1006),$AB$1006:$AQ$1006,0)), HYPERLINK("#",""), HYPERLINK(CONCATENATE("#metadata!", ADDRESS(INDEX($W$2:$W$1001,MATCH(ROWS($U$2:U410),$U$2:$U$1001,0),0), INDEX($AB$1004:$AQ$1004,1,MATCH(COLUMNS($AB$1006:AF1006),$AB$1006:$AQ$1006,0)))),"Fix")))</f>
        <v>0</v>
      </c>
      <c r="G410" s="4">
        <f>IF(OR(INDEX($V$2:$V$1001,MATCH(ROWS($U$2:U410),$U$2:$U$1001,0),1)&gt;=100000,INDEX($AB$1005:$AQ$1005,1,MATCH(COLUMNS($AB$1006:AG1006),$AB$1006:$AQ$1006,0))&gt;=100000), " ",IF(INDEX($AB$2:$AQ$1001,MATCH(ROWS($U$2:U410),$U$2:$U$1001,0),MATCH(COLUMNS($AB$1006:AG1006),$AB$1006:$AQ$1006,0)), HYPERLINK("#",""), HYPERLINK(CONCATENATE("#metadata!", ADDRESS(INDEX($W$2:$W$1001,MATCH(ROWS($U$2:U410),$U$2:$U$1001,0),0), INDEX($AB$1004:$AQ$1004,1,MATCH(COLUMNS($AB$1006:AG1006),$AB$1006:$AQ$1006,0)))),"Fix")))</f>
        <v>0</v>
      </c>
      <c r="H410" s="4">
        <f>IF(OR(INDEX($V$2:$V$1001,MATCH(ROWS($U$2:U410),$U$2:$U$1001,0),1)&gt;=100000,INDEX($AB$1005:$AQ$1005,1,MATCH(COLUMNS($AB$1006:AH1006),$AB$1006:$AQ$1006,0))&gt;=100000), " ",IF(INDEX($AB$2:$AQ$1001,MATCH(ROWS($U$2:U410),$U$2:$U$1001,0),MATCH(COLUMNS($AB$1006:AH1006),$AB$1006:$AQ$1006,0)), HYPERLINK("#",""), HYPERLINK(CONCATENATE("#metadata!", ADDRESS(INDEX($W$2:$W$1001,MATCH(ROWS($U$2:U410),$U$2:$U$1001,0),0), INDEX($AB$1004:$AQ$1004,1,MATCH(COLUMNS($AB$1006:AH1006),$AB$1006:$AQ$1006,0)))),"Fix")))</f>
        <v>0</v>
      </c>
      <c r="I410" s="4">
        <f>IF(OR(INDEX($V$2:$V$1001,MATCH(ROWS($U$2:U410),$U$2:$U$1001,0),1)&gt;=100000,INDEX($AB$1005:$AQ$1005,1,MATCH(COLUMNS($AB$1006:AI1006),$AB$1006:$AQ$1006,0))&gt;=100000), " ",IF(INDEX($AB$2:$AQ$1001,MATCH(ROWS($U$2:U410),$U$2:$U$1001,0),MATCH(COLUMNS($AB$1006:AI1006),$AB$1006:$AQ$1006,0)), HYPERLINK("#",""), HYPERLINK(CONCATENATE("#metadata!", ADDRESS(INDEX($W$2:$W$1001,MATCH(ROWS($U$2:U410),$U$2:$U$1001,0),0), INDEX($AB$1004:$AQ$1004,1,MATCH(COLUMNS($AB$1006:AI1006),$AB$1006:$AQ$1006,0)))),"Fix")))</f>
        <v>0</v>
      </c>
      <c r="J410" s="4">
        <f>IF(OR(INDEX($V$2:$V$1001,MATCH(ROWS($U$2:U410),$U$2:$U$1001,0),1)&gt;=100000,INDEX($AB$1005:$AQ$1005,1,MATCH(COLUMNS($AB$1006:AJ1006),$AB$1006:$AQ$1006,0))&gt;=100000), " ",IF(INDEX($AB$2:$AQ$1001,MATCH(ROWS($U$2:U410),$U$2:$U$1001,0),MATCH(COLUMNS($AB$1006:AJ1006),$AB$1006:$AQ$1006,0)), HYPERLINK("#",""), HYPERLINK(CONCATENATE("#metadata!", ADDRESS(INDEX($W$2:$W$1001,MATCH(ROWS($U$2:U410),$U$2:$U$1001,0),0), INDEX($AB$1004:$AQ$1004,1,MATCH(COLUMNS($AB$1006:AJ1006),$AB$1006:$AQ$1006,0)))),"Fix")))</f>
        <v>0</v>
      </c>
      <c r="K410" s="4">
        <f>IF(OR(INDEX($V$2:$V$1001,MATCH(ROWS($U$2:U410),$U$2:$U$1001,0),1)&gt;=100000,INDEX($AB$1005:$AQ$1005,1,MATCH(COLUMNS($AB$1006:AK1006),$AB$1006:$AQ$1006,0))&gt;=100000), " ",IF(INDEX($AB$2:$AQ$1001,MATCH(ROWS($U$2:U410),$U$2:$U$1001,0),MATCH(COLUMNS($AB$1006:AK1006),$AB$1006:$AQ$1006,0)), HYPERLINK("#",""), HYPERLINK(CONCATENATE("#metadata!", ADDRESS(INDEX($W$2:$W$1001,MATCH(ROWS($U$2:U410),$U$2:$U$1001,0),0), INDEX($AB$1004:$AQ$1004,1,MATCH(COLUMNS($AB$1006:AK1006),$AB$1006:$AQ$1006,0)))),"Fix")))</f>
        <v>0</v>
      </c>
      <c r="L410" s="4">
        <f>IF(OR(INDEX($V$2:$V$1001,MATCH(ROWS($U$2:U410),$U$2:$U$1001,0),1)&gt;=100000,INDEX($AB$1005:$AQ$1005,1,MATCH(COLUMNS($AB$1006:AL1006),$AB$1006:$AQ$1006,0))&gt;=100000), " ",IF(INDEX($AB$2:$AQ$1001,MATCH(ROWS($U$2:U410),$U$2:$U$1001,0),MATCH(COLUMNS($AB$1006:AL1006),$AB$1006:$AQ$1006,0)), HYPERLINK("#",""), HYPERLINK(CONCATENATE("#metadata!", ADDRESS(INDEX($W$2:$W$1001,MATCH(ROWS($U$2:U410),$U$2:$U$1001,0),0), INDEX($AB$1004:$AQ$1004,1,MATCH(COLUMNS($AB$1006:AL1006),$AB$1006:$AQ$1006,0)))),"Fix")))</f>
        <v>0</v>
      </c>
      <c r="M410" s="4">
        <f>IF(OR(INDEX($V$2:$V$1001,MATCH(ROWS($U$2:U410),$U$2:$U$1001,0),1)&gt;=100000,INDEX($AB$1005:$AQ$1005,1,MATCH(COLUMNS($AB$1006:AM1006),$AB$1006:$AQ$1006,0))&gt;=100000), " ",IF(INDEX($AB$2:$AQ$1001,MATCH(ROWS($U$2:U410),$U$2:$U$1001,0),MATCH(COLUMNS($AB$1006:AM1006),$AB$1006:$AQ$1006,0)), HYPERLINK("#",""), HYPERLINK(CONCATENATE("#metadata!", ADDRESS(INDEX($W$2:$W$1001,MATCH(ROWS($U$2:U410),$U$2:$U$1001,0),0), INDEX($AB$1004:$AQ$1004,1,MATCH(COLUMNS($AB$1006:AM1006),$AB$1006:$AQ$1006,0)))),"Fix")))</f>
        <v>0</v>
      </c>
      <c r="N410" s="4">
        <f>IF(OR(INDEX($V$2:$V$1001,MATCH(ROWS($U$2:U410),$U$2:$U$1001,0),1)&gt;=100000,INDEX($AB$1005:$AQ$1005,1,MATCH(COLUMNS($AB$1006:AN1006),$AB$1006:$AQ$1006,0))&gt;=100000), " ",IF(INDEX($AB$2:$AQ$1001,MATCH(ROWS($U$2:U410),$U$2:$U$1001,0),MATCH(COLUMNS($AB$1006:AN1006),$AB$1006:$AQ$1006,0)), HYPERLINK("#",""), HYPERLINK(CONCATENATE("#metadata!", ADDRESS(INDEX($W$2:$W$1001,MATCH(ROWS($U$2:U410),$U$2:$U$1001,0),0), INDEX($AB$1004:$AQ$1004,1,MATCH(COLUMNS($AB$1006:AN1006),$AB$1006:$AQ$1006,0)))),"Fix")))</f>
        <v>0</v>
      </c>
      <c r="O410" s="4">
        <f>IF(OR(INDEX($V$2:$V$1001,MATCH(ROWS($U$2:U410),$U$2:$U$1001,0),1)&gt;=100000,INDEX($AB$1005:$AQ$1005,1,MATCH(COLUMNS($AB$1006:AO1006),$AB$1006:$AQ$1006,0))&gt;=100000), " ",IF(INDEX($AB$2:$AQ$1001,MATCH(ROWS($U$2:U410),$U$2:$U$1001,0),MATCH(COLUMNS($AB$1006:AO1006),$AB$1006:$AQ$1006,0)), HYPERLINK("#",""), HYPERLINK(CONCATENATE("#metadata!", ADDRESS(INDEX($W$2:$W$1001,MATCH(ROWS($U$2:U410),$U$2:$U$1001,0),0), INDEX($AB$1004:$AQ$1004,1,MATCH(COLUMNS($AB$1006:AO1006),$AB$1006:$AQ$1006,0)))),"Fix")))</f>
        <v>0</v>
      </c>
      <c r="P410" s="4">
        <f>IF(OR(INDEX($V$2:$V$1001,MATCH(ROWS($U$2:U410),$U$2:$U$1001,0),1)&gt;=100000,INDEX($AB$1005:$AQ$1005,1,MATCH(COLUMNS($AB$1006:AP1006),$AB$1006:$AQ$1006,0))&gt;=100000), " ",IF(INDEX($AB$2:$AQ$1001,MATCH(ROWS($U$2:U410),$U$2:$U$1001,0),MATCH(COLUMNS($AB$1006:AP1006),$AB$1006:$AQ$1006,0)), HYPERLINK("#",""), HYPERLINK(CONCATENATE("#metadata!", ADDRESS(INDEX($W$2:$W$1001,MATCH(ROWS($U$2:U410),$U$2:$U$1001,0),0), INDEX($AB$1004:$AQ$1004,1,MATCH(COLUMNS($AB$1006:AP1006),$AB$1006:$AQ$1006,0)))),"Fix")))</f>
        <v>0</v>
      </c>
      <c r="Q410" s="4">
        <f>IF(OR(INDEX($V$2:$V$1001,MATCH(ROWS($U$2:U410),$U$2:$U$1001,0),1)&gt;=100000,INDEX($AB$1005:$AQ$1005,1,MATCH(COLUMNS($AB$1006:AQ1006),$AB$1006:$AQ$1006,0))&gt;=100000), " ",IF(INDEX($AB$2:$AQ$1001,MATCH(ROWS($U$2:U410),$U$2:$U$1001,0),MATCH(COLUMNS($AB$1006:AQ1006),$AB$1006:$AQ$1006,0)), HYPERLINK("#",""), HYPERLINK(CONCATENATE("#metadata!", ADDRESS(INDEX($W$2:$W$1001,MATCH(ROWS($U$2:U410),$U$2:$U$1001,0),0), INDEX($AB$1004:$AQ$1004,1,MATCH(COLUMNS($AB$1006:AQ1006),$AB$1006:$AQ$1006,0)))),"Fix")))</f>
        <v>0</v>
      </c>
      <c r="U410">
        <v>0</v>
      </c>
      <c r="V410">
        <v>0</v>
      </c>
      <c r="W410">
        <v>0</v>
      </c>
      <c r="X410">
        <f>IF(Y410,TRUE,AND(AB410:AQ410))</f>
        <v>0</v>
      </c>
      <c r="Y410">
        <f>COUNTBLANK(metadata!B410:Q410)=COLUMNS(metadata!B410:Q410)</f>
        <v>0</v>
      </c>
      <c r="Z410">
        <v>0</v>
      </c>
      <c r="AB410">
        <f>AND(IF(metadata!B410="",FALSE,TRUE),COUNTIF(metadata!B:B, metadata!B410) = 1,NOT(ISERROR(SUMPRODUCT(SEARCH(MID(metadata!B410,ROW(INDIRECT("1:"&amp;LEN(metadata!B410))), 1),"0123456789abcdefghijklmnopqrstuvwxyzABCDEFGHIJKLMNOPQRSTUVWXYZ.")))))</f>
        <v>0</v>
      </c>
      <c r="AC410">
        <f>OR(AND(IF(metadata!C410="",FALSE,TRUE),OR(exact(metadata!C410,"missing: not collected"),exact(metadata!C410,"missing: not provided"),exact(metadata!C410,"missing: restricted access"))),AND(IF(metadata!C410="",FALSE,TRUE),AND(AND(IFERROR(INT(LEFT(metadata!C410,4))&gt;1900,FALSE),IFERROR(INT(LEFT(metadata!C410,4))&lt;=YEAR(NOW()),FALSE)), OR(MID(metadata!C410,5,1)="", AND(AND(MID(metadata!C410,5,1)="-",IFERROR(INT(MID(metadata!C410,6,1))&gt;=0,FALSE),IFERROR(INT(MID(metadata!C410,6,1))&lt;=1,FALSE),NOT(MID(metadata!C410,7,1)=""),IFERROR(INT(MID(metadata!C410,6,2))&gt;=1,FALSE),IFERROR(INT(MID(metadata!C410,6,2))&lt;=12,FALSE)), OR(MID(metadata!C410,8,1)="", AND(AND(MID(metadata!C410,8,1)="-",IFERROR(INT(MID(metadata!C410,9,1))&gt;=0,FALSE),IFERROR(INT(MID(metadata!C410,9,1))&lt;=3,FALSE),NOT(MID(metadata!C410,10,1)=""),IFERROR(INT(MID(metadata!C410,9,2))&gt;=1,FALSE),IFERROR(INT(MID(metadata!C410,9,2))&lt;=31,FALSE)), OR(MID(metadata!C410,11,1)="", AND(AND(MID(metadata!C410,11,1)=" ",IFERROR(INT(MID(metadata!C410,12,1))&gt;=0,FALSE),IFERROR(INT(MID(metadata!C410,12,1))&lt;=2,FALSE),NOT(MID(metadata!C410,13,1)=""),IFERROR(INT(MID(metadata!C410,12,2))&gt;=0,FALSE),IFERROR(INT(MID(metadata!C410,12,2))&lt;=23,FALSE)), OR(MID(metadata!C410,14,1)="", AND(AND(MID(metadata!C410,14,1)=":",IFERROR(INT(MID(metadata!C410,15,1))&gt;=0,FALSE),IFERROR(INT(MID(metadata!C410,15,1))&lt;=5,FALSE),NOT(MID(metadata!C410,16,1)=""),IFERROR(INT(MID(metadata!C410,15,2))&gt;=0,FALSE),IFERROR(INT(MID(metadata!C410,15,2))&lt;=59,FALSE)), OR(MID(metadata!C410,17,1)="", AND(AND(MID(metadata!C410,17,1)=":",IFERROR(INT(MID(metadata!C410,18,1))&gt;=0,FALSE),IFERROR(INT(MID(metadata!C410,18,1))&lt;=5,FALSE),NOT(MID(metadata!C410,19,1)=""),IFERROR(INT(MID(metadata!C410,18,2))&gt;=0,FALSE),IFERROR(INT(MID(metadata!C410,18,2))&lt;=59,FALSE)), LEN(metadata!C410)&lt;=19)))))))))))))</f>
        <v>0</v>
      </c>
      <c r="AD410">
        <f>IF(metadata!D410="",FALSE,TRUE)</f>
        <v>0</v>
      </c>
      <c r="AE410">
        <f>OR(AND(IF(metadata!E410="",FALSE,TRUE),OR(exact(metadata!E410,"missing: not collected"),exact(metadata!E410,"missing: not provided"))),AND(IF(metadata!E410="",FALSE,TRUE),OR(exact(metadata!E410,"TRUE"),exact(metadata!E410,"FALSE"))))</f>
        <v>0</v>
      </c>
      <c r="AF410">
        <f>IF(metadata!F410="",FALSE,TRUE)</f>
        <v>0</v>
      </c>
      <c r="AG410">
        <f>IF(metadata!G410="",FALSE,TRUE)</f>
        <v>0</v>
      </c>
      <c r="AH410">
        <f>IF(metadata!H410="",FALSE,TRUE)</f>
        <v>0</v>
      </c>
      <c r="AI410">
        <f>OR(AND(IF(metadata!I410="",FALSE,TRUE),OR(exact(metadata!I410,"missing: not collected"),exact(metadata!I410,"missing: not provided"),exact(metadata!I410,"missing: restricted access"))),AND(IF(metadata!I410="",FALSE,TRUE),OR(exact(metadata!I410,"air"),exact(metadata!I410,"built environment"),exact(metadata!I410,"host-associated"),exact(metadata!I410,"human-associated"),exact(metadata!I410,"human-skin"),exact(metadata!I410,"human-oral"),exact(metadata!I410,"human-gut"),exact(metadata!I410,"human-vaginal"),exact(metadata!I410,"microbial mat/biofilm"),exact(metadata!I410,"misc environment"),exact(metadata!I410,"plant-associated"),exact(metadata!I410,"sediment"),exact(metadata!I410,"soil"),exact(metadata!I410,"wastewater/sludge"),exact(metadata!I410,"water"))))</f>
        <v>0</v>
      </c>
      <c r="AJ410">
        <f>IF(metadata!J410="",FALSE,TRUE)</f>
        <v>0</v>
      </c>
      <c r="AK410">
        <f>OR(AND(IF(metadata!K410="",FALSE,TRUE),OR(exact(metadata!K410,"missing: not collected"),exact(metadata!K410,"missing: not provided"),exact(metadata!K410,"missing: restricted access"))),AND(IF(metadata!K410="",FALSE,ISNUMBER(VALUE(metadata!K410))),metadata!K410&gt;=-90.00,metadata!K410&lt;=90.00))</f>
        <v>0</v>
      </c>
      <c r="AL410">
        <f>OR(AND(IF(metadata!L410="",FALSE,TRUE),OR(exact(metadata!L410,"missing: not collected"),exact(metadata!L410,"missing: not provided"),exact(metadata!L410,"missing: restricted access"))),AND(IF(metadata!L410="",FALSE,ISNUMBER(VALUE(metadata!L410))),metadata!L410&gt;=-180.00,metadata!L410&lt;=180.00))</f>
        <v>0</v>
      </c>
      <c r="AM410">
        <f>IF(metadata!M410="",FALSE,TRUE)</f>
        <v>0</v>
      </c>
      <c r="AN410">
        <f>OR(AND(IF(metadata!N410="",FALSE,TRUE),OR(exact(metadata!N410,"missing: not collected"),exact(metadata!N410,"missing: not provided"),exact(metadata!N410,"missing: restricted access"))),AND(IF(metadata!N410="",FALSE,TRUE),OR(exact(metadata!N410,"TRUE"),exact(metadata!N410,"FALSE"))))</f>
        <v>0</v>
      </c>
      <c r="AO410">
        <f>IF(metadata!O410="",FALSE,TRUE)</f>
        <v>0</v>
      </c>
      <c r="AP410">
        <f>OR(AND(IF(metadata!P410="",FALSE,TRUE),OR(exact(metadata!P410,"missing: not collected"),exact(metadata!P410,"missing: not provided"))),AND(IF(metadata!P410="",FALSE,IF(ISERROR(INT(metadata!P410)),FALSE,INT(metadata!P410)=metadata!P410)),metadata!P410&gt;0))</f>
        <v>0</v>
      </c>
      <c r="AQ410">
        <f>IF(metadata!Q410="",FALSE,TRUE)</f>
        <v>0</v>
      </c>
    </row>
    <row r="411" spans="1:43">
      <c r="A411" s="5">
        <f>IF(B411=" "," ",HYPERLINK(CONCATENATE("#metadata!",ADDRESS(INDEX($W$2:$W$1001,MATCH(ROWS($U$2:U411),$U$2:$U$1001,0),0),1)),INDEX($Z$2:$Z$1001,MATCH(ROWS($U$2:U411),$U$2:$U$1001,0),0)))</f>
        <v>0</v>
      </c>
      <c r="B411" s="4">
        <f>IF(OR(INDEX($V$2:$V$1001,MATCH(ROWS($U$2:U411),$U$2:$U$1001,0),1)&gt;=100000,INDEX($AB$1005:$AQ$1005,1,MATCH(COLUMNS($AB$1006:AB1006),$AB$1006:$AQ$1006,0))&gt;=100000), " ",IF(INDEX($AB$2:$AQ$1001,MATCH(ROWS($U$2:U411),$U$2:$U$1001,0),MATCH(COLUMNS($AB$1006:AB1006),$AB$1006:$AQ$1006,0)), HYPERLINK("#",""), HYPERLINK(CONCATENATE("#metadata!", ADDRESS(INDEX($W$2:$W$1001,MATCH(ROWS($U$2:U411),$U$2:$U$1001,0),0), INDEX($AB$1004:$AQ$1004,1,MATCH(COLUMNS($AB$1006:AB1006),$AB$1006:$AQ$1006,0)))),"Fix")))</f>
        <v>0</v>
      </c>
      <c r="C411" s="4">
        <f>IF(OR(INDEX($V$2:$V$1001,MATCH(ROWS($U$2:U411),$U$2:$U$1001,0),1)&gt;=100000,INDEX($AB$1005:$AQ$1005,1,MATCH(COLUMNS($AB$1006:AC1006),$AB$1006:$AQ$1006,0))&gt;=100000), " ",IF(INDEX($AB$2:$AQ$1001,MATCH(ROWS($U$2:U411),$U$2:$U$1001,0),MATCH(COLUMNS($AB$1006:AC1006),$AB$1006:$AQ$1006,0)), HYPERLINK("#",""), HYPERLINK(CONCATENATE("#metadata!", ADDRESS(INDEX($W$2:$W$1001,MATCH(ROWS($U$2:U411),$U$2:$U$1001,0),0), INDEX($AB$1004:$AQ$1004,1,MATCH(COLUMNS($AB$1006:AC1006),$AB$1006:$AQ$1006,0)))),"Fix")))</f>
        <v>0</v>
      </c>
      <c r="D411" s="4">
        <f>IF(OR(INDEX($V$2:$V$1001,MATCH(ROWS($U$2:U411),$U$2:$U$1001,0),1)&gt;=100000,INDEX($AB$1005:$AQ$1005,1,MATCH(COLUMNS($AB$1006:AD1006),$AB$1006:$AQ$1006,0))&gt;=100000), " ",IF(INDEX($AB$2:$AQ$1001,MATCH(ROWS($U$2:U411),$U$2:$U$1001,0),MATCH(COLUMNS($AB$1006:AD1006),$AB$1006:$AQ$1006,0)), HYPERLINK("#",""), HYPERLINK(CONCATENATE("#metadata!", ADDRESS(INDEX($W$2:$W$1001,MATCH(ROWS($U$2:U411),$U$2:$U$1001,0),0), INDEX($AB$1004:$AQ$1004,1,MATCH(COLUMNS($AB$1006:AD1006),$AB$1006:$AQ$1006,0)))),"Fix")))</f>
        <v>0</v>
      </c>
      <c r="E411" s="4">
        <f>IF(OR(INDEX($V$2:$V$1001,MATCH(ROWS($U$2:U411),$U$2:$U$1001,0),1)&gt;=100000,INDEX($AB$1005:$AQ$1005,1,MATCH(COLUMNS($AB$1006:AE1006),$AB$1006:$AQ$1006,0))&gt;=100000), " ",IF(INDEX($AB$2:$AQ$1001,MATCH(ROWS($U$2:U411),$U$2:$U$1001,0),MATCH(COLUMNS($AB$1006:AE1006),$AB$1006:$AQ$1006,0)), HYPERLINK("#",""), HYPERLINK(CONCATENATE("#metadata!", ADDRESS(INDEX($W$2:$W$1001,MATCH(ROWS($U$2:U411),$U$2:$U$1001,0),0), INDEX($AB$1004:$AQ$1004,1,MATCH(COLUMNS($AB$1006:AE1006),$AB$1006:$AQ$1006,0)))),"Fix")))</f>
        <v>0</v>
      </c>
      <c r="F411" s="4">
        <f>IF(OR(INDEX($V$2:$V$1001,MATCH(ROWS($U$2:U411),$U$2:$U$1001,0),1)&gt;=100000,INDEX($AB$1005:$AQ$1005,1,MATCH(COLUMNS($AB$1006:AF1006),$AB$1006:$AQ$1006,0))&gt;=100000), " ",IF(INDEX($AB$2:$AQ$1001,MATCH(ROWS($U$2:U411),$U$2:$U$1001,0),MATCH(COLUMNS($AB$1006:AF1006),$AB$1006:$AQ$1006,0)), HYPERLINK("#",""), HYPERLINK(CONCATENATE("#metadata!", ADDRESS(INDEX($W$2:$W$1001,MATCH(ROWS($U$2:U411),$U$2:$U$1001,0),0), INDEX($AB$1004:$AQ$1004,1,MATCH(COLUMNS($AB$1006:AF1006),$AB$1006:$AQ$1006,0)))),"Fix")))</f>
        <v>0</v>
      </c>
      <c r="G411" s="4">
        <f>IF(OR(INDEX($V$2:$V$1001,MATCH(ROWS($U$2:U411),$U$2:$U$1001,0),1)&gt;=100000,INDEX($AB$1005:$AQ$1005,1,MATCH(COLUMNS($AB$1006:AG1006),$AB$1006:$AQ$1006,0))&gt;=100000), " ",IF(INDEX($AB$2:$AQ$1001,MATCH(ROWS($U$2:U411),$U$2:$U$1001,0),MATCH(COLUMNS($AB$1006:AG1006),$AB$1006:$AQ$1006,0)), HYPERLINK("#",""), HYPERLINK(CONCATENATE("#metadata!", ADDRESS(INDEX($W$2:$W$1001,MATCH(ROWS($U$2:U411),$U$2:$U$1001,0),0), INDEX($AB$1004:$AQ$1004,1,MATCH(COLUMNS($AB$1006:AG1006),$AB$1006:$AQ$1006,0)))),"Fix")))</f>
        <v>0</v>
      </c>
      <c r="H411" s="4">
        <f>IF(OR(INDEX($V$2:$V$1001,MATCH(ROWS($U$2:U411),$U$2:$U$1001,0),1)&gt;=100000,INDEX($AB$1005:$AQ$1005,1,MATCH(COLUMNS($AB$1006:AH1006),$AB$1006:$AQ$1006,0))&gt;=100000), " ",IF(INDEX($AB$2:$AQ$1001,MATCH(ROWS($U$2:U411),$U$2:$U$1001,0),MATCH(COLUMNS($AB$1006:AH1006),$AB$1006:$AQ$1006,0)), HYPERLINK("#",""), HYPERLINK(CONCATENATE("#metadata!", ADDRESS(INDEX($W$2:$W$1001,MATCH(ROWS($U$2:U411),$U$2:$U$1001,0),0), INDEX($AB$1004:$AQ$1004,1,MATCH(COLUMNS($AB$1006:AH1006),$AB$1006:$AQ$1006,0)))),"Fix")))</f>
        <v>0</v>
      </c>
      <c r="I411" s="4">
        <f>IF(OR(INDEX($V$2:$V$1001,MATCH(ROWS($U$2:U411),$U$2:$U$1001,0),1)&gt;=100000,INDEX($AB$1005:$AQ$1005,1,MATCH(COLUMNS($AB$1006:AI1006),$AB$1006:$AQ$1006,0))&gt;=100000), " ",IF(INDEX($AB$2:$AQ$1001,MATCH(ROWS($U$2:U411),$U$2:$U$1001,0),MATCH(COLUMNS($AB$1006:AI1006),$AB$1006:$AQ$1006,0)), HYPERLINK("#",""), HYPERLINK(CONCATENATE("#metadata!", ADDRESS(INDEX($W$2:$W$1001,MATCH(ROWS($U$2:U411),$U$2:$U$1001,0),0), INDEX($AB$1004:$AQ$1004,1,MATCH(COLUMNS($AB$1006:AI1006),$AB$1006:$AQ$1006,0)))),"Fix")))</f>
        <v>0</v>
      </c>
      <c r="J411" s="4">
        <f>IF(OR(INDEX($V$2:$V$1001,MATCH(ROWS($U$2:U411),$U$2:$U$1001,0),1)&gt;=100000,INDEX($AB$1005:$AQ$1005,1,MATCH(COLUMNS($AB$1006:AJ1006),$AB$1006:$AQ$1006,0))&gt;=100000), " ",IF(INDEX($AB$2:$AQ$1001,MATCH(ROWS($U$2:U411),$U$2:$U$1001,0),MATCH(COLUMNS($AB$1006:AJ1006),$AB$1006:$AQ$1006,0)), HYPERLINK("#",""), HYPERLINK(CONCATENATE("#metadata!", ADDRESS(INDEX($W$2:$W$1001,MATCH(ROWS($U$2:U411),$U$2:$U$1001,0),0), INDEX($AB$1004:$AQ$1004,1,MATCH(COLUMNS($AB$1006:AJ1006),$AB$1006:$AQ$1006,0)))),"Fix")))</f>
        <v>0</v>
      </c>
      <c r="K411" s="4">
        <f>IF(OR(INDEX($V$2:$V$1001,MATCH(ROWS($U$2:U411),$U$2:$U$1001,0),1)&gt;=100000,INDEX($AB$1005:$AQ$1005,1,MATCH(COLUMNS($AB$1006:AK1006),$AB$1006:$AQ$1006,0))&gt;=100000), " ",IF(INDEX($AB$2:$AQ$1001,MATCH(ROWS($U$2:U411),$U$2:$U$1001,0),MATCH(COLUMNS($AB$1006:AK1006),$AB$1006:$AQ$1006,0)), HYPERLINK("#",""), HYPERLINK(CONCATENATE("#metadata!", ADDRESS(INDEX($W$2:$W$1001,MATCH(ROWS($U$2:U411),$U$2:$U$1001,0),0), INDEX($AB$1004:$AQ$1004,1,MATCH(COLUMNS($AB$1006:AK1006),$AB$1006:$AQ$1006,0)))),"Fix")))</f>
        <v>0</v>
      </c>
      <c r="L411" s="4">
        <f>IF(OR(INDEX($V$2:$V$1001,MATCH(ROWS($U$2:U411),$U$2:$U$1001,0),1)&gt;=100000,INDEX($AB$1005:$AQ$1005,1,MATCH(COLUMNS($AB$1006:AL1006),$AB$1006:$AQ$1006,0))&gt;=100000), " ",IF(INDEX($AB$2:$AQ$1001,MATCH(ROWS($U$2:U411),$U$2:$U$1001,0),MATCH(COLUMNS($AB$1006:AL1006),$AB$1006:$AQ$1006,0)), HYPERLINK("#",""), HYPERLINK(CONCATENATE("#metadata!", ADDRESS(INDEX($W$2:$W$1001,MATCH(ROWS($U$2:U411),$U$2:$U$1001,0),0), INDEX($AB$1004:$AQ$1004,1,MATCH(COLUMNS($AB$1006:AL1006),$AB$1006:$AQ$1006,0)))),"Fix")))</f>
        <v>0</v>
      </c>
      <c r="M411" s="4">
        <f>IF(OR(INDEX($V$2:$V$1001,MATCH(ROWS($U$2:U411),$U$2:$U$1001,0),1)&gt;=100000,INDEX($AB$1005:$AQ$1005,1,MATCH(COLUMNS($AB$1006:AM1006),$AB$1006:$AQ$1006,0))&gt;=100000), " ",IF(INDEX($AB$2:$AQ$1001,MATCH(ROWS($U$2:U411),$U$2:$U$1001,0),MATCH(COLUMNS($AB$1006:AM1006),$AB$1006:$AQ$1006,0)), HYPERLINK("#",""), HYPERLINK(CONCATENATE("#metadata!", ADDRESS(INDEX($W$2:$W$1001,MATCH(ROWS($U$2:U411),$U$2:$U$1001,0),0), INDEX($AB$1004:$AQ$1004,1,MATCH(COLUMNS($AB$1006:AM1006),$AB$1006:$AQ$1006,0)))),"Fix")))</f>
        <v>0</v>
      </c>
      <c r="N411" s="4">
        <f>IF(OR(INDEX($V$2:$V$1001,MATCH(ROWS($U$2:U411),$U$2:$U$1001,0),1)&gt;=100000,INDEX($AB$1005:$AQ$1005,1,MATCH(COLUMNS($AB$1006:AN1006),$AB$1006:$AQ$1006,0))&gt;=100000), " ",IF(INDEX($AB$2:$AQ$1001,MATCH(ROWS($U$2:U411),$U$2:$U$1001,0),MATCH(COLUMNS($AB$1006:AN1006),$AB$1006:$AQ$1006,0)), HYPERLINK("#",""), HYPERLINK(CONCATENATE("#metadata!", ADDRESS(INDEX($W$2:$W$1001,MATCH(ROWS($U$2:U411),$U$2:$U$1001,0),0), INDEX($AB$1004:$AQ$1004,1,MATCH(COLUMNS($AB$1006:AN1006),$AB$1006:$AQ$1006,0)))),"Fix")))</f>
        <v>0</v>
      </c>
      <c r="O411" s="4">
        <f>IF(OR(INDEX($V$2:$V$1001,MATCH(ROWS($U$2:U411),$U$2:$U$1001,0),1)&gt;=100000,INDEX($AB$1005:$AQ$1005,1,MATCH(COLUMNS($AB$1006:AO1006),$AB$1006:$AQ$1006,0))&gt;=100000), " ",IF(INDEX($AB$2:$AQ$1001,MATCH(ROWS($U$2:U411),$U$2:$U$1001,0),MATCH(COLUMNS($AB$1006:AO1006),$AB$1006:$AQ$1006,0)), HYPERLINK("#",""), HYPERLINK(CONCATENATE("#metadata!", ADDRESS(INDEX($W$2:$W$1001,MATCH(ROWS($U$2:U411),$U$2:$U$1001,0),0), INDEX($AB$1004:$AQ$1004,1,MATCH(COLUMNS($AB$1006:AO1006),$AB$1006:$AQ$1006,0)))),"Fix")))</f>
        <v>0</v>
      </c>
      <c r="P411" s="4">
        <f>IF(OR(INDEX($V$2:$V$1001,MATCH(ROWS($U$2:U411),$U$2:$U$1001,0),1)&gt;=100000,INDEX($AB$1005:$AQ$1005,1,MATCH(COLUMNS($AB$1006:AP1006),$AB$1006:$AQ$1006,0))&gt;=100000), " ",IF(INDEX($AB$2:$AQ$1001,MATCH(ROWS($U$2:U411),$U$2:$U$1001,0),MATCH(COLUMNS($AB$1006:AP1006),$AB$1006:$AQ$1006,0)), HYPERLINK("#",""), HYPERLINK(CONCATENATE("#metadata!", ADDRESS(INDEX($W$2:$W$1001,MATCH(ROWS($U$2:U411),$U$2:$U$1001,0),0), INDEX($AB$1004:$AQ$1004,1,MATCH(COLUMNS($AB$1006:AP1006),$AB$1006:$AQ$1006,0)))),"Fix")))</f>
        <v>0</v>
      </c>
      <c r="Q411" s="4">
        <f>IF(OR(INDEX($V$2:$V$1001,MATCH(ROWS($U$2:U411),$U$2:$U$1001,0),1)&gt;=100000,INDEX($AB$1005:$AQ$1005,1,MATCH(COLUMNS($AB$1006:AQ1006),$AB$1006:$AQ$1006,0))&gt;=100000), " ",IF(INDEX($AB$2:$AQ$1001,MATCH(ROWS($U$2:U411),$U$2:$U$1001,0),MATCH(COLUMNS($AB$1006:AQ1006),$AB$1006:$AQ$1006,0)), HYPERLINK("#",""), HYPERLINK(CONCATENATE("#metadata!", ADDRESS(INDEX($W$2:$W$1001,MATCH(ROWS($U$2:U411),$U$2:$U$1001,0),0), INDEX($AB$1004:$AQ$1004,1,MATCH(COLUMNS($AB$1006:AQ1006),$AB$1006:$AQ$1006,0)))),"Fix")))</f>
        <v>0</v>
      </c>
      <c r="U411">
        <v>0</v>
      </c>
      <c r="V411">
        <v>0</v>
      </c>
      <c r="W411">
        <v>0</v>
      </c>
      <c r="X411">
        <f>IF(Y411,TRUE,AND(AB411:AQ411))</f>
        <v>0</v>
      </c>
      <c r="Y411">
        <f>COUNTBLANK(metadata!B411:Q411)=COLUMNS(metadata!B411:Q411)</f>
        <v>0</v>
      </c>
      <c r="Z411">
        <v>0</v>
      </c>
      <c r="AB411">
        <f>AND(IF(metadata!B411="",FALSE,TRUE),COUNTIF(metadata!B:B, metadata!B411) = 1,NOT(ISERROR(SUMPRODUCT(SEARCH(MID(metadata!B411,ROW(INDIRECT("1:"&amp;LEN(metadata!B411))), 1),"0123456789abcdefghijklmnopqrstuvwxyzABCDEFGHIJKLMNOPQRSTUVWXYZ.")))))</f>
        <v>0</v>
      </c>
      <c r="AC411">
        <f>OR(AND(IF(metadata!C411="",FALSE,TRUE),OR(exact(metadata!C411,"missing: not collected"),exact(metadata!C411,"missing: not provided"),exact(metadata!C411,"missing: restricted access"))),AND(IF(metadata!C411="",FALSE,TRUE),AND(AND(IFERROR(INT(LEFT(metadata!C411,4))&gt;1900,FALSE),IFERROR(INT(LEFT(metadata!C411,4))&lt;=YEAR(NOW()),FALSE)), OR(MID(metadata!C411,5,1)="", AND(AND(MID(metadata!C411,5,1)="-",IFERROR(INT(MID(metadata!C411,6,1))&gt;=0,FALSE),IFERROR(INT(MID(metadata!C411,6,1))&lt;=1,FALSE),NOT(MID(metadata!C411,7,1)=""),IFERROR(INT(MID(metadata!C411,6,2))&gt;=1,FALSE),IFERROR(INT(MID(metadata!C411,6,2))&lt;=12,FALSE)), OR(MID(metadata!C411,8,1)="", AND(AND(MID(metadata!C411,8,1)="-",IFERROR(INT(MID(metadata!C411,9,1))&gt;=0,FALSE),IFERROR(INT(MID(metadata!C411,9,1))&lt;=3,FALSE),NOT(MID(metadata!C411,10,1)=""),IFERROR(INT(MID(metadata!C411,9,2))&gt;=1,FALSE),IFERROR(INT(MID(metadata!C411,9,2))&lt;=31,FALSE)), OR(MID(metadata!C411,11,1)="", AND(AND(MID(metadata!C411,11,1)=" ",IFERROR(INT(MID(metadata!C411,12,1))&gt;=0,FALSE),IFERROR(INT(MID(metadata!C411,12,1))&lt;=2,FALSE),NOT(MID(metadata!C411,13,1)=""),IFERROR(INT(MID(metadata!C411,12,2))&gt;=0,FALSE),IFERROR(INT(MID(metadata!C411,12,2))&lt;=23,FALSE)), OR(MID(metadata!C411,14,1)="", AND(AND(MID(metadata!C411,14,1)=":",IFERROR(INT(MID(metadata!C411,15,1))&gt;=0,FALSE),IFERROR(INT(MID(metadata!C411,15,1))&lt;=5,FALSE),NOT(MID(metadata!C411,16,1)=""),IFERROR(INT(MID(metadata!C411,15,2))&gt;=0,FALSE),IFERROR(INT(MID(metadata!C411,15,2))&lt;=59,FALSE)), OR(MID(metadata!C411,17,1)="", AND(AND(MID(metadata!C411,17,1)=":",IFERROR(INT(MID(metadata!C411,18,1))&gt;=0,FALSE),IFERROR(INT(MID(metadata!C411,18,1))&lt;=5,FALSE),NOT(MID(metadata!C411,19,1)=""),IFERROR(INT(MID(metadata!C411,18,2))&gt;=0,FALSE),IFERROR(INT(MID(metadata!C411,18,2))&lt;=59,FALSE)), LEN(metadata!C411)&lt;=19)))))))))))))</f>
        <v>0</v>
      </c>
      <c r="AD411">
        <f>IF(metadata!D411="",FALSE,TRUE)</f>
        <v>0</v>
      </c>
      <c r="AE411">
        <f>OR(AND(IF(metadata!E411="",FALSE,TRUE),OR(exact(metadata!E411,"missing: not collected"),exact(metadata!E411,"missing: not provided"))),AND(IF(metadata!E411="",FALSE,TRUE),OR(exact(metadata!E411,"TRUE"),exact(metadata!E411,"FALSE"))))</f>
        <v>0</v>
      </c>
      <c r="AF411">
        <f>IF(metadata!F411="",FALSE,TRUE)</f>
        <v>0</v>
      </c>
      <c r="AG411">
        <f>IF(metadata!G411="",FALSE,TRUE)</f>
        <v>0</v>
      </c>
      <c r="AH411">
        <f>IF(metadata!H411="",FALSE,TRUE)</f>
        <v>0</v>
      </c>
      <c r="AI411">
        <f>OR(AND(IF(metadata!I411="",FALSE,TRUE),OR(exact(metadata!I411,"missing: not collected"),exact(metadata!I411,"missing: not provided"),exact(metadata!I411,"missing: restricted access"))),AND(IF(metadata!I411="",FALSE,TRUE),OR(exact(metadata!I411,"air"),exact(metadata!I411,"built environment"),exact(metadata!I411,"host-associated"),exact(metadata!I411,"human-associated"),exact(metadata!I411,"human-skin"),exact(metadata!I411,"human-oral"),exact(metadata!I411,"human-gut"),exact(metadata!I411,"human-vaginal"),exact(metadata!I411,"microbial mat/biofilm"),exact(metadata!I411,"misc environment"),exact(metadata!I411,"plant-associated"),exact(metadata!I411,"sediment"),exact(metadata!I411,"soil"),exact(metadata!I411,"wastewater/sludge"),exact(metadata!I411,"water"))))</f>
        <v>0</v>
      </c>
      <c r="AJ411">
        <f>IF(metadata!J411="",FALSE,TRUE)</f>
        <v>0</v>
      </c>
      <c r="AK411">
        <f>OR(AND(IF(metadata!K411="",FALSE,TRUE),OR(exact(metadata!K411,"missing: not collected"),exact(metadata!K411,"missing: not provided"),exact(metadata!K411,"missing: restricted access"))),AND(IF(metadata!K411="",FALSE,ISNUMBER(VALUE(metadata!K411))),metadata!K411&gt;=-90.00,metadata!K411&lt;=90.00))</f>
        <v>0</v>
      </c>
      <c r="AL411">
        <f>OR(AND(IF(metadata!L411="",FALSE,TRUE),OR(exact(metadata!L411,"missing: not collected"),exact(metadata!L411,"missing: not provided"),exact(metadata!L411,"missing: restricted access"))),AND(IF(metadata!L411="",FALSE,ISNUMBER(VALUE(metadata!L411))),metadata!L411&gt;=-180.00,metadata!L411&lt;=180.00))</f>
        <v>0</v>
      </c>
      <c r="AM411">
        <f>IF(metadata!M411="",FALSE,TRUE)</f>
        <v>0</v>
      </c>
      <c r="AN411">
        <f>OR(AND(IF(metadata!N411="",FALSE,TRUE),OR(exact(metadata!N411,"missing: not collected"),exact(metadata!N411,"missing: not provided"),exact(metadata!N411,"missing: restricted access"))),AND(IF(metadata!N411="",FALSE,TRUE),OR(exact(metadata!N411,"TRUE"),exact(metadata!N411,"FALSE"))))</f>
        <v>0</v>
      </c>
      <c r="AO411">
        <f>IF(metadata!O411="",FALSE,TRUE)</f>
        <v>0</v>
      </c>
      <c r="AP411">
        <f>OR(AND(IF(metadata!P411="",FALSE,TRUE),OR(exact(metadata!P411,"missing: not collected"),exact(metadata!P411,"missing: not provided"))),AND(IF(metadata!P411="",FALSE,IF(ISERROR(INT(metadata!P411)),FALSE,INT(metadata!P411)=metadata!P411)),metadata!P411&gt;0))</f>
        <v>0</v>
      </c>
      <c r="AQ411">
        <f>IF(metadata!Q411="",FALSE,TRUE)</f>
        <v>0</v>
      </c>
    </row>
    <row r="412" spans="1:43">
      <c r="A412" s="5">
        <f>IF(B412=" "," ",HYPERLINK(CONCATENATE("#metadata!",ADDRESS(INDEX($W$2:$W$1001,MATCH(ROWS($U$2:U412),$U$2:$U$1001,0),0),1)),INDEX($Z$2:$Z$1001,MATCH(ROWS($U$2:U412),$U$2:$U$1001,0),0)))</f>
        <v>0</v>
      </c>
      <c r="B412" s="4">
        <f>IF(OR(INDEX($V$2:$V$1001,MATCH(ROWS($U$2:U412),$U$2:$U$1001,0),1)&gt;=100000,INDEX($AB$1005:$AQ$1005,1,MATCH(COLUMNS($AB$1006:AB1006),$AB$1006:$AQ$1006,0))&gt;=100000), " ",IF(INDEX($AB$2:$AQ$1001,MATCH(ROWS($U$2:U412),$U$2:$U$1001,0),MATCH(COLUMNS($AB$1006:AB1006),$AB$1006:$AQ$1006,0)), HYPERLINK("#",""), HYPERLINK(CONCATENATE("#metadata!", ADDRESS(INDEX($W$2:$W$1001,MATCH(ROWS($U$2:U412),$U$2:$U$1001,0),0), INDEX($AB$1004:$AQ$1004,1,MATCH(COLUMNS($AB$1006:AB1006),$AB$1006:$AQ$1006,0)))),"Fix")))</f>
        <v>0</v>
      </c>
      <c r="C412" s="4">
        <f>IF(OR(INDEX($V$2:$V$1001,MATCH(ROWS($U$2:U412),$U$2:$U$1001,0),1)&gt;=100000,INDEX($AB$1005:$AQ$1005,1,MATCH(COLUMNS($AB$1006:AC1006),$AB$1006:$AQ$1006,0))&gt;=100000), " ",IF(INDEX($AB$2:$AQ$1001,MATCH(ROWS($U$2:U412),$U$2:$U$1001,0),MATCH(COLUMNS($AB$1006:AC1006),$AB$1006:$AQ$1006,0)), HYPERLINK("#",""), HYPERLINK(CONCATENATE("#metadata!", ADDRESS(INDEX($W$2:$W$1001,MATCH(ROWS($U$2:U412),$U$2:$U$1001,0),0), INDEX($AB$1004:$AQ$1004,1,MATCH(COLUMNS($AB$1006:AC1006),$AB$1006:$AQ$1006,0)))),"Fix")))</f>
        <v>0</v>
      </c>
      <c r="D412" s="4">
        <f>IF(OR(INDEX($V$2:$V$1001,MATCH(ROWS($U$2:U412),$U$2:$U$1001,0),1)&gt;=100000,INDEX($AB$1005:$AQ$1005,1,MATCH(COLUMNS($AB$1006:AD1006),$AB$1006:$AQ$1006,0))&gt;=100000), " ",IF(INDEX($AB$2:$AQ$1001,MATCH(ROWS($U$2:U412),$U$2:$U$1001,0),MATCH(COLUMNS($AB$1006:AD1006),$AB$1006:$AQ$1006,0)), HYPERLINK("#",""), HYPERLINK(CONCATENATE("#metadata!", ADDRESS(INDEX($W$2:$W$1001,MATCH(ROWS($U$2:U412),$U$2:$U$1001,0),0), INDEX($AB$1004:$AQ$1004,1,MATCH(COLUMNS($AB$1006:AD1006),$AB$1006:$AQ$1006,0)))),"Fix")))</f>
        <v>0</v>
      </c>
      <c r="E412" s="4">
        <f>IF(OR(INDEX($V$2:$V$1001,MATCH(ROWS($U$2:U412),$U$2:$U$1001,0),1)&gt;=100000,INDEX($AB$1005:$AQ$1005,1,MATCH(COLUMNS($AB$1006:AE1006),$AB$1006:$AQ$1006,0))&gt;=100000), " ",IF(INDEX($AB$2:$AQ$1001,MATCH(ROWS($U$2:U412),$U$2:$U$1001,0),MATCH(COLUMNS($AB$1006:AE1006),$AB$1006:$AQ$1006,0)), HYPERLINK("#",""), HYPERLINK(CONCATENATE("#metadata!", ADDRESS(INDEX($W$2:$W$1001,MATCH(ROWS($U$2:U412),$U$2:$U$1001,0),0), INDEX($AB$1004:$AQ$1004,1,MATCH(COLUMNS($AB$1006:AE1006),$AB$1006:$AQ$1006,0)))),"Fix")))</f>
        <v>0</v>
      </c>
      <c r="F412" s="4">
        <f>IF(OR(INDEX($V$2:$V$1001,MATCH(ROWS($U$2:U412),$U$2:$U$1001,0),1)&gt;=100000,INDEX($AB$1005:$AQ$1005,1,MATCH(COLUMNS($AB$1006:AF1006),$AB$1006:$AQ$1006,0))&gt;=100000), " ",IF(INDEX($AB$2:$AQ$1001,MATCH(ROWS($U$2:U412),$U$2:$U$1001,0),MATCH(COLUMNS($AB$1006:AF1006),$AB$1006:$AQ$1006,0)), HYPERLINK("#",""), HYPERLINK(CONCATENATE("#metadata!", ADDRESS(INDEX($W$2:$W$1001,MATCH(ROWS($U$2:U412),$U$2:$U$1001,0),0), INDEX($AB$1004:$AQ$1004,1,MATCH(COLUMNS($AB$1006:AF1006),$AB$1006:$AQ$1006,0)))),"Fix")))</f>
        <v>0</v>
      </c>
      <c r="G412" s="4">
        <f>IF(OR(INDEX($V$2:$V$1001,MATCH(ROWS($U$2:U412),$U$2:$U$1001,0),1)&gt;=100000,INDEX($AB$1005:$AQ$1005,1,MATCH(COLUMNS($AB$1006:AG1006),$AB$1006:$AQ$1006,0))&gt;=100000), " ",IF(INDEX($AB$2:$AQ$1001,MATCH(ROWS($U$2:U412),$U$2:$U$1001,0),MATCH(COLUMNS($AB$1006:AG1006),$AB$1006:$AQ$1006,0)), HYPERLINK("#",""), HYPERLINK(CONCATENATE("#metadata!", ADDRESS(INDEX($W$2:$W$1001,MATCH(ROWS($U$2:U412),$U$2:$U$1001,0),0), INDEX($AB$1004:$AQ$1004,1,MATCH(COLUMNS($AB$1006:AG1006),$AB$1006:$AQ$1006,0)))),"Fix")))</f>
        <v>0</v>
      </c>
      <c r="H412" s="4">
        <f>IF(OR(INDEX($V$2:$V$1001,MATCH(ROWS($U$2:U412),$U$2:$U$1001,0),1)&gt;=100000,INDEX($AB$1005:$AQ$1005,1,MATCH(COLUMNS($AB$1006:AH1006),$AB$1006:$AQ$1006,0))&gt;=100000), " ",IF(INDEX($AB$2:$AQ$1001,MATCH(ROWS($U$2:U412),$U$2:$U$1001,0),MATCH(COLUMNS($AB$1006:AH1006),$AB$1006:$AQ$1006,0)), HYPERLINK("#",""), HYPERLINK(CONCATENATE("#metadata!", ADDRESS(INDEX($W$2:$W$1001,MATCH(ROWS($U$2:U412),$U$2:$U$1001,0),0), INDEX($AB$1004:$AQ$1004,1,MATCH(COLUMNS($AB$1006:AH1006),$AB$1006:$AQ$1006,0)))),"Fix")))</f>
        <v>0</v>
      </c>
      <c r="I412" s="4">
        <f>IF(OR(INDEX($V$2:$V$1001,MATCH(ROWS($U$2:U412),$U$2:$U$1001,0),1)&gt;=100000,INDEX($AB$1005:$AQ$1005,1,MATCH(COLUMNS($AB$1006:AI1006),$AB$1006:$AQ$1006,0))&gt;=100000), " ",IF(INDEX($AB$2:$AQ$1001,MATCH(ROWS($U$2:U412),$U$2:$U$1001,0),MATCH(COLUMNS($AB$1006:AI1006),$AB$1006:$AQ$1006,0)), HYPERLINK("#",""), HYPERLINK(CONCATENATE("#metadata!", ADDRESS(INDEX($W$2:$W$1001,MATCH(ROWS($U$2:U412),$U$2:$U$1001,0),0), INDEX($AB$1004:$AQ$1004,1,MATCH(COLUMNS($AB$1006:AI1006),$AB$1006:$AQ$1006,0)))),"Fix")))</f>
        <v>0</v>
      </c>
      <c r="J412" s="4">
        <f>IF(OR(INDEX($V$2:$V$1001,MATCH(ROWS($U$2:U412),$U$2:$U$1001,0),1)&gt;=100000,INDEX($AB$1005:$AQ$1005,1,MATCH(COLUMNS($AB$1006:AJ1006),$AB$1006:$AQ$1006,0))&gt;=100000), " ",IF(INDEX($AB$2:$AQ$1001,MATCH(ROWS($U$2:U412),$U$2:$U$1001,0),MATCH(COLUMNS($AB$1006:AJ1006),$AB$1006:$AQ$1006,0)), HYPERLINK("#",""), HYPERLINK(CONCATENATE("#metadata!", ADDRESS(INDEX($W$2:$W$1001,MATCH(ROWS($U$2:U412),$U$2:$U$1001,0),0), INDEX($AB$1004:$AQ$1004,1,MATCH(COLUMNS($AB$1006:AJ1006),$AB$1006:$AQ$1006,0)))),"Fix")))</f>
        <v>0</v>
      </c>
      <c r="K412" s="4">
        <f>IF(OR(INDEX($V$2:$V$1001,MATCH(ROWS($U$2:U412),$U$2:$U$1001,0),1)&gt;=100000,INDEX($AB$1005:$AQ$1005,1,MATCH(COLUMNS($AB$1006:AK1006),$AB$1006:$AQ$1006,0))&gt;=100000), " ",IF(INDEX($AB$2:$AQ$1001,MATCH(ROWS($U$2:U412),$U$2:$U$1001,0),MATCH(COLUMNS($AB$1006:AK1006),$AB$1006:$AQ$1006,0)), HYPERLINK("#",""), HYPERLINK(CONCATENATE("#metadata!", ADDRESS(INDEX($W$2:$W$1001,MATCH(ROWS($U$2:U412),$U$2:$U$1001,0),0), INDEX($AB$1004:$AQ$1004,1,MATCH(COLUMNS($AB$1006:AK1006),$AB$1006:$AQ$1006,0)))),"Fix")))</f>
        <v>0</v>
      </c>
      <c r="L412" s="4">
        <f>IF(OR(INDEX($V$2:$V$1001,MATCH(ROWS($U$2:U412),$U$2:$U$1001,0),1)&gt;=100000,INDEX($AB$1005:$AQ$1005,1,MATCH(COLUMNS($AB$1006:AL1006),$AB$1006:$AQ$1006,0))&gt;=100000), " ",IF(INDEX($AB$2:$AQ$1001,MATCH(ROWS($U$2:U412),$U$2:$U$1001,0),MATCH(COLUMNS($AB$1006:AL1006),$AB$1006:$AQ$1006,0)), HYPERLINK("#",""), HYPERLINK(CONCATENATE("#metadata!", ADDRESS(INDEX($W$2:$W$1001,MATCH(ROWS($U$2:U412),$U$2:$U$1001,0),0), INDEX($AB$1004:$AQ$1004,1,MATCH(COLUMNS($AB$1006:AL1006),$AB$1006:$AQ$1006,0)))),"Fix")))</f>
        <v>0</v>
      </c>
      <c r="M412" s="4">
        <f>IF(OR(INDEX($V$2:$V$1001,MATCH(ROWS($U$2:U412),$U$2:$U$1001,0),1)&gt;=100000,INDEX($AB$1005:$AQ$1005,1,MATCH(COLUMNS($AB$1006:AM1006),$AB$1006:$AQ$1006,0))&gt;=100000), " ",IF(INDEX($AB$2:$AQ$1001,MATCH(ROWS($U$2:U412),$U$2:$U$1001,0),MATCH(COLUMNS($AB$1006:AM1006),$AB$1006:$AQ$1006,0)), HYPERLINK("#",""), HYPERLINK(CONCATENATE("#metadata!", ADDRESS(INDEX($W$2:$W$1001,MATCH(ROWS($U$2:U412),$U$2:$U$1001,0),0), INDEX($AB$1004:$AQ$1004,1,MATCH(COLUMNS($AB$1006:AM1006),$AB$1006:$AQ$1006,0)))),"Fix")))</f>
        <v>0</v>
      </c>
      <c r="N412" s="4">
        <f>IF(OR(INDEX($V$2:$V$1001,MATCH(ROWS($U$2:U412),$U$2:$U$1001,0),1)&gt;=100000,INDEX($AB$1005:$AQ$1005,1,MATCH(COLUMNS($AB$1006:AN1006),$AB$1006:$AQ$1006,0))&gt;=100000), " ",IF(INDEX($AB$2:$AQ$1001,MATCH(ROWS($U$2:U412),$U$2:$U$1001,0),MATCH(COLUMNS($AB$1006:AN1006),$AB$1006:$AQ$1006,0)), HYPERLINK("#",""), HYPERLINK(CONCATENATE("#metadata!", ADDRESS(INDEX($W$2:$W$1001,MATCH(ROWS($U$2:U412),$U$2:$U$1001,0),0), INDEX($AB$1004:$AQ$1004,1,MATCH(COLUMNS($AB$1006:AN1006),$AB$1006:$AQ$1006,0)))),"Fix")))</f>
        <v>0</v>
      </c>
      <c r="O412" s="4">
        <f>IF(OR(INDEX($V$2:$V$1001,MATCH(ROWS($U$2:U412),$U$2:$U$1001,0),1)&gt;=100000,INDEX($AB$1005:$AQ$1005,1,MATCH(COLUMNS($AB$1006:AO1006),$AB$1006:$AQ$1006,0))&gt;=100000), " ",IF(INDEX($AB$2:$AQ$1001,MATCH(ROWS($U$2:U412),$U$2:$U$1001,0),MATCH(COLUMNS($AB$1006:AO1006),$AB$1006:$AQ$1006,0)), HYPERLINK("#",""), HYPERLINK(CONCATENATE("#metadata!", ADDRESS(INDEX($W$2:$W$1001,MATCH(ROWS($U$2:U412),$U$2:$U$1001,0),0), INDEX($AB$1004:$AQ$1004,1,MATCH(COLUMNS($AB$1006:AO1006),$AB$1006:$AQ$1006,0)))),"Fix")))</f>
        <v>0</v>
      </c>
      <c r="P412" s="4">
        <f>IF(OR(INDEX($V$2:$V$1001,MATCH(ROWS($U$2:U412),$U$2:$U$1001,0),1)&gt;=100000,INDEX($AB$1005:$AQ$1005,1,MATCH(COLUMNS($AB$1006:AP1006),$AB$1006:$AQ$1006,0))&gt;=100000), " ",IF(INDEX($AB$2:$AQ$1001,MATCH(ROWS($U$2:U412),$U$2:$U$1001,0),MATCH(COLUMNS($AB$1006:AP1006),$AB$1006:$AQ$1006,0)), HYPERLINK("#",""), HYPERLINK(CONCATENATE("#metadata!", ADDRESS(INDEX($W$2:$W$1001,MATCH(ROWS($U$2:U412),$U$2:$U$1001,0),0), INDEX($AB$1004:$AQ$1004,1,MATCH(COLUMNS($AB$1006:AP1006),$AB$1006:$AQ$1006,0)))),"Fix")))</f>
        <v>0</v>
      </c>
      <c r="Q412" s="4">
        <f>IF(OR(INDEX($V$2:$V$1001,MATCH(ROWS($U$2:U412),$U$2:$U$1001,0),1)&gt;=100000,INDEX($AB$1005:$AQ$1005,1,MATCH(COLUMNS($AB$1006:AQ1006),$AB$1006:$AQ$1006,0))&gt;=100000), " ",IF(INDEX($AB$2:$AQ$1001,MATCH(ROWS($U$2:U412),$U$2:$U$1001,0),MATCH(COLUMNS($AB$1006:AQ1006),$AB$1006:$AQ$1006,0)), HYPERLINK("#",""), HYPERLINK(CONCATENATE("#metadata!", ADDRESS(INDEX($W$2:$W$1001,MATCH(ROWS($U$2:U412),$U$2:$U$1001,0),0), INDEX($AB$1004:$AQ$1004,1,MATCH(COLUMNS($AB$1006:AQ1006),$AB$1006:$AQ$1006,0)))),"Fix")))</f>
        <v>0</v>
      </c>
      <c r="U412">
        <v>0</v>
      </c>
      <c r="V412">
        <v>0</v>
      </c>
      <c r="W412">
        <v>0</v>
      </c>
      <c r="X412">
        <f>IF(Y412,TRUE,AND(AB412:AQ412))</f>
        <v>0</v>
      </c>
      <c r="Y412">
        <f>COUNTBLANK(metadata!B412:Q412)=COLUMNS(metadata!B412:Q412)</f>
        <v>0</v>
      </c>
      <c r="Z412">
        <v>0</v>
      </c>
      <c r="AB412">
        <f>AND(IF(metadata!B412="",FALSE,TRUE),COUNTIF(metadata!B:B, metadata!B412) = 1,NOT(ISERROR(SUMPRODUCT(SEARCH(MID(metadata!B412,ROW(INDIRECT("1:"&amp;LEN(metadata!B412))), 1),"0123456789abcdefghijklmnopqrstuvwxyzABCDEFGHIJKLMNOPQRSTUVWXYZ.")))))</f>
        <v>0</v>
      </c>
      <c r="AC412">
        <f>OR(AND(IF(metadata!C412="",FALSE,TRUE),OR(exact(metadata!C412,"missing: not collected"),exact(metadata!C412,"missing: not provided"),exact(metadata!C412,"missing: restricted access"))),AND(IF(metadata!C412="",FALSE,TRUE),AND(AND(IFERROR(INT(LEFT(metadata!C412,4))&gt;1900,FALSE),IFERROR(INT(LEFT(metadata!C412,4))&lt;=YEAR(NOW()),FALSE)), OR(MID(metadata!C412,5,1)="", AND(AND(MID(metadata!C412,5,1)="-",IFERROR(INT(MID(metadata!C412,6,1))&gt;=0,FALSE),IFERROR(INT(MID(metadata!C412,6,1))&lt;=1,FALSE),NOT(MID(metadata!C412,7,1)=""),IFERROR(INT(MID(metadata!C412,6,2))&gt;=1,FALSE),IFERROR(INT(MID(metadata!C412,6,2))&lt;=12,FALSE)), OR(MID(metadata!C412,8,1)="", AND(AND(MID(metadata!C412,8,1)="-",IFERROR(INT(MID(metadata!C412,9,1))&gt;=0,FALSE),IFERROR(INT(MID(metadata!C412,9,1))&lt;=3,FALSE),NOT(MID(metadata!C412,10,1)=""),IFERROR(INT(MID(metadata!C412,9,2))&gt;=1,FALSE),IFERROR(INT(MID(metadata!C412,9,2))&lt;=31,FALSE)), OR(MID(metadata!C412,11,1)="", AND(AND(MID(metadata!C412,11,1)=" ",IFERROR(INT(MID(metadata!C412,12,1))&gt;=0,FALSE),IFERROR(INT(MID(metadata!C412,12,1))&lt;=2,FALSE),NOT(MID(metadata!C412,13,1)=""),IFERROR(INT(MID(metadata!C412,12,2))&gt;=0,FALSE),IFERROR(INT(MID(metadata!C412,12,2))&lt;=23,FALSE)), OR(MID(metadata!C412,14,1)="", AND(AND(MID(metadata!C412,14,1)=":",IFERROR(INT(MID(metadata!C412,15,1))&gt;=0,FALSE),IFERROR(INT(MID(metadata!C412,15,1))&lt;=5,FALSE),NOT(MID(metadata!C412,16,1)=""),IFERROR(INT(MID(metadata!C412,15,2))&gt;=0,FALSE),IFERROR(INT(MID(metadata!C412,15,2))&lt;=59,FALSE)), OR(MID(metadata!C412,17,1)="", AND(AND(MID(metadata!C412,17,1)=":",IFERROR(INT(MID(metadata!C412,18,1))&gt;=0,FALSE),IFERROR(INT(MID(metadata!C412,18,1))&lt;=5,FALSE),NOT(MID(metadata!C412,19,1)=""),IFERROR(INT(MID(metadata!C412,18,2))&gt;=0,FALSE),IFERROR(INT(MID(metadata!C412,18,2))&lt;=59,FALSE)), LEN(metadata!C412)&lt;=19)))))))))))))</f>
        <v>0</v>
      </c>
      <c r="AD412">
        <f>IF(metadata!D412="",FALSE,TRUE)</f>
        <v>0</v>
      </c>
      <c r="AE412">
        <f>OR(AND(IF(metadata!E412="",FALSE,TRUE),OR(exact(metadata!E412,"missing: not collected"),exact(metadata!E412,"missing: not provided"))),AND(IF(metadata!E412="",FALSE,TRUE),OR(exact(metadata!E412,"TRUE"),exact(metadata!E412,"FALSE"))))</f>
        <v>0</v>
      </c>
      <c r="AF412">
        <f>IF(metadata!F412="",FALSE,TRUE)</f>
        <v>0</v>
      </c>
      <c r="AG412">
        <f>IF(metadata!G412="",FALSE,TRUE)</f>
        <v>0</v>
      </c>
      <c r="AH412">
        <f>IF(metadata!H412="",FALSE,TRUE)</f>
        <v>0</v>
      </c>
      <c r="AI412">
        <f>OR(AND(IF(metadata!I412="",FALSE,TRUE),OR(exact(metadata!I412,"missing: not collected"),exact(metadata!I412,"missing: not provided"),exact(metadata!I412,"missing: restricted access"))),AND(IF(metadata!I412="",FALSE,TRUE),OR(exact(metadata!I412,"air"),exact(metadata!I412,"built environment"),exact(metadata!I412,"host-associated"),exact(metadata!I412,"human-associated"),exact(metadata!I412,"human-skin"),exact(metadata!I412,"human-oral"),exact(metadata!I412,"human-gut"),exact(metadata!I412,"human-vaginal"),exact(metadata!I412,"microbial mat/biofilm"),exact(metadata!I412,"misc environment"),exact(metadata!I412,"plant-associated"),exact(metadata!I412,"sediment"),exact(metadata!I412,"soil"),exact(metadata!I412,"wastewater/sludge"),exact(metadata!I412,"water"))))</f>
        <v>0</v>
      </c>
      <c r="AJ412">
        <f>IF(metadata!J412="",FALSE,TRUE)</f>
        <v>0</v>
      </c>
      <c r="AK412">
        <f>OR(AND(IF(metadata!K412="",FALSE,TRUE),OR(exact(metadata!K412,"missing: not collected"),exact(metadata!K412,"missing: not provided"),exact(metadata!K412,"missing: restricted access"))),AND(IF(metadata!K412="",FALSE,ISNUMBER(VALUE(metadata!K412))),metadata!K412&gt;=-90.00,metadata!K412&lt;=90.00))</f>
        <v>0</v>
      </c>
      <c r="AL412">
        <f>OR(AND(IF(metadata!L412="",FALSE,TRUE),OR(exact(metadata!L412,"missing: not collected"),exact(metadata!L412,"missing: not provided"),exact(metadata!L412,"missing: restricted access"))),AND(IF(metadata!L412="",FALSE,ISNUMBER(VALUE(metadata!L412))),metadata!L412&gt;=-180.00,metadata!L412&lt;=180.00))</f>
        <v>0</v>
      </c>
      <c r="AM412">
        <f>IF(metadata!M412="",FALSE,TRUE)</f>
        <v>0</v>
      </c>
      <c r="AN412">
        <f>OR(AND(IF(metadata!N412="",FALSE,TRUE),OR(exact(metadata!N412,"missing: not collected"),exact(metadata!N412,"missing: not provided"),exact(metadata!N412,"missing: restricted access"))),AND(IF(metadata!N412="",FALSE,TRUE),OR(exact(metadata!N412,"TRUE"),exact(metadata!N412,"FALSE"))))</f>
        <v>0</v>
      </c>
      <c r="AO412">
        <f>IF(metadata!O412="",FALSE,TRUE)</f>
        <v>0</v>
      </c>
      <c r="AP412">
        <f>OR(AND(IF(metadata!P412="",FALSE,TRUE),OR(exact(metadata!P412,"missing: not collected"),exact(metadata!P412,"missing: not provided"))),AND(IF(metadata!P412="",FALSE,IF(ISERROR(INT(metadata!P412)),FALSE,INT(metadata!P412)=metadata!P412)),metadata!P412&gt;0))</f>
        <v>0</v>
      </c>
      <c r="AQ412">
        <f>IF(metadata!Q412="",FALSE,TRUE)</f>
        <v>0</v>
      </c>
    </row>
    <row r="413" spans="1:43">
      <c r="A413" s="5">
        <f>IF(B413=" "," ",HYPERLINK(CONCATENATE("#metadata!",ADDRESS(INDEX($W$2:$W$1001,MATCH(ROWS($U$2:U413),$U$2:$U$1001,0),0),1)),INDEX($Z$2:$Z$1001,MATCH(ROWS($U$2:U413),$U$2:$U$1001,0),0)))</f>
        <v>0</v>
      </c>
      <c r="B413" s="4">
        <f>IF(OR(INDEX($V$2:$V$1001,MATCH(ROWS($U$2:U413),$U$2:$U$1001,0),1)&gt;=100000,INDEX($AB$1005:$AQ$1005,1,MATCH(COLUMNS($AB$1006:AB1006),$AB$1006:$AQ$1006,0))&gt;=100000), " ",IF(INDEX($AB$2:$AQ$1001,MATCH(ROWS($U$2:U413),$U$2:$U$1001,0),MATCH(COLUMNS($AB$1006:AB1006),$AB$1006:$AQ$1006,0)), HYPERLINK("#",""), HYPERLINK(CONCATENATE("#metadata!", ADDRESS(INDEX($W$2:$W$1001,MATCH(ROWS($U$2:U413),$U$2:$U$1001,0),0), INDEX($AB$1004:$AQ$1004,1,MATCH(COLUMNS($AB$1006:AB1006),$AB$1006:$AQ$1006,0)))),"Fix")))</f>
        <v>0</v>
      </c>
      <c r="C413" s="4">
        <f>IF(OR(INDEX($V$2:$V$1001,MATCH(ROWS($U$2:U413),$U$2:$U$1001,0),1)&gt;=100000,INDEX($AB$1005:$AQ$1005,1,MATCH(COLUMNS($AB$1006:AC1006),$AB$1006:$AQ$1006,0))&gt;=100000), " ",IF(INDEX($AB$2:$AQ$1001,MATCH(ROWS($U$2:U413),$U$2:$U$1001,0),MATCH(COLUMNS($AB$1006:AC1006),$AB$1006:$AQ$1006,0)), HYPERLINK("#",""), HYPERLINK(CONCATENATE("#metadata!", ADDRESS(INDEX($W$2:$W$1001,MATCH(ROWS($U$2:U413),$U$2:$U$1001,0),0), INDEX($AB$1004:$AQ$1004,1,MATCH(COLUMNS($AB$1006:AC1006),$AB$1006:$AQ$1006,0)))),"Fix")))</f>
        <v>0</v>
      </c>
      <c r="D413" s="4">
        <f>IF(OR(INDEX($V$2:$V$1001,MATCH(ROWS($U$2:U413),$U$2:$U$1001,0),1)&gt;=100000,INDEX($AB$1005:$AQ$1005,1,MATCH(COLUMNS($AB$1006:AD1006),$AB$1006:$AQ$1006,0))&gt;=100000), " ",IF(INDEX($AB$2:$AQ$1001,MATCH(ROWS($U$2:U413),$U$2:$U$1001,0),MATCH(COLUMNS($AB$1006:AD1006),$AB$1006:$AQ$1006,0)), HYPERLINK("#",""), HYPERLINK(CONCATENATE("#metadata!", ADDRESS(INDEX($W$2:$W$1001,MATCH(ROWS($U$2:U413),$U$2:$U$1001,0),0), INDEX($AB$1004:$AQ$1004,1,MATCH(COLUMNS($AB$1006:AD1006),$AB$1006:$AQ$1006,0)))),"Fix")))</f>
        <v>0</v>
      </c>
      <c r="E413" s="4">
        <f>IF(OR(INDEX($V$2:$V$1001,MATCH(ROWS($U$2:U413),$U$2:$U$1001,0),1)&gt;=100000,INDEX($AB$1005:$AQ$1005,1,MATCH(COLUMNS($AB$1006:AE1006),$AB$1006:$AQ$1006,0))&gt;=100000), " ",IF(INDEX($AB$2:$AQ$1001,MATCH(ROWS($U$2:U413),$U$2:$U$1001,0),MATCH(COLUMNS($AB$1006:AE1006),$AB$1006:$AQ$1006,0)), HYPERLINK("#",""), HYPERLINK(CONCATENATE("#metadata!", ADDRESS(INDEX($W$2:$W$1001,MATCH(ROWS($U$2:U413),$U$2:$U$1001,0),0), INDEX($AB$1004:$AQ$1004,1,MATCH(COLUMNS($AB$1006:AE1006),$AB$1006:$AQ$1006,0)))),"Fix")))</f>
        <v>0</v>
      </c>
      <c r="F413" s="4">
        <f>IF(OR(INDEX($V$2:$V$1001,MATCH(ROWS($U$2:U413),$U$2:$U$1001,0),1)&gt;=100000,INDEX($AB$1005:$AQ$1005,1,MATCH(COLUMNS($AB$1006:AF1006),$AB$1006:$AQ$1006,0))&gt;=100000), " ",IF(INDEX($AB$2:$AQ$1001,MATCH(ROWS($U$2:U413),$U$2:$U$1001,0),MATCH(COLUMNS($AB$1006:AF1006),$AB$1006:$AQ$1006,0)), HYPERLINK("#",""), HYPERLINK(CONCATENATE("#metadata!", ADDRESS(INDEX($W$2:$W$1001,MATCH(ROWS($U$2:U413),$U$2:$U$1001,0),0), INDEX($AB$1004:$AQ$1004,1,MATCH(COLUMNS($AB$1006:AF1006),$AB$1006:$AQ$1006,0)))),"Fix")))</f>
        <v>0</v>
      </c>
      <c r="G413" s="4">
        <f>IF(OR(INDEX($V$2:$V$1001,MATCH(ROWS($U$2:U413),$U$2:$U$1001,0),1)&gt;=100000,INDEX($AB$1005:$AQ$1005,1,MATCH(COLUMNS($AB$1006:AG1006),$AB$1006:$AQ$1006,0))&gt;=100000), " ",IF(INDEX($AB$2:$AQ$1001,MATCH(ROWS($U$2:U413),$U$2:$U$1001,0),MATCH(COLUMNS($AB$1006:AG1006),$AB$1006:$AQ$1006,0)), HYPERLINK("#",""), HYPERLINK(CONCATENATE("#metadata!", ADDRESS(INDEX($W$2:$W$1001,MATCH(ROWS($U$2:U413),$U$2:$U$1001,0),0), INDEX($AB$1004:$AQ$1004,1,MATCH(COLUMNS($AB$1006:AG1006),$AB$1006:$AQ$1006,0)))),"Fix")))</f>
        <v>0</v>
      </c>
      <c r="H413" s="4">
        <f>IF(OR(INDEX($V$2:$V$1001,MATCH(ROWS($U$2:U413),$U$2:$U$1001,0),1)&gt;=100000,INDEX($AB$1005:$AQ$1005,1,MATCH(COLUMNS($AB$1006:AH1006),$AB$1006:$AQ$1006,0))&gt;=100000), " ",IF(INDEX($AB$2:$AQ$1001,MATCH(ROWS($U$2:U413),$U$2:$U$1001,0),MATCH(COLUMNS($AB$1006:AH1006),$AB$1006:$AQ$1006,0)), HYPERLINK("#",""), HYPERLINK(CONCATENATE("#metadata!", ADDRESS(INDEX($W$2:$W$1001,MATCH(ROWS($U$2:U413),$U$2:$U$1001,0),0), INDEX($AB$1004:$AQ$1004,1,MATCH(COLUMNS($AB$1006:AH1006),$AB$1006:$AQ$1006,0)))),"Fix")))</f>
        <v>0</v>
      </c>
      <c r="I413" s="4">
        <f>IF(OR(INDEX($V$2:$V$1001,MATCH(ROWS($U$2:U413),$U$2:$U$1001,0),1)&gt;=100000,INDEX($AB$1005:$AQ$1005,1,MATCH(COLUMNS($AB$1006:AI1006),$AB$1006:$AQ$1006,0))&gt;=100000), " ",IF(INDEX($AB$2:$AQ$1001,MATCH(ROWS($U$2:U413),$U$2:$U$1001,0),MATCH(COLUMNS($AB$1006:AI1006),$AB$1006:$AQ$1006,0)), HYPERLINK("#",""), HYPERLINK(CONCATENATE("#metadata!", ADDRESS(INDEX($W$2:$W$1001,MATCH(ROWS($U$2:U413),$U$2:$U$1001,0),0), INDEX($AB$1004:$AQ$1004,1,MATCH(COLUMNS($AB$1006:AI1006),$AB$1006:$AQ$1006,0)))),"Fix")))</f>
        <v>0</v>
      </c>
      <c r="J413" s="4">
        <f>IF(OR(INDEX($V$2:$V$1001,MATCH(ROWS($U$2:U413),$U$2:$U$1001,0),1)&gt;=100000,INDEX($AB$1005:$AQ$1005,1,MATCH(COLUMNS($AB$1006:AJ1006),$AB$1006:$AQ$1006,0))&gt;=100000), " ",IF(INDEX($AB$2:$AQ$1001,MATCH(ROWS($U$2:U413),$U$2:$U$1001,0),MATCH(COLUMNS($AB$1006:AJ1006),$AB$1006:$AQ$1006,0)), HYPERLINK("#",""), HYPERLINK(CONCATENATE("#metadata!", ADDRESS(INDEX($W$2:$W$1001,MATCH(ROWS($U$2:U413),$U$2:$U$1001,0),0), INDEX($AB$1004:$AQ$1004,1,MATCH(COLUMNS($AB$1006:AJ1006),$AB$1006:$AQ$1006,0)))),"Fix")))</f>
        <v>0</v>
      </c>
      <c r="K413" s="4">
        <f>IF(OR(INDEX($V$2:$V$1001,MATCH(ROWS($U$2:U413),$U$2:$U$1001,0),1)&gt;=100000,INDEX($AB$1005:$AQ$1005,1,MATCH(COLUMNS($AB$1006:AK1006),$AB$1006:$AQ$1006,0))&gt;=100000), " ",IF(INDEX($AB$2:$AQ$1001,MATCH(ROWS($U$2:U413),$U$2:$U$1001,0),MATCH(COLUMNS($AB$1006:AK1006),$AB$1006:$AQ$1006,0)), HYPERLINK("#",""), HYPERLINK(CONCATENATE("#metadata!", ADDRESS(INDEX($W$2:$W$1001,MATCH(ROWS($U$2:U413),$U$2:$U$1001,0),0), INDEX($AB$1004:$AQ$1004,1,MATCH(COLUMNS($AB$1006:AK1006),$AB$1006:$AQ$1006,0)))),"Fix")))</f>
        <v>0</v>
      </c>
      <c r="L413" s="4">
        <f>IF(OR(INDEX($V$2:$V$1001,MATCH(ROWS($U$2:U413),$U$2:$U$1001,0),1)&gt;=100000,INDEX($AB$1005:$AQ$1005,1,MATCH(COLUMNS($AB$1006:AL1006),$AB$1006:$AQ$1006,0))&gt;=100000), " ",IF(INDEX($AB$2:$AQ$1001,MATCH(ROWS($U$2:U413),$U$2:$U$1001,0),MATCH(COLUMNS($AB$1006:AL1006),$AB$1006:$AQ$1006,0)), HYPERLINK("#",""), HYPERLINK(CONCATENATE("#metadata!", ADDRESS(INDEX($W$2:$W$1001,MATCH(ROWS($U$2:U413),$U$2:$U$1001,0),0), INDEX($AB$1004:$AQ$1004,1,MATCH(COLUMNS($AB$1006:AL1006),$AB$1006:$AQ$1006,0)))),"Fix")))</f>
        <v>0</v>
      </c>
      <c r="M413" s="4">
        <f>IF(OR(INDEX($V$2:$V$1001,MATCH(ROWS($U$2:U413),$U$2:$U$1001,0),1)&gt;=100000,INDEX($AB$1005:$AQ$1005,1,MATCH(COLUMNS($AB$1006:AM1006),$AB$1006:$AQ$1006,0))&gt;=100000), " ",IF(INDEX($AB$2:$AQ$1001,MATCH(ROWS($U$2:U413),$U$2:$U$1001,0),MATCH(COLUMNS($AB$1006:AM1006),$AB$1006:$AQ$1006,0)), HYPERLINK("#",""), HYPERLINK(CONCATENATE("#metadata!", ADDRESS(INDEX($W$2:$W$1001,MATCH(ROWS($U$2:U413),$U$2:$U$1001,0),0), INDEX($AB$1004:$AQ$1004,1,MATCH(COLUMNS($AB$1006:AM1006),$AB$1006:$AQ$1006,0)))),"Fix")))</f>
        <v>0</v>
      </c>
      <c r="N413" s="4">
        <f>IF(OR(INDEX($V$2:$V$1001,MATCH(ROWS($U$2:U413),$U$2:$U$1001,0),1)&gt;=100000,INDEX($AB$1005:$AQ$1005,1,MATCH(COLUMNS($AB$1006:AN1006),$AB$1006:$AQ$1006,0))&gt;=100000), " ",IF(INDEX($AB$2:$AQ$1001,MATCH(ROWS($U$2:U413),$U$2:$U$1001,0),MATCH(COLUMNS($AB$1006:AN1006),$AB$1006:$AQ$1006,0)), HYPERLINK("#",""), HYPERLINK(CONCATENATE("#metadata!", ADDRESS(INDEX($W$2:$W$1001,MATCH(ROWS($U$2:U413),$U$2:$U$1001,0),0), INDEX($AB$1004:$AQ$1004,1,MATCH(COLUMNS($AB$1006:AN1006),$AB$1006:$AQ$1006,0)))),"Fix")))</f>
        <v>0</v>
      </c>
      <c r="O413" s="4">
        <f>IF(OR(INDEX($V$2:$V$1001,MATCH(ROWS($U$2:U413),$U$2:$U$1001,0),1)&gt;=100000,INDEX($AB$1005:$AQ$1005,1,MATCH(COLUMNS($AB$1006:AO1006),$AB$1006:$AQ$1006,0))&gt;=100000), " ",IF(INDEX($AB$2:$AQ$1001,MATCH(ROWS($U$2:U413),$U$2:$U$1001,0),MATCH(COLUMNS($AB$1006:AO1006),$AB$1006:$AQ$1006,0)), HYPERLINK("#",""), HYPERLINK(CONCATENATE("#metadata!", ADDRESS(INDEX($W$2:$W$1001,MATCH(ROWS($U$2:U413),$U$2:$U$1001,0),0), INDEX($AB$1004:$AQ$1004,1,MATCH(COLUMNS($AB$1006:AO1006),$AB$1006:$AQ$1006,0)))),"Fix")))</f>
        <v>0</v>
      </c>
      <c r="P413" s="4">
        <f>IF(OR(INDEX($V$2:$V$1001,MATCH(ROWS($U$2:U413),$U$2:$U$1001,0),1)&gt;=100000,INDEX($AB$1005:$AQ$1005,1,MATCH(COLUMNS($AB$1006:AP1006),$AB$1006:$AQ$1006,0))&gt;=100000), " ",IF(INDEX($AB$2:$AQ$1001,MATCH(ROWS($U$2:U413),$U$2:$U$1001,0),MATCH(COLUMNS($AB$1006:AP1006),$AB$1006:$AQ$1006,0)), HYPERLINK("#",""), HYPERLINK(CONCATENATE("#metadata!", ADDRESS(INDEX($W$2:$W$1001,MATCH(ROWS($U$2:U413),$U$2:$U$1001,0),0), INDEX($AB$1004:$AQ$1004,1,MATCH(COLUMNS($AB$1006:AP1006),$AB$1006:$AQ$1006,0)))),"Fix")))</f>
        <v>0</v>
      </c>
      <c r="Q413" s="4">
        <f>IF(OR(INDEX($V$2:$V$1001,MATCH(ROWS($U$2:U413),$U$2:$U$1001,0),1)&gt;=100000,INDEX($AB$1005:$AQ$1005,1,MATCH(COLUMNS($AB$1006:AQ1006),$AB$1006:$AQ$1006,0))&gt;=100000), " ",IF(INDEX($AB$2:$AQ$1001,MATCH(ROWS($U$2:U413),$U$2:$U$1001,0),MATCH(COLUMNS($AB$1006:AQ1006),$AB$1006:$AQ$1006,0)), HYPERLINK("#",""), HYPERLINK(CONCATENATE("#metadata!", ADDRESS(INDEX($W$2:$W$1001,MATCH(ROWS($U$2:U413),$U$2:$U$1001,0),0), INDEX($AB$1004:$AQ$1004,1,MATCH(COLUMNS($AB$1006:AQ1006),$AB$1006:$AQ$1006,0)))),"Fix")))</f>
        <v>0</v>
      </c>
      <c r="U413">
        <v>0</v>
      </c>
      <c r="V413">
        <v>0</v>
      </c>
      <c r="W413">
        <v>0</v>
      </c>
      <c r="X413">
        <f>IF(Y413,TRUE,AND(AB413:AQ413))</f>
        <v>0</v>
      </c>
      <c r="Y413">
        <f>COUNTBLANK(metadata!B413:Q413)=COLUMNS(metadata!B413:Q413)</f>
        <v>0</v>
      </c>
      <c r="Z413">
        <v>0</v>
      </c>
      <c r="AB413">
        <f>AND(IF(metadata!B413="",FALSE,TRUE),COUNTIF(metadata!B:B, metadata!B413) = 1,NOT(ISERROR(SUMPRODUCT(SEARCH(MID(metadata!B413,ROW(INDIRECT("1:"&amp;LEN(metadata!B413))), 1),"0123456789abcdefghijklmnopqrstuvwxyzABCDEFGHIJKLMNOPQRSTUVWXYZ.")))))</f>
        <v>0</v>
      </c>
      <c r="AC413">
        <f>OR(AND(IF(metadata!C413="",FALSE,TRUE),OR(exact(metadata!C413,"missing: not collected"),exact(metadata!C413,"missing: not provided"),exact(metadata!C413,"missing: restricted access"))),AND(IF(metadata!C413="",FALSE,TRUE),AND(AND(IFERROR(INT(LEFT(metadata!C413,4))&gt;1900,FALSE),IFERROR(INT(LEFT(metadata!C413,4))&lt;=YEAR(NOW()),FALSE)), OR(MID(metadata!C413,5,1)="", AND(AND(MID(metadata!C413,5,1)="-",IFERROR(INT(MID(metadata!C413,6,1))&gt;=0,FALSE),IFERROR(INT(MID(metadata!C413,6,1))&lt;=1,FALSE),NOT(MID(metadata!C413,7,1)=""),IFERROR(INT(MID(metadata!C413,6,2))&gt;=1,FALSE),IFERROR(INT(MID(metadata!C413,6,2))&lt;=12,FALSE)), OR(MID(metadata!C413,8,1)="", AND(AND(MID(metadata!C413,8,1)="-",IFERROR(INT(MID(metadata!C413,9,1))&gt;=0,FALSE),IFERROR(INT(MID(metadata!C413,9,1))&lt;=3,FALSE),NOT(MID(metadata!C413,10,1)=""),IFERROR(INT(MID(metadata!C413,9,2))&gt;=1,FALSE),IFERROR(INT(MID(metadata!C413,9,2))&lt;=31,FALSE)), OR(MID(metadata!C413,11,1)="", AND(AND(MID(metadata!C413,11,1)=" ",IFERROR(INT(MID(metadata!C413,12,1))&gt;=0,FALSE),IFERROR(INT(MID(metadata!C413,12,1))&lt;=2,FALSE),NOT(MID(metadata!C413,13,1)=""),IFERROR(INT(MID(metadata!C413,12,2))&gt;=0,FALSE),IFERROR(INT(MID(metadata!C413,12,2))&lt;=23,FALSE)), OR(MID(metadata!C413,14,1)="", AND(AND(MID(metadata!C413,14,1)=":",IFERROR(INT(MID(metadata!C413,15,1))&gt;=0,FALSE),IFERROR(INT(MID(metadata!C413,15,1))&lt;=5,FALSE),NOT(MID(metadata!C413,16,1)=""),IFERROR(INT(MID(metadata!C413,15,2))&gt;=0,FALSE),IFERROR(INT(MID(metadata!C413,15,2))&lt;=59,FALSE)), OR(MID(metadata!C413,17,1)="", AND(AND(MID(metadata!C413,17,1)=":",IFERROR(INT(MID(metadata!C413,18,1))&gt;=0,FALSE),IFERROR(INT(MID(metadata!C413,18,1))&lt;=5,FALSE),NOT(MID(metadata!C413,19,1)=""),IFERROR(INT(MID(metadata!C413,18,2))&gt;=0,FALSE),IFERROR(INT(MID(metadata!C413,18,2))&lt;=59,FALSE)), LEN(metadata!C413)&lt;=19)))))))))))))</f>
        <v>0</v>
      </c>
      <c r="AD413">
        <f>IF(metadata!D413="",FALSE,TRUE)</f>
        <v>0</v>
      </c>
      <c r="AE413">
        <f>OR(AND(IF(metadata!E413="",FALSE,TRUE),OR(exact(metadata!E413,"missing: not collected"),exact(metadata!E413,"missing: not provided"))),AND(IF(metadata!E413="",FALSE,TRUE),OR(exact(metadata!E413,"TRUE"),exact(metadata!E413,"FALSE"))))</f>
        <v>0</v>
      </c>
      <c r="AF413">
        <f>IF(metadata!F413="",FALSE,TRUE)</f>
        <v>0</v>
      </c>
      <c r="AG413">
        <f>IF(metadata!G413="",FALSE,TRUE)</f>
        <v>0</v>
      </c>
      <c r="AH413">
        <f>IF(metadata!H413="",FALSE,TRUE)</f>
        <v>0</v>
      </c>
      <c r="AI413">
        <f>OR(AND(IF(metadata!I413="",FALSE,TRUE),OR(exact(metadata!I413,"missing: not collected"),exact(metadata!I413,"missing: not provided"),exact(metadata!I413,"missing: restricted access"))),AND(IF(metadata!I413="",FALSE,TRUE),OR(exact(metadata!I413,"air"),exact(metadata!I413,"built environment"),exact(metadata!I413,"host-associated"),exact(metadata!I413,"human-associated"),exact(metadata!I413,"human-skin"),exact(metadata!I413,"human-oral"),exact(metadata!I413,"human-gut"),exact(metadata!I413,"human-vaginal"),exact(metadata!I413,"microbial mat/biofilm"),exact(metadata!I413,"misc environment"),exact(metadata!I413,"plant-associated"),exact(metadata!I413,"sediment"),exact(metadata!I413,"soil"),exact(metadata!I413,"wastewater/sludge"),exact(metadata!I413,"water"))))</f>
        <v>0</v>
      </c>
      <c r="AJ413">
        <f>IF(metadata!J413="",FALSE,TRUE)</f>
        <v>0</v>
      </c>
      <c r="AK413">
        <f>OR(AND(IF(metadata!K413="",FALSE,TRUE),OR(exact(metadata!K413,"missing: not collected"),exact(metadata!K413,"missing: not provided"),exact(metadata!K413,"missing: restricted access"))),AND(IF(metadata!K413="",FALSE,ISNUMBER(VALUE(metadata!K413))),metadata!K413&gt;=-90.00,metadata!K413&lt;=90.00))</f>
        <v>0</v>
      </c>
      <c r="AL413">
        <f>OR(AND(IF(metadata!L413="",FALSE,TRUE),OR(exact(metadata!L413,"missing: not collected"),exact(metadata!L413,"missing: not provided"),exact(metadata!L413,"missing: restricted access"))),AND(IF(metadata!L413="",FALSE,ISNUMBER(VALUE(metadata!L413))),metadata!L413&gt;=-180.00,metadata!L413&lt;=180.00))</f>
        <v>0</v>
      </c>
      <c r="AM413">
        <f>IF(metadata!M413="",FALSE,TRUE)</f>
        <v>0</v>
      </c>
      <c r="AN413">
        <f>OR(AND(IF(metadata!N413="",FALSE,TRUE),OR(exact(metadata!N413,"missing: not collected"),exact(metadata!N413,"missing: not provided"),exact(metadata!N413,"missing: restricted access"))),AND(IF(metadata!N413="",FALSE,TRUE),OR(exact(metadata!N413,"TRUE"),exact(metadata!N413,"FALSE"))))</f>
        <v>0</v>
      </c>
      <c r="AO413">
        <f>IF(metadata!O413="",FALSE,TRUE)</f>
        <v>0</v>
      </c>
      <c r="AP413">
        <f>OR(AND(IF(metadata!P413="",FALSE,TRUE),OR(exact(metadata!P413,"missing: not collected"),exact(metadata!P413,"missing: not provided"))),AND(IF(metadata!P413="",FALSE,IF(ISERROR(INT(metadata!P413)),FALSE,INT(metadata!P413)=metadata!P413)),metadata!P413&gt;0))</f>
        <v>0</v>
      </c>
      <c r="AQ413">
        <f>IF(metadata!Q413="",FALSE,TRUE)</f>
        <v>0</v>
      </c>
    </row>
    <row r="414" spans="1:43">
      <c r="A414" s="5">
        <f>IF(B414=" "," ",HYPERLINK(CONCATENATE("#metadata!",ADDRESS(INDEX($W$2:$W$1001,MATCH(ROWS($U$2:U414),$U$2:$U$1001,0),0),1)),INDEX($Z$2:$Z$1001,MATCH(ROWS($U$2:U414),$U$2:$U$1001,0),0)))</f>
        <v>0</v>
      </c>
      <c r="B414" s="4">
        <f>IF(OR(INDEX($V$2:$V$1001,MATCH(ROWS($U$2:U414),$U$2:$U$1001,0),1)&gt;=100000,INDEX($AB$1005:$AQ$1005,1,MATCH(COLUMNS($AB$1006:AB1006),$AB$1006:$AQ$1006,0))&gt;=100000), " ",IF(INDEX($AB$2:$AQ$1001,MATCH(ROWS($U$2:U414),$U$2:$U$1001,0),MATCH(COLUMNS($AB$1006:AB1006),$AB$1006:$AQ$1006,0)), HYPERLINK("#",""), HYPERLINK(CONCATENATE("#metadata!", ADDRESS(INDEX($W$2:$W$1001,MATCH(ROWS($U$2:U414),$U$2:$U$1001,0),0), INDEX($AB$1004:$AQ$1004,1,MATCH(COLUMNS($AB$1006:AB1006),$AB$1006:$AQ$1006,0)))),"Fix")))</f>
        <v>0</v>
      </c>
      <c r="C414" s="4">
        <f>IF(OR(INDEX($V$2:$V$1001,MATCH(ROWS($U$2:U414),$U$2:$U$1001,0),1)&gt;=100000,INDEX($AB$1005:$AQ$1005,1,MATCH(COLUMNS($AB$1006:AC1006),$AB$1006:$AQ$1006,0))&gt;=100000), " ",IF(INDEX($AB$2:$AQ$1001,MATCH(ROWS($U$2:U414),$U$2:$U$1001,0),MATCH(COLUMNS($AB$1006:AC1006),$AB$1006:$AQ$1006,0)), HYPERLINK("#",""), HYPERLINK(CONCATENATE("#metadata!", ADDRESS(INDEX($W$2:$W$1001,MATCH(ROWS($U$2:U414),$U$2:$U$1001,0),0), INDEX($AB$1004:$AQ$1004,1,MATCH(COLUMNS($AB$1006:AC1006),$AB$1006:$AQ$1006,0)))),"Fix")))</f>
        <v>0</v>
      </c>
      <c r="D414" s="4">
        <f>IF(OR(INDEX($V$2:$V$1001,MATCH(ROWS($U$2:U414),$U$2:$U$1001,0),1)&gt;=100000,INDEX($AB$1005:$AQ$1005,1,MATCH(COLUMNS($AB$1006:AD1006),$AB$1006:$AQ$1006,0))&gt;=100000), " ",IF(INDEX($AB$2:$AQ$1001,MATCH(ROWS($U$2:U414),$U$2:$U$1001,0),MATCH(COLUMNS($AB$1006:AD1006),$AB$1006:$AQ$1006,0)), HYPERLINK("#",""), HYPERLINK(CONCATENATE("#metadata!", ADDRESS(INDEX($W$2:$W$1001,MATCH(ROWS($U$2:U414),$U$2:$U$1001,0),0), INDEX($AB$1004:$AQ$1004,1,MATCH(COLUMNS($AB$1006:AD1006),$AB$1006:$AQ$1006,0)))),"Fix")))</f>
        <v>0</v>
      </c>
      <c r="E414" s="4">
        <f>IF(OR(INDEX($V$2:$V$1001,MATCH(ROWS($U$2:U414),$U$2:$U$1001,0),1)&gt;=100000,INDEX($AB$1005:$AQ$1005,1,MATCH(COLUMNS($AB$1006:AE1006),$AB$1006:$AQ$1006,0))&gt;=100000), " ",IF(INDEX($AB$2:$AQ$1001,MATCH(ROWS($U$2:U414),$U$2:$U$1001,0),MATCH(COLUMNS($AB$1006:AE1006),$AB$1006:$AQ$1006,0)), HYPERLINK("#",""), HYPERLINK(CONCATENATE("#metadata!", ADDRESS(INDEX($W$2:$W$1001,MATCH(ROWS($U$2:U414),$U$2:$U$1001,0),0), INDEX($AB$1004:$AQ$1004,1,MATCH(COLUMNS($AB$1006:AE1006),$AB$1006:$AQ$1006,0)))),"Fix")))</f>
        <v>0</v>
      </c>
      <c r="F414" s="4">
        <f>IF(OR(INDEX($V$2:$V$1001,MATCH(ROWS($U$2:U414),$U$2:$U$1001,0),1)&gt;=100000,INDEX($AB$1005:$AQ$1005,1,MATCH(COLUMNS($AB$1006:AF1006),$AB$1006:$AQ$1006,0))&gt;=100000), " ",IF(INDEX($AB$2:$AQ$1001,MATCH(ROWS($U$2:U414),$U$2:$U$1001,0),MATCH(COLUMNS($AB$1006:AF1006),$AB$1006:$AQ$1006,0)), HYPERLINK("#",""), HYPERLINK(CONCATENATE("#metadata!", ADDRESS(INDEX($W$2:$W$1001,MATCH(ROWS($U$2:U414),$U$2:$U$1001,0),0), INDEX($AB$1004:$AQ$1004,1,MATCH(COLUMNS($AB$1006:AF1006),$AB$1006:$AQ$1006,0)))),"Fix")))</f>
        <v>0</v>
      </c>
      <c r="G414" s="4">
        <f>IF(OR(INDEX($V$2:$V$1001,MATCH(ROWS($U$2:U414),$U$2:$U$1001,0),1)&gt;=100000,INDEX($AB$1005:$AQ$1005,1,MATCH(COLUMNS($AB$1006:AG1006),$AB$1006:$AQ$1006,0))&gt;=100000), " ",IF(INDEX($AB$2:$AQ$1001,MATCH(ROWS($U$2:U414),$U$2:$U$1001,0),MATCH(COLUMNS($AB$1006:AG1006),$AB$1006:$AQ$1006,0)), HYPERLINK("#",""), HYPERLINK(CONCATENATE("#metadata!", ADDRESS(INDEX($W$2:$W$1001,MATCH(ROWS($U$2:U414),$U$2:$U$1001,0),0), INDEX($AB$1004:$AQ$1004,1,MATCH(COLUMNS($AB$1006:AG1006),$AB$1006:$AQ$1006,0)))),"Fix")))</f>
        <v>0</v>
      </c>
      <c r="H414" s="4">
        <f>IF(OR(INDEX($V$2:$V$1001,MATCH(ROWS($U$2:U414),$U$2:$U$1001,0),1)&gt;=100000,INDEX($AB$1005:$AQ$1005,1,MATCH(COLUMNS($AB$1006:AH1006),$AB$1006:$AQ$1006,0))&gt;=100000), " ",IF(INDEX($AB$2:$AQ$1001,MATCH(ROWS($U$2:U414),$U$2:$U$1001,0),MATCH(COLUMNS($AB$1006:AH1006),$AB$1006:$AQ$1006,0)), HYPERLINK("#",""), HYPERLINK(CONCATENATE("#metadata!", ADDRESS(INDEX($W$2:$W$1001,MATCH(ROWS($U$2:U414),$U$2:$U$1001,0),0), INDEX($AB$1004:$AQ$1004,1,MATCH(COLUMNS($AB$1006:AH1006),$AB$1006:$AQ$1006,0)))),"Fix")))</f>
        <v>0</v>
      </c>
      <c r="I414" s="4">
        <f>IF(OR(INDEX($V$2:$V$1001,MATCH(ROWS($U$2:U414),$U$2:$U$1001,0),1)&gt;=100000,INDEX($AB$1005:$AQ$1005,1,MATCH(COLUMNS($AB$1006:AI1006),$AB$1006:$AQ$1006,0))&gt;=100000), " ",IF(INDEX($AB$2:$AQ$1001,MATCH(ROWS($U$2:U414),$U$2:$U$1001,0),MATCH(COLUMNS($AB$1006:AI1006),$AB$1006:$AQ$1006,0)), HYPERLINK("#",""), HYPERLINK(CONCATENATE("#metadata!", ADDRESS(INDEX($W$2:$W$1001,MATCH(ROWS($U$2:U414),$U$2:$U$1001,0),0), INDEX($AB$1004:$AQ$1004,1,MATCH(COLUMNS($AB$1006:AI1006),$AB$1006:$AQ$1006,0)))),"Fix")))</f>
        <v>0</v>
      </c>
      <c r="J414" s="4">
        <f>IF(OR(INDEX($V$2:$V$1001,MATCH(ROWS($U$2:U414),$U$2:$U$1001,0),1)&gt;=100000,INDEX($AB$1005:$AQ$1005,1,MATCH(COLUMNS($AB$1006:AJ1006),$AB$1006:$AQ$1006,0))&gt;=100000), " ",IF(INDEX($AB$2:$AQ$1001,MATCH(ROWS($U$2:U414),$U$2:$U$1001,0),MATCH(COLUMNS($AB$1006:AJ1006),$AB$1006:$AQ$1006,0)), HYPERLINK("#",""), HYPERLINK(CONCATENATE("#metadata!", ADDRESS(INDEX($W$2:$W$1001,MATCH(ROWS($U$2:U414),$U$2:$U$1001,0),0), INDEX($AB$1004:$AQ$1004,1,MATCH(COLUMNS($AB$1006:AJ1006),$AB$1006:$AQ$1006,0)))),"Fix")))</f>
        <v>0</v>
      </c>
      <c r="K414" s="4">
        <f>IF(OR(INDEX($V$2:$V$1001,MATCH(ROWS($U$2:U414),$U$2:$U$1001,0),1)&gt;=100000,INDEX($AB$1005:$AQ$1005,1,MATCH(COLUMNS($AB$1006:AK1006),$AB$1006:$AQ$1006,0))&gt;=100000), " ",IF(INDEX($AB$2:$AQ$1001,MATCH(ROWS($U$2:U414),$U$2:$U$1001,0),MATCH(COLUMNS($AB$1006:AK1006),$AB$1006:$AQ$1006,0)), HYPERLINK("#",""), HYPERLINK(CONCATENATE("#metadata!", ADDRESS(INDEX($W$2:$W$1001,MATCH(ROWS($U$2:U414),$U$2:$U$1001,0),0), INDEX($AB$1004:$AQ$1004,1,MATCH(COLUMNS($AB$1006:AK1006),$AB$1006:$AQ$1006,0)))),"Fix")))</f>
        <v>0</v>
      </c>
      <c r="L414" s="4">
        <f>IF(OR(INDEX($V$2:$V$1001,MATCH(ROWS($U$2:U414),$U$2:$U$1001,0),1)&gt;=100000,INDEX($AB$1005:$AQ$1005,1,MATCH(COLUMNS($AB$1006:AL1006),$AB$1006:$AQ$1006,0))&gt;=100000), " ",IF(INDEX($AB$2:$AQ$1001,MATCH(ROWS($U$2:U414),$U$2:$U$1001,0),MATCH(COLUMNS($AB$1006:AL1006),$AB$1006:$AQ$1006,0)), HYPERLINK("#",""), HYPERLINK(CONCATENATE("#metadata!", ADDRESS(INDEX($W$2:$W$1001,MATCH(ROWS($U$2:U414),$U$2:$U$1001,0),0), INDEX($AB$1004:$AQ$1004,1,MATCH(COLUMNS($AB$1006:AL1006),$AB$1006:$AQ$1006,0)))),"Fix")))</f>
        <v>0</v>
      </c>
      <c r="M414" s="4">
        <f>IF(OR(INDEX($V$2:$V$1001,MATCH(ROWS($U$2:U414),$U$2:$U$1001,0),1)&gt;=100000,INDEX($AB$1005:$AQ$1005,1,MATCH(COLUMNS($AB$1006:AM1006),$AB$1006:$AQ$1006,0))&gt;=100000), " ",IF(INDEX($AB$2:$AQ$1001,MATCH(ROWS($U$2:U414),$U$2:$U$1001,0),MATCH(COLUMNS($AB$1006:AM1006),$AB$1006:$AQ$1006,0)), HYPERLINK("#",""), HYPERLINK(CONCATENATE("#metadata!", ADDRESS(INDEX($W$2:$W$1001,MATCH(ROWS($U$2:U414),$U$2:$U$1001,0),0), INDEX($AB$1004:$AQ$1004,1,MATCH(COLUMNS($AB$1006:AM1006),$AB$1006:$AQ$1006,0)))),"Fix")))</f>
        <v>0</v>
      </c>
      <c r="N414" s="4">
        <f>IF(OR(INDEX($V$2:$V$1001,MATCH(ROWS($U$2:U414),$U$2:$U$1001,0),1)&gt;=100000,INDEX($AB$1005:$AQ$1005,1,MATCH(COLUMNS($AB$1006:AN1006),$AB$1006:$AQ$1006,0))&gt;=100000), " ",IF(INDEX($AB$2:$AQ$1001,MATCH(ROWS($U$2:U414),$U$2:$U$1001,0),MATCH(COLUMNS($AB$1006:AN1006),$AB$1006:$AQ$1006,0)), HYPERLINK("#",""), HYPERLINK(CONCATENATE("#metadata!", ADDRESS(INDEX($W$2:$W$1001,MATCH(ROWS($U$2:U414),$U$2:$U$1001,0),0), INDEX($AB$1004:$AQ$1004,1,MATCH(COLUMNS($AB$1006:AN1006),$AB$1006:$AQ$1006,0)))),"Fix")))</f>
        <v>0</v>
      </c>
      <c r="O414" s="4">
        <f>IF(OR(INDEX($V$2:$V$1001,MATCH(ROWS($U$2:U414),$U$2:$U$1001,0),1)&gt;=100000,INDEX($AB$1005:$AQ$1005,1,MATCH(COLUMNS($AB$1006:AO1006),$AB$1006:$AQ$1006,0))&gt;=100000), " ",IF(INDEX($AB$2:$AQ$1001,MATCH(ROWS($U$2:U414),$U$2:$U$1001,0),MATCH(COLUMNS($AB$1006:AO1006),$AB$1006:$AQ$1006,0)), HYPERLINK("#",""), HYPERLINK(CONCATENATE("#metadata!", ADDRESS(INDEX($W$2:$W$1001,MATCH(ROWS($U$2:U414),$U$2:$U$1001,0),0), INDEX($AB$1004:$AQ$1004,1,MATCH(COLUMNS($AB$1006:AO1006),$AB$1006:$AQ$1006,0)))),"Fix")))</f>
        <v>0</v>
      </c>
      <c r="P414" s="4">
        <f>IF(OR(INDEX($V$2:$V$1001,MATCH(ROWS($U$2:U414),$U$2:$U$1001,0),1)&gt;=100000,INDEX($AB$1005:$AQ$1005,1,MATCH(COLUMNS($AB$1006:AP1006),$AB$1006:$AQ$1006,0))&gt;=100000), " ",IF(INDEX($AB$2:$AQ$1001,MATCH(ROWS($U$2:U414),$U$2:$U$1001,0),MATCH(COLUMNS($AB$1006:AP1006),$AB$1006:$AQ$1006,0)), HYPERLINK("#",""), HYPERLINK(CONCATENATE("#metadata!", ADDRESS(INDEX($W$2:$W$1001,MATCH(ROWS($U$2:U414),$U$2:$U$1001,0),0), INDEX($AB$1004:$AQ$1004,1,MATCH(COLUMNS($AB$1006:AP1006),$AB$1006:$AQ$1006,0)))),"Fix")))</f>
        <v>0</v>
      </c>
      <c r="Q414" s="4">
        <f>IF(OR(INDEX($V$2:$V$1001,MATCH(ROWS($U$2:U414),$U$2:$U$1001,0),1)&gt;=100000,INDEX($AB$1005:$AQ$1005,1,MATCH(COLUMNS($AB$1006:AQ1006),$AB$1006:$AQ$1006,0))&gt;=100000), " ",IF(INDEX($AB$2:$AQ$1001,MATCH(ROWS($U$2:U414),$U$2:$U$1001,0),MATCH(COLUMNS($AB$1006:AQ1006),$AB$1006:$AQ$1006,0)), HYPERLINK("#",""), HYPERLINK(CONCATENATE("#metadata!", ADDRESS(INDEX($W$2:$W$1001,MATCH(ROWS($U$2:U414),$U$2:$U$1001,0),0), INDEX($AB$1004:$AQ$1004,1,MATCH(COLUMNS($AB$1006:AQ1006),$AB$1006:$AQ$1006,0)))),"Fix")))</f>
        <v>0</v>
      </c>
      <c r="U414">
        <v>0</v>
      </c>
      <c r="V414">
        <v>0</v>
      </c>
      <c r="W414">
        <v>0</v>
      </c>
      <c r="X414">
        <f>IF(Y414,TRUE,AND(AB414:AQ414))</f>
        <v>0</v>
      </c>
      <c r="Y414">
        <f>COUNTBLANK(metadata!B414:Q414)=COLUMNS(metadata!B414:Q414)</f>
        <v>0</v>
      </c>
      <c r="Z414">
        <v>0</v>
      </c>
      <c r="AB414">
        <f>AND(IF(metadata!B414="",FALSE,TRUE),COUNTIF(metadata!B:B, metadata!B414) = 1,NOT(ISERROR(SUMPRODUCT(SEARCH(MID(metadata!B414,ROW(INDIRECT("1:"&amp;LEN(metadata!B414))), 1),"0123456789abcdefghijklmnopqrstuvwxyzABCDEFGHIJKLMNOPQRSTUVWXYZ.")))))</f>
        <v>0</v>
      </c>
      <c r="AC414">
        <f>OR(AND(IF(metadata!C414="",FALSE,TRUE),OR(exact(metadata!C414,"missing: not collected"),exact(metadata!C414,"missing: not provided"),exact(metadata!C414,"missing: restricted access"))),AND(IF(metadata!C414="",FALSE,TRUE),AND(AND(IFERROR(INT(LEFT(metadata!C414,4))&gt;1900,FALSE),IFERROR(INT(LEFT(metadata!C414,4))&lt;=YEAR(NOW()),FALSE)), OR(MID(metadata!C414,5,1)="", AND(AND(MID(metadata!C414,5,1)="-",IFERROR(INT(MID(metadata!C414,6,1))&gt;=0,FALSE),IFERROR(INT(MID(metadata!C414,6,1))&lt;=1,FALSE),NOT(MID(metadata!C414,7,1)=""),IFERROR(INT(MID(metadata!C414,6,2))&gt;=1,FALSE),IFERROR(INT(MID(metadata!C414,6,2))&lt;=12,FALSE)), OR(MID(metadata!C414,8,1)="", AND(AND(MID(metadata!C414,8,1)="-",IFERROR(INT(MID(metadata!C414,9,1))&gt;=0,FALSE),IFERROR(INT(MID(metadata!C414,9,1))&lt;=3,FALSE),NOT(MID(metadata!C414,10,1)=""),IFERROR(INT(MID(metadata!C414,9,2))&gt;=1,FALSE),IFERROR(INT(MID(metadata!C414,9,2))&lt;=31,FALSE)), OR(MID(metadata!C414,11,1)="", AND(AND(MID(metadata!C414,11,1)=" ",IFERROR(INT(MID(metadata!C414,12,1))&gt;=0,FALSE),IFERROR(INT(MID(metadata!C414,12,1))&lt;=2,FALSE),NOT(MID(metadata!C414,13,1)=""),IFERROR(INT(MID(metadata!C414,12,2))&gt;=0,FALSE),IFERROR(INT(MID(metadata!C414,12,2))&lt;=23,FALSE)), OR(MID(metadata!C414,14,1)="", AND(AND(MID(metadata!C414,14,1)=":",IFERROR(INT(MID(metadata!C414,15,1))&gt;=0,FALSE),IFERROR(INT(MID(metadata!C414,15,1))&lt;=5,FALSE),NOT(MID(metadata!C414,16,1)=""),IFERROR(INT(MID(metadata!C414,15,2))&gt;=0,FALSE),IFERROR(INT(MID(metadata!C414,15,2))&lt;=59,FALSE)), OR(MID(metadata!C414,17,1)="", AND(AND(MID(metadata!C414,17,1)=":",IFERROR(INT(MID(metadata!C414,18,1))&gt;=0,FALSE),IFERROR(INT(MID(metadata!C414,18,1))&lt;=5,FALSE),NOT(MID(metadata!C414,19,1)=""),IFERROR(INT(MID(metadata!C414,18,2))&gt;=0,FALSE),IFERROR(INT(MID(metadata!C414,18,2))&lt;=59,FALSE)), LEN(metadata!C414)&lt;=19)))))))))))))</f>
        <v>0</v>
      </c>
      <c r="AD414">
        <f>IF(metadata!D414="",FALSE,TRUE)</f>
        <v>0</v>
      </c>
      <c r="AE414">
        <f>OR(AND(IF(metadata!E414="",FALSE,TRUE),OR(exact(metadata!E414,"missing: not collected"),exact(metadata!E414,"missing: not provided"))),AND(IF(metadata!E414="",FALSE,TRUE),OR(exact(metadata!E414,"TRUE"),exact(metadata!E414,"FALSE"))))</f>
        <v>0</v>
      </c>
      <c r="AF414">
        <f>IF(metadata!F414="",FALSE,TRUE)</f>
        <v>0</v>
      </c>
      <c r="AG414">
        <f>IF(metadata!G414="",FALSE,TRUE)</f>
        <v>0</v>
      </c>
      <c r="AH414">
        <f>IF(metadata!H414="",FALSE,TRUE)</f>
        <v>0</v>
      </c>
      <c r="AI414">
        <f>OR(AND(IF(metadata!I414="",FALSE,TRUE),OR(exact(metadata!I414,"missing: not collected"),exact(metadata!I414,"missing: not provided"),exact(metadata!I414,"missing: restricted access"))),AND(IF(metadata!I414="",FALSE,TRUE),OR(exact(metadata!I414,"air"),exact(metadata!I414,"built environment"),exact(metadata!I414,"host-associated"),exact(metadata!I414,"human-associated"),exact(metadata!I414,"human-skin"),exact(metadata!I414,"human-oral"),exact(metadata!I414,"human-gut"),exact(metadata!I414,"human-vaginal"),exact(metadata!I414,"microbial mat/biofilm"),exact(metadata!I414,"misc environment"),exact(metadata!I414,"plant-associated"),exact(metadata!I414,"sediment"),exact(metadata!I414,"soil"),exact(metadata!I414,"wastewater/sludge"),exact(metadata!I414,"water"))))</f>
        <v>0</v>
      </c>
      <c r="AJ414">
        <f>IF(metadata!J414="",FALSE,TRUE)</f>
        <v>0</v>
      </c>
      <c r="AK414">
        <f>OR(AND(IF(metadata!K414="",FALSE,TRUE),OR(exact(metadata!K414,"missing: not collected"),exact(metadata!K414,"missing: not provided"),exact(metadata!K414,"missing: restricted access"))),AND(IF(metadata!K414="",FALSE,ISNUMBER(VALUE(metadata!K414))),metadata!K414&gt;=-90.00,metadata!K414&lt;=90.00))</f>
        <v>0</v>
      </c>
      <c r="AL414">
        <f>OR(AND(IF(metadata!L414="",FALSE,TRUE),OR(exact(metadata!L414,"missing: not collected"),exact(metadata!L414,"missing: not provided"),exact(metadata!L414,"missing: restricted access"))),AND(IF(metadata!L414="",FALSE,ISNUMBER(VALUE(metadata!L414))),metadata!L414&gt;=-180.00,metadata!L414&lt;=180.00))</f>
        <v>0</v>
      </c>
      <c r="AM414">
        <f>IF(metadata!M414="",FALSE,TRUE)</f>
        <v>0</v>
      </c>
      <c r="AN414">
        <f>OR(AND(IF(metadata!N414="",FALSE,TRUE),OR(exact(metadata!N414,"missing: not collected"),exact(metadata!N414,"missing: not provided"),exact(metadata!N414,"missing: restricted access"))),AND(IF(metadata!N414="",FALSE,TRUE),OR(exact(metadata!N414,"TRUE"),exact(metadata!N414,"FALSE"))))</f>
        <v>0</v>
      </c>
      <c r="AO414">
        <f>IF(metadata!O414="",FALSE,TRUE)</f>
        <v>0</v>
      </c>
      <c r="AP414">
        <f>OR(AND(IF(metadata!P414="",FALSE,TRUE),OR(exact(metadata!P414,"missing: not collected"),exact(metadata!P414,"missing: not provided"))),AND(IF(metadata!P414="",FALSE,IF(ISERROR(INT(metadata!P414)),FALSE,INT(metadata!P414)=metadata!P414)),metadata!P414&gt;0))</f>
        <v>0</v>
      </c>
      <c r="AQ414">
        <f>IF(metadata!Q414="",FALSE,TRUE)</f>
        <v>0</v>
      </c>
    </row>
    <row r="415" spans="1:43">
      <c r="A415" s="5">
        <f>IF(B415=" "," ",HYPERLINK(CONCATENATE("#metadata!",ADDRESS(INDEX($W$2:$W$1001,MATCH(ROWS($U$2:U415),$U$2:$U$1001,0),0),1)),INDEX($Z$2:$Z$1001,MATCH(ROWS($U$2:U415),$U$2:$U$1001,0),0)))</f>
        <v>0</v>
      </c>
      <c r="B415" s="4">
        <f>IF(OR(INDEX($V$2:$V$1001,MATCH(ROWS($U$2:U415),$U$2:$U$1001,0),1)&gt;=100000,INDEX($AB$1005:$AQ$1005,1,MATCH(COLUMNS($AB$1006:AB1006),$AB$1006:$AQ$1006,0))&gt;=100000), " ",IF(INDEX($AB$2:$AQ$1001,MATCH(ROWS($U$2:U415),$U$2:$U$1001,0),MATCH(COLUMNS($AB$1006:AB1006),$AB$1006:$AQ$1006,0)), HYPERLINK("#",""), HYPERLINK(CONCATENATE("#metadata!", ADDRESS(INDEX($W$2:$W$1001,MATCH(ROWS($U$2:U415),$U$2:$U$1001,0),0), INDEX($AB$1004:$AQ$1004,1,MATCH(COLUMNS($AB$1006:AB1006),$AB$1006:$AQ$1006,0)))),"Fix")))</f>
        <v>0</v>
      </c>
      <c r="C415" s="4">
        <f>IF(OR(INDEX($V$2:$V$1001,MATCH(ROWS($U$2:U415),$U$2:$U$1001,0),1)&gt;=100000,INDEX($AB$1005:$AQ$1005,1,MATCH(COLUMNS($AB$1006:AC1006),$AB$1006:$AQ$1006,0))&gt;=100000), " ",IF(INDEX($AB$2:$AQ$1001,MATCH(ROWS($U$2:U415),$U$2:$U$1001,0),MATCH(COLUMNS($AB$1006:AC1006),$AB$1006:$AQ$1006,0)), HYPERLINK("#",""), HYPERLINK(CONCATENATE("#metadata!", ADDRESS(INDEX($W$2:$W$1001,MATCH(ROWS($U$2:U415),$U$2:$U$1001,0),0), INDEX($AB$1004:$AQ$1004,1,MATCH(COLUMNS($AB$1006:AC1006),$AB$1006:$AQ$1006,0)))),"Fix")))</f>
        <v>0</v>
      </c>
      <c r="D415" s="4">
        <f>IF(OR(INDEX($V$2:$V$1001,MATCH(ROWS($U$2:U415),$U$2:$U$1001,0),1)&gt;=100000,INDEX($AB$1005:$AQ$1005,1,MATCH(COLUMNS($AB$1006:AD1006),$AB$1006:$AQ$1006,0))&gt;=100000), " ",IF(INDEX($AB$2:$AQ$1001,MATCH(ROWS($U$2:U415),$U$2:$U$1001,0),MATCH(COLUMNS($AB$1006:AD1006),$AB$1006:$AQ$1006,0)), HYPERLINK("#",""), HYPERLINK(CONCATENATE("#metadata!", ADDRESS(INDEX($W$2:$W$1001,MATCH(ROWS($U$2:U415),$U$2:$U$1001,0),0), INDEX($AB$1004:$AQ$1004,1,MATCH(COLUMNS($AB$1006:AD1006),$AB$1006:$AQ$1006,0)))),"Fix")))</f>
        <v>0</v>
      </c>
      <c r="E415" s="4">
        <f>IF(OR(INDEX($V$2:$V$1001,MATCH(ROWS($U$2:U415),$U$2:$U$1001,0),1)&gt;=100000,INDEX($AB$1005:$AQ$1005,1,MATCH(COLUMNS($AB$1006:AE1006),$AB$1006:$AQ$1006,0))&gt;=100000), " ",IF(INDEX($AB$2:$AQ$1001,MATCH(ROWS($U$2:U415),$U$2:$U$1001,0),MATCH(COLUMNS($AB$1006:AE1006),$AB$1006:$AQ$1006,0)), HYPERLINK("#",""), HYPERLINK(CONCATENATE("#metadata!", ADDRESS(INDEX($W$2:$W$1001,MATCH(ROWS($U$2:U415),$U$2:$U$1001,0),0), INDEX($AB$1004:$AQ$1004,1,MATCH(COLUMNS($AB$1006:AE1006),$AB$1006:$AQ$1006,0)))),"Fix")))</f>
        <v>0</v>
      </c>
      <c r="F415" s="4">
        <f>IF(OR(INDEX($V$2:$V$1001,MATCH(ROWS($U$2:U415),$U$2:$U$1001,0),1)&gt;=100000,INDEX($AB$1005:$AQ$1005,1,MATCH(COLUMNS($AB$1006:AF1006),$AB$1006:$AQ$1006,0))&gt;=100000), " ",IF(INDEX($AB$2:$AQ$1001,MATCH(ROWS($U$2:U415),$U$2:$U$1001,0),MATCH(COLUMNS($AB$1006:AF1006),$AB$1006:$AQ$1006,0)), HYPERLINK("#",""), HYPERLINK(CONCATENATE("#metadata!", ADDRESS(INDEX($W$2:$W$1001,MATCH(ROWS($U$2:U415),$U$2:$U$1001,0),0), INDEX($AB$1004:$AQ$1004,1,MATCH(COLUMNS($AB$1006:AF1006),$AB$1006:$AQ$1006,0)))),"Fix")))</f>
        <v>0</v>
      </c>
      <c r="G415" s="4">
        <f>IF(OR(INDEX($V$2:$V$1001,MATCH(ROWS($U$2:U415),$U$2:$U$1001,0),1)&gt;=100000,INDEX($AB$1005:$AQ$1005,1,MATCH(COLUMNS($AB$1006:AG1006),$AB$1006:$AQ$1006,0))&gt;=100000), " ",IF(INDEX($AB$2:$AQ$1001,MATCH(ROWS($U$2:U415),$U$2:$U$1001,0),MATCH(COLUMNS($AB$1006:AG1006),$AB$1006:$AQ$1006,0)), HYPERLINK("#",""), HYPERLINK(CONCATENATE("#metadata!", ADDRESS(INDEX($W$2:$W$1001,MATCH(ROWS($U$2:U415),$U$2:$U$1001,0),0), INDEX($AB$1004:$AQ$1004,1,MATCH(COLUMNS($AB$1006:AG1006),$AB$1006:$AQ$1006,0)))),"Fix")))</f>
        <v>0</v>
      </c>
      <c r="H415" s="4">
        <f>IF(OR(INDEX($V$2:$V$1001,MATCH(ROWS($U$2:U415),$U$2:$U$1001,0),1)&gt;=100000,INDEX($AB$1005:$AQ$1005,1,MATCH(COLUMNS($AB$1006:AH1006),$AB$1006:$AQ$1006,0))&gt;=100000), " ",IF(INDEX($AB$2:$AQ$1001,MATCH(ROWS($U$2:U415),$U$2:$U$1001,0),MATCH(COLUMNS($AB$1006:AH1006),$AB$1006:$AQ$1006,0)), HYPERLINK("#",""), HYPERLINK(CONCATENATE("#metadata!", ADDRESS(INDEX($W$2:$W$1001,MATCH(ROWS($U$2:U415),$U$2:$U$1001,0),0), INDEX($AB$1004:$AQ$1004,1,MATCH(COLUMNS($AB$1006:AH1006),$AB$1006:$AQ$1006,0)))),"Fix")))</f>
        <v>0</v>
      </c>
      <c r="I415" s="4">
        <f>IF(OR(INDEX($V$2:$V$1001,MATCH(ROWS($U$2:U415),$U$2:$U$1001,0),1)&gt;=100000,INDEX($AB$1005:$AQ$1005,1,MATCH(COLUMNS($AB$1006:AI1006),$AB$1006:$AQ$1006,0))&gt;=100000), " ",IF(INDEX($AB$2:$AQ$1001,MATCH(ROWS($U$2:U415),$U$2:$U$1001,0),MATCH(COLUMNS($AB$1006:AI1006),$AB$1006:$AQ$1006,0)), HYPERLINK("#",""), HYPERLINK(CONCATENATE("#metadata!", ADDRESS(INDEX($W$2:$W$1001,MATCH(ROWS($U$2:U415),$U$2:$U$1001,0),0), INDEX($AB$1004:$AQ$1004,1,MATCH(COLUMNS($AB$1006:AI1006),$AB$1006:$AQ$1006,0)))),"Fix")))</f>
        <v>0</v>
      </c>
      <c r="J415" s="4">
        <f>IF(OR(INDEX($V$2:$V$1001,MATCH(ROWS($U$2:U415),$U$2:$U$1001,0),1)&gt;=100000,INDEX($AB$1005:$AQ$1005,1,MATCH(COLUMNS($AB$1006:AJ1006),$AB$1006:$AQ$1006,0))&gt;=100000), " ",IF(INDEX($AB$2:$AQ$1001,MATCH(ROWS($U$2:U415),$U$2:$U$1001,0),MATCH(COLUMNS($AB$1006:AJ1006),$AB$1006:$AQ$1006,0)), HYPERLINK("#",""), HYPERLINK(CONCATENATE("#metadata!", ADDRESS(INDEX($W$2:$W$1001,MATCH(ROWS($U$2:U415),$U$2:$U$1001,0),0), INDEX($AB$1004:$AQ$1004,1,MATCH(COLUMNS($AB$1006:AJ1006),$AB$1006:$AQ$1006,0)))),"Fix")))</f>
        <v>0</v>
      </c>
      <c r="K415" s="4">
        <f>IF(OR(INDEX($V$2:$V$1001,MATCH(ROWS($U$2:U415),$U$2:$U$1001,0),1)&gt;=100000,INDEX($AB$1005:$AQ$1005,1,MATCH(COLUMNS($AB$1006:AK1006),$AB$1006:$AQ$1006,0))&gt;=100000), " ",IF(INDEX($AB$2:$AQ$1001,MATCH(ROWS($U$2:U415),$U$2:$U$1001,0),MATCH(COLUMNS($AB$1006:AK1006),$AB$1006:$AQ$1006,0)), HYPERLINK("#",""), HYPERLINK(CONCATENATE("#metadata!", ADDRESS(INDEX($W$2:$W$1001,MATCH(ROWS($U$2:U415),$U$2:$U$1001,0),0), INDEX($AB$1004:$AQ$1004,1,MATCH(COLUMNS($AB$1006:AK1006),$AB$1006:$AQ$1006,0)))),"Fix")))</f>
        <v>0</v>
      </c>
      <c r="L415" s="4">
        <f>IF(OR(INDEX($V$2:$V$1001,MATCH(ROWS($U$2:U415),$U$2:$U$1001,0),1)&gt;=100000,INDEX($AB$1005:$AQ$1005,1,MATCH(COLUMNS($AB$1006:AL1006),$AB$1006:$AQ$1006,0))&gt;=100000), " ",IF(INDEX($AB$2:$AQ$1001,MATCH(ROWS($U$2:U415),$U$2:$U$1001,0),MATCH(COLUMNS($AB$1006:AL1006),$AB$1006:$AQ$1006,0)), HYPERLINK("#",""), HYPERLINK(CONCATENATE("#metadata!", ADDRESS(INDEX($W$2:$W$1001,MATCH(ROWS($U$2:U415),$U$2:$U$1001,0),0), INDEX($AB$1004:$AQ$1004,1,MATCH(COLUMNS($AB$1006:AL1006),$AB$1006:$AQ$1006,0)))),"Fix")))</f>
        <v>0</v>
      </c>
      <c r="M415" s="4">
        <f>IF(OR(INDEX($V$2:$V$1001,MATCH(ROWS($U$2:U415),$U$2:$U$1001,0),1)&gt;=100000,INDEX($AB$1005:$AQ$1005,1,MATCH(COLUMNS($AB$1006:AM1006),$AB$1006:$AQ$1006,0))&gt;=100000), " ",IF(INDEX($AB$2:$AQ$1001,MATCH(ROWS($U$2:U415),$U$2:$U$1001,0),MATCH(COLUMNS($AB$1006:AM1006),$AB$1006:$AQ$1006,0)), HYPERLINK("#",""), HYPERLINK(CONCATENATE("#metadata!", ADDRESS(INDEX($W$2:$W$1001,MATCH(ROWS($U$2:U415),$U$2:$U$1001,0),0), INDEX($AB$1004:$AQ$1004,1,MATCH(COLUMNS($AB$1006:AM1006),$AB$1006:$AQ$1006,0)))),"Fix")))</f>
        <v>0</v>
      </c>
      <c r="N415" s="4">
        <f>IF(OR(INDEX($V$2:$V$1001,MATCH(ROWS($U$2:U415),$U$2:$U$1001,0),1)&gt;=100000,INDEX($AB$1005:$AQ$1005,1,MATCH(COLUMNS($AB$1006:AN1006),$AB$1006:$AQ$1006,0))&gt;=100000), " ",IF(INDEX($AB$2:$AQ$1001,MATCH(ROWS($U$2:U415),$U$2:$U$1001,0),MATCH(COLUMNS($AB$1006:AN1006),$AB$1006:$AQ$1006,0)), HYPERLINK("#",""), HYPERLINK(CONCATENATE("#metadata!", ADDRESS(INDEX($W$2:$W$1001,MATCH(ROWS($U$2:U415),$U$2:$U$1001,0),0), INDEX($AB$1004:$AQ$1004,1,MATCH(COLUMNS($AB$1006:AN1006),$AB$1006:$AQ$1006,0)))),"Fix")))</f>
        <v>0</v>
      </c>
      <c r="O415" s="4">
        <f>IF(OR(INDEX($V$2:$V$1001,MATCH(ROWS($U$2:U415),$U$2:$U$1001,0),1)&gt;=100000,INDEX($AB$1005:$AQ$1005,1,MATCH(COLUMNS($AB$1006:AO1006),$AB$1006:$AQ$1006,0))&gt;=100000), " ",IF(INDEX($AB$2:$AQ$1001,MATCH(ROWS($U$2:U415),$U$2:$U$1001,0),MATCH(COLUMNS($AB$1006:AO1006),$AB$1006:$AQ$1006,0)), HYPERLINK("#",""), HYPERLINK(CONCATENATE("#metadata!", ADDRESS(INDEX($W$2:$W$1001,MATCH(ROWS($U$2:U415),$U$2:$U$1001,0),0), INDEX($AB$1004:$AQ$1004,1,MATCH(COLUMNS($AB$1006:AO1006),$AB$1006:$AQ$1006,0)))),"Fix")))</f>
        <v>0</v>
      </c>
      <c r="P415" s="4">
        <f>IF(OR(INDEX($V$2:$V$1001,MATCH(ROWS($U$2:U415),$U$2:$U$1001,0),1)&gt;=100000,INDEX($AB$1005:$AQ$1005,1,MATCH(COLUMNS($AB$1006:AP1006),$AB$1006:$AQ$1006,0))&gt;=100000), " ",IF(INDEX($AB$2:$AQ$1001,MATCH(ROWS($U$2:U415),$U$2:$U$1001,0),MATCH(COLUMNS($AB$1006:AP1006),$AB$1006:$AQ$1006,0)), HYPERLINK("#",""), HYPERLINK(CONCATENATE("#metadata!", ADDRESS(INDEX($W$2:$W$1001,MATCH(ROWS($U$2:U415),$U$2:$U$1001,0),0), INDEX($AB$1004:$AQ$1004,1,MATCH(COLUMNS($AB$1006:AP1006),$AB$1006:$AQ$1006,0)))),"Fix")))</f>
        <v>0</v>
      </c>
      <c r="Q415" s="4">
        <f>IF(OR(INDEX($V$2:$V$1001,MATCH(ROWS($U$2:U415),$U$2:$U$1001,0),1)&gt;=100000,INDEX($AB$1005:$AQ$1005,1,MATCH(COLUMNS($AB$1006:AQ1006),$AB$1006:$AQ$1006,0))&gt;=100000), " ",IF(INDEX($AB$2:$AQ$1001,MATCH(ROWS($U$2:U415),$U$2:$U$1001,0),MATCH(COLUMNS($AB$1006:AQ1006),$AB$1006:$AQ$1006,0)), HYPERLINK("#",""), HYPERLINK(CONCATENATE("#metadata!", ADDRESS(INDEX($W$2:$W$1001,MATCH(ROWS($U$2:U415),$U$2:$U$1001,0),0), INDEX($AB$1004:$AQ$1004,1,MATCH(COLUMNS($AB$1006:AQ1006),$AB$1006:$AQ$1006,0)))),"Fix")))</f>
        <v>0</v>
      </c>
      <c r="U415">
        <v>0</v>
      </c>
      <c r="V415">
        <v>0</v>
      </c>
      <c r="W415">
        <v>0</v>
      </c>
      <c r="X415">
        <f>IF(Y415,TRUE,AND(AB415:AQ415))</f>
        <v>0</v>
      </c>
      <c r="Y415">
        <f>COUNTBLANK(metadata!B415:Q415)=COLUMNS(metadata!B415:Q415)</f>
        <v>0</v>
      </c>
      <c r="Z415">
        <v>0</v>
      </c>
      <c r="AB415">
        <f>AND(IF(metadata!B415="",FALSE,TRUE),COUNTIF(metadata!B:B, metadata!B415) = 1,NOT(ISERROR(SUMPRODUCT(SEARCH(MID(metadata!B415,ROW(INDIRECT("1:"&amp;LEN(metadata!B415))), 1),"0123456789abcdefghijklmnopqrstuvwxyzABCDEFGHIJKLMNOPQRSTUVWXYZ.")))))</f>
        <v>0</v>
      </c>
      <c r="AC415">
        <f>OR(AND(IF(metadata!C415="",FALSE,TRUE),OR(exact(metadata!C415,"missing: not collected"),exact(metadata!C415,"missing: not provided"),exact(metadata!C415,"missing: restricted access"))),AND(IF(metadata!C415="",FALSE,TRUE),AND(AND(IFERROR(INT(LEFT(metadata!C415,4))&gt;1900,FALSE),IFERROR(INT(LEFT(metadata!C415,4))&lt;=YEAR(NOW()),FALSE)), OR(MID(metadata!C415,5,1)="", AND(AND(MID(metadata!C415,5,1)="-",IFERROR(INT(MID(metadata!C415,6,1))&gt;=0,FALSE),IFERROR(INT(MID(metadata!C415,6,1))&lt;=1,FALSE),NOT(MID(metadata!C415,7,1)=""),IFERROR(INT(MID(metadata!C415,6,2))&gt;=1,FALSE),IFERROR(INT(MID(metadata!C415,6,2))&lt;=12,FALSE)), OR(MID(metadata!C415,8,1)="", AND(AND(MID(metadata!C415,8,1)="-",IFERROR(INT(MID(metadata!C415,9,1))&gt;=0,FALSE),IFERROR(INT(MID(metadata!C415,9,1))&lt;=3,FALSE),NOT(MID(metadata!C415,10,1)=""),IFERROR(INT(MID(metadata!C415,9,2))&gt;=1,FALSE),IFERROR(INT(MID(metadata!C415,9,2))&lt;=31,FALSE)), OR(MID(metadata!C415,11,1)="", AND(AND(MID(metadata!C415,11,1)=" ",IFERROR(INT(MID(metadata!C415,12,1))&gt;=0,FALSE),IFERROR(INT(MID(metadata!C415,12,1))&lt;=2,FALSE),NOT(MID(metadata!C415,13,1)=""),IFERROR(INT(MID(metadata!C415,12,2))&gt;=0,FALSE),IFERROR(INT(MID(metadata!C415,12,2))&lt;=23,FALSE)), OR(MID(metadata!C415,14,1)="", AND(AND(MID(metadata!C415,14,1)=":",IFERROR(INT(MID(metadata!C415,15,1))&gt;=0,FALSE),IFERROR(INT(MID(metadata!C415,15,1))&lt;=5,FALSE),NOT(MID(metadata!C415,16,1)=""),IFERROR(INT(MID(metadata!C415,15,2))&gt;=0,FALSE),IFERROR(INT(MID(metadata!C415,15,2))&lt;=59,FALSE)), OR(MID(metadata!C415,17,1)="", AND(AND(MID(metadata!C415,17,1)=":",IFERROR(INT(MID(metadata!C415,18,1))&gt;=0,FALSE),IFERROR(INT(MID(metadata!C415,18,1))&lt;=5,FALSE),NOT(MID(metadata!C415,19,1)=""),IFERROR(INT(MID(metadata!C415,18,2))&gt;=0,FALSE),IFERROR(INT(MID(metadata!C415,18,2))&lt;=59,FALSE)), LEN(metadata!C415)&lt;=19)))))))))))))</f>
        <v>0</v>
      </c>
      <c r="AD415">
        <f>IF(metadata!D415="",FALSE,TRUE)</f>
        <v>0</v>
      </c>
      <c r="AE415">
        <f>OR(AND(IF(metadata!E415="",FALSE,TRUE),OR(exact(metadata!E415,"missing: not collected"),exact(metadata!E415,"missing: not provided"))),AND(IF(metadata!E415="",FALSE,TRUE),OR(exact(metadata!E415,"TRUE"),exact(metadata!E415,"FALSE"))))</f>
        <v>0</v>
      </c>
      <c r="AF415">
        <f>IF(metadata!F415="",FALSE,TRUE)</f>
        <v>0</v>
      </c>
      <c r="AG415">
        <f>IF(metadata!G415="",FALSE,TRUE)</f>
        <v>0</v>
      </c>
      <c r="AH415">
        <f>IF(metadata!H415="",FALSE,TRUE)</f>
        <v>0</v>
      </c>
      <c r="AI415">
        <f>OR(AND(IF(metadata!I415="",FALSE,TRUE),OR(exact(metadata!I415,"missing: not collected"),exact(metadata!I415,"missing: not provided"),exact(metadata!I415,"missing: restricted access"))),AND(IF(metadata!I415="",FALSE,TRUE),OR(exact(metadata!I415,"air"),exact(metadata!I415,"built environment"),exact(metadata!I415,"host-associated"),exact(metadata!I415,"human-associated"),exact(metadata!I415,"human-skin"),exact(metadata!I415,"human-oral"),exact(metadata!I415,"human-gut"),exact(metadata!I415,"human-vaginal"),exact(metadata!I415,"microbial mat/biofilm"),exact(metadata!I415,"misc environment"),exact(metadata!I415,"plant-associated"),exact(metadata!I415,"sediment"),exact(metadata!I415,"soil"),exact(metadata!I415,"wastewater/sludge"),exact(metadata!I415,"water"))))</f>
        <v>0</v>
      </c>
      <c r="AJ415">
        <f>IF(metadata!J415="",FALSE,TRUE)</f>
        <v>0</v>
      </c>
      <c r="AK415">
        <f>OR(AND(IF(metadata!K415="",FALSE,TRUE),OR(exact(metadata!K415,"missing: not collected"),exact(metadata!K415,"missing: not provided"),exact(metadata!K415,"missing: restricted access"))),AND(IF(metadata!K415="",FALSE,ISNUMBER(VALUE(metadata!K415))),metadata!K415&gt;=-90.00,metadata!K415&lt;=90.00))</f>
        <v>0</v>
      </c>
      <c r="AL415">
        <f>OR(AND(IF(metadata!L415="",FALSE,TRUE),OR(exact(metadata!L415,"missing: not collected"),exact(metadata!L415,"missing: not provided"),exact(metadata!L415,"missing: restricted access"))),AND(IF(metadata!L415="",FALSE,ISNUMBER(VALUE(metadata!L415))),metadata!L415&gt;=-180.00,metadata!L415&lt;=180.00))</f>
        <v>0</v>
      </c>
      <c r="AM415">
        <f>IF(metadata!M415="",FALSE,TRUE)</f>
        <v>0</v>
      </c>
      <c r="AN415">
        <f>OR(AND(IF(metadata!N415="",FALSE,TRUE),OR(exact(metadata!N415,"missing: not collected"),exact(metadata!N415,"missing: not provided"),exact(metadata!N415,"missing: restricted access"))),AND(IF(metadata!N415="",FALSE,TRUE),OR(exact(metadata!N415,"TRUE"),exact(metadata!N415,"FALSE"))))</f>
        <v>0</v>
      </c>
      <c r="AO415">
        <f>IF(metadata!O415="",FALSE,TRUE)</f>
        <v>0</v>
      </c>
      <c r="AP415">
        <f>OR(AND(IF(metadata!P415="",FALSE,TRUE),OR(exact(metadata!P415,"missing: not collected"),exact(metadata!P415,"missing: not provided"))),AND(IF(metadata!P415="",FALSE,IF(ISERROR(INT(metadata!P415)),FALSE,INT(metadata!P415)=metadata!P415)),metadata!P415&gt;0))</f>
        <v>0</v>
      </c>
      <c r="AQ415">
        <f>IF(metadata!Q415="",FALSE,TRUE)</f>
        <v>0</v>
      </c>
    </row>
    <row r="416" spans="1:43">
      <c r="A416" s="5">
        <f>IF(B416=" "," ",HYPERLINK(CONCATENATE("#metadata!",ADDRESS(INDEX($W$2:$W$1001,MATCH(ROWS($U$2:U416),$U$2:$U$1001,0),0),1)),INDEX($Z$2:$Z$1001,MATCH(ROWS($U$2:U416),$U$2:$U$1001,0),0)))</f>
        <v>0</v>
      </c>
      <c r="B416" s="4">
        <f>IF(OR(INDEX($V$2:$V$1001,MATCH(ROWS($U$2:U416),$U$2:$U$1001,0),1)&gt;=100000,INDEX($AB$1005:$AQ$1005,1,MATCH(COLUMNS($AB$1006:AB1006),$AB$1006:$AQ$1006,0))&gt;=100000), " ",IF(INDEX($AB$2:$AQ$1001,MATCH(ROWS($U$2:U416),$U$2:$U$1001,0),MATCH(COLUMNS($AB$1006:AB1006),$AB$1006:$AQ$1006,0)), HYPERLINK("#",""), HYPERLINK(CONCATENATE("#metadata!", ADDRESS(INDEX($W$2:$W$1001,MATCH(ROWS($U$2:U416),$U$2:$U$1001,0),0), INDEX($AB$1004:$AQ$1004,1,MATCH(COLUMNS($AB$1006:AB1006),$AB$1006:$AQ$1006,0)))),"Fix")))</f>
        <v>0</v>
      </c>
      <c r="C416" s="4">
        <f>IF(OR(INDEX($V$2:$V$1001,MATCH(ROWS($U$2:U416),$U$2:$U$1001,0),1)&gt;=100000,INDEX($AB$1005:$AQ$1005,1,MATCH(COLUMNS($AB$1006:AC1006),$AB$1006:$AQ$1006,0))&gt;=100000), " ",IF(INDEX($AB$2:$AQ$1001,MATCH(ROWS($U$2:U416),$U$2:$U$1001,0),MATCH(COLUMNS($AB$1006:AC1006),$AB$1006:$AQ$1006,0)), HYPERLINK("#",""), HYPERLINK(CONCATENATE("#metadata!", ADDRESS(INDEX($W$2:$W$1001,MATCH(ROWS($U$2:U416),$U$2:$U$1001,0),0), INDEX($AB$1004:$AQ$1004,1,MATCH(COLUMNS($AB$1006:AC1006),$AB$1006:$AQ$1006,0)))),"Fix")))</f>
        <v>0</v>
      </c>
      <c r="D416" s="4">
        <f>IF(OR(INDEX($V$2:$V$1001,MATCH(ROWS($U$2:U416),$U$2:$U$1001,0),1)&gt;=100000,INDEX($AB$1005:$AQ$1005,1,MATCH(COLUMNS($AB$1006:AD1006),$AB$1006:$AQ$1006,0))&gt;=100000), " ",IF(INDEX($AB$2:$AQ$1001,MATCH(ROWS($U$2:U416),$U$2:$U$1001,0),MATCH(COLUMNS($AB$1006:AD1006),$AB$1006:$AQ$1006,0)), HYPERLINK("#",""), HYPERLINK(CONCATENATE("#metadata!", ADDRESS(INDEX($W$2:$W$1001,MATCH(ROWS($U$2:U416),$U$2:$U$1001,0),0), INDEX($AB$1004:$AQ$1004,1,MATCH(COLUMNS($AB$1006:AD1006),$AB$1006:$AQ$1006,0)))),"Fix")))</f>
        <v>0</v>
      </c>
      <c r="E416" s="4">
        <f>IF(OR(INDEX($V$2:$V$1001,MATCH(ROWS($U$2:U416),$U$2:$U$1001,0),1)&gt;=100000,INDEX($AB$1005:$AQ$1005,1,MATCH(COLUMNS($AB$1006:AE1006),$AB$1006:$AQ$1006,0))&gt;=100000), " ",IF(INDEX($AB$2:$AQ$1001,MATCH(ROWS($U$2:U416),$U$2:$U$1001,0),MATCH(COLUMNS($AB$1006:AE1006),$AB$1006:$AQ$1006,0)), HYPERLINK("#",""), HYPERLINK(CONCATENATE("#metadata!", ADDRESS(INDEX($W$2:$W$1001,MATCH(ROWS($U$2:U416),$U$2:$U$1001,0),0), INDEX($AB$1004:$AQ$1004,1,MATCH(COLUMNS($AB$1006:AE1006),$AB$1006:$AQ$1006,0)))),"Fix")))</f>
        <v>0</v>
      </c>
      <c r="F416" s="4">
        <f>IF(OR(INDEX($V$2:$V$1001,MATCH(ROWS($U$2:U416),$U$2:$U$1001,0),1)&gt;=100000,INDEX($AB$1005:$AQ$1005,1,MATCH(COLUMNS($AB$1006:AF1006),$AB$1006:$AQ$1006,0))&gt;=100000), " ",IF(INDEX($AB$2:$AQ$1001,MATCH(ROWS($U$2:U416),$U$2:$U$1001,0),MATCH(COLUMNS($AB$1006:AF1006),$AB$1006:$AQ$1006,0)), HYPERLINK("#",""), HYPERLINK(CONCATENATE("#metadata!", ADDRESS(INDEX($W$2:$W$1001,MATCH(ROWS($U$2:U416),$U$2:$U$1001,0),0), INDEX($AB$1004:$AQ$1004,1,MATCH(COLUMNS($AB$1006:AF1006),$AB$1006:$AQ$1006,0)))),"Fix")))</f>
        <v>0</v>
      </c>
      <c r="G416" s="4">
        <f>IF(OR(INDEX($V$2:$V$1001,MATCH(ROWS($U$2:U416),$U$2:$U$1001,0),1)&gt;=100000,INDEX($AB$1005:$AQ$1005,1,MATCH(COLUMNS($AB$1006:AG1006),$AB$1006:$AQ$1006,0))&gt;=100000), " ",IF(INDEX($AB$2:$AQ$1001,MATCH(ROWS($U$2:U416),$U$2:$U$1001,0),MATCH(COLUMNS($AB$1006:AG1006),$AB$1006:$AQ$1006,0)), HYPERLINK("#",""), HYPERLINK(CONCATENATE("#metadata!", ADDRESS(INDEX($W$2:$W$1001,MATCH(ROWS($U$2:U416),$U$2:$U$1001,0),0), INDEX($AB$1004:$AQ$1004,1,MATCH(COLUMNS($AB$1006:AG1006),$AB$1006:$AQ$1006,0)))),"Fix")))</f>
        <v>0</v>
      </c>
      <c r="H416" s="4">
        <f>IF(OR(INDEX($V$2:$V$1001,MATCH(ROWS($U$2:U416),$U$2:$U$1001,0),1)&gt;=100000,INDEX($AB$1005:$AQ$1005,1,MATCH(COLUMNS($AB$1006:AH1006),$AB$1006:$AQ$1006,0))&gt;=100000), " ",IF(INDEX($AB$2:$AQ$1001,MATCH(ROWS($U$2:U416),$U$2:$U$1001,0),MATCH(COLUMNS($AB$1006:AH1006),$AB$1006:$AQ$1006,0)), HYPERLINK("#",""), HYPERLINK(CONCATENATE("#metadata!", ADDRESS(INDEX($W$2:$W$1001,MATCH(ROWS($U$2:U416),$U$2:$U$1001,0),0), INDEX($AB$1004:$AQ$1004,1,MATCH(COLUMNS($AB$1006:AH1006),$AB$1006:$AQ$1006,0)))),"Fix")))</f>
        <v>0</v>
      </c>
      <c r="I416" s="4">
        <f>IF(OR(INDEX($V$2:$V$1001,MATCH(ROWS($U$2:U416),$U$2:$U$1001,0),1)&gt;=100000,INDEX($AB$1005:$AQ$1005,1,MATCH(COLUMNS($AB$1006:AI1006),$AB$1006:$AQ$1006,0))&gt;=100000), " ",IF(INDEX($AB$2:$AQ$1001,MATCH(ROWS($U$2:U416),$U$2:$U$1001,0),MATCH(COLUMNS($AB$1006:AI1006),$AB$1006:$AQ$1006,0)), HYPERLINK("#",""), HYPERLINK(CONCATENATE("#metadata!", ADDRESS(INDEX($W$2:$W$1001,MATCH(ROWS($U$2:U416),$U$2:$U$1001,0),0), INDEX($AB$1004:$AQ$1004,1,MATCH(COLUMNS($AB$1006:AI1006),$AB$1006:$AQ$1006,0)))),"Fix")))</f>
        <v>0</v>
      </c>
      <c r="J416" s="4">
        <f>IF(OR(INDEX($V$2:$V$1001,MATCH(ROWS($U$2:U416),$U$2:$U$1001,0),1)&gt;=100000,INDEX($AB$1005:$AQ$1005,1,MATCH(COLUMNS($AB$1006:AJ1006),$AB$1006:$AQ$1006,0))&gt;=100000), " ",IF(INDEX($AB$2:$AQ$1001,MATCH(ROWS($U$2:U416),$U$2:$U$1001,0),MATCH(COLUMNS($AB$1006:AJ1006),$AB$1006:$AQ$1006,0)), HYPERLINK("#",""), HYPERLINK(CONCATENATE("#metadata!", ADDRESS(INDEX($W$2:$W$1001,MATCH(ROWS($U$2:U416),$U$2:$U$1001,0),0), INDEX($AB$1004:$AQ$1004,1,MATCH(COLUMNS($AB$1006:AJ1006),$AB$1006:$AQ$1006,0)))),"Fix")))</f>
        <v>0</v>
      </c>
      <c r="K416" s="4">
        <f>IF(OR(INDEX($V$2:$V$1001,MATCH(ROWS($U$2:U416),$U$2:$U$1001,0),1)&gt;=100000,INDEX($AB$1005:$AQ$1005,1,MATCH(COLUMNS($AB$1006:AK1006),$AB$1006:$AQ$1006,0))&gt;=100000), " ",IF(INDEX($AB$2:$AQ$1001,MATCH(ROWS($U$2:U416),$U$2:$U$1001,0),MATCH(COLUMNS($AB$1006:AK1006),$AB$1006:$AQ$1006,0)), HYPERLINK("#",""), HYPERLINK(CONCATENATE("#metadata!", ADDRESS(INDEX($W$2:$W$1001,MATCH(ROWS($U$2:U416),$U$2:$U$1001,0),0), INDEX($AB$1004:$AQ$1004,1,MATCH(COLUMNS($AB$1006:AK1006),$AB$1006:$AQ$1006,0)))),"Fix")))</f>
        <v>0</v>
      </c>
      <c r="L416" s="4">
        <f>IF(OR(INDEX($V$2:$V$1001,MATCH(ROWS($U$2:U416),$U$2:$U$1001,0),1)&gt;=100000,INDEX($AB$1005:$AQ$1005,1,MATCH(COLUMNS($AB$1006:AL1006),$AB$1006:$AQ$1006,0))&gt;=100000), " ",IF(INDEX($AB$2:$AQ$1001,MATCH(ROWS($U$2:U416),$U$2:$U$1001,0),MATCH(COLUMNS($AB$1006:AL1006),$AB$1006:$AQ$1006,0)), HYPERLINK("#",""), HYPERLINK(CONCATENATE("#metadata!", ADDRESS(INDEX($W$2:$W$1001,MATCH(ROWS($U$2:U416),$U$2:$U$1001,0),0), INDEX($AB$1004:$AQ$1004,1,MATCH(COLUMNS($AB$1006:AL1006),$AB$1006:$AQ$1006,0)))),"Fix")))</f>
        <v>0</v>
      </c>
      <c r="M416" s="4">
        <f>IF(OR(INDEX($V$2:$V$1001,MATCH(ROWS($U$2:U416),$U$2:$U$1001,0),1)&gt;=100000,INDEX($AB$1005:$AQ$1005,1,MATCH(COLUMNS($AB$1006:AM1006),$AB$1006:$AQ$1006,0))&gt;=100000), " ",IF(INDEX($AB$2:$AQ$1001,MATCH(ROWS($U$2:U416),$U$2:$U$1001,0),MATCH(COLUMNS($AB$1006:AM1006),$AB$1006:$AQ$1006,0)), HYPERLINK("#",""), HYPERLINK(CONCATENATE("#metadata!", ADDRESS(INDEX($W$2:$W$1001,MATCH(ROWS($U$2:U416),$U$2:$U$1001,0),0), INDEX($AB$1004:$AQ$1004,1,MATCH(COLUMNS($AB$1006:AM1006),$AB$1006:$AQ$1006,0)))),"Fix")))</f>
        <v>0</v>
      </c>
      <c r="N416" s="4">
        <f>IF(OR(INDEX($V$2:$V$1001,MATCH(ROWS($U$2:U416),$U$2:$U$1001,0),1)&gt;=100000,INDEX($AB$1005:$AQ$1005,1,MATCH(COLUMNS($AB$1006:AN1006),$AB$1006:$AQ$1006,0))&gt;=100000), " ",IF(INDEX($AB$2:$AQ$1001,MATCH(ROWS($U$2:U416),$U$2:$U$1001,0),MATCH(COLUMNS($AB$1006:AN1006),$AB$1006:$AQ$1006,0)), HYPERLINK("#",""), HYPERLINK(CONCATENATE("#metadata!", ADDRESS(INDEX($W$2:$W$1001,MATCH(ROWS($U$2:U416),$U$2:$U$1001,0),0), INDEX($AB$1004:$AQ$1004,1,MATCH(COLUMNS($AB$1006:AN1006),$AB$1006:$AQ$1006,0)))),"Fix")))</f>
        <v>0</v>
      </c>
      <c r="O416" s="4">
        <f>IF(OR(INDEX($V$2:$V$1001,MATCH(ROWS($U$2:U416),$U$2:$U$1001,0),1)&gt;=100000,INDEX($AB$1005:$AQ$1005,1,MATCH(COLUMNS($AB$1006:AO1006),$AB$1006:$AQ$1006,0))&gt;=100000), " ",IF(INDEX($AB$2:$AQ$1001,MATCH(ROWS($U$2:U416),$U$2:$U$1001,0),MATCH(COLUMNS($AB$1006:AO1006),$AB$1006:$AQ$1006,0)), HYPERLINK("#",""), HYPERLINK(CONCATENATE("#metadata!", ADDRESS(INDEX($W$2:$W$1001,MATCH(ROWS($U$2:U416),$U$2:$U$1001,0),0), INDEX($AB$1004:$AQ$1004,1,MATCH(COLUMNS($AB$1006:AO1006),$AB$1006:$AQ$1006,0)))),"Fix")))</f>
        <v>0</v>
      </c>
      <c r="P416" s="4">
        <f>IF(OR(INDEX($V$2:$V$1001,MATCH(ROWS($U$2:U416),$U$2:$U$1001,0),1)&gt;=100000,INDEX($AB$1005:$AQ$1005,1,MATCH(COLUMNS($AB$1006:AP1006),$AB$1006:$AQ$1006,0))&gt;=100000), " ",IF(INDEX($AB$2:$AQ$1001,MATCH(ROWS($U$2:U416),$U$2:$U$1001,0),MATCH(COLUMNS($AB$1006:AP1006),$AB$1006:$AQ$1006,0)), HYPERLINK("#",""), HYPERLINK(CONCATENATE("#metadata!", ADDRESS(INDEX($W$2:$W$1001,MATCH(ROWS($U$2:U416),$U$2:$U$1001,0),0), INDEX($AB$1004:$AQ$1004,1,MATCH(COLUMNS($AB$1006:AP1006),$AB$1006:$AQ$1006,0)))),"Fix")))</f>
        <v>0</v>
      </c>
      <c r="Q416" s="4">
        <f>IF(OR(INDEX($V$2:$V$1001,MATCH(ROWS($U$2:U416),$U$2:$U$1001,0),1)&gt;=100000,INDEX($AB$1005:$AQ$1005,1,MATCH(COLUMNS($AB$1006:AQ1006),$AB$1006:$AQ$1006,0))&gt;=100000), " ",IF(INDEX($AB$2:$AQ$1001,MATCH(ROWS($U$2:U416),$U$2:$U$1001,0),MATCH(COLUMNS($AB$1006:AQ1006),$AB$1006:$AQ$1006,0)), HYPERLINK("#",""), HYPERLINK(CONCATENATE("#metadata!", ADDRESS(INDEX($W$2:$W$1001,MATCH(ROWS($U$2:U416),$U$2:$U$1001,0),0), INDEX($AB$1004:$AQ$1004,1,MATCH(COLUMNS($AB$1006:AQ1006),$AB$1006:$AQ$1006,0)))),"Fix")))</f>
        <v>0</v>
      </c>
      <c r="U416">
        <v>0</v>
      </c>
      <c r="V416">
        <v>0</v>
      </c>
      <c r="W416">
        <v>0</v>
      </c>
      <c r="X416">
        <f>IF(Y416,TRUE,AND(AB416:AQ416))</f>
        <v>0</v>
      </c>
      <c r="Y416">
        <f>COUNTBLANK(metadata!B416:Q416)=COLUMNS(metadata!B416:Q416)</f>
        <v>0</v>
      </c>
      <c r="Z416">
        <v>0</v>
      </c>
      <c r="AB416">
        <f>AND(IF(metadata!B416="",FALSE,TRUE),COUNTIF(metadata!B:B, metadata!B416) = 1,NOT(ISERROR(SUMPRODUCT(SEARCH(MID(metadata!B416,ROW(INDIRECT("1:"&amp;LEN(metadata!B416))), 1),"0123456789abcdefghijklmnopqrstuvwxyzABCDEFGHIJKLMNOPQRSTUVWXYZ.")))))</f>
        <v>0</v>
      </c>
      <c r="AC416">
        <f>OR(AND(IF(metadata!C416="",FALSE,TRUE),OR(exact(metadata!C416,"missing: not collected"),exact(metadata!C416,"missing: not provided"),exact(metadata!C416,"missing: restricted access"))),AND(IF(metadata!C416="",FALSE,TRUE),AND(AND(IFERROR(INT(LEFT(metadata!C416,4))&gt;1900,FALSE),IFERROR(INT(LEFT(metadata!C416,4))&lt;=YEAR(NOW()),FALSE)), OR(MID(metadata!C416,5,1)="", AND(AND(MID(metadata!C416,5,1)="-",IFERROR(INT(MID(metadata!C416,6,1))&gt;=0,FALSE),IFERROR(INT(MID(metadata!C416,6,1))&lt;=1,FALSE),NOT(MID(metadata!C416,7,1)=""),IFERROR(INT(MID(metadata!C416,6,2))&gt;=1,FALSE),IFERROR(INT(MID(metadata!C416,6,2))&lt;=12,FALSE)), OR(MID(metadata!C416,8,1)="", AND(AND(MID(metadata!C416,8,1)="-",IFERROR(INT(MID(metadata!C416,9,1))&gt;=0,FALSE),IFERROR(INT(MID(metadata!C416,9,1))&lt;=3,FALSE),NOT(MID(metadata!C416,10,1)=""),IFERROR(INT(MID(metadata!C416,9,2))&gt;=1,FALSE),IFERROR(INT(MID(metadata!C416,9,2))&lt;=31,FALSE)), OR(MID(metadata!C416,11,1)="", AND(AND(MID(metadata!C416,11,1)=" ",IFERROR(INT(MID(metadata!C416,12,1))&gt;=0,FALSE),IFERROR(INT(MID(metadata!C416,12,1))&lt;=2,FALSE),NOT(MID(metadata!C416,13,1)=""),IFERROR(INT(MID(metadata!C416,12,2))&gt;=0,FALSE),IFERROR(INT(MID(metadata!C416,12,2))&lt;=23,FALSE)), OR(MID(metadata!C416,14,1)="", AND(AND(MID(metadata!C416,14,1)=":",IFERROR(INT(MID(metadata!C416,15,1))&gt;=0,FALSE),IFERROR(INT(MID(metadata!C416,15,1))&lt;=5,FALSE),NOT(MID(metadata!C416,16,1)=""),IFERROR(INT(MID(metadata!C416,15,2))&gt;=0,FALSE),IFERROR(INT(MID(metadata!C416,15,2))&lt;=59,FALSE)), OR(MID(metadata!C416,17,1)="", AND(AND(MID(metadata!C416,17,1)=":",IFERROR(INT(MID(metadata!C416,18,1))&gt;=0,FALSE),IFERROR(INT(MID(metadata!C416,18,1))&lt;=5,FALSE),NOT(MID(metadata!C416,19,1)=""),IFERROR(INT(MID(metadata!C416,18,2))&gt;=0,FALSE),IFERROR(INT(MID(metadata!C416,18,2))&lt;=59,FALSE)), LEN(metadata!C416)&lt;=19)))))))))))))</f>
        <v>0</v>
      </c>
      <c r="AD416">
        <f>IF(metadata!D416="",FALSE,TRUE)</f>
        <v>0</v>
      </c>
      <c r="AE416">
        <f>OR(AND(IF(metadata!E416="",FALSE,TRUE),OR(exact(metadata!E416,"missing: not collected"),exact(metadata!E416,"missing: not provided"))),AND(IF(metadata!E416="",FALSE,TRUE),OR(exact(metadata!E416,"TRUE"),exact(metadata!E416,"FALSE"))))</f>
        <v>0</v>
      </c>
      <c r="AF416">
        <f>IF(metadata!F416="",FALSE,TRUE)</f>
        <v>0</v>
      </c>
      <c r="AG416">
        <f>IF(metadata!G416="",FALSE,TRUE)</f>
        <v>0</v>
      </c>
      <c r="AH416">
        <f>IF(metadata!H416="",FALSE,TRUE)</f>
        <v>0</v>
      </c>
      <c r="AI416">
        <f>OR(AND(IF(metadata!I416="",FALSE,TRUE),OR(exact(metadata!I416,"missing: not collected"),exact(metadata!I416,"missing: not provided"),exact(metadata!I416,"missing: restricted access"))),AND(IF(metadata!I416="",FALSE,TRUE),OR(exact(metadata!I416,"air"),exact(metadata!I416,"built environment"),exact(metadata!I416,"host-associated"),exact(metadata!I416,"human-associated"),exact(metadata!I416,"human-skin"),exact(metadata!I416,"human-oral"),exact(metadata!I416,"human-gut"),exact(metadata!I416,"human-vaginal"),exact(metadata!I416,"microbial mat/biofilm"),exact(metadata!I416,"misc environment"),exact(metadata!I416,"plant-associated"),exact(metadata!I416,"sediment"),exact(metadata!I416,"soil"),exact(metadata!I416,"wastewater/sludge"),exact(metadata!I416,"water"))))</f>
        <v>0</v>
      </c>
      <c r="AJ416">
        <f>IF(metadata!J416="",FALSE,TRUE)</f>
        <v>0</v>
      </c>
      <c r="AK416">
        <f>OR(AND(IF(metadata!K416="",FALSE,TRUE),OR(exact(metadata!K416,"missing: not collected"),exact(metadata!K416,"missing: not provided"),exact(metadata!K416,"missing: restricted access"))),AND(IF(metadata!K416="",FALSE,ISNUMBER(VALUE(metadata!K416))),metadata!K416&gt;=-90.00,metadata!K416&lt;=90.00))</f>
        <v>0</v>
      </c>
      <c r="AL416">
        <f>OR(AND(IF(metadata!L416="",FALSE,TRUE),OR(exact(metadata!L416,"missing: not collected"),exact(metadata!L416,"missing: not provided"),exact(metadata!L416,"missing: restricted access"))),AND(IF(metadata!L416="",FALSE,ISNUMBER(VALUE(metadata!L416))),metadata!L416&gt;=-180.00,metadata!L416&lt;=180.00))</f>
        <v>0</v>
      </c>
      <c r="AM416">
        <f>IF(metadata!M416="",FALSE,TRUE)</f>
        <v>0</v>
      </c>
      <c r="AN416">
        <f>OR(AND(IF(metadata!N416="",FALSE,TRUE),OR(exact(metadata!N416,"missing: not collected"),exact(metadata!N416,"missing: not provided"),exact(metadata!N416,"missing: restricted access"))),AND(IF(metadata!N416="",FALSE,TRUE),OR(exact(metadata!N416,"TRUE"),exact(metadata!N416,"FALSE"))))</f>
        <v>0</v>
      </c>
      <c r="AO416">
        <f>IF(metadata!O416="",FALSE,TRUE)</f>
        <v>0</v>
      </c>
      <c r="AP416">
        <f>OR(AND(IF(metadata!P416="",FALSE,TRUE),OR(exact(metadata!P416,"missing: not collected"),exact(metadata!P416,"missing: not provided"))),AND(IF(metadata!P416="",FALSE,IF(ISERROR(INT(metadata!P416)),FALSE,INT(metadata!P416)=metadata!P416)),metadata!P416&gt;0))</f>
        <v>0</v>
      </c>
      <c r="AQ416">
        <f>IF(metadata!Q416="",FALSE,TRUE)</f>
        <v>0</v>
      </c>
    </row>
    <row r="417" spans="1:43">
      <c r="A417" s="5">
        <f>IF(B417=" "," ",HYPERLINK(CONCATENATE("#metadata!",ADDRESS(INDEX($W$2:$W$1001,MATCH(ROWS($U$2:U417),$U$2:$U$1001,0),0),1)),INDEX($Z$2:$Z$1001,MATCH(ROWS($U$2:U417),$U$2:$U$1001,0),0)))</f>
        <v>0</v>
      </c>
      <c r="B417" s="4">
        <f>IF(OR(INDEX($V$2:$V$1001,MATCH(ROWS($U$2:U417),$U$2:$U$1001,0),1)&gt;=100000,INDEX($AB$1005:$AQ$1005,1,MATCH(COLUMNS($AB$1006:AB1006),$AB$1006:$AQ$1006,0))&gt;=100000), " ",IF(INDEX($AB$2:$AQ$1001,MATCH(ROWS($U$2:U417),$U$2:$U$1001,0),MATCH(COLUMNS($AB$1006:AB1006),$AB$1006:$AQ$1006,0)), HYPERLINK("#",""), HYPERLINK(CONCATENATE("#metadata!", ADDRESS(INDEX($W$2:$W$1001,MATCH(ROWS($U$2:U417),$U$2:$U$1001,0),0), INDEX($AB$1004:$AQ$1004,1,MATCH(COLUMNS($AB$1006:AB1006),$AB$1006:$AQ$1006,0)))),"Fix")))</f>
        <v>0</v>
      </c>
      <c r="C417" s="4">
        <f>IF(OR(INDEX($V$2:$V$1001,MATCH(ROWS($U$2:U417),$U$2:$U$1001,0),1)&gt;=100000,INDEX($AB$1005:$AQ$1005,1,MATCH(COLUMNS($AB$1006:AC1006),$AB$1006:$AQ$1006,0))&gt;=100000), " ",IF(INDEX($AB$2:$AQ$1001,MATCH(ROWS($U$2:U417),$U$2:$U$1001,0),MATCH(COLUMNS($AB$1006:AC1006),$AB$1006:$AQ$1006,0)), HYPERLINK("#",""), HYPERLINK(CONCATENATE("#metadata!", ADDRESS(INDEX($W$2:$W$1001,MATCH(ROWS($U$2:U417),$U$2:$U$1001,0),0), INDEX($AB$1004:$AQ$1004,1,MATCH(COLUMNS($AB$1006:AC1006),$AB$1006:$AQ$1006,0)))),"Fix")))</f>
        <v>0</v>
      </c>
      <c r="D417" s="4">
        <f>IF(OR(INDEX($V$2:$V$1001,MATCH(ROWS($U$2:U417),$U$2:$U$1001,0),1)&gt;=100000,INDEX($AB$1005:$AQ$1005,1,MATCH(COLUMNS($AB$1006:AD1006),$AB$1006:$AQ$1006,0))&gt;=100000), " ",IF(INDEX($AB$2:$AQ$1001,MATCH(ROWS($U$2:U417),$U$2:$U$1001,0),MATCH(COLUMNS($AB$1006:AD1006),$AB$1006:$AQ$1006,0)), HYPERLINK("#",""), HYPERLINK(CONCATENATE("#metadata!", ADDRESS(INDEX($W$2:$W$1001,MATCH(ROWS($U$2:U417),$U$2:$U$1001,0),0), INDEX($AB$1004:$AQ$1004,1,MATCH(COLUMNS($AB$1006:AD1006),$AB$1006:$AQ$1006,0)))),"Fix")))</f>
        <v>0</v>
      </c>
      <c r="E417" s="4">
        <f>IF(OR(INDEX($V$2:$V$1001,MATCH(ROWS($U$2:U417),$U$2:$U$1001,0),1)&gt;=100000,INDEX($AB$1005:$AQ$1005,1,MATCH(COLUMNS($AB$1006:AE1006),$AB$1006:$AQ$1006,0))&gt;=100000), " ",IF(INDEX($AB$2:$AQ$1001,MATCH(ROWS($U$2:U417),$U$2:$U$1001,0),MATCH(COLUMNS($AB$1006:AE1006),$AB$1006:$AQ$1006,0)), HYPERLINK("#",""), HYPERLINK(CONCATENATE("#metadata!", ADDRESS(INDEX($W$2:$W$1001,MATCH(ROWS($U$2:U417),$U$2:$U$1001,0),0), INDEX($AB$1004:$AQ$1004,1,MATCH(COLUMNS($AB$1006:AE1006),$AB$1006:$AQ$1006,0)))),"Fix")))</f>
        <v>0</v>
      </c>
      <c r="F417" s="4">
        <f>IF(OR(INDEX($V$2:$V$1001,MATCH(ROWS($U$2:U417),$U$2:$U$1001,0),1)&gt;=100000,INDEX($AB$1005:$AQ$1005,1,MATCH(COLUMNS($AB$1006:AF1006),$AB$1006:$AQ$1006,0))&gt;=100000), " ",IF(INDEX($AB$2:$AQ$1001,MATCH(ROWS($U$2:U417),$U$2:$U$1001,0),MATCH(COLUMNS($AB$1006:AF1006),$AB$1006:$AQ$1006,0)), HYPERLINK("#",""), HYPERLINK(CONCATENATE("#metadata!", ADDRESS(INDEX($W$2:$W$1001,MATCH(ROWS($U$2:U417),$U$2:$U$1001,0),0), INDEX($AB$1004:$AQ$1004,1,MATCH(COLUMNS($AB$1006:AF1006),$AB$1006:$AQ$1006,0)))),"Fix")))</f>
        <v>0</v>
      </c>
      <c r="G417" s="4">
        <f>IF(OR(INDEX($V$2:$V$1001,MATCH(ROWS($U$2:U417),$U$2:$U$1001,0),1)&gt;=100000,INDEX($AB$1005:$AQ$1005,1,MATCH(COLUMNS($AB$1006:AG1006),$AB$1006:$AQ$1006,0))&gt;=100000), " ",IF(INDEX($AB$2:$AQ$1001,MATCH(ROWS($U$2:U417),$U$2:$U$1001,0),MATCH(COLUMNS($AB$1006:AG1006),$AB$1006:$AQ$1006,0)), HYPERLINK("#",""), HYPERLINK(CONCATENATE("#metadata!", ADDRESS(INDEX($W$2:$W$1001,MATCH(ROWS($U$2:U417),$U$2:$U$1001,0),0), INDEX($AB$1004:$AQ$1004,1,MATCH(COLUMNS($AB$1006:AG1006),$AB$1006:$AQ$1006,0)))),"Fix")))</f>
        <v>0</v>
      </c>
      <c r="H417" s="4">
        <f>IF(OR(INDEX($V$2:$V$1001,MATCH(ROWS($U$2:U417),$U$2:$U$1001,0),1)&gt;=100000,INDEX($AB$1005:$AQ$1005,1,MATCH(COLUMNS($AB$1006:AH1006),$AB$1006:$AQ$1006,0))&gt;=100000), " ",IF(INDEX($AB$2:$AQ$1001,MATCH(ROWS($U$2:U417),$U$2:$U$1001,0),MATCH(COLUMNS($AB$1006:AH1006),$AB$1006:$AQ$1006,0)), HYPERLINK("#",""), HYPERLINK(CONCATENATE("#metadata!", ADDRESS(INDEX($W$2:$W$1001,MATCH(ROWS($U$2:U417),$U$2:$U$1001,0),0), INDEX($AB$1004:$AQ$1004,1,MATCH(COLUMNS($AB$1006:AH1006),$AB$1006:$AQ$1006,0)))),"Fix")))</f>
        <v>0</v>
      </c>
      <c r="I417" s="4">
        <f>IF(OR(INDEX($V$2:$V$1001,MATCH(ROWS($U$2:U417),$U$2:$U$1001,0),1)&gt;=100000,INDEX($AB$1005:$AQ$1005,1,MATCH(COLUMNS($AB$1006:AI1006),$AB$1006:$AQ$1006,0))&gt;=100000), " ",IF(INDEX($AB$2:$AQ$1001,MATCH(ROWS($U$2:U417),$U$2:$U$1001,0),MATCH(COLUMNS($AB$1006:AI1006),$AB$1006:$AQ$1006,0)), HYPERLINK("#",""), HYPERLINK(CONCATENATE("#metadata!", ADDRESS(INDEX($W$2:$W$1001,MATCH(ROWS($U$2:U417),$U$2:$U$1001,0),0), INDEX($AB$1004:$AQ$1004,1,MATCH(COLUMNS($AB$1006:AI1006),$AB$1006:$AQ$1006,0)))),"Fix")))</f>
        <v>0</v>
      </c>
      <c r="J417" s="4">
        <f>IF(OR(INDEX($V$2:$V$1001,MATCH(ROWS($U$2:U417),$U$2:$U$1001,0),1)&gt;=100000,INDEX($AB$1005:$AQ$1005,1,MATCH(COLUMNS($AB$1006:AJ1006),$AB$1006:$AQ$1006,0))&gt;=100000), " ",IF(INDEX($AB$2:$AQ$1001,MATCH(ROWS($U$2:U417),$U$2:$U$1001,0),MATCH(COLUMNS($AB$1006:AJ1006),$AB$1006:$AQ$1006,0)), HYPERLINK("#",""), HYPERLINK(CONCATENATE("#metadata!", ADDRESS(INDEX($W$2:$W$1001,MATCH(ROWS($U$2:U417),$U$2:$U$1001,0),0), INDEX($AB$1004:$AQ$1004,1,MATCH(COLUMNS($AB$1006:AJ1006),$AB$1006:$AQ$1006,0)))),"Fix")))</f>
        <v>0</v>
      </c>
      <c r="K417" s="4">
        <f>IF(OR(INDEX($V$2:$V$1001,MATCH(ROWS($U$2:U417),$U$2:$U$1001,0),1)&gt;=100000,INDEX($AB$1005:$AQ$1005,1,MATCH(COLUMNS($AB$1006:AK1006),$AB$1006:$AQ$1006,0))&gt;=100000), " ",IF(INDEX($AB$2:$AQ$1001,MATCH(ROWS($U$2:U417),$U$2:$U$1001,0),MATCH(COLUMNS($AB$1006:AK1006),$AB$1006:$AQ$1006,0)), HYPERLINK("#",""), HYPERLINK(CONCATENATE("#metadata!", ADDRESS(INDEX($W$2:$W$1001,MATCH(ROWS($U$2:U417),$U$2:$U$1001,0),0), INDEX($AB$1004:$AQ$1004,1,MATCH(COLUMNS($AB$1006:AK1006),$AB$1006:$AQ$1006,0)))),"Fix")))</f>
        <v>0</v>
      </c>
      <c r="L417" s="4">
        <f>IF(OR(INDEX($V$2:$V$1001,MATCH(ROWS($U$2:U417),$U$2:$U$1001,0),1)&gt;=100000,INDEX($AB$1005:$AQ$1005,1,MATCH(COLUMNS($AB$1006:AL1006),$AB$1006:$AQ$1006,0))&gt;=100000), " ",IF(INDEX($AB$2:$AQ$1001,MATCH(ROWS($U$2:U417),$U$2:$U$1001,0),MATCH(COLUMNS($AB$1006:AL1006),$AB$1006:$AQ$1006,0)), HYPERLINK("#",""), HYPERLINK(CONCATENATE("#metadata!", ADDRESS(INDEX($W$2:$W$1001,MATCH(ROWS($U$2:U417),$U$2:$U$1001,0),0), INDEX($AB$1004:$AQ$1004,1,MATCH(COLUMNS($AB$1006:AL1006),$AB$1006:$AQ$1006,0)))),"Fix")))</f>
        <v>0</v>
      </c>
      <c r="M417" s="4">
        <f>IF(OR(INDEX($V$2:$V$1001,MATCH(ROWS($U$2:U417),$U$2:$U$1001,0),1)&gt;=100000,INDEX($AB$1005:$AQ$1005,1,MATCH(COLUMNS($AB$1006:AM1006),$AB$1006:$AQ$1006,0))&gt;=100000), " ",IF(INDEX($AB$2:$AQ$1001,MATCH(ROWS($U$2:U417),$U$2:$U$1001,0),MATCH(COLUMNS($AB$1006:AM1006),$AB$1006:$AQ$1006,0)), HYPERLINK("#",""), HYPERLINK(CONCATENATE("#metadata!", ADDRESS(INDEX($W$2:$W$1001,MATCH(ROWS($U$2:U417),$U$2:$U$1001,0),0), INDEX($AB$1004:$AQ$1004,1,MATCH(COLUMNS($AB$1006:AM1006),$AB$1006:$AQ$1006,0)))),"Fix")))</f>
        <v>0</v>
      </c>
      <c r="N417" s="4">
        <f>IF(OR(INDEX($V$2:$V$1001,MATCH(ROWS($U$2:U417),$U$2:$U$1001,0),1)&gt;=100000,INDEX($AB$1005:$AQ$1005,1,MATCH(COLUMNS($AB$1006:AN1006),$AB$1006:$AQ$1006,0))&gt;=100000), " ",IF(INDEX($AB$2:$AQ$1001,MATCH(ROWS($U$2:U417),$U$2:$U$1001,0),MATCH(COLUMNS($AB$1006:AN1006),$AB$1006:$AQ$1006,0)), HYPERLINK("#",""), HYPERLINK(CONCATENATE("#metadata!", ADDRESS(INDEX($W$2:$W$1001,MATCH(ROWS($U$2:U417),$U$2:$U$1001,0),0), INDEX($AB$1004:$AQ$1004,1,MATCH(COLUMNS($AB$1006:AN1006),$AB$1006:$AQ$1006,0)))),"Fix")))</f>
        <v>0</v>
      </c>
      <c r="O417" s="4">
        <f>IF(OR(INDEX($V$2:$V$1001,MATCH(ROWS($U$2:U417),$U$2:$U$1001,0),1)&gt;=100000,INDEX($AB$1005:$AQ$1005,1,MATCH(COLUMNS($AB$1006:AO1006),$AB$1006:$AQ$1006,0))&gt;=100000), " ",IF(INDEX($AB$2:$AQ$1001,MATCH(ROWS($U$2:U417),$U$2:$U$1001,0),MATCH(COLUMNS($AB$1006:AO1006),$AB$1006:$AQ$1006,0)), HYPERLINK("#",""), HYPERLINK(CONCATENATE("#metadata!", ADDRESS(INDEX($W$2:$W$1001,MATCH(ROWS($U$2:U417),$U$2:$U$1001,0),0), INDEX($AB$1004:$AQ$1004,1,MATCH(COLUMNS($AB$1006:AO1006),$AB$1006:$AQ$1006,0)))),"Fix")))</f>
        <v>0</v>
      </c>
      <c r="P417" s="4">
        <f>IF(OR(INDEX($V$2:$V$1001,MATCH(ROWS($U$2:U417),$U$2:$U$1001,0),1)&gt;=100000,INDEX($AB$1005:$AQ$1005,1,MATCH(COLUMNS($AB$1006:AP1006),$AB$1006:$AQ$1006,0))&gt;=100000), " ",IF(INDEX($AB$2:$AQ$1001,MATCH(ROWS($U$2:U417),$U$2:$U$1001,0),MATCH(COLUMNS($AB$1006:AP1006),$AB$1006:$AQ$1006,0)), HYPERLINK("#",""), HYPERLINK(CONCATENATE("#metadata!", ADDRESS(INDEX($W$2:$W$1001,MATCH(ROWS($U$2:U417),$U$2:$U$1001,0),0), INDEX($AB$1004:$AQ$1004,1,MATCH(COLUMNS($AB$1006:AP1006),$AB$1006:$AQ$1006,0)))),"Fix")))</f>
        <v>0</v>
      </c>
      <c r="Q417" s="4">
        <f>IF(OR(INDEX($V$2:$V$1001,MATCH(ROWS($U$2:U417),$U$2:$U$1001,0),1)&gt;=100000,INDEX($AB$1005:$AQ$1005,1,MATCH(COLUMNS($AB$1006:AQ1006),$AB$1006:$AQ$1006,0))&gt;=100000), " ",IF(INDEX($AB$2:$AQ$1001,MATCH(ROWS($U$2:U417),$U$2:$U$1001,0),MATCH(COLUMNS($AB$1006:AQ1006),$AB$1006:$AQ$1006,0)), HYPERLINK("#",""), HYPERLINK(CONCATENATE("#metadata!", ADDRESS(INDEX($W$2:$W$1001,MATCH(ROWS($U$2:U417),$U$2:$U$1001,0),0), INDEX($AB$1004:$AQ$1004,1,MATCH(COLUMNS($AB$1006:AQ1006),$AB$1006:$AQ$1006,0)))),"Fix")))</f>
        <v>0</v>
      </c>
      <c r="U417">
        <v>0</v>
      </c>
      <c r="V417">
        <v>0</v>
      </c>
      <c r="W417">
        <v>0</v>
      </c>
      <c r="X417">
        <f>IF(Y417,TRUE,AND(AB417:AQ417))</f>
        <v>0</v>
      </c>
      <c r="Y417">
        <f>COUNTBLANK(metadata!B417:Q417)=COLUMNS(metadata!B417:Q417)</f>
        <v>0</v>
      </c>
      <c r="Z417">
        <v>0</v>
      </c>
      <c r="AB417">
        <f>AND(IF(metadata!B417="",FALSE,TRUE),COUNTIF(metadata!B:B, metadata!B417) = 1,NOT(ISERROR(SUMPRODUCT(SEARCH(MID(metadata!B417,ROW(INDIRECT("1:"&amp;LEN(metadata!B417))), 1),"0123456789abcdefghijklmnopqrstuvwxyzABCDEFGHIJKLMNOPQRSTUVWXYZ.")))))</f>
        <v>0</v>
      </c>
      <c r="AC417">
        <f>OR(AND(IF(metadata!C417="",FALSE,TRUE),OR(exact(metadata!C417,"missing: not collected"),exact(metadata!C417,"missing: not provided"),exact(metadata!C417,"missing: restricted access"))),AND(IF(metadata!C417="",FALSE,TRUE),AND(AND(IFERROR(INT(LEFT(metadata!C417,4))&gt;1900,FALSE),IFERROR(INT(LEFT(metadata!C417,4))&lt;=YEAR(NOW()),FALSE)), OR(MID(metadata!C417,5,1)="", AND(AND(MID(metadata!C417,5,1)="-",IFERROR(INT(MID(metadata!C417,6,1))&gt;=0,FALSE),IFERROR(INT(MID(metadata!C417,6,1))&lt;=1,FALSE),NOT(MID(metadata!C417,7,1)=""),IFERROR(INT(MID(metadata!C417,6,2))&gt;=1,FALSE),IFERROR(INT(MID(metadata!C417,6,2))&lt;=12,FALSE)), OR(MID(metadata!C417,8,1)="", AND(AND(MID(metadata!C417,8,1)="-",IFERROR(INT(MID(metadata!C417,9,1))&gt;=0,FALSE),IFERROR(INT(MID(metadata!C417,9,1))&lt;=3,FALSE),NOT(MID(metadata!C417,10,1)=""),IFERROR(INT(MID(metadata!C417,9,2))&gt;=1,FALSE),IFERROR(INT(MID(metadata!C417,9,2))&lt;=31,FALSE)), OR(MID(metadata!C417,11,1)="", AND(AND(MID(metadata!C417,11,1)=" ",IFERROR(INT(MID(metadata!C417,12,1))&gt;=0,FALSE),IFERROR(INT(MID(metadata!C417,12,1))&lt;=2,FALSE),NOT(MID(metadata!C417,13,1)=""),IFERROR(INT(MID(metadata!C417,12,2))&gt;=0,FALSE),IFERROR(INT(MID(metadata!C417,12,2))&lt;=23,FALSE)), OR(MID(metadata!C417,14,1)="", AND(AND(MID(metadata!C417,14,1)=":",IFERROR(INT(MID(metadata!C417,15,1))&gt;=0,FALSE),IFERROR(INT(MID(metadata!C417,15,1))&lt;=5,FALSE),NOT(MID(metadata!C417,16,1)=""),IFERROR(INT(MID(metadata!C417,15,2))&gt;=0,FALSE),IFERROR(INT(MID(metadata!C417,15,2))&lt;=59,FALSE)), OR(MID(metadata!C417,17,1)="", AND(AND(MID(metadata!C417,17,1)=":",IFERROR(INT(MID(metadata!C417,18,1))&gt;=0,FALSE),IFERROR(INT(MID(metadata!C417,18,1))&lt;=5,FALSE),NOT(MID(metadata!C417,19,1)=""),IFERROR(INT(MID(metadata!C417,18,2))&gt;=0,FALSE),IFERROR(INT(MID(metadata!C417,18,2))&lt;=59,FALSE)), LEN(metadata!C417)&lt;=19)))))))))))))</f>
        <v>0</v>
      </c>
      <c r="AD417">
        <f>IF(metadata!D417="",FALSE,TRUE)</f>
        <v>0</v>
      </c>
      <c r="AE417">
        <f>OR(AND(IF(metadata!E417="",FALSE,TRUE),OR(exact(metadata!E417,"missing: not collected"),exact(metadata!E417,"missing: not provided"))),AND(IF(metadata!E417="",FALSE,TRUE),OR(exact(metadata!E417,"TRUE"),exact(metadata!E417,"FALSE"))))</f>
        <v>0</v>
      </c>
      <c r="AF417">
        <f>IF(metadata!F417="",FALSE,TRUE)</f>
        <v>0</v>
      </c>
      <c r="AG417">
        <f>IF(metadata!G417="",FALSE,TRUE)</f>
        <v>0</v>
      </c>
      <c r="AH417">
        <f>IF(metadata!H417="",FALSE,TRUE)</f>
        <v>0</v>
      </c>
      <c r="AI417">
        <f>OR(AND(IF(metadata!I417="",FALSE,TRUE),OR(exact(metadata!I417,"missing: not collected"),exact(metadata!I417,"missing: not provided"),exact(metadata!I417,"missing: restricted access"))),AND(IF(metadata!I417="",FALSE,TRUE),OR(exact(metadata!I417,"air"),exact(metadata!I417,"built environment"),exact(metadata!I417,"host-associated"),exact(metadata!I417,"human-associated"),exact(metadata!I417,"human-skin"),exact(metadata!I417,"human-oral"),exact(metadata!I417,"human-gut"),exact(metadata!I417,"human-vaginal"),exact(metadata!I417,"microbial mat/biofilm"),exact(metadata!I417,"misc environment"),exact(metadata!I417,"plant-associated"),exact(metadata!I417,"sediment"),exact(metadata!I417,"soil"),exact(metadata!I417,"wastewater/sludge"),exact(metadata!I417,"water"))))</f>
        <v>0</v>
      </c>
      <c r="AJ417">
        <f>IF(metadata!J417="",FALSE,TRUE)</f>
        <v>0</v>
      </c>
      <c r="AK417">
        <f>OR(AND(IF(metadata!K417="",FALSE,TRUE),OR(exact(metadata!K417,"missing: not collected"),exact(metadata!K417,"missing: not provided"),exact(metadata!K417,"missing: restricted access"))),AND(IF(metadata!K417="",FALSE,ISNUMBER(VALUE(metadata!K417))),metadata!K417&gt;=-90.00,metadata!K417&lt;=90.00))</f>
        <v>0</v>
      </c>
      <c r="AL417">
        <f>OR(AND(IF(metadata!L417="",FALSE,TRUE),OR(exact(metadata!L417,"missing: not collected"),exact(metadata!L417,"missing: not provided"),exact(metadata!L417,"missing: restricted access"))),AND(IF(metadata!L417="",FALSE,ISNUMBER(VALUE(metadata!L417))),metadata!L417&gt;=-180.00,metadata!L417&lt;=180.00))</f>
        <v>0</v>
      </c>
      <c r="AM417">
        <f>IF(metadata!M417="",FALSE,TRUE)</f>
        <v>0</v>
      </c>
      <c r="AN417">
        <f>OR(AND(IF(metadata!N417="",FALSE,TRUE),OR(exact(metadata!N417,"missing: not collected"),exact(metadata!N417,"missing: not provided"),exact(metadata!N417,"missing: restricted access"))),AND(IF(metadata!N417="",FALSE,TRUE),OR(exact(metadata!N417,"TRUE"),exact(metadata!N417,"FALSE"))))</f>
        <v>0</v>
      </c>
      <c r="AO417">
        <f>IF(metadata!O417="",FALSE,TRUE)</f>
        <v>0</v>
      </c>
      <c r="AP417">
        <f>OR(AND(IF(metadata!P417="",FALSE,TRUE),OR(exact(metadata!P417,"missing: not collected"),exact(metadata!P417,"missing: not provided"))),AND(IF(metadata!P417="",FALSE,IF(ISERROR(INT(metadata!P417)),FALSE,INT(metadata!P417)=metadata!P417)),metadata!P417&gt;0))</f>
        <v>0</v>
      </c>
      <c r="AQ417">
        <f>IF(metadata!Q417="",FALSE,TRUE)</f>
        <v>0</v>
      </c>
    </row>
    <row r="418" spans="1:43">
      <c r="A418" s="5">
        <f>IF(B418=" "," ",HYPERLINK(CONCATENATE("#metadata!",ADDRESS(INDEX($W$2:$W$1001,MATCH(ROWS($U$2:U418),$U$2:$U$1001,0),0),1)),INDEX($Z$2:$Z$1001,MATCH(ROWS($U$2:U418),$U$2:$U$1001,0),0)))</f>
        <v>0</v>
      </c>
      <c r="B418" s="4">
        <f>IF(OR(INDEX($V$2:$V$1001,MATCH(ROWS($U$2:U418),$U$2:$U$1001,0),1)&gt;=100000,INDEX($AB$1005:$AQ$1005,1,MATCH(COLUMNS($AB$1006:AB1006),$AB$1006:$AQ$1006,0))&gt;=100000), " ",IF(INDEX($AB$2:$AQ$1001,MATCH(ROWS($U$2:U418),$U$2:$U$1001,0),MATCH(COLUMNS($AB$1006:AB1006),$AB$1006:$AQ$1006,0)), HYPERLINK("#",""), HYPERLINK(CONCATENATE("#metadata!", ADDRESS(INDEX($W$2:$W$1001,MATCH(ROWS($U$2:U418),$U$2:$U$1001,0),0), INDEX($AB$1004:$AQ$1004,1,MATCH(COLUMNS($AB$1006:AB1006),$AB$1006:$AQ$1006,0)))),"Fix")))</f>
        <v>0</v>
      </c>
      <c r="C418" s="4">
        <f>IF(OR(INDEX($V$2:$V$1001,MATCH(ROWS($U$2:U418),$U$2:$U$1001,0),1)&gt;=100000,INDEX($AB$1005:$AQ$1005,1,MATCH(COLUMNS($AB$1006:AC1006),$AB$1006:$AQ$1006,0))&gt;=100000), " ",IF(INDEX($AB$2:$AQ$1001,MATCH(ROWS($U$2:U418),$U$2:$U$1001,0),MATCH(COLUMNS($AB$1006:AC1006),$AB$1006:$AQ$1006,0)), HYPERLINK("#",""), HYPERLINK(CONCATENATE("#metadata!", ADDRESS(INDEX($W$2:$W$1001,MATCH(ROWS($U$2:U418),$U$2:$U$1001,0),0), INDEX($AB$1004:$AQ$1004,1,MATCH(COLUMNS($AB$1006:AC1006),$AB$1006:$AQ$1006,0)))),"Fix")))</f>
        <v>0</v>
      </c>
      <c r="D418" s="4">
        <f>IF(OR(INDEX($V$2:$V$1001,MATCH(ROWS($U$2:U418),$U$2:$U$1001,0),1)&gt;=100000,INDEX($AB$1005:$AQ$1005,1,MATCH(COLUMNS($AB$1006:AD1006),$AB$1006:$AQ$1006,0))&gt;=100000), " ",IF(INDEX($AB$2:$AQ$1001,MATCH(ROWS($U$2:U418),$U$2:$U$1001,0),MATCH(COLUMNS($AB$1006:AD1006),$AB$1006:$AQ$1006,0)), HYPERLINK("#",""), HYPERLINK(CONCATENATE("#metadata!", ADDRESS(INDEX($W$2:$W$1001,MATCH(ROWS($U$2:U418),$U$2:$U$1001,0),0), INDEX($AB$1004:$AQ$1004,1,MATCH(COLUMNS($AB$1006:AD1006),$AB$1006:$AQ$1006,0)))),"Fix")))</f>
        <v>0</v>
      </c>
      <c r="E418" s="4">
        <f>IF(OR(INDEX($V$2:$V$1001,MATCH(ROWS($U$2:U418),$U$2:$U$1001,0),1)&gt;=100000,INDEX($AB$1005:$AQ$1005,1,MATCH(COLUMNS($AB$1006:AE1006),$AB$1006:$AQ$1006,0))&gt;=100000), " ",IF(INDEX($AB$2:$AQ$1001,MATCH(ROWS($U$2:U418),$U$2:$U$1001,0),MATCH(COLUMNS($AB$1006:AE1006),$AB$1006:$AQ$1006,0)), HYPERLINK("#",""), HYPERLINK(CONCATENATE("#metadata!", ADDRESS(INDEX($W$2:$W$1001,MATCH(ROWS($U$2:U418),$U$2:$U$1001,0),0), INDEX($AB$1004:$AQ$1004,1,MATCH(COLUMNS($AB$1006:AE1006),$AB$1006:$AQ$1006,0)))),"Fix")))</f>
        <v>0</v>
      </c>
      <c r="F418" s="4">
        <f>IF(OR(INDEX($V$2:$V$1001,MATCH(ROWS($U$2:U418),$U$2:$U$1001,0),1)&gt;=100000,INDEX($AB$1005:$AQ$1005,1,MATCH(COLUMNS($AB$1006:AF1006),$AB$1006:$AQ$1006,0))&gt;=100000), " ",IF(INDEX($AB$2:$AQ$1001,MATCH(ROWS($U$2:U418),$U$2:$U$1001,0),MATCH(COLUMNS($AB$1006:AF1006),$AB$1006:$AQ$1006,0)), HYPERLINK("#",""), HYPERLINK(CONCATENATE("#metadata!", ADDRESS(INDEX($W$2:$W$1001,MATCH(ROWS($U$2:U418),$U$2:$U$1001,0),0), INDEX($AB$1004:$AQ$1004,1,MATCH(COLUMNS($AB$1006:AF1006),$AB$1006:$AQ$1006,0)))),"Fix")))</f>
        <v>0</v>
      </c>
      <c r="G418" s="4">
        <f>IF(OR(INDEX($V$2:$V$1001,MATCH(ROWS($U$2:U418),$U$2:$U$1001,0),1)&gt;=100000,INDEX($AB$1005:$AQ$1005,1,MATCH(COLUMNS($AB$1006:AG1006),$AB$1006:$AQ$1006,0))&gt;=100000), " ",IF(INDEX($AB$2:$AQ$1001,MATCH(ROWS($U$2:U418),$U$2:$U$1001,0),MATCH(COLUMNS($AB$1006:AG1006),$AB$1006:$AQ$1006,0)), HYPERLINK("#",""), HYPERLINK(CONCATENATE("#metadata!", ADDRESS(INDEX($W$2:$W$1001,MATCH(ROWS($U$2:U418),$U$2:$U$1001,0),0), INDEX($AB$1004:$AQ$1004,1,MATCH(COLUMNS($AB$1006:AG1006),$AB$1006:$AQ$1006,0)))),"Fix")))</f>
        <v>0</v>
      </c>
      <c r="H418" s="4">
        <f>IF(OR(INDEX($V$2:$V$1001,MATCH(ROWS($U$2:U418),$U$2:$U$1001,0),1)&gt;=100000,INDEX($AB$1005:$AQ$1005,1,MATCH(COLUMNS($AB$1006:AH1006),$AB$1006:$AQ$1006,0))&gt;=100000), " ",IF(INDEX($AB$2:$AQ$1001,MATCH(ROWS($U$2:U418),$U$2:$U$1001,0),MATCH(COLUMNS($AB$1006:AH1006),$AB$1006:$AQ$1006,0)), HYPERLINK("#",""), HYPERLINK(CONCATENATE("#metadata!", ADDRESS(INDEX($W$2:$W$1001,MATCH(ROWS($U$2:U418),$U$2:$U$1001,0),0), INDEX($AB$1004:$AQ$1004,1,MATCH(COLUMNS($AB$1006:AH1006),$AB$1006:$AQ$1006,0)))),"Fix")))</f>
        <v>0</v>
      </c>
      <c r="I418" s="4">
        <f>IF(OR(INDEX($V$2:$V$1001,MATCH(ROWS($U$2:U418),$U$2:$U$1001,0),1)&gt;=100000,INDEX($AB$1005:$AQ$1005,1,MATCH(COLUMNS($AB$1006:AI1006),$AB$1006:$AQ$1006,0))&gt;=100000), " ",IF(INDEX($AB$2:$AQ$1001,MATCH(ROWS($U$2:U418),$U$2:$U$1001,0),MATCH(COLUMNS($AB$1006:AI1006),$AB$1006:$AQ$1006,0)), HYPERLINK("#",""), HYPERLINK(CONCATENATE("#metadata!", ADDRESS(INDEX($W$2:$W$1001,MATCH(ROWS($U$2:U418),$U$2:$U$1001,0),0), INDEX($AB$1004:$AQ$1004,1,MATCH(COLUMNS($AB$1006:AI1006),$AB$1006:$AQ$1006,0)))),"Fix")))</f>
        <v>0</v>
      </c>
      <c r="J418" s="4">
        <f>IF(OR(INDEX($V$2:$V$1001,MATCH(ROWS($U$2:U418),$U$2:$U$1001,0),1)&gt;=100000,INDEX($AB$1005:$AQ$1005,1,MATCH(COLUMNS($AB$1006:AJ1006),$AB$1006:$AQ$1006,0))&gt;=100000), " ",IF(INDEX($AB$2:$AQ$1001,MATCH(ROWS($U$2:U418),$U$2:$U$1001,0),MATCH(COLUMNS($AB$1006:AJ1006),$AB$1006:$AQ$1006,0)), HYPERLINK("#",""), HYPERLINK(CONCATENATE("#metadata!", ADDRESS(INDEX($W$2:$W$1001,MATCH(ROWS($U$2:U418),$U$2:$U$1001,0),0), INDEX($AB$1004:$AQ$1004,1,MATCH(COLUMNS($AB$1006:AJ1006),$AB$1006:$AQ$1006,0)))),"Fix")))</f>
        <v>0</v>
      </c>
      <c r="K418" s="4">
        <f>IF(OR(INDEX($V$2:$V$1001,MATCH(ROWS($U$2:U418),$U$2:$U$1001,0),1)&gt;=100000,INDEX($AB$1005:$AQ$1005,1,MATCH(COLUMNS($AB$1006:AK1006),$AB$1006:$AQ$1006,0))&gt;=100000), " ",IF(INDEX($AB$2:$AQ$1001,MATCH(ROWS($U$2:U418),$U$2:$U$1001,0),MATCH(COLUMNS($AB$1006:AK1006),$AB$1006:$AQ$1006,0)), HYPERLINK("#",""), HYPERLINK(CONCATENATE("#metadata!", ADDRESS(INDEX($W$2:$W$1001,MATCH(ROWS($U$2:U418),$U$2:$U$1001,0),0), INDEX($AB$1004:$AQ$1004,1,MATCH(COLUMNS($AB$1006:AK1006),$AB$1006:$AQ$1006,0)))),"Fix")))</f>
        <v>0</v>
      </c>
      <c r="L418" s="4">
        <f>IF(OR(INDEX($V$2:$V$1001,MATCH(ROWS($U$2:U418),$U$2:$U$1001,0),1)&gt;=100000,INDEX($AB$1005:$AQ$1005,1,MATCH(COLUMNS($AB$1006:AL1006),$AB$1006:$AQ$1006,0))&gt;=100000), " ",IF(INDEX($AB$2:$AQ$1001,MATCH(ROWS($U$2:U418),$U$2:$U$1001,0),MATCH(COLUMNS($AB$1006:AL1006),$AB$1006:$AQ$1006,0)), HYPERLINK("#",""), HYPERLINK(CONCATENATE("#metadata!", ADDRESS(INDEX($W$2:$W$1001,MATCH(ROWS($U$2:U418),$U$2:$U$1001,0),0), INDEX($AB$1004:$AQ$1004,1,MATCH(COLUMNS($AB$1006:AL1006),$AB$1006:$AQ$1006,0)))),"Fix")))</f>
        <v>0</v>
      </c>
      <c r="M418" s="4">
        <f>IF(OR(INDEX($V$2:$V$1001,MATCH(ROWS($U$2:U418),$U$2:$U$1001,0),1)&gt;=100000,INDEX($AB$1005:$AQ$1005,1,MATCH(COLUMNS($AB$1006:AM1006),$AB$1006:$AQ$1006,0))&gt;=100000), " ",IF(INDEX($AB$2:$AQ$1001,MATCH(ROWS($U$2:U418),$U$2:$U$1001,0),MATCH(COLUMNS($AB$1006:AM1006),$AB$1006:$AQ$1006,0)), HYPERLINK("#",""), HYPERLINK(CONCATENATE("#metadata!", ADDRESS(INDEX($W$2:$W$1001,MATCH(ROWS($U$2:U418),$U$2:$U$1001,0),0), INDEX($AB$1004:$AQ$1004,1,MATCH(COLUMNS($AB$1006:AM1006),$AB$1006:$AQ$1006,0)))),"Fix")))</f>
        <v>0</v>
      </c>
      <c r="N418" s="4">
        <f>IF(OR(INDEX($V$2:$V$1001,MATCH(ROWS($U$2:U418),$U$2:$U$1001,0),1)&gt;=100000,INDEX($AB$1005:$AQ$1005,1,MATCH(COLUMNS($AB$1006:AN1006),$AB$1006:$AQ$1006,0))&gt;=100000), " ",IF(INDEX($AB$2:$AQ$1001,MATCH(ROWS($U$2:U418),$U$2:$U$1001,0),MATCH(COLUMNS($AB$1006:AN1006),$AB$1006:$AQ$1006,0)), HYPERLINK("#",""), HYPERLINK(CONCATENATE("#metadata!", ADDRESS(INDEX($W$2:$W$1001,MATCH(ROWS($U$2:U418),$U$2:$U$1001,0),0), INDEX($AB$1004:$AQ$1004,1,MATCH(COLUMNS($AB$1006:AN1006),$AB$1006:$AQ$1006,0)))),"Fix")))</f>
        <v>0</v>
      </c>
      <c r="O418" s="4">
        <f>IF(OR(INDEX($V$2:$V$1001,MATCH(ROWS($U$2:U418),$U$2:$U$1001,0),1)&gt;=100000,INDEX($AB$1005:$AQ$1005,1,MATCH(COLUMNS($AB$1006:AO1006),$AB$1006:$AQ$1006,0))&gt;=100000), " ",IF(INDEX($AB$2:$AQ$1001,MATCH(ROWS($U$2:U418),$U$2:$U$1001,0),MATCH(COLUMNS($AB$1006:AO1006),$AB$1006:$AQ$1006,0)), HYPERLINK("#",""), HYPERLINK(CONCATENATE("#metadata!", ADDRESS(INDEX($W$2:$W$1001,MATCH(ROWS($U$2:U418),$U$2:$U$1001,0),0), INDEX($AB$1004:$AQ$1004,1,MATCH(COLUMNS($AB$1006:AO1006),$AB$1006:$AQ$1006,0)))),"Fix")))</f>
        <v>0</v>
      </c>
      <c r="P418" s="4">
        <f>IF(OR(INDEX($V$2:$V$1001,MATCH(ROWS($U$2:U418),$U$2:$U$1001,0),1)&gt;=100000,INDEX($AB$1005:$AQ$1005,1,MATCH(COLUMNS($AB$1006:AP1006),$AB$1006:$AQ$1006,0))&gt;=100000), " ",IF(INDEX($AB$2:$AQ$1001,MATCH(ROWS($U$2:U418),$U$2:$U$1001,0),MATCH(COLUMNS($AB$1006:AP1006),$AB$1006:$AQ$1006,0)), HYPERLINK("#",""), HYPERLINK(CONCATENATE("#metadata!", ADDRESS(INDEX($W$2:$W$1001,MATCH(ROWS($U$2:U418),$U$2:$U$1001,0),0), INDEX($AB$1004:$AQ$1004,1,MATCH(COLUMNS($AB$1006:AP1006),$AB$1006:$AQ$1006,0)))),"Fix")))</f>
        <v>0</v>
      </c>
      <c r="Q418" s="4">
        <f>IF(OR(INDEX($V$2:$V$1001,MATCH(ROWS($U$2:U418),$U$2:$U$1001,0),1)&gt;=100000,INDEX($AB$1005:$AQ$1005,1,MATCH(COLUMNS($AB$1006:AQ1006),$AB$1006:$AQ$1006,0))&gt;=100000), " ",IF(INDEX($AB$2:$AQ$1001,MATCH(ROWS($U$2:U418),$U$2:$U$1001,0),MATCH(COLUMNS($AB$1006:AQ1006),$AB$1006:$AQ$1006,0)), HYPERLINK("#",""), HYPERLINK(CONCATENATE("#metadata!", ADDRESS(INDEX($W$2:$W$1001,MATCH(ROWS($U$2:U418),$U$2:$U$1001,0),0), INDEX($AB$1004:$AQ$1004,1,MATCH(COLUMNS($AB$1006:AQ1006),$AB$1006:$AQ$1006,0)))),"Fix")))</f>
        <v>0</v>
      </c>
      <c r="U418">
        <v>0</v>
      </c>
      <c r="V418">
        <v>0</v>
      </c>
      <c r="W418">
        <v>0</v>
      </c>
      <c r="X418">
        <f>IF(Y418,TRUE,AND(AB418:AQ418))</f>
        <v>0</v>
      </c>
      <c r="Y418">
        <f>COUNTBLANK(metadata!B418:Q418)=COLUMNS(metadata!B418:Q418)</f>
        <v>0</v>
      </c>
      <c r="Z418">
        <v>0</v>
      </c>
      <c r="AB418">
        <f>AND(IF(metadata!B418="",FALSE,TRUE),COUNTIF(metadata!B:B, metadata!B418) = 1,NOT(ISERROR(SUMPRODUCT(SEARCH(MID(metadata!B418,ROW(INDIRECT("1:"&amp;LEN(metadata!B418))), 1),"0123456789abcdefghijklmnopqrstuvwxyzABCDEFGHIJKLMNOPQRSTUVWXYZ.")))))</f>
        <v>0</v>
      </c>
      <c r="AC418">
        <f>OR(AND(IF(metadata!C418="",FALSE,TRUE),OR(exact(metadata!C418,"missing: not collected"),exact(metadata!C418,"missing: not provided"),exact(metadata!C418,"missing: restricted access"))),AND(IF(metadata!C418="",FALSE,TRUE),AND(AND(IFERROR(INT(LEFT(metadata!C418,4))&gt;1900,FALSE),IFERROR(INT(LEFT(metadata!C418,4))&lt;=YEAR(NOW()),FALSE)), OR(MID(metadata!C418,5,1)="", AND(AND(MID(metadata!C418,5,1)="-",IFERROR(INT(MID(metadata!C418,6,1))&gt;=0,FALSE),IFERROR(INT(MID(metadata!C418,6,1))&lt;=1,FALSE),NOT(MID(metadata!C418,7,1)=""),IFERROR(INT(MID(metadata!C418,6,2))&gt;=1,FALSE),IFERROR(INT(MID(metadata!C418,6,2))&lt;=12,FALSE)), OR(MID(metadata!C418,8,1)="", AND(AND(MID(metadata!C418,8,1)="-",IFERROR(INT(MID(metadata!C418,9,1))&gt;=0,FALSE),IFERROR(INT(MID(metadata!C418,9,1))&lt;=3,FALSE),NOT(MID(metadata!C418,10,1)=""),IFERROR(INT(MID(metadata!C418,9,2))&gt;=1,FALSE),IFERROR(INT(MID(metadata!C418,9,2))&lt;=31,FALSE)), OR(MID(metadata!C418,11,1)="", AND(AND(MID(metadata!C418,11,1)=" ",IFERROR(INT(MID(metadata!C418,12,1))&gt;=0,FALSE),IFERROR(INT(MID(metadata!C418,12,1))&lt;=2,FALSE),NOT(MID(metadata!C418,13,1)=""),IFERROR(INT(MID(metadata!C418,12,2))&gt;=0,FALSE),IFERROR(INT(MID(metadata!C418,12,2))&lt;=23,FALSE)), OR(MID(metadata!C418,14,1)="", AND(AND(MID(metadata!C418,14,1)=":",IFERROR(INT(MID(metadata!C418,15,1))&gt;=0,FALSE),IFERROR(INT(MID(metadata!C418,15,1))&lt;=5,FALSE),NOT(MID(metadata!C418,16,1)=""),IFERROR(INT(MID(metadata!C418,15,2))&gt;=0,FALSE),IFERROR(INT(MID(metadata!C418,15,2))&lt;=59,FALSE)), OR(MID(metadata!C418,17,1)="", AND(AND(MID(metadata!C418,17,1)=":",IFERROR(INT(MID(metadata!C418,18,1))&gt;=0,FALSE),IFERROR(INT(MID(metadata!C418,18,1))&lt;=5,FALSE),NOT(MID(metadata!C418,19,1)=""),IFERROR(INT(MID(metadata!C418,18,2))&gt;=0,FALSE),IFERROR(INT(MID(metadata!C418,18,2))&lt;=59,FALSE)), LEN(metadata!C418)&lt;=19)))))))))))))</f>
        <v>0</v>
      </c>
      <c r="AD418">
        <f>IF(metadata!D418="",FALSE,TRUE)</f>
        <v>0</v>
      </c>
      <c r="AE418">
        <f>OR(AND(IF(metadata!E418="",FALSE,TRUE),OR(exact(metadata!E418,"missing: not collected"),exact(metadata!E418,"missing: not provided"))),AND(IF(metadata!E418="",FALSE,TRUE),OR(exact(metadata!E418,"TRUE"),exact(metadata!E418,"FALSE"))))</f>
        <v>0</v>
      </c>
      <c r="AF418">
        <f>IF(metadata!F418="",FALSE,TRUE)</f>
        <v>0</v>
      </c>
      <c r="AG418">
        <f>IF(metadata!G418="",FALSE,TRUE)</f>
        <v>0</v>
      </c>
      <c r="AH418">
        <f>IF(metadata!H418="",FALSE,TRUE)</f>
        <v>0</v>
      </c>
      <c r="AI418">
        <f>OR(AND(IF(metadata!I418="",FALSE,TRUE),OR(exact(metadata!I418,"missing: not collected"),exact(metadata!I418,"missing: not provided"),exact(metadata!I418,"missing: restricted access"))),AND(IF(metadata!I418="",FALSE,TRUE),OR(exact(metadata!I418,"air"),exact(metadata!I418,"built environment"),exact(metadata!I418,"host-associated"),exact(metadata!I418,"human-associated"),exact(metadata!I418,"human-skin"),exact(metadata!I418,"human-oral"),exact(metadata!I418,"human-gut"),exact(metadata!I418,"human-vaginal"),exact(metadata!I418,"microbial mat/biofilm"),exact(metadata!I418,"misc environment"),exact(metadata!I418,"plant-associated"),exact(metadata!I418,"sediment"),exact(metadata!I418,"soil"),exact(metadata!I418,"wastewater/sludge"),exact(metadata!I418,"water"))))</f>
        <v>0</v>
      </c>
      <c r="AJ418">
        <f>IF(metadata!J418="",FALSE,TRUE)</f>
        <v>0</v>
      </c>
      <c r="AK418">
        <f>OR(AND(IF(metadata!K418="",FALSE,TRUE),OR(exact(metadata!K418,"missing: not collected"),exact(metadata!K418,"missing: not provided"),exact(metadata!K418,"missing: restricted access"))),AND(IF(metadata!K418="",FALSE,ISNUMBER(VALUE(metadata!K418))),metadata!K418&gt;=-90.00,metadata!K418&lt;=90.00))</f>
        <v>0</v>
      </c>
      <c r="AL418">
        <f>OR(AND(IF(metadata!L418="",FALSE,TRUE),OR(exact(metadata!L418,"missing: not collected"),exact(metadata!L418,"missing: not provided"),exact(metadata!L418,"missing: restricted access"))),AND(IF(metadata!L418="",FALSE,ISNUMBER(VALUE(metadata!L418))),metadata!L418&gt;=-180.00,metadata!L418&lt;=180.00))</f>
        <v>0</v>
      </c>
      <c r="AM418">
        <f>IF(metadata!M418="",FALSE,TRUE)</f>
        <v>0</v>
      </c>
      <c r="AN418">
        <f>OR(AND(IF(metadata!N418="",FALSE,TRUE),OR(exact(metadata!N418,"missing: not collected"),exact(metadata!N418,"missing: not provided"),exact(metadata!N418,"missing: restricted access"))),AND(IF(metadata!N418="",FALSE,TRUE),OR(exact(metadata!N418,"TRUE"),exact(metadata!N418,"FALSE"))))</f>
        <v>0</v>
      </c>
      <c r="AO418">
        <f>IF(metadata!O418="",FALSE,TRUE)</f>
        <v>0</v>
      </c>
      <c r="AP418">
        <f>OR(AND(IF(metadata!P418="",FALSE,TRUE),OR(exact(metadata!P418,"missing: not collected"),exact(metadata!P418,"missing: not provided"))),AND(IF(metadata!P418="",FALSE,IF(ISERROR(INT(metadata!P418)),FALSE,INT(metadata!P418)=metadata!P418)),metadata!P418&gt;0))</f>
        <v>0</v>
      </c>
      <c r="AQ418">
        <f>IF(metadata!Q418="",FALSE,TRUE)</f>
        <v>0</v>
      </c>
    </row>
    <row r="419" spans="1:43">
      <c r="A419" s="5">
        <f>IF(B419=" "," ",HYPERLINK(CONCATENATE("#metadata!",ADDRESS(INDEX($W$2:$W$1001,MATCH(ROWS($U$2:U419),$U$2:$U$1001,0),0),1)),INDEX($Z$2:$Z$1001,MATCH(ROWS($U$2:U419),$U$2:$U$1001,0),0)))</f>
        <v>0</v>
      </c>
      <c r="B419" s="4">
        <f>IF(OR(INDEX($V$2:$V$1001,MATCH(ROWS($U$2:U419),$U$2:$U$1001,0),1)&gt;=100000,INDEX($AB$1005:$AQ$1005,1,MATCH(COLUMNS($AB$1006:AB1006),$AB$1006:$AQ$1006,0))&gt;=100000), " ",IF(INDEX($AB$2:$AQ$1001,MATCH(ROWS($U$2:U419),$U$2:$U$1001,0),MATCH(COLUMNS($AB$1006:AB1006),$AB$1006:$AQ$1006,0)), HYPERLINK("#",""), HYPERLINK(CONCATENATE("#metadata!", ADDRESS(INDEX($W$2:$W$1001,MATCH(ROWS($U$2:U419),$U$2:$U$1001,0),0), INDEX($AB$1004:$AQ$1004,1,MATCH(COLUMNS($AB$1006:AB1006),$AB$1006:$AQ$1006,0)))),"Fix")))</f>
        <v>0</v>
      </c>
      <c r="C419" s="4">
        <f>IF(OR(INDEX($V$2:$V$1001,MATCH(ROWS($U$2:U419),$U$2:$U$1001,0),1)&gt;=100000,INDEX($AB$1005:$AQ$1005,1,MATCH(COLUMNS($AB$1006:AC1006),$AB$1006:$AQ$1006,0))&gt;=100000), " ",IF(INDEX($AB$2:$AQ$1001,MATCH(ROWS($U$2:U419),$U$2:$U$1001,0),MATCH(COLUMNS($AB$1006:AC1006),$AB$1006:$AQ$1006,0)), HYPERLINK("#",""), HYPERLINK(CONCATENATE("#metadata!", ADDRESS(INDEX($W$2:$W$1001,MATCH(ROWS($U$2:U419),$U$2:$U$1001,0),0), INDEX($AB$1004:$AQ$1004,1,MATCH(COLUMNS($AB$1006:AC1006),$AB$1006:$AQ$1006,0)))),"Fix")))</f>
        <v>0</v>
      </c>
      <c r="D419" s="4">
        <f>IF(OR(INDEX($V$2:$V$1001,MATCH(ROWS($U$2:U419),$U$2:$U$1001,0),1)&gt;=100000,INDEX($AB$1005:$AQ$1005,1,MATCH(COLUMNS($AB$1006:AD1006),$AB$1006:$AQ$1006,0))&gt;=100000), " ",IF(INDEX($AB$2:$AQ$1001,MATCH(ROWS($U$2:U419),$U$2:$U$1001,0),MATCH(COLUMNS($AB$1006:AD1006),$AB$1006:$AQ$1006,0)), HYPERLINK("#",""), HYPERLINK(CONCATENATE("#metadata!", ADDRESS(INDEX($W$2:$W$1001,MATCH(ROWS($U$2:U419),$U$2:$U$1001,0),0), INDEX($AB$1004:$AQ$1004,1,MATCH(COLUMNS($AB$1006:AD1006),$AB$1006:$AQ$1006,0)))),"Fix")))</f>
        <v>0</v>
      </c>
      <c r="E419" s="4">
        <f>IF(OR(INDEX($V$2:$V$1001,MATCH(ROWS($U$2:U419),$U$2:$U$1001,0),1)&gt;=100000,INDEX($AB$1005:$AQ$1005,1,MATCH(COLUMNS($AB$1006:AE1006),$AB$1006:$AQ$1006,0))&gt;=100000), " ",IF(INDEX($AB$2:$AQ$1001,MATCH(ROWS($U$2:U419),$U$2:$U$1001,0),MATCH(COLUMNS($AB$1006:AE1006),$AB$1006:$AQ$1006,0)), HYPERLINK("#",""), HYPERLINK(CONCATENATE("#metadata!", ADDRESS(INDEX($W$2:$W$1001,MATCH(ROWS($U$2:U419),$U$2:$U$1001,0),0), INDEX($AB$1004:$AQ$1004,1,MATCH(COLUMNS($AB$1006:AE1006),$AB$1006:$AQ$1006,0)))),"Fix")))</f>
        <v>0</v>
      </c>
      <c r="F419" s="4">
        <f>IF(OR(INDEX($V$2:$V$1001,MATCH(ROWS($U$2:U419),$U$2:$U$1001,0),1)&gt;=100000,INDEX($AB$1005:$AQ$1005,1,MATCH(COLUMNS($AB$1006:AF1006),$AB$1006:$AQ$1006,0))&gt;=100000), " ",IF(INDEX($AB$2:$AQ$1001,MATCH(ROWS($U$2:U419),$U$2:$U$1001,0),MATCH(COLUMNS($AB$1006:AF1006),$AB$1006:$AQ$1006,0)), HYPERLINK("#",""), HYPERLINK(CONCATENATE("#metadata!", ADDRESS(INDEX($W$2:$W$1001,MATCH(ROWS($U$2:U419),$U$2:$U$1001,0),0), INDEX($AB$1004:$AQ$1004,1,MATCH(COLUMNS($AB$1006:AF1006),$AB$1006:$AQ$1006,0)))),"Fix")))</f>
        <v>0</v>
      </c>
      <c r="G419" s="4">
        <f>IF(OR(INDEX($V$2:$V$1001,MATCH(ROWS($U$2:U419),$U$2:$U$1001,0),1)&gt;=100000,INDEX($AB$1005:$AQ$1005,1,MATCH(COLUMNS($AB$1006:AG1006),$AB$1006:$AQ$1006,0))&gt;=100000), " ",IF(INDEX($AB$2:$AQ$1001,MATCH(ROWS($U$2:U419),$U$2:$U$1001,0),MATCH(COLUMNS($AB$1006:AG1006),$AB$1006:$AQ$1006,0)), HYPERLINK("#",""), HYPERLINK(CONCATENATE("#metadata!", ADDRESS(INDEX($W$2:$W$1001,MATCH(ROWS($U$2:U419),$U$2:$U$1001,0),0), INDEX($AB$1004:$AQ$1004,1,MATCH(COLUMNS($AB$1006:AG1006),$AB$1006:$AQ$1006,0)))),"Fix")))</f>
        <v>0</v>
      </c>
      <c r="H419" s="4">
        <f>IF(OR(INDEX($V$2:$V$1001,MATCH(ROWS($U$2:U419),$U$2:$U$1001,0),1)&gt;=100000,INDEX($AB$1005:$AQ$1005,1,MATCH(COLUMNS($AB$1006:AH1006),$AB$1006:$AQ$1006,0))&gt;=100000), " ",IF(INDEX($AB$2:$AQ$1001,MATCH(ROWS($U$2:U419),$U$2:$U$1001,0),MATCH(COLUMNS($AB$1006:AH1006),$AB$1006:$AQ$1006,0)), HYPERLINK("#",""), HYPERLINK(CONCATENATE("#metadata!", ADDRESS(INDEX($W$2:$W$1001,MATCH(ROWS($U$2:U419),$U$2:$U$1001,0),0), INDEX($AB$1004:$AQ$1004,1,MATCH(COLUMNS($AB$1006:AH1006),$AB$1006:$AQ$1006,0)))),"Fix")))</f>
        <v>0</v>
      </c>
      <c r="I419" s="4">
        <f>IF(OR(INDEX($V$2:$V$1001,MATCH(ROWS($U$2:U419),$U$2:$U$1001,0),1)&gt;=100000,INDEX($AB$1005:$AQ$1005,1,MATCH(COLUMNS($AB$1006:AI1006),$AB$1006:$AQ$1006,0))&gt;=100000), " ",IF(INDEX($AB$2:$AQ$1001,MATCH(ROWS($U$2:U419),$U$2:$U$1001,0),MATCH(COLUMNS($AB$1006:AI1006),$AB$1006:$AQ$1006,0)), HYPERLINK("#",""), HYPERLINK(CONCATENATE("#metadata!", ADDRESS(INDEX($W$2:$W$1001,MATCH(ROWS($U$2:U419),$U$2:$U$1001,0),0), INDEX($AB$1004:$AQ$1004,1,MATCH(COLUMNS($AB$1006:AI1006),$AB$1006:$AQ$1006,0)))),"Fix")))</f>
        <v>0</v>
      </c>
      <c r="J419" s="4">
        <f>IF(OR(INDEX($V$2:$V$1001,MATCH(ROWS($U$2:U419),$U$2:$U$1001,0),1)&gt;=100000,INDEX($AB$1005:$AQ$1005,1,MATCH(COLUMNS($AB$1006:AJ1006),$AB$1006:$AQ$1006,0))&gt;=100000), " ",IF(INDEX($AB$2:$AQ$1001,MATCH(ROWS($U$2:U419),$U$2:$U$1001,0),MATCH(COLUMNS($AB$1006:AJ1006),$AB$1006:$AQ$1006,0)), HYPERLINK("#",""), HYPERLINK(CONCATENATE("#metadata!", ADDRESS(INDEX($W$2:$W$1001,MATCH(ROWS($U$2:U419),$U$2:$U$1001,0),0), INDEX($AB$1004:$AQ$1004,1,MATCH(COLUMNS($AB$1006:AJ1006),$AB$1006:$AQ$1006,0)))),"Fix")))</f>
        <v>0</v>
      </c>
      <c r="K419" s="4">
        <f>IF(OR(INDEX($V$2:$V$1001,MATCH(ROWS($U$2:U419),$U$2:$U$1001,0),1)&gt;=100000,INDEX($AB$1005:$AQ$1005,1,MATCH(COLUMNS($AB$1006:AK1006),$AB$1006:$AQ$1006,0))&gt;=100000), " ",IF(INDEX($AB$2:$AQ$1001,MATCH(ROWS($U$2:U419),$U$2:$U$1001,0),MATCH(COLUMNS($AB$1006:AK1006),$AB$1006:$AQ$1006,0)), HYPERLINK("#",""), HYPERLINK(CONCATENATE("#metadata!", ADDRESS(INDEX($W$2:$W$1001,MATCH(ROWS($U$2:U419),$U$2:$U$1001,0),0), INDEX($AB$1004:$AQ$1004,1,MATCH(COLUMNS($AB$1006:AK1006),$AB$1006:$AQ$1006,0)))),"Fix")))</f>
        <v>0</v>
      </c>
      <c r="L419" s="4">
        <f>IF(OR(INDEX($V$2:$V$1001,MATCH(ROWS($U$2:U419),$U$2:$U$1001,0),1)&gt;=100000,INDEX($AB$1005:$AQ$1005,1,MATCH(COLUMNS($AB$1006:AL1006),$AB$1006:$AQ$1006,0))&gt;=100000), " ",IF(INDEX($AB$2:$AQ$1001,MATCH(ROWS($U$2:U419),$U$2:$U$1001,0),MATCH(COLUMNS($AB$1006:AL1006),$AB$1006:$AQ$1006,0)), HYPERLINK("#",""), HYPERLINK(CONCATENATE("#metadata!", ADDRESS(INDEX($W$2:$W$1001,MATCH(ROWS($U$2:U419),$U$2:$U$1001,0),0), INDEX($AB$1004:$AQ$1004,1,MATCH(COLUMNS($AB$1006:AL1006),$AB$1006:$AQ$1006,0)))),"Fix")))</f>
        <v>0</v>
      </c>
      <c r="M419" s="4">
        <f>IF(OR(INDEX($V$2:$V$1001,MATCH(ROWS($U$2:U419),$U$2:$U$1001,0),1)&gt;=100000,INDEX($AB$1005:$AQ$1005,1,MATCH(COLUMNS($AB$1006:AM1006),$AB$1006:$AQ$1006,0))&gt;=100000), " ",IF(INDEX($AB$2:$AQ$1001,MATCH(ROWS($U$2:U419),$U$2:$U$1001,0),MATCH(COLUMNS($AB$1006:AM1006),$AB$1006:$AQ$1006,0)), HYPERLINK("#",""), HYPERLINK(CONCATENATE("#metadata!", ADDRESS(INDEX($W$2:$W$1001,MATCH(ROWS($U$2:U419),$U$2:$U$1001,0),0), INDEX($AB$1004:$AQ$1004,1,MATCH(COLUMNS($AB$1006:AM1006),$AB$1006:$AQ$1006,0)))),"Fix")))</f>
        <v>0</v>
      </c>
      <c r="N419" s="4">
        <f>IF(OR(INDEX($V$2:$V$1001,MATCH(ROWS($U$2:U419),$U$2:$U$1001,0),1)&gt;=100000,INDEX($AB$1005:$AQ$1005,1,MATCH(COLUMNS($AB$1006:AN1006),$AB$1006:$AQ$1006,0))&gt;=100000), " ",IF(INDEX($AB$2:$AQ$1001,MATCH(ROWS($U$2:U419),$U$2:$U$1001,0),MATCH(COLUMNS($AB$1006:AN1006),$AB$1006:$AQ$1006,0)), HYPERLINK("#",""), HYPERLINK(CONCATENATE("#metadata!", ADDRESS(INDEX($W$2:$W$1001,MATCH(ROWS($U$2:U419),$U$2:$U$1001,0),0), INDEX($AB$1004:$AQ$1004,1,MATCH(COLUMNS($AB$1006:AN1006),$AB$1006:$AQ$1006,0)))),"Fix")))</f>
        <v>0</v>
      </c>
      <c r="O419" s="4">
        <f>IF(OR(INDEX($V$2:$V$1001,MATCH(ROWS($U$2:U419),$U$2:$U$1001,0),1)&gt;=100000,INDEX($AB$1005:$AQ$1005,1,MATCH(COLUMNS($AB$1006:AO1006),$AB$1006:$AQ$1006,0))&gt;=100000), " ",IF(INDEX($AB$2:$AQ$1001,MATCH(ROWS($U$2:U419),$U$2:$U$1001,0),MATCH(COLUMNS($AB$1006:AO1006),$AB$1006:$AQ$1006,0)), HYPERLINK("#",""), HYPERLINK(CONCATENATE("#metadata!", ADDRESS(INDEX($W$2:$W$1001,MATCH(ROWS($U$2:U419),$U$2:$U$1001,0),0), INDEX($AB$1004:$AQ$1004,1,MATCH(COLUMNS($AB$1006:AO1006),$AB$1006:$AQ$1006,0)))),"Fix")))</f>
        <v>0</v>
      </c>
      <c r="P419" s="4">
        <f>IF(OR(INDEX($V$2:$V$1001,MATCH(ROWS($U$2:U419),$U$2:$U$1001,0),1)&gt;=100000,INDEX($AB$1005:$AQ$1005,1,MATCH(COLUMNS($AB$1006:AP1006),$AB$1006:$AQ$1006,0))&gt;=100000), " ",IF(INDEX($AB$2:$AQ$1001,MATCH(ROWS($U$2:U419),$U$2:$U$1001,0),MATCH(COLUMNS($AB$1006:AP1006),$AB$1006:$AQ$1006,0)), HYPERLINK("#",""), HYPERLINK(CONCATENATE("#metadata!", ADDRESS(INDEX($W$2:$W$1001,MATCH(ROWS($U$2:U419),$U$2:$U$1001,0),0), INDEX($AB$1004:$AQ$1004,1,MATCH(COLUMNS($AB$1006:AP1006),$AB$1006:$AQ$1006,0)))),"Fix")))</f>
        <v>0</v>
      </c>
      <c r="Q419" s="4">
        <f>IF(OR(INDEX($V$2:$V$1001,MATCH(ROWS($U$2:U419),$U$2:$U$1001,0),1)&gt;=100000,INDEX($AB$1005:$AQ$1005,1,MATCH(COLUMNS($AB$1006:AQ1006),$AB$1006:$AQ$1006,0))&gt;=100000), " ",IF(INDEX($AB$2:$AQ$1001,MATCH(ROWS($U$2:U419),$U$2:$U$1001,0),MATCH(COLUMNS($AB$1006:AQ1006),$AB$1006:$AQ$1006,0)), HYPERLINK("#",""), HYPERLINK(CONCATENATE("#metadata!", ADDRESS(INDEX($W$2:$W$1001,MATCH(ROWS($U$2:U419),$U$2:$U$1001,0),0), INDEX($AB$1004:$AQ$1004,1,MATCH(COLUMNS($AB$1006:AQ1006),$AB$1006:$AQ$1006,0)))),"Fix")))</f>
        <v>0</v>
      </c>
      <c r="U419">
        <v>0</v>
      </c>
      <c r="V419">
        <v>0</v>
      </c>
      <c r="W419">
        <v>0</v>
      </c>
      <c r="X419">
        <f>IF(Y419,TRUE,AND(AB419:AQ419))</f>
        <v>0</v>
      </c>
      <c r="Y419">
        <f>COUNTBLANK(metadata!B419:Q419)=COLUMNS(metadata!B419:Q419)</f>
        <v>0</v>
      </c>
      <c r="Z419">
        <v>0</v>
      </c>
      <c r="AB419">
        <f>AND(IF(metadata!B419="",FALSE,TRUE),COUNTIF(metadata!B:B, metadata!B419) = 1,NOT(ISERROR(SUMPRODUCT(SEARCH(MID(metadata!B419,ROW(INDIRECT("1:"&amp;LEN(metadata!B419))), 1),"0123456789abcdefghijklmnopqrstuvwxyzABCDEFGHIJKLMNOPQRSTUVWXYZ.")))))</f>
        <v>0</v>
      </c>
      <c r="AC419">
        <f>OR(AND(IF(metadata!C419="",FALSE,TRUE),OR(exact(metadata!C419,"missing: not collected"),exact(metadata!C419,"missing: not provided"),exact(metadata!C419,"missing: restricted access"))),AND(IF(metadata!C419="",FALSE,TRUE),AND(AND(IFERROR(INT(LEFT(metadata!C419,4))&gt;1900,FALSE),IFERROR(INT(LEFT(metadata!C419,4))&lt;=YEAR(NOW()),FALSE)), OR(MID(metadata!C419,5,1)="", AND(AND(MID(metadata!C419,5,1)="-",IFERROR(INT(MID(metadata!C419,6,1))&gt;=0,FALSE),IFERROR(INT(MID(metadata!C419,6,1))&lt;=1,FALSE),NOT(MID(metadata!C419,7,1)=""),IFERROR(INT(MID(metadata!C419,6,2))&gt;=1,FALSE),IFERROR(INT(MID(metadata!C419,6,2))&lt;=12,FALSE)), OR(MID(metadata!C419,8,1)="", AND(AND(MID(metadata!C419,8,1)="-",IFERROR(INT(MID(metadata!C419,9,1))&gt;=0,FALSE),IFERROR(INT(MID(metadata!C419,9,1))&lt;=3,FALSE),NOT(MID(metadata!C419,10,1)=""),IFERROR(INT(MID(metadata!C419,9,2))&gt;=1,FALSE),IFERROR(INT(MID(metadata!C419,9,2))&lt;=31,FALSE)), OR(MID(metadata!C419,11,1)="", AND(AND(MID(metadata!C419,11,1)=" ",IFERROR(INT(MID(metadata!C419,12,1))&gt;=0,FALSE),IFERROR(INT(MID(metadata!C419,12,1))&lt;=2,FALSE),NOT(MID(metadata!C419,13,1)=""),IFERROR(INT(MID(metadata!C419,12,2))&gt;=0,FALSE),IFERROR(INT(MID(metadata!C419,12,2))&lt;=23,FALSE)), OR(MID(metadata!C419,14,1)="", AND(AND(MID(metadata!C419,14,1)=":",IFERROR(INT(MID(metadata!C419,15,1))&gt;=0,FALSE),IFERROR(INT(MID(metadata!C419,15,1))&lt;=5,FALSE),NOT(MID(metadata!C419,16,1)=""),IFERROR(INT(MID(metadata!C419,15,2))&gt;=0,FALSE),IFERROR(INT(MID(metadata!C419,15,2))&lt;=59,FALSE)), OR(MID(metadata!C419,17,1)="", AND(AND(MID(metadata!C419,17,1)=":",IFERROR(INT(MID(metadata!C419,18,1))&gt;=0,FALSE),IFERROR(INT(MID(metadata!C419,18,1))&lt;=5,FALSE),NOT(MID(metadata!C419,19,1)=""),IFERROR(INT(MID(metadata!C419,18,2))&gt;=0,FALSE),IFERROR(INT(MID(metadata!C419,18,2))&lt;=59,FALSE)), LEN(metadata!C419)&lt;=19)))))))))))))</f>
        <v>0</v>
      </c>
      <c r="AD419">
        <f>IF(metadata!D419="",FALSE,TRUE)</f>
        <v>0</v>
      </c>
      <c r="AE419">
        <f>OR(AND(IF(metadata!E419="",FALSE,TRUE),OR(exact(metadata!E419,"missing: not collected"),exact(metadata!E419,"missing: not provided"))),AND(IF(metadata!E419="",FALSE,TRUE),OR(exact(metadata!E419,"TRUE"),exact(metadata!E419,"FALSE"))))</f>
        <v>0</v>
      </c>
      <c r="AF419">
        <f>IF(metadata!F419="",FALSE,TRUE)</f>
        <v>0</v>
      </c>
      <c r="AG419">
        <f>IF(metadata!G419="",FALSE,TRUE)</f>
        <v>0</v>
      </c>
      <c r="AH419">
        <f>IF(metadata!H419="",FALSE,TRUE)</f>
        <v>0</v>
      </c>
      <c r="AI419">
        <f>OR(AND(IF(metadata!I419="",FALSE,TRUE),OR(exact(metadata!I419,"missing: not collected"),exact(metadata!I419,"missing: not provided"),exact(metadata!I419,"missing: restricted access"))),AND(IF(metadata!I419="",FALSE,TRUE),OR(exact(metadata!I419,"air"),exact(metadata!I419,"built environment"),exact(metadata!I419,"host-associated"),exact(metadata!I419,"human-associated"),exact(metadata!I419,"human-skin"),exact(metadata!I419,"human-oral"),exact(metadata!I419,"human-gut"),exact(metadata!I419,"human-vaginal"),exact(metadata!I419,"microbial mat/biofilm"),exact(metadata!I419,"misc environment"),exact(metadata!I419,"plant-associated"),exact(metadata!I419,"sediment"),exact(metadata!I419,"soil"),exact(metadata!I419,"wastewater/sludge"),exact(metadata!I419,"water"))))</f>
        <v>0</v>
      </c>
      <c r="AJ419">
        <f>IF(metadata!J419="",FALSE,TRUE)</f>
        <v>0</v>
      </c>
      <c r="AK419">
        <f>OR(AND(IF(metadata!K419="",FALSE,TRUE),OR(exact(metadata!K419,"missing: not collected"),exact(metadata!K419,"missing: not provided"),exact(metadata!K419,"missing: restricted access"))),AND(IF(metadata!K419="",FALSE,ISNUMBER(VALUE(metadata!K419))),metadata!K419&gt;=-90.00,metadata!K419&lt;=90.00))</f>
        <v>0</v>
      </c>
      <c r="AL419">
        <f>OR(AND(IF(metadata!L419="",FALSE,TRUE),OR(exact(metadata!L419,"missing: not collected"),exact(metadata!L419,"missing: not provided"),exact(metadata!L419,"missing: restricted access"))),AND(IF(metadata!L419="",FALSE,ISNUMBER(VALUE(metadata!L419))),metadata!L419&gt;=-180.00,metadata!L419&lt;=180.00))</f>
        <v>0</v>
      </c>
      <c r="AM419">
        <f>IF(metadata!M419="",FALSE,TRUE)</f>
        <v>0</v>
      </c>
      <c r="AN419">
        <f>OR(AND(IF(metadata!N419="",FALSE,TRUE),OR(exact(metadata!N419,"missing: not collected"),exact(metadata!N419,"missing: not provided"),exact(metadata!N419,"missing: restricted access"))),AND(IF(metadata!N419="",FALSE,TRUE),OR(exact(metadata!N419,"TRUE"),exact(metadata!N419,"FALSE"))))</f>
        <v>0</v>
      </c>
      <c r="AO419">
        <f>IF(metadata!O419="",FALSE,TRUE)</f>
        <v>0</v>
      </c>
      <c r="AP419">
        <f>OR(AND(IF(metadata!P419="",FALSE,TRUE),OR(exact(metadata!P419,"missing: not collected"),exact(metadata!P419,"missing: not provided"))),AND(IF(metadata!P419="",FALSE,IF(ISERROR(INT(metadata!P419)),FALSE,INT(metadata!P419)=metadata!P419)),metadata!P419&gt;0))</f>
        <v>0</v>
      </c>
      <c r="AQ419">
        <f>IF(metadata!Q419="",FALSE,TRUE)</f>
        <v>0</v>
      </c>
    </row>
    <row r="420" spans="1:43">
      <c r="A420" s="5">
        <f>IF(B420=" "," ",HYPERLINK(CONCATENATE("#metadata!",ADDRESS(INDEX($W$2:$W$1001,MATCH(ROWS($U$2:U420),$U$2:$U$1001,0),0),1)),INDEX($Z$2:$Z$1001,MATCH(ROWS($U$2:U420),$U$2:$U$1001,0),0)))</f>
        <v>0</v>
      </c>
      <c r="B420" s="4">
        <f>IF(OR(INDEX($V$2:$V$1001,MATCH(ROWS($U$2:U420),$U$2:$U$1001,0),1)&gt;=100000,INDEX($AB$1005:$AQ$1005,1,MATCH(COLUMNS($AB$1006:AB1006),$AB$1006:$AQ$1006,0))&gt;=100000), " ",IF(INDEX($AB$2:$AQ$1001,MATCH(ROWS($U$2:U420),$U$2:$U$1001,0),MATCH(COLUMNS($AB$1006:AB1006),$AB$1006:$AQ$1006,0)), HYPERLINK("#",""), HYPERLINK(CONCATENATE("#metadata!", ADDRESS(INDEX($W$2:$W$1001,MATCH(ROWS($U$2:U420),$U$2:$U$1001,0),0), INDEX($AB$1004:$AQ$1004,1,MATCH(COLUMNS($AB$1006:AB1006),$AB$1006:$AQ$1006,0)))),"Fix")))</f>
        <v>0</v>
      </c>
      <c r="C420" s="4">
        <f>IF(OR(INDEX($V$2:$V$1001,MATCH(ROWS($U$2:U420),$U$2:$U$1001,0),1)&gt;=100000,INDEX($AB$1005:$AQ$1005,1,MATCH(COLUMNS($AB$1006:AC1006),$AB$1006:$AQ$1006,0))&gt;=100000), " ",IF(INDEX($AB$2:$AQ$1001,MATCH(ROWS($U$2:U420),$U$2:$U$1001,0),MATCH(COLUMNS($AB$1006:AC1006),$AB$1006:$AQ$1006,0)), HYPERLINK("#",""), HYPERLINK(CONCATENATE("#metadata!", ADDRESS(INDEX($W$2:$W$1001,MATCH(ROWS($U$2:U420),$U$2:$U$1001,0),0), INDEX($AB$1004:$AQ$1004,1,MATCH(COLUMNS($AB$1006:AC1006),$AB$1006:$AQ$1006,0)))),"Fix")))</f>
        <v>0</v>
      </c>
      <c r="D420" s="4">
        <f>IF(OR(INDEX($V$2:$V$1001,MATCH(ROWS($U$2:U420),$U$2:$U$1001,0),1)&gt;=100000,INDEX($AB$1005:$AQ$1005,1,MATCH(COLUMNS($AB$1006:AD1006),$AB$1006:$AQ$1006,0))&gt;=100000), " ",IF(INDEX($AB$2:$AQ$1001,MATCH(ROWS($U$2:U420),$U$2:$U$1001,0),MATCH(COLUMNS($AB$1006:AD1006),$AB$1006:$AQ$1006,0)), HYPERLINK("#",""), HYPERLINK(CONCATENATE("#metadata!", ADDRESS(INDEX($W$2:$W$1001,MATCH(ROWS($U$2:U420),$U$2:$U$1001,0),0), INDEX($AB$1004:$AQ$1004,1,MATCH(COLUMNS($AB$1006:AD1006),$AB$1006:$AQ$1006,0)))),"Fix")))</f>
        <v>0</v>
      </c>
      <c r="E420" s="4">
        <f>IF(OR(INDEX($V$2:$V$1001,MATCH(ROWS($U$2:U420),$U$2:$U$1001,0),1)&gt;=100000,INDEX($AB$1005:$AQ$1005,1,MATCH(COLUMNS($AB$1006:AE1006),$AB$1006:$AQ$1006,0))&gt;=100000), " ",IF(INDEX($AB$2:$AQ$1001,MATCH(ROWS($U$2:U420),$U$2:$U$1001,0),MATCH(COLUMNS($AB$1006:AE1006),$AB$1006:$AQ$1006,0)), HYPERLINK("#",""), HYPERLINK(CONCATENATE("#metadata!", ADDRESS(INDEX($W$2:$W$1001,MATCH(ROWS($U$2:U420),$U$2:$U$1001,0),0), INDEX($AB$1004:$AQ$1004,1,MATCH(COLUMNS($AB$1006:AE1006),$AB$1006:$AQ$1006,0)))),"Fix")))</f>
        <v>0</v>
      </c>
      <c r="F420" s="4">
        <f>IF(OR(INDEX($V$2:$V$1001,MATCH(ROWS($U$2:U420),$U$2:$U$1001,0),1)&gt;=100000,INDEX($AB$1005:$AQ$1005,1,MATCH(COLUMNS($AB$1006:AF1006),$AB$1006:$AQ$1006,0))&gt;=100000), " ",IF(INDEX($AB$2:$AQ$1001,MATCH(ROWS($U$2:U420),$U$2:$U$1001,0),MATCH(COLUMNS($AB$1006:AF1006),$AB$1006:$AQ$1006,0)), HYPERLINK("#",""), HYPERLINK(CONCATENATE("#metadata!", ADDRESS(INDEX($W$2:$W$1001,MATCH(ROWS($U$2:U420),$U$2:$U$1001,0),0), INDEX($AB$1004:$AQ$1004,1,MATCH(COLUMNS($AB$1006:AF1006),$AB$1006:$AQ$1006,0)))),"Fix")))</f>
        <v>0</v>
      </c>
      <c r="G420" s="4">
        <f>IF(OR(INDEX($V$2:$V$1001,MATCH(ROWS($U$2:U420),$U$2:$U$1001,0),1)&gt;=100000,INDEX($AB$1005:$AQ$1005,1,MATCH(COLUMNS($AB$1006:AG1006),$AB$1006:$AQ$1006,0))&gt;=100000), " ",IF(INDEX($AB$2:$AQ$1001,MATCH(ROWS($U$2:U420),$U$2:$U$1001,0),MATCH(COLUMNS($AB$1006:AG1006),$AB$1006:$AQ$1006,0)), HYPERLINK("#",""), HYPERLINK(CONCATENATE("#metadata!", ADDRESS(INDEX($W$2:$W$1001,MATCH(ROWS($U$2:U420),$U$2:$U$1001,0),0), INDEX($AB$1004:$AQ$1004,1,MATCH(COLUMNS($AB$1006:AG1006),$AB$1006:$AQ$1006,0)))),"Fix")))</f>
        <v>0</v>
      </c>
      <c r="H420" s="4">
        <f>IF(OR(INDEX($V$2:$V$1001,MATCH(ROWS($U$2:U420),$U$2:$U$1001,0),1)&gt;=100000,INDEX($AB$1005:$AQ$1005,1,MATCH(COLUMNS($AB$1006:AH1006),$AB$1006:$AQ$1006,0))&gt;=100000), " ",IF(INDEX($AB$2:$AQ$1001,MATCH(ROWS($U$2:U420),$U$2:$U$1001,0),MATCH(COLUMNS($AB$1006:AH1006),$AB$1006:$AQ$1006,0)), HYPERLINK("#",""), HYPERLINK(CONCATENATE("#metadata!", ADDRESS(INDEX($W$2:$W$1001,MATCH(ROWS($U$2:U420),$U$2:$U$1001,0),0), INDEX($AB$1004:$AQ$1004,1,MATCH(COLUMNS($AB$1006:AH1006),$AB$1006:$AQ$1006,0)))),"Fix")))</f>
        <v>0</v>
      </c>
      <c r="I420" s="4">
        <f>IF(OR(INDEX($V$2:$V$1001,MATCH(ROWS($U$2:U420),$U$2:$U$1001,0),1)&gt;=100000,INDEX($AB$1005:$AQ$1005,1,MATCH(COLUMNS($AB$1006:AI1006),$AB$1006:$AQ$1006,0))&gt;=100000), " ",IF(INDEX($AB$2:$AQ$1001,MATCH(ROWS($U$2:U420),$U$2:$U$1001,0),MATCH(COLUMNS($AB$1006:AI1006),$AB$1006:$AQ$1006,0)), HYPERLINK("#",""), HYPERLINK(CONCATENATE("#metadata!", ADDRESS(INDEX($W$2:$W$1001,MATCH(ROWS($U$2:U420),$U$2:$U$1001,0),0), INDEX($AB$1004:$AQ$1004,1,MATCH(COLUMNS($AB$1006:AI1006),$AB$1006:$AQ$1006,0)))),"Fix")))</f>
        <v>0</v>
      </c>
      <c r="J420" s="4">
        <f>IF(OR(INDEX($V$2:$V$1001,MATCH(ROWS($U$2:U420),$U$2:$U$1001,0),1)&gt;=100000,INDEX($AB$1005:$AQ$1005,1,MATCH(COLUMNS($AB$1006:AJ1006),$AB$1006:$AQ$1006,0))&gt;=100000), " ",IF(INDEX($AB$2:$AQ$1001,MATCH(ROWS($U$2:U420),$U$2:$U$1001,0),MATCH(COLUMNS($AB$1006:AJ1006),$AB$1006:$AQ$1006,0)), HYPERLINK("#",""), HYPERLINK(CONCATENATE("#metadata!", ADDRESS(INDEX($W$2:$W$1001,MATCH(ROWS($U$2:U420),$U$2:$U$1001,0),0), INDEX($AB$1004:$AQ$1004,1,MATCH(COLUMNS($AB$1006:AJ1006),$AB$1006:$AQ$1006,0)))),"Fix")))</f>
        <v>0</v>
      </c>
      <c r="K420" s="4">
        <f>IF(OR(INDEX($V$2:$V$1001,MATCH(ROWS($U$2:U420),$U$2:$U$1001,0),1)&gt;=100000,INDEX($AB$1005:$AQ$1005,1,MATCH(COLUMNS($AB$1006:AK1006),$AB$1006:$AQ$1006,0))&gt;=100000), " ",IF(INDEX($AB$2:$AQ$1001,MATCH(ROWS($U$2:U420),$U$2:$U$1001,0),MATCH(COLUMNS($AB$1006:AK1006),$AB$1006:$AQ$1006,0)), HYPERLINK("#",""), HYPERLINK(CONCATENATE("#metadata!", ADDRESS(INDEX($W$2:$W$1001,MATCH(ROWS($U$2:U420),$U$2:$U$1001,0),0), INDEX($AB$1004:$AQ$1004,1,MATCH(COLUMNS($AB$1006:AK1006),$AB$1006:$AQ$1006,0)))),"Fix")))</f>
        <v>0</v>
      </c>
      <c r="L420" s="4">
        <f>IF(OR(INDEX($V$2:$V$1001,MATCH(ROWS($U$2:U420),$U$2:$U$1001,0),1)&gt;=100000,INDEX($AB$1005:$AQ$1005,1,MATCH(COLUMNS($AB$1006:AL1006),$AB$1006:$AQ$1006,0))&gt;=100000), " ",IF(INDEX($AB$2:$AQ$1001,MATCH(ROWS($U$2:U420),$U$2:$U$1001,0),MATCH(COLUMNS($AB$1006:AL1006),$AB$1006:$AQ$1006,0)), HYPERLINK("#",""), HYPERLINK(CONCATENATE("#metadata!", ADDRESS(INDEX($W$2:$W$1001,MATCH(ROWS($U$2:U420),$U$2:$U$1001,0),0), INDEX($AB$1004:$AQ$1004,1,MATCH(COLUMNS($AB$1006:AL1006),$AB$1006:$AQ$1006,0)))),"Fix")))</f>
        <v>0</v>
      </c>
      <c r="M420" s="4">
        <f>IF(OR(INDEX($V$2:$V$1001,MATCH(ROWS($U$2:U420),$U$2:$U$1001,0),1)&gt;=100000,INDEX($AB$1005:$AQ$1005,1,MATCH(COLUMNS($AB$1006:AM1006),$AB$1006:$AQ$1006,0))&gt;=100000), " ",IF(INDEX($AB$2:$AQ$1001,MATCH(ROWS($U$2:U420),$U$2:$U$1001,0),MATCH(COLUMNS($AB$1006:AM1006),$AB$1006:$AQ$1006,0)), HYPERLINK("#",""), HYPERLINK(CONCATENATE("#metadata!", ADDRESS(INDEX($W$2:$W$1001,MATCH(ROWS($U$2:U420),$U$2:$U$1001,0),0), INDEX($AB$1004:$AQ$1004,1,MATCH(COLUMNS($AB$1006:AM1006),$AB$1006:$AQ$1006,0)))),"Fix")))</f>
        <v>0</v>
      </c>
      <c r="N420" s="4">
        <f>IF(OR(INDEX($V$2:$V$1001,MATCH(ROWS($U$2:U420),$U$2:$U$1001,0),1)&gt;=100000,INDEX($AB$1005:$AQ$1005,1,MATCH(COLUMNS($AB$1006:AN1006),$AB$1006:$AQ$1006,0))&gt;=100000), " ",IF(INDEX($AB$2:$AQ$1001,MATCH(ROWS($U$2:U420),$U$2:$U$1001,0),MATCH(COLUMNS($AB$1006:AN1006),$AB$1006:$AQ$1006,0)), HYPERLINK("#",""), HYPERLINK(CONCATENATE("#metadata!", ADDRESS(INDEX($W$2:$W$1001,MATCH(ROWS($U$2:U420),$U$2:$U$1001,0),0), INDEX($AB$1004:$AQ$1004,1,MATCH(COLUMNS($AB$1006:AN1006),$AB$1006:$AQ$1006,0)))),"Fix")))</f>
        <v>0</v>
      </c>
      <c r="O420" s="4">
        <f>IF(OR(INDEX($V$2:$V$1001,MATCH(ROWS($U$2:U420),$U$2:$U$1001,0),1)&gt;=100000,INDEX($AB$1005:$AQ$1005,1,MATCH(COLUMNS($AB$1006:AO1006),$AB$1006:$AQ$1006,0))&gt;=100000), " ",IF(INDEX($AB$2:$AQ$1001,MATCH(ROWS($U$2:U420),$U$2:$U$1001,0),MATCH(COLUMNS($AB$1006:AO1006),$AB$1006:$AQ$1006,0)), HYPERLINK("#",""), HYPERLINK(CONCATENATE("#metadata!", ADDRESS(INDEX($W$2:$W$1001,MATCH(ROWS($U$2:U420),$U$2:$U$1001,0),0), INDEX($AB$1004:$AQ$1004,1,MATCH(COLUMNS($AB$1006:AO1006),$AB$1006:$AQ$1006,0)))),"Fix")))</f>
        <v>0</v>
      </c>
      <c r="P420" s="4">
        <f>IF(OR(INDEX($V$2:$V$1001,MATCH(ROWS($U$2:U420),$U$2:$U$1001,0),1)&gt;=100000,INDEX($AB$1005:$AQ$1005,1,MATCH(COLUMNS($AB$1006:AP1006),$AB$1006:$AQ$1006,0))&gt;=100000), " ",IF(INDEX($AB$2:$AQ$1001,MATCH(ROWS($U$2:U420),$U$2:$U$1001,0),MATCH(COLUMNS($AB$1006:AP1006),$AB$1006:$AQ$1006,0)), HYPERLINK("#",""), HYPERLINK(CONCATENATE("#metadata!", ADDRESS(INDEX($W$2:$W$1001,MATCH(ROWS($U$2:U420),$U$2:$U$1001,0),0), INDEX($AB$1004:$AQ$1004,1,MATCH(COLUMNS($AB$1006:AP1006),$AB$1006:$AQ$1006,0)))),"Fix")))</f>
        <v>0</v>
      </c>
      <c r="Q420" s="4">
        <f>IF(OR(INDEX($V$2:$V$1001,MATCH(ROWS($U$2:U420),$U$2:$U$1001,0),1)&gt;=100000,INDEX($AB$1005:$AQ$1005,1,MATCH(COLUMNS($AB$1006:AQ1006),$AB$1006:$AQ$1006,0))&gt;=100000), " ",IF(INDEX($AB$2:$AQ$1001,MATCH(ROWS($U$2:U420),$U$2:$U$1001,0),MATCH(COLUMNS($AB$1006:AQ1006),$AB$1006:$AQ$1006,0)), HYPERLINK("#",""), HYPERLINK(CONCATENATE("#metadata!", ADDRESS(INDEX($W$2:$W$1001,MATCH(ROWS($U$2:U420),$U$2:$U$1001,0),0), INDEX($AB$1004:$AQ$1004,1,MATCH(COLUMNS($AB$1006:AQ1006),$AB$1006:$AQ$1006,0)))),"Fix")))</f>
        <v>0</v>
      </c>
      <c r="U420">
        <v>0</v>
      </c>
      <c r="V420">
        <v>0</v>
      </c>
      <c r="W420">
        <v>0</v>
      </c>
      <c r="X420">
        <f>IF(Y420,TRUE,AND(AB420:AQ420))</f>
        <v>0</v>
      </c>
      <c r="Y420">
        <f>COUNTBLANK(metadata!B420:Q420)=COLUMNS(metadata!B420:Q420)</f>
        <v>0</v>
      </c>
      <c r="Z420">
        <v>0</v>
      </c>
      <c r="AB420">
        <f>AND(IF(metadata!B420="",FALSE,TRUE),COUNTIF(metadata!B:B, metadata!B420) = 1,NOT(ISERROR(SUMPRODUCT(SEARCH(MID(metadata!B420,ROW(INDIRECT("1:"&amp;LEN(metadata!B420))), 1),"0123456789abcdefghijklmnopqrstuvwxyzABCDEFGHIJKLMNOPQRSTUVWXYZ.")))))</f>
        <v>0</v>
      </c>
      <c r="AC420">
        <f>OR(AND(IF(metadata!C420="",FALSE,TRUE),OR(exact(metadata!C420,"missing: not collected"),exact(metadata!C420,"missing: not provided"),exact(metadata!C420,"missing: restricted access"))),AND(IF(metadata!C420="",FALSE,TRUE),AND(AND(IFERROR(INT(LEFT(metadata!C420,4))&gt;1900,FALSE),IFERROR(INT(LEFT(metadata!C420,4))&lt;=YEAR(NOW()),FALSE)), OR(MID(metadata!C420,5,1)="", AND(AND(MID(metadata!C420,5,1)="-",IFERROR(INT(MID(metadata!C420,6,1))&gt;=0,FALSE),IFERROR(INT(MID(metadata!C420,6,1))&lt;=1,FALSE),NOT(MID(metadata!C420,7,1)=""),IFERROR(INT(MID(metadata!C420,6,2))&gt;=1,FALSE),IFERROR(INT(MID(metadata!C420,6,2))&lt;=12,FALSE)), OR(MID(metadata!C420,8,1)="", AND(AND(MID(metadata!C420,8,1)="-",IFERROR(INT(MID(metadata!C420,9,1))&gt;=0,FALSE),IFERROR(INT(MID(metadata!C420,9,1))&lt;=3,FALSE),NOT(MID(metadata!C420,10,1)=""),IFERROR(INT(MID(metadata!C420,9,2))&gt;=1,FALSE),IFERROR(INT(MID(metadata!C420,9,2))&lt;=31,FALSE)), OR(MID(metadata!C420,11,1)="", AND(AND(MID(metadata!C420,11,1)=" ",IFERROR(INT(MID(metadata!C420,12,1))&gt;=0,FALSE),IFERROR(INT(MID(metadata!C420,12,1))&lt;=2,FALSE),NOT(MID(metadata!C420,13,1)=""),IFERROR(INT(MID(metadata!C420,12,2))&gt;=0,FALSE),IFERROR(INT(MID(metadata!C420,12,2))&lt;=23,FALSE)), OR(MID(metadata!C420,14,1)="", AND(AND(MID(metadata!C420,14,1)=":",IFERROR(INT(MID(metadata!C420,15,1))&gt;=0,FALSE),IFERROR(INT(MID(metadata!C420,15,1))&lt;=5,FALSE),NOT(MID(metadata!C420,16,1)=""),IFERROR(INT(MID(metadata!C420,15,2))&gt;=0,FALSE),IFERROR(INT(MID(metadata!C420,15,2))&lt;=59,FALSE)), OR(MID(metadata!C420,17,1)="", AND(AND(MID(metadata!C420,17,1)=":",IFERROR(INT(MID(metadata!C420,18,1))&gt;=0,FALSE),IFERROR(INT(MID(metadata!C420,18,1))&lt;=5,FALSE),NOT(MID(metadata!C420,19,1)=""),IFERROR(INT(MID(metadata!C420,18,2))&gt;=0,FALSE),IFERROR(INT(MID(metadata!C420,18,2))&lt;=59,FALSE)), LEN(metadata!C420)&lt;=19)))))))))))))</f>
        <v>0</v>
      </c>
      <c r="AD420">
        <f>IF(metadata!D420="",FALSE,TRUE)</f>
        <v>0</v>
      </c>
      <c r="AE420">
        <f>OR(AND(IF(metadata!E420="",FALSE,TRUE),OR(exact(metadata!E420,"missing: not collected"),exact(metadata!E420,"missing: not provided"))),AND(IF(metadata!E420="",FALSE,TRUE),OR(exact(metadata!E420,"TRUE"),exact(metadata!E420,"FALSE"))))</f>
        <v>0</v>
      </c>
      <c r="AF420">
        <f>IF(metadata!F420="",FALSE,TRUE)</f>
        <v>0</v>
      </c>
      <c r="AG420">
        <f>IF(metadata!G420="",FALSE,TRUE)</f>
        <v>0</v>
      </c>
      <c r="AH420">
        <f>IF(metadata!H420="",FALSE,TRUE)</f>
        <v>0</v>
      </c>
      <c r="AI420">
        <f>OR(AND(IF(metadata!I420="",FALSE,TRUE),OR(exact(metadata!I420,"missing: not collected"),exact(metadata!I420,"missing: not provided"),exact(metadata!I420,"missing: restricted access"))),AND(IF(metadata!I420="",FALSE,TRUE),OR(exact(metadata!I420,"air"),exact(metadata!I420,"built environment"),exact(metadata!I420,"host-associated"),exact(metadata!I420,"human-associated"),exact(metadata!I420,"human-skin"),exact(metadata!I420,"human-oral"),exact(metadata!I420,"human-gut"),exact(metadata!I420,"human-vaginal"),exact(metadata!I420,"microbial mat/biofilm"),exact(metadata!I420,"misc environment"),exact(metadata!I420,"plant-associated"),exact(metadata!I420,"sediment"),exact(metadata!I420,"soil"),exact(metadata!I420,"wastewater/sludge"),exact(metadata!I420,"water"))))</f>
        <v>0</v>
      </c>
      <c r="AJ420">
        <f>IF(metadata!J420="",FALSE,TRUE)</f>
        <v>0</v>
      </c>
      <c r="AK420">
        <f>OR(AND(IF(metadata!K420="",FALSE,TRUE),OR(exact(metadata!K420,"missing: not collected"),exact(metadata!K420,"missing: not provided"),exact(metadata!K420,"missing: restricted access"))),AND(IF(metadata!K420="",FALSE,ISNUMBER(VALUE(metadata!K420))),metadata!K420&gt;=-90.00,metadata!K420&lt;=90.00))</f>
        <v>0</v>
      </c>
      <c r="AL420">
        <f>OR(AND(IF(metadata!L420="",FALSE,TRUE),OR(exact(metadata!L420,"missing: not collected"),exact(metadata!L420,"missing: not provided"),exact(metadata!L420,"missing: restricted access"))),AND(IF(metadata!L420="",FALSE,ISNUMBER(VALUE(metadata!L420))),metadata!L420&gt;=-180.00,metadata!L420&lt;=180.00))</f>
        <v>0</v>
      </c>
      <c r="AM420">
        <f>IF(metadata!M420="",FALSE,TRUE)</f>
        <v>0</v>
      </c>
      <c r="AN420">
        <f>OR(AND(IF(metadata!N420="",FALSE,TRUE),OR(exact(metadata!N420,"missing: not collected"),exact(metadata!N420,"missing: not provided"),exact(metadata!N420,"missing: restricted access"))),AND(IF(metadata!N420="",FALSE,TRUE),OR(exact(metadata!N420,"TRUE"),exact(metadata!N420,"FALSE"))))</f>
        <v>0</v>
      </c>
      <c r="AO420">
        <f>IF(metadata!O420="",FALSE,TRUE)</f>
        <v>0</v>
      </c>
      <c r="AP420">
        <f>OR(AND(IF(metadata!P420="",FALSE,TRUE),OR(exact(metadata!P420,"missing: not collected"),exact(metadata!P420,"missing: not provided"))),AND(IF(metadata!P420="",FALSE,IF(ISERROR(INT(metadata!P420)),FALSE,INT(metadata!P420)=metadata!P420)),metadata!P420&gt;0))</f>
        <v>0</v>
      </c>
      <c r="AQ420">
        <f>IF(metadata!Q420="",FALSE,TRUE)</f>
        <v>0</v>
      </c>
    </row>
    <row r="421" spans="1:43">
      <c r="A421" s="5">
        <f>IF(B421=" "," ",HYPERLINK(CONCATENATE("#metadata!",ADDRESS(INDEX($W$2:$W$1001,MATCH(ROWS($U$2:U421),$U$2:$U$1001,0),0),1)),INDEX($Z$2:$Z$1001,MATCH(ROWS($U$2:U421),$U$2:$U$1001,0),0)))</f>
        <v>0</v>
      </c>
      <c r="B421" s="4">
        <f>IF(OR(INDEX($V$2:$V$1001,MATCH(ROWS($U$2:U421),$U$2:$U$1001,0),1)&gt;=100000,INDEX($AB$1005:$AQ$1005,1,MATCH(COLUMNS($AB$1006:AB1006),$AB$1006:$AQ$1006,0))&gt;=100000), " ",IF(INDEX($AB$2:$AQ$1001,MATCH(ROWS($U$2:U421),$U$2:$U$1001,0),MATCH(COLUMNS($AB$1006:AB1006),$AB$1006:$AQ$1006,0)), HYPERLINK("#",""), HYPERLINK(CONCATENATE("#metadata!", ADDRESS(INDEX($W$2:$W$1001,MATCH(ROWS($U$2:U421),$U$2:$U$1001,0),0), INDEX($AB$1004:$AQ$1004,1,MATCH(COLUMNS($AB$1006:AB1006),$AB$1006:$AQ$1006,0)))),"Fix")))</f>
        <v>0</v>
      </c>
      <c r="C421" s="4">
        <f>IF(OR(INDEX($V$2:$V$1001,MATCH(ROWS($U$2:U421),$U$2:$U$1001,0),1)&gt;=100000,INDEX($AB$1005:$AQ$1005,1,MATCH(COLUMNS($AB$1006:AC1006),$AB$1006:$AQ$1006,0))&gt;=100000), " ",IF(INDEX($AB$2:$AQ$1001,MATCH(ROWS($U$2:U421),$U$2:$U$1001,0),MATCH(COLUMNS($AB$1006:AC1006),$AB$1006:$AQ$1006,0)), HYPERLINK("#",""), HYPERLINK(CONCATENATE("#metadata!", ADDRESS(INDEX($W$2:$W$1001,MATCH(ROWS($U$2:U421),$U$2:$U$1001,0),0), INDEX($AB$1004:$AQ$1004,1,MATCH(COLUMNS($AB$1006:AC1006),$AB$1006:$AQ$1006,0)))),"Fix")))</f>
        <v>0</v>
      </c>
      <c r="D421" s="4">
        <f>IF(OR(INDEX($V$2:$V$1001,MATCH(ROWS($U$2:U421),$U$2:$U$1001,0),1)&gt;=100000,INDEX($AB$1005:$AQ$1005,1,MATCH(COLUMNS($AB$1006:AD1006),$AB$1006:$AQ$1006,0))&gt;=100000), " ",IF(INDEX($AB$2:$AQ$1001,MATCH(ROWS($U$2:U421),$U$2:$U$1001,0),MATCH(COLUMNS($AB$1006:AD1006),$AB$1006:$AQ$1006,0)), HYPERLINK("#",""), HYPERLINK(CONCATENATE("#metadata!", ADDRESS(INDEX($W$2:$W$1001,MATCH(ROWS($U$2:U421),$U$2:$U$1001,0),0), INDEX($AB$1004:$AQ$1004,1,MATCH(COLUMNS($AB$1006:AD1006),$AB$1006:$AQ$1006,0)))),"Fix")))</f>
        <v>0</v>
      </c>
      <c r="E421" s="4">
        <f>IF(OR(INDEX($V$2:$V$1001,MATCH(ROWS($U$2:U421),$U$2:$U$1001,0),1)&gt;=100000,INDEX($AB$1005:$AQ$1005,1,MATCH(COLUMNS($AB$1006:AE1006),$AB$1006:$AQ$1006,0))&gt;=100000), " ",IF(INDEX($AB$2:$AQ$1001,MATCH(ROWS($U$2:U421),$U$2:$U$1001,0),MATCH(COLUMNS($AB$1006:AE1006),$AB$1006:$AQ$1006,0)), HYPERLINK("#",""), HYPERLINK(CONCATENATE("#metadata!", ADDRESS(INDEX($W$2:$W$1001,MATCH(ROWS($U$2:U421),$U$2:$U$1001,0),0), INDEX($AB$1004:$AQ$1004,1,MATCH(COLUMNS($AB$1006:AE1006),$AB$1006:$AQ$1006,0)))),"Fix")))</f>
        <v>0</v>
      </c>
      <c r="F421" s="4">
        <f>IF(OR(INDEX($V$2:$V$1001,MATCH(ROWS($U$2:U421),$U$2:$U$1001,0),1)&gt;=100000,INDEX($AB$1005:$AQ$1005,1,MATCH(COLUMNS($AB$1006:AF1006),$AB$1006:$AQ$1006,0))&gt;=100000), " ",IF(INDEX($AB$2:$AQ$1001,MATCH(ROWS($U$2:U421),$U$2:$U$1001,0),MATCH(COLUMNS($AB$1006:AF1006),$AB$1006:$AQ$1006,0)), HYPERLINK("#",""), HYPERLINK(CONCATENATE("#metadata!", ADDRESS(INDEX($W$2:$W$1001,MATCH(ROWS($U$2:U421),$U$2:$U$1001,0),0), INDEX($AB$1004:$AQ$1004,1,MATCH(COLUMNS($AB$1006:AF1006),$AB$1006:$AQ$1006,0)))),"Fix")))</f>
        <v>0</v>
      </c>
      <c r="G421" s="4">
        <f>IF(OR(INDEX($V$2:$V$1001,MATCH(ROWS($U$2:U421),$U$2:$U$1001,0),1)&gt;=100000,INDEX($AB$1005:$AQ$1005,1,MATCH(COLUMNS($AB$1006:AG1006),$AB$1006:$AQ$1006,0))&gt;=100000), " ",IF(INDEX($AB$2:$AQ$1001,MATCH(ROWS($U$2:U421),$U$2:$U$1001,0),MATCH(COLUMNS($AB$1006:AG1006),$AB$1006:$AQ$1006,0)), HYPERLINK("#",""), HYPERLINK(CONCATENATE("#metadata!", ADDRESS(INDEX($W$2:$W$1001,MATCH(ROWS($U$2:U421),$U$2:$U$1001,0),0), INDEX($AB$1004:$AQ$1004,1,MATCH(COLUMNS($AB$1006:AG1006),$AB$1006:$AQ$1006,0)))),"Fix")))</f>
        <v>0</v>
      </c>
      <c r="H421" s="4">
        <f>IF(OR(INDEX($V$2:$V$1001,MATCH(ROWS($U$2:U421),$U$2:$U$1001,0),1)&gt;=100000,INDEX($AB$1005:$AQ$1005,1,MATCH(COLUMNS($AB$1006:AH1006),$AB$1006:$AQ$1006,0))&gt;=100000), " ",IF(INDEX($AB$2:$AQ$1001,MATCH(ROWS($U$2:U421),$U$2:$U$1001,0),MATCH(COLUMNS($AB$1006:AH1006),$AB$1006:$AQ$1006,0)), HYPERLINK("#",""), HYPERLINK(CONCATENATE("#metadata!", ADDRESS(INDEX($W$2:$W$1001,MATCH(ROWS($U$2:U421),$U$2:$U$1001,0),0), INDEX($AB$1004:$AQ$1004,1,MATCH(COLUMNS($AB$1006:AH1006),$AB$1006:$AQ$1006,0)))),"Fix")))</f>
        <v>0</v>
      </c>
      <c r="I421" s="4">
        <f>IF(OR(INDEX($V$2:$V$1001,MATCH(ROWS($U$2:U421),$U$2:$U$1001,0),1)&gt;=100000,INDEX($AB$1005:$AQ$1005,1,MATCH(COLUMNS($AB$1006:AI1006),$AB$1006:$AQ$1006,0))&gt;=100000), " ",IF(INDEX($AB$2:$AQ$1001,MATCH(ROWS($U$2:U421),$U$2:$U$1001,0),MATCH(COLUMNS($AB$1006:AI1006),$AB$1006:$AQ$1006,0)), HYPERLINK("#",""), HYPERLINK(CONCATENATE("#metadata!", ADDRESS(INDEX($W$2:$W$1001,MATCH(ROWS($U$2:U421),$U$2:$U$1001,0),0), INDEX($AB$1004:$AQ$1004,1,MATCH(COLUMNS($AB$1006:AI1006),$AB$1006:$AQ$1006,0)))),"Fix")))</f>
        <v>0</v>
      </c>
      <c r="J421" s="4">
        <f>IF(OR(INDEX($V$2:$V$1001,MATCH(ROWS($U$2:U421),$U$2:$U$1001,0),1)&gt;=100000,INDEX($AB$1005:$AQ$1005,1,MATCH(COLUMNS($AB$1006:AJ1006),$AB$1006:$AQ$1006,0))&gt;=100000), " ",IF(INDEX($AB$2:$AQ$1001,MATCH(ROWS($U$2:U421),$U$2:$U$1001,0),MATCH(COLUMNS($AB$1006:AJ1006),$AB$1006:$AQ$1006,0)), HYPERLINK("#",""), HYPERLINK(CONCATENATE("#metadata!", ADDRESS(INDEX($W$2:$W$1001,MATCH(ROWS($U$2:U421),$U$2:$U$1001,0),0), INDEX($AB$1004:$AQ$1004,1,MATCH(COLUMNS($AB$1006:AJ1006),$AB$1006:$AQ$1006,0)))),"Fix")))</f>
        <v>0</v>
      </c>
      <c r="K421" s="4">
        <f>IF(OR(INDEX($V$2:$V$1001,MATCH(ROWS($U$2:U421),$U$2:$U$1001,0),1)&gt;=100000,INDEX($AB$1005:$AQ$1005,1,MATCH(COLUMNS($AB$1006:AK1006),$AB$1006:$AQ$1006,0))&gt;=100000), " ",IF(INDEX($AB$2:$AQ$1001,MATCH(ROWS($U$2:U421),$U$2:$U$1001,0),MATCH(COLUMNS($AB$1006:AK1006),$AB$1006:$AQ$1006,0)), HYPERLINK("#",""), HYPERLINK(CONCATENATE("#metadata!", ADDRESS(INDEX($W$2:$W$1001,MATCH(ROWS($U$2:U421),$U$2:$U$1001,0),0), INDEX($AB$1004:$AQ$1004,1,MATCH(COLUMNS($AB$1006:AK1006),$AB$1006:$AQ$1006,0)))),"Fix")))</f>
        <v>0</v>
      </c>
      <c r="L421" s="4">
        <f>IF(OR(INDEX($V$2:$V$1001,MATCH(ROWS($U$2:U421),$U$2:$U$1001,0),1)&gt;=100000,INDEX($AB$1005:$AQ$1005,1,MATCH(COLUMNS($AB$1006:AL1006),$AB$1006:$AQ$1006,0))&gt;=100000), " ",IF(INDEX($AB$2:$AQ$1001,MATCH(ROWS($U$2:U421),$U$2:$U$1001,0),MATCH(COLUMNS($AB$1006:AL1006),$AB$1006:$AQ$1006,0)), HYPERLINK("#",""), HYPERLINK(CONCATENATE("#metadata!", ADDRESS(INDEX($W$2:$W$1001,MATCH(ROWS($U$2:U421),$U$2:$U$1001,0),0), INDEX($AB$1004:$AQ$1004,1,MATCH(COLUMNS($AB$1006:AL1006),$AB$1006:$AQ$1006,0)))),"Fix")))</f>
        <v>0</v>
      </c>
      <c r="M421" s="4">
        <f>IF(OR(INDEX($V$2:$V$1001,MATCH(ROWS($U$2:U421),$U$2:$U$1001,0),1)&gt;=100000,INDEX($AB$1005:$AQ$1005,1,MATCH(COLUMNS($AB$1006:AM1006),$AB$1006:$AQ$1006,0))&gt;=100000), " ",IF(INDEX($AB$2:$AQ$1001,MATCH(ROWS($U$2:U421),$U$2:$U$1001,0),MATCH(COLUMNS($AB$1006:AM1006),$AB$1006:$AQ$1006,0)), HYPERLINK("#",""), HYPERLINK(CONCATENATE("#metadata!", ADDRESS(INDEX($W$2:$W$1001,MATCH(ROWS($U$2:U421),$U$2:$U$1001,0),0), INDEX($AB$1004:$AQ$1004,1,MATCH(COLUMNS($AB$1006:AM1006),$AB$1006:$AQ$1006,0)))),"Fix")))</f>
        <v>0</v>
      </c>
      <c r="N421" s="4">
        <f>IF(OR(INDEX($V$2:$V$1001,MATCH(ROWS($U$2:U421),$U$2:$U$1001,0),1)&gt;=100000,INDEX($AB$1005:$AQ$1005,1,MATCH(COLUMNS($AB$1006:AN1006),$AB$1006:$AQ$1006,0))&gt;=100000), " ",IF(INDEX($AB$2:$AQ$1001,MATCH(ROWS($U$2:U421),$U$2:$U$1001,0),MATCH(COLUMNS($AB$1006:AN1006),$AB$1006:$AQ$1006,0)), HYPERLINK("#",""), HYPERLINK(CONCATENATE("#metadata!", ADDRESS(INDEX($W$2:$W$1001,MATCH(ROWS($U$2:U421),$U$2:$U$1001,0),0), INDEX($AB$1004:$AQ$1004,1,MATCH(COLUMNS($AB$1006:AN1006),$AB$1006:$AQ$1006,0)))),"Fix")))</f>
        <v>0</v>
      </c>
      <c r="O421" s="4">
        <f>IF(OR(INDEX($V$2:$V$1001,MATCH(ROWS($U$2:U421),$U$2:$U$1001,0),1)&gt;=100000,INDEX($AB$1005:$AQ$1005,1,MATCH(COLUMNS($AB$1006:AO1006),$AB$1006:$AQ$1006,0))&gt;=100000), " ",IF(INDEX($AB$2:$AQ$1001,MATCH(ROWS($U$2:U421),$U$2:$U$1001,0),MATCH(COLUMNS($AB$1006:AO1006),$AB$1006:$AQ$1006,0)), HYPERLINK("#",""), HYPERLINK(CONCATENATE("#metadata!", ADDRESS(INDEX($W$2:$W$1001,MATCH(ROWS($U$2:U421),$U$2:$U$1001,0),0), INDEX($AB$1004:$AQ$1004,1,MATCH(COLUMNS($AB$1006:AO1006),$AB$1006:$AQ$1006,0)))),"Fix")))</f>
        <v>0</v>
      </c>
      <c r="P421" s="4">
        <f>IF(OR(INDEX($V$2:$V$1001,MATCH(ROWS($U$2:U421),$U$2:$U$1001,0),1)&gt;=100000,INDEX($AB$1005:$AQ$1005,1,MATCH(COLUMNS($AB$1006:AP1006),$AB$1006:$AQ$1006,0))&gt;=100000), " ",IF(INDEX($AB$2:$AQ$1001,MATCH(ROWS($U$2:U421),$U$2:$U$1001,0),MATCH(COLUMNS($AB$1006:AP1006),$AB$1006:$AQ$1006,0)), HYPERLINK("#",""), HYPERLINK(CONCATENATE("#metadata!", ADDRESS(INDEX($W$2:$W$1001,MATCH(ROWS($U$2:U421),$U$2:$U$1001,0),0), INDEX($AB$1004:$AQ$1004,1,MATCH(COLUMNS($AB$1006:AP1006),$AB$1006:$AQ$1006,0)))),"Fix")))</f>
        <v>0</v>
      </c>
      <c r="Q421" s="4">
        <f>IF(OR(INDEX($V$2:$V$1001,MATCH(ROWS($U$2:U421),$U$2:$U$1001,0),1)&gt;=100000,INDEX($AB$1005:$AQ$1005,1,MATCH(COLUMNS($AB$1006:AQ1006),$AB$1006:$AQ$1006,0))&gt;=100000), " ",IF(INDEX($AB$2:$AQ$1001,MATCH(ROWS($U$2:U421),$U$2:$U$1001,0),MATCH(COLUMNS($AB$1006:AQ1006),$AB$1006:$AQ$1006,0)), HYPERLINK("#",""), HYPERLINK(CONCATENATE("#metadata!", ADDRESS(INDEX($W$2:$W$1001,MATCH(ROWS($U$2:U421),$U$2:$U$1001,0),0), INDEX($AB$1004:$AQ$1004,1,MATCH(COLUMNS($AB$1006:AQ1006),$AB$1006:$AQ$1006,0)))),"Fix")))</f>
        <v>0</v>
      </c>
      <c r="U421">
        <v>0</v>
      </c>
      <c r="V421">
        <v>0</v>
      </c>
      <c r="W421">
        <v>0</v>
      </c>
      <c r="X421">
        <f>IF(Y421,TRUE,AND(AB421:AQ421))</f>
        <v>0</v>
      </c>
      <c r="Y421">
        <f>COUNTBLANK(metadata!B421:Q421)=COLUMNS(metadata!B421:Q421)</f>
        <v>0</v>
      </c>
      <c r="Z421">
        <v>0</v>
      </c>
      <c r="AB421">
        <f>AND(IF(metadata!B421="",FALSE,TRUE),COUNTIF(metadata!B:B, metadata!B421) = 1,NOT(ISERROR(SUMPRODUCT(SEARCH(MID(metadata!B421,ROW(INDIRECT("1:"&amp;LEN(metadata!B421))), 1),"0123456789abcdefghijklmnopqrstuvwxyzABCDEFGHIJKLMNOPQRSTUVWXYZ.")))))</f>
        <v>0</v>
      </c>
      <c r="AC421">
        <f>OR(AND(IF(metadata!C421="",FALSE,TRUE),OR(exact(metadata!C421,"missing: not collected"),exact(metadata!C421,"missing: not provided"),exact(metadata!C421,"missing: restricted access"))),AND(IF(metadata!C421="",FALSE,TRUE),AND(AND(IFERROR(INT(LEFT(metadata!C421,4))&gt;1900,FALSE),IFERROR(INT(LEFT(metadata!C421,4))&lt;=YEAR(NOW()),FALSE)), OR(MID(metadata!C421,5,1)="", AND(AND(MID(metadata!C421,5,1)="-",IFERROR(INT(MID(metadata!C421,6,1))&gt;=0,FALSE),IFERROR(INT(MID(metadata!C421,6,1))&lt;=1,FALSE),NOT(MID(metadata!C421,7,1)=""),IFERROR(INT(MID(metadata!C421,6,2))&gt;=1,FALSE),IFERROR(INT(MID(metadata!C421,6,2))&lt;=12,FALSE)), OR(MID(metadata!C421,8,1)="", AND(AND(MID(metadata!C421,8,1)="-",IFERROR(INT(MID(metadata!C421,9,1))&gt;=0,FALSE),IFERROR(INT(MID(metadata!C421,9,1))&lt;=3,FALSE),NOT(MID(metadata!C421,10,1)=""),IFERROR(INT(MID(metadata!C421,9,2))&gt;=1,FALSE),IFERROR(INT(MID(metadata!C421,9,2))&lt;=31,FALSE)), OR(MID(metadata!C421,11,1)="", AND(AND(MID(metadata!C421,11,1)=" ",IFERROR(INT(MID(metadata!C421,12,1))&gt;=0,FALSE),IFERROR(INT(MID(metadata!C421,12,1))&lt;=2,FALSE),NOT(MID(metadata!C421,13,1)=""),IFERROR(INT(MID(metadata!C421,12,2))&gt;=0,FALSE),IFERROR(INT(MID(metadata!C421,12,2))&lt;=23,FALSE)), OR(MID(metadata!C421,14,1)="", AND(AND(MID(metadata!C421,14,1)=":",IFERROR(INT(MID(metadata!C421,15,1))&gt;=0,FALSE),IFERROR(INT(MID(metadata!C421,15,1))&lt;=5,FALSE),NOT(MID(metadata!C421,16,1)=""),IFERROR(INT(MID(metadata!C421,15,2))&gt;=0,FALSE),IFERROR(INT(MID(metadata!C421,15,2))&lt;=59,FALSE)), OR(MID(metadata!C421,17,1)="", AND(AND(MID(metadata!C421,17,1)=":",IFERROR(INT(MID(metadata!C421,18,1))&gt;=0,FALSE),IFERROR(INT(MID(metadata!C421,18,1))&lt;=5,FALSE),NOT(MID(metadata!C421,19,1)=""),IFERROR(INT(MID(metadata!C421,18,2))&gt;=0,FALSE),IFERROR(INT(MID(metadata!C421,18,2))&lt;=59,FALSE)), LEN(metadata!C421)&lt;=19)))))))))))))</f>
        <v>0</v>
      </c>
      <c r="AD421">
        <f>IF(metadata!D421="",FALSE,TRUE)</f>
        <v>0</v>
      </c>
      <c r="AE421">
        <f>OR(AND(IF(metadata!E421="",FALSE,TRUE),OR(exact(metadata!E421,"missing: not collected"),exact(metadata!E421,"missing: not provided"))),AND(IF(metadata!E421="",FALSE,TRUE),OR(exact(metadata!E421,"TRUE"),exact(metadata!E421,"FALSE"))))</f>
        <v>0</v>
      </c>
      <c r="AF421">
        <f>IF(metadata!F421="",FALSE,TRUE)</f>
        <v>0</v>
      </c>
      <c r="AG421">
        <f>IF(metadata!G421="",FALSE,TRUE)</f>
        <v>0</v>
      </c>
      <c r="AH421">
        <f>IF(metadata!H421="",FALSE,TRUE)</f>
        <v>0</v>
      </c>
      <c r="AI421">
        <f>OR(AND(IF(metadata!I421="",FALSE,TRUE),OR(exact(metadata!I421,"missing: not collected"),exact(metadata!I421,"missing: not provided"),exact(metadata!I421,"missing: restricted access"))),AND(IF(metadata!I421="",FALSE,TRUE),OR(exact(metadata!I421,"air"),exact(metadata!I421,"built environment"),exact(metadata!I421,"host-associated"),exact(metadata!I421,"human-associated"),exact(metadata!I421,"human-skin"),exact(metadata!I421,"human-oral"),exact(metadata!I421,"human-gut"),exact(metadata!I421,"human-vaginal"),exact(metadata!I421,"microbial mat/biofilm"),exact(metadata!I421,"misc environment"),exact(metadata!I421,"plant-associated"),exact(metadata!I421,"sediment"),exact(metadata!I421,"soil"),exact(metadata!I421,"wastewater/sludge"),exact(metadata!I421,"water"))))</f>
        <v>0</v>
      </c>
      <c r="AJ421">
        <f>IF(metadata!J421="",FALSE,TRUE)</f>
        <v>0</v>
      </c>
      <c r="AK421">
        <f>OR(AND(IF(metadata!K421="",FALSE,TRUE),OR(exact(metadata!K421,"missing: not collected"),exact(metadata!K421,"missing: not provided"),exact(metadata!K421,"missing: restricted access"))),AND(IF(metadata!K421="",FALSE,ISNUMBER(VALUE(metadata!K421))),metadata!K421&gt;=-90.00,metadata!K421&lt;=90.00))</f>
        <v>0</v>
      </c>
      <c r="AL421">
        <f>OR(AND(IF(metadata!L421="",FALSE,TRUE),OR(exact(metadata!L421,"missing: not collected"),exact(metadata!L421,"missing: not provided"),exact(metadata!L421,"missing: restricted access"))),AND(IF(metadata!L421="",FALSE,ISNUMBER(VALUE(metadata!L421))),metadata!L421&gt;=-180.00,metadata!L421&lt;=180.00))</f>
        <v>0</v>
      </c>
      <c r="AM421">
        <f>IF(metadata!M421="",FALSE,TRUE)</f>
        <v>0</v>
      </c>
      <c r="AN421">
        <f>OR(AND(IF(metadata!N421="",FALSE,TRUE),OR(exact(metadata!N421,"missing: not collected"),exact(metadata!N421,"missing: not provided"),exact(metadata!N421,"missing: restricted access"))),AND(IF(metadata!N421="",FALSE,TRUE),OR(exact(metadata!N421,"TRUE"),exact(metadata!N421,"FALSE"))))</f>
        <v>0</v>
      </c>
      <c r="AO421">
        <f>IF(metadata!O421="",FALSE,TRUE)</f>
        <v>0</v>
      </c>
      <c r="AP421">
        <f>OR(AND(IF(metadata!P421="",FALSE,TRUE),OR(exact(metadata!P421,"missing: not collected"),exact(metadata!P421,"missing: not provided"))),AND(IF(metadata!P421="",FALSE,IF(ISERROR(INT(metadata!P421)),FALSE,INT(metadata!P421)=metadata!P421)),metadata!P421&gt;0))</f>
        <v>0</v>
      </c>
      <c r="AQ421">
        <f>IF(metadata!Q421="",FALSE,TRUE)</f>
        <v>0</v>
      </c>
    </row>
    <row r="422" spans="1:43">
      <c r="A422" s="5">
        <f>IF(B422=" "," ",HYPERLINK(CONCATENATE("#metadata!",ADDRESS(INDEX($W$2:$W$1001,MATCH(ROWS($U$2:U422),$U$2:$U$1001,0),0),1)),INDEX($Z$2:$Z$1001,MATCH(ROWS($U$2:U422),$U$2:$U$1001,0),0)))</f>
        <v>0</v>
      </c>
      <c r="B422" s="4">
        <f>IF(OR(INDEX($V$2:$V$1001,MATCH(ROWS($U$2:U422),$U$2:$U$1001,0),1)&gt;=100000,INDEX($AB$1005:$AQ$1005,1,MATCH(COLUMNS($AB$1006:AB1006),$AB$1006:$AQ$1006,0))&gt;=100000), " ",IF(INDEX($AB$2:$AQ$1001,MATCH(ROWS($U$2:U422),$U$2:$U$1001,0),MATCH(COLUMNS($AB$1006:AB1006),$AB$1006:$AQ$1006,0)), HYPERLINK("#",""), HYPERLINK(CONCATENATE("#metadata!", ADDRESS(INDEX($W$2:$W$1001,MATCH(ROWS($U$2:U422),$U$2:$U$1001,0),0), INDEX($AB$1004:$AQ$1004,1,MATCH(COLUMNS($AB$1006:AB1006),$AB$1006:$AQ$1006,0)))),"Fix")))</f>
        <v>0</v>
      </c>
      <c r="C422" s="4">
        <f>IF(OR(INDEX($V$2:$V$1001,MATCH(ROWS($U$2:U422),$U$2:$U$1001,0),1)&gt;=100000,INDEX($AB$1005:$AQ$1005,1,MATCH(COLUMNS($AB$1006:AC1006),$AB$1006:$AQ$1006,0))&gt;=100000), " ",IF(INDEX($AB$2:$AQ$1001,MATCH(ROWS($U$2:U422),$U$2:$U$1001,0),MATCH(COLUMNS($AB$1006:AC1006),$AB$1006:$AQ$1006,0)), HYPERLINK("#",""), HYPERLINK(CONCATENATE("#metadata!", ADDRESS(INDEX($W$2:$W$1001,MATCH(ROWS($U$2:U422),$U$2:$U$1001,0),0), INDEX($AB$1004:$AQ$1004,1,MATCH(COLUMNS($AB$1006:AC1006),$AB$1006:$AQ$1006,0)))),"Fix")))</f>
        <v>0</v>
      </c>
      <c r="D422" s="4">
        <f>IF(OR(INDEX($V$2:$V$1001,MATCH(ROWS($U$2:U422),$U$2:$U$1001,0),1)&gt;=100000,INDEX($AB$1005:$AQ$1005,1,MATCH(COLUMNS($AB$1006:AD1006),$AB$1006:$AQ$1006,0))&gt;=100000), " ",IF(INDEX($AB$2:$AQ$1001,MATCH(ROWS($U$2:U422),$U$2:$U$1001,0),MATCH(COLUMNS($AB$1006:AD1006),$AB$1006:$AQ$1006,0)), HYPERLINK("#",""), HYPERLINK(CONCATENATE("#metadata!", ADDRESS(INDEX($W$2:$W$1001,MATCH(ROWS($U$2:U422),$U$2:$U$1001,0),0), INDEX($AB$1004:$AQ$1004,1,MATCH(COLUMNS($AB$1006:AD1006),$AB$1006:$AQ$1006,0)))),"Fix")))</f>
        <v>0</v>
      </c>
      <c r="E422" s="4">
        <f>IF(OR(INDEX($V$2:$V$1001,MATCH(ROWS($U$2:U422),$U$2:$U$1001,0),1)&gt;=100000,INDEX($AB$1005:$AQ$1005,1,MATCH(COLUMNS($AB$1006:AE1006),$AB$1006:$AQ$1006,0))&gt;=100000), " ",IF(INDEX($AB$2:$AQ$1001,MATCH(ROWS($U$2:U422),$U$2:$U$1001,0),MATCH(COLUMNS($AB$1006:AE1006),$AB$1006:$AQ$1006,0)), HYPERLINK("#",""), HYPERLINK(CONCATENATE("#metadata!", ADDRESS(INDEX($W$2:$W$1001,MATCH(ROWS($U$2:U422),$U$2:$U$1001,0),0), INDEX($AB$1004:$AQ$1004,1,MATCH(COLUMNS($AB$1006:AE1006),$AB$1006:$AQ$1006,0)))),"Fix")))</f>
        <v>0</v>
      </c>
      <c r="F422" s="4">
        <f>IF(OR(INDEX($V$2:$V$1001,MATCH(ROWS($U$2:U422),$U$2:$U$1001,0),1)&gt;=100000,INDEX($AB$1005:$AQ$1005,1,MATCH(COLUMNS($AB$1006:AF1006),$AB$1006:$AQ$1006,0))&gt;=100000), " ",IF(INDEX($AB$2:$AQ$1001,MATCH(ROWS($U$2:U422),$U$2:$U$1001,0),MATCH(COLUMNS($AB$1006:AF1006),$AB$1006:$AQ$1006,0)), HYPERLINK("#",""), HYPERLINK(CONCATENATE("#metadata!", ADDRESS(INDEX($W$2:$W$1001,MATCH(ROWS($U$2:U422),$U$2:$U$1001,0),0), INDEX($AB$1004:$AQ$1004,1,MATCH(COLUMNS($AB$1006:AF1006),$AB$1006:$AQ$1006,0)))),"Fix")))</f>
        <v>0</v>
      </c>
      <c r="G422" s="4">
        <f>IF(OR(INDEX($V$2:$V$1001,MATCH(ROWS($U$2:U422),$U$2:$U$1001,0),1)&gt;=100000,INDEX($AB$1005:$AQ$1005,1,MATCH(COLUMNS($AB$1006:AG1006),$AB$1006:$AQ$1006,0))&gt;=100000), " ",IF(INDEX($AB$2:$AQ$1001,MATCH(ROWS($U$2:U422),$U$2:$U$1001,0),MATCH(COLUMNS($AB$1006:AG1006),$AB$1006:$AQ$1006,0)), HYPERLINK("#",""), HYPERLINK(CONCATENATE("#metadata!", ADDRESS(INDEX($W$2:$W$1001,MATCH(ROWS($U$2:U422),$U$2:$U$1001,0),0), INDEX($AB$1004:$AQ$1004,1,MATCH(COLUMNS($AB$1006:AG1006),$AB$1006:$AQ$1006,0)))),"Fix")))</f>
        <v>0</v>
      </c>
      <c r="H422" s="4">
        <f>IF(OR(INDEX($V$2:$V$1001,MATCH(ROWS($U$2:U422),$U$2:$U$1001,0),1)&gt;=100000,INDEX($AB$1005:$AQ$1005,1,MATCH(COLUMNS($AB$1006:AH1006),$AB$1006:$AQ$1006,0))&gt;=100000), " ",IF(INDEX($AB$2:$AQ$1001,MATCH(ROWS($U$2:U422),$U$2:$U$1001,0),MATCH(COLUMNS($AB$1006:AH1006),$AB$1006:$AQ$1006,0)), HYPERLINK("#",""), HYPERLINK(CONCATENATE("#metadata!", ADDRESS(INDEX($W$2:$W$1001,MATCH(ROWS($U$2:U422),$U$2:$U$1001,0),0), INDEX($AB$1004:$AQ$1004,1,MATCH(COLUMNS($AB$1006:AH1006),$AB$1006:$AQ$1006,0)))),"Fix")))</f>
        <v>0</v>
      </c>
      <c r="I422" s="4">
        <f>IF(OR(INDEX($V$2:$V$1001,MATCH(ROWS($U$2:U422),$U$2:$U$1001,0),1)&gt;=100000,INDEX($AB$1005:$AQ$1005,1,MATCH(COLUMNS($AB$1006:AI1006),$AB$1006:$AQ$1006,0))&gt;=100000), " ",IF(INDEX($AB$2:$AQ$1001,MATCH(ROWS($U$2:U422),$U$2:$U$1001,0),MATCH(COLUMNS($AB$1006:AI1006),$AB$1006:$AQ$1006,0)), HYPERLINK("#",""), HYPERLINK(CONCATENATE("#metadata!", ADDRESS(INDEX($W$2:$W$1001,MATCH(ROWS($U$2:U422),$U$2:$U$1001,0),0), INDEX($AB$1004:$AQ$1004,1,MATCH(COLUMNS($AB$1006:AI1006),$AB$1006:$AQ$1006,0)))),"Fix")))</f>
        <v>0</v>
      </c>
      <c r="J422" s="4">
        <f>IF(OR(INDEX($V$2:$V$1001,MATCH(ROWS($U$2:U422),$U$2:$U$1001,0),1)&gt;=100000,INDEX($AB$1005:$AQ$1005,1,MATCH(COLUMNS($AB$1006:AJ1006),$AB$1006:$AQ$1006,0))&gt;=100000), " ",IF(INDEX($AB$2:$AQ$1001,MATCH(ROWS($U$2:U422),$U$2:$U$1001,0),MATCH(COLUMNS($AB$1006:AJ1006),$AB$1006:$AQ$1006,0)), HYPERLINK("#",""), HYPERLINK(CONCATENATE("#metadata!", ADDRESS(INDEX($W$2:$W$1001,MATCH(ROWS($U$2:U422),$U$2:$U$1001,0),0), INDEX($AB$1004:$AQ$1004,1,MATCH(COLUMNS($AB$1006:AJ1006),$AB$1006:$AQ$1006,0)))),"Fix")))</f>
        <v>0</v>
      </c>
      <c r="K422" s="4">
        <f>IF(OR(INDEX($V$2:$V$1001,MATCH(ROWS($U$2:U422),$U$2:$U$1001,0),1)&gt;=100000,INDEX($AB$1005:$AQ$1005,1,MATCH(COLUMNS($AB$1006:AK1006),$AB$1006:$AQ$1006,0))&gt;=100000), " ",IF(INDEX($AB$2:$AQ$1001,MATCH(ROWS($U$2:U422),$U$2:$U$1001,0),MATCH(COLUMNS($AB$1006:AK1006),$AB$1006:$AQ$1006,0)), HYPERLINK("#",""), HYPERLINK(CONCATENATE("#metadata!", ADDRESS(INDEX($W$2:$W$1001,MATCH(ROWS($U$2:U422),$U$2:$U$1001,0),0), INDEX($AB$1004:$AQ$1004,1,MATCH(COLUMNS($AB$1006:AK1006),$AB$1006:$AQ$1006,0)))),"Fix")))</f>
        <v>0</v>
      </c>
      <c r="L422" s="4">
        <f>IF(OR(INDEX($V$2:$V$1001,MATCH(ROWS($U$2:U422),$U$2:$U$1001,0),1)&gt;=100000,INDEX($AB$1005:$AQ$1005,1,MATCH(COLUMNS($AB$1006:AL1006),$AB$1006:$AQ$1006,0))&gt;=100000), " ",IF(INDEX($AB$2:$AQ$1001,MATCH(ROWS($U$2:U422),$U$2:$U$1001,0),MATCH(COLUMNS($AB$1006:AL1006),$AB$1006:$AQ$1006,0)), HYPERLINK("#",""), HYPERLINK(CONCATENATE("#metadata!", ADDRESS(INDEX($W$2:$W$1001,MATCH(ROWS($U$2:U422),$U$2:$U$1001,0),0), INDEX($AB$1004:$AQ$1004,1,MATCH(COLUMNS($AB$1006:AL1006),$AB$1006:$AQ$1006,0)))),"Fix")))</f>
        <v>0</v>
      </c>
      <c r="M422" s="4">
        <f>IF(OR(INDEX($V$2:$V$1001,MATCH(ROWS($U$2:U422),$U$2:$U$1001,0),1)&gt;=100000,INDEX($AB$1005:$AQ$1005,1,MATCH(COLUMNS($AB$1006:AM1006),$AB$1006:$AQ$1006,0))&gt;=100000), " ",IF(INDEX($AB$2:$AQ$1001,MATCH(ROWS($U$2:U422),$U$2:$U$1001,0),MATCH(COLUMNS($AB$1006:AM1006),$AB$1006:$AQ$1006,0)), HYPERLINK("#",""), HYPERLINK(CONCATENATE("#metadata!", ADDRESS(INDEX($W$2:$W$1001,MATCH(ROWS($U$2:U422),$U$2:$U$1001,0),0), INDEX($AB$1004:$AQ$1004,1,MATCH(COLUMNS($AB$1006:AM1006),$AB$1006:$AQ$1006,0)))),"Fix")))</f>
        <v>0</v>
      </c>
      <c r="N422" s="4">
        <f>IF(OR(INDEX($V$2:$V$1001,MATCH(ROWS($U$2:U422),$U$2:$U$1001,0),1)&gt;=100000,INDEX($AB$1005:$AQ$1005,1,MATCH(COLUMNS($AB$1006:AN1006),$AB$1006:$AQ$1006,0))&gt;=100000), " ",IF(INDEX($AB$2:$AQ$1001,MATCH(ROWS($U$2:U422),$U$2:$U$1001,0),MATCH(COLUMNS($AB$1006:AN1006),$AB$1006:$AQ$1006,0)), HYPERLINK("#",""), HYPERLINK(CONCATENATE("#metadata!", ADDRESS(INDEX($W$2:$W$1001,MATCH(ROWS($U$2:U422),$U$2:$U$1001,0),0), INDEX($AB$1004:$AQ$1004,1,MATCH(COLUMNS($AB$1006:AN1006),$AB$1006:$AQ$1006,0)))),"Fix")))</f>
        <v>0</v>
      </c>
      <c r="O422" s="4">
        <f>IF(OR(INDEX($V$2:$V$1001,MATCH(ROWS($U$2:U422),$U$2:$U$1001,0),1)&gt;=100000,INDEX($AB$1005:$AQ$1005,1,MATCH(COLUMNS($AB$1006:AO1006),$AB$1006:$AQ$1006,0))&gt;=100000), " ",IF(INDEX($AB$2:$AQ$1001,MATCH(ROWS($U$2:U422),$U$2:$U$1001,0),MATCH(COLUMNS($AB$1006:AO1006),$AB$1006:$AQ$1006,0)), HYPERLINK("#",""), HYPERLINK(CONCATENATE("#metadata!", ADDRESS(INDEX($W$2:$W$1001,MATCH(ROWS($U$2:U422),$U$2:$U$1001,0),0), INDEX($AB$1004:$AQ$1004,1,MATCH(COLUMNS($AB$1006:AO1006),$AB$1006:$AQ$1006,0)))),"Fix")))</f>
        <v>0</v>
      </c>
      <c r="P422" s="4">
        <f>IF(OR(INDEX($V$2:$V$1001,MATCH(ROWS($U$2:U422),$U$2:$U$1001,0),1)&gt;=100000,INDEX($AB$1005:$AQ$1005,1,MATCH(COLUMNS($AB$1006:AP1006),$AB$1006:$AQ$1006,0))&gt;=100000), " ",IF(INDEX($AB$2:$AQ$1001,MATCH(ROWS($U$2:U422),$U$2:$U$1001,0),MATCH(COLUMNS($AB$1006:AP1006),$AB$1006:$AQ$1006,0)), HYPERLINK("#",""), HYPERLINK(CONCATENATE("#metadata!", ADDRESS(INDEX($W$2:$W$1001,MATCH(ROWS($U$2:U422),$U$2:$U$1001,0),0), INDEX($AB$1004:$AQ$1004,1,MATCH(COLUMNS($AB$1006:AP1006),$AB$1006:$AQ$1006,0)))),"Fix")))</f>
        <v>0</v>
      </c>
      <c r="Q422" s="4">
        <f>IF(OR(INDEX($V$2:$V$1001,MATCH(ROWS($U$2:U422),$U$2:$U$1001,0),1)&gt;=100000,INDEX($AB$1005:$AQ$1005,1,MATCH(COLUMNS($AB$1006:AQ1006),$AB$1006:$AQ$1006,0))&gt;=100000), " ",IF(INDEX($AB$2:$AQ$1001,MATCH(ROWS($U$2:U422),$U$2:$U$1001,0),MATCH(COLUMNS($AB$1006:AQ1006),$AB$1006:$AQ$1006,0)), HYPERLINK("#",""), HYPERLINK(CONCATENATE("#metadata!", ADDRESS(INDEX($W$2:$W$1001,MATCH(ROWS($U$2:U422),$U$2:$U$1001,0),0), INDEX($AB$1004:$AQ$1004,1,MATCH(COLUMNS($AB$1006:AQ1006),$AB$1006:$AQ$1006,0)))),"Fix")))</f>
        <v>0</v>
      </c>
      <c r="U422">
        <v>0</v>
      </c>
      <c r="V422">
        <v>0</v>
      </c>
      <c r="W422">
        <v>0</v>
      </c>
      <c r="X422">
        <f>IF(Y422,TRUE,AND(AB422:AQ422))</f>
        <v>0</v>
      </c>
      <c r="Y422">
        <f>COUNTBLANK(metadata!B422:Q422)=COLUMNS(metadata!B422:Q422)</f>
        <v>0</v>
      </c>
      <c r="Z422">
        <v>0</v>
      </c>
      <c r="AB422">
        <f>AND(IF(metadata!B422="",FALSE,TRUE),COUNTIF(metadata!B:B, metadata!B422) = 1,NOT(ISERROR(SUMPRODUCT(SEARCH(MID(metadata!B422,ROW(INDIRECT("1:"&amp;LEN(metadata!B422))), 1),"0123456789abcdefghijklmnopqrstuvwxyzABCDEFGHIJKLMNOPQRSTUVWXYZ.")))))</f>
        <v>0</v>
      </c>
      <c r="AC422">
        <f>OR(AND(IF(metadata!C422="",FALSE,TRUE),OR(exact(metadata!C422,"missing: not collected"),exact(metadata!C422,"missing: not provided"),exact(metadata!C422,"missing: restricted access"))),AND(IF(metadata!C422="",FALSE,TRUE),AND(AND(IFERROR(INT(LEFT(metadata!C422,4))&gt;1900,FALSE),IFERROR(INT(LEFT(metadata!C422,4))&lt;=YEAR(NOW()),FALSE)), OR(MID(metadata!C422,5,1)="", AND(AND(MID(metadata!C422,5,1)="-",IFERROR(INT(MID(metadata!C422,6,1))&gt;=0,FALSE),IFERROR(INT(MID(metadata!C422,6,1))&lt;=1,FALSE),NOT(MID(metadata!C422,7,1)=""),IFERROR(INT(MID(metadata!C422,6,2))&gt;=1,FALSE),IFERROR(INT(MID(metadata!C422,6,2))&lt;=12,FALSE)), OR(MID(metadata!C422,8,1)="", AND(AND(MID(metadata!C422,8,1)="-",IFERROR(INT(MID(metadata!C422,9,1))&gt;=0,FALSE),IFERROR(INT(MID(metadata!C422,9,1))&lt;=3,FALSE),NOT(MID(metadata!C422,10,1)=""),IFERROR(INT(MID(metadata!C422,9,2))&gt;=1,FALSE),IFERROR(INT(MID(metadata!C422,9,2))&lt;=31,FALSE)), OR(MID(metadata!C422,11,1)="", AND(AND(MID(metadata!C422,11,1)=" ",IFERROR(INT(MID(metadata!C422,12,1))&gt;=0,FALSE),IFERROR(INT(MID(metadata!C422,12,1))&lt;=2,FALSE),NOT(MID(metadata!C422,13,1)=""),IFERROR(INT(MID(metadata!C422,12,2))&gt;=0,FALSE),IFERROR(INT(MID(metadata!C422,12,2))&lt;=23,FALSE)), OR(MID(metadata!C422,14,1)="", AND(AND(MID(metadata!C422,14,1)=":",IFERROR(INT(MID(metadata!C422,15,1))&gt;=0,FALSE),IFERROR(INT(MID(metadata!C422,15,1))&lt;=5,FALSE),NOT(MID(metadata!C422,16,1)=""),IFERROR(INT(MID(metadata!C422,15,2))&gt;=0,FALSE),IFERROR(INT(MID(metadata!C422,15,2))&lt;=59,FALSE)), OR(MID(metadata!C422,17,1)="", AND(AND(MID(metadata!C422,17,1)=":",IFERROR(INT(MID(metadata!C422,18,1))&gt;=0,FALSE),IFERROR(INT(MID(metadata!C422,18,1))&lt;=5,FALSE),NOT(MID(metadata!C422,19,1)=""),IFERROR(INT(MID(metadata!C422,18,2))&gt;=0,FALSE),IFERROR(INT(MID(metadata!C422,18,2))&lt;=59,FALSE)), LEN(metadata!C422)&lt;=19)))))))))))))</f>
        <v>0</v>
      </c>
      <c r="AD422">
        <f>IF(metadata!D422="",FALSE,TRUE)</f>
        <v>0</v>
      </c>
      <c r="AE422">
        <f>OR(AND(IF(metadata!E422="",FALSE,TRUE),OR(exact(metadata!E422,"missing: not collected"),exact(metadata!E422,"missing: not provided"))),AND(IF(metadata!E422="",FALSE,TRUE),OR(exact(metadata!E422,"TRUE"),exact(metadata!E422,"FALSE"))))</f>
        <v>0</v>
      </c>
      <c r="AF422">
        <f>IF(metadata!F422="",FALSE,TRUE)</f>
        <v>0</v>
      </c>
      <c r="AG422">
        <f>IF(metadata!G422="",FALSE,TRUE)</f>
        <v>0</v>
      </c>
      <c r="AH422">
        <f>IF(metadata!H422="",FALSE,TRUE)</f>
        <v>0</v>
      </c>
      <c r="AI422">
        <f>OR(AND(IF(metadata!I422="",FALSE,TRUE),OR(exact(metadata!I422,"missing: not collected"),exact(metadata!I422,"missing: not provided"),exact(metadata!I422,"missing: restricted access"))),AND(IF(metadata!I422="",FALSE,TRUE),OR(exact(metadata!I422,"air"),exact(metadata!I422,"built environment"),exact(metadata!I422,"host-associated"),exact(metadata!I422,"human-associated"),exact(metadata!I422,"human-skin"),exact(metadata!I422,"human-oral"),exact(metadata!I422,"human-gut"),exact(metadata!I422,"human-vaginal"),exact(metadata!I422,"microbial mat/biofilm"),exact(metadata!I422,"misc environment"),exact(metadata!I422,"plant-associated"),exact(metadata!I422,"sediment"),exact(metadata!I422,"soil"),exact(metadata!I422,"wastewater/sludge"),exact(metadata!I422,"water"))))</f>
        <v>0</v>
      </c>
      <c r="AJ422">
        <f>IF(metadata!J422="",FALSE,TRUE)</f>
        <v>0</v>
      </c>
      <c r="AK422">
        <f>OR(AND(IF(metadata!K422="",FALSE,TRUE),OR(exact(metadata!K422,"missing: not collected"),exact(metadata!K422,"missing: not provided"),exact(metadata!K422,"missing: restricted access"))),AND(IF(metadata!K422="",FALSE,ISNUMBER(VALUE(metadata!K422))),metadata!K422&gt;=-90.00,metadata!K422&lt;=90.00))</f>
        <v>0</v>
      </c>
      <c r="AL422">
        <f>OR(AND(IF(metadata!L422="",FALSE,TRUE),OR(exact(metadata!L422,"missing: not collected"),exact(metadata!L422,"missing: not provided"),exact(metadata!L422,"missing: restricted access"))),AND(IF(metadata!L422="",FALSE,ISNUMBER(VALUE(metadata!L422))),metadata!L422&gt;=-180.00,metadata!L422&lt;=180.00))</f>
        <v>0</v>
      </c>
      <c r="AM422">
        <f>IF(metadata!M422="",FALSE,TRUE)</f>
        <v>0</v>
      </c>
      <c r="AN422">
        <f>OR(AND(IF(metadata!N422="",FALSE,TRUE),OR(exact(metadata!N422,"missing: not collected"),exact(metadata!N422,"missing: not provided"),exact(metadata!N422,"missing: restricted access"))),AND(IF(metadata!N422="",FALSE,TRUE),OR(exact(metadata!N422,"TRUE"),exact(metadata!N422,"FALSE"))))</f>
        <v>0</v>
      </c>
      <c r="AO422">
        <f>IF(metadata!O422="",FALSE,TRUE)</f>
        <v>0</v>
      </c>
      <c r="AP422">
        <f>OR(AND(IF(metadata!P422="",FALSE,TRUE),OR(exact(metadata!P422,"missing: not collected"),exact(metadata!P422,"missing: not provided"))),AND(IF(metadata!P422="",FALSE,IF(ISERROR(INT(metadata!P422)),FALSE,INT(metadata!P422)=metadata!P422)),metadata!P422&gt;0))</f>
        <v>0</v>
      </c>
      <c r="AQ422">
        <f>IF(metadata!Q422="",FALSE,TRUE)</f>
        <v>0</v>
      </c>
    </row>
    <row r="423" spans="1:43">
      <c r="A423" s="5">
        <f>IF(B423=" "," ",HYPERLINK(CONCATENATE("#metadata!",ADDRESS(INDEX($W$2:$W$1001,MATCH(ROWS($U$2:U423),$U$2:$U$1001,0),0),1)),INDEX($Z$2:$Z$1001,MATCH(ROWS($U$2:U423),$U$2:$U$1001,0),0)))</f>
        <v>0</v>
      </c>
      <c r="B423" s="4">
        <f>IF(OR(INDEX($V$2:$V$1001,MATCH(ROWS($U$2:U423),$U$2:$U$1001,0),1)&gt;=100000,INDEX($AB$1005:$AQ$1005,1,MATCH(COLUMNS($AB$1006:AB1006),$AB$1006:$AQ$1006,0))&gt;=100000), " ",IF(INDEX($AB$2:$AQ$1001,MATCH(ROWS($U$2:U423),$U$2:$U$1001,0),MATCH(COLUMNS($AB$1006:AB1006),$AB$1006:$AQ$1006,0)), HYPERLINK("#",""), HYPERLINK(CONCATENATE("#metadata!", ADDRESS(INDEX($W$2:$W$1001,MATCH(ROWS($U$2:U423),$U$2:$U$1001,0),0), INDEX($AB$1004:$AQ$1004,1,MATCH(COLUMNS($AB$1006:AB1006),$AB$1006:$AQ$1006,0)))),"Fix")))</f>
        <v>0</v>
      </c>
      <c r="C423" s="4">
        <f>IF(OR(INDEX($V$2:$V$1001,MATCH(ROWS($U$2:U423),$U$2:$U$1001,0),1)&gt;=100000,INDEX($AB$1005:$AQ$1005,1,MATCH(COLUMNS($AB$1006:AC1006),$AB$1006:$AQ$1006,0))&gt;=100000), " ",IF(INDEX($AB$2:$AQ$1001,MATCH(ROWS($U$2:U423),$U$2:$U$1001,0),MATCH(COLUMNS($AB$1006:AC1006),$AB$1006:$AQ$1006,0)), HYPERLINK("#",""), HYPERLINK(CONCATENATE("#metadata!", ADDRESS(INDEX($W$2:$W$1001,MATCH(ROWS($U$2:U423),$U$2:$U$1001,0),0), INDEX($AB$1004:$AQ$1004,1,MATCH(COLUMNS($AB$1006:AC1006),$AB$1006:$AQ$1006,0)))),"Fix")))</f>
        <v>0</v>
      </c>
      <c r="D423" s="4">
        <f>IF(OR(INDEX($V$2:$V$1001,MATCH(ROWS($U$2:U423),$U$2:$U$1001,0),1)&gt;=100000,INDEX($AB$1005:$AQ$1005,1,MATCH(COLUMNS($AB$1006:AD1006),$AB$1006:$AQ$1006,0))&gt;=100000), " ",IF(INDEX($AB$2:$AQ$1001,MATCH(ROWS($U$2:U423),$U$2:$U$1001,0),MATCH(COLUMNS($AB$1006:AD1006),$AB$1006:$AQ$1006,0)), HYPERLINK("#",""), HYPERLINK(CONCATENATE("#metadata!", ADDRESS(INDEX($W$2:$W$1001,MATCH(ROWS($U$2:U423),$U$2:$U$1001,0),0), INDEX($AB$1004:$AQ$1004,1,MATCH(COLUMNS($AB$1006:AD1006),$AB$1006:$AQ$1006,0)))),"Fix")))</f>
        <v>0</v>
      </c>
      <c r="E423" s="4">
        <f>IF(OR(INDEX($V$2:$V$1001,MATCH(ROWS($U$2:U423),$U$2:$U$1001,0),1)&gt;=100000,INDEX($AB$1005:$AQ$1005,1,MATCH(COLUMNS($AB$1006:AE1006),$AB$1006:$AQ$1006,0))&gt;=100000), " ",IF(INDEX($AB$2:$AQ$1001,MATCH(ROWS($U$2:U423),$U$2:$U$1001,0),MATCH(COLUMNS($AB$1006:AE1006),$AB$1006:$AQ$1006,0)), HYPERLINK("#",""), HYPERLINK(CONCATENATE("#metadata!", ADDRESS(INDEX($W$2:$W$1001,MATCH(ROWS($U$2:U423),$U$2:$U$1001,0),0), INDEX($AB$1004:$AQ$1004,1,MATCH(COLUMNS($AB$1006:AE1006),$AB$1006:$AQ$1006,0)))),"Fix")))</f>
        <v>0</v>
      </c>
      <c r="F423" s="4">
        <f>IF(OR(INDEX($V$2:$V$1001,MATCH(ROWS($U$2:U423),$U$2:$U$1001,0),1)&gt;=100000,INDEX($AB$1005:$AQ$1005,1,MATCH(COLUMNS($AB$1006:AF1006),$AB$1006:$AQ$1006,0))&gt;=100000), " ",IF(INDEX($AB$2:$AQ$1001,MATCH(ROWS($U$2:U423),$U$2:$U$1001,0),MATCH(COLUMNS($AB$1006:AF1006),$AB$1006:$AQ$1006,0)), HYPERLINK("#",""), HYPERLINK(CONCATENATE("#metadata!", ADDRESS(INDEX($W$2:$W$1001,MATCH(ROWS($U$2:U423),$U$2:$U$1001,0),0), INDEX($AB$1004:$AQ$1004,1,MATCH(COLUMNS($AB$1006:AF1006),$AB$1006:$AQ$1006,0)))),"Fix")))</f>
        <v>0</v>
      </c>
      <c r="G423" s="4">
        <f>IF(OR(INDEX($V$2:$V$1001,MATCH(ROWS($U$2:U423),$U$2:$U$1001,0),1)&gt;=100000,INDEX($AB$1005:$AQ$1005,1,MATCH(COLUMNS($AB$1006:AG1006),$AB$1006:$AQ$1006,0))&gt;=100000), " ",IF(INDEX($AB$2:$AQ$1001,MATCH(ROWS($U$2:U423),$U$2:$U$1001,0),MATCH(COLUMNS($AB$1006:AG1006),$AB$1006:$AQ$1006,0)), HYPERLINK("#",""), HYPERLINK(CONCATENATE("#metadata!", ADDRESS(INDEX($W$2:$W$1001,MATCH(ROWS($U$2:U423),$U$2:$U$1001,0),0), INDEX($AB$1004:$AQ$1004,1,MATCH(COLUMNS($AB$1006:AG1006),$AB$1006:$AQ$1006,0)))),"Fix")))</f>
        <v>0</v>
      </c>
      <c r="H423" s="4">
        <f>IF(OR(INDEX($V$2:$V$1001,MATCH(ROWS($U$2:U423),$U$2:$U$1001,0),1)&gt;=100000,INDEX($AB$1005:$AQ$1005,1,MATCH(COLUMNS($AB$1006:AH1006),$AB$1006:$AQ$1006,0))&gt;=100000), " ",IF(INDEX($AB$2:$AQ$1001,MATCH(ROWS($U$2:U423),$U$2:$U$1001,0),MATCH(COLUMNS($AB$1006:AH1006),$AB$1006:$AQ$1006,0)), HYPERLINK("#",""), HYPERLINK(CONCATENATE("#metadata!", ADDRESS(INDEX($W$2:$W$1001,MATCH(ROWS($U$2:U423),$U$2:$U$1001,0),0), INDEX($AB$1004:$AQ$1004,1,MATCH(COLUMNS($AB$1006:AH1006),$AB$1006:$AQ$1006,0)))),"Fix")))</f>
        <v>0</v>
      </c>
      <c r="I423" s="4">
        <f>IF(OR(INDEX($V$2:$V$1001,MATCH(ROWS($U$2:U423),$U$2:$U$1001,0),1)&gt;=100000,INDEX($AB$1005:$AQ$1005,1,MATCH(COLUMNS($AB$1006:AI1006),$AB$1006:$AQ$1006,0))&gt;=100000), " ",IF(INDEX($AB$2:$AQ$1001,MATCH(ROWS($U$2:U423),$U$2:$U$1001,0),MATCH(COLUMNS($AB$1006:AI1006),$AB$1006:$AQ$1006,0)), HYPERLINK("#",""), HYPERLINK(CONCATENATE("#metadata!", ADDRESS(INDEX($W$2:$W$1001,MATCH(ROWS($U$2:U423),$U$2:$U$1001,0),0), INDEX($AB$1004:$AQ$1004,1,MATCH(COLUMNS($AB$1006:AI1006),$AB$1006:$AQ$1006,0)))),"Fix")))</f>
        <v>0</v>
      </c>
      <c r="J423" s="4">
        <f>IF(OR(INDEX($V$2:$V$1001,MATCH(ROWS($U$2:U423),$U$2:$U$1001,0),1)&gt;=100000,INDEX($AB$1005:$AQ$1005,1,MATCH(COLUMNS($AB$1006:AJ1006),$AB$1006:$AQ$1006,0))&gt;=100000), " ",IF(INDEX($AB$2:$AQ$1001,MATCH(ROWS($U$2:U423),$U$2:$U$1001,0),MATCH(COLUMNS($AB$1006:AJ1006),$AB$1006:$AQ$1006,0)), HYPERLINK("#",""), HYPERLINK(CONCATENATE("#metadata!", ADDRESS(INDEX($W$2:$W$1001,MATCH(ROWS($U$2:U423),$U$2:$U$1001,0),0), INDEX($AB$1004:$AQ$1004,1,MATCH(COLUMNS($AB$1006:AJ1006),$AB$1006:$AQ$1006,0)))),"Fix")))</f>
        <v>0</v>
      </c>
      <c r="K423" s="4">
        <f>IF(OR(INDEX($V$2:$V$1001,MATCH(ROWS($U$2:U423),$U$2:$U$1001,0),1)&gt;=100000,INDEX($AB$1005:$AQ$1005,1,MATCH(COLUMNS($AB$1006:AK1006),$AB$1006:$AQ$1006,0))&gt;=100000), " ",IF(INDEX($AB$2:$AQ$1001,MATCH(ROWS($U$2:U423),$U$2:$U$1001,0),MATCH(COLUMNS($AB$1006:AK1006),$AB$1006:$AQ$1006,0)), HYPERLINK("#",""), HYPERLINK(CONCATENATE("#metadata!", ADDRESS(INDEX($W$2:$W$1001,MATCH(ROWS($U$2:U423),$U$2:$U$1001,0),0), INDEX($AB$1004:$AQ$1004,1,MATCH(COLUMNS($AB$1006:AK1006),$AB$1006:$AQ$1006,0)))),"Fix")))</f>
        <v>0</v>
      </c>
      <c r="L423" s="4">
        <f>IF(OR(INDEX($V$2:$V$1001,MATCH(ROWS($U$2:U423),$U$2:$U$1001,0),1)&gt;=100000,INDEX($AB$1005:$AQ$1005,1,MATCH(COLUMNS($AB$1006:AL1006),$AB$1006:$AQ$1006,0))&gt;=100000), " ",IF(INDEX($AB$2:$AQ$1001,MATCH(ROWS($U$2:U423),$U$2:$U$1001,0),MATCH(COLUMNS($AB$1006:AL1006),$AB$1006:$AQ$1006,0)), HYPERLINK("#",""), HYPERLINK(CONCATENATE("#metadata!", ADDRESS(INDEX($W$2:$W$1001,MATCH(ROWS($U$2:U423),$U$2:$U$1001,0),0), INDEX($AB$1004:$AQ$1004,1,MATCH(COLUMNS($AB$1006:AL1006),$AB$1006:$AQ$1006,0)))),"Fix")))</f>
        <v>0</v>
      </c>
      <c r="M423" s="4">
        <f>IF(OR(INDEX($V$2:$V$1001,MATCH(ROWS($U$2:U423),$U$2:$U$1001,0),1)&gt;=100000,INDEX($AB$1005:$AQ$1005,1,MATCH(COLUMNS($AB$1006:AM1006),$AB$1006:$AQ$1006,0))&gt;=100000), " ",IF(INDEX($AB$2:$AQ$1001,MATCH(ROWS($U$2:U423),$U$2:$U$1001,0),MATCH(COLUMNS($AB$1006:AM1006),$AB$1006:$AQ$1006,0)), HYPERLINK("#",""), HYPERLINK(CONCATENATE("#metadata!", ADDRESS(INDEX($W$2:$W$1001,MATCH(ROWS($U$2:U423),$U$2:$U$1001,0),0), INDEX($AB$1004:$AQ$1004,1,MATCH(COLUMNS($AB$1006:AM1006),$AB$1006:$AQ$1006,0)))),"Fix")))</f>
        <v>0</v>
      </c>
      <c r="N423" s="4">
        <f>IF(OR(INDEX($V$2:$V$1001,MATCH(ROWS($U$2:U423),$U$2:$U$1001,0),1)&gt;=100000,INDEX($AB$1005:$AQ$1005,1,MATCH(COLUMNS($AB$1006:AN1006),$AB$1006:$AQ$1006,0))&gt;=100000), " ",IF(INDEX($AB$2:$AQ$1001,MATCH(ROWS($U$2:U423),$U$2:$U$1001,0),MATCH(COLUMNS($AB$1006:AN1006),$AB$1006:$AQ$1006,0)), HYPERLINK("#",""), HYPERLINK(CONCATENATE("#metadata!", ADDRESS(INDEX($W$2:$W$1001,MATCH(ROWS($U$2:U423),$U$2:$U$1001,0),0), INDEX($AB$1004:$AQ$1004,1,MATCH(COLUMNS($AB$1006:AN1006),$AB$1006:$AQ$1006,0)))),"Fix")))</f>
        <v>0</v>
      </c>
      <c r="O423" s="4">
        <f>IF(OR(INDEX($V$2:$V$1001,MATCH(ROWS($U$2:U423),$U$2:$U$1001,0),1)&gt;=100000,INDEX($AB$1005:$AQ$1005,1,MATCH(COLUMNS($AB$1006:AO1006),$AB$1006:$AQ$1006,0))&gt;=100000), " ",IF(INDEX($AB$2:$AQ$1001,MATCH(ROWS($U$2:U423),$U$2:$U$1001,0),MATCH(COLUMNS($AB$1006:AO1006),$AB$1006:$AQ$1006,0)), HYPERLINK("#",""), HYPERLINK(CONCATENATE("#metadata!", ADDRESS(INDEX($W$2:$W$1001,MATCH(ROWS($U$2:U423),$U$2:$U$1001,0),0), INDEX($AB$1004:$AQ$1004,1,MATCH(COLUMNS($AB$1006:AO1006),$AB$1006:$AQ$1006,0)))),"Fix")))</f>
        <v>0</v>
      </c>
      <c r="P423" s="4">
        <f>IF(OR(INDEX($V$2:$V$1001,MATCH(ROWS($U$2:U423),$U$2:$U$1001,0),1)&gt;=100000,INDEX($AB$1005:$AQ$1005,1,MATCH(COLUMNS($AB$1006:AP1006),$AB$1006:$AQ$1006,0))&gt;=100000), " ",IF(INDEX($AB$2:$AQ$1001,MATCH(ROWS($U$2:U423),$U$2:$U$1001,0),MATCH(COLUMNS($AB$1006:AP1006),$AB$1006:$AQ$1006,0)), HYPERLINK("#",""), HYPERLINK(CONCATENATE("#metadata!", ADDRESS(INDEX($W$2:$W$1001,MATCH(ROWS($U$2:U423),$U$2:$U$1001,0),0), INDEX($AB$1004:$AQ$1004,1,MATCH(COLUMNS($AB$1006:AP1006),$AB$1006:$AQ$1006,0)))),"Fix")))</f>
        <v>0</v>
      </c>
      <c r="Q423" s="4">
        <f>IF(OR(INDEX($V$2:$V$1001,MATCH(ROWS($U$2:U423),$U$2:$U$1001,0),1)&gt;=100000,INDEX($AB$1005:$AQ$1005,1,MATCH(COLUMNS($AB$1006:AQ1006),$AB$1006:$AQ$1006,0))&gt;=100000), " ",IF(INDEX($AB$2:$AQ$1001,MATCH(ROWS($U$2:U423),$U$2:$U$1001,0),MATCH(COLUMNS($AB$1006:AQ1006),$AB$1006:$AQ$1006,0)), HYPERLINK("#",""), HYPERLINK(CONCATENATE("#metadata!", ADDRESS(INDEX($W$2:$W$1001,MATCH(ROWS($U$2:U423),$U$2:$U$1001,0),0), INDEX($AB$1004:$AQ$1004,1,MATCH(COLUMNS($AB$1006:AQ1006),$AB$1006:$AQ$1006,0)))),"Fix")))</f>
        <v>0</v>
      </c>
      <c r="U423">
        <v>0</v>
      </c>
      <c r="V423">
        <v>0</v>
      </c>
      <c r="W423">
        <v>0</v>
      </c>
      <c r="X423">
        <f>IF(Y423,TRUE,AND(AB423:AQ423))</f>
        <v>0</v>
      </c>
      <c r="Y423">
        <f>COUNTBLANK(metadata!B423:Q423)=COLUMNS(metadata!B423:Q423)</f>
        <v>0</v>
      </c>
      <c r="Z423">
        <v>0</v>
      </c>
      <c r="AB423">
        <f>AND(IF(metadata!B423="",FALSE,TRUE),COUNTIF(metadata!B:B, metadata!B423) = 1,NOT(ISERROR(SUMPRODUCT(SEARCH(MID(metadata!B423,ROW(INDIRECT("1:"&amp;LEN(metadata!B423))), 1),"0123456789abcdefghijklmnopqrstuvwxyzABCDEFGHIJKLMNOPQRSTUVWXYZ.")))))</f>
        <v>0</v>
      </c>
      <c r="AC423">
        <f>OR(AND(IF(metadata!C423="",FALSE,TRUE),OR(exact(metadata!C423,"missing: not collected"),exact(metadata!C423,"missing: not provided"),exact(metadata!C423,"missing: restricted access"))),AND(IF(metadata!C423="",FALSE,TRUE),AND(AND(IFERROR(INT(LEFT(metadata!C423,4))&gt;1900,FALSE),IFERROR(INT(LEFT(metadata!C423,4))&lt;=YEAR(NOW()),FALSE)), OR(MID(metadata!C423,5,1)="", AND(AND(MID(metadata!C423,5,1)="-",IFERROR(INT(MID(metadata!C423,6,1))&gt;=0,FALSE),IFERROR(INT(MID(metadata!C423,6,1))&lt;=1,FALSE),NOT(MID(metadata!C423,7,1)=""),IFERROR(INT(MID(metadata!C423,6,2))&gt;=1,FALSE),IFERROR(INT(MID(metadata!C423,6,2))&lt;=12,FALSE)), OR(MID(metadata!C423,8,1)="", AND(AND(MID(metadata!C423,8,1)="-",IFERROR(INT(MID(metadata!C423,9,1))&gt;=0,FALSE),IFERROR(INT(MID(metadata!C423,9,1))&lt;=3,FALSE),NOT(MID(metadata!C423,10,1)=""),IFERROR(INT(MID(metadata!C423,9,2))&gt;=1,FALSE),IFERROR(INT(MID(metadata!C423,9,2))&lt;=31,FALSE)), OR(MID(metadata!C423,11,1)="", AND(AND(MID(metadata!C423,11,1)=" ",IFERROR(INT(MID(metadata!C423,12,1))&gt;=0,FALSE),IFERROR(INT(MID(metadata!C423,12,1))&lt;=2,FALSE),NOT(MID(metadata!C423,13,1)=""),IFERROR(INT(MID(metadata!C423,12,2))&gt;=0,FALSE),IFERROR(INT(MID(metadata!C423,12,2))&lt;=23,FALSE)), OR(MID(metadata!C423,14,1)="", AND(AND(MID(metadata!C423,14,1)=":",IFERROR(INT(MID(metadata!C423,15,1))&gt;=0,FALSE),IFERROR(INT(MID(metadata!C423,15,1))&lt;=5,FALSE),NOT(MID(metadata!C423,16,1)=""),IFERROR(INT(MID(metadata!C423,15,2))&gt;=0,FALSE),IFERROR(INT(MID(metadata!C423,15,2))&lt;=59,FALSE)), OR(MID(metadata!C423,17,1)="", AND(AND(MID(metadata!C423,17,1)=":",IFERROR(INT(MID(metadata!C423,18,1))&gt;=0,FALSE),IFERROR(INT(MID(metadata!C423,18,1))&lt;=5,FALSE),NOT(MID(metadata!C423,19,1)=""),IFERROR(INT(MID(metadata!C423,18,2))&gt;=0,FALSE),IFERROR(INT(MID(metadata!C423,18,2))&lt;=59,FALSE)), LEN(metadata!C423)&lt;=19)))))))))))))</f>
        <v>0</v>
      </c>
      <c r="AD423">
        <f>IF(metadata!D423="",FALSE,TRUE)</f>
        <v>0</v>
      </c>
      <c r="AE423">
        <f>OR(AND(IF(metadata!E423="",FALSE,TRUE),OR(exact(metadata!E423,"missing: not collected"),exact(metadata!E423,"missing: not provided"))),AND(IF(metadata!E423="",FALSE,TRUE),OR(exact(metadata!E423,"TRUE"),exact(metadata!E423,"FALSE"))))</f>
        <v>0</v>
      </c>
      <c r="AF423">
        <f>IF(metadata!F423="",FALSE,TRUE)</f>
        <v>0</v>
      </c>
      <c r="AG423">
        <f>IF(metadata!G423="",FALSE,TRUE)</f>
        <v>0</v>
      </c>
      <c r="AH423">
        <f>IF(metadata!H423="",FALSE,TRUE)</f>
        <v>0</v>
      </c>
      <c r="AI423">
        <f>OR(AND(IF(metadata!I423="",FALSE,TRUE),OR(exact(metadata!I423,"missing: not collected"),exact(metadata!I423,"missing: not provided"),exact(metadata!I423,"missing: restricted access"))),AND(IF(metadata!I423="",FALSE,TRUE),OR(exact(metadata!I423,"air"),exact(metadata!I423,"built environment"),exact(metadata!I423,"host-associated"),exact(metadata!I423,"human-associated"),exact(metadata!I423,"human-skin"),exact(metadata!I423,"human-oral"),exact(metadata!I423,"human-gut"),exact(metadata!I423,"human-vaginal"),exact(metadata!I423,"microbial mat/biofilm"),exact(metadata!I423,"misc environment"),exact(metadata!I423,"plant-associated"),exact(metadata!I423,"sediment"),exact(metadata!I423,"soil"),exact(metadata!I423,"wastewater/sludge"),exact(metadata!I423,"water"))))</f>
        <v>0</v>
      </c>
      <c r="AJ423">
        <f>IF(metadata!J423="",FALSE,TRUE)</f>
        <v>0</v>
      </c>
      <c r="AK423">
        <f>OR(AND(IF(metadata!K423="",FALSE,TRUE),OR(exact(metadata!K423,"missing: not collected"),exact(metadata!K423,"missing: not provided"),exact(metadata!K423,"missing: restricted access"))),AND(IF(metadata!K423="",FALSE,ISNUMBER(VALUE(metadata!K423))),metadata!K423&gt;=-90.00,metadata!K423&lt;=90.00))</f>
        <v>0</v>
      </c>
      <c r="AL423">
        <f>OR(AND(IF(metadata!L423="",FALSE,TRUE),OR(exact(metadata!L423,"missing: not collected"),exact(metadata!L423,"missing: not provided"),exact(metadata!L423,"missing: restricted access"))),AND(IF(metadata!L423="",FALSE,ISNUMBER(VALUE(metadata!L423))),metadata!L423&gt;=-180.00,metadata!L423&lt;=180.00))</f>
        <v>0</v>
      </c>
      <c r="AM423">
        <f>IF(metadata!M423="",FALSE,TRUE)</f>
        <v>0</v>
      </c>
      <c r="AN423">
        <f>OR(AND(IF(metadata!N423="",FALSE,TRUE),OR(exact(metadata!N423,"missing: not collected"),exact(metadata!N423,"missing: not provided"),exact(metadata!N423,"missing: restricted access"))),AND(IF(metadata!N423="",FALSE,TRUE),OR(exact(metadata!N423,"TRUE"),exact(metadata!N423,"FALSE"))))</f>
        <v>0</v>
      </c>
      <c r="AO423">
        <f>IF(metadata!O423="",FALSE,TRUE)</f>
        <v>0</v>
      </c>
      <c r="AP423">
        <f>OR(AND(IF(metadata!P423="",FALSE,TRUE),OR(exact(metadata!P423,"missing: not collected"),exact(metadata!P423,"missing: not provided"))),AND(IF(metadata!P423="",FALSE,IF(ISERROR(INT(metadata!P423)),FALSE,INT(metadata!P423)=metadata!P423)),metadata!P423&gt;0))</f>
        <v>0</v>
      </c>
      <c r="AQ423">
        <f>IF(metadata!Q423="",FALSE,TRUE)</f>
        <v>0</v>
      </c>
    </row>
    <row r="424" spans="1:43">
      <c r="A424" s="5">
        <f>IF(B424=" "," ",HYPERLINK(CONCATENATE("#metadata!",ADDRESS(INDEX($W$2:$W$1001,MATCH(ROWS($U$2:U424),$U$2:$U$1001,0),0),1)),INDEX($Z$2:$Z$1001,MATCH(ROWS($U$2:U424),$U$2:$U$1001,0),0)))</f>
        <v>0</v>
      </c>
      <c r="B424" s="4">
        <f>IF(OR(INDEX($V$2:$V$1001,MATCH(ROWS($U$2:U424),$U$2:$U$1001,0),1)&gt;=100000,INDEX($AB$1005:$AQ$1005,1,MATCH(COLUMNS($AB$1006:AB1006),$AB$1006:$AQ$1006,0))&gt;=100000), " ",IF(INDEX($AB$2:$AQ$1001,MATCH(ROWS($U$2:U424),$U$2:$U$1001,0),MATCH(COLUMNS($AB$1006:AB1006),$AB$1006:$AQ$1006,0)), HYPERLINK("#",""), HYPERLINK(CONCATENATE("#metadata!", ADDRESS(INDEX($W$2:$W$1001,MATCH(ROWS($U$2:U424),$U$2:$U$1001,0),0), INDEX($AB$1004:$AQ$1004,1,MATCH(COLUMNS($AB$1006:AB1006),$AB$1006:$AQ$1006,0)))),"Fix")))</f>
        <v>0</v>
      </c>
      <c r="C424" s="4">
        <f>IF(OR(INDEX($V$2:$V$1001,MATCH(ROWS($U$2:U424),$U$2:$U$1001,0),1)&gt;=100000,INDEX($AB$1005:$AQ$1005,1,MATCH(COLUMNS($AB$1006:AC1006),$AB$1006:$AQ$1006,0))&gt;=100000), " ",IF(INDEX($AB$2:$AQ$1001,MATCH(ROWS($U$2:U424),$U$2:$U$1001,0),MATCH(COLUMNS($AB$1006:AC1006),$AB$1006:$AQ$1006,0)), HYPERLINK("#",""), HYPERLINK(CONCATENATE("#metadata!", ADDRESS(INDEX($W$2:$W$1001,MATCH(ROWS($U$2:U424),$U$2:$U$1001,0),0), INDEX($AB$1004:$AQ$1004,1,MATCH(COLUMNS($AB$1006:AC1006),$AB$1006:$AQ$1006,0)))),"Fix")))</f>
        <v>0</v>
      </c>
      <c r="D424" s="4">
        <f>IF(OR(INDEX($V$2:$V$1001,MATCH(ROWS($U$2:U424),$U$2:$U$1001,0),1)&gt;=100000,INDEX($AB$1005:$AQ$1005,1,MATCH(COLUMNS($AB$1006:AD1006),$AB$1006:$AQ$1006,0))&gt;=100000), " ",IF(INDEX($AB$2:$AQ$1001,MATCH(ROWS($U$2:U424),$U$2:$U$1001,0),MATCH(COLUMNS($AB$1006:AD1006),$AB$1006:$AQ$1006,0)), HYPERLINK("#",""), HYPERLINK(CONCATENATE("#metadata!", ADDRESS(INDEX($W$2:$W$1001,MATCH(ROWS($U$2:U424),$U$2:$U$1001,0),0), INDEX($AB$1004:$AQ$1004,1,MATCH(COLUMNS($AB$1006:AD1006),$AB$1006:$AQ$1006,0)))),"Fix")))</f>
        <v>0</v>
      </c>
      <c r="E424" s="4">
        <f>IF(OR(INDEX($V$2:$V$1001,MATCH(ROWS($U$2:U424),$U$2:$U$1001,0),1)&gt;=100000,INDEX($AB$1005:$AQ$1005,1,MATCH(COLUMNS($AB$1006:AE1006),$AB$1006:$AQ$1006,0))&gt;=100000), " ",IF(INDEX($AB$2:$AQ$1001,MATCH(ROWS($U$2:U424),$U$2:$U$1001,0),MATCH(COLUMNS($AB$1006:AE1006),$AB$1006:$AQ$1006,0)), HYPERLINK("#",""), HYPERLINK(CONCATENATE("#metadata!", ADDRESS(INDEX($W$2:$W$1001,MATCH(ROWS($U$2:U424),$U$2:$U$1001,0),0), INDEX($AB$1004:$AQ$1004,1,MATCH(COLUMNS($AB$1006:AE1006),$AB$1006:$AQ$1006,0)))),"Fix")))</f>
        <v>0</v>
      </c>
      <c r="F424" s="4">
        <f>IF(OR(INDEX($V$2:$V$1001,MATCH(ROWS($U$2:U424),$U$2:$U$1001,0),1)&gt;=100000,INDEX($AB$1005:$AQ$1005,1,MATCH(COLUMNS($AB$1006:AF1006),$AB$1006:$AQ$1006,0))&gt;=100000), " ",IF(INDEX($AB$2:$AQ$1001,MATCH(ROWS($U$2:U424),$U$2:$U$1001,0),MATCH(COLUMNS($AB$1006:AF1006),$AB$1006:$AQ$1006,0)), HYPERLINK("#",""), HYPERLINK(CONCATENATE("#metadata!", ADDRESS(INDEX($W$2:$W$1001,MATCH(ROWS($U$2:U424),$U$2:$U$1001,0),0), INDEX($AB$1004:$AQ$1004,1,MATCH(COLUMNS($AB$1006:AF1006),$AB$1006:$AQ$1006,0)))),"Fix")))</f>
        <v>0</v>
      </c>
      <c r="G424" s="4">
        <f>IF(OR(INDEX($V$2:$V$1001,MATCH(ROWS($U$2:U424),$U$2:$U$1001,0),1)&gt;=100000,INDEX($AB$1005:$AQ$1005,1,MATCH(COLUMNS($AB$1006:AG1006),$AB$1006:$AQ$1006,0))&gt;=100000), " ",IF(INDEX($AB$2:$AQ$1001,MATCH(ROWS($U$2:U424),$U$2:$U$1001,0),MATCH(COLUMNS($AB$1006:AG1006),$AB$1006:$AQ$1006,0)), HYPERLINK("#",""), HYPERLINK(CONCATENATE("#metadata!", ADDRESS(INDEX($W$2:$W$1001,MATCH(ROWS($U$2:U424),$U$2:$U$1001,0),0), INDEX($AB$1004:$AQ$1004,1,MATCH(COLUMNS($AB$1006:AG1006),$AB$1006:$AQ$1006,0)))),"Fix")))</f>
        <v>0</v>
      </c>
      <c r="H424" s="4">
        <f>IF(OR(INDEX($V$2:$V$1001,MATCH(ROWS($U$2:U424),$U$2:$U$1001,0),1)&gt;=100000,INDEX($AB$1005:$AQ$1005,1,MATCH(COLUMNS($AB$1006:AH1006),$AB$1006:$AQ$1006,0))&gt;=100000), " ",IF(INDEX($AB$2:$AQ$1001,MATCH(ROWS($U$2:U424),$U$2:$U$1001,0),MATCH(COLUMNS($AB$1006:AH1006),$AB$1006:$AQ$1006,0)), HYPERLINK("#",""), HYPERLINK(CONCATENATE("#metadata!", ADDRESS(INDEX($W$2:$W$1001,MATCH(ROWS($U$2:U424),$U$2:$U$1001,0),0), INDEX($AB$1004:$AQ$1004,1,MATCH(COLUMNS($AB$1006:AH1006),$AB$1006:$AQ$1006,0)))),"Fix")))</f>
        <v>0</v>
      </c>
      <c r="I424" s="4">
        <f>IF(OR(INDEX($V$2:$V$1001,MATCH(ROWS($U$2:U424),$U$2:$U$1001,0),1)&gt;=100000,INDEX($AB$1005:$AQ$1005,1,MATCH(COLUMNS($AB$1006:AI1006),$AB$1006:$AQ$1006,0))&gt;=100000), " ",IF(INDEX($AB$2:$AQ$1001,MATCH(ROWS($U$2:U424),$U$2:$U$1001,0),MATCH(COLUMNS($AB$1006:AI1006),$AB$1006:$AQ$1006,0)), HYPERLINK("#",""), HYPERLINK(CONCATENATE("#metadata!", ADDRESS(INDEX($W$2:$W$1001,MATCH(ROWS($U$2:U424),$U$2:$U$1001,0),0), INDEX($AB$1004:$AQ$1004,1,MATCH(COLUMNS($AB$1006:AI1006),$AB$1006:$AQ$1006,0)))),"Fix")))</f>
        <v>0</v>
      </c>
      <c r="J424" s="4">
        <f>IF(OR(INDEX($V$2:$V$1001,MATCH(ROWS($U$2:U424),$U$2:$U$1001,0),1)&gt;=100000,INDEX($AB$1005:$AQ$1005,1,MATCH(COLUMNS($AB$1006:AJ1006),$AB$1006:$AQ$1006,0))&gt;=100000), " ",IF(INDEX($AB$2:$AQ$1001,MATCH(ROWS($U$2:U424),$U$2:$U$1001,0),MATCH(COLUMNS($AB$1006:AJ1006),$AB$1006:$AQ$1006,0)), HYPERLINK("#",""), HYPERLINK(CONCATENATE("#metadata!", ADDRESS(INDEX($W$2:$W$1001,MATCH(ROWS($U$2:U424),$U$2:$U$1001,0),0), INDEX($AB$1004:$AQ$1004,1,MATCH(COLUMNS($AB$1006:AJ1006),$AB$1006:$AQ$1006,0)))),"Fix")))</f>
        <v>0</v>
      </c>
      <c r="K424" s="4">
        <f>IF(OR(INDEX($V$2:$V$1001,MATCH(ROWS($U$2:U424),$U$2:$U$1001,0),1)&gt;=100000,INDEX($AB$1005:$AQ$1005,1,MATCH(COLUMNS($AB$1006:AK1006),$AB$1006:$AQ$1006,0))&gt;=100000), " ",IF(INDEX($AB$2:$AQ$1001,MATCH(ROWS($U$2:U424),$U$2:$U$1001,0),MATCH(COLUMNS($AB$1006:AK1006),$AB$1006:$AQ$1006,0)), HYPERLINK("#",""), HYPERLINK(CONCATENATE("#metadata!", ADDRESS(INDEX($W$2:$W$1001,MATCH(ROWS($U$2:U424),$U$2:$U$1001,0),0), INDEX($AB$1004:$AQ$1004,1,MATCH(COLUMNS($AB$1006:AK1006),$AB$1006:$AQ$1006,0)))),"Fix")))</f>
        <v>0</v>
      </c>
      <c r="L424" s="4">
        <f>IF(OR(INDEX($V$2:$V$1001,MATCH(ROWS($U$2:U424),$U$2:$U$1001,0),1)&gt;=100000,INDEX($AB$1005:$AQ$1005,1,MATCH(COLUMNS($AB$1006:AL1006),$AB$1006:$AQ$1006,0))&gt;=100000), " ",IF(INDEX($AB$2:$AQ$1001,MATCH(ROWS($U$2:U424),$U$2:$U$1001,0),MATCH(COLUMNS($AB$1006:AL1006),$AB$1006:$AQ$1006,0)), HYPERLINK("#",""), HYPERLINK(CONCATENATE("#metadata!", ADDRESS(INDEX($W$2:$W$1001,MATCH(ROWS($U$2:U424),$U$2:$U$1001,0),0), INDEX($AB$1004:$AQ$1004,1,MATCH(COLUMNS($AB$1006:AL1006),$AB$1006:$AQ$1006,0)))),"Fix")))</f>
        <v>0</v>
      </c>
      <c r="M424" s="4">
        <f>IF(OR(INDEX($V$2:$V$1001,MATCH(ROWS($U$2:U424),$U$2:$U$1001,0),1)&gt;=100000,INDEX($AB$1005:$AQ$1005,1,MATCH(COLUMNS($AB$1006:AM1006),$AB$1006:$AQ$1006,0))&gt;=100000), " ",IF(INDEX($AB$2:$AQ$1001,MATCH(ROWS($U$2:U424),$U$2:$U$1001,0),MATCH(COLUMNS($AB$1006:AM1006),$AB$1006:$AQ$1006,0)), HYPERLINK("#",""), HYPERLINK(CONCATENATE("#metadata!", ADDRESS(INDEX($W$2:$W$1001,MATCH(ROWS($U$2:U424),$U$2:$U$1001,0),0), INDEX($AB$1004:$AQ$1004,1,MATCH(COLUMNS($AB$1006:AM1006),$AB$1006:$AQ$1006,0)))),"Fix")))</f>
        <v>0</v>
      </c>
      <c r="N424" s="4">
        <f>IF(OR(INDEX($V$2:$V$1001,MATCH(ROWS($U$2:U424),$U$2:$U$1001,0),1)&gt;=100000,INDEX($AB$1005:$AQ$1005,1,MATCH(COLUMNS($AB$1006:AN1006),$AB$1006:$AQ$1006,0))&gt;=100000), " ",IF(INDEX($AB$2:$AQ$1001,MATCH(ROWS($U$2:U424),$U$2:$U$1001,0),MATCH(COLUMNS($AB$1006:AN1006),$AB$1006:$AQ$1006,0)), HYPERLINK("#",""), HYPERLINK(CONCATENATE("#metadata!", ADDRESS(INDEX($W$2:$W$1001,MATCH(ROWS($U$2:U424),$U$2:$U$1001,0),0), INDEX($AB$1004:$AQ$1004,1,MATCH(COLUMNS($AB$1006:AN1006),$AB$1006:$AQ$1006,0)))),"Fix")))</f>
        <v>0</v>
      </c>
      <c r="O424" s="4">
        <f>IF(OR(INDEX($V$2:$V$1001,MATCH(ROWS($U$2:U424),$U$2:$U$1001,0),1)&gt;=100000,INDEX($AB$1005:$AQ$1005,1,MATCH(COLUMNS($AB$1006:AO1006),$AB$1006:$AQ$1006,0))&gt;=100000), " ",IF(INDEX($AB$2:$AQ$1001,MATCH(ROWS($U$2:U424),$U$2:$U$1001,0),MATCH(COLUMNS($AB$1006:AO1006),$AB$1006:$AQ$1006,0)), HYPERLINK("#",""), HYPERLINK(CONCATENATE("#metadata!", ADDRESS(INDEX($W$2:$W$1001,MATCH(ROWS($U$2:U424),$U$2:$U$1001,0),0), INDEX($AB$1004:$AQ$1004,1,MATCH(COLUMNS($AB$1006:AO1006),$AB$1006:$AQ$1006,0)))),"Fix")))</f>
        <v>0</v>
      </c>
      <c r="P424" s="4">
        <f>IF(OR(INDEX($V$2:$V$1001,MATCH(ROWS($U$2:U424),$U$2:$U$1001,0),1)&gt;=100000,INDEX($AB$1005:$AQ$1005,1,MATCH(COLUMNS($AB$1006:AP1006),$AB$1006:$AQ$1006,0))&gt;=100000), " ",IF(INDEX($AB$2:$AQ$1001,MATCH(ROWS($U$2:U424),$U$2:$U$1001,0),MATCH(COLUMNS($AB$1006:AP1006),$AB$1006:$AQ$1006,0)), HYPERLINK("#",""), HYPERLINK(CONCATENATE("#metadata!", ADDRESS(INDEX($W$2:$W$1001,MATCH(ROWS($U$2:U424),$U$2:$U$1001,0),0), INDEX($AB$1004:$AQ$1004,1,MATCH(COLUMNS($AB$1006:AP1006),$AB$1006:$AQ$1006,0)))),"Fix")))</f>
        <v>0</v>
      </c>
      <c r="Q424" s="4">
        <f>IF(OR(INDEX($V$2:$V$1001,MATCH(ROWS($U$2:U424),$U$2:$U$1001,0),1)&gt;=100000,INDEX($AB$1005:$AQ$1005,1,MATCH(COLUMNS($AB$1006:AQ1006),$AB$1006:$AQ$1006,0))&gt;=100000), " ",IF(INDEX($AB$2:$AQ$1001,MATCH(ROWS($U$2:U424),$U$2:$U$1001,0),MATCH(COLUMNS($AB$1006:AQ1006),$AB$1006:$AQ$1006,0)), HYPERLINK("#",""), HYPERLINK(CONCATENATE("#metadata!", ADDRESS(INDEX($W$2:$W$1001,MATCH(ROWS($U$2:U424),$U$2:$U$1001,0),0), INDEX($AB$1004:$AQ$1004,1,MATCH(COLUMNS($AB$1006:AQ1006),$AB$1006:$AQ$1006,0)))),"Fix")))</f>
        <v>0</v>
      </c>
      <c r="U424">
        <v>0</v>
      </c>
      <c r="V424">
        <v>0</v>
      </c>
      <c r="W424">
        <v>0</v>
      </c>
      <c r="X424">
        <f>IF(Y424,TRUE,AND(AB424:AQ424))</f>
        <v>0</v>
      </c>
      <c r="Y424">
        <f>COUNTBLANK(metadata!B424:Q424)=COLUMNS(metadata!B424:Q424)</f>
        <v>0</v>
      </c>
      <c r="Z424">
        <v>0</v>
      </c>
      <c r="AB424">
        <f>AND(IF(metadata!B424="",FALSE,TRUE),COUNTIF(metadata!B:B, metadata!B424) = 1,NOT(ISERROR(SUMPRODUCT(SEARCH(MID(metadata!B424,ROW(INDIRECT("1:"&amp;LEN(metadata!B424))), 1),"0123456789abcdefghijklmnopqrstuvwxyzABCDEFGHIJKLMNOPQRSTUVWXYZ.")))))</f>
        <v>0</v>
      </c>
      <c r="AC424">
        <f>OR(AND(IF(metadata!C424="",FALSE,TRUE),OR(exact(metadata!C424,"missing: not collected"),exact(metadata!C424,"missing: not provided"),exact(metadata!C424,"missing: restricted access"))),AND(IF(metadata!C424="",FALSE,TRUE),AND(AND(IFERROR(INT(LEFT(metadata!C424,4))&gt;1900,FALSE),IFERROR(INT(LEFT(metadata!C424,4))&lt;=YEAR(NOW()),FALSE)), OR(MID(metadata!C424,5,1)="", AND(AND(MID(metadata!C424,5,1)="-",IFERROR(INT(MID(metadata!C424,6,1))&gt;=0,FALSE),IFERROR(INT(MID(metadata!C424,6,1))&lt;=1,FALSE),NOT(MID(metadata!C424,7,1)=""),IFERROR(INT(MID(metadata!C424,6,2))&gt;=1,FALSE),IFERROR(INT(MID(metadata!C424,6,2))&lt;=12,FALSE)), OR(MID(metadata!C424,8,1)="", AND(AND(MID(metadata!C424,8,1)="-",IFERROR(INT(MID(metadata!C424,9,1))&gt;=0,FALSE),IFERROR(INT(MID(metadata!C424,9,1))&lt;=3,FALSE),NOT(MID(metadata!C424,10,1)=""),IFERROR(INT(MID(metadata!C424,9,2))&gt;=1,FALSE),IFERROR(INT(MID(metadata!C424,9,2))&lt;=31,FALSE)), OR(MID(metadata!C424,11,1)="", AND(AND(MID(metadata!C424,11,1)=" ",IFERROR(INT(MID(metadata!C424,12,1))&gt;=0,FALSE),IFERROR(INT(MID(metadata!C424,12,1))&lt;=2,FALSE),NOT(MID(metadata!C424,13,1)=""),IFERROR(INT(MID(metadata!C424,12,2))&gt;=0,FALSE),IFERROR(INT(MID(metadata!C424,12,2))&lt;=23,FALSE)), OR(MID(metadata!C424,14,1)="", AND(AND(MID(metadata!C424,14,1)=":",IFERROR(INT(MID(metadata!C424,15,1))&gt;=0,FALSE),IFERROR(INT(MID(metadata!C424,15,1))&lt;=5,FALSE),NOT(MID(metadata!C424,16,1)=""),IFERROR(INT(MID(metadata!C424,15,2))&gt;=0,FALSE),IFERROR(INT(MID(metadata!C424,15,2))&lt;=59,FALSE)), OR(MID(metadata!C424,17,1)="", AND(AND(MID(metadata!C424,17,1)=":",IFERROR(INT(MID(metadata!C424,18,1))&gt;=0,FALSE),IFERROR(INT(MID(metadata!C424,18,1))&lt;=5,FALSE),NOT(MID(metadata!C424,19,1)=""),IFERROR(INT(MID(metadata!C424,18,2))&gt;=0,FALSE),IFERROR(INT(MID(metadata!C424,18,2))&lt;=59,FALSE)), LEN(metadata!C424)&lt;=19)))))))))))))</f>
        <v>0</v>
      </c>
      <c r="AD424">
        <f>IF(metadata!D424="",FALSE,TRUE)</f>
        <v>0</v>
      </c>
      <c r="AE424">
        <f>OR(AND(IF(metadata!E424="",FALSE,TRUE),OR(exact(metadata!E424,"missing: not collected"),exact(metadata!E424,"missing: not provided"))),AND(IF(metadata!E424="",FALSE,TRUE),OR(exact(metadata!E424,"TRUE"),exact(metadata!E424,"FALSE"))))</f>
        <v>0</v>
      </c>
      <c r="AF424">
        <f>IF(metadata!F424="",FALSE,TRUE)</f>
        <v>0</v>
      </c>
      <c r="AG424">
        <f>IF(metadata!G424="",FALSE,TRUE)</f>
        <v>0</v>
      </c>
      <c r="AH424">
        <f>IF(metadata!H424="",FALSE,TRUE)</f>
        <v>0</v>
      </c>
      <c r="AI424">
        <f>OR(AND(IF(metadata!I424="",FALSE,TRUE),OR(exact(metadata!I424,"missing: not collected"),exact(metadata!I424,"missing: not provided"),exact(metadata!I424,"missing: restricted access"))),AND(IF(metadata!I424="",FALSE,TRUE),OR(exact(metadata!I424,"air"),exact(metadata!I424,"built environment"),exact(metadata!I424,"host-associated"),exact(metadata!I424,"human-associated"),exact(metadata!I424,"human-skin"),exact(metadata!I424,"human-oral"),exact(metadata!I424,"human-gut"),exact(metadata!I424,"human-vaginal"),exact(metadata!I424,"microbial mat/biofilm"),exact(metadata!I424,"misc environment"),exact(metadata!I424,"plant-associated"),exact(metadata!I424,"sediment"),exact(metadata!I424,"soil"),exact(metadata!I424,"wastewater/sludge"),exact(metadata!I424,"water"))))</f>
        <v>0</v>
      </c>
      <c r="AJ424">
        <f>IF(metadata!J424="",FALSE,TRUE)</f>
        <v>0</v>
      </c>
      <c r="AK424">
        <f>OR(AND(IF(metadata!K424="",FALSE,TRUE),OR(exact(metadata!K424,"missing: not collected"),exact(metadata!K424,"missing: not provided"),exact(metadata!K424,"missing: restricted access"))),AND(IF(metadata!K424="",FALSE,ISNUMBER(VALUE(metadata!K424))),metadata!K424&gt;=-90.00,metadata!K424&lt;=90.00))</f>
        <v>0</v>
      </c>
      <c r="AL424">
        <f>OR(AND(IF(metadata!L424="",FALSE,TRUE),OR(exact(metadata!L424,"missing: not collected"),exact(metadata!L424,"missing: not provided"),exact(metadata!L424,"missing: restricted access"))),AND(IF(metadata!L424="",FALSE,ISNUMBER(VALUE(metadata!L424))),metadata!L424&gt;=-180.00,metadata!L424&lt;=180.00))</f>
        <v>0</v>
      </c>
      <c r="AM424">
        <f>IF(metadata!M424="",FALSE,TRUE)</f>
        <v>0</v>
      </c>
      <c r="AN424">
        <f>OR(AND(IF(metadata!N424="",FALSE,TRUE),OR(exact(metadata!N424,"missing: not collected"),exact(metadata!N424,"missing: not provided"),exact(metadata!N424,"missing: restricted access"))),AND(IF(metadata!N424="",FALSE,TRUE),OR(exact(metadata!N424,"TRUE"),exact(metadata!N424,"FALSE"))))</f>
        <v>0</v>
      </c>
      <c r="AO424">
        <f>IF(metadata!O424="",FALSE,TRUE)</f>
        <v>0</v>
      </c>
      <c r="AP424">
        <f>OR(AND(IF(metadata!P424="",FALSE,TRUE),OR(exact(metadata!P424,"missing: not collected"),exact(metadata!P424,"missing: not provided"))),AND(IF(metadata!P424="",FALSE,IF(ISERROR(INT(metadata!P424)),FALSE,INT(metadata!P424)=metadata!P424)),metadata!P424&gt;0))</f>
        <v>0</v>
      </c>
      <c r="AQ424">
        <f>IF(metadata!Q424="",FALSE,TRUE)</f>
        <v>0</v>
      </c>
    </row>
    <row r="425" spans="1:43">
      <c r="A425" s="5">
        <f>IF(B425=" "," ",HYPERLINK(CONCATENATE("#metadata!",ADDRESS(INDEX($W$2:$W$1001,MATCH(ROWS($U$2:U425),$U$2:$U$1001,0),0),1)),INDEX($Z$2:$Z$1001,MATCH(ROWS($U$2:U425),$U$2:$U$1001,0),0)))</f>
        <v>0</v>
      </c>
      <c r="B425" s="4">
        <f>IF(OR(INDEX($V$2:$V$1001,MATCH(ROWS($U$2:U425),$U$2:$U$1001,0),1)&gt;=100000,INDEX($AB$1005:$AQ$1005,1,MATCH(COLUMNS($AB$1006:AB1006),$AB$1006:$AQ$1006,0))&gt;=100000), " ",IF(INDEX($AB$2:$AQ$1001,MATCH(ROWS($U$2:U425),$U$2:$U$1001,0),MATCH(COLUMNS($AB$1006:AB1006),$AB$1006:$AQ$1006,0)), HYPERLINK("#",""), HYPERLINK(CONCATENATE("#metadata!", ADDRESS(INDEX($W$2:$W$1001,MATCH(ROWS($U$2:U425),$U$2:$U$1001,0),0), INDEX($AB$1004:$AQ$1004,1,MATCH(COLUMNS($AB$1006:AB1006),$AB$1006:$AQ$1006,0)))),"Fix")))</f>
        <v>0</v>
      </c>
      <c r="C425" s="4">
        <f>IF(OR(INDEX($V$2:$V$1001,MATCH(ROWS($U$2:U425),$U$2:$U$1001,0),1)&gt;=100000,INDEX($AB$1005:$AQ$1005,1,MATCH(COLUMNS($AB$1006:AC1006),$AB$1006:$AQ$1006,0))&gt;=100000), " ",IF(INDEX($AB$2:$AQ$1001,MATCH(ROWS($U$2:U425),$U$2:$U$1001,0),MATCH(COLUMNS($AB$1006:AC1006),$AB$1006:$AQ$1006,0)), HYPERLINK("#",""), HYPERLINK(CONCATENATE("#metadata!", ADDRESS(INDEX($W$2:$W$1001,MATCH(ROWS($U$2:U425),$U$2:$U$1001,0),0), INDEX($AB$1004:$AQ$1004,1,MATCH(COLUMNS($AB$1006:AC1006),$AB$1006:$AQ$1006,0)))),"Fix")))</f>
        <v>0</v>
      </c>
      <c r="D425" s="4">
        <f>IF(OR(INDEX($V$2:$V$1001,MATCH(ROWS($U$2:U425),$U$2:$U$1001,0),1)&gt;=100000,INDEX($AB$1005:$AQ$1005,1,MATCH(COLUMNS($AB$1006:AD1006),$AB$1006:$AQ$1006,0))&gt;=100000), " ",IF(INDEX($AB$2:$AQ$1001,MATCH(ROWS($U$2:U425),$U$2:$U$1001,0),MATCH(COLUMNS($AB$1006:AD1006),$AB$1006:$AQ$1006,0)), HYPERLINK("#",""), HYPERLINK(CONCATENATE("#metadata!", ADDRESS(INDEX($W$2:$W$1001,MATCH(ROWS($U$2:U425),$U$2:$U$1001,0),0), INDEX($AB$1004:$AQ$1004,1,MATCH(COLUMNS($AB$1006:AD1006),$AB$1006:$AQ$1006,0)))),"Fix")))</f>
        <v>0</v>
      </c>
      <c r="E425" s="4">
        <f>IF(OR(INDEX($V$2:$V$1001,MATCH(ROWS($U$2:U425),$U$2:$U$1001,0),1)&gt;=100000,INDEX($AB$1005:$AQ$1005,1,MATCH(COLUMNS($AB$1006:AE1006),$AB$1006:$AQ$1006,0))&gt;=100000), " ",IF(INDEX($AB$2:$AQ$1001,MATCH(ROWS($U$2:U425),$U$2:$U$1001,0),MATCH(COLUMNS($AB$1006:AE1006),$AB$1006:$AQ$1006,0)), HYPERLINK("#",""), HYPERLINK(CONCATENATE("#metadata!", ADDRESS(INDEX($W$2:$W$1001,MATCH(ROWS($U$2:U425),$U$2:$U$1001,0),0), INDEX($AB$1004:$AQ$1004,1,MATCH(COLUMNS($AB$1006:AE1006),$AB$1006:$AQ$1006,0)))),"Fix")))</f>
        <v>0</v>
      </c>
      <c r="F425" s="4">
        <f>IF(OR(INDEX($V$2:$V$1001,MATCH(ROWS($U$2:U425),$U$2:$U$1001,0),1)&gt;=100000,INDEX($AB$1005:$AQ$1005,1,MATCH(COLUMNS($AB$1006:AF1006),$AB$1006:$AQ$1006,0))&gt;=100000), " ",IF(INDEX($AB$2:$AQ$1001,MATCH(ROWS($U$2:U425),$U$2:$U$1001,0),MATCH(COLUMNS($AB$1006:AF1006),$AB$1006:$AQ$1006,0)), HYPERLINK("#",""), HYPERLINK(CONCATENATE("#metadata!", ADDRESS(INDEX($W$2:$W$1001,MATCH(ROWS($U$2:U425),$U$2:$U$1001,0),0), INDEX($AB$1004:$AQ$1004,1,MATCH(COLUMNS($AB$1006:AF1006),$AB$1006:$AQ$1006,0)))),"Fix")))</f>
        <v>0</v>
      </c>
      <c r="G425" s="4">
        <f>IF(OR(INDEX($V$2:$V$1001,MATCH(ROWS($U$2:U425),$U$2:$U$1001,0),1)&gt;=100000,INDEX($AB$1005:$AQ$1005,1,MATCH(COLUMNS($AB$1006:AG1006),$AB$1006:$AQ$1006,0))&gt;=100000), " ",IF(INDEX($AB$2:$AQ$1001,MATCH(ROWS($U$2:U425),$U$2:$U$1001,0),MATCH(COLUMNS($AB$1006:AG1006),$AB$1006:$AQ$1006,0)), HYPERLINK("#",""), HYPERLINK(CONCATENATE("#metadata!", ADDRESS(INDEX($W$2:$W$1001,MATCH(ROWS($U$2:U425),$U$2:$U$1001,0),0), INDEX($AB$1004:$AQ$1004,1,MATCH(COLUMNS($AB$1006:AG1006),$AB$1006:$AQ$1006,0)))),"Fix")))</f>
        <v>0</v>
      </c>
      <c r="H425" s="4">
        <f>IF(OR(INDEX($V$2:$V$1001,MATCH(ROWS($U$2:U425),$U$2:$U$1001,0),1)&gt;=100000,INDEX($AB$1005:$AQ$1005,1,MATCH(COLUMNS($AB$1006:AH1006),$AB$1006:$AQ$1006,0))&gt;=100000), " ",IF(INDEX($AB$2:$AQ$1001,MATCH(ROWS($U$2:U425),$U$2:$U$1001,0),MATCH(COLUMNS($AB$1006:AH1006),$AB$1006:$AQ$1006,0)), HYPERLINK("#",""), HYPERLINK(CONCATENATE("#metadata!", ADDRESS(INDEX($W$2:$W$1001,MATCH(ROWS($U$2:U425),$U$2:$U$1001,0),0), INDEX($AB$1004:$AQ$1004,1,MATCH(COLUMNS($AB$1006:AH1006),$AB$1006:$AQ$1006,0)))),"Fix")))</f>
        <v>0</v>
      </c>
      <c r="I425" s="4">
        <f>IF(OR(INDEX($V$2:$V$1001,MATCH(ROWS($U$2:U425),$U$2:$U$1001,0),1)&gt;=100000,INDEX($AB$1005:$AQ$1005,1,MATCH(COLUMNS($AB$1006:AI1006),$AB$1006:$AQ$1006,0))&gt;=100000), " ",IF(INDEX($AB$2:$AQ$1001,MATCH(ROWS($U$2:U425),$U$2:$U$1001,0),MATCH(COLUMNS($AB$1006:AI1006),$AB$1006:$AQ$1006,0)), HYPERLINK("#",""), HYPERLINK(CONCATENATE("#metadata!", ADDRESS(INDEX($W$2:$W$1001,MATCH(ROWS($U$2:U425),$U$2:$U$1001,0),0), INDEX($AB$1004:$AQ$1004,1,MATCH(COLUMNS($AB$1006:AI1006),$AB$1006:$AQ$1006,0)))),"Fix")))</f>
        <v>0</v>
      </c>
      <c r="J425" s="4">
        <f>IF(OR(INDEX($V$2:$V$1001,MATCH(ROWS($U$2:U425),$U$2:$U$1001,0),1)&gt;=100000,INDEX($AB$1005:$AQ$1005,1,MATCH(COLUMNS($AB$1006:AJ1006),$AB$1006:$AQ$1006,0))&gt;=100000), " ",IF(INDEX($AB$2:$AQ$1001,MATCH(ROWS($U$2:U425),$U$2:$U$1001,0),MATCH(COLUMNS($AB$1006:AJ1006),$AB$1006:$AQ$1006,0)), HYPERLINK("#",""), HYPERLINK(CONCATENATE("#metadata!", ADDRESS(INDEX($W$2:$W$1001,MATCH(ROWS($U$2:U425),$U$2:$U$1001,0),0), INDEX($AB$1004:$AQ$1004,1,MATCH(COLUMNS($AB$1006:AJ1006),$AB$1006:$AQ$1006,0)))),"Fix")))</f>
        <v>0</v>
      </c>
      <c r="K425" s="4">
        <f>IF(OR(INDEX($V$2:$V$1001,MATCH(ROWS($U$2:U425),$U$2:$U$1001,0),1)&gt;=100000,INDEX($AB$1005:$AQ$1005,1,MATCH(COLUMNS($AB$1006:AK1006),$AB$1006:$AQ$1006,0))&gt;=100000), " ",IF(INDEX($AB$2:$AQ$1001,MATCH(ROWS($U$2:U425),$U$2:$U$1001,0),MATCH(COLUMNS($AB$1006:AK1006),$AB$1006:$AQ$1006,0)), HYPERLINK("#",""), HYPERLINK(CONCATENATE("#metadata!", ADDRESS(INDEX($W$2:$W$1001,MATCH(ROWS($U$2:U425),$U$2:$U$1001,0),0), INDEX($AB$1004:$AQ$1004,1,MATCH(COLUMNS($AB$1006:AK1006),$AB$1006:$AQ$1006,0)))),"Fix")))</f>
        <v>0</v>
      </c>
      <c r="L425" s="4">
        <f>IF(OR(INDEX($V$2:$V$1001,MATCH(ROWS($U$2:U425),$U$2:$U$1001,0),1)&gt;=100000,INDEX($AB$1005:$AQ$1005,1,MATCH(COLUMNS($AB$1006:AL1006),$AB$1006:$AQ$1006,0))&gt;=100000), " ",IF(INDEX($AB$2:$AQ$1001,MATCH(ROWS($U$2:U425),$U$2:$U$1001,0),MATCH(COLUMNS($AB$1006:AL1006),$AB$1006:$AQ$1006,0)), HYPERLINK("#",""), HYPERLINK(CONCATENATE("#metadata!", ADDRESS(INDEX($W$2:$W$1001,MATCH(ROWS($U$2:U425),$U$2:$U$1001,0),0), INDEX($AB$1004:$AQ$1004,1,MATCH(COLUMNS($AB$1006:AL1006),$AB$1006:$AQ$1006,0)))),"Fix")))</f>
        <v>0</v>
      </c>
      <c r="M425" s="4">
        <f>IF(OR(INDEX($V$2:$V$1001,MATCH(ROWS($U$2:U425),$U$2:$U$1001,0),1)&gt;=100000,INDEX($AB$1005:$AQ$1005,1,MATCH(COLUMNS($AB$1006:AM1006),$AB$1006:$AQ$1006,0))&gt;=100000), " ",IF(INDEX($AB$2:$AQ$1001,MATCH(ROWS($U$2:U425),$U$2:$U$1001,0),MATCH(COLUMNS($AB$1006:AM1006),$AB$1006:$AQ$1006,0)), HYPERLINK("#",""), HYPERLINK(CONCATENATE("#metadata!", ADDRESS(INDEX($W$2:$W$1001,MATCH(ROWS($U$2:U425),$U$2:$U$1001,0),0), INDEX($AB$1004:$AQ$1004,1,MATCH(COLUMNS($AB$1006:AM1006),$AB$1006:$AQ$1006,0)))),"Fix")))</f>
        <v>0</v>
      </c>
      <c r="N425" s="4">
        <f>IF(OR(INDEX($V$2:$V$1001,MATCH(ROWS($U$2:U425),$U$2:$U$1001,0),1)&gt;=100000,INDEX($AB$1005:$AQ$1005,1,MATCH(COLUMNS($AB$1006:AN1006),$AB$1006:$AQ$1006,0))&gt;=100000), " ",IF(INDEX($AB$2:$AQ$1001,MATCH(ROWS($U$2:U425),$U$2:$U$1001,0),MATCH(COLUMNS($AB$1006:AN1006),$AB$1006:$AQ$1006,0)), HYPERLINK("#",""), HYPERLINK(CONCATENATE("#metadata!", ADDRESS(INDEX($W$2:$W$1001,MATCH(ROWS($U$2:U425),$U$2:$U$1001,0),0), INDEX($AB$1004:$AQ$1004,1,MATCH(COLUMNS($AB$1006:AN1006),$AB$1006:$AQ$1006,0)))),"Fix")))</f>
        <v>0</v>
      </c>
      <c r="O425" s="4">
        <f>IF(OR(INDEX($V$2:$V$1001,MATCH(ROWS($U$2:U425),$U$2:$U$1001,0),1)&gt;=100000,INDEX($AB$1005:$AQ$1005,1,MATCH(COLUMNS($AB$1006:AO1006),$AB$1006:$AQ$1006,0))&gt;=100000), " ",IF(INDEX($AB$2:$AQ$1001,MATCH(ROWS($U$2:U425),$U$2:$U$1001,0),MATCH(COLUMNS($AB$1006:AO1006),$AB$1006:$AQ$1006,0)), HYPERLINK("#",""), HYPERLINK(CONCATENATE("#metadata!", ADDRESS(INDEX($W$2:$W$1001,MATCH(ROWS($U$2:U425),$U$2:$U$1001,0),0), INDEX($AB$1004:$AQ$1004,1,MATCH(COLUMNS($AB$1006:AO1006),$AB$1006:$AQ$1006,0)))),"Fix")))</f>
        <v>0</v>
      </c>
      <c r="P425" s="4">
        <f>IF(OR(INDEX($V$2:$V$1001,MATCH(ROWS($U$2:U425),$U$2:$U$1001,0),1)&gt;=100000,INDEX($AB$1005:$AQ$1005,1,MATCH(COLUMNS($AB$1006:AP1006),$AB$1006:$AQ$1006,0))&gt;=100000), " ",IF(INDEX($AB$2:$AQ$1001,MATCH(ROWS($U$2:U425),$U$2:$U$1001,0),MATCH(COLUMNS($AB$1006:AP1006),$AB$1006:$AQ$1006,0)), HYPERLINK("#",""), HYPERLINK(CONCATENATE("#metadata!", ADDRESS(INDEX($W$2:$W$1001,MATCH(ROWS($U$2:U425),$U$2:$U$1001,0),0), INDEX($AB$1004:$AQ$1004,1,MATCH(COLUMNS($AB$1006:AP1006),$AB$1006:$AQ$1006,0)))),"Fix")))</f>
        <v>0</v>
      </c>
      <c r="Q425" s="4">
        <f>IF(OR(INDEX($V$2:$V$1001,MATCH(ROWS($U$2:U425),$U$2:$U$1001,0),1)&gt;=100000,INDEX($AB$1005:$AQ$1005,1,MATCH(COLUMNS($AB$1006:AQ1006),$AB$1006:$AQ$1006,0))&gt;=100000), " ",IF(INDEX($AB$2:$AQ$1001,MATCH(ROWS($U$2:U425),$U$2:$U$1001,0),MATCH(COLUMNS($AB$1006:AQ1006),$AB$1006:$AQ$1006,0)), HYPERLINK("#",""), HYPERLINK(CONCATENATE("#metadata!", ADDRESS(INDEX($W$2:$W$1001,MATCH(ROWS($U$2:U425),$U$2:$U$1001,0),0), INDEX($AB$1004:$AQ$1004,1,MATCH(COLUMNS($AB$1006:AQ1006),$AB$1006:$AQ$1006,0)))),"Fix")))</f>
        <v>0</v>
      </c>
      <c r="U425">
        <v>0</v>
      </c>
      <c r="V425">
        <v>0</v>
      </c>
      <c r="W425">
        <v>0</v>
      </c>
      <c r="X425">
        <f>IF(Y425,TRUE,AND(AB425:AQ425))</f>
        <v>0</v>
      </c>
      <c r="Y425">
        <f>COUNTBLANK(metadata!B425:Q425)=COLUMNS(metadata!B425:Q425)</f>
        <v>0</v>
      </c>
      <c r="Z425">
        <v>0</v>
      </c>
      <c r="AB425">
        <f>AND(IF(metadata!B425="",FALSE,TRUE),COUNTIF(metadata!B:B, metadata!B425) = 1,NOT(ISERROR(SUMPRODUCT(SEARCH(MID(metadata!B425,ROW(INDIRECT("1:"&amp;LEN(metadata!B425))), 1),"0123456789abcdefghijklmnopqrstuvwxyzABCDEFGHIJKLMNOPQRSTUVWXYZ.")))))</f>
        <v>0</v>
      </c>
      <c r="AC425">
        <f>OR(AND(IF(metadata!C425="",FALSE,TRUE),OR(exact(metadata!C425,"missing: not collected"),exact(metadata!C425,"missing: not provided"),exact(metadata!C425,"missing: restricted access"))),AND(IF(metadata!C425="",FALSE,TRUE),AND(AND(IFERROR(INT(LEFT(metadata!C425,4))&gt;1900,FALSE),IFERROR(INT(LEFT(metadata!C425,4))&lt;=YEAR(NOW()),FALSE)), OR(MID(metadata!C425,5,1)="", AND(AND(MID(metadata!C425,5,1)="-",IFERROR(INT(MID(metadata!C425,6,1))&gt;=0,FALSE),IFERROR(INT(MID(metadata!C425,6,1))&lt;=1,FALSE),NOT(MID(metadata!C425,7,1)=""),IFERROR(INT(MID(metadata!C425,6,2))&gt;=1,FALSE),IFERROR(INT(MID(metadata!C425,6,2))&lt;=12,FALSE)), OR(MID(metadata!C425,8,1)="", AND(AND(MID(metadata!C425,8,1)="-",IFERROR(INT(MID(metadata!C425,9,1))&gt;=0,FALSE),IFERROR(INT(MID(metadata!C425,9,1))&lt;=3,FALSE),NOT(MID(metadata!C425,10,1)=""),IFERROR(INT(MID(metadata!C425,9,2))&gt;=1,FALSE),IFERROR(INT(MID(metadata!C425,9,2))&lt;=31,FALSE)), OR(MID(metadata!C425,11,1)="", AND(AND(MID(metadata!C425,11,1)=" ",IFERROR(INT(MID(metadata!C425,12,1))&gt;=0,FALSE),IFERROR(INT(MID(metadata!C425,12,1))&lt;=2,FALSE),NOT(MID(metadata!C425,13,1)=""),IFERROR(INT(MID(metadata!C425,12,2))&gt;=0,FALSE),IFERROR(INT(MID(metadata!C425,12,2))&lt;=23,FALSE)), OR(MID(metadata!C425,14,1)="", AND(AND(MID(metadata!C425,14,1)=":",IFERROR(INT(MID(metadata!C425,15,1))&gt;=0,FALSE),IFERROR(INT(MID(metadata!C425,15,1))&lt;=5,FALSE),NOT(MID(metadata!C425,16,1)=""),IFERROR(INT(MID(metadata!C425,15,2))&gt;=0,FALSE),IFERROR(INT(MID(metadata!C425,15,2))&lt;=59,FALSE)), OR(MID(metadata!C425,17,1)="", AND(AND(MID(metadata!C425,17,1)=":",IFERROR(INT(MID(metadata!C425,18,1))&gt;=0,FALSE),IFERROR(INT(MID(metadata!C425,18,1))&lt;=5,FALSE),NOT(MID(metadata!C425,19,1)=""),IFERROR(INT(MID(metadata!C425,18,2))&gt;=0,FALSE),IFERROR(INT(MID(metadata!C425,18,2))&lt;=59,FALSE)), LEN(metadata!C425)&lt;=19)))))))))))))</f>
        <v>0</v>
      </c>
      <c r="AD425">
        <f>IF(metadata!D425="",FALSE,TRUE)</f>
        <v>0</v>
      </c>
      <c r="AE425">
        <f>OR(AND(IF(metadata!E425="",FALSE,TRUE),OR(exact(metadata!E425,"missing: not collected"),exact(metadata!E425,"missing: not provided"))),AND(IF(metadata!E425="",FALSE,TRUE),OR(exact(metadata!E425,"TRUE"),exact(metadata!E425,"FALSE"))))</f>
        <v>0</v>
      </c>
      <c r="AF425">
        <f>IF(metadata!F425="",FALSE,TRUE)</f>
        <v>0</v>
      </c>
      <c r="AG425">
        <f>IF(metadata!G425="",FALSE,TRUE)</f>
        <v>0</v>
      </c>
      <c r="AH425">
        <f>IF(metadata!H425="",FALSE,TRUE)</f>
        <v>0</v>
      </c>
      <c r="AI425">
        <f>OR(AND(IF(metadata!I425="",FALSE,TRUE),OR(exact(metadata!I425,"missing: not collected"),exact(metadata!I425,"missing: not provided"),exact(metadata!I425,"missing: restricted access"))),AND(IF(metadata!I425="",FALSE,TRUE),OR(exact(metadata!I425,"air"),exact(metadata!I425,"built environment"),exact(metadata!I425,"host-associated"),exact(metadata!I425,"human-associated"),exact(metadata!I425,"human-skin"),exact(metadata!I425,"human-oral"),exact(metadata!I425,"human-gut"),exact(metadata!I425,"human-vaginal"),exact(metadata!I425,"microbial mat/biofilm"),exact(metadata!I425,"misc environment"),exact(metadata!I425,"plant-associated"),exact(metadata!I425,"sediment"),exact(metadata!I425,"soil"),exact(metadata!I425,"wastewater/sludge"),exact(metadata!I425,"water"))))</f>
        <v>0</v>
      </c>
      <c r="AJ425">
        <f>IF(metadata!J425="",FALSE,TRUE)</f>
        <v>0</v>
      </c>
      <c r="AK425">
        <f>OR(AND(IF(metadata!K425="",FALSE,TRUE),OR(exact(metadata!K425,"missing: not collected"),exact(metadata!K425,"missing: not provided"),exact(metadata!K425,"missing: restricted access"))),AND(IF(metadata!K425="",FALSE,ISNUMBER(VALUE(metadata!K425))),metadata!K425&gt;=-90.00,metadata!K425&lt;=90.00))</f>
        <v>0</v>
      </c>
      <c r="AL425">
        <f>OR(AND(IF(metadata!L425="",FALSE,TRUE),OR(exact(metadata!L425,"missing: not collected"),exact(metadata!L425,"missing: not provided"),exact(metadata!L425,"missing: restricted access"))),AND(IF(metadata!L425="",FALSE,ISNUMBER(VALUE(metadata!L425))),metadata!L425&gt;=-180.00,metadata!L425&lt;=180.00))</f>
        <v>0</v>
      </c>
      <c r="AM425">
        <f>IF(metadata!M425="",FALSE,TRUE)</f>
        <v>0</v>
      </c>
      <c r="AN425">
        <f>OR(AND(IF(metadata!N425="",FALSE,TRUE),OR(exact(metadata!N425,"missing: not collected"),exact(metadata!N425,"missing: not provided"),exact(metadata!N425,"missing: restricted access"))),AND(IF(metadata!N425="",FALSE,TRUE),OR(exact(metadata!N425,"TRUE"),exact(metadata!N425,"FALSE"))))</f>
        <v>0</v>
      </c>
      <c r="AO425">
        <f>IF(metadata!O425="",FALSE,TRUE)</f>
        <v>0</v>
      </c>
      <c r="AP425">
        <f>OR(AND(IF(metadata!P425="",FALSE,TRUE),OR(exact(metadata!P425,"missing: not collected"),exact(metadata!P425,"missing: not provided"))),AND(IF(metadata!P425="",FALSE,IF(ISERROR(INT(metadata!P425)),FALSE,INT(metadata!P425)=metadata!P425)),metadata!P425&gt;0))</f>
        <v>0</v>
      </c>
      <c r="AQ425">
        <f>IF(metadata!Q425="",FALSE,TRUE)</f>
        <v>0</v>
      </c>
    </row>
    <row r="426" spans="1:43">
      <c r="A426" s="5">
        <f>IF(B426=" "," ",HYPERLINK(CONCATENATE("#metadata!",ADDRESS(INDEX($W$2:$W$1001,MATCH(ROWS($U$2:U426),$U$2:$U$1001,0),0),1)),INDEX($Z$2:$Z$1001,MATCH(ROWS($U$2:U426),$U$2:$U$1001,0),0)))</f>
        <v>0</v>
      </c>
      <c r="B426" s="4">
        <f>IF(OR(INDEX($V$2:$V$1001,MATCH(ROWS($U$2:U426),$U$2:$U$1001,0),1)&gt;=100000,INDEX($AB$1005:$AQ$1005,1,MATCH(COLUMNS($AB$1006:AB1006),$AB$1006:$AQ$1006,0))&gt;=100000), " ",IF(INDEX($AB$2:$AQ$1001,MATCH(ROWS($U$2:U426),$U$2:$U$1001,0),MATCH(COLUMNS($AB$1006:AB1006),$AB$1006:$AQ$1006,0)), HYPERLINK("#",""), HYPERLINK(CONCATENATE("#metadata!", ADDRESS(INDEX($W$2:$W$1001,MATCH(ROWS($U$2:U426),$U$2:$U$1001,0),0), INDEX($AB$1004:$AQ$1004,1,MATCH(COLUMNS($AB$1006:AB1006),$AB$1006:$AQ$1006,0)))),"Fix")))</f>
        <v>0</v>
      </c>
      <c r="C426" s="4">
        <f>IF(OR(INDEX($V$2:$V$1001,MATCH(ROWS($U$2:U426),$U$2:$U$1001,0),1)&gt;=100000,INDEX($AB$1005:$AQ$1005,1,MATCH(COLUMNS($AB$1006:AC1006),$AB$1006:$AQ$1006,0))&gt;=100000), " ",IF(INDEX($AB$2:$AQ$1001,MATCH(ROWS($U$2:U426),$U$2:$U$1001,0),MATCH(COLUMNS($AB$1006:AC1006),$AB$1006:$AQ$1006,0)), HYPERLINK("#",""), HYPERLINK(CONCATENATE("#metadata!", ADDRESS(INDEX($W$2:$W$1001,MATCH(ROWS($U$2:U426),$U$2:$U$1001,0),0), INDEX($AB$1004:$AQ$1004,1,MATCH(COLUMNS($AB$1006:AC1006),$AB$1006:$AQ$1006,0)))),"Fix")))</f>
        <v>0</v>
      </c>
      <c r="D426" s="4">
        <f>IF(OR(INDEX($V$2:$V$1001,MATCH(ROWS($U$2:U426),$U$2:$U$1001,0),1)&gt;=100000,INDEX($AB$1005:$AQ$1005,1,MATCH(COLUMNS($AB$1006:AD1006),$AB$1006:$AQ$1006,0))&gt;=100000), " ",IF(INDEX($AB$2:$AQ$1001,MATCH(ROWS($U$2:U426),$U$2:$U$1001,0),MATCH(COLUMNS($AB$1006:AD1006),$AB$1006:$AQ$1006,0)), HYPERLINK("#",""), HYPERLINK(CONCATENATE("#metadata!", ADDRESS(INDEX($W$2:$W$1001,MATCH(ROWS($U$2:U426),$U$2:$U$1001,0),0), INDEX($AB$1004:$AQ$1004,1,MATCH(COLUMNS($AB$1006:AD1006),$AB$1006:$AQ$1006,0)))),"Fix")))</f>
        <v>0</v>
      </c>
      <c r="E426" s="4">
        <f>IF(OR(INDEX($V$2:$V$1001,MATCH(ROWS($U$2:U426),$U$2:$U$1001,0),1)&gt;=100000,INDEX($AB$1005:$AQ$1005,1,MATCH(COLUMNS($AB$1006:AE1006),$AB$1006:$AQ$1006,0))&gt;=100000), " ",IF(INDEX($AB$2:$AQ$1001,MATCH(ROWS($U$2:U426),$U$2:$U$1001,0),MATCH(COLUMNS($AB$1006:AE1006),$AB$1006:$AQ$1006,0)), HYPERLINK("#",""), HYPERLINK(CONCATENATE("#metadata!", ADDRESS(INDEX($W$2:$W$1001,MATCH(ROWS($U$2:U426),$U$2:$U$1001,0),0), INDEX($AB$1004:$AQ$1004,1,MATCH(COLUMNS($AB$1006:AE1006),$AB$1006:$AQ$1006,0)))),"Fix")))</f>
        <v>0</v>
      </c>
      <c r="F426" s="4">
        <f>IF(OR(INDEX($V$2:$V$1001,MATCH(ROWS($U$2:U426),$U$2:$U$1001,0),1)&gt;=100000,INDEX($AB$1005:$AQ$1005,1,MATCH(COLUMNS($AB$1006:AF1006),$AB$1006:$AQ$1006,0))&gt;=100000), " ",IF(INDEX($AB$2:$AQ$1001,MATCH(ROWS($U$2:U426),$U$2:$U$1001,0),MATCH(COLUMNS($AB$1006:AF1006),$AB$1006:$AQ$1006,0)), HYPERLINK("#",""), HYPERLINK(CONCATENATE("#metadata!", ADDRESS(INDEX($W$2:$W$1001,MATCH(ROWS($U$2:U426),$U$2:$U$1001,0),0), INDEX($AB$1004:$AQ$1004,1,MATCH(COLUMNS($AB$1006:AF1006),$AB$1006:$AQ$1006,0)))),"Fix")))</f>
        <v>0</v>
      </c>
      <c r="G426" s="4">
        <f>IF(OR(INDEX($V$2:$V$1001,MATCH(ROWS($U$2:U426),$U$2:$U$1001,0),1)&gt;=100000,INDEX($AB$1005:$AQ$1005,1,MATCH(COLUMNS($AB$1006:AG1006),$AB$1006:$AQ$1006,0))&gt;=100000), " ",IF(INDEX($AB$2:$AQ$1001,MATCH(ROWS($U$2:U426),$U$2:$U$1001,0),MATCH(COLUMNS($AB$1006:AG1006),$AB$1006:$AQ$1006,0)), HYPERLINK("#",""), HYPERLINK(CONCATENATE("#metadata!", ADDRESS(INDEX($W$2:$W$1001,MATCH(ROWS($U$2:U426),$U$2:$U$1001,0),0), INDEX($AB$1004:$AQ$1004,1,MATCH(COLUMNS($AB$1006:AG1006),$AB$1006:$AQ$1006,0)))),"Fix")))</f>
        <v>0</v>
      </c>
      <c r="H426" s="4">
        <f>IF(OR(INDEX($V$2:$V$1001,MATCH(ROWS($U$2:U426),$U$2:$U$1001,0),1)&gt;=100000,INDEX($AB$1005:$AQ$1005,1,MATCH(COLUMNS($AB$1006:AH1006),$AB$1006:$AQ$1006,0))&gt;=100000), " ",IF(INDEX($AB$2:$AQ$1001,MATCH(ROWS($U$2:U426),$U$2:$U$1001,0),MATCH(COLUMNS($AB$1006:AH1006),$AB$1006:$AQ$1006,0)), HYPERLINK("#",""), HYPERLINK(CONCATENATE("#metadata!", ADDRESS(INDEX($W$2:$W$1001,MATCH(ROWS($U$2:U426),$U$2:$U$1001,0),0), INDEX($AB$1004:$AQ$1004,1,MATCH(COLUMNS($AB$1006:AH1006),$AB$1006:$AQ$1006,0)))),"Fix")))</f>
        <v>0</v>
      </c>
      <c r="I426" s="4">
        <f>IF(OR(INDEX($V$2:$V$1001,MATCH(ROWS($U$2:U426),$U$2:$U$1001,0),1)&gt;=100000,INDEX($AB$1005:$AQ$1005,1,MATCH(COLUMNS($AB$1006:AI1006),$AB$1006:$AQ$1006,0))&gt;=100000), " ",IF(INDEX($AB$2:$AQ$1001,MATCH(ROWS($U$2:U426),$U$2:$U$1001,0),MATCH(COLUMNS($AB$1006:AI1006),$AB$1006:$AQ$1006,0)), HYPERLINK("#",""), HYPERLINK(CONCATENATE("#metadata!", ADDRESS(INDEX($W$2:$W$1001,MATCH(ROWS($U$2:U426),$U$2:$U$1001,0),0), INDEX($AB$1004:$AQ$1004,1,MATCH(COLUMNS($AB$1006:AI1006),$AB$1006:$AQ$1006,0)))),"Fix")))</f>
        <v>0</v>
      </c>
      <c r="J426" s="4">
        <f>IF(OR(INDEX($V$2:$V$1001,MATCH(ROWS($U$2:U426),$U$2:$U$1001,0),1)&gt;=100000,INDEX($AB$1005:$AQ$1005,1,MATCH(COLUMNS($AB$1006:AJ1006),$AB$1006:$AQ$1006,0))&gt;=100000), " ",IF(INDEX($AB$2:$AQ$1001,MATCH(ROWS($U$2:U426),$U$2:$U$1001,0),MATCH(COLUMNS($AB$1006:AJ1006),$AB$1006:$AQ$1006,0)), HYPERLINK("#",""), HYPERLINK(CONCATENATE("#metadata!", ADDRESS(INDEX($W$2:$W$1001,MATCH(ROWS($U$2:U426),$U$2:$U$1001,0),0), INDEX($AB$1004:$AQ$1004,1,MATCH(COLUMNS($AB$1006:AJ1006),$AB$1006:$AQ$1006,0)))),"Fix")))</f>
        <v>0</v>
      </c>
      <c r="K426" s="4">
        <f>IF(OR(INDEX($V$2:$V$1001,MATCH(ROWS($U$2:U426),$U$2:$U$1001,0),1)&gt;=100000,INDEX($AB$1005:$AQ$1005,1,MATCH(COLUMNS($AB$1006:AK1006),$AB$1006:$AQ$1006,0))&gt;=100000), " ",IF(INDEX($AB$2:$AQ$1001,MATCH(ROWS($U$2:U426),$U$2:$U$1001,0),MATCH(COLUMNS($AB$1006:AK1006),$AB$1006:$AQ$1006,0)), HYPERLINK("#",""), HYPERLINK(CONCATENATE("#metadata!", ADDRESS(INDEX($W$2:$W$1001,MATCH(ROWS($U$2:U426),$U$2:$U$1001,0),0), INDEX($AB$1004:$AQ$1004,1,MATCH(COLUMNS($AB$1006:AK1006),$AB$1006:$AQ$1006,0)))),"Fix")))</f>
        <v>0</v>
      </c>
      <c r="L426" s="4">
        <f>IF(OR(INDEX($V$2:$V$1001,MATCH(ROWS($U$2:U426),$U$2:$U$1001,0),1)&gt;=100000,INDEX($AB$1005:$AQ$1005,1,MATCH(COLUMNS($AB$1006:AL1006),$AB$1006:$AQ$1006,0))&gt;=100000), " ",IF(INDEX($AB$2:$AQ$1001,MATCH(ROWS($U$2:U426),$U$2:$U$1001,0),MATCH(COLUMNS($AB$1006:AL1006),$AB$1006:$AQ$1006,0)), HYPERLINK("#",""), HYPERLINK(CONCATENATE("#metadata!", ADDRESS(INDEX($W$2:$W$1001,MATCH(ROWS($U$2:U426),$U$2:$U$1001,0),0), INDEX($AB$1004:$AQ$1004,1,MATCH(COLUMNS($AB$1006:AL1006),$AB$1006:$AQ$1006,0)))),"Fix")))</f>
        <v>0</v>
      </c>
      <c r="M426" s="4">
        <f>IF(OR(INDEX($V$2:$V$1001,MATCH(ROWS($U$2:U426),$U$2:$U$1001,0),1)&gt;=100000,INDEX($AB$1005:$AQ$1005,1,MATCH(COLUMNS($AB$1006:AM1006),$AB$1006:$AQ$1006,0))&gt;=100000), " ",IF(INDEX($AB$2:$AQ$1001,MATCH(ROWS($U$2:U426),$U$2:$U$1001,0),MATCH(COLUMNS($AB$1006:AM1006),$AB$1006:$AQ$1006,0)), HYPERLINK("#",""), HYPERLINK(CONCATENATE("#metadata!", ADDRESS(INDEX($W$2:$W$1001,MATCH(ROWS($U$2:U426),$U$2:$U$1001,0),0), INDEX($AB$1004:$AQ$1004,1,MATCH(COLUMNS($AB$1006:AM1006),$AB$1006:$AQ$1006,0)))),"Fix")))</f>
        <v>0</v>
      </c>
      <c r="N426" s="4">
        <f>IF(OR(INDEX($V$2:$V$1001,MATCH(ROWS($U$2:U426),$U$2:$U$1001,0),1)&gt;=100000,INDEX($AB$1005:$AQ$1005,1,MATCH(COLUMNS($AB$1006:AN1006),$AB$1006:$AQ$1006,0))&gt;=100000), " ",IF(INDEX($AB$2:$AQ$1001,MATCH(ROWS($U$2:U426),$U$2:$U$1001,0),MATCH(COLUMNS($AB$1006:AN1006),$AB$1006:$AQ$1006,0)), HYPERLINK("#",""), HYPERLINK(CONCATENATE("#metadata!", ADDRESS(INDEX($W$2:$W$1001,MATCH(ROWS($U$2:U426),$U$2:$U$1001,0),0), INDEX($AB$1004:$AQ$1004,1,MATCH(COLUMNS($AB$1006:AN1006),$AB$1006:$AQ$1006,0)))),"Fix")))</f>
        <v>0</v>
      </c>
      <c r="O426" s="4">
        <f>IF(OR(INDEX($V$2:$V$1001,MATCH(ROWS($U$2:U426),$U$2:$U$1001,0),1)&gt;=100000,INDEX($AB$1005:$AQ$1005,1,MATCH(COLUMNS($AB$1006:AO1006),$AB$1006:$AQ$1006,0))&gt;=100000), " ",IF(INDEX($AB$2:$AQ$1001,MATCH(ROWS($U$2:U426),$U$2:$U$1001,0),MATCH(COLUMNS($AB$1006:AO1006),$AB$1006:$AQ$1006,0)), HYPERLINK("#",""), HYPERLINK(CONCATENATE("#metadata!", ADDRESS(INDEX($W$2:$W$1001,MATCH(ROWS($U$2:U426),$U$2:$U$1001,0),0), INDEX($AB$1004:$AQ$1004,1,MATCH(COLUMNS($AB$1006:AO1006),$AB$1006:$AQ$1006,0)))),"Fix")))</f>
        <v>0</v>
      </c>
      <c r="P426" s="4">
        <f>IF(OR(INDEX($V$2:$V$1001,MATCH(ROWS($U$2:U426),$U$2:$U$1001,0),1)&gt;=100000,INDEX($AB$1005:$AQ$1005,1,MATCH(COLUMNS($AB$1006:AP1006),$AB$1006:$AQ$1006,0))&gt;=100000), " ",IF(INDEX($AB$2:$AQ$1001,MATCH(ROWS($U$2:U426),$U$2:$U$1001,0),MATCH(COLUMNS($AB$1006:AP1006),$AB$1006:$AQ$1006,0)), HYPERLINK("#",""), HYPERLINK(CONCATENATE("#metadata!", ADDRESS(INDEX($W$2:$W$1001,MATCH(ROWS($U$2:U426),$U$2:$U$1001,0),0), INDEX($AB$1004:$AQ$1004,1,MATCH(COLUMNS($AB$1006:AP1006),$AB$1006:$AQ$1006,0)))),"Fix")))</f>
        <v>0</v>
      </c>
      <c r="Q426" s="4">
        <f>IF(OR(INDEX($V$2:$V$1001,MATCH(ROWS($U$2:U426),$U$2:$U$1001,0),1)&gt;=100000,INDEX($AB$1005:$AQ$1005,1,MATCH(COLUMNS($AB$1006:AQ1006),$AB$1006:$AQ$1006,0))&gt;=100000), " ",IF(INDEX($AB$2:$AQ$1001,MATCH(ROWS($U$2:U426),$U$2:$U$1001,0),MATCH(COLUMNS($AB$1006:AQ1006),$AB$1006:$AQ$1006,0)), HYPERLINK("#",""), HYPERLINK(CONCATENATE("#metadata!", ADDRESS(INDEX($W$2:$W$1001,MATCH(ROWS($U$2:U426),$U$2:$U$1001,0),0), INDEX($AB$1004:$AQ$1004,1,MATCH(COLUMNS($AB$1006:AQ1006),$AB$1006:$AQ$1006,0)))),"Fix")))</f>
        <v>0</v>
      </c>
      <c r="U426">
        <v>0</v>
      </c>
      <c r="V426">
        <v>0</v>
      </c>
      <c r="W426">
        <v>0</v>
      </c>
      <c r="X426">
        <f>IF(Y426,TRUE,AND(AB426:AQ426))</f>
        <v>0</v>
      </c>
      <c r="Y426">
        <f>COUNTBLANK(metadata!B426:Q426)=COLUMNS(metadata!B426:Q426)</f>
        <v>0</v>
      </c>
      <c r="Z426">
        <v>0</v>
      </c>
      <c r="AB426">
        <f>AND(IF(metadata!B426="",FALSE,TRUE),COUNTIF(metadata!B:B, metadata!B426) = 1,NOT(ISERROR(SUMPRODUCT(SEARCH(MID(metadata!B426,ROW(INDIRECT("1:"&amp;LEN(metadata!B426))), 1),"0123456789abcdefghijklmnopqrstuvwxyzABCDEFGHIJKLMNOPQRSTUVWXYZ.")))))</f>
        <v>0</v>
      </c>
      <c r="AC426">
        <f>OR(AND(IF(metadata!C426="",FALSE,TRUE),OR(exact(metadata!C426,"missing: not collected"),exact(metadata!C426,"missing: not provided"),exact(metadata!C426,"missing: restricted access"))),AND(IF(metadata!C426="",FALSE,TRUE),AND(AND(IFERROR(INT(LEFT(metadata!C426,4))&gt;1900,FALSE),IFERROR(INT(LEFT(metadata!C426,4))&lt;=YEAR(NOW()),FALSE)), OR(MID(metadata!C426,5,1)="", AND(AND(MID(metadata!C426,5,1)="-",IFERROR(INT(MID(metadata!C426,6,1))&gt;=0,FALSE),IFERROR(INT(MID(metadata!C426,6,1))&lt;=1,FALSE),NOT(MID(metadata!C426,7,1)=""),IFERROR(INT(MID(metadata!C426,6,2))&gt;=1,FALSE),IFERROR(INT(MID(metadata!C426,6,2))&lt;=12,FALSE)), OR(MID(metadata!C426,8,1)="", AND(AND(MID(metadata!C426,8,1)="-",IFERROR(INT(MID(metadata!C426,9,1))&gt;=0,FALSE),IFERROR(INT(MID(metadata!C426,9,1))&lt;=3,FALSE),NOT(MID(metadata!C426,10,1)=""),IFERROR(INT(MID(metadata!C426,9,2))&gt;=1,FALSE),IFERROR(INT(MID(metadata!C426,9,2))&lt;=31,FALSE)), OR(MID(metadata!C426,11,1)="", AND(AND(MID(metadata!C426,11,1)=" ",IFERROR(INT(MID(metadata!C426,12,1))&gt;=0,FALSE),IFERROR(INT(MID(metadata!C426,12,1))&lt;=2,FALSE),NOT(MID(metadata!C426,13,1)=""),IFERROR(INT(MID(metadata!C426,12,2))&gt;=0,FALSE),IFERROR(INT(MID(metadata!C426,12,2))&lt;=23,FALSE)), OR(MID(metadata!C426,14,1)="", AND(AND(MID(metadata!C426,14,1)=":",IFERROR(INT(MID(metadata!C426,15,1))&gt;=0,FALSE),IFERROR(INT(MID(metadata!C426,15,1))&lt;=5,FALSE),NOT(MID(metadata!C426,16,1)=""),IFERROR(INT(MID(metadata!C426,15,2))&gt;=0,FALSE),IFERROR(INT(MID(metadata!C426,15,2))&lt;=59,FALSE)), OR(MID(metadata!C426,17,1)="", AND(AND(MID(metadata!C426,17,1)=":",IFERROR(INT(MID(metadata!C426,18,1))&gt;=0,FALSE),IFERROR(INT(MID(metadata!C426,18,1))&lt;=5,FALSE),NOT(MID(metadata!C426,19,1)=""),IFERROR(INT(MID(metadata!C426,18,2))&gt;=0,FALSE),IFERROR(INT(MID(metadata!C426,18,2))&lt;=59,FALSE)), LEN(metadata!C426)&lt;=19)))))))))))))</f>
        <v>0</v>
      </c>
      <c r="AD426">
        <f>IF(metadata!D426="",FALSE,TRUE)</f>
        <v>0</v>
      </c>
      <c r="AE426">
        <f>OR(AND(IF(metadata!E426="",FALSE,TRUE),OR(exact(metadata!E426,"missing: not collected"),exact(metadata!E426,"missing: not provided"))),AND(IF(metadata!E426="",FALSE,TRUE),OR(exact(metadata!E426,"TRUE"),exact(metadata!E426,"FALSE"))))</f>
        <v>0</v>
      </c>
      <c r="AF426">
        <f>IF(metadata!F426="",FALSE,TRUE)</f>
        <v>0</v>
      </c>
      <c r="AG426">
        <f>IF(metadata!G426="",FALSE,TRUE)</f>
        <v>0</v>
      </c>
      <c r="AH426">
        <f>IF(metadata!H426="",FALSE,TRUE)</f>
        <v>0</v>
      </c>
      <c r="AI426">
        <f>OR(AND(IF(metadata!I426="",FALSE,TRUE),OR(exact(metadata!I426,"missing: not collected"),exact(metadata!I426,"missing: not provided"),exact(metadata!I426,"missing: restricted access"))),AND(IF(metadata!I426="",FALSE,TRUE),OR(exact(metadata!I426,"air"),exact(metadata!I426,"built environment"),exact(metadata!I426,"host-associated"),exact(metadata!I426,"human-associated"),exact(metadata!I426,"human-skin"),exact(metadata!I426,"human-oral"),exact(metadata!I426,"human-gut"),exact(metadata!I426,"human-vaginal"),exact(metadata!I426,"microbial mat/biofilm"),exact(metadata!I426,"misc environment"),exact(metadata!I426,"plant-associated"),exact(metadata!I426,"sediment"),exact(metadata!I426,"soil"),exact(metadata!I426,"wastewater/sludge"),exact(metadata!I426,"water"))))</f>
        <v>0</v>
      </c>
      <c r="AJ426">
        <f>IF(metadata!J426="",FALSE,TRUE)</f>
        <v>0</v>
      </c>
      <c r="AK426">
        <f>OR(AND(IF(metadata!K426="",FALSE,TRUE),OR(exact(metadata!K426,"missing: not collected"),exact(metadata!K426,"missing: not provided"),exact(metadata!K426,"missing: restricted access"))),AND(IF(metadata!K426="",FALSE,ISNUMBER(VALUE(metadata!K426))),metadata!K426&gt;=-90.00,metadata!K426&lt;=90.00))</f>
        <v>0</v>
      </c>
      <c r="AL426">
        <f>OR(AND(IF(metadata!L426="",FALSE,TRUE),OR(exact(metadata!L426,"missing: not collected"),exact(metadata!L426,"missing: not provided"),exact(metadata!L426,"missing: restricted access"))),AND(IF(metadata!L426="",FALSE,ISNUMBER(VALUE(metadata!L426))),metadata!L426&gt;=-180.00,metadata!L426&lt;=180.00))</f>
        <v>0</v>
      </c>
      <c r="AM426">
        <f>IF(metadata!M426="",FALSE,TRUE)</f>
        <v>0</v>
      </c>
      <c r="AN426">
        <f>OR(AND(IF(metadata!N426="",FALSE,TRUE),OR(exact(metadata!N426,"missing: not collected"),exact(metadata!N426,"missing: not provided"),exact(metadata!N426,"missing: restricted access"))),AND(IF(metadata!N426="",FALSE,TRUE),OR(exact(metadata!N426,"TRUE"),exact(metadata!N426,"FALSE"))))</f>
        <v>0</v>
      </c>
      <c r="AO426">
        <f>IF(metadata!O426="",FALSE,TRUE)</f>
        <v>0</v>
      </c>
      <c r="AP426">
        <f>OR(AND(IF(metadata!P426="",FALSE,TRUE),OR(exact(metadata!P426,"missing: not collected"),exact(metadata!P426,"missing: not provided"))),AND(IF(metadata!P426="",FALSE,IF(ISERROR(INT(metadata!P426)),FALSE,INT(metadata!P426)=metadata!P426)),metadata!P426&gt;0))</f>
        <v>0</v>
      </c>
      <c r="AQ426">
        <f>IF(metadata!Q426="",FALSE,TRUE)</f>
        <v>0</v>
      </c>
    </row>
    <row r="427" spans="1:43">
      <c r="A427" s="5">
        <f>IF(B427=" "," ",HYPERLINK(CONCATENATE("#metadata!",ADDRESS(INDEX($W$2:$W$1001,MATCH(ROWS($U$2:U427),$U$2:$U$1001,0),0),1)),INDEX($Z$2:$Z$1001,MATCH(ROWS($U$2:U427),$U$2:$U$1001,0),0)))</f>
        <v>0</v>
      </c>
      <c r="B427" s="4">
        <f>IF(OR(INDEX($V$2:$V$1001,MATCH(ROWS($U$2:U427),$U$2:$U$1001,0),1)&gt;=100000,INDEX($AB$1005:$AQ$1005,1,MATCH(COLUMNS($AB$1006:AB1006),$AB$1006:$AQ$1006,0))&gt;=100000), " ",IF(INDEX($AB$2:$AQ$1001,MATCH(ROWS($U$2:U427),$U$2:$U$1001,0),MATCH(COLUMNS($AB$1006:AB1006),$AB$1006:$AQ$1006,0)), HYPERLINK("#",""), HYPERLINK(CONCATENATE("#metadata!", ADDRESS(INDEX($W$2:$W$1001,MATCH(ROWS($U$2:U427),$U$2:$U$1001,0),0), INDEX($AB$1004:$AQ$1004,1,MATCH(COLUMNS($AB$1006:AB1006),$AB$1006:$AQ$1006,0)))),"Fix")))</f>
        <v>0</v>
      </c>
      <c r="C427" s="4">
        <f>IF(OR(INDEX($V$2:$V$1001,MATCH(ROWS($U$2:U427),$U$2:$U$1001,0),1)&gt;=100000,INDEX($AB$1005:$AQ$1005,1,MATCH(COLUMNS($AB$1006:AC1006),$AB$1006:$AQ$1006,0))&gt;=100000), " ",IF(INDEX($AB$2:$AQ$1001,MATCH(ROWS($U$2:U427),$U$2:$U$1001,0),MATCH(COLUMNS($AB$1006:AC1006),$AB$1006:$AQ$1006,0)), HYPERLINK("#",""), HYPERLINK(CONCATENATE("#metadata!", ADDRESS(INDEX($W$2:$W$1001,MATCH(ROWS($U$2:U427),$U$2:$U$1001,0),0), INDEX($AB$1004:$AQ$1004,1,MATCH(COLUMNS($AB$1006:AC1006),$AB$1006:$AQ$1006,0)))),"Fix")))</f>
        <v>0</v>
      </c>
      <c r="D427" s="4">
        <f>IF(OR(INDEX($V$2:$V$1001,MATCH(ROWS($U$2:U427),$U$2:$U$1001,0),1)&gt;=100000,INDEX($AB$1005:$AQ$1005,1,MATCH(COLUMNS($AB$1006:AD1006),$AB$1006:$AQ$1006,0))&gt;=100000), " ",IF(INDEX($AB$2:$AQ$1001,MATCH(ROWS($U$2:U427),$U$2:$U$1001,0),MATCH(COLUMNS($AB$1006:AD1006),$AB$1006:$AQ$1006,0)), HYPERLINK("#",""), HYPERLINK(CONCATENATE("#metadata!", ADDRESS(INDEX($W$2:$W$1001,MATCH(ROWS($U$2:U427),$U$2:$U$1001,0),0), INDEX($AB$1004:$AQ$1004,1,MATCH(COLUMNS($AB$1006:AD1006),$AB$1006:$AQ$1006,0)))),"Fix")))</f>
        <v>0</v>
      </c>
      <c r="E427" s="4">
        <f>IF(OR(INDEX($V$2:$V$1001,MATCH(ROWS($U$2:U427),$U$2:$U$1001,0),1)&gt;=100000,INDEX($AB$1005:$AQ$1005,1,MATCH(COLUMNS($AB$1006:AE1006),$AB$1006:$AQ$1006,0))&gt;=100000), " ",IF(INDEX($AB$2:$AQ$1001,MATCH(ROWS($U$2:U427),$U$2:$U$1001,0),MATCH(COLUMNS($AB$1006:AE1006),$AB$1006:$AQ$1006,0)), HYPERLINK("#",""), HYPERLINK(CONCATENATE("#metadata!", ADDRESS(INDEX($W$2:$W$1001,MATCH(ROWS($U$2:U427),$U$2:$U$1001,0),0), INDEX($AB$1004:$AQ$1004,1,MATCH(COLUMNS($AB$1006:AE1006),$AB$1006:$AQ$1006,0)))),"Fix")))</f>
        <v>0</v>
      </c>
      <c r="F427" s="4">
        <f>IF(OR(INDEX($V$2:$V$1001,MATCH(ROWS($U$2:U427),$U$2:$U$1001,0),1)&gt;=100000,INDEX($AB$1005:$AQ$1005,1,MATCH(COLUMNS($AB$1006:AF1006),$AB$1006:$AQ$1006,0))&gt;=100000), " ",IF(INDEX($AB$2:$AQ$1001,MATCH(ROWS($U$2:U427),$U$2:$U$1001,0),MATCH(COLUMNS($AB$1006:AF1006),$AB$1006:$AQ$1006,0)), HYPERLINK("#",""), HYPERLINK(CONCATENATE("#metadata!", ADDRESS(INDEX($W$2:$W$1001,MATCH(ROWS($U$2:U427),$U$2:$U$1001,0),0), INDEX($AB$1004:$AQ$1004,1,MATCH(COLUMNS($AB$1006:AF1006),$AB$1006:$AQ$1006,0)))),"Fix")))</f>
        <v>0</v>
      </c>
      <c r="G427" s="4">
        <f>IF(OR(INDEX($V$2:$V$1001,MATCH(ROWS($U$2:U427),$U$2:$U$1001,0),1)&gt;=100000,INDEX($AB$1005:$AQ$1005,1,MATCH(COLUMNS($AB$1006:AG1006),$AB$1006:$AQ$1006,0))&gt;=100000), " ",IF(INDEX($AB$2:$AQ$1001,MATCH(ROWS($U$2:U427),$U$2:$U$1001,0),MATCH(COLUMNS($AB$1006:AG1006),$AB$1006:$AQ$1006,0)), HYPERLINK("#",""), HYPERLINK(CONCATENATE("#metadata!", ADDRESS(INDEX($W$2:$W$1001,MATCH(ROWS($U$2:U427),$U$2:$U$1001,0),0), INDEX($AB$1004:$AQ$1004,1,MATCH(COLUMNS($AB$1006:AG1006),$AB$1006:$AQ$1006,0)))),"Fix")))</f>
        <v>0</v>
      </c>
      <c r="H427" s="4">
        <f>IF(OR(INDEX($V$2:$V$1001,MATCH(ROWS($U$2:U427),$U$2:$U$1001,0),1)&gt;=100000,INDEX($AB$1005:$AQ$1005,1,MATCH(COLUMNS($AB$1006:AH1006),$AB$1006:$AQ$1006,0))&gt;=100000), " ",IF(INDEX($AB$2:$AQ$1001,MATCH(ROWS($U$2:U427),$U$2:$U$1001,0),MATCH(COLUMNS($AB$1006:AH1006),$AB$1006:$AQ$1006,0)), HYPERLINK("#",""), HYPERLINK(CONCATENATE("#metadata!", ADDRESS(INDEX($W$2:$W$1001,MATCH(ROWS($U$2:U427),$U$2:$U$1001,0),0), INDEX($AB$1004:$AQ$1004,1,MATCH(COLUMNS($AB$1006:AH1006),$AB$1006:$AQ$1006,0)))),"Fix")))</f>
        <v>0</v>
      </c>
      <c r="I427" s="4">
        <f>IF(OR(INDEX($V$2:$V$1001,MATCH(ROWS($U$2:U427),$U$2:$U$1001,0),1)&gt;=100000,INDEX($AB$1005:$AQ$1005,1,MATCH(COLUMNS($AB$1006:AI1006),$AB$1006:$AQ$1006,0))&gt;=100000), " ",IF(INDEX($AB$2:$AQ$1001,MATCH(ROWS($U$2:U427),$U$2:$U$1001,0),MATCH(COLUMNS($AB$1006:AI1006),$AB$1006:$AQ$1006,0)), HYPERLINK("#",""), HYPERLINK(CONCATENATE("#metadata!", ADDRESS(INDEX($W$2:$W$1001,MATCH(ROWS($U$2:U427),$U$2:$U$1001,0),0), INDEX($AB$1004:$AQ$1004,1,MATCH(COLUMNS($AB$1006:AI1006),$AB$1006:$AQ$1006,0)))),"Fix")))</f>
        <v>0</v>
      </c>
      <c r="J427" s="4">
        <f>IF(OR(INDEX($V$2:$V$1001,MATCH(ROWS($U$2:U427),$U$2:$U$1001,0),1)&gt;=100000,INDEX($AB$1005:$AQ$1005,1,MATCH(COLUMNS($AB$1006:AJ1006),$AB$1006:$AQ$1006,0))&gt;=100000), " ",IF(INDEX($AB$2:$AQ$1001,MATCH(ROWS($U$2:U427),$U$2:$U$1001,0),MATCH(COLUMNS($AB$1006:AJ1006),$AB$1006:$AQ$1006,0)), HYPERLINK("#",""), HYPERLINK(CONCATENATE("#metadata!", ADDRESS(INDEX($W$2:$W$1001,MATCH(ROWS($U$2:U427),$U$2:$U$1001,0),0), INDEX($AB$1004:$AQ$1004,1,MATCH(COLUMNS($AB$1006:AJ1006),$AB$1006:$AQ$1006,0)))),"Fix")))</f>
        <v>0</v>
      </c>
      <c r="K427" s="4">
        <f>IF(OR(INDEX($V$2:$V$1001,MATCH(ROWS($U$2:U427),$U$2:$U$1001,0),1)&gt;=100000,INDEX($AB$1005:$AQ$1005,1,MATCH(COLUMNS($AB$1006:AK1006),$AB$1006:$AQ$1006,0))&gt;=100000), " ",IF(INDEX($AB$2:$AQ$1001,MATCH(ROWS($U$2:U427),$U$2:$U$1001,0),MATCH(COLUMNS($AB$1006:AK1006),$AB$1006:$AQ$1006,0)), HYPERLINK("#",""), HYPERLINK(CONCATENATE("#metadata!", ADDRESS(INDEX($W$2:$W$1001,MATCH(ROWS($U$2:U427),$U$2:$U$1001,0),0), INDEX($AB$1004:$AQ$1004,1,MATCH(COLUMNS($AB$1006:AK1006),$AB$1006:$AQ$1006,0)))),"Fix")))</f>
        <v>0</v>
      </c>
      <c r="L427" s="4">
        <f>IF(OR(INDEX($V$2:$V$1001,MATCH(ROWS($U$2:U427),$U$2:$U$1001,0),1)&gt;=100000,INDEX($AB$1005:$AQ$1005,1,MATCH(COLUMNS($AB$1006:AL1006),$AB$1006:$AQ$1006,0))&gt;=100000), " ",IF(INDEX($AB$2:$AQ$1001,MATCH(ROWS($U$2:U427),$U$2:$U$1001,0),MATCH(COLUMNS($AB$1006:AL1006),$AB$1006:$AQ$1006,0)), HYPERLINK("#",""), HYPERLINK(CONCATENATE("#metadata!", ADDRESS(INDEX($W$2:$W$1001,MATCH(ROWS($U$2:U427),$U$2:$U$1001,0),0), INDEX($AB$1004:$AQ$1004,1,MATCH(COLUMNS($AB$1006:AL1006),$AB$1006:$AQ$1006,0)))),"Fix")))</f>
        <v>0</v>
      </c>
      <c r="M427" s="4">
        <f>IF(OR(INDEX($V$2:$V$1001,MATCH(ROWS($U$2:U427),$U$2:$U$1001,0),1)&gt;=100000,INDEX($AB$1005:$AQ$1005,1,MATCH(COLUMNS($AB$1006:AM1006),$AB$1006:$AQ$1006,0))&gt;=100000), " ",IF(INDEX($AB$2:$AQ$1001,MATCH(ROWS($U$2:U427),$U$2:$U$1001,0),MATCH(COLUMNS($AB$1006:AM1006),$AB$1006:$AQ$1006,0)), HYPERLINK("#",""), HYPERLINK(CONCATENATE("#metadata!", ADDRESS(INDEX($W$2:$W$1001,MATCH(ROWS($U$2:U427),$U$2:$U$1001,0),0), INDEX($AB$1004:$AQ$1004,1,MATCH(COLUMNS($AB$1006:AM1006),$AB$1006:$AQ$1006,0)))),"Fix")))</f>
        <v>0</v>
      </c>
      <c r="N427" s="4">
        <f>IF(OR(INDEX($V$2:$V$1001,MATCH(ROWS($U$2:U427),$U$2:$U$1001,0),1)&gt;=100000,INDEX($AB$1005:$AQ$1005,1,MATCH(COLUMNS($AB$1006:AN1006),$AB$1006:$AQ$1006,0))&gt;=100000), " ",IF(INDEX($AB$2:$AQ$1001,MATCH(ROWS($U$2:U427),$U$2:$U$1001,0),MATCH(COLUMNS($AB$1006:AN1006),$AB$1006:$AQ$1006,0)), HYPERLINK("#",""), HYPERLINK(CONCATENATE("#metadata!", ADDRESS(INDEX($W$2:$W$1001,MATCH(ROWS($U$2:U427),$U$2:$U$1001,0),0), INDEX($AB$1004:$AQ$1004,1,MATCH(COLUMNS($AB$1006:AN1006),$AB$1006:$AQ$1006,0)))),"Fix")))</f>
        <v>0</v>
      </c>
      <c r="O427" s="4">
        <f>IF(OR(INDEX($V$2:$V$1001,MATCH(ROWS($U$2:U427),$U$2:$U$1001,0),1)&gt;=100000,INDEX($AB$1005:$AQ$1005,1,MATCH(COLUMNS($AB$1006:AO1006),$AB$1006:$AQ$1006,0))&gt;=100000), " ",IF(INDEX($AB$2:$AQ$1001,MATCH(ROWS($U$2:U427),$U$2:$U$1001,0),MATCH(COLUMNS($AB$1006:AO1006),$AB$1006:$AQ$1006,0)), HYPERLINK("#",""), HYPERLINK(CONCATENATE("#metadata!", ADDRESS(INDEX($W$2:$W$1001,MATCH(ROWS($U$2:U427),$U$2:$U$1001,0),0), INDEX($AB$1004:$AQ$1004,1,MATCH(COLUMNS($AB$1006:AO1006),$AB$1006:$AQ$1006,0)))),"Fix")))</f>
        <v>0</v>
      </c>
      <c r="P427" s="4">
        <f>IF(OR(INDEX($V$2:$V$1001,MATCH(ROWS($U$2:U427),$U$2:$U$1001,0),1)&gt;=100000,INDEX($AB$1005:$AQ$1005,1,MATCH(COLUMNS($AB$1006:AP1006),$AB$1006:$AQ$1006,0))&gt;=100000), " ",IF(INDEX($AB$2:$AQ$1001,MATCH(ROWS($U$2:U427),$U$2:$U$1001,0),MATCH(COLUMNS($AB$1006:AP1006),$AB$1006:$AQ$1006,0)), HYPERLINK("#",""), HYPERLINK(CONCATENATE("#metadata!", ADDRESS(INDEX($W$2:$W$1001,MATCH(ROWS($U$2:U427),$U$2:$U$1001,0),0), INDEX($AB$1004:$AQ$1004,1,MATCH(COLUMNS($AB$1006:AP1006),$AB$1006:$AQ$1006,0)))),"Fix")))</f>
        <v>0</v>
      </c>
      <c r="Q427" s="4">
        <f>IF(OR(INDEX($V$2:$V$1001,MATCH(ROWS($U$2:U427),$U$2:$U$1001,0),1)&gt;=100000,INDEX($AB$1005:$AQ$1005,1,MATCH(COLUMNS($AB$1006:AQ1006),$AB$1006:$AQ$1006,0))&gt;=100000), " ",IF(INDEX($AB$2:$AQ$1001,MATCH(ROWS($U$2:U427),$U$2:$U$1001,0),MATCH(COLUMNS($AB$1006:AQ1006),$AB$1006:$AQ$1006,0)), HYPERLINK("#",""), HYPERLINK(CONCATENATE("#metadata!", ADDRESS(INDEX($W$2:$W$1001,MATCH(ROWS($U$2:U427),$U$2:$U$1001,0),0), INDEX($AB$1004:$AQ$1004,1,MATCH(COLUMNS($AB$1006:AQ1006),$AB$1006:$AQ$1006,0)))),"Fix")))</f>
        <v>0</v>
      </c>
      <c r="U427">
        <v>0</v>
      </c>
      <c r="V427">
        <v>0</v>
      </c>
      <c r="W427">
        <v>0</v>
      </c>
      <c r="X427">
        <f>IF(Y427,TRUE,AND(AB427:AQ427))</f>
        <v>0</v>
      </c>
      <c r="Y427">
        <f>COUNTBLANK(metadata!B427:Q427)=COLUMNS(metadata!B427:Q427)</f>
        <v>0</v>
      </c>
      <c r="Z427">
        <v>0</v>
      </c>
      <c r="AB427">
        <f>AND(IF(metadata!B427="",FALSE,TRUE),COUNTIF(metadata!B:B, metadata!B427) = 1,NOT(ISERROR(SUMPRODUCT(SEARCH(MID(metadata!B427,ROW(INDIRECT("1:"&amp;LEN(metadata!B427))), 1),"0123456789abcdefghijklmnopqrstuvwxyzABCDEFGHIJKLMNOPQRSTUVWXYZ.")))))</f>
        <v>0</v>
      </c>
      <c r="AC427">
        <f>OR(AND(IF(metadata!C427="",FALSE,TRUE),OR(exact(metadata!C427,"missing: not collected"),exact(metadata!C427,"missing: not provided"),exact(metadata!C427,"missing: restricted access"))),AND(IF(metadata!C427="",FALSE,TRUE),AND(AND(IFERROR(INT(LEFT(metadata!C427,4))&gt;1900,FALSE),IFERROR(INT(LEFT(metadata!C427,4))&lt;=YEAR(NOW()),FALSE)), OR(MID(metadata!C427,5,1)="", AND(AND(MID(metadata!C427,5,1)="-",IFERROR(INT(MID(metadata!C427,6,1))&gt;=0,FALSE),IFERROR(INT(MID(metadata!C427,6,1))&lt;=1,FALSE),NOT(MID(metadata!C427,7,1)=""),IFERROR(INT(MID(metadata!C427,6,2))&gt;=1,FALSE),IFERROR(INT(MID(metadata!C427,6,2))&lt;=12,FALSE)), OR(MID(metadata!C427,8,1)="", AND(AND(MID(metadata!C427,8,1)="-",IFERROR(INT(MID(metadata!C427,9,1))&gt;=0,FALSE),IFERROR(INT(MID(metadata!C427,9,1))&lt;=3,FALSE),NOT(MID(metadata!C427,10,1)=""),IFERROR(INT(MID(metadata!C427,9,2))&gt;=1,FALSE),IFERROR(INT(MID(metadata!C427,9,2))&lt;=31,FALSE)), OR(MID(metadata!C427,11,1)="", AND(AND(MID(metadata!C427,11,1)=" ",IFERROR(INT(MID(metadata!C427,12,1))&gt;=0,FALSE),IFERROR(INT(MID(metadata!C427,12,1))&lt;=2,FALSE),NOT(MID(metadata!C427,13,1)=""),IFERROR(INT(MID(metadata!C427,12,2))&gt;=0,FALSE),IFERROR(INT(MID(metadata!C427,12,2))&lt;=23,FALSE)), OR(MID(metadata!C427,14,1)="", AND(AND(MID(metadata!C427,14,1)=":",IFERROR(INT(MID(metadata!C427,15,1))&gt;=0,FALSE),IFERROR(INT(MID(metadata!C427,15,1))&lt;=5,FALSE),NOT(MID(metadata!C427,16,1)=""),IFERROR(INT(MID(metadata!C427,15,2))&gt;=0,FALSE),IFERROR(INT(MID(metadata!C427,15,2))&lt;=59,FALSE)), OR(MID(metadata!C427,17,1)="", AND(AND(MID(metadata!C427,17,1)=":",IFERROR(INT(MID(metadata!C427,18,1))&gt;=0,FALSE),IFERROR(INT(MID(metadata!C427,18,1))&lt;=5,FALSE),NOT(MID(metadata!C427,19,1)=""),IFERROR(INT(MID(metadata!C427,18,2))&gt;=0,FALSE),IFERROR(INT(MID(metadata!C427,18,2))&lt;=59,FALSE)), LEN(metadata!C427)&lt;=19)))))))))))))</f>
        <v>0</v>
      </c>
      <c r="AD427">
        <f>IF(metadata!D427="",FALSE,TRUE)</f>
        <v>0</v>
      </c>
      <c r="AE427">
        <f>OR(AND(IF(metadata!E427="",FALSE,TRUE),OR(exact(metadata!E427,"missing: not collected"),exact(metadata!E427,"missing: not provided"))),AND(IF(metadata!E427="",FALSE,TRUE),OR(exact(metadata!E427,"TRUE"),exact(metadata!E427,"FALSE"))))</f>
        <v>0</v>
      </c>
      <c r="AF427">
        <f>IF(metadata!F427="",FALSE,TRUE)</f>
        <v>0</v>
      </c>
      <c r="AG427">
        <f>IF(metadata!G427="",FALSE,TRUE)</f>
        <v>0</v>
      </c>
      <c r="AH427">
        <f>IF(metadata!H427="",FALSE,TRUE)</f>
        <v>0</v>
      </c>
      <c r="AI427">
        <f>OR(AND(IF(metadata!I427="",FALSE,TRUE),OR(exact(metadata!I427,"missing: not collected"),exact(metadata!I427,"missing: not provided"),exact(metadata!I427,"missing: restricted access"))),AND(IF(metadata!I427="",FALSE,TRUE),OR(exact(metadata!I427,"air"),exact(metadata!I427,"built environment"),exact(metadata!I427,"host-associated"),exact(metadata!I427,"human-associated"),exact(metadata!I427,"human-skin"),exact(metadata!I427,"human-oral"),exact(metadata!I427,"human-gut"),exact(metadata!I427,"human-vaginal"),exact(metadata!I427,"microbial mat/biofilm"),exact(metadata!I427,"misc environment"),exact(metadata!I427,"plant-associated"),exact(metadata!I427,"sediment"),exact(metadata!I427,"soil"),exact(metadata!I427,"wastewater/sludge"),exact(metadata!I427,"water"))))</f>
        <v>0</v>
      </c>
      <c r="AJ427">
        <f>IF(metadata!J427="",FALSE,TRUE)</f>
        <v>0</v>
      </c>
      <c r="AK427">
        <f>OR(AND(IF(metadata!K427="",FALSE,TRUE),OR(exact(metadata!K427,"missing: not collected"),exact(metadata!K427,"missing: not provided"),exact(metadata!K427,"missing: restricted access"))),AND(IF(metadata!K427="",FALSE,ISNUMBER(VALUE(metadata!K427))),metadata!K427&gt;=-90.00,metadata!K427&lt;=90.00))</f>
        <v>0</v>
      </c>
      <c r="AL427">
        <f>OR(AND(IF(metadata!L427="",FALSE,TRUE),OR(exact(metadata!L427,"missing: not collected"),exact(metadata!L427,"missing: not provided"),exact(metadata!L427,"missing: restricted access"))),AND(IF(metadata!L427="",FALSE,ISNUMBER(VALUE(metadata!L427))),metadata!L427&gt;=-180.00,metadata!L427&lt;=180.00))</f>
        <v>0</v>
      </c>
      <c r="AM427">
        <f>IF(metadata!M427="",FALSE,TRUE)</f>
        <v>0</v>
      </c>
      <c r="AN427">
        <f>OR(AND(IF(metadata!N427="",FALSE,TRUE),OR(exact(metadata!N427,"missing: not collected"),exact(metadata!N427,"missing: not provided"),exact(metadata!N427,"missing: restricted access"))),AND(IF(metadata!N427="",FALSE,TRUE),OR(exact(metadata!N427,"TRUE"),exact(metadata!N427,"FALSE"))))</f>
        <v>0</v>
      </c>
      <c r="AO427">
        <f>IF(metadata!O427="",FALSE,TRUE)</f>
        <v>0</v>
      </c>
      <c r="AP427">
        <f>OR(AND(IF(metadata!P427="",FALSE,TRUE),OR(exact(metadata!P427,"missing: not collected"),exact(metadata!P427,"missing: not provided"))),AND(IF(metadata!P427="",FALSE,IF(ISERROR(INT(metadata!P427)),FALSE,INT(metadata!P427)=metadata!P427)),metadata!P427&gt;0))</f>
        <v>0</v>
      </c>
      <c r="AQ427">
        <f>IF(metadata!Q427="",FALSE,TRUE)</f>
        <v>0</v>
      </c>
    </row>
    <row r="428" spans="1:43">
      <c r="A428" s="5">
        <f>IF(B428=" "," ",HYPERLINK(CONCATENATE("#metadata!",ADDRESS(INDEX($W$2:$W$1001,MATCH(ROWS($U$2:U428),$U$2:$U$1001,0),0),1)),INDEX($Z$2:$Z$1001,MATCH(ROWS($U$2:U428),$U$2:$U$1001,0),0)))</f>
        <v>0</v>
      </c>
      <c r="B428" s="4">
        <f>IF(OR(INDEX($V$2:$V$1001,MATCH(ROWS($U$2:U428),$U$2:$U$1001,0),1)&gt;=100000,INDEX($AB$1005:$AQ$1005,1,MATCH(COLUMNS($AB$1006:AB1006),$AB$1006:$AQ$1006,0))&gt;=100000), " ",IF(INDEX($AB$2:$AQ$1001,MATCH(ROWS($U$2:U428),$U$2:$U$1001,0),MATCH(COLUMNS($AB$1006:AB1006),$AB$1006:$AQ$1006,0)), HYPERLINK("#",""), HYPERLINK(CONCATENATE("#metadata!", ADDRESS(INDEX($W$2:$W$1001,MATCH(ROWS($U$2:U428),$U$2:$U$1001,0),0), INDEX($AB$1004:$AQ$1004,1,MATCH(COLUMNS($AB$1006:AB1006),$AB$1006:$AQ$1006,0)))),"Fix")))</f>
        <v>0</v>
      </c>
      <c r="C428" s="4">
        <f>IF(OR(INDEX($V$2:$V$1001,MATCH(ROWS($U$2:U428),$U$2:$U$1001,0),1)&gt;=100000,INDEX($AB$1005:$AQ$1005,1,MATCH(COLUMNS($AB$1006:AC1006),$AB$1006:$AQ$1006,0))&gt;=100000), " ",IF(INDEX($AB$2:$AQ$1001,MATCH(ROWS($U$2:U428),$U$2:$U$1001,0),MATCH(COLUMNS($AB$1006:AC1006),$AB$1006:$AQ$1006,0)), HYPERLINK("#",""), HYPERLINK(CONCATENATE("#metadata!", ADDRESS(INDEX($W$2:$W$1001,MATCH(ROWS($U$2:U428),$U$2:$U$1001,0),0), INDEX($AB$1004:$AQ$1004,1,MATCH(COLUMNS($AB$1006:AC1006),$AB$1006:$AQ$1006,0)))),"Fix")))</f>
        <v>0</v>
      </c>
      <c r="D428" s="4">
        <f>IF(OR(INDEX($V$2:$V$1001,MATCH(ROWS($U$2:U428),$U$2:$U$1001,0),1)&gt;=100000,INDEX($AB$1005:$AQ$1005,1,MATCH(COLUMNS($AB$1006:AD1006),$AB$1006:$AQ$1006,0))&gt;=100000), " ",IF(INDEX($AB$2:$AQ$1001,MATCH(ROWS($U$2:U428),$U$2:$U$1001,0),MATCH(COLUMNS($AB$1006:AD1006),$AB$1006:$AQ$1006,0)), HYPERLINK("#",""), HYPERLINK(CONCATENATE("#metadata!", ADDRESS(INDEX($W$2:$W$1001,MATCH(ROWS($U$2:U428),$U$2:$U$1001,0),0), INDEX($AB$1004:$AQ$1004,1,MATCH(COLUMNS($AB$1006:AD1006),$AB$1006:$AQ$1006,0)))),"Fix")))</f>
        <v>0</v>
      </c>
      <c r="E428" s="4">
        <f>IF(OR(INDEX($V$2:$V$1001,MATCH(ROWS($U$2:U428),$U$2:$U$1001,0),1)&gt;=100000,INDEX($AB$1005:$AQ$1005,1,MATCH(COLUMNS($AB$1006:AE1006),$AB$1006:$AQ$1006,0))&gt;=100000), " ",IF(INDEX($AB$2:$AQ$1001,MATCH(ROWS($U$2:U428),$U$2:$U$1001,0),MATCH(COLUMNS($AB$1006:AE1006),$AB$1006:$AQ$1006,0)), HYPERLINK("#",""), HYPERLINK(CONCATENATE("#metadata!", ADDRESS(INDEX($W$2:$W$1001,MATCH(ROWS($U$2:U428),$U$2:$U$1001,0),0), INDEX($AB$1004:$AQ$1004,1,MATCH(COLUMNS($AB$1006:AE1006),$AB$1006:$AQ$1006,0)))),"Fix")))</f>
        <v>0</v>
      </c>
      <c r="F428" s="4">
        <f>IF(OR(INDEX($V$2:$V$1001,MATCH(ROWS($U$2:U428),$U$2:$U$1001,0),1)&gt;=100000,INDEX($AB$1005:$AQ$1005,1,MATCH(COLUMNS($AB$1006:AF1006),$AB$1006:$AQ$1006,0))&gt;=100000), " ",IF(INDEX($AB$2:$AQ$1001,MATCH(ROWS($U$2:U428),$U$2:$U$1001,0),MATCH(COLUMNS($AB$1006:AF1006),$AB$1006:$AQ$1006,0)), HYPERLINK("#",""), HYPERLINK(CONCATENATE("#metadata!", ADDRESS(INDEX($W$2:$W$1001,MATCH(ROWS($U$2:U428),$U$2:$U$1001,0),0), INDEX($AB$1004:$AQ$1004,1,MATCH(COLUMNS($AB$1006:AF1006),$AB$1006:$AQ$1006,0)))),"Fix")))</f>
        <v>0</v>
      </c>
      <c r="G428" s="4">
        <f>IF(OR(INDEX($V$2:$V$1001,MATCH(ROWS($U$2:U428),$U$2:$U$1001,0),1)&gt;=100000,INDEX($AB$1005:$AQ$1005,1,MATCH(COLUMNS($AB$1006:AG1006),$AB$1006:$AQ$1006,0))&gt;=100000), " ",IF(INDEX($AB$2:$AQ$1001,MATCH(ROWS($U$2:U428),$U$2:$U$1001,0),MATCH(COLUMNS($AB$1006:AG1006),$AB$1006:$AQ$1006,0)), HYPERLINK("#",""), HYPERLINK(CONCATENATE("#metadata!", ADDRESS(INDEX($W$2:$W$1001,MATCH(ROWS($U$2:U428),$U$2:$U$1001,0),0), INDEX($AB$1004:$AQ$1004,1,MATCH(COLUMNS($AB$1006:AG1006),$AB$1006:$AQ$1006,0)))),"Fix")))</f>
        <v>0</v>
      </c>
      <c r="H428" s="4">
        <f>IF(OR(INDEX($V$2:$V$1001,MATCH(ROWS($U$2:U428),$U$2:$U$1001,0),1)&gt;=100000,INDEX($AB$1005:$AQ$1005,1,MATCH(COLUMNS($AB$1006:AH1006),$AB$1006:$AQ$1006,0))&gt;=100000), " ",IF(INDEX($AB$2:$AQ$1001,MATCH(ROWS($U$2:U428),$U$2:$U$1001,0),MATCH(COLUMNS($AB$1006:AH1006),$AB$1006:$AQ$1006,0)), HYPERLINK("#",""), HYPERLINK(CONCATENATE("#metadata!", ADDRESS(INDEX($W$2:$W$1001,MATCH(ROWS($U$2:U428),$U$2:$U$1001,0),0), INDEX($AB$1004:$AQ$1004,1,MATCH(COLUMNS($AB$1006:AH1006),$AB$1006:$AQ$1006,0)))),"Fix")))</f>
        <v>0</v>
      </c>
      <c r="I428" s="4">
        <f>IF(OR(INDEX($V$2:$V$1001,MATCH(ROWS($U$2:U428),$U$2:$U$1001,0),1)&gt;=100000,INDEX($AB$1005:$AQ$1005,1,MATCH(COLUMNS($AB$1006:AI1006),$AB$1006:$AQ$1006,0))&gt;=100000), " ",IF(INDEX($AB$2:$AQ$1001,MATCH(ROWS($U$2:U428),$U$2:$U$1001,0),MATCH(COLUMNS($AB$1006:AI1006),$AB$1006:$AQ$1006,0)), HYPERLINK("#",""), HYPERLINK(CONCATENATE("#metadata!", ADDRESS(INDEX($W$2:$W$1001,MATCH(ROWS($U$2:U428),$U$2:$U$1001,0),0), INDEX($AB$1004:$AQ$1004,1,MATCH(COLUMNS($AB$1006:AI1006),$AB$1006:$AQ$1006,0)))),"Fix")))</f>
        <v>0</v>
      </c>
      <c r="J428" s="4">
        <f>IF(OR(INDEX($V$2:$V$1001,MATCH(ROWS($U$2:U428),$U$2:$U$1001,0),1)&gt;=100000,INDEX($AB$1005:$AQ$1005,1,MATCH(COLUMNS($AB$1006:AJ1006),$AB$1006:$AQ$1006,0))&gt;=100000), " ",IF(INDEX($AB$2:$AQ$1001,MATCH(ROWS($U$2:U428),$U$2:$U$1001,0),MATCH(COLUMNS($AB$1006:AJ1006),$AB$1006:$AQ$1006,0)), HYPERLINK("#",""), HYPERLINK(CONCATENATE("#metadata!", ADDRESS(INDEX($W$2:$W$1001,MATCH(ROWS($U$2:U428),$U$2:$U$1001,0),0), INDEX($AB$1004:$AQ$1004,1,MATCH(COLUMNS($AB$1006:AJ1006),$AB$1006:$AQ$1006,0)))),"Fix")))</f>
        <v>0</v>
      </c>
      <c r="K428" s="4">
        <f>IF(OR(INDEX($V$2:$V$1001,MATCH(ROWS($U$2:U428),$U$2:$U$1001,0),1)&gt;=100000,INDEX($AB$1005:$AQ$1005,1,MATCH(COLUMNS($AB$1006:AK1006),$AB$1006:$AQ$1006,0))&gt;=100000), " ",IF(INDEX($AB$2:$AQ$1001,MATCH(ROWS($U$2:U428),$U$2:$U$1001,0),MATCH(COLUMNS($AB$1006:AK1006),$AB$1006:$AQ$1006,0)), HYPERLINK("#",""), HYPERLINK(CONCATENATE("#metadata!", ADDRESS(INDEX($W$2:$W$1001,MATCH(ROWS($U$2:U428),$U$2:$U$1001,0),0), INDEX($AB$1004:$AQ$1004,1,MATCH(COLUMNS($AB$1006:AK1006),$AB$1006:$AQ$1006,0)))),"Fix")))</f>
        <v>0</v>
      </c>
      <c r="L428" s="4">
        <f>IF(OR(INDEX($V$2:$V$1001,MATCH(ROWS($U$2:U428),$U$2:$U$1001,0),1)&gt;=100000,INDEX($AB$1005:$AQ$1005,1,MATCH(COLUMNS($AB$1006:AL1006),$AB$1006:$AQ$1006,0))&gt;=100000), " ",IF(INDEX($AB$2:$AQ$1001,MATCH(ROWS($U$2:U428),$U$2:$U$1001,0),MATCH(COLUMNS($AB$1006:AL1006),$AB$1006:$AQ$1006,0)), HYPERLINK("#",""), HYPERLINK(CONCATENATE("#metadata!", ADDRESS(INDEX($W$2:$W$1001,MATCH(ROWS($U$2:U428),$U$2:$U$1001,0),0), INDEX($AB$1004:$AQ$1004,1,MATCH(COLUMNS($AB$1006:AL1006),$AB$1006:$AQ$1006,0)))),"Fix")))</f>
        <v>0</v>
      </c>
      <c r="M428" s="4">
        <f>IF(OR(INDEX($V$2:$V$1001,MATCH(ROWS($U$2:U428),$U$2:$U$1001,0),1)&gt;=100000,INDEX($AB$1005:$AQ$1005,1,MATCH(COLUMNS($AB$1006:AM1006),$AB$1006:$AQ$1006,0))&gt;=100000), " ",IF(INDEX($AB$2:$AQ$1001,MATCH(ROWS($U$2:U428),$U$2:$U$1001,0),MATCH(COLUMNS($AB$1006:AM1006),$AB$1006:$AQ$1006,0)), HYPERLINK("#",""), HYPERLINK(CONCATENATE("#metadata!", ADDRESS(INDEX($W$2:$W$1001,MATCH(ROWS($U$2:U428),$U$2:$U$1001,0),0), INDEX($AB$1004:$AQ$1004,1,MATCH(COLUMNS($AB$1006:AM1006),$AB$1006:$AQ$1006,0)))),"Fix")))</f>
        <v>0</v>
      </c>
      <c r="N428" s="4">
        <f>IF(OR(INDEX($V$2:$V$1001,MATCH(ROWS($U$2:U428),$U$2:$U$1001,0),1)&gt;=100000,INDEX($AB$1005:$AQ$1005,1,MATCH(COLUMNS($AB$1006:AN1006),$AB$1006:$AQ$1006,0))&gt;=100000), " ",IF(INDEX($AB$2:$AQ$1001,MATCH(ROWS($U$2:U428),$U$2:$U$1001,0),MATCH(COLUMNS($AB$1006:AN1006),$AB$1006:$AQ$1006,0)), HYPERLINK("#",""), HYPERLINK(CONCATENATE("#metadata!", ADDRESS(INDEX($W$2:$W$1001,MATCH(ROWS($U$2:U428),$U$2:$U$1001,0),0), INDEX($AB$1004:$AQ$1004,1,MATCH(COLUMNS($AB$1006:AN1006),$AB$1006:$AQ$1006,0)))),"Fix")))</f>
        <v>0</v>
      </c>
      <c r="O428" s="4">
        <f>IF(OR(INDEX($V$2:$V$1001,MATCH(ROWS($U$2:U428),$U$2:$U$1001,0),1)&gt;=100000,INDEX($AB$1005:$AQ$1005,1,MATCH(COLUMNS($AB$1006:AO1006),$AB$1006:$AQ$1006,0))&gt;=100000), " ",IF(INDEX($AB$2:$AQ$1001,MATCH(ROWS($U$2:U428),$U$2:$U$1001,0),MATCH(COLUMNS($AB$1006:AO1006),$AB$1006:$AQ$1006,0)), HYPERLINK("#",""), HYPERLINK(CONCATENATE("#metadata!", ADDRESS(INDEX($W$2:$W$1001,MATCH(ROWS($U$2:U428),$U$2:$U$1001,0),0), INDEX($AB$1004:$AQ$1004,1,MATCH(COLUMNS($AB$1006:AO1006),$AB$1006:$AQ$1006,0)))),"Fix")))</f>
        <v>0</v>
      </c>
      <c r="P428" s="4">
        <f>IF(OR(INDEX($V$2:$V$1001,MATCH(ROWS($U$2:U428),$U$2:$U$1001,0),1)&gt;=100000,INDEX($AB$1005:$AQ$1005,1,MATCH(COLUMNS($AB$1006:AP1006),$AB$1006:$AQ$1006,0))&gt;=100000), " ",IF(INDEX($AB$2:$AQ$1001,MATCH(ROWS($U$2:U428),$U$2:$U$1001,0),MATCH(COLUMNS($AB$1006:AP1006),$AB$1006:$AQ$1006,0)), HYPERLINK("#",""), HYPERLINK(CONCATENATE("#metadata!", ADDRESS(INDEX($W$2:$W$1001,MATCH(ROWS($U$2:U428),$U$2:$U$1001,0),0), INDEX($AB$1004:$AQ$1004,1,MATCH(COLUMNS($AB$1006:AP1006),$AB$1006:$AQ$1006,0)))),"Fix")))</f>
        <v>0</v>
      </c>
      <c r="Q428" s="4">
        <f>IF(OR(INDEX($V$2:$V$1001,MATCH(ROWS($U$2:U428),$U$2:$U$1001,0),1)&gt;=100000,INDEX($AB$1005:$AQ$1005,1,MATCH(COLUMNS($AB$1006:AQ1006),$AB$1006:$AQ$1006,0))&gt;=100000), " ",IF(INDEX($AB$2:$AQ$1001,MATCH(ROWS($U$2:U428),$U$2:$U$1001,0),MATCH(COLUMNS($AB$1006:AQ1006),$AB$1006:$AQ$1006,0)), HYPERLINK("#",""), HYPERLINK(CONCATENATE("#metadata!", ADDRESS(INDEX($W$2:$W$1001,MATCH(ROWS($U$2:U428),$U$2:$U$1001,0),0), INDEX($AB$1004:$AQ$1004,1,MATCH(COLUMNS($AB$1006:AQ1006),$AB$1006:$AQ$1006,0)))),"Fix")))</f>
        <v>0</v>
      </c>
      <c r="U428">
        <v>0</v>
      </c>
      <c r="V428">
        <v>0</v>
      </c>
      <c r="W428">
        <v>0</v>
      </c>
      <c r="X428">
        <f>IF(Y428,TRUE,AND(AB428:AQ428))</f>
        <v>0</v>
      </c>
      <c r="Y428">
        <f>COUNTBLANK(metadata!B428:Q428)=COLUMNS(metadata!B428:Q428)</f>
        <v>0</v>
      </c>
      <c r="Z428">
        <v>0</v>
      </c>
      <c r="AB428">
        <f>AND(IF(metadata!B428="",FALSE,TRUE),COUNTIF(metadata!B:B, metadata!B428) = 1,NOT(ISERROR(SUMPRODUCT(SEARCH(MID(metadata!B428,ROW(INDIRECT("1:"&amp;LEN(metadata!B428))), 1),"0123456789abcdefghijklmnopqrstuvwxyzABCDEFGHIJKLMNOPQRSTUVWXYZ.")))))</f>
        <v>0</v>
      </c>
      <c r="AC428">
        <f>OR(AND(IF(metadata!C428="",FALSE,TRUE),OR(exact(metadata!C428,"missing: not collected"),exact(metadata!C428,"missing: not provided"),exact(metadata!C428,"missing: restricted access"))),AND(IF(metadata!C428="",FALSE,TRUE),AND(AND(IFERROR(INT(LEFT(metadata!C428,4))&gt;1900,FALSE),IFERROR(INT(LEFT(metadata!C428,4))&lt;=YEAR(NOW()),FALSE)), OR(MID(metadata!C428,5,1)="", AND(AND(MID(metadata!C428,5,1)="-",IFERROR(INT(MID(metadata!C428,6,1))&gt;=0,FALSE),IFERROR(INT(MID(metadata!C428,6,1))&lt;=1,FALSE),NOT(MID(metadata!C428,7,1)=""),IFERROR(INT(MID(metadata!C428,6,2))&gt;=1,FALSE),IFERROR(INT(MID(metadata!C428,6,2))&lt;=12,FALSE)), OR(MID(metadata!C428,8,1)="", AND(AND(MID(metadata!C428,8,1)="-",IFERROR(INT(MID(metadata!C428,9,1))&gt;=0,FALSE),IFERROR(INT(MID(metadata!C428,9,1))&lt;=3,FALSE),NOT(MID(metadata!C428,10,1)=""),IFERROR(INT(MID(metadata!C428,9,2))&gt;=1,FALSE),IFERROR(INT(MID(metadata!C428,9,2))&lt;=31,FALSE)), OR(MID(metadata!C428,11,1)="", AND(AND(MID(metadata!C428,11,1)=" ",IFERROR(INT(MID(metadata!C428,12,1))&gt;=0,FALSE),IFERROR(INT(MID(metadata!C428,12,1))&lt;=2,FALSE),NOT(MID(metadata!C428,13,1)=""),IFERROR(INT(MID(metadata!C428,12,2))&gt;=0,FALSE),IFERROR(INT(MID(metadata!C428,12,2))&lt;=23,FALSE)), OR(MID(metadata!C428,14,1)="", AND(AND(MID(metadata!C428,14,1)=":",IFERROR(INT(MID(metadata!C428,15,1))&gt;=0,FALSE),IFERROR(INT(MID(metadata!C428,15,1))&lt;=5,FALSE),NOT(MID(metadata!C428,16,1)=""),IFERROR(INT(MID(metadata!C428,15,2))&gt;=0,FALSE),IFERROR(INT(MID(metadata!C428,15,2))&lt;=59,FALSE)), OR(MID(metadata!C428,17,1)="", AND(AND(MID(metadata!C428,17,1)=":",IFERROR(INT(MID(metadata!C428,18,1))&gt;=0,FALSE),IFERROR(INT(MID(metadata!C428,18,1))&lt;=5,FALSE),NOT(MID(metadata!C428,19,1)=""),IFERROR(INT(MID(metadata!C428,18,2))&gt;=0,FALSE),IFERROR(INT(MID(metadata!C428,18,2))&lt;=59,FALSE)), LEN(metadata!C428)&lt;=19)))))))))))))</f>
        <v>0</v>
      </c>
      <c r="AD428">
        <f>IF(metadata!D428="",FALSE,TRUE)</f>
        <v>0</v>
      </c>
      <c r="AE428">
        <f>OR(AND(IF(metadata!E428="",FALSE,TRUE),OR(exact(metadata!E428,"missing: not collected"),exact(metadata!E428,"missing: not provided"))),AND(IF(metadata!E428="",FALSE,TRUE),OR(exact(metadata!E428,"TRUE"),exact(metadata!E428,"FALSE"))))</f>
        <v>0</v>
      </c>
      <c r="AF428">
        <f>IF(metadata!F428="",FALSE,TRUE)</f>
        <v>0</v>
      </c>
      <c r="AG428">
        <f>IF(metadata!G428="",FALSE,TRUE)</f>
        <v>0</v>
      </c>
      <c r="AH428">
        <f>IF(metadata!H428="",FALSE,TRUE)</f>
        <v>0</v>
      </c>
      <c r="AI428">
        <f>OR(AND(IF(metadata!I428="",FALSE,TRUE),OR(exact(metadata!I428,"missing: not collected"),exact(metadata!I428,"missing: not provided"),exact(metadata!I428,"missing: restricted access"))),AND(IF(metadata!I428="",FALSE,TRUE),OR(exact(metadata!I428,"air"),exact(metadata!I428,"built environment"),exact(metadata!I428,"host-associated"),exact(metadata!I428,"human-associated"),exact(metadata!I428,"human-skin"),exact(metadata!I428,"human-oral"),exact(metadata!I428,"human-gut"),exact(metadata!I428,"human-vaginal"),exact(metadata!I428,"microbial mat/biofilm"),exact(metadata!I428,"misc environment"),exact(metadata!I428,"plant-associated"),exact(metadata!I428,"sediment"),exact(metadata!I428,"soil"),exact(metadata!I428,"wastewater/sludge"),exact(metadata!I428,"water"))))</f>
        <v>0</v>
      </c>
      <c r="AJ428">
        <f>IF(metadata!J428="",FALSE,TRUE)</f>
        <v>0</v>
      </c>
      <c r="AK428">
        <f>OR(AND(IF(metadata!K428="",FALSE,TRUE),OR(exact(metadata!K428,"missing: not collected"),exact(metadata!K428,"missing: not provided"),exact(metadata!K428,"missing: restricted access"))),AND(IF(metadata!K428="",FALSE,ISNUMBER(VALUE(metadata!K428))),metadata!K428&gt;=-90.00,metadata!K428&lt;=90.00))</f>
        <v>0</v>
      </c>
      <c r="AL428">
        <f>OR(AND(IF(metadata!L428="",FALSE,TRUE),OR(exact(metadata!L428,"missing: not collected"),exact(metadata!L428,"missing: not provided"),exact(metadata!L428,"missing: restricted access"))),AND(IF(metadata!L428="",FALSE,ISNUMBER(VALUE(metadata!L428))),metadata!L428&gt;=-180.00,metadata!L428&lt;=180.00))</f>
        <v>0</v>
      </c>
      <c r="AM428">
        <f>IF(metadata!M428="",FALSE,TRUE)</f>
        <v>0</v>
      </c>
      <c r="AN428">
        <f>OR(AND(IF(metadata!N428="",FALSE,TRUE),OR(exact(metadata!N428,"missing: not collected"),exact(metadata!N428,"missing: not provided"),exact(metadata!N428,"missing: restricted access"))),AND(IF(metadata!N428="",FALSE,TRUE),OR(exact(metadata!N428,"TRUE"),exact(metadata!N428,"FALSE"))))</f>
        <v>0</v>
      </c>
      <c r="AO428">
        <f>IF(metadata!O428="",FALSE,TRUE)</f>
        <v>0</v>
      </c>
      <c r="AP428">
        <f>OR(AND(IF(metadata!P428="",FALSE,TRUE),OR(exact(metadata!P428,"missing: not collected"),exact(metadata!P428,"missing: not provided"))),AND(IF(metadata!P428="",FALSE,IF(ISERROR(INT(metadata!P428)),FALSE,INT(metadata!P428)=metadata!P428)),metadata!P428&gt;0))</f>
        <v>0</v>
      </c>
      <c r="AQ428">
        <f>IF(metadata!Q428="",FALSE,TRUE)</f>
        <v>0</v>
      </c>
    </row>
    <row r="429" spans="1:43">
      <c r="A429" s="5">
        <f>IF(B429=" "," ",HYPERLINK(CONCATENATE("#metadata!",ADDRESS(INDEX($W$2:$W$1001,MATCH(ROWS($U$2:U429),$U$2:$U$1001,0),0),1)),INDEX($Z$2:$Z$1001,MATCH(ROWS($U$2:U429),$U$2:$U$1001,0),0)))</f>
        <v>0</v>
      </c>
      <c r="B429" s="4">
        <f>IF(OR(INDEX($V$2:$V$1001,MATCH(ROWS($U$2:U429),$U$2:$U$1001,0),1)&gt;=100000,INDEX($AB$1005:$AQ$1005,1,MATCH(COLUMNS($AB$1006:AB1006),$AB$1006:$AQ$1006,0))&gt;=100000), " ",IF(INDEX($AB$2:$AQ$1001,MATCH(ROWS($U$2:U429),$U$2:$U$1001,0),MATCH(COLUMNS($AB$1006:AB1006),$AB$1006:$AQ$1006,0)), HYPERLINK("#",""), HYPERLINK(CONCATENATE("#metadata!", ADDRESS(INDEX($W$2:$W$1001,MATCH(ROWS($U$2:U429),$U$2:$U$1001,0),0), INDEX($AB$1004:$AQ$1004,1,MATCH(COLUMNS($AB$1006:AB1006),$AB$1006:$AQ$1006,0)))),"Fix")))</f>
        <v>0</v>
      </c>
      <c r="C429" s="4">
        <f>IF(OR(INDEX($V$2:$V$1001,MATCH(ROWS($U$2:U429),$U$2:$U$1001,0),1)&gt;=100000,INDEX($AB$1005:$AQ$1005,1,MATCH(COLUMNS($AB$1006:AC1006),$AB$1006:$AQ$1006,0))&gt;=100000), " ",IF(INDEX($AB$2:$AQ$1001,MATCH(ROWS($U$2:U429),$U$2:$U$1001,0),MATCH(COLUMNS($AB$1006:AC1006),$AB$1006:$AQ$1006,0)), HYPERLINK("#",""), HYPERLINK(CONCATENATE("#metadata!", ADDRESS(INDEX($W$2:$W$1001,MATCH(ROWS($U$2:U429),$U$2:$U$1001,0),0), INDEX($AB$1004:$AQ$1004,1,MATCH(COLUMNS($AB$1006:AC1006),$AB$1006:$AQ$1006,0)))),"Fix")))</f>
        <v>0</v>
      </c>
      <c r="D429" s="4">
        <f>IF(OR(INDEX($V$2:$V$1001,MATCH(ROWS($U$2:U429),$U$2:$U$1001,0),1)&gt;=100000,INDEX($AB$1005:$AQ$1005,1,MATCH(COLUMNS($AB$1006:AD1006),$AB$1006:$AQ$1006,0))&gt;=100000), " ",IF(INDEX($AB$2:$AQ$1001,MATCH(ROWS($U$2:U429),$U$2:$U$1001,0),MATCH(COLUMNS($AB$1006:AD1006),$AB$1006:$AQ$1006,0)), HYPERLINK("#",""), HYPERLINK(CONCATENATE("#metadata!", ADDRESS(INDEX($W$2:$W$1001,MATCH(ROWS($U$2:U429),$U$2:$U$1001,0),0), INDEX($AB$1004:$AQ$1004,1,MATCH(COLUMNS($AB$1006:AD1006),$AB$1006:$AQ$1006,0)))),"Fix")))</f>
        <v>0</v>
      </c>
      <c r="E429" s="4">
        <f>IF(OR(INDEX($V$2:$V$1001,MATCH(ROWS($U$2:U429),$U$2:$U$1001,0),1)&gt;=100000,INDEX($AB$1005:$AQ$1005,1,MATCH(COLUMNS($AB$1006:AE1006),$AB$1006:$AQ$1006,0))&gt;=100000), " ",IF(INDEX($AB$2:$AQ$1001,MATCH(ROWS($U$2:U429),$U$2:$U$1001,0),MATCH(COLUMNS($AB$1006:AE1006),$AB$1006:$AQ$1006,0)), HYPERLINK("#",""), HYPERLINK(CONCATENATE("#metadata!", ADDRESS(INDEX($W$2:$W$1001,MATCH(ROWS($U$2:U429),$U$2:$U$1001,0),0), INDEX($AB$1004:$AQ$1004,1,MATCH(COLUMNS($AB$1006:AE1006),$AB$1006:$AQ$1006,0)))),"Fix")))</f>
        <v>0</v>
      </c>
      <c r="F429" s="4">
        <f>IF(OR(INDEX($V$2:$V$1001,MATCH(ROWS($U$2:U429),$U$2:$U$1001,0),1)&gt;=100000,INDEX($AB$1005:$AQ$1005,1,MATCH(COLUMNS($AB$1006:AF1006),$AB$1006:$AQ$1006,0))&gt;=100000), " ",IF(INDEX($AB$2:$AQ$1001,MATCH(ROWS($U$2:U429),$U$2:$U$1001,0),MATCH(COLUMNS($AB$1006:AF1006),$AB$1006:$AQ$1006,0)), HYPERLINK("#",""), HYPERLINK(CONCATENATE("#metadata!", ADDRESS(INDEX($W$2:$W$1001,MATCH(ROWS($U$2:U429),$U$2:$U$1001,0),0), INDEX($AB$1004:$AQ$1004,1,MATCH(COLUMNS($AB$1006:AF1006),$AB$1006:$AQ$1006,0)))),"Fix")))</f>
        <v>0</v>
      </c>
      <c r="G429" s="4">
        <f>IF(OR(INDEX($V$2:$V$1001,MATCH(ROWS($U$2:U429),$U$2:$U$1001,0),1)&gt;=100000,INDEX($AB$1005:$AQ$1005,1,MATCH(COLUMNS($AB$1006:AG1006),$AB$1006:$AQ$1006,0))&gt;=100000), " ",IF(INDEX($AB$2:$AQ$1001,MATCH(ROWS($U$2:U429),$U$2:$U$1001,0),MATCH(COLUMNS($AB$1006:AG1006),$AB$1006:$AQ$1006,0)), HYPERLINK("#",""), HYPERLINK(CONCATENATE("#metadata!", ADDRESS(INDEX($W$2:$W$1001,MATCH(ROWS($U$2:U429),$U$2:$U$1001,0),0), INDEX($AB$1004:$AQ$1004,1,MATCH(COLUMNS($AB$1006:AG1006),$AB$1006:$AQ$1006,0)))),"Fix")))</f>
        <v>0</v>
      </c>
      <c r="H429" s="4">
        <f>IF(OR(INDEX($V$2:$V$1001,MATCH(ROWS($U$2:U429),$U$2:$U$1001,0),1)&gt;=100000,INDEX($AB$1005:$AQ$1005,1,MATCH(COLUMNS($AB$1006:AH1006),$AB$1006:$AQ$1006,0))&gt;=100000), " ",IF(INDEX($AB$2:$AQ$1001,MATCH(ROWS($U$2:U429),$U$2:$U$1001,0),MATCH(COLUMNS($AB$1006:AH1006),$AB$1006:$AQ$1006,0)), HYPERLINK("#",""), HYPERLINK(CONCATENATE("#metadata!", ADDRESS(INDEX($W$2:$W$1001,MATCH(ROWS($U$2:U429),$U$2:$U$1001,0),0), INDEX($AB$1004:$AQ$1004,1,MATCH(COLUMNS($AB$1006:AH1006),$AB$1006:$AQ$1006,0)))),"Fix")))</f>
        <v>0</v>
      </c>
      <c r="I429" s="4">
        <f>IF(OR(INDEX($V$2:$V$1001,MATCH(ROWS($U$2:U429),$U$2:$U$1001,0),1)&gt;=100000,INDEX($AB$1005:$AQ$1005,1,MATCH(COLUMNS($AB$1006:AI1006),$AB$1006:$AQ$1006,0))&gt;=100000), " ",IF(INDEX($AB$2:$AQ$1001,MATCH(ROWS($U$2:U429),$U$2:$U$1001,0),MATCH(COLUMNS($AB$1006:AI1006),$AB$1006:$AQ$1006,0)), HYPERLINK("#",""), HYPERLINK(CONCATENATE("#metadata!", ADDRESS(INDEX($W$2:$W$1001,MATCH(ROWS($U$2:U429),$U$2:$U$1001,0),0), INDEX($AB$1004:$AQ$1004,1,MATCH(COLUMNS($AB$1006:AI1006),$AB$1006:$AQ$1006,0)))),"Fix")))</f>
        <v>0</v>
      </c>
      <c r="J429" s="4">
        <f>IF(OR(INDEX($V$2:$V$1001,MATCH(ROWS($U$2:U429),$U$2:$U$1001,0),1)&gt;=100000,INDEX($AB$1005:$AQ$1005,1,MATCH(COLUMNS($AB$1006:AJ1006),$AB$1006:$AQ$1006,0))&gt;=100000), " ",IF(INDEX($AB$2:$AQ$1001,MATCH(ROWS($U$2:U429),$U$2:$U$1001,0),MATCH(COLUMNS($AB$1006:AJ1006),$AB$1006:$AQ$1006,0)), HYPERLINK("#",""), HYPERLINK(CONCATENATE("#metadata!", ADDRESS(INDEX($W$2:$W$1001,MATCH(ROWS($U$2:U429),$U$2:$U$1001,0),0), INDEX($AB$1004:$AQ$1004,1,MATCH(COLUMNS($AB$1006:AJ1006),$AB$1006:$AQ$1006,0)))),"Fix")))</f>
        <v>0</v>
      </c>
      <c r="K429" s="4">
        <f>IF(OR(INDEX($V$2:$V$1001,MATCH(ROWS($U$2:U429),$U$2:$U$1001,0),1)&gt;=100000,INDEX($AB$1005:$AQ$1005,1,MATCH(COLUMNS($AB$1006:AK1006),$AB$1006:$AQ$1006,0))&gt;=100000), " ",IF(INDEX($AB$2:$AQ$1001,MATCH(ROWS($U$2:U429),$U$2:$U$1001,0),MATCH(COLUMNS($AB$1006:AK1006),$AB$1006:$AQ$1006,0)), HYPERLINK("#",""), HYPERLINK(CONCATENATE("#metadata!", ADDRESS(INDEX($W$2:$W$1001,MATCH(ROWS($U$2:U429),$U$2:$U$1001,0),0), INDEX($AB$1004:$AQ$1004,1,MATCH(COLUMNS($AB$1006:AK1006),$AB$1006:$AQ$1006,0)))),"Fix")))</f>
        <v>0</v>
      </c>
      <c r="L429" s="4">
        <f>IF(OR(INDEX($V$2:$V$1001,MATCH(ROWS($U$2:U429),$U$2:$U$1001,0),1)&gt;=100000,INDEX($AB$1005:$AQ$1005,1,MATCH(COLUMNS($AB$1006:AL1006),$AB$1006:$AQ$1006,0))&gt;=100000), " ",IF(INDEX($AB$2:$AQ$1001,MATCH(ROWS($U$2:U429),$U$2:$U$1001,0),MATCH(COLUMNS($AB$1006:AL1006),$AB$1006:$AQ$1006,0)), HYPERLINK("#",""), HYPERLINK(CONCATENATE("#metadata!", ADDRESS(INDEX($W$2:$W$1001,MATCH(ROWS($U$2:U429),$U$2:$U$1001,0),0), INDEX($AB$1004:$AQ$1004,1,MATCH(COLUMNS($AB$1006:AL1006),$AB$1006:$AQ$1006,0)))),"Fix")))</f>
        <v>0</v>
      </c>
      <c r="M429" s="4">
        <f>IF(OR(INDEX($V$2:$V$1001,MATCH(ROWS($U$2:U429),$U$2:$U$1001,0),1)&gt;=100000,INDEX($AB$1005:$AQ$1005,1,MATCH(COLUMNS($AB$1006:AM1006),$AB$1006:$AQ$1006,0))&gt;=100000), " ",IF(INDEX($AB$2:$AQ$1001,MATCH(ROWS($U$2:U429),$U$2:$U$1001,0),MATCH(COLUMNS($AB$1006:AM1006),$AB$1006:$AQ$1006,0)), HYPERLINK("#",""), HYPERLINK(CONCATENATE("#metadata!", ADDRESS(INDEX($W$2:$W$1001,MATCH(ROWS($U$2:U429),$U$2:$U$1001,0),0), INDEX($AB$1004:$AQ$1004,1,MATCH(COLUMNS($AB$1006:AM1006),$AB$1006:$AQ$1006,0)))),"Fix")))</f>
        <v>0</v>
      </c>
      <c r="N429" s="4">
        <f>IF(OR(INDEX($V$2:$V$1001,MATCH(ROWS($U$2:U429),$U$2:$U$1001,0),1)&gt;=100000,INDEX($AB$1005:$AQ$1005,1,MATCH(COLUMNS($AB$1006:AN1006),$AB$1006:$AQ$1006,0))&gt;=100000), " ",IF(INDEX($AB$2:$AQ$1001,MATCH(ROWS($U$2:U429),$U$2:$U$1001,0),MATCH(COLUMNS($AB$1006:AN1006),$AB$1006:$AQ$1006,0)), HYPERLINK("#",""), HYPERLINK(CONCATENATE("#metadata!", ADDRESS(INDEX($W$2:$W$1001,MATCH(ROWS($U$2:U429),$U$2:$U$1001,0),0), INDEX($AB$1004:$AQ$1004,1,MATCH(COLUMNS($AB$1006:AN1006),$AB$1006:$AQ$1006,0)))),"Fix")))</f>
        <v>0</v>
      </c>
      <c r="O429" s="4">
        <f>IF(OR(INDEX($V$2:$V$1001,MATCH(ROWS($U$2:U429),$U$2:$U$1001,0),1)&gt;=100000,INDEX($AB$1005:$AQ$1005,1,MATCH(COLUMNS($AB$1006:AO1006),$AB$1006:$AQ$1006,0))&gt;=100000), " ",IF(INDEX($AB$2:$AQ$1001,MATCH(ROWS($U$2:U429),$U$2:$U$1001,0),MATCH(COLUMNS($AB$1006:AO1006),$AB$1006:$AQ$1006,0)), HYPERLINK("#",""), HYPERLINK(CONCATENATE("#metadata!", ADDRESS(INDEX($W$2:$W$1001,MATCH(ROWS($U$2:U429),$U$2:$U$1001,0),0), INDEX($AB$1004:$AQ$1004,1,MATCH(COLUMNS($AB$1006:AO1006),$AB$1006:$AQ$1006,0)))),"Fix")))</f>
        <v>0</v>
      </c>
      <c r="P429" s="4">
        <f>IF(OR(INDEX($V$2:$V$1001,MATCH(ROWS($U$2:U429),$U$2:$U$1001,0),1)&gt;=100000,INDEX($AB$1005:$AQ$1005,1,MATCH(COLUMNS($AB$1006:AP1006),$AB$1006:$AQ$1006,0))&gt;=100000), " ",IF(INDEX($AB$2:$AQ$1001,MATCH(ROWS($U$2:U429),$U$2:$U$1001,0),MATCH(COLUMNS($AB$1006:AP1006),$AB$1006:$AQ$1006,0)), HYPERLINK("#",""), HYPERLINK(CONCATENATE("#metadata!", ADDRESS(INDEX($W$2:$W$1001,MATCH(ROWS($U$2:U429),$U$2:$U$1001,0),0), INDEX($AB$1004:$AQ$1004,1,MATCH(COLUMNS($AB$1006:AP1006),$AB$1006:$AQ$1006,0)))),"Fix")))</f>
        <v>0</v>
      </c>
      <c r="Q429" s="4">
        <f>IF(OR(INDEX($V$2:$V$1001,MATCH(ROWS($U$2:U429),$U$2:$U$1001,0),1)&gt;=100000,INDEX($AB$1005:$AQ$1005,1,MATCH(COLUMNS($AB$1006:AQ1006),$AB$1006:$AQ$1006,0))&gt;=100000), " ",IF(INDEX($AB$2:$AQ$1001,MATCH(ROWS($U$2:U429),$U$2:$U$1001,0),MATCH(COLUMNS($AB$1006:AQ1006),$AB$1006:$AQ$1006,0)), HYPERLINK("#",""), HYPERLINK(CONCATENATE("#metadata!", ADDRESS(INDEX($W$2:$W$1001,MATCH(ROWS($U$2:U429),$U$2:$U$1001,0),0), INDEX($AB$1004:$AQ$1004,1,MATCH(COLUMNS($AB$1006:AQ1006),$AB$1006:$AQ$1006,0)))),"Fix")))</f>
        <v>0</v>
      </c>
      <c r="U429">
        <v>0</v>
      </c>
      <c r="V429">
        <v>0</v>
      </c>
      <c r="W429">
        <v>0</v>
      </c>
      <c r="X429">
        <f>IF(Y429,TRUE,AND(AB429:AQ429))</f>
        <v>0</v>
      </c>
      <c r="Y429">
        <f>COUNTBLANK(metadata!B429:Q429)=COLUMNS(metadata!B429:Q429)</f>
        <v>0</v>
      </c>
      <c r="Z429">
        <v>0</v>
      </c>
      <c r="AB429">
        <f>AND(IF(metadata!B429="",FALSE,TRUE),COUNTIF(metadata!B:B, metadata!B429) = 1,NOT(ISERROR(SUMPRODUCT(SEARCH(MID(metadata!B429,ROW(INDIRECT("1:"&amp;LEN(metadata!B429))), 1),"0123456789abcdefghijklmnopqrstuvwxyzABCDEFGHIJKLMNOPQRSTUVWXYZ.")))))</f>
        <v>0</v>
      </c>
      <c r="AC429">
        <f>OR(AND(IF(metadata!C429="",FALSE,TRUE),OR(exact(metadata!C429,"missing: not collected"),exact(metadata!C429,"missing: not provided"),exact(metadata!C429,"missing: restricted access"))),AND(IF(metadata!C429="",FALSE,TRUE),AND(AND(IFERROR(INT(LEFT(metadata!C429,4))&gt;1900,FALSE),IFERROR(INT(LEFT(metadata!C429,4))&lt;=YEAR(NOW()),FALSE)), OR(MID(metadata!C429,5,1)="", AND(AND(MID(metadata!C429,5,1)="-",IFERROR(INT(MID(metadata!C429,6,1))&gt;=0,FALSE),IFERROR(INT(MID(metadata!C429,6,1))&lt;=1,FALSE),NOT(MID(metadata!C429,7,1)=""),IFERROR(INT(MID(metadata!C429,6,2))&gt;=1,FALSE),IFERROR(INT(MID(metadata!C429,6,2))&lt;=12,FALSE)), OR(MID(metadata!C429,8,1)="", AND(AND(MID(metadata!C429,8,1)="-",IFERROR(INT(MID(metadata!C429,9,1))&gt;=0,FALSE),IFERROR(INT(MID(metadata!C429,9,1))&lt;=3,FALSE),NOT(MID(metadata!C429,10,1)=""),IFERROR(INT(MID(metadata!C429,9,2))&gt;=1,FALSE),IFERROR(INT(MID(metadata!C429,9,2))&lt;=31,FALSE)), OR(MID(metadata!C429,11,1)="", AND(AND(MID(metadata!C429,11,1)=" ",IFERROR(INT(MID(metadata!C429,12,1))&gt;=0,FALSE),IFERROR(INT(MID(metadata!C429,12,1))&lt;=2,FALSE),NOT(MID(metadata!C429,13,1)=""),IFERROR(INT(MID(metadata!C429,12,2))&gt;=0,FALSE),IFERROR(INT(MID(metadata!C429,12,2))&lt;=23,FALSE)), OR(MID(metadata!C429,14,1)="", AND(AND(MID(metadata!C429,14,1)=":",IFERROR(INT(MID(metadata!C429,15,1))&gt;=0,FALSE),IFERROR(INT(MID(metadata!C429,15,1))&lt;=5,FALSE),NOT(MID(metadata!C429,16,1)=""),IFERROR(INT(MID(metadata!C429,15,2))&gt;=0,FALSE),IFERROR(INT(MID(metadata!C429,15,2))&lt;=59,FALSE)), OR(MID(metadata!C429,17,1)="", AND(AND(MID(metadata!C429,17,1)=":",IFERROR(INT(MID(metadata!C429,18,1))&gt;=0,FALSE),IFERROR(INT(MID(metadata!C429,18,1))&lt;=5,FALSE),NOT(MID(metadata!C429,19,1)=""),IFERROR(INT(MID(metadata!C429,18,2))&gt;=0,FALSE),IFERROR(INT(MID(metadata!C429,18,2))&lt;=59,FALSE)), LEN(metadata!C429)&lt;=19)))))))))))))</f>
        <v>0</v>
      </c>
      <c r="AD429">
        <f>IF(metadata!D429="",FALSE,TRUE)</f>
        <v>0</v>
      </c>
      <c r="AE429">
        <f>OR(AND(IF(metadata!E429="",FALSE,TRUE),OR(exact(metadata!E429,"missing: not collected"),exact(metadata!E429,"missing: not provided"))),AND(IF(metadata!E429="",FALSE,TRUE),OR(exact(metadata!E429,"TRUE"),exact(metadata!E429,"FALSE"))))</f>
        <v>0</v>
      </c>
      <c r="AF429">
        <f>IF(metadata!F429="",FALSE,TRUE)</f>
        <v>0</v>
      </c>
      <c r="AG429">
        <f>IF(metadata!G429="",FALSE,TRUE)</f>
        <v>0</v>
      </c>
      <c r="AH429">
        <f>IF(metadata!H429="",FALSE,TRUE)</f>
        <v>0</v>
      </c>
      <c r="AI429">
        <f>OR(AND(IF(metadata!I429="",FALSE,TRUE),OR(exact(metadata!I429,"missing: not collected"),exact(metadata!I429,"missing: not provided"),exact(metadata!I429,"missing: restricted access"))),AND(IF(metadata!I429="",FALSE,TRUE),OR(exact(metadata!I429,"air"),exact(metadata!I429,"built environment"),exact(metadata!I429,"host-associated"),exact(metadata!I429,"human-associated"),exact(metadata!I429,"human-skin"),exact(metadata!I429,"human-oral"),exact(metadata!I429,"human-gut"),exact(metadata!I429,"human-vaginal"),exact(metadata!I429,"microbial mat/biofilm"),exact(metadata!I429,"misc environment"),exact(metadata!I429,"plant-associated"),exact(metadata!I429,"sediment"),exact(metadata!I429,"soil"),exact(metadata!I429,"wastewater/sludge"),exact(metadata!I429,"water"))))</f>
        <v>0</v>
      </c>
      <c r="AJ429">
        <f>IF(metadata!J429="",FALSE,TRUE)</f>
        <v>0</v>
      </c>
      <c r="AK429">
        <f>OR(AND(IF(metadata!K429="",FALSE,TRUE),OR(exact(metadata!K429,"missing: not collected"),exact(metadata!K429,"missing: not provided"),exact(metadata!K429,"missing: restricted access"))),AND(IF(metadata!K429="",FALSE,ISNUMBER(VALUE(metadata!K429))),metadata!K429&gt;=-90.00,metadata!K429&lt;=90.00))</f>
        <v>0</v>
      </c>
      <c r="AL429">
        <f>OR(AND(IF(metadata!L429="",FALSE,TRUE),OR(exact(metadata!L429,"missing: not collected"),exact(metadata!L429,"missing: not provided"),exact(metadata!L429,"missing: restricted access"))),AND(IF(metadata!L429="",FALSE,ISNUMBER(VALUE(metadata!L429))),metadata!L429&gt;=-180.00,metadata!L429&lt;=180.00))</f>
        <v>0</v>
      </c>
      <c r="AM429">
        <f>IF(metadata!M429="",FALSE,TRUE)</f>
        <v>0</v>
      </c>
      <c r="AN429">
        <f>OR(AND(IF(metadata!N429="",FALSE,TRUE),OR(exact(metadata!N429,"missing: not collected"),exact(metadata!N429,"missing: not provided"),exact(metadata!N429,"missing: restricted access"))),AND(IF(metadata!N429="",FALSE,TRUE),OR(exact(metadata!N429,"TRUE"),exact(metadata!N429,"FALSE"))))</f>
        <v>0</v>
      </c>
      <c r="AO429">
        <f>IF(metadata!O429="",FALSE,TRUE)</f>
        <v>0</v>
      </c>
      <c r="AP429">
        <f>OR(AND(IF(metadata!P429="",FALSE,TRUE),OR(exact(metadata!P429,"missing: not collected"),exact(metadata!P429,"missing: not provided"))),AND(IF(metadata!P429="",FALSE,IF(ISERROR(INT(metadata!P429)),FALSE,INT(metadata!P429)=metadata!P429)),metadata!P429&gt;0))</f>
        <v>0</v>
      </c>
      <c r="AQ429">
        <f>IF(metadata!Q429="",FALSE,TRUE)</f>
        <v>0</v>
      </c>
    </row>
    <row r="430" spans="1:43">
      <c r="A430" s="5">
        <f>IF(B430=" "," ",HYPERLINK(CONCATENATE("#metadata!",ADDRESS(INDEX($W$2:$W$1001,MATCH(ROWS($U$2:U430),$U$2:$U$1001,0),0),1)),INDEX($Z$2:$Z$1001,MATCH(ROWS($U$2:U430),$U$2:$U$1001,0),0)))</f>
        <v>0</v>
      </c>
      <c r="B430" s="4">
        <f>IF(OR(INDEX($V$2:$V$1001,MATCH(ROWS($U$2:U430),$U$2:$U$1001,0),1)&gt;=100000,INDEX($AB$1005:$AQ$1005,1,MATCH(COLUMNS($AB$1006:AB1006),$AB$1006:$AQ$1006,0))&gt;=100000), " ",IF(INDEX($AB$2:$AQ$1001,MATCH(ROWS($U$2:U430),$U$2:$U$1001,0),MATCH(COLUMNS($AB$1006:AB1006),$AB$1006:$AQ$1006,0)), HYPERLINK("#",""), HYPERLINK(CONCATENATE("#metadata!", ADDRESS(INDEX($W$2:$W$1001,MATCH(ROWS($U$2:U430),$U$2:$U$1001,0),0), INDEX($AB$1004:$AQ$1004,1,MATCH(COLUMNS($AB$1006:AB1006),$AB$1006:$AQ$1006,0)))),"Fix")))</f>
        <v>0</v>
      </c>
      <c r="C430" s="4">
        <f>IF(OR(INDEX($V$2:$V$1001,MATCH(ROWS($U$2:U430),$U$2:$U$1001,0),1)&gt;=100000,INDEX($AB$1005:$AQ$1005,1,MATCH(COLUMNS($AB$1006:AC1006),$AB$1006:$AQ$1006,0))&gt;=100000), " ",IF(INDEX($AB$2:$AQ$1001,MATCH(ROWS($U$2:U430),$U$2:$U$1001,0),MATCH(COLUMNS($AB$1006:AC1006),$AB$1006:$AQ$1006,0)), HYPERLINK("#",""), HYPERLINK(CONCATENATE("#metadata!", ADDRESS(INDEX($W$2:$W$1001,MATCH(ROWS($U$2:U430),$U$2:$U$1001,0),0), INDEX($AB$1004:$AQ$1004,1,MATCH(COLUMNS($AB$1006:AC1006),$AB$1006:$AQ$1006,0)))),"Fix")))</f>
        <v>0</v>
      </c>
      <c r="D430" s="4">
        <f>IF(OR(INDEX($V$2:$V$1001,MATCH(ROWS($U$2:U430),$U$2:$U$1001,0),1)&gt;=100000,INDEX($AB$1005:$AQ$1005,1,MATCH(COLUMNS($AB$1006:AD1006),$AB$1006:$AQ$1006,0))&gt;=100000), " ",IF(INDEX($AB$2:$AQ$1001,MATCH(ROWS($U$2:U430),$U$2:$U$1001,0),MATCH(COLUMNS($AB$1006:AD1006),$AB$1006:$AQ$1006,0)), HYPERLINK("#",""), HYPERLINK(CONCATENATE("#metadata!", ADDRESS(INDEX($W$2:$W$1001,MATCH(ROWS($U$2:U430),$U$2:$U$1001,0),0), INDEX($AB$1004:$AQ$1004,1,MATCH(COLUMNS($AB$1006:AD1006),$AB$1006:$AQ$1006,0)))),"Fix")))</f>
        <v>0</v>
      </c>
      <c r="E430" s="4">
        <f>IF(OR(INDEX($V$2:$V$1001,MATCH(ROWS($U$2:U430),$U$2:$U$1001,0),1)&gt;=100000,INDEX($AB$1005:$AQ$1005,1,MATCH(COLUMNS($AB$1006:AE1006),$AB$1006:$AQ$1006,0))&gt;=100000), " ",IF(INDEX($AB$2:$AQ$1001,MATCH(ROWS($U$2:U430),$U$2:$U$1001,0),MATCH(COLUMNS($AB$1006:AE1006),$AB$1006:$AQ$1006,0)), HYPERLINK("#",""), HYPERLINK(CONCATENATE("#metadata!", ADDRESS(INDEX($W$2:$W$1001,MATCH(ROWS($U$2:U430),$U$2:$U$1001,0),0), INDEX($AB$1004:$AQ$1004,1,MATCH(COLUMNS($AB$1006:AE1006),$AB$1006:$AQ$1006,0)))),"Fix")))</f>
        <v>0</v>
      </c>
      <c r="F430" s="4">
        <f>IF(OR(INDEX($V$2:$V$1001,MATCH(ROWS($U$2:U430),$U$2:$U$1001,0),1)&gt;=100000,INDEX($AB$1005:$AQ$1005,1,MATCH(COLUMNS($AB$1006:AF1006),$AB$1006:$AQ$1006,0))&gt;=100000), " ",IF(INDEX($AB$2:$AQ$1001,MATCH(ROWS($U$2:U430),$U$2:$U$1001,0),MATCH(COLUMNS($AB$1006:AF1006),$AB$1006:$AQ$1006,0)), HYPERLINK("#",""), HYPERLINK(CONCATENATE("#metadata!", ADDRESS(INDEX($W$2:$W$1001,MATCH(ROWS($U$2:U430),$U$2:$U$1001,0),0), INDEX($AB$1004:$AQ$1004,1,MATCH(COLUMNS($AB$1006:AF1006),$AB$1006:$AQ$1006,0)))),"Fix")))</f>
        <v>0</v>
      </c>
      <c r="G430" s="4">
        <f>IF(OR(INDEX($V$2:$V$1001,MATCH(ROWS($U$2:U430),$U$2:$U$1001,0),1)&gt;=100000,INDEX($AB$1005:$AQ$1005,1,MATCH(COLUMNS($AB$1006:AG1006),$AB$1006:$AQ$1006,0))&gt;=100000), " ",IF(INDEX($AB$2:$AQ$1001,MATCH(ROWS($U$2:U430),$U$2:$U$1001,0),MATCH(COLUMNS($AB$1006:AG1006),$AB$1006:$AQ$1006,0)), HYPERLINK("#",""), HYPERLINK(CONCATENATE("#metadata!", ADDRESS(INDEX($W$2:$W$1001,MATCH(ROWS($U$2:U430),$U$2:$U$1001,0),0), INDEX($AB$1004:$AQ$1004,1,MATCH(COLUMNS($AB$1006:AG1006),$AB$1006:$AQ$1006,0)))),"Fix")))</f>
        <v>0</v>
      </c>
      <c r="H430" s="4">
        <f>IF(OR(INDEX($V$2:$V$1001,MATCH(ROWS($U$2:U430),$U$2:$U$1001,0),1)&gt;=100000,INDEX($AB$1005:$AQ$1005,1,MATCH(COLUMNS($AB$1006:AH1006),$AB$1006:$AQ$1006,0))&gt;=100000), " ",IF(INDEX($AB$2:$AQ$1001,MATCH(ROWS($U$2:U430),$U$2:$U$1001,0),MATCH(COLUMNS($AB$1006:AH1006),$AB$1006:$AQ$1006,0)), HYPERLINK("#",""), HYPERLINK(CONCATENATE("#metadata!", ADDRESS(INDEX($W$2:$W$1001,MATCH(ROWS($U$2:U430),$U$2:$U$1001,0),0), INDEX($AB$1004:$AQ$1004,1,MATCH(COLUMNS($AB$1006:AH1006),$AB$1006:$AQ$1006,0)))),"Fix")))</f>
        <v>0</v>
      </c>
      <c r="I430" s="4">
        <f>IF(OR(INDEX($V$2:$V$1001,MATCH(ROWS($U$2:U430),$U$2:$U$1001,0),1)&gt;=100000,INDEX($AB$1005:$AQ$1005,1,MATCH(COLUMNS($AB$1006:AI1006),$AB$1006:$AQ$1006,0))&gt;=100000), " ",IF(INDEX($AB$2:$AQ$1001,MATCH(ROWS($U$2:U430),$U$2:$U$1001,0),MATCH(COLUMNS($AB$1006:AI1006),$AB$1006:$AQ$1006,0)), HYPERLINK("#",""), HYPERLINK(CONCATENATE("#metadata!", ADDRESS(INDEX($W$2:$W$1001,MATCH(ROWS($U$2:U430),$U$2:$U$1001,0),0), INDEX($AB$1004:$AQ$1004,1,MATCH(COLUMNS($AB$1006:AI1006),$AB$1006:$AQ$1006,0)))),"Fix")))</f>
        <v>0</v>
      </c>
      <c r="J430" s="4">
        <f>IF(OR(INDEX($V$2:$V$1001,MATCH(ROWS($U$2:U430),$U$2:$U$1001,0),1)&gt;=100000,INDEX($AB$1005:$AQ$1005,1,MATCH(COLUMNS($AB$1006:AJ1006),$AB$1006:$AQ$1006,0))&gt;=100000), " ",IF(INDEX($AB$2:$AQ$1001,MATCH(ROWS($U$2:U430),$U$2:$U$1001,0),MATCH(COLUMNS($AB$1006:AJ1006),$AB$1006:$AQ$1006,0)), HYPERLINK("#",""), HYPERLINK(CONCATENATE("#metadata!", ADDRESS(INDEX($W$2:$W$1001,MATCH(ROWS($U$2:U430),$U$2:$U$1001,0),0), INDEX($AB$1004:$AQ$1004,1,MATCH(COLUMNS($AB$1006:AJ1006),$AB$1006:$AQ$1006,0)))),"Fix")))</f>
        <v>0</v>
      </c>
      <c r="K430" s="4">
        <f>IF(OR(INDEX($V$2:$V$1001,MATCH(ROWS($U$2:U430),$U$2:$U$1001,0),1)&gt;=100000,INDEX($AB$1005:$AQ$1005,1,MATCH(COLUMNS($AB$1006:AK1006),$AB$1006:$AQ$1006,0))&gt;=100000), " ",IF(INDEX($AB$2:$AQ$1001,MATCH(ROWS($U$2:U430),$U$2:$U$1001,0),MATCH(COLUMNS($AB$1006:AK1006),$AB$1006:$AQ$1006,0)), HYPERLINK("#",""), HYPERLINK(CONCATENATE("#metadata!", ADDRESS(INDEX($W$2:$W$1001,MATCH(ROWS($U$2:U430),$U$2:$U$1001,0),0), INDEX($AB$1004:$AQ$1004,1,MATCH(COLUMNS($AB$1006:AK1006),$AB$1006:$AQ$1006,0)))),"Fix")))</f>
        <v>0</v>
      </c>
      <c r="L430" s="4">
        <f>IF(OR(INDEX($V$2:$V$1001,MATCH(ROWS($U$2:U430),$U$2:$U$1001,0),1)&gt;=100000,INDEX($AB$1005:$AQ$1005,1,MATCH(COLUMNS($AB$1006:AL1006),$AB$1006:$AQ$1006,0))&gt;=100000), " ",IF(INDEX($AB$2:$AQ$1001,MATCH(ROWS($U$2:U430),$U$2:$U$1001,0),MATCH(COLUMNS($AB$1006:AL1006),$AB$1006:$AQ$1006,0)), HYPERLINK("#",""), HYPERLINK(CONCATENATE("#metadata!", ADDRESS(INDEX($W$2:$W$1001,MATCH(ROWS($U$2:U430),$U$2:$U$1001,0),0), INDEX($AB$1004:$AQ$1004,1,MATCH(COLUMNS($AB$1006:AL1006),$AB$1006:$AQ$1006,0)))),"Fix")))</f>
        <v>0</v>
      </c>
      <c r="M430" s="4">
        <f>IF(OR(INDEX($V$2:$V$1001,MATCH(ROWS($U$2:U430),$U$2:$U$1001,0),1)&gt;=100000,INDEX($AB$1005:$AQ$1005,1,MATCH(COLUMNS($AB$1006:AM1006),$AB$1006:$AQ$1006,0))&gt;=100000), " ",IF(INDEX($AB$2:$AQ$1001,MATCH(ROWS($U$2:U430),$U$2:$U$1001,0),MATCH(COLUMNS($AB$1006:AM1006),$AB$1006:$AQ$1006,0)), HYPERLINK("#",""), HYPERLINK(CONCATENATE("#metadata!", ADDRESS(INDEX($W$2:$W$1001,MATCH(ROWS($U$2:U430),$U$2:$U$1001,0),0), INDEX($AB$1004:$AQ$1004,1,MATCH(COLUMNS($AB$1006:AM1006),$AB$1006:$AQ$1006,0)))),"Fix")))</f>
        <v>0</v>
      </c>
      <c r="N430" s="4">
        <f>IF(OR(INDEX($V$2:$V$1001,MATCH(ROWS($U$2:U430),$U$2:$U$1001,0),1)&gt;=100000,INDEX($AB$1005:$AQ$1005,1,MATCH(COLUMNS($AB$1006:AN1006),$AB$1006:$AQ$1006,0))&gt;=100000), " ",IF(INDEX($AB$2:$AQ$1001,MATCH(ROWS($U$2:U430),$U$2:$U$1001,0),MATCH(COLUMNS($AB$1006:AN1006),$AB$1006:$AQ$1006,0)), HYPERLINK("#",""), HYPERLINK(CONCATENATE("#metadata!", ADDRESS(INDEX($W$2:$W$1001,MATCH(ROWS($U$2:U430),$U$2:$U$1001,0),0), INDEX($AB$1004:$AQ$1004,1,MATCH(COLUMNS($AB$1006:AN1006),$AB$1006:$AQ$1006,0)))),"Fix")))</f>
        <v>0</v>
      </c>
      <c r="O430" s="4">
        <f>IF(OR(INDEX($V$2:$V$1001,MATCH(ROWS($U$2:U430),$U$2:$U$1001,0),1)&gt;=100000,INDEX($AB$1005:$AQ$1005,1,MATCH(COLUMNS($AB$1006:AO1006),$AB$1006:$AQ$1006,0))&gt;=100000), " ",IF(INDEX($AB$2:$AQ$1001,MATCH(ROWS($U$2:U430),$U$2:$U$1001,0),MATCH(COLUMNS($AB$1006:AO1006),$AB$1006:$AQ$1006,0)), HYPERLINK("#",""), HYPERLINK(CONCATENATE("#metadata!", ADDRESS(INDEX($W$2:$W$1001,MATCH(ROWS($U$2:U430),$U$2:$U$1001,0),0), INDEX($AB$1004:$AQ$1004,1,MATCH(COLUMNS($AB$1006:AO1006),$AB$1006:$AQ$1006,0)))),"Fix")))</f>
        <v>0</v>
      </c>
      <c r="P430" s="4">
        <f>IF(OR(INDEX($V$2:$V$1001,MATCH(ROWS($U$2:U430),$U$2:$U$1001,0),1)&gt;=100000,INDEX($AB$1005:$AQ$1005,1,MATCH(COLUMNS($AB$1006:AP1006),$AB$1006:$AQ$1006,0))&gt;=100000), " ",IF(INDEX($AB$2:$AQ$1001,MATCH(ROWS($U$2:U430),$U$2:$U$1001,0),MATCH(COLUMNS($AB$1006:AP1006),$AB$1006:$AQ$1006,0)), HYPERLINK("#",""), HYPERLINK(CONCATENATE("#metadata!", ADDRESS(INDEX($W$2:$W$1001,MATCH(ROWS($U$2:U430),$U$2:$U$1001,0),0), INDEX($AB$1004:$AQ$1004,1,MATCH(COLUMNS($AB$1006:AP1006),$AB$1006:$AQ$1006,0)))),"Fix")))</f>
        <v>0</v>
      </c>
      <c r="Q430" s="4">
        <f>IF(OR(INDEX($V$2:$V$1001,MATCH(ROWS($U$2:U430),$U$2:$U$1001,0),1)&gt;=100000,INDEX($AB$1005:$AQ$1005,1,MATCH(COLUMNS($AB$1006:AQ1006),$AB$1006:$AQ$1006,0))&gt;=100000), " ",IF(INDEX($AB$2:$AQ$1001,MATCH(ROWS($U$2:U430),$U$2:$U$1001,0),MATCH(COLUMNS($AB$1006:AQ1006),$AB$1006:$AQ$1006,0)), HYPERLINK("#",""), HYPERLINK(CONCATENATE("#metadata!", ADDRESS(INDEX($W$2:$W$1001,MATCH(ROWS($U$2:U430),$U$2:$U$1001,0),0), INDEX($AB$1004:$AQ$1004,1,MATCH(COLUMNS($AB$1006:AQ1006),$AB$1006:$AQ$1006,0)))),"Fix")))</f>
        <v>0</v>
      </c>
      <c r="U430">
        <v>0</v>
      </c>
      <c r="V430">
        <v>0</v>
      </c>
      <c r="W430">
        <v>0</v>
      </c>
      <c r="X430">
        <f>IF(Y430,TRUE,AND(AB430:AQ430))</f>
        <v>0</v>
      </c>
      <c r="Y430">
        <f>COUNTBLANK(metadata!B430:Q430)=COLUMNS(metadata!B430:Q430)</f>
        <v>0</v>
      </c>
      <c r="Z430">
        <v>0</v>
      </c>
      <c r="AB430">
        <f>AND(IF(metadata!B430="",FALSE,TRUE),COUNTIF(metadata!B:B, metadata!B430) = 1,NOT(ISERROR(SUMPRODUCT(SEARCH(MID(metadata!B430,ROW(INDIRECT("1:"&amp;LEN(metadata!B430))), 1),"0123456789abcdefghijklmnopqrstuvwxyzABCDEFGHIJKLMNOPQRSTUVWXYZ.")))))</f>
        <v>0</v>
      </c>
      <c r="AC430">
        <f>OR(AND(IF(metadata!C430="",FALSE,TRUE),OR(exact(metadata!C430,"missing: not collected"),exact(metadata!C430,"missing: not provided"),exact(metadata!C430,"missing: restricted access"))),AND(IF(metadata!C430="",FALSE,TRUE),AND(AND(IFERROR(INT(LEFT(metadata!C430,4))&gt;1900,FALSE),IFERROR(INT(LEFT(metadata!C430,4))&lt;=YEAR(NOW()),FALSE)), OR(MID(metadata!C430,5,1)="", AND(AND(MID(metadata!C430,5,1)="-",IFERROR(INT(MID(metadata!C430,6,1))&gt;=0,FALSE),IFERROR(INT(MID(metadata!C430,6,1))&lt;=1,FALSE),NOT(MID(metadata!C430,7,1)=""),IFERROR(INT(MID(metadata!C430,6,2))&gt;=1,FALSE),IFERROR(INT(MID(metadata!C430,6,2))&lt;=12,FALSE)), OR(MID(metadata!C430,8,1)="", AND(AND(MID(metadata!C430,8,1)="-",IFERROR(INT(MID(metadata!C430,9,1))&gt;=0,FALSE),IFERROR(INT(MID(metadata!C430,9,1))&lt;=3,FALSE),NOT(MID(metadata!C430,10,1)=""),IFERROR(INT(MID(metadata!C430,9,2))&gt;=1,FALSE),IFERROR(INT(MID(metadata!C430,9,2))&lt;=31,FALSE)), OR(MID(metadata!C430,11,1)="", AND(AND(MID(metadata!C430,11,1)=" ",IFERROR(INT(MID(metadata!C430,12,1))&gt;=0,FALSE),IFERROR(INT(MID(metadata!C430,12,1))&lt;=2,FALSE),NOT(MID(metadata!C430,13,1)=""),IFERROR(INT(MID(metadata!C430,12,2))&gt;=0,FALSE),IFERROR(INT(MID(metadata!C430,12,2))&lt;=23,FALSE)), OR(MID(metadata!C430,14,1)="", AND(AND(MID(metadata!C430,14,1)=":",IFERROR(INT(MID(metadata!C430,15,1))&gt;=0,FALSE),IFERROR(INT(MID(metadata!C430,15,1))&lt;=5,FALSE),NOT(MID(metadata!C430,16,1)=""),IFERROR(INT(MID(metadata!C430,15,2))&gt;=0,FALSE),IFERROR(INT(MID(metadata!C430,15,2))&lt;=59,FALSE)), OR(MID(metadata!C430,17,1)="", AND(AND(MID(metadata!C430,17,1)=":",IFERROR(INT(MID(metadata!C430,18,1))&gt;=0,FALSE),IFERROR(INT(MID(metadata!C430,18,1))&lt;=5,FALSE),NOT(MID(metadata!C430,19,1)=""),IFERROR(INT(MID(metadata!C430,18,2))&gt;=0,FALSE),IFERROR(INT(MID(metadata!C430,18,2))&lt;=59,FALSE)), LEN(metadata!C430)&lt;=19)))))))))))))</f>
        <v>0</v>
      </c>
      <c r="AD430">
        <f>IF(metadata!D430="",FALSE,TRUE)</f>
        <v>0</v>
      </c>
      <c r="AE430">
        <f>OR(AND(IF(metadata!E430="",FALSE,TRUE),OR(exact(metadata!E430,"missing: not collected"),exact(metadata!E430,"missing: not provided"))),AND(IF(metadata!E430="",FALSE,TRUE),OR(exact(metadata!E430,"TRUE"),exact(metadata!E430,"FALSE"))))</f>
        <v>0</v>
      </c>
      <c r="AF430">
        <f>IF(metadata!F430="",FALSE,TRUE)</f>
        <v>0</v>
      </c>
      <c r="AG430">
        <f>IF(metadata!G430="",FALSE,TRUE)</f>
        <v>0</v>
      </c>
      <c r="AH430">
        <f>IF(metadata!H430="",FALSE,TRUE)</f>
        <v>0</v>
      </c>
      <c r="AI430">
        <f>OR(AND(IF(metadata!I430="",FALSE,TRUE),OR(exact(metadata!I430,"missing: not collected"),exact(metadata!I430,"missing: not provided"),exact(metadata!I430,"missing: restricted access"))),AND(IF(metadata!I430="",FALSE,TRUE),OR(exact(metadata!I430,"air"),exact(metadata!I430,"built environment"),exact(metadata!I430,"host-associated"),exact(metadata!I430,"human-associated"),exact(metadata!I430,"human-skin"),exact(metadata!I430,"human-oral"),exact(metadata!I430,"human-gut"),exact(metadata!I430,"human-vaginal"),exact(metadata!I430,"microbial mat/biofilm"),exact(metadata!I430,"misc environment"),exact(metadata!I430,"plant-associated"),exact(metadata!I430,"sediment"),exact(metadata!I430,"soil"),exact(metadata!I430,"wastewater/sludge"),exact(metadata!I430,"water"))))</f>
        <v>0</v>
      </c>
      <c r="AJ430">
        <f>IF(metadata!J430="",FALSE,TRUE)</f>
        <v>0</v>
      </c>
      <c r="AK430">
        <f>OR(AND(IF(metadata!K430="",FALSE,TRUE),OR(exact(metadata!K430,"missing: not collected"),exact(metadata!K430,"missing: not provided"),exact(metadata!K430,"missing: restricted access"))),AND(IF(metadata!K430="",FALSE,ISNUMBER(VALUE(metadata!K430))),metadata!K430&gt;=-90.00,metadata!K430&lt;=90.00))</f>
        <v>0</v>
      </c>
      <c r="AL430">
        <f>OR(AND(IF(metadata!L430="",FALSE,TRUE),OR(exact(metadata!L430,"missing: not collected"),exact(metadata!L430,"missing: not provided"),exact(metadata!L430,"missing: restricted access"))),AND(IF(metadata!L430="",FALSE,ISNUMBER(VALUE(metadata!L430))),metadata!L430&gt;=-180.00,metadata!L430&lt;=180.00))</f>
        <v>0</v>
      </c>
      <c r="AM430">
        <f>IF(metadata!M430="",FALSE,TRUE)</f>
        <v>0</v>
      </c>
      <c r="AN430">
        <f>OR(AND(IF(metadata!N430="",FALSE,TRUE),OR(exact(metadata!N430,"missing: not collected"),exact(metadata!N430,"missing: not provided"),exact(metadata!N430,"missing: restricted access"))),AND(IF(metadata!N430="",FALSE,TRUE),OR(exact(metadata!N430,"TRUE"),exact(metadata!N430,"FALSE"))))</f>
        <v>0</v>
      </c>
      <c r="AO430">
        <f>IF(metadata!O430="",FALSE,TRUE)</f>
        <v>0</v>
      </c>
      <c r="AP430">
        <f>OR(AND(IF(metadata!P430="",FALSE,TRUE),OR(exact(metadata!P430,"missing: not collected"),exact(metadata!P430,"missing: not provided"))),AND(IF(metadata!P430="",FALSE,IF(ISERROR(INT(metadata!P430)),FALSE,INT(metadata!P430)=metadata!P430)),metadata!P430&gt;0))</f>
        <v>0</v>
      </c>
      <c r="AQ430">
        <f>IF(metadata!Q430="",FALSE,TRUE)</f>
        <v>0</v>
      </c>
    </row>
    <row r="431" spans="1:43">
      <c r="A431" s="5">
        <f>IF(B431=" "," ",HYPERLINK(CONCATENATE("#metadata!",ADDRESS(INDEX($W$2:$W$1001,MATCH(ROWS($U$2:U431),$U$2:$U$1001,0),0),1)),INDEX($Z$2:$Z$1001,MATCH(ROWS($U$2:U431),$U$2:$U$1001,0),0)))</f>
        <v>0</v>
      </c>
      <c r="B431" s="4">
        <f>IF(OR(INDEX($V$2:$V$1001,MATCH(ROWS($U$2:U431),$U$2:$U$1001,0),1)&gt;=100000,INDEX($AB$1005:$AQ$1005,1,MATCH(COLUMNS($AB$1006:AB1006),$AB$1006:$AQ$1006,0))&gt;=100000), " ",IF(INDEX($AB$2:$AQ$1001,MATCH(ROWS($U$2:U431),$U$2:$U$1001,0),MATCH(COLUMNS($AB$1006:AB1006),$AB$1006:$AQ$1006,0)), HYPERLINK("#",""), HYPERLINK(CONCATENATE("#metadata!", ADDRESS(INDEX($W$2:$W$1001,MATCH(ROWS($U$2:U431),$U$2:$U$1001,0),0), INDEX($AB$1004:$AQ$1004,1,MATCH(COLUMNS($AB$1006:AB1006),$AB$1006:$AQ$1006,0)))),"Fix")))</f>
        <v>0</v>
      </c>
      <c r="C431" s="4">
        <f>IF(OR(INDEX($V$2:$V$1001,MATCH(ROWS($U$2:U431),$U$2:$U$1001,0),1)&gt;=100000,INDEX($AB$1005:$AQ$1005,1,MATCH(COLUMNS($AB$1006:AC1006),$AB$1006:$AQ$1006,0))&gt;=100000), " ",IF(INDEX($AB$2:$AQ$1001,MATCH(ROWS($U$2:U431),$U$2:$U$1001,0),MATCH(COLUMNS($AB$1006:AC1006),$AB$1006:$AQ$1006,0)), HYPERLINK("#",""), HYPERLINK(CONCATENATE("#metadata!", ADDRESS(INDEX($W$2:$W$1001,MATCH(ROWS($U$2:U431),$U$2:$U$1001,0),0), INDEX($AB$1004:$AQ$1004,1,MATCH(COLUMNS($AB$1006:AC1006),$AB$1006:$AQ$1006,0)))),"Fix")))</f>
        <v>0</v>
      </c>
      <c r="D431" s="4">
        <f>IF(OR(INDEX($V$2:$V$1001,MATCH(ROWS($U$2:U431),$U$2:$U$1001,0),1)&gt;=100000,INDEX($AB$1005:$AQ$1005,1,MATCH(COLUMNS($AB$1006:AD1006),$AB$1006:$AQ$1006,0))&gt;=100000), " ",IF(INDEX($AB$2:$AQ$1001,MATCH(ROWS($U$2:U431),$U$2:$U$1001,0),MATCH(COLUMNS($AB$1006:AD1006),$AB$1006:$AQ$1006,0)), HYPERLINK("#",""), HYPERLINK(CONCATENATE("#metadata!", ADDRESS(INDEX($W$2:$W$1001,MATCH(ROWS($U$2:U431),$U$2:$U$1001,0),0), INDEX($AB$1004:$AQ$1004,1,MATCH(COLUMNS($AB$1006:AD1006),$AB$1006:$AQ$1006,0)))),"Fix")))</f>
        <v>0</v>
      </c>
      <c r="E431" s="4">
        <f>IF(OR(INDEX($V$2:$V$1001,MATCH(ROWS($U$2:U431),$U$2:$U$1001,0),1)&gt;=100000,INDEX($AB$1005:$AQ$1005,1,MATCH(COLUMNS($AB$1006:AE1006),$AB$1006:$AQ$1006,0))&gt;=100000), " ",IF(INDEX($AB$2:$AQ$1001,MATCH(ROWS($U$2:U431),$U$2:$U$1001,0),MATCH(COLUMNS($AB$1006:AE1006),$AB$1006:$AQ$1006,0)), HYPERLINK("#",""), HYPERLINK(CONCATENATE("#metadata!", ADDRESS(INDEX($W$2:$W$1001,MATCH(ROWS($U$2:U431),$U$2:$U$1001,0),0), INDEX($AB$1004:$AQ$1004,1,MATCH(COLUMNS($AB$1006:AE1006),$AB$1006:$AQ$1006,0)))),"Fix")))</f>
        <v>0</v>
      </c>
      <c r="F431" s="4">
        <f>IF(OR(INDEX($V$2:$V$1001,MATCH(ROWS($U$2:U431),$U$2:$U$1001,0),1)&gt;=100000,INDEX($AB$1005:$AQ$1005,1,MATCH(COLUMNS($AB$1006:AF1006),$AB$1006:$AQ$1006,0))&gt;=100000), " ",IF(INDEX($AB$2:$AQ$1001,MATCH(ROWS($U$2:U431),$U$2:$U$1001,0),MATCH(COLUMNS($AB$1006:AF1006),$AB$1006:$AQ$1006,0)), HYPERLINK("#",""), HYPERLINK(CONCATENATE("#metadata!", ADDRESS(INDEX($W$2:$W$1001,MATCH(ROWS($U$2:U431),$U$2:$U$1001,0),0), INDEX($AB$1004:$AQ$1004,1,MATCH(COLUMNS($AB$1006:AF1006),$AB$1006:$AQ$1006,0)))),"Fix")))</f>
        <v>0</v>
      </c>
      <c r="G431" s="4">
        <f>IF(OR(INDEX($V$2:$V$1001,MATCH(ROWS($U$2:U431),$U$2:$U$1001,0),1)&gt;=100000,INDEX($AB$1005:$AQ$1005,1,MATCH(COLUMNS($AB$1006:AG1006),$AB$1006:$AQ$1006,0))&gt;=100000), " ",IF(INDEX($AB$2:$AQ$1001,MATCH(ROWS($U$2:U431),$U$2:$U$1001,0),MATCH(COLUMNS($AB$1006:AG1006),$AB$1006:$AQ$1006,0)), HYPERLINK("#",""), HYPERLINK(CONCATENATE("#metadata!", ADDRESS(INDEX($W$2:$W$1001,MATCH(ROWS($U$2:U431),$U$2:$U$1001,0),0), INDEX($AB$1004:$AQ$1004,1,MATCH(COLUMNS($AB$1006:AG1006),$AB$1006:$AQ$1006,0)))),"Fix")))</f>
        <v>0</v>
      </c>
      <c r="H431" s="4">
        <f>IF(OR(INDEX($V$2:$V$1001,MATCH(ROWS($U$2:U431),$U$2:$U$1001,0),1)&gt;=100000,INDEX($AB$1005:$AQ$1005,1,MATCH(COLUMNS($AB$1006:AH1006),$AB$1006:$AQ$1006,0))&gt;=100000), " ",IF(INDEX($AB$2:$AQ$1001,MATCH(ROWS($U$2:U431),$U$2:$U$1001,0),MATCH(COLUMNS($AB$1006:AH1006),$AB$1006:$AQ$1006,0)), HYPERLINK("#",""), HYPERLINK(CONCATENATE("#metadata!", ADDRESS(INDEX($W$2:$W$1001,MATCH(ROWS($U$2:U431),$U$2:$U$1001,0),0), INDEX($AB$1004:$AQ$1004,1,MATCH(COLUMNS($AB$1006:AH1006),$AB$1006:$AQ$1006,0)))),"Fix")))</f>
        <v>0</v>
      </c>
      <c r="I431" s="4">
        <f>IF(OR(INDEX($V$2:$V$1001,MATCH(ROWS($U$2:U431),$U$2:$U$1001,0),1)&gt;=100000,INDEX($AB$1005:$AQ$1005,1,MATCH(COLUMNS($AB$1006:AI1006),$AB$1006:$AQ$1006,0))&gt;=100000), " ",IF(INDEX($AB$2:$AQ$1001,MATCH(ROWS($U$2:U431),$U$2:$U$1001,0),MATCH(COLUMNS($AB$1006:AI1006),$AB$1006:$AQ$1006,0)), HYPERLINK("#",""), HYPERLINK(CONCATENATE("#metadata!", ADDRESS(INDEX($W$2:$W$1001,MATCH(ROWS($U$2:U431),$U$2:$U$1001,0),0), INDEX($AB$1004:$AQ$1004,1,MATCH(COLUMNS($AB$1006:AI1006),$AB$1006:$AQ$1006,0)))),"Fix")))</f>
        <v>0</v>
      </c>
      <c r="J431" s="4">
        <f>IF(OR(INDEX($V$2:$V$1001,MATCH(ROWS($U$2:U431),$U$2:$U$1001,0),1)&gt;=100000,INDEX($AB$1005:$AQ$1005,1,MATCH(COLUMNS($AB$1006:AJ1006),$AB$1006:$AQ$1006,0))&gt;=100000), " ",IF(INDEX($AB$2:$AQ$1001,MATCH(ROWS($U$2:U431),$U$2:$U$1001,0),MATCH(COLUMNS($AB$1006:AJ1006),$AB$1006:$AQ$1006,0)), HYPERLINK("#",""), HYPERLINK(CONCATENATE("#metadata!", ADDRESS(INDEX($W$2:$W$1001,MATCH(ROWS($U$2:U431),$U$2:$U$1001,0),0), INDEX($AB$1004:$AQ$1004,1,MATCH(COLUMNS($AB$1006:AJ1006),$AB$1006:$AQ$1006,0)))),"Fix")))</f>
        <v>0</v>
      </c>
      <c r="K431" s="4">
        <f>IF(OR(INDEX($V$2:$V$1001,MATCH(ROWS($U$2:U431),$U$2:$U$1001,0),1)&gt;=100000,INDEX($AB$1005:$AQ$1005,1,MATCH(COLUMNS($AB$1006:AK1006),$AB$1006:$AQ$1006,0))&gt;=100000), " ",IF(INDEX($AB$2:$AQ$1001,MATCH(ROWS($U$2:U431),$U$2:$U$1001,0),MATCH(COLUMNS($AB$1006:AK1006),$AB$1006:$AQ$1006,0)), HYPERLINK("#",""), HYPERLINK(CONCATENATE("#metadata!", ADDRESS(INDEX($W$2:$W$1001,MATCH(ROWS($U$2:U431),$U$2:$U$1001,0),0), INDEX($AB$1004:$AQ$1004,1,MATCH(COLUMNS($AB$1006:AK1006),$AB$1006:$AQ$1006,0)))),"Fix")))</f>
        <v>0</v>
      </c>
      <c r="L431" s="4">
        <f>IF(OR(INDEX($V$2:$V$1001,MATCH(ROWS($U$2:U431),$U$2:$U$1001,0),1)&gt;=100000,INDEX($AB$1005:$AQ$1005,1,MATCH(COLUMNS($AB$1006:AL1006),$AB$1006:$AQ$1006,0))&gt;=100000), " ",IF(INDEX($AB$2:$AQ$1001,MATCH(ROWS($U$2:U431),$U$2:$U$1001,0),MATCH(COLUMNS($AB$1006:AL1006),$AB$1006:$AQ$1006,0)), HYPERLINK("#",""), HYPERLINK(CONCATENATE("#metadata!", ADDRESS(INDEX($W$2:$W$1001,MATCH(ROWS($U$2:U431),$U$2:$U$1001,0),0), INDEX($AB$1004:$AQ$1004,1,MATCH(COLUMNS($AB$1006:AL1006),$AB$1006:$AQ$1006,0)))),"Fix")))</f>
        <v>0</v>
      </c>
      <c r="M431" s="4">
        <f>IF(OR(INDEX($V$2:$V$1001,MATCH(ROWS($U$2:U431),$U$2:$U$1001,0),1)&gt;=100000,INDEX($AB$1005:$AQ$1005,1,MATCH(COLUMNS($AB$1006:AM1006),$AB$1006:$AQ$1006,0))&gt;=100000), " ",IF(INDEX($AB$2:$AQ$1001,MATCH(ROWS($U$2:U431),$U$2:$U$1001,0),MATCH(COLUMNS($AB$1006:AM1006),$AB$1006:$AQ$1006,0)), HYPERLINK("#",""), HYPERLINK(CONCATENATE("#metadata!", ADDRESS(INDEX($W$2:$W$1001,MATCH(ROWS($U$2:U431),$U$2:$U$1001,0),0), INDEX($AB$1004:$AQ$1004,1,MATCH(COLUMNS($AB$1006:AM1006),$AB$1006:$AQ$1006,0)))),"Fix")))</f>
        <v>0</v>
      </c>
      <c r="N431" s="4">
        <f>IF(OR(INDEX($V$2:$V$1001,MATCH(ROWS($U$2:U431),$U$2:$U$1001,0),1)&gt;=100000,INDEX($AB$1005:$AQ$1005,1,MATCH(COLUMNS($AB$1006:AN1006),$AB$1006:$AQ$1006,0))&gt;=100000), " ",IF(INDEX($AB$2:$AQ$1001,MATCH(ROWS($U$2:U431),$U$2:$U$1001,0),MATCH(COLUMNS($AB$1006:AN1006),$AB$1006:$AQ$1006,0)), HYPERLINK("#",""), HYPERLINK(CONCATENATE("#metadata!", ADDRESS(INDEX($W$2:$W$1001,MATCH(ROWS($U$2:U431),$U$2:$U$1001,0),0), INDEX($AB$1004:$AQ$1004,1,MATCH(COLUMNS($AB$1006:AN1006),$AB$1006:$AQ$1006,0)))),"Fix")))</f>
        <v>0</v>
      </c>
      <c r="O431" s="4">
        <f>IF(OR(INDEX($V$2:$V$1001,MATCH(ROWS($U$2:U431),$U$2:$U$1001,0),1)&gt;=100000,INDEX($AB$1005:$AQ$1005,1,MATCH(COLUMNS($AB$1006:AO1006),$AB$1006:$AQ$1006,0))&gt;=100000), " ",IF(INDEX($AB$2:$AQ$1001,MATCH(ROWS($U$2:U431),$U$2:$U$1001,0),MATCH(COLUMNS($AB$1006:AO1006),$AB$1006:$AQ$1006,0)), HYPERLINK("#",""), HYPERLINK(CONCATENATE("#metadata!", ADDRESS(INDEX($W$2:$W$1001,MATCH(ROWS($U$2:U431),$U$2:$U$1001,0),0), INDEX($AB$1004:$AQ$1004,1,MATCH(COLUMNS($AB$1006:AO1006),$AB$1006:$AQ$1006,0)))),"Fix")))</f>
        <v>0</v>
      </c>
      <c r="P431" s="4">
        <f>IF(OR(INDEX($V$2:$V$1001,MATCH(ROWS($U$2:U431),$U$2:$U$1001,0),1)&gt;=100000,INDEX($AB$1005:$AQ$1005,1,MATCH(COLUMNS($AB$1006:AP1006),$AB$1006:$AQ$1006,0))&gt;=100000), " ",IF(INDEX($AB$2:$AQ$1001,MATCH(ROWS($U$2:U431),$U$2:$U$1001,0),MATCH(COLUMNS($AB$1006:AP1006),$AB$1006:$AQ$1006,0)), HYPERLINK("#",""), HYPERLINK(CONCATENATE("#metadata!", ADDRESS(INDEX($W$2:$W$1001,MATCH(ROWS($U$2:U431),$U$2:$U$1001,0),0), INDEX($AB$1004:$AQ$1004,1,MATCH(COLUMNS($AB$1006:AP1006),$AB$1006:$AQ$1006,0)))),"Fix")))</f>
        <v>0</v>
      </c>
      <c r="Q431" s="4">
        <f>IF(OR(INDEX($V$2:$V$1001,MATCH(ROWS($U$2:U431),$U$2:$U$1001,0),1)&gt;=100000,INDEX($AB$1005:$AQ$1005,1,MATCH(COLUMNS($AB$1006:AQ1006),$AB$1006:$AQ$1006,0))&gt;=100000), " ",IF(INDEX($AB$2:$AQ$1001,MATCH(ROWS($U$2:U431),$U$2:$U$1001,0),MATCH(COLUMNS($AB$1006:AQ1006),$AB$1006:$AQ$1006,0)), HYPERLINK("#",""), HYPERLINK(CONCATENATE("#metadata!", ADDRESS(INDEX($W$2:$W$1001,MATCH(ROWS($U$2:U431),$U$2:$U$1001,0),0), INDEX($AB$1004:$AQ$1004,1,MATCH(COLUMNS($AB$1006:AQ1006),$AB$1006:$AQ$1006,0)))),"Fix")))</f>
        <v>0</v>
      </c>
      <c r="U431">
        <v>0</v>
      </c>
      <c r="V431">
        <v>0</v>
      </c>
      <c r="W431">
        <v>0</v>
      </c>
      <c r="X431">
        <f>IF(Y431,TRUE,AND(AB431:AQ431))</f>
        <v>0</v>
      </c>
      <c r="Y431">
        <f>COUNTBLANK(metadata!B431:Q431)=COLUMNS(metadata!B431:Q431)</f>
        <v>0</v>
      </c>
      <c r="Z431">
        <v>0</v>
      </c>
      <c r="AB431">
        <f>AND(IF(metadata!B431="",FALSE,TRUE),COUNTIF(metadata!B:B, metadata!B431) = 1,NOT(ISERROR(SUMPRODUCT(SEARCH(MID(metadata!B431,ROW(INDIRECT("1:"&amp;LEN(metadata!B431))), 1),"0123456789abcdefghijklmnopqrstuvwxyzABCDEFGHIJKLMNOPQRSTUVWXYZ.")))))</f>
        <v>0</v>
      </c>
      <c r="AC431">
        <f>OR(AND(IF(metadata!C431="",FALSE,TRUE),OR(exact(metadata!C431,"missing: not collected"),exact(metadata!C431,"missing: not provided"),exact(metadata!C431,"missing: restricted access"))),AND(IF(metadata!C431="",FALSE,TRUE),AND(AND(IFERROR(INT(LEFT(metadata!C431,4))&gt;1900,FALSE),IFERROR(INT(LEFT(metadata!C431,4))&lt;=YEAR(NOW()),FALSE)), OR(MID(metadata!C431,5,1)="", AND(AND(MID(metadata!C431,5,1)="-",IFERROR(INT(MID(metadata!C431,6,1))&gt;=0,FALSE),IFERROR(INT(MID(metadata!C431,6,1))&lt;=1,FALSE),NOT(MID(metadata!C431,7,1)=""),IFERROR(INT(MID(metadata!C431,6,2))&gt;=1,FALSE),IFERROR(INT(MID(metadata!C431,6,2))&lt;=12,FALSE)), OR(MID(metadata!C431,8,1)="", AND(AND(MID(metadata!C431,8,1)="-",IFERROR(INT(MID(metadata!C431,9,1))&gt;=0,FALSE),IFERROR(INT(MID(metadata!C431,9,1))&lt;=3,FALSE),NOT(MID(metadata!C431,10,1)=""),IFERROR(INT(MID(metadata!C431,9,2))&gt;=1,FALSE),IFERROR(INT(MID(metadata!C431,9,2))&lt;=31,FALSE)), OR(MID(metadata!C431,11,1)="", AND(AND(MID(metadata!C431,11,1)=" ",IFERROR(INT(MID(metadata!C431,12,1))&gt;=0,FALSE),IFERROR(INT(MID(metadata!C431,12,1))&lt;=2,FALSE),NOT(MID(metadata!C431,13,1)=""),IFERROR(INT(MID(metadata!C431,12,2))&gt;=0,FALSE),IFERROR(INT(MID(metadata!C431,12,2))&lt;=23,FALSE)), OR(MID(metadata!C431,14,1)="", AND(AND(MID(metadata!C431,14,1)=":",IFERROR(INT(MID(metadata!C431,15,1))&gt;=0,FALSE),IFERROR(INT(MID(metadata!C431,15,1))&lt;=5,FALSE),NOT(MID(metadata!C431,16,1)=""),IFERROR(INT(MID(metadata!C431,15,2))&gt;=0,FALSE),IFERROR(INT(MID(metadata!C431,15,2))&lt;=59,FALSE)), OR(MID(metadata!C431,17,1)="", AND(AND(MID(metadata!C431,17,1)=":",IFERROR(INT(MID(metadata!C431,18,1))&gt;=0,FALSE),IFERROR(INT(MID(metadata!C431,18,1))&lt;=5,FALSE),NOT(MID(metadata!C431,19,1)=""),IFERROR(INT(MID(metadata!C431,18,2))&gt;=0,FALSE),IFERROR(INT(MID(metadata!C431,18,2))&lt;=59,FALSE)), LEN(metadata!C431)&lt;=19)))))))))))))</f>
        <v>0</v>
      </c>
      <c r="AD431">
        <f>IF(metadata!D431="",FALSE,TRUE)</f>
        <v>0</v>
      </c>
      <c r="AE431">
        <f>OR(AND(IF(metadata!E431="",FALSE,TRUE),OR(exact(metadata!E431,"missing: not collected"),exact(metadata!E431,"missing: not provided"))),AND(IF(metadata!E431="",FALSE,TRUE),OR(exact(metadata!E431,"TRUE"),exact(metadata!E431,"FALSE"))))</f>
        <v>0</v>
      </c>
      <c r="AF431">
        <f>IF(metadata!F431="",FALSE,TRUE)</f>
        <v>0</v>
      </c>
      <c r="AG431">
        <f>IF(metadata!G431="",FALSE,TRUE)</f>
        <v>0</v>
      </c>
      <c r="AH431">
        <f>IF(metadata!H431="",FALSE,TRUE)</f>
        <v>0</v>
      </c>
      <c r="AI431">
        <f>OR(AND(IF(metadata!I431="",FALSE,TRUE),OR(exact(metadata!I431,"missing: not collected"),exact(metadata!I431,"missing: not provided"),exact(metadata!I431,"missing: restricted access"))),AND(IF(metadata!I431="",FALSE,TRUE),OR(exact(metadata!I431,"air"),exact(metadata!I431,"built environment"),exact(metadata!I431,"host-associated"),exact(metadata!I431,"human-associated"),exact(metadata!I431,"human-skin"),exact(metadata!I431,"human-oral"),exact(metadata!I431,"human-gut"),exact(metadata!I431,"human-vaginal"),exact(metadata!I431,"microbial mat/biofilm"),exact(metadata!I431,"misc environment"),exact(metadata!I431,"plant-associated"),exact(metadata!I431,"sediment"),exact(metadata!I431,"soil"),exact(metadata!I431,"wastewater/sludge"),exact(metadata!I431,"water"))))</f>
        <v>0</v>
      </c>
      <c r="AJ431">
        <f>IF(metadata!J431="",FALSE,TRUE)</f>
        <v>0</v>
      </c>
      <c r="AK431">
        <f>OR(AND(IF(metadata!K431="",FALSE,TRUE),OR(exact(metadata!K431,"missing: not collected"),exact(metadata!K431,"missing: not provided"),exact(metadata!K431,"missing: restricted access"))),AND(IF(metadata!K431="",FALSE,ISNUMBER(VALUE(metadata!K431))),metadata!K431&gt;=-90.00,metadata!K431&lt;=90.00))</f>
        <v>0</v>
      </c>
      <c r="AL431">
        <f>OR(AND(IF(metadata!L431="",FALSE,TRUE),OR(exact(metadata!L431,"missing: not collected"),exact(metadata!L431,"missing: not provided"),exact(metadata!L431,"missing: restricted access"))),AND(IF(metadata!L431="",FALSE,ISNUMBER(VALUE(metadata!L431))),metadata!L431&gt;=-180.00,metadata!L431&lt;=180.00))</f>
        <v>0</v>
      </c>
      <c r="AM431">
        <f>IF(metadata!M431="",FALSE,TRUE)</f>
        <v>0</v>
      </c>
      <c r="AN431">
        <f>OR(AND(IF(metadata!N431="",FALSE,TRUE),OR(exact(metadata!N431,"missing: not collected"),exact(metadata!N431,"missing: not provided"),exact(metadata!N431,"missing: restricted access"))),AND(IF(metadata!N431="",FALSE,TRUE),OR(exact(metadata!N431,"TRUE"),exact(metadata!N431,"FALSE"))))</f>
        <v>0</v>
      </c>
      <c r="AO431">
        <f>IF(metadata!O431="",FALSE,TRUE)</f>
        <v>0</v>
      </c>
      <c r="AP431">
        <f>OR(AND(IF(metadata!P431="",FALSE,TRUE),OR(exact(metadata!P431,"missing: not collected"),exact(metadata!P431,"missing: not provided"))),AND(IF(metadata!P431="",FALSE,IF(ISERROR(INT(metadata!P431)),FALSE,INT(metadata!P431)=metadata!P431)),metadata!P431&gt;0))</f>
        <v>0</v>
      </c>
      <c r="AQ431">
        <f>IF(metadata!Q431="",FALSE,TRUE)</f>
        <v>0</v>
      </c>
    </row>
    <row r="432" spans="1:43">
      <c r="A432" s="5">
        <f>IF(B432=" "," ",HYPERLINK(CONCATENATE("#metadata!",ADDRESS(INDEX($W$2:$W$1001,MATCH(ROWS($U$2:U432),$U$2:$U$1001,0),0),1)),INDEX($Z$2:$Z$1001,MATCH(ROWS($U$2:U432),$U$2:$U$1001,0),0)))</f>
        <v>0</v>
      </c>
      <c r="B432" s="4">
        <f>IF(OR(INDEX($V$2:$V$1001,MATCH(ROWS($U$2:U432),$U$2:$U$1001,0),1)&gt;=100000,INDEX($AB$1005:$AQ$1005,1,MATCH(COLUMNS($AB$1006:AB1006),$AB$1006:$AQ$1006,0))&gt;=100000), " ",IF(INDEX($AB$2:$AQ$1001,MATCH(ROWS($U$2:U432),$U$2:$U$1001,0),MATCH(COLUMNS($AB$1006:AB1006),$AB$1006:$AQ$1006,0)), HYPERLINK("#",""), HYPERLINK(CONCATENATE("#metadata!", ADDRESS(INDEX($W$2:$W$1001,MATCH(ROWS($U$2:U432),$U$2:$U$1001,0),0), INDEX($AB$1004:$AQ$1004,1,MATCH(COLUMNS($AB$1006:AB1006),$AB$1006:$AQ$1006,0)))),"Fix")))</f>
        <v>0</v>
      </c>
      <c r="C432" s="4">
        <f>IF(OR(INDEX($V$2:$V$1001,MATCH(ROWS($U$2:U432),$U$2:$U$1001,0),1)&gt;=100000,INDEX($AB$1005:$AQ$1005,1,MATCH(COLUMNS($AB$1006:AC1006),$AB$1006:$AQ$1006,0))&gt;=100000), " ",IF(INDEX($AB$2:$AQ$1001,MATCH(ROWS($U$2:U432),$U$2:$U$1001,0),MATCH(COLUMNS($AB$1006:AC1006),$AB$1006:$AQ$1006,0)), HYPERLINK("#",""), HYPERLINK(CONCATENATE("#metadata!", ADDRESS(INDEX($W$2:$W$1001,MATCH(ROWS($U$2:U432),$U$2:$U$1001,0),0), INDEX($AB$1004:$AQ$1004,1,MATCH(COLUMNS($AB$1006:AC1006),$AB$1006:$AQ$1006,0)))),"Fix")))</f>
        <v>0</v>
      </c>
      <c r="D432" s="4">
        <f>IF(OR(INDEX($V$2:$V$1001,MATCH(ROWS($U$2:U432),$U$2:$U$1001,0),1)&gt;=100000,INDEX($AB$1005:$AQ$1005,1,MATCH(COLUMNS($AB$1006:AD1006),$AB$1006:$AQ$1006,0))&gt;=100000), " ",IF(INDEX($AB$2:$AQ$1001,MATCH(ROWS($U$2:U432),$U$2:$U$1001,0),MATCH(COLUMNS($AB$1006:AD1006),$AB$1006:$AQ$1006,0)), HYPERLINK("#",""), HYPERLINK(CONCATENATE("#metadata!", ADDRESS(INDEX($W$2:$W$1001,MATCH(ROWS($U$2:U432),$U$2:$U$1001,0),0), INDEX($AB$1004:$AQ$1004,1,MATCH(COLUMNS($AB$1006:AD1006),$AB$1006:$AQ$1006,0)))),"Fix")))</f>
        <v>0</v>
      </c>
      <c r="E432" s="4">
        <f>IF(OR(INDEX($V$2:$V$1001,MATCH(ROWS($U$2:U432),$U$2:$U$1001,0),1)&gt;=100000,INDEX($AB$1005:$AQ$1005,1,MATCH(COLUMNS($AB$1006:AE1006),$AB$1006:$AQ$1006,0))&gt;=100000), " ",IF(INDEX($AB$2:$AQ$1001,MATCH(ROWS($U$2:U432),$U$2:$U$1001,0),MATCH(COLUMNS($AB$1006:AE1006),$AB$1006:$AQ$1006,0)), HYPERLINK("#",""), HYPERLINK(CONCATENATE("#metadata!", ADDRESS(INDEX($W$2:$W$1001,MATCH(ROWS($U$2:U432),$U$2:$U$1001,0),0), INDEX($AB$1004:$AQ$1004,1,MATCH(COLUMNS($AB$1006:AE1006),$AB$1006:$AQ$1006,0)))),"Fix")))</f>
        <v>0</v>
      </c>
      <c r="F432" s="4">
        <f>IF(OR(INDEX($V$2:$V$1001,MATCH(ROWS($U$2:U432),$U$2:$U$1001,0),1)&gt;=100000,INDEX($AB$1005:$AQ$1005,1,MATCH(COLUMNS($AB$1006:AF1006),$AB$1006:$AQ$1006,0))&gt;=100000), " ",IF(INDEX($AB$2:$AQ$1001,MATCH(ROWS($U$2:U432),$U$2:$U$1001,0),MATCH(COLUMNS($AB$1006:AF1006),$AB$1006:$AQ$1006,0)), HYPERLINK("#",""), HYPERLINK(CONCATENATE("#metadata!", ADDRESS(INDEX($W$2:$W$1001,MATCH(ROWS($U$2:U432),$U$2:$U$1001,0),0), INDEX($AB$1004:$AQ$1004,1,MATCH(COLUMNS($AB$1006:AF1006),$AB$1006:$AQ$1006,0)))),"Fix")))</f>
        <v>0</v>
      </c>
      <c r="G432" s="4">
        <f>IF(OR(INDEX($V$2:$V$1001,MATCH(ROWS($U$2:U432),$U$2:$U$1001,0),1)&gt;=100000,INDEX($AB$1005:$AQ$1005,1,MATCH(COLUMNS($AB$1006:AG1006),$AB$1006:$AQ$1006,0))&gt;=100000), " ",IF(INDEX($AB$2:$AQ$1001,MATCH(ROWS($U$2:U432),$U$2:$U$1001,0),MATCH(COLUMNS($AB$1006:AG1006),$AB$1006:$AQ$1006,0)), HYPERLINK("#",""), HYPERLINK(CONCATENATE("#metadata!", ADDRESS(INDEX($W$2:$W$1001,MATCH(ROWS($U$2:U432),$U$2:$U$1001,0),0), INDEX($AB$1004:$AQ$1004,1,MATCH(COLUMNS($AB$1006:AG1006),$AB$1006:$AQ$1006,0)))),"Fix")))</f>
        <v>0</v>
      </c>
      <c r="H432" s="4">
        <f>IF(OR(INDEX($V$2:$V$1001,MATCH(ROWS($U$2:U432),$U$2:$U$1001,0),1)&gt;=100000,INDEX($AB$1005:$AQ$1005,1,MATCH(COLUMNS($AB$1006:AH1006),$AB$1006:$AQ$1006,0))&gt;=100000), " ",IF(INDEX($AB$2:$AQ$1001,MATCH(ROWS($U$2:U432),$U$2:$U$1001,0),MATCH(COLUMNS($AB$1006:AH1006),$AB$1006:$AQ$1006,0)), HYPERLINK("#",""), HYPERLINK(CONCATENATE("#metadata!", ADDRESS(INDEX($W$2:$W$1001,MATCH(ROWS($U$2:U432),$U$2:$U$1001,0),0), INDEX($AB$1004:$AQ$1004,1,MATCH(COLUMNS($AB$1006:AH1006),$AB$1006:$AQ$1006,0)))),"Fix")))</f>
        <v>0</v>
      </c>
      <c r="I432" s="4">
        <f>IF(OR(INDEX($V$2:$V$1001,MATCH(ROWS($U$2:U432),$U$2:$U$1001,0),1)&gt;=100000,INDEX($AB$1005:$AQ$1005,1,MATCH(COLUMNS($AB$1006:AI1006),$AB$1006:$AQ$1006,0))&gt;=100000), " ",IF(INDEX($AB$2:$AQ$1001,MATCH(ROWS($U$2:U432),$U$2:$U$1001,0),MATCH(COLUMNS($AB$1006:AI1006),$AB$1006:$AQ$1006,0)), HYPERLINK("#",""), HYPERLINK(CONCATENATE("#metadata!", ADDRESS(INDEX($W$2:$W$1001,MATCH(ROWS($U$2:U432),$U$2:$U$1001,0),0), INDEX($AB$1004:$AQ$1004,1,MATCH(COLUMNS($AB$1006:AI1006),$AB$1006:$AQ$1006,0)))),"Fix")))</f>
        <v>0</v>
      </c>
      <c r="J432" s="4">
        <f>IF(OR(INDEX($V$2:$V$1001,MATCH(ROWS($U$2:U432),$U$2:$U$1001,0),1)&gt;=100000,INDEX($AB$1005:$AQ$1005,1,MATCH(COLUMNS($AB$1006:AJ1006),$AB$1006:$AQ$1006,0))&gt;=100000), " ",IF(INDEX($AB$2:$AQ$1001,MATCH(ROWS($U$2:U432),$U$2:$U$1001,0),MATCH(COLUMNS($AB$1006:AJ1006),$AB$1006:$AQ$1006,0)), HYPERLINK("#",""), HYPERLINK(CONCATENATE("#metadata!", ADDRESS(INDEX($W$2:$W$1001,MATCH(ROWS($U$2:U432),$U$2:$U$1001,0),0), INDEX($AB$1004:$AQ$1004,1,MATCH(COLUMNS($AB$1006:AJ1006),$AB$1006:$AQ$1006,0)))),"Fix")))</f>
        <v>0</v>
      </c>
      <c r="K432" s="4">
        <f>IF(OR(INDEX($V$2:$V$1001,MATCH(ROWS($U$2:U432),$U$2:$U$1001,0),1)&gt;=100000,INDEX($AB$1005:$AQ$1005,1,MATCH(COLUMNS($AB$1006:AK1006),$AB$1006:$AQ$1006,0))&gt;=100000), " ",IF(INDEX($AB$2:$AQ$1001,MATCH(ROWS($U$2:U432),$U$2:$U$1001,0),MATCH(COLUMNS($AB$1006:AK1006),$AB$1006:$AQ$1006,0)), HYPERLINK("#",""), HYPERLINK(CONCATENATE("#metadata!", ADDRESS(INDEX($W$2:$W$1001,MATCH(ROWS($U$2:U432),$U$2:$U$1001,0),0), INDEX($AB$1004:$AQ$1004,1,MATCH(COLUMNS($AB$1006:AK1006),$AB$1006:$AQ$1006,0)))),"Fix")))</f>
        <v>0</v>
      </c>
      <c r="L432" s="4">
        <f>IF(OR(INDEX($V$2:$V$1001,MATCH(ROWS($U$2:U432),$U$2:$U$1001,0),1)&gt;=100000,INDEX($AB$1005:$AQ$1005,1,MATCH(COLUMNS($AB$1006:AL1006),$AB$1006:$AQ$1006,0))&gt;=100000), " ",IF(INDEX($AB$2:$AQ$1001,MATCH(ROWS($U$2:U432),$U$2:$U$1001,0),MATCH(COLUMNS($AB$1006:AL1006),$AB$1006:$AQ$1006,0)), HYPERLINK("#",""), HYPERLINK(CONCATENATE("#metadata!", ADDRESS(INDEX($W$2:$W$1001,MATCH(ROWS($U$2:U432),$U$2:$U$1001,0),0), INDEX($AB$1004:$AQ$1004,1,MATCH(COLUMNS($AB$1006:AL1006),$AB$1006:$AQ$1006,0)))),"Fix")))</f>
        <v>0</v>
      </c>
      <c r="M432" s="4">
        <f>IF(OR(INDEX($V$2:$V$1001,MATCH(ROWS($U$2:U432),$U$2:$U$1001,0),1)&gt;=100000,INDEX($AB$1005:$AQ$1005,1,MATCH(COLUMNS($AB$1006:AM1006),$AB$1006:$AQ$1006,0))&gt;=100000), " ",IF(INDEX($AB$2:$AQ$1001,MATCH(ROWS($U$2:U432),$U$2:$U$1001,0),MATCH(COLUMNS($AB$1006:AM1006),$AB$1006:$AQ$1006,0)), HYPERLINK("#",""), HYPERLINK(CONCATENATE("#metadata!", ADDRESS(INDEX($W$2:$W$1001,MATCH(ROWS($U$2:U432),$U$2:$U$1001,0),0), INDEX($AB$1004:$AQ$1004,1,MATCH(COLUMNS($AB$1006:AM1006),$AB$1006:$AQ$1006,0)))),"Fix")))</f>
        <v>0</v>
      </c>
      <c r="N432" s="4">
        <f>IF(OR(INDEX($V$2:$V$1001,MATCH(ROWS($U$2:U432),$U$2:$U$1001,0),1)&gt;=100000,INDEX($AB$1005:$AQ$1005,1,MATCH(COLUMNS($AB$1006:AN1006),$AB$1006:$AQ$1006,0))&gt;=100000), " ",IF(INDEX($AB$2:$AQ$1001,MATCH(ROWS($U$2:U432),$U$2:$U$1001,0),MATCH(COLUMNS($AB$1006:AN1006),$AB$1006:$AQ$1006,0)), HYPERLINK("#",""), HYPERLINK(CONCATENATE("#metadata!", ADDRESS(INDEX($W$2:$W$1001,MATCH(ROWS($U$2:U432),$U$2:$U$1001,0),0), INDEX($AB$1004:$AQ$1004,1,MATCH(COLUMNS($AB$1006:AN1006),$AB$1006:$AQ$1006,0)))),"Fix")))</f>
        <v>0</v>
      </c>
      <c r="O432" s="4">
        <f>IF(OR(INDEX($V$2:$V$1001,MATCH(ROWS($U$2:U432),$U$2:$U$1001,0),1)&gt;=100000,INDEX($AB$1005:$AQ$1005,1,MATCH(COLUMNS($AB$1006:AO1006),$AB$1006:$AQ$1006,0))&gt;=100000), " ",IF(INDEX($AB$2:$AQ$1001,MATCH(ROWS($U$2:U432),$U$2:$U$1001,0),MATCH(COLUMNS($AB$1006:AO1006),$AB$1006:$AQ$1006,0)), HYPERLINK("#",""), HYPERLINK(CONCATENATE("#metadata!", ADDRESS(INDEX($W$2:$W$1001,MATCH(ROWS($U$2:U432),$U$2:$U$1001,0),0), INDEX($AB$1004:$AQ$1004,1,MATCH(COLUMNS($AB$1006:AO1006),$AB$1006:$AQ$1006,0)))),"Fix")))</f>
        <v>0</v>
      </c>
      <c r="P432" s="4">
        <f>IF(OR(INDEX($V$2:$V$1001,MATCH(ROWS($U$2:U432),$U$2:$U$1001,0),1)&gt;=100000,INDEX($AB$1005:$AQ$1005,1,MATCH(COLUMNS($AB$1006:AP1006),$AB$1006:$AQ$1006,0))&gt;=100000), " ",IF(INDEX($AB$2:$AQ$1001,MATCH(ROWS($U$2:U432),$U$2:$U$1001,0),MATCH(COLUMNS($AB$1006:AP1006),$AB$1006:$AQ$1006,0)), HYPERLINK("#",""), HYPERLINK(CONCATENATE("#metadata!", ADDRESS(INDEX($W$2:$W$1001,MATCH(ROWS($U$2:U432),$U$2:$U$1001,0),0), INDEX($AB$1004:$AQ$1004,1,MATCH(COLUMNS($AB$1006:AP1006),$AB$1006:$AQ$1006,0)))),"Fix")))</f>
        <v>0</v>
      </c>
      <c r="Q432" s="4">
        <f>IF(OR(INDEX($V$2:$V$1001,MATCH(ROWS($U$2:U432),$U$2:$U$1001,0),1)&gt;=100000,INDEX($AB$1005:$AQ$1005,1,MATCH(COLUMNS($AB$1006:AQ1006),$AB$1006:$AQ$1006,0))&gt;=100000), " ",IF(INDEX($AB$2:$AQ$1001,MATCH(ROWS($U$2:U432),$U$2:$U$1001,0),MATCH(COLUMNS($AB$1006:AQ1006),$AB$1006:$AQ$1006,0)), HYPERLINK("#",""), HYPERLINK(CONCATENATE("#metadata!", ADDRESS(INDEX($W$2:$W$1001,MATCH(ROWS($U$2:U432),$U$2:$U$1001,0),0), INDEX($AB$1004:$AQ$1004,1,MATCH(COLUMNS($AB$1006:AQ1006),$AB$1006:$AQ$1006,0)))),"Fix")))</f>
        <v>0</v>
      </c>
      <c r="U432">
        <v>0</v>
      </c>
      <c r="V432">
        <v>0</v>
      </c>
      <c r="W432">
        <v>0</v>
      </c>
      <c r="X432">
        <f>IF(Y432,TRUE,AND(AB432:AQ432))</f>
        <v>0</v>
      </c>
      <c r="Y432">
        <f>COUNTBLANK(metadata!B432:Q432)=COLUMNS(metadata!B432:Q432)</f>
        <v>0</v>
      </c>
      <c r="Z432">
        <v>0</v>
      </c>
      <c r="AB432">
        <f>AND(IF(metadata!B432="",FALSE,TRUE),COUNTIF(metadata!B:B, metadata!B432) = 1,NOT(ISERROR(SUMPRODUCT(SEARCH(MID(metadata!B432,ROW(INDIRECT("1:"&amp;LEN(metadata!B432))), 1),"0123456789abcdefghijklmnopqrstuvwxyzABCDEFGHIJKLMNOPQRSTUVWXYZ.")))))</f>
        <v>0</v>
      </c>
      <c r="AC432">
        <f>OR(AND(IF(metadata!C432="",FALSE,TRUE),OR(exact(metadata!C432,"missing: not collected"),exact(metadata!C432,"missing: not provided"),exact(metadata!C432,"missing: restricted access"))),AND(IF(metadata!C432="",FALSE,TRUE),AND(AND(IFERROR(INT(LEFT(metadata!C432,4))&gt;1900,FALSE),IFERROR(INT(LEFT(metadata!C432,4))&lt;=YEAR(NOW()),FALSE)), OR(MID(metadata!C432,5,1)="", AND(AND(MID(metadata!C432,5,1)="-",IFERROR(INT(MID(metadata!C432,6,1))&gt;=0,FALSE),IFERROR(INT(MID(metadata!C432,6,1))&lt;=1,FALSE),NOT(MID(metadata!C432,7,1)=""),IFERROR(INT(MID(metadata!C432,6,2))&gt;=1,FALSE),IFERROR(INT(MID(metadata!C432,6,2))&lt;=12,FALSE)), OR(MID(metadata!C432,8,1)="", AND(AND(MID(metadata!C432,8,1)="-",IFERROR(INT(MID(metadata!C432,9,1))&gt;=0,FALSE),IFERROR(INT(MID(metadata!C432,9,1))&lt;=3,FALSE),NOT(MID(metadata!C432,10,1)=""),IFERROR(INT(MID(metadata!C432,9,2))&gt;=1,FALSE),IFERROR(INT(MID(metadata!C432,9,2))&lt;=31,FALSE)), OR(MID(metadata!C432,11,1)="", AND(AND(MID(metadata!C432,11,1)=" ",IFERROR(INT(MID(metadata!C432,12,1))&gt;=0,FALSE),IFERROR(INT(MID(metadata!C432,12,1))&lt;=2,FALSE),NOT(MID(metadata!C432,13,1)=""),IFERROR(INT(MID(metadata!C432,12,2))&gt;=0,FALSE),IFERROR(INT(MID(metadata!C432,12,2))&lt;=23,FALSE)), OR(MID(metadata!C432,14,1)="", AND(AND(MID(metadata!C432,14,1)=":",IFERROR(INT(MID(metadata!C432,15,1))&gt;=0,FALSE),IFERROR(INT(MID(metadata!C432,15,1))&lt;=5,FALSE),NOT(MID(metadata!C432,16,1)=""),IFERROR(INT(MID(metadata!C432,15,2))&gt;=0,FALSE),IFERROR(INT(MID(metadata!C432,15,2))&lt;=59,FALSE)), OR(MID(metadata!C432,17,1)="", AND(AND(MID(metadata!C432,17,1)=":",IFERROR(INT(MID(metadata!C432,18,1))&gt;=0,FALSE),IFERROR(INT(MID(metadata!C432,18,1))&lt;=5,FALSE),NOT(MID(metadata!C432,19,1)=""),IFERROR(INT(MID(metadata!C432,18,2))&gt;=0,FALSE),IFERROR(INT(MID(metadata!C432,18,2))&lt;=59,FALSE)), LEN(metadata!C432)&lt;=19)))))))))))))</f>
        <v>0</v>
      </c>
      <c r="AD432">
        <f>IF(metadata!D432="",FALSE,TRUE)</f>
        <v>0</v>
      </c>
      <c r="AE432">
        <f>OR(AND(IF(metadata!E432="",FALSE,TRUE),OR(exact(metadata!E432,"missing: not collected"),exact(metadata!E432,"missing: not provided"))),AND(IF(metadata!E432="",FALSE,TRUE),OR(exact(metadata!E432,"TRUE"),exact(metadata!E432,"FALSE"))))</f>
        <v>0</v>
      </c>
      <c r="AF432">
        <f>IF(metadata!F432="",FALSE,TRUE)</f>
        <v>0</v>
      </c>
      <c r="AG432">
        <f>IF(metadata!G432="",FALSE,TRUE)</f>
        <v>0</v>
      </c>
      <c r="AH432">
        <f>IF(metadata!H432="",FALSE,TRUE)</f>
        <v>0</v>
      </c>
      <c r="AI432">
        <f>OR(AND(IF(metadata!I432="",FALSE,TRUE),OR(exact(metadata!I432,"missing: not collected"),exact(metadata!I432,"missing: not provided"),exact(metadata!I432,"missing: restricted access"))),AND(IF(metadata!I432="",FALSE,TRUE),OR(exact(metadata!I432,"air"),exact(metadata!I432,"built environment"),exact(metadata!I432,"host-associated"),exact(metadata!I432,"human-associated"),exact(metadata!I432,"human-skin"),exact(metadata!I432,"human-oral"),exact(metadata!I432,"human-gut"),exact(metadata!I432,"human-vaginal"),exact(metadata!I432,"microbial mat/biofilm"),exact(metadata!I432,"misc environment"),exact(metadata!I432,"plant-associated"),exact(metadata!I432,"sediment"),exact(metadata!I432,"soil"),exact(metadata!I432,"wastewater/sludge"),exact(metadata!I432,"water"))))</f>
        <v>0</v>
      </c>
      <c r="AJ432">
        <f>IF(metadata!J432="",FALSE,TRUE)</f>
        <v>0</v>
      </c>
      <c r="AK432">
        <f>OR(AND(IF(metadata!K432="",FALSE,TRUE),OR(exact(metadata!K432,"missing: not collected"),exact(metadata!K432,"missing: not provided"),exact(metadata!K432,"missing: restricted access"))),AND(IF(metadata!K432="",FALSE,ISNUMBER(VALUE(metadata!K432))),metadata!K432&gt;=-90.00,metadata!K432&lt;=90.00))</f>
        <v>0</v>
      </c>
      <c r="AL432">
        <f>OR(AND(IF(metadata!L432="",FALSE,TRUE),OR(exact(metadata!L432,"missing: not collected"),exact(metadata!L432,"missing: not provided"),exact(metadata!L432,"missing: restricted access"))),AND(IF(metadata!L432="",FALSE,ISNUMBER(VALUE(metadata!L432))),metadata!L432&gt;=-180.00,metadata!L432&lt;=180.00))</f>
        <v>0</v>
      </c>
      <c r="AM432">
        <f>IF(metadata!M432="",FALSE,TRUE)</f>
        <v>0</v>
      </c>
      <c r="AN432">
        <f>OR(AND(IF(metadata!N432="",FALSE,TRUE),OR(exact(metadata!N432,"missing: not collected"),exact(metadata!N432,"missing: not provided"),exact(metadata!N432,"missing: restricted access"))),AND(IF(metadata!N432="",FALSE,TRUE),OR(exact(metadata!N432,"TRUE"),exact(metadata!N432,"FALSE"))))</f>
        <v>0</v>
      </c>
      <c r="AO432">
        <f>IF(metadata!O432="",FALSE,TRUE)</f>
        <v>0</v>
      </c>
      <c r="AP432">
        <f>OR(AND(IF(metadata!P432="",FALSE,TRUE),OR(exact(metadata!P432,"missing: not collected"),exact(metadata!P432,"missing: not provided"))),AND(IF(metadata!P432="",FALSE,IF(ISERROR(INT(metadata!P432)),FALSE,INT(metadata!P432)=metadata!P432)),metadata!P432&gt;0))</f>
        <v>0</v>
      </c>
      <c r="AQ432">
        <f>IF(metadata!Q432="",FALSE,TRUE)</f>
        <v>0</v>
      </c>
    </row>
    <row r="433" spans="1:43">
      <c r="A433" s="5">
        <f>IF(B433=" "," ",HYPERLINK(CONCATENATE("#metadata!",ADDRESS(INDEX($W$2:$W$1001,MATCH(ROWS($U$2:U433),$U$2:$U$1001,0),0),1)),INDEX($Z$2:$Z$1001,MATCH(ROWS($U$2:U433),$U$2:$U$1001,0),0)))</f>
        <v>0</v>
      </c>
      <c r="B433" s="4">
        <f>IF(OR(INDEX($V$2:$V$1001,MATCH(ROWS($U$2:U433),$U$2:$U$1001,0),1)&gt;=100000,INDEX($AB$1005:$AQ$1005,1,MATCH(COLUMNS($AB$1006:AB1006),$AB$1006:$AQ$1006,0))&gt;=100000), " ",IF(INDEX($AB$2:$AQ$1001,MATCH(ROWS($U$2:U433),$U$2:$U$1001,0),MATCH(COLUMNS($AB$1006:AB1006),$AB$1006:$AQ$1006,0)), HYPERLINK("#",""), HYPERLINK(CONCATENATE("#metadata!", ADDRESS(INDEX($W$2:$W$1001,MATCH(ROWS($U$2:U433),$U$2:$U$1001,0),0), INDEX($AB$1004:$AQ$1004,1,MATCH(COLUMNS($AB$1006:AB1006),$AB$1006:$AQ$1006,0)))),"Fix")))</f>
        <v>0</v>
      </c>
      <c r="C433" s="4">
        <f>IF(OR(INDEX($V$2:$V$1001,MATCH(ROWS($U$2:U433),$U$2:$U$1001,0),1)&gt;=100000,INDEX($AB$1005:$AQ$1005,1,MATCH(COLUMNS($AB$1006:AC1006),$AB$1006:$AQ$1006,0))&gt;=100000), " ",IF(INDEX($AB$2:$AQ$1001,MATCH(ROWS($U$2:U433),$U$2:$U$1001,0),MATCH(COLUMNS($AB$1006:AC1006),$AB$1006:$AQ$1006,0)), HYPERLINK("#",""), HYPERLINK(CONCATENATE("#metadata!", ADDRESS(INDEX($W$2:$W$1001,MATCH(ROWS($U$2:U433),$U$2:$U$1001,0),0), INDEX($AB$1004:$AQ$1004,1,MATCH(COLUMNS($AB$1006:AC1006),$AB$1006:$AQ$1006,0)))),"Fix")))</f>
        <v>0</v>
      </c>
      <c r="D433" s="4">
        <f>IF(OR(INDEX($V$2:$V$1001,MATCH(ROWS($U$2:U433),$U$2:$U$1001,0),1)&gt;=100000,INDEX($AB$1005:$AQ$1005,1,MATCH(COLUMNS($AB$1006:AD1006),$AB$1006:$AQ$1006,0))&gt;=100000), " ",IF(INDEX($AB$2:$AQ$1001,MATCH(ROWS($U$2:U433),$U$2:$U$1001,0),MATCH(COLUMNS($AB$1006:AD1006),$AB$1006:$AQ$1006,0)), HYPERLINK("#",""), HYPERLINK(CONCATENATE("#metadata!", ADDRESS(INDEX($W$2:$W$1001,MATCH(ROWS($U$2:U433),$U$2:$U$1001,0),0), INDEX($AB$1004:$AQ$1004,1,MATCH(COLUMNS($AB$1006:AD1006),$AB$1006:$AQ$1006,0)))),"Fix")))</f>
        <v>0</v>
      </c>
      <c r="E433" s="4">
        <f>IF(OR(INDEX($V$2:$V$1001,MATCH(ROWS($U$2:U433),$U$2:$U$1001,0),1)&gt;=100000,INDEX($AB$1005:$AQ$1005,1,MATCH(COLUMNS($AB$1006:AE1006),$AB$1006:$AQ$1006,0))&gt;=100000), " ",IF(INDEX($AB$2:$AQ$1001,MATCH(ROWS($U$2:U433),$U$2:$U$1001,0),MATCH(COLUMNS($AB$1006:AE1006),$AB$1006:$AQ$1006,0)), HYPERLINK("#",""), HYPERLINK(CONCATENATE("#metadata!", ADDRESS(INDEX($W$2:$W$1001,MATCH(ROWS($U$2:U433),$U$2:$U$1001,0),0), INDEX($AB$1004:$AQ$1004,1,MATCH(COLUMNS($AB$1006:AE1006),$AB$1006:$AQ$1006,0)))),"Fix")))</f>
        <v>0</v>
      </c>
      <c r="F433" s="4">
        <f>IF(OR(INDEX($V$2:$V$1001,MATCH(ROWS($U$2:U433),$U$2:$U$1001,0),1)&gt;=100000,INDEX($AB$1005:$AQ$1005,1,MATCH(COLUMNS($AB$1006:AF1006),$AB$1006:$AQ$1006,0))&gt;=100000), " ",IF(INDEX($AB$2:$AQ$1001,MATCH(ROWS($U$2:U433),$U$2:$U$1001,0),MATCH(COLUMNS($AB$1006:AF1006),$AB$1006:$AQ$1006,0)), HYPERLINK("#",""), HYPERLINK(CONCATENATE("#metadata!", ADDRESS(INDEX($W$2:$W$1001,MATCH(ROWS($U$2:U433),$U$2:$U$1001,0),0), INDEX($AB$1004:$AQ$1004,1,MATCH(COLUMNS($AB$1006:AF1006),$AB$1006:$AQ$1006,0)))),"Fix")))</f>
        <v>0</v>
      </c>
      <c r="G433" s="4">
        <f>IF(OR(INDEX($V$2:$V$1001,MATCH(ROWS($U$2:U433),$U$2:$U$1001,0),1)&gt;=100000,INDEX($AB$1005:$AQ$1005,1,MATCH(COLUMNS($AB$1006:AG1006),$AB$1006:$AQ$1006,0))&gt;=100000), " ",IF(INDEX($AB$2:$AQ$1001,MATCH(ROWS($U$2:U433),$U$2:$U$1001,0),MATCH(COLUMNS($AB$1006:AG1006),$AB$1006:$AQ$1006,0)), HYPERLINK("#",""), HYPERLINK(CONCATENATE("#metadata!", ADDRESS(INDEX($W$2:$W$1001,MATCH(ROWS($U$2:U433),$U$2:$U$1001,0),0), INDEX($AB$1004:$AQ$1004,1,MATCH(COLUMNS($AB$1006:AG1006),$AB$1006:$AQ$1006,0)))),"Fix")))</f>
        <v>0</v>
      </c>
      <c r="H433" s="4">
        <f>IF(OR(INDEX($V$2:$V$1001,MATCH(ROWS($U$2:U433),$U$2:$U$1001,0),1)&gt;=100000,INDEX($AB$1005:$AQ$1005,1,MATCH(COLUMNS($AB$1006:AH1006),$AB$1006:$AQ$1006,0))&gt;=100000), " ",IF(INDEX($AB$2:$AQ$1001,MATCH(ROWS($U$2:U433),$U$2:$U$1001,0),MATCH(COLUMNS($AB$1006:AH1006),$AB$1006:$AQ$1006,0)), HYPERLINK("#",""), HYPERLINK(CONCATENATE("#metadata!", ADDRESS(INDEX($W$2:$W$1001,MATCH(ROWS($U$2:U433),$U$2:$U$1001,0),0), INDEX($AB$1004:$AQ$1004,1,MATCH(COLUMNS($AB$1006:AH1006),$AB$1006:$AQ$1006,0)))),"Fix")))</f>
        <v>0</v>
      </c>
      <c r="I433" s="4">
        <f>IF(OR(INDEX($V$2:$V$1001,MATCH(ROWS($U$2:U433),$U$2:$U$1001,0),1)&gt;=100000,INDEX($AB$1005:$AQ$1005,1,MATCH(COLUMNS($AB$1006:AI1006),$AB$1006:$AQ$1006,0))&gt;=100000), " ",IF(INDEX($AB$2:$AQ$1001,MATCH(ROWS($U$2:U433),$U$2:$U$1001,0),MATCH(COLUMNS($AB$1006:AI1006),$AB$1006:$AQ$1006,0)), HYPERLINK("#",""), HYPERLINK(CONCATENATE("#metadata!", ADDRESS(INDEX($W$2:$W$1001,MATCH(ROWS($U$2:U433),$U$2:$U$1001,0),0), INDEX($AB$1004:$AQ$1004,1,MATCH(COLUMNS($AB$1006:AI1006),$AB$1006:$AQ$1006,0)))),"Fix")))</f>
        <v>0</v>
      </c>
      <c r="J433" s="4">
        <f>IF(OR(INDEX($V$2:$V$1001,MATCH(ROWS($U$2:U433),$U$2:$U$1001,0),1)&gt;=100000,INDEX($AB$1005:$AQ$1005,1,MATCH(COLUMNS($AB$1006:AJ1006),$AB$1006:$AQ$1006,0))&gt;=100000), " ",IF(INDEX($AB$2:$AQ$1001,MATCH(ROWS($U$2:U433),$U$2:$U$1001,0),MATCH(COLUMNS($AB$1006:AJ1006),$AB$1006:$AQ$1006,0)), HYPERLINK("#",""), HYPERLINK(CONCATENATE("#metadata!", ADDRESS(INDEX($W$2:$W$1001,MATCH(ROWS($U$2:U433),$U$2:$U$1001,0),0), INDEX($AB$1004:$AQ$1004,1,MATCH(COLUMNS($AB$1006:AJ1006),$AB$1006:$AQ$1006,0)))),"Fix")))</f>
        <v>0</v>
      </c>
      <c r="K433" s="4">
        <f>IF(OR(INDEX($V$2:$V$1001,MATCH(ROWS($U$2:U433),$U$2:$U$1001,0),1)&gt;=100000,INDEX($AB$1005:$AQ$1005,1,MATCH(COLUMNS($AB$1006:AK1006),$AB$1006:$AQ$1006,0))&gt;=100000), " ",IF(INDEX($AB$2:$AQ$1001,MATCH(ROWS($U$2:U433),$U$2:$U$1001,0),MATCH(COLUMNS($AB$1006:AK1006),$AB$1006:$AQ$1006,0)), HYPERLINK("#",""), HYPERLINK(CONCATENATE("#metadata!", ADDRESS(INDEX($W$2:$W$1001,MATCH(ROWS($U$2:U433),$U$2:$U$1001,0),0), INDEX($AB$1004:$AQ$1004,1,MATCH(COLUMNS($AB$1006:AK1006),$AB$1006:$AQ$1006,0)))),"Fix")))</f>
        <v>0</v>
      </c>
      <c r="L433" s="4">
        <f>IF(OR(INDEX($V$2:$V$1001,MATCH(ROWS($U$2:U433),$U$2:$U$1001,0),1)&gt;=100000,INDEX($AB$1005:$AQ$1005,1,MATCH(COLUMNS($AB$1006:AL1006),$AB$1006:$AQ$1006,0))&gt;=100000), " ",IF(INDEX($AB$2:$AQ$1001,MATCH(ROWS($U$2:U433),$U$2:$U$1001,0),MATCH(COLUMNS($AB$1006:AL1006),$AB$1006:$AQ$1006,0)), HYPERLINK("#",""), HYPERLINK(CONCATENATE("#metadata!", ADDRESS(INDEX($W$2:$W$1001,MATCH(ROWS($U$2:U433),$U$2:$U$1001,0),0), INDEX($AB$1004:$AQ$1004,1,MATCH(COLUMNS($AB$1006:AL1006),$AB$1006:$AQ$1006,0)))),"Fix")))</f>
        <v>0</v>
      </c>
      <c r="M433" s="4">
        <f>IF(OR(INDEX($V$2:$V$1001,MATCH(ROWS($U$2:U433),$U$2:$U$1001,0),1)&gt;=100000,INDEX($AB$1005:$AQ$1005,1,MATCH(COLUMNS($AB$1006:AM1006),$AB$1006:$AQ$1006,0))&gt;=100000), " ",IF(INDEX($AB$2:$AQ$1001,MATCH(ROWS($U$2:U433),$U$2:$U$1001,0),MATCH(COLUMNS($AB$1006:AM1006),$AB$1006:$AQ$1006,0)), HYPERLINK("#",""), HYPERLINK(CONCATENATE("#metadata!", ADDRESS(INDEX($W$2:$W$1001,MATCH(ROWS($U$2:U433),$U$2:$U$1001,0),0), INDEX($AB$1004:$AQ$1004,1,MATCH(COLUMNS($AB$1006:AM1006),$AB$1006:$AQ$1006,0)))),"Fix")))</f>
        <v>0</v>
      </c>
      <c r="N433" s="4">
        <f>IF(OR(INDEX($V$2:$V$1001,MATCH(ROWS($U$2:U433),$U$2:$U$1001,0),1)&gt;=100000,INDEX($AB$1005:$AQ$1005,1,MATCH(COLUMNS($AB$1006:AN1006),$AB$1006:$AQ$1006,0))&gt;=100000), " ",IF(INDEX($AB$2:$AQ$1001,MATCH(ROWS($U$2:U433),$U$2:$U$1001,0),MATCH(COLUMNS($AB$1006:AN1006),$AB$1006:$AQ$1006,0)), HYPERLINK("#",""), HYPERLINK(CONCATENATE("#metadata!", ADDRESS(INDEX($W$2:$W$1001,MATCH(ROWS($U$2:U433),$U$2:$U$1001,0),0), INDEX($AB$1004:$AQ$1004,1,MATCH(COLUMNS($AB$1006:AN1006),$AB$1006:$AQ$1006,0)))),"Fix")))</f>
        <v>0</v>
      </c>
      <c r="O433" s="4">
        <f>IF(OR(INDEX($V$2:$V$1001,MATCH(ROWS($U$2:U433),$U$2:$U$1001,0),1)&gt;=100000,INDEX($AB$1005:$AQ$1005,1,MATCH(COLUMNS($AB$1006:AO1006),$AB$1006:$AQ$1006,0))&gt;=100000), " ",IF(INDEX($AB$2:$AQ$1001,MATCH(ROWS($U$2:U433),$U$2:$U$1001,0),MATCH(COLUMNS($AB$1006:AO1006),$AB$1006:$AQ$1006,0)), HYPERLINK("#",""), HYPERLINK(CONCATENATE("#metadata!", ADDRESS(INDEX($W$2:$W$1001,MATCH(ROWS($U$2:U433),$U$2:$U$1001,0),0), INDEX($AB$1004:$AQ$1004,1,MATCH(COLUMNS($AB$1006:AO1006),$AB$1006:$AQ$1006,0)))),"Fix")))</f>
        <v>0</v>
      </c>
      <c r="P433" s="4">
        <f>IF(OR(INDEX($V$2:$V$1001,MATCH(ROWS($U$2:U433),$U$2:$U$1001,0),1)&gt;=100000,INDEX($AB$1005:$AQ$1005,1,MATCH(COLUMNS($AB$1006:AP1006),$AB$1006:$AQ$1006,0))&gt;=100000), " ",IF(INDEX($AB$2:$AQ$1001,MATCH(ROWS($U$2:U433),$U$2:$U$1001,0),MATCH(COLUMNS($AB$1006:AP1006),$AB$1006:$AQ$1006,0)), HYPERLINK("#",""), HYPERLINK(CONCATENATE("#metadata!", ADDRESS(INDEX($W$2:$W$1001,MATCH(ROWS($U$2:U433),$U$2:$U$1001,0),0), INDEX($AB$1004:$AQ$1004,1,MATCH(COLUMNS($AB$1006:AP1006),$AB$1006:$AQ$1006,0)))),"Fix")))</f>
        <v>0</v>
      </c>
      <c r="Q433" s="4">
        <f>IF(OR(INDEX($V$2:$V$1001,MATCH(ROWS($U$2:U433),$U$2:$U$1001,0),1)&gt;=100000,INDEX($AB$1005:$AQ$1005,1,MATCH(COLUMNS($AB$1006:AQ1006),$AB$1006:$AQ$1006,0))&gt;=100000), " ",IF(INDEX($AB$2:$AQ$1001,MATCH(ROWS($U$2:U433),$U$2:$U$1001,0),MATCH(COLUMNS($AB$1006:AQ1006),$AB$1006:$AQ$1006,0)), HYPERLINK("#",""), HYPERLINK(CONCATENATE("#metadata!", ADDRESS(INDEX($W$2:$W$1001,MATCH(ROWS($U$2:U433),$U$2:$U$1001,0),0), INDEX($AB$1004:$AQ$1004,1,MATCH(COLUMNS($AB$1006:AQ1006),$AB$1006:$AQ$1006,0)))),"Fix")))</f>
        <v>0</v>
      </c>
      <c r="U433">
        <v>0</v>
      </c>
      <c r="V433">
        <v>0</v>
      </c>
      <c r="W433">
        <v>0</v>
      </c>
      <c r="X433">
        <f>IF(Y433,TRUE,AND(AB433:AQ433))</f>
        <v>0</v>
      </c>
      <c r="Y433">
        <f>COUNTBLANK(metadata!B433:Q433)=COLUMNS(metadata!B433:Q433)</f>
        <v>0</v>
      </c>
      <c r="Z433">
        <v>0</v>
      </c>
      <c r="AB433">
        <f>AND(IF(metadata!B433="",FALSE,TRUE),COUNTIF(metadata!B:B, metadata!B433) = 1,NOT(ISERROR(SUMPRODUCT(SEARCH(MID(metadata!B433,ROW(INDIRECT("1:"&amp;LEN(metadata!B433))), 1),"0123456789abcdefghijklmnopqrstuvwxyzABCDEFGHIJKLMNOPQRSTUVWXYZ.")))))</f>
        <v>0</v>
      </c>
      <c r="AC433">
        <f>OR(AND(IF(metadata!C433="",FALSE,TRUE),OR(exact(metadata!C433,"missing: not collected"),exact(metadata!C433,"missing: not provided"),exact(metadata!C433,"missing: restricted access"))),AND(IF(metadata!C433="",FALSE,TRUE),AND(AND(IFERROR(INT(LEFT(metadata!C433,4))&gt;1900,FALSE),IFERROR(INT(LEFT(metadata!C433,4))&lt;=YEAR(NOW()),FALSE)), OR(MID(metadata!C433,5,1)="", AND(AND(MID(metadata!C433,5,1)="-",IFERROR(INT(MID(metadata!C433,6,1))&gt;=0,FALSE),IFERROR(INT(MID(metadata!C433,6,1))&lt;=1,FALSE),NOT(MID(metadata!C433,7,1)=""),IFERROR(INT(MID(metadata!C433,6,2))&gt;=1,FALSE),IFERROR(INT(MID(metadata!C433,6,2))&lt;=12,FALSE)), OR(MID(metadata!C433,8,1)="", AND(AND(MID(metadata!C433,8,1)="-",IFERROR(INT(MID(metadata!C433,9,1))&gt;=0,FALSE),IFERROR(INT(MID(metadata!C433,9,1))&lt;=3,FALSE),NOT(MID(metadata!C433,10,1)=""),IFERROR(INT(MID(metadata!C433,9,2))&gt;=1,FALSE),IFERROR(INT(MID(metadata!C433,9,2))&lt;=31,FALSE)), OR(MID(metadata!C433,11,1)="", AND(AND(MID(metadata!C433,11,1)=" ",IFERROR(INT(MID(metadata!C433,12,1))&gt;=0,FALSE),IFERROR(INT(MID(metadata!C433,12,1))&lt;=2,FALSE),NOT(MID(metadata!C433,13,1)=""),IFERROR(INT(MID(metadata!C433,12,2))&gt;=0,FALSE),IFERROR(INT(MID(metadata!C433,12,2))&lt;=23,FALSE)), OR(MID(metadata!C433,14,1)="", AND(AND(MID(metadata!C433,14,1)=":",IFERROR(INT(MID(metadata!C433,15,1))&gt;=0,FALSE),IFERROR(INT(MID(metadata!C433,15,1))&lt;=5,FALSE),NOT(MID(metadata!C433,16,1)=""),IFERROR(INT(MID(metadata!C433,15,2))&gt;=0,FALSE),IFERROR(INT(MID(metadata!C433,15,2))&lt;=59,FALSE)), OR(MID(metadata!C433,17,1)="", AND(AND(MID(metadata!C433,17,1)=":",IFERROR(INT(MID(metadata!C433,18,1))&gt;=0,FALSE),IFERROR(INT(MID(metadata!C433,18,1))&lt;=5,FALSE),NOT(MID(metadata!C433,19,1)=""),IFERROR(INT(MID(metadata!C433,18,2))&gt;=0,FALSE),IFERROR(INT(MID(metadata!C433,18,2))&lt;=59,FALSE)), LEN(metadata!C433)&lt;=19)))))))))))))</f>
        <v>0</v>
      </c>
      <c r="AD433">
        <f>IF(metadata!D433="",FALSE,TRUE)</f>
        <v>0</v>
      </c>
      <c r="AE433">
        <f>OR(AND(IF(metadata!E433="",FALSE,TRUE),OR(exact(metadata!E433,"missing: not collected"),exact(metadata!E433,"missing: not provided"))),AND(IF(metadata!E433="",FALSE,TRUE),OR(exact(metadata!E433,"TRUE"),exact(metadata!E433,"FALSE"))))</f>
        <v>0</v>
      </c>
      <c r="AF433">
        <f>IF(metadata!F433="",FALSE,TRUE)</f>
        <v>0</v>
      </c>
      <c r="AG433">
        <f>IF(metadata!G433="",FALSE,TRUE)</f>
        <v>0</v>
      </c>
      <c r="AH433">
        <f>IF(metadata!H433="",FALSE,TRUE)</f>
        <v>0</v>
      </c>
      <c r="AI433">
        <f>OR(AND(IF(metadata!I433="",FALSE,TRUE),OR(exact(metadata!I433,"missing: not collected"),exact(metadata!I433,"missing: not provided"),exact(metadata!I433,"missing: restricted access"))),AND(IF(metadata!I433="",FALSE,TRUE),OR(exact(metadata!I433,"air"),exact(metadata!I433,"built environment"),exact(metadata!I433,"host-associated"),exact(metadata!I433,"human-associated"),exact(metadata!I433,"human-skin"),exact(metadata!I433,"human-oral"),exact(metadata!I433,"human-gut"),exact(metadata!I433,"human-vaginal"),exact(metadata!I433,"microbial mat/biofilm"),exact(metadata!I433,"misc environment"),exact(metadata!I433,"plant-associated"),exact(metadata!I433,"sediment"),exact(metadata!I433,"soil"),exact(metadata!I433,"wastewater/sludge"),exact(metadata!I433,"water"))))</f>
        <v>0</v>
      </c>
      <c r="AJ433">
        <f>IF(metadata!J433="",FALSE,TRUE)</f>
        <v>0</v>
      </c>
      <c r="AK433">
        <f>OR(AND(IF(metadata!K433="",FALSE,TRUE),OR(exact(metadata!K433,"missing: not collected"),exact(metadata!K433,"missing: not provided"),exact(metadata!K433,"missing: restricted access"))),AND(IF(metadata!K433="",FALSE,ISNUMBER(VALUE(metadata!K433))),metadata!K433&gt;=-90.00,metadata!K433&lt;=90.00))</f>
        <v>0</v>
      </c>
      <c r="AL433">
        <f>OR(AND(IF(metadata!L433="",FALSE,TRUE),OR(exact(metadata!L433,"missing: not collected"),exact(metadata!L433,"missing: not provided"),exact(metadata!L433,"missing: restricted access"))),AND(IF(metadata!L433="",FALSE,ISNUMBER(VALUE(metadata!L433))),metadata!L433&gt;=-180.00,metadata!L433&lt;=180.00))</f>
        <v>0</v>
      </c>
      <c r="AM433">
        <f>IF(metadata!M433="",FALSE,TRUE)</f>
        <v>0</v>
      </c>
      <c r="AN433">
        <f>OR(AND(IF(metadata!N433="",FALSE,TRUE),OR(exact(metadata!N433,"missing: not collected"),exact(metadata!N433,"missing: not provided"),exact(metadata!N433,"missing: restricted access"))),AND(IF(metadata!N433="",FALSE,TRUE),OR(exact(metadata!N433,"TRUE"),exact(metadata!N433,"FALSE"))))</f>
        <v>0</v>
      </c>
      <c r="AO433">
        <f>IF(metadata!O433="",FALSE,TRUE)</f>
        <v>0</v>
      </c>
      <c r="AP433">
        <f>OR(AND(IF(metadata!P433="",FALSE,TRUE),OR(exact(metadata!P433,"missing: not collected"),exact(metadata!P433,"missing: not provided"))),AND(IF(metadata!P433="",FALSE,IF(ISERROR(INT(metadata!P433)),FALSE,INT(metadata!P433)=metadata!P433)),metadata!P433&gt;0))</f>
        <v>0</v>
      </c>
      <c r="AQ433">
        <f>IF(metadata!Q433="",FALSE,TRUE)</f>
        <v>0</v>
      </c>
    </row>
    <row r="434" spans="1:43">
      <c r="A434" s="5">
        <f>IF(B434=" "," ",HYPERLINK(CONCATENATE("#metadata!",ADDRESS(INDEX($W$2:$W$1001,MATCH(ROWS($U$2:U434),$U$2:$U$1001,0),0),1)),INDEX($Z$2:$Z$1001,MATCH(ROWS($U$2:U434),$U$2:$U$1001,0),0)))</f>
        <v>0</v>
      </c>
      <c r="B434" s="4">
        <f>IF(OR(INDEX($V$2:$V$1001,MATCH(ROWS($U$2:U434),$U$2:$U$1001,0),1)&gt;=100000,INDEX($AB$1005:$AQ$1005,1,MATCH(COLUMNS($AB$1006:AB1006),$AB$1006:$AQ$1006,0))&gt;=100000), " ",IF(INDEX($AB$2:$AQ$1001,MATCH(ROWS($U$2:U434),$U$2:$U$1001,0),MATCH(COLUMNS($AB$1006:AB1006),$AB$1006:$AQ$1006,0)), HYPERLINK("#",""), HYPERLINK(CONCATENATE("#metadata!", ADDRESS(INDEX($W$2:$W$1001,MATCH(ROWS($U$2:U434),$U$2:$U$1001,0),0), INDEX($AB$1004:$AQ$1004,1,MATCH(COLUMNS($AB$1006:AB1006),$AB$1006:$AQ$1006,0)))),"Fix")))</f>
        <v>0</v>
      </c>
      <c r="C434" s="4">
        <f>IF(OR(INDEX($V$2:$V$1001,MATCH(ROWS($U$2:U434),$U$2:$U$1001,0),1)&gt;=100000,INDEX($AB$1005:$AQ$1005,1,MATCH(COLUMNS($AB$1006:AC1006),$AB$1006:$AQ$1006,0))&gt;=100000), " ",IF(INDEX($AB$2:$AQ$1001,MATCH(ROWS($U$2:U434),$U$2:$U$1001,0),MATCH(COLUMNS($AB$1006:AC1006),$AB$1006:$AQ$1006,0)), HYPERLINK("#",""), HYPERLINK(CONCATENATE("#metadata!", ADDRESS(INDEX($W$2:$W$1001,MATCH(ROWS($U$2:U434),$U$2:$U$1001,0),0), INDEX($AB$1004:$AQ$1004,1,MATCH(COLUMNS($AB$1006:AC1006),$AB$1006:$AQ$1006,0)))),"Fix")))</f>
        <v>0</v>
      </c>
      <c r="D434" s="4">
        <f>IF(OR(INDEX($V$2:$V$1001,MATCH(ROWS($U$2:U434),$U$2:$U$1001,0),1)&gt;=100000,INDEX($AB$1005:$AQ$1005,1,MATCH(COLUMNS($AB$1006:AD1006),$AB$1006:$AQ$1006,0))&gt;=100000), " ",IF(INDEX($AB$2:$AQ$1001,MATCH(ROWS($U$2:U434),$U$2:$U$1001,0),MATCH(COLUMNS($AB$1006:AD1006),$AB$1006:$AQ$1006,0)), HYPERLINK("#",""), HYPERLINK(CONCATENATE("#metadata!", ADDRESS(INDEX($W$2:$W$1001,MATCH(ROWS($U$2:U434),$U$2:$U$1001,0),0), INDEX($AB$1004:$AQ$1004,1,MATCH(COLUMNS($AB$1006:AD1006),$AB$1006:$AQ$1006,0)))),"Fix")))</f>
        <v>0</v>
      </c>
      <c r="E434" s="4">
        <f>IF(OR(INDEX($V$2:$V$1001,MATCH(ROWS($U$2:U434),$U$2:$U$1001,0),1)&gt;=100000,INDEX($AB$1005:$AQ$1005,1,MATCH(COLUMNS($AB$1006:AE1006),$AB$1006:$AQ$1006,0))&gt;=100000), " ",IF(INDEX($AB$2:$AQ$1001,MATCH(ROWS($U$2:U434),$U$2:$U$1001,0),MATCH(COLUMNS($AB$1006:AE1006),$AB$1006:$AQ$1006,0)), HYPERLINK("#",""), HYPERLINK(CONCATENATE("#metadata!", ADDRESS(INDEX($W$2:$W$1001,MATCH(ROWS($U$2:U434),$U$2:$U$1001,0),0), INDEX($AB$1004:$AQ$1004,1,MATCH(COLUMNS($AB$1006:AE1006),$AB$1006:$AQ$1006,0)))),"Fix")))</f>
        <v>0</v>
      </c>
      <c r="F434" s="4">
        <f>IF(OR(INDEX($V$2:$V$1001,MATCH(ROWS($U$2:U434),$U$2:$U$1001,0),1)&gt;=100000,INDEX($AB$1005:$AQ$1005,1,MATCH(COLUMNS($AB$1006:AF1006),$AB$1006:$AQ$1006,0))&gt;=100000), " ",IF(INDEX($AB$2:$AQ$1001,MATCH(ROWS($U$2:U434),$U$2:$U$1001,0),MATCH(COLUMNS($AB$1006:AF1006),$AB$1006:$AQ$1006,0)), HYPERLINK("#",""), HYPERLINK(CONCATENATE("#metadata!", ADDRESS(INDEX($W$2:$W$1001,MATCH(ROWS($U$2:U434),$U$2:$U$1001,0),0), INDEX($AB$1004:$AQ$1004,1,MATCH(COLUMNS($AB$1006:AF1006),$AB$1006:$AQ$1006,0)))),"Fix")))</f>
        <v>0</v>
      </c>
      <c r="G434" s="4">
        <f>IF(OR(INDEX($V$2:$V$1001,MATCH(ROWS($U$2:U434),$U$2:$U$1001,0),1)&gt;=100000,INDEX($AB$1005:$AQ$1005,1,MATCH(COLUMNS($AB$1006:AG1006),$AB$1006:$AQ$1006,0))&gt;=100000), " ",IF(INDEX($AB$2:$AQ$1001,MATCH(ROWS($U$2:U434),$U$2:$U$1001,0),MATCH(COLUMNS($AB$1006:AG1006),$AB$1006:$AQ$1006,0)), HYPERLINK("#",""), HYPERLINK(CONCATENATE("#metadata!", ADDRESS(INDEX($W$2:$W$1001,MATCH(ROWS($U$2:U434),$U$2:$U$1001,0),0), INDEX($AB$1004:$AQ$1004,1,MATCH(COLUMNS($AB$1006:AG1006),$AB$1006:$AQ$1006,0)))),"Fix")))</f>
        <v>0</v>
      </c>
      <c r="H434" s="4">
        <f>IF(OR(INDEX($V$2:$V$1001,MATCH(ROWS($U$2:U434),$U$2:$U$1001,0),1)&gt;=100000,INDEX($AB$1005:$AQ$1005,1,MATCH(COLUMNS($AB$1006:AH1006),$AB$1006:$AQ$1006,0))&gt;=100000), " ",IF(INDEX($AB$2:$AQ$1001,MATCH(ROWS($U$2:U434),$U$2:$U$1001,0),MATCH(COLUMNS($AB$1006:AH1006),$AB$1006:$AQ$1006,0)), HYPERLINK("#",""), HYPERLINK(CONCATENATE("#metadata!", ADDRESS(INDEX($W$2:$W$1001,MATCH(ROWS($U$2:U434),$U$2:$U$1001,0),0), INDEX($AB$1004:$AQ$1004,1,MATCH(COLUMNS($AB$1006:AH1006),$AB$1006:$AQ$1006,0)))),"Fix")))</f>
        <v>0</v>
      </c>
      <c r="I434" s="4">
        <f>IF(OR(INDEX($V$2:$V$1001,MATCH(ROWS($U$2:U434),$U$2:$U$1001,0),1)&gt;=100000,INDEX($AB$1005:$AQ$1005,1,MATCH(COLUMNS($AB$1006:AI1006),$AB$1006:$AQ$1006,0))&gt;=100000), " ",IF(INDEX($AB$2:$AQ$1001,MATCH(ROWS($U$2:U434),$U$2:$U$1001,0),MATCH(COLUMNS($AB$1006:AI1006),$AB$1006:$AQ$1006,0)), HYPERLINK("#",""), HYPERLINK(CONCATENATE("#metadata!", ADDRESS(INDEX($W$2:$W$1001,MATCH(ROWS($U$2:U434),$U$2:$U$1001,0),0), INDEX($AB$1004:$AQ$1004,1,MATCH(COLUMNS($AB$1006:AI1006),$AB$1006:$AQ$1006,0)))),"Fix")))</f>
        <v>0</v>
      </c>
      <c r="J434" s="4">
        <f>IF(OR(INDEX($V$2:$V$1001,MATCH(ROWS($U$2:U434),$U$2:$U$1001,0),1)&gt;=100000,INDEX($AB$1005:$AQ$1005,1,MATCH(COLUMNS($AB$1006:AJ1006),$AB$1006:$AQ$1006,0))&gt;=100000), " ",IF(INDEX($AB$2:$AQ$1001,MATCH(ROWS($U$2:U434),$U$2:$U$1001,0),MATCH(COLUMNS($AB$1006:AJ1006),$AB$1006:$AQ$1006,0)), HYPERLINK("#",""), HYPERLINK(CONCATENATE("#metadata!", ADDRESS(INDEX($W$2:$W$1001,MATCH(ROWS($U$2:U434),$U$2:$U$1001,0),0), INDEX($AB$1004:$AQ$1004,1,MATCH(COLUMNS($AB$1006:AJ1006),$AB$1006:$AQ$1006,0)))),"Fix")))</f>
        <v>0</v>
      </c>
      <c r="K434" s="4">
        <f>IF(OR(INDEX($V$2:$V$1001,MATCH(ROWS($U$2:U434),$U$2:$U$1001,0),1)&gt;=100000,INDEX($AB$1005:$AQ$1005,1,MATCH(COLUMNS($AB$1006:AK1006),$AB$1006:$AQ$1006,0))&gt;=100000), " ",IF(INDEX($AB$2:$AQ$1001,MATCH(ROWS($U$2:U434),$U$2:$U$1001,0),MATCH(COLUMNS($AB$1006:AK1006),$AB$1006:$AQ$1006,0)), HYPERLINK("#",""), HYPERLINK(CONCATENATE("#metadata!", ADDRESS(INDEX($W$2:$W$1001,MATCH(ROWS($U$2:U434),$U$2:$U$1001,0),0), INDEX($AB$1004:$AQ$1004,1,MATCH(COLUMNS($AB$1006:AK1006),$AB$1006:$AQ$1006,0)))),"Fix")))</f>
        <v>0</v>
      </c>
      <c r="L434" s="4">
        <f>IF(OR(INDEX($V$2:$V$1001,MATCH(ROWS($U$2:U434),$U$2:$U$1001,0),1)&gt;=100000,INDEX($AB$1005:$AQ$1005,1,MATCH(COLUMNS($AB$1006:AL1006),$AB$1006:$AQ$1006,0))&gt;=100000), " ",IF(INDEX($AB$2:$AQ$1001,MATCH(ROWS($U$2:U434),$U$2:$U$1001,0),MATCH(COLUMNS($AB$1006:AL1006),$AB$1006:$AQ$1006,0)), HYPERLINK("#",""), HYPERLINK(CONCATENATE("#metadata!", ADDRESS(INDEX($W$2:$W$1001,MATCH(ROWS($U$2:U434),$U$2:$U$1001,0),0), INDEX($AB$1004:$AQ$1004,1,MATCH(COLUMNS($AB$1006:AL1006),$AB$1006:$AQ$1006,0)))),"Fix")))</f>
        <v>0</v>
      </c>
      <c r="M434" s="4">
        <f>IF(OR(INDEX($V$2:$V$1001,MATCH(ROWS($U$2:U434),$U$2:$U$1001,0),1)&gt;=100000,INDEX($AB$1005:$AQ$1005,1,MATCH(COLUMNS($AB$1006:AM1006),$AB$1006:$AQ$1006,0))&gt;=100000), " ",IF(INDEX($AB$2:$AQ$1001,MATCH(ROWS($U$2:U434),$U$2:$U$1001,0),MATCH(COLUMNS($AB$1006:AM1006),$AB$1006:$AQ$1006,0)), HYPERLINK("#",""), HYPERLINK(CONCATENATE("#metadata!", ADDRESS(INDEX($W$2:$W$1001,MATCH(ROWS($U$2:U434),$U$2:$U$1001,0),0), INDEX($AB$1004:$AQ$1004,1,MATCH(COLUMNS($AB$1006:AM1006),$AB$1006:$AQ$1006,0)))),"Fix")))</f>
        <v>0</v>
      </c>
      <c r="N434" s="4">
        <f>IF(OR(INDEX($V$2:$V$1001,MATCH(ROWS($U$2:U434),$U$2:$U$1001,0),1)&gt;=100000,INDEX($AB$1005:$AQ$1005,1,MATCH(COLUMNS($AB$1006:AN1006),$AB$1006:$AQ$1006,0))&gt;=100000), " ",IF(INDEX($AB$2:$AQ$1001,MATCH(ROWS($U$2:U434),$U$2:$U$1001,0),MATCH(COLUMNS($AB$1006:AN1006),$AB$1006:$AQ$1006,0)), HYPERLINK("#",""), HYPERLINK(CONCATENATE("#metadata!", ADDRESS(INDEX($W$2:$W$1001,MATCH(ROWS($U$2:U434),$U$2:$U$1001,0),0), INDEX($AB$1004:$AQ$1004,1,MATCH(COLUMNS($AB$1006:AN1006),$AB$1006:$AQ$1006,0)))),"Fix")))</f>
        <v>0</v>
      </c>
      <c r="O434" s="4">
        <f>IF(OR(INDEX($V$2:$V$1001,MATCH(ROWS($U$2:U434),$U$2:$U$1001,0),1)&gt;=100000,INDEX($AB$1005:$AQ$1005,1,MATCH(COLUMNS($AB$1006:AO1006),$AB$1006:$AQ$1006,0))&gt;=100000), " ",IF(INDEX($AB$2:$AQ$1001,MATCH(ROWS($U$2:U434),$U$2:$U$1001,0),MATCH(COLUMNS($AB$1006:AO1006),$AB$1006:$AQ$1006,0)), HYPERLINK("#",""), HYPERLINK(CONCATENATE("#metadata!", ADDRESS(INDEX($W$2:$W$1001,MATCH(ROWS($U$2:U434),$U$2:$U$1001,0),0), INDEX($AB$1004:$AQ$1004,1,MATCH(COLUMNS($AB$1006:AO1006),$AB$1006:$AQ$1006,0)))),"Fix")))</f>
        <v>0</v>
      </c>
      <c r="P434" s="4">
        <f>IF(OR(INDEX($V$2:$V$1001,MATCH(ROWS($U$2:U434),$U$2:$U$1001,0),1)&gt;=100000,INDEX($AB$1005:$AQ$1005,1,MATCH(COLUMNS($AB$1006:AP1006),$AB$1006:$AQ$1006,0))&gt;=100000), " ",IF(INDEX($AB$2:$AQ$1001,MATCH(ROWS($U$2:U434),$U$2:$U$1001,0),MATCH(COLUMNS($AB$1006:AP1006),$AB$1006:$AQ$1006,0)), HYPERLINK("#",""), HYPERLINK(CONCATENATE("#metadata!", ADDRESS(INDEX($W$2:$W$1001,MATCH(ROWS($U$2:U434),$U$2:$U$1001,0),0), INDEX($AB$1004:$AQ$1004,1,MATCH(COLUMNS($AB$1006:AP1006),$AB$1006:$AQ$1006,0)))),"Fix")))</f>
        <v>0</v>
      </c>
      <c r="Q434" s="4">
        <f>IF(OR(INDEX($V$2:$V$1001,MATCH(ROWS($U$2:U434),$U$2:$U$1001,0),1)&gt;=100000,INDEX($AB$1005:$AQ$1005,1,MATCH(COLUMNS($AB$1006:AQ1006),$AB$1006:$AQ$1006,0))&gt;=100000), " ",IF(INDEX($AB$2:$AQ$1001,MATCH(ROWS($U$2:U434),$U$2:$U$1001,0),MATCH(COLUMNS($AB$1006:AQ1006),$AB$1006:$AQ$1006,0)), HYPERLINK("#",""), HYPERLINK(CONCATENATE("#metadata!", ADDRESS(INDEX($W$2:$W$1001,MATCH(ROWS($U$2:U434),$U$2:$U$1001,0),0), INDEX($AB$1004:$AQ$1004,1,MATCH(COLUMNS($AB$1006:AQ1006),$AB$1006:$AQ$1006,0)))),"Fix")))</f>
        <v>0</v>
      </c>
      <c r="U434">
        <v>0</v>
      </c>
      <c r="V434">
        <v>0</v>
      </c>
      <c r="W434">
        <v>0</v>
      </c>
      <c r="X434">
        <f>IF(Y434,TRUE,AND(AB434:AQ434))</f>
        <v>0</v>
      </c>
      <c r="Y434">
        <f>COUNTBLANK(metadata!B434:Q434)=COLUMNS(metadata!B434:Q434)</f>
        <v>0</v>
      </c>
      <c r="Z434">
        <v>0</v>
      </c>
      <c r="AB434">
        <f>AND(IF(metadata!B434="",FALSE,TRUE),COUNTIF(metadata!B:B, metadata!B434) = 1,NOT(ISERROR(SUMPRODUCT(SEARCH(MID(metadata!B434,ROW(INDIRECT("1:"&amp;LEN(metadata!B434))), 1),"0123456789abcdefghijklmnopqrstuvwxyzABCDEFGHIJKLMNOPQRSTUVWXYZ.")))))</f>
        <v>0</v>
      </c>
      <c r="AC434">
        <f>OR(AND(IF(metadata!C434="",FALSE,TRUE),OR(exact(metadata!C434,"missing: not collected"),exact(metadata!C434,"missing: not provided"),exact(metadata!C434,"missing: restricted access"))),AND(IF(metadata!C434="",FALSE,TRUE),AND(AND(IFERROR(INT(LEFT(metadata!C434,4))&gt;1900,FALSE),IFERROR(INT(LEFT(metadata!C434,4))&lt;=YEAR(NOW()),FALSE)), OR(MID(metadata!C434,5,1)="", AND(AND(MID(metadata!C434,5,1)="-",IFERROR(INT(MID(metadata!C434,6,1))&gt;=0,FALSE),IFERROR(INT(MID(metadata!C434,6,1))&lt;=1,FALSE),NOT(MID(metadata!C434,7,1)=""),IFERROR(INT(MID(metadata!C434,6,2))&gt;=1,FALSE),IFERROR(INT(MID(metadata!C434,6,2))&lt;=12,FALSE)), OR(MID(metadata!C434,8,1)="", AND(AND(MID(metadata!C434,8,1)="-",IFERROR(INT(MID(metadata!C434,9,1))&gt;=0,FALSE),IFERROR(INT(MID(metadata!C434,9,1))&lt;=3,FALSE),NOT(MID(metadata!C434,10,1)=""),IFERROR(INT(MID(metadata!C434,9,2))&gt;=1,FALSE),IFERROR(INT(MID(metadata!C434,9,2))&lt;=31,FALSE)), OR(MID(metadata!C434,11,1)="", AND(AND(MID(metadata!C434,11,1)=" ",IFERROR(INT(MID(metadata!C434,12,1))&gt;=0,FALSE),IFERROR(INT(MID(metadata!C434,12,1))&lt;=2,FALSE),NOT(MID(metadata!C434,13,1)=""),IFERROR(INT(MID(metadata!C434,12,2))&gt;=0,FALSE),IFERROR(INT(MID(metadata!C434,12,2))&lt;=23,FALSE)), OR(MID(metadata!C434,14,1)="", AND(AND(MID(metadata!C434,14,1)=":",IFERROR(INT(MID(metadata!C434,15,1))&gt;=0,FALSE),IFERROR(INT(MID(metadata!C434,15,1))&lt;=5,FALSE),NOT(MID(metadata!C434,16,1)=""),IFERROR(INT(MID(metadata!C434,15,2))&gt;=0,FALSE),IFERROR(INT(MID(metadata!C434,15,2))&lt;=59,FALSE)), OR(MID(metadata!C434,17,1)="", AND(AND(MID(metadata!C434,17,1)=":",IFERROR(INT(MID(metadata!C434,18,1))&gt;=0,FALSE),IFERROR(INT(MID(metadata!C434,18,1))&lt;=5,FALSE),NOT(MID(metadata!C434,19,1)=""),IFERROR(INT(MID(metadata!C434,18,2))&gt;=0,FALSE),IFERROR(INT(MID(metadata!C434,18,2))&lt;=59,FALSE)), LEN(metadata!C434)&lt;=19)))))))))))))</f>
        <v>0</v>
      </c>
      <c r="AD434">
        <f>IF(metadata!D434="",FALSE,TRUE)</f>
        <v>0</v>
      </c>
      <c r="AE434">
        <f>OR(AND(IF(metadata!E434="",FALSE,TRUE),OR(exact(metadata!E434,"missing: not collected"),exact(metadata!E434,"missing: not provided"))),AND(IF(metadata!E434="",FALSE,TRUE),OR(exact(metadata!E434,"TRUE"),exact(metadata!E434,"FALSE"))))</f>
        <v>0</v>
      </c>
      <c r="AF434">
        <f>IF(metadata!F434="",FALSE,TRUE)</f>
        <v>0</v>
      </c>
      <c r="AG434">
        <f>IF(metadata!G434="",FALSE,TRUE)</f>
        <v>0</v>
      </c>
      <c r="AH434">
        <f>IF(metadata!H434="",FALSE,TRUE)</f>
        <v>0</v>
      </c>
      <c r="AI434">
        <f>OR(AND(IF(metadata!I434="",FALSE,TRUE),OR(exact(metadata!I434,"missing: not collected"),exact(metadata!I434,"missing: not provided"),exact(metadata!I434,"missing: restricted access"))),AND(IF(metadata!I434="",FALSE,TRUE),OR(exact(metadata!I434,"air"),exact(metadata!I434,"built environment"),exact(metadata!I434,"host-associated"),exact(metadata!I434,"human-associated"),exact(metadata!I434,"human-skin"),exact(metadata!I434,"human-oral"),exact(metadata!I434,"human-gut"),exact(metadata!I434,"human-vaginal"),exact(metadata!I434,"microbial mat/biofilm"),exact(metadata!I434,"misc environment"),exact(metadata!I434,"plant-associated"),exact(metadata!I434,"sediment"),exact(metadata!I434,"soil"),exact(metadata!I434,"wastewater/sludge"),exact(metadata!I434,"water"))))</f>
        <v>0</v>
      </c>
      <c r="AJ434">
        <f>IF(metadata!J434="",FALSE,TRUE)</f>
        <v>0</v>
      </c>
      <c r="AK434">
        <f>OR(AND(IF(metadata!K434="",FALSE,TRUE),OR(exact(metadata!K434,"missing: not collected"),exact(metadata!K434,"missing: not provided"),exact(metadata!K434,"missing: restricted access"))),AND(IF(metadata!K434="",FALSE,ISNUMBER(VALUE(metadata!K434))),metadata!K434&gt;=-90.00,metadata!K434&lt;=90.00))</f>
        <v>0</v>
      </c>
      <c r="AL434">
        <f>OR(AND(IF(metadata!L434="",FALSE,TRUE),OR(exact(metadata!L434,"missing: not collected"),exact(metadata!L434,"missing: not provided"),exact(metadata!L434,"missing: restricted access"))),AND(IF(metadata!L434="",FALSE,ISNUMBER(VALUE(metadata!L434))),metadata!L434&gt;=-180.00,metadata!L434&lt;=180.00))</f>
        <v>0</v>
      </c>
      <c r="AM434">
        <f>IF(metadata!M434="",FALSE,TRUE)</f>
        <v>0</v>
      </c>
      <c r="AN434">
        <f>OR(AND(IF(metadata!N434="",FALSE,TRUE),OR(exact(metadata!N434,"missing: not collected"),exact(metadata!N434,"missing: not provided"),exact(metadata!N434,"missing: restricted access"))),AND(IF(metadata!N434="",FALSE,TRUE),OR(exact(metadata!N434,"TRUE"),exact(metadata!N434,"FALSE"))))</f>
        <v>0</v>
      </c>
      <c r="AO434">
        <f>IF(metadata!O434="",FALSE,TRUE)</f>
        <v>0</v>
      </c>
      <c r="AP434">
        <f>OR(AND(IF(metadata!P434="",FALSE,TRUE),OR(exact(metadata!P434,"missing: not collected"),exact(metadata!P434,"missing: not provided"))),AND(IF(metadata!P434="",FALSE,IF(ISERROR(INT(metadata!P434)),FALSE,INT(metadata!P434)=metadata!P434)),metadata!P434&gt;0))</f>
        <v>0</v>
      </c>
      <c r="AQ434">
        <f>IF(metadata!Q434="",FALSE,TRUE)</f>
        <v>0</v>
      </c>
    </row>
    <row r="435" spans="1:43">
      <c r="A435" s="5">
        <f>IF(B435=" "," ",HYPERLINK(CONCATENATE("#metadata!",ADDRESS(INDEX($W$2:$W$1001,MATCH(ROWS($U$2:U435),$U$2:$U$1001,0),0),1)),INDEX($Z$2:$Z$1001,MATCH(ROWS($U$2:U435),$U$2:$U$1001,0),0)))</f>
        <v>0</v>
      </c>
      <c r="B435" s="4">
        <f>IF(OR(INDEX($V$2:$V$1001,MATCH(ROWS($U$2:U435),$U$2:$U$1001,0),1)&gt;=100000,INDEX($AB$1005:$AQ$1005,1,MATCH(COLUMNS($AB$1006:AB1006),$AB$1006:$AQ$1006,0))&gt;=100000), " ",IF(INDEX($AB$2:$AQ$1001,MATCH(ROWS($U$2:U435),$U$2:$U$1001,0),MATCH(COLUMNS($AB$1006:AB1006),$AB$1006:$AQ$1006,0)), HYPERLINK("#",""), HYPERLINK(CONCATENATE("#metadata!", ADDRESS(INDEX($W$2:$W$1001,MATCH(ROWS($U$2:U435),$U$2:$U$1001,0),0), INDEX($AB$1004:$AQ$1004,1,MATCH(COLUMNS($AB$1006:AB1006),$AB$1006:$AQ$1006,0)))),"Fix")))</f>
        <v>0</v>
      </c>
      <c r="C435" s="4">
        <f>IF(OR(INDEX($V$2:$V$1001,MATCH(ROWS($U$2:U435),$U$2:$U$1001,0),1)&gt;=100000,INDEX($AB$1005:$AQ$1005,1,MATCH(COLUMNS($AB$1006:AC1006),$AB$1006:$AQ$1006,0))&gt;=100000), " ",IF(INDEX($AB$2:$AQ$1001,MATCH(ROWS($U$2:U435),$U$2:$U$1001,0),MATCH(COLUMNS($AB$1006:AC1006),$AB$1006:$AQ$1006,0)), HYPERLINK("#",""), HYPERLINK(CONCATENATE("#metadata!", ADDRESS(INDEX($W$2:$W$1001,MATCH(ROWS($U$2:U435),$U$2:$U$1001,0),0), INDEX($AB$1004:$AQ$1004,1,MATCH(COLUMNS($AB$1006:AC1006),$AB$1006:$AQ$1006,0)))),"Fix")))</f>
        <v>0</v>
      </c>
      <c r="D435" s="4">
        <f>IF(OR(INDEX($V$2:$V$1001,MATCH(ROWS($U$2:U435),$U$2:$U$1001,0),1)&gt;=100000,INDEX($AB$1005:$AQ$1005,1,MATCH(COLUMNS($AB$1006:AD1006),$AB$1006:$AQ$1006,0))&gt;=100000), " ",IF(INDEX($AB$2:$AQ$1001,MATCH(ROWS($U$2:U435),$U$2:$U$1001,0),MATCH(COLUMNS($AB$1006:AD1006),$AB$1006:$AQ$1006,0)), HYPERLINK("#",""), HYPERLINK(CONCATENATE("#metadata!", ADDRESS(INDEX($W$2:$W$1001,MATCH(ROWS($U$2:U435),$U$2:$U$1001,0),0), INDEX($AB$1004:$AQ$1004,1,MATCH(COLUMNS($AB$1006:AD1006),$AB$1006:$AQ$1006,0)))),"Fix")))</f>
        <v>0</v>
      </c>
      <c r="E435" s="4">
        <f>IF(OR(INDEX($V$2:$V$1001,MATCH(ROWS($U$2:U435),$U$2:$U$1001,0),1)&gt;=100000,INDEX($AB$1005:$AQ$1005,1,MATCH(COLUMNS($AB$1006:AE1006),$AB$1006:$AQ$1006,0))&gt;=100000), " ",IF(INDEX($AB$2:$AQ$1001,MATCH(ROWS($U$2:U435),$U$2:$U$1001,0),MATCH(COLUMNS($AB$1006:AE1006),$AB$1006:$AQ$1006,0)), HYPERLINK("#",""), HYPERLINK(CONCATENATE("#metadata!", ADDRESS(INDEX($W$2:$W$1001,MATCH(ROWS($U$2:U435),$U$2:$U$1001,0),0), INDEX($AB$1004:$AQ$1004,1,MATCH(COLUMNS($AB$1006:AE1006),$AB$1006:$AQ$1006,0)))),"Fix")))</f>
        <v>0</v>
      </c>
      <c r="F435" s="4">
        <f>IF(OR(INDEX($V$2:$V$1001,MATCH(ROWS($U$2:U435),$U$2:$U$1001,0),1)&gt;=100000,INDEX($AB$1005:$AQ$1005,1,MATCH(COLUMNS($AB$1006:AF1006),$AB$1006:$AQ$1006,0))&gt;=100000), " ",IF(INDEX($AB$2:$AQ$1001,MATCH(ROWS($U$2:U435),$U$2:$U$1001,0),MATCH(COLUMNS($AB$1006:AF1006),$AB$1006:$AQ$1006,0)), HYPERLINK("#",""), HYPERLINK(CONCATENATE("#metadata!", ADDRESS(INDEX($W$2:$W$1001,MATCH(ROWS($U$2:U435),$U$2:$U$1001,0),0), INDEX($AB$1004:$AQ$1004,1,MATCH(COLUMNS($AB$1006:AF1006),$AB$1006:$AQ$1006,0)))),"Fix")))</f>
        <v>0</v>
      </c>
      <c r="G435" s="4">
        <f>IF(OR(INDEX($V$2:$V$1001,MATCH(ROWS($U$2:U435),$U$2:$U$1001,0),1)&gt;=100000,INDEX($AB$1005:$AQ$1005,1,MATCH(COLUMNS($AB$1006:AG1006),$AB$1006:$AQ$1006,0))&gt;=100000), " ",IF(INDEX($AB$2:$AQ$1001,MATCH(ROWS($U$2:U435),$U$2:$U$1001,0),MATCH(COLUMNS($AB$1006:AG1006),$AB$1006:$AQ$1006,0)), HYPERLINK("#",""), HYPERLINK(CONCATENATE("#metadata!", ADDRESS(INDEX($W$2:$W$1001,MATCH(ROWS($U$2:U435),$U$2:$U$1001,0),0), INDEX($AB$1004:$AQ$1004,1,MATCH(COLUMNS($AB$1006:AG1006),$AB$1006:$AQ$1006,0)))),"Fix")))</f>
        <v>0</v>
      </c>
      <c r="H435" s="4">
        <f>IF(OR(INDEX($V$2:$V$1001,MATCH(ROWS($U$2:U435),$U$2:$U$1001,0),1)&gt;=100000,INDEX($AB$1005:$AQ$1005,1,MATCH(COLUMNS($AB$1006:AH1006),$AB$1006:$AQ$1006,0))&gt;=100000), " ",IF(INDEX($AB$2:$AQ$1001,MATCH(ROWS($U$2:U435),$U$2:$U$1001,0),MATCH(COLUMNS($AB$1006:AH1006),$AB$1006:$AQ$1006,0)), HYPERLINK("#",""), HYPERLINK(CONCATENATE("#metadata!", ADDRESS(INDEX($W$2:$W$1001,MATCH(ROWS($U$2:U435),$U$2:$U$1001,0),0), INDEX($AB$1004:$AQ$1004,1,MATCH(COLUMNS($AB$1006:AH1006),$AB$1006:$AQ$1006,0)))),"Fix")))</f>
        <v>0</v>
      </c>
      <c r="I435" s="4">
        <f>IF(OR(INDEX($V$2:$V$1001,MATCH(ROWS($U$2:U435),$U$2:$U$1001,0),1)&gt;=100000,INDEX($AB$1005:$AQ$1005,1,MATCH(COLUMNS($AB$1006:AI1006),$AB$1006:$AQ$1006,0))&gt;=100000), " ",IF(INDEX($AB$2:$AQ$1001,MATCH(ROWS($U$2:U435),$U$2:$U$1001,0),MATCH(COLUMNS($AB$1006:AI1006),$AB$1006:$AQ$1006,0)), HYPERLINK("#",""), HYPERLINK(CONCATENATE("#metadata!", ADDRESS(INDEX($W$2:$W$1001,MATCH(ROWS($U$2:U435),$U$2:$U$1001,0),0), INDEX($AB$1004:$AQ$1004,1,MATCH(COLUMNS($AB$1006:AI1006),$AB$1006:$AQ$1006,0)))),"Fix")))</f>
        <v>0</v>
      </c>
      <c r="J435" s="4">
        <f>IF(OR(INDEX($V$2:$V$1001,MATCH(ROWS($U$2:U435),$U$2:$U$1001,0),1)&gt;=100000,INDEX($AB$1005:$AQ$1005,1,MATCH(COLUMNS($AB$1006:AJ1006),$AB$1006:$AQ$1006,0))&gt;=100000), " ",IF(INDEX($AB$2:$AQ$1001,MATCH(ROWS($U$2:U435),$U$2:$U$1001,0),MATCH(COLUMNS($AB$1006:AJ1006),$AB$1006:$AQ$1006,0)), HYPERLINK("#",""), HYPERLINK(CONCATENATE("#metadata!", ADDRESS(INDEX($W$2:$W$1001,MATCH(ROWS($U$2:U435),$U$2:$U$1001,0),0), INDEX($AB$1004:$AQ$1004,1,MATCH(COLUMNS($AB$1006:AJ1006),$AB$1006:$AQ$1006,0)))),"Fix")))</f>
        <v>0</v>
      </c>
      <c r="K435" s="4">
        <f>IF(OR(INDEX($V$2:$V$1001,MATCH(ROWS($U$2:U435),$U$2:$U$1001,0),1)&gt;=100000,INDEX($AB$1005:$AQ$1005,1,MATCH(COLUMNS($AB$1006:AK1006),$AB$1006:$AQ$1006,0))&gt;=100000), " ",IF(INDEX($AB$2:$AQ$1001,MATCH(ROWS($U$2:U435),$U$2:$U$1001,0),MATCH(COLUMNS($AB$1006:AK1006),$AB$1006:$AQ$1006,0)), HYPERLINK("#",""), HYPERLINK(CONCATENATE("#metadata!", ADDRESS(INDEX($W$2:$W$1001,MATCH(ROWS($U$2:U435),$U$2:$U$1001,0),0), INDEX($AB$1004:$AQ$1004,1,MATCH(COLUMNS($AB$1006:AK1006),$AB$1006:$AQ$1006,0)))),"Fix")))</f>
        <v>0</v>
      </c>
      <c r="L435" s="4">
        <f>IF(OR(INDEX($V$2:$V$1001,MATCH(ROWS($U$2:U435),$U$2:$U$1001,0),1)&gt;=100000,INDEX($AB$1005:$AQ$1005,1,MATCH(COLUMNS($AB$1006:AL1006),$AB$1006:$AQ$1006,0))&gt;=100000), " ",IF(INDEX($AB$2:$AQ$1001,MATCH(ROWS($U$2:U435),$U$2:$U$1001,0),MATCH(COLUMNS($AB$1006:AL1006),$AB$1006:$AQ$1006,0)), HYPERLINK("#",""), HYPERLINK(CONCATENATE("#metadata!", ADDRESS(INDEX($W$2:$W$1001,MATCH(ROWS($U$2:U435),$U$2:$U$1001,0),0), INDEX($AB$1004:$AQ$1004,1,MATCH(COLUMNS($AB$1006:AL1006),$AB$1006:$AQ$1006,0)))),"Fix")))</f>
        <v>0</v>
      </c>
      <c r="M435" s="4">
        <f>IF(OR(INDEX($V$2:$V$1001,MATCH(ROWS($U$2:U435),$U$2:$U$1001,0),1)&gt;=100000,INDEX($AB$1005:$AQ$1005,1,MATCH(COLUMNS($AB$1006:AM1006),$AB$1006:$AQ$1006,0))&gt;=100000), " ",IF(INDEX($AB$2:$AQ$1001,MATCH(ROWS($U$2:U435),$U$2:$U$1001,0),MATCH(COLUMNS($AB$1006:AM1006),$AB$1006:$AQ$1006,0)), HYPERLINK("#",""), HYPERLINK(CONCATENATE("#metadata!", ADDRESS(INDEX($W$2:$W$1001,MATCH(ROWS($U$2:U435),$U$2:$U$1001,0),0), INDEX($AB$1004:$AQ$1004,1,MATCH(COLUMNS($AB$1006:AM1006),$AB$1006:$AQ$1006,0)))),"Fix")))</f>
        <v>0</v>
      </c>
      <c r="N435" s="4">
        <f>IF(OR(INDEX($V$2:$V$1001,MATCH(ROWS($U$2:U435),$U$2:$U$1001,0),1)&gt;=100000,INDEX($AB$1005:$AQ$1005,1,MATCH(COLUMNS($AB$1006:AN1006),$AB$1006:$AQ$1006,0))&gt;=100000), " ",IF(INDEX($AB$2:$AQ$1001,MATCH(ROWS($U$2:U435),$U$2:$U$1001,0),MATCH(COLUMNS($AB$1006:AN1006),$AB$1006:$AQ$1006,0)), HYPERLINK("#",""), HYPERLINK(CONCATENATE("#metadata!", ADDRESS(INDEX($W$2:$W$1001,MATCH(ROWS($U$2:U435),$U$2:$U$1001,0),0), INDEX($AB$1004:$AQ$1004,1,MATCH(COLUMNS($AB$1006:AN1006),$AB$1006:$AQ$1006,0)))),"Fix")))</f>
        <v>0</v>
      </c>
      <c r="O435" s="4">
        <f>IF(OR(INDEX($V$2:$V$1001,MATCH(ROWS($U$2:U435),$U$2:$U$1001,0),1)&gt;=100000,INDEX($AB$1005:$AQ$1005,1,MATCH(COLUMNS($AB$1006:AO1006),$AB$1006:$AQ$1006,0))&gt;=100000), " ",IF(INDEX($AB$2:$AQ$1001,MATCH(ROWS($U$2:U435),$U$2:$U$1001,0),MATCH(COLUMNS($AB$1006:AO1006),$AB$1006:$AQ$1006,0)), HYPERLINK("#",""), HYPERLINK(CONCATENATE("#metadata!", ADDRESS(INDEX($W$2:$W$1001,MATCH(ROWS($U$2:U435),$U$2:$U$1001,0),0), INDEX($AB$1004:$AQ$1004,1,MATCH(COLUMNS($AB$1006:AO1006),$AB$1006:$AQ$1006,0)))),"Fix")))</f>
        <v>0</v>
      </c>
      <c r="P435" s="4">
        <f>IF(OR(INDEX($V$2:$V$1001,MATCH(ROWS($U$2:U435),$U$2:$U$1001,0),1)&gt;=100000,INDEX($AB$1005:$AQ$1005,1,MATCH(COLUMNS($AB$1006:AP1006),$AB$1006:$AQ$1006,0))&gt;=100000), " ",IF(INDEX($AB$2:$AQ$1001,MATCH(ROWS($U$2:U435),$U$2:$U$1001,0),MATCH(COLUMNS($AB$1006:AP1006),$AB$1006:$AQ$1006,0)), HYPERLINK("#",""), HYPERLINK(CONCATENATE("#metadata!", ADDRESS(INDEX($W$2:$W$1001,MATCH(ROWS($U$2:U435),$U$2:$U$1001,0),0), INDEX($AB$1004:$AQ$1004,1,MATCH(COLUMNS($AB$1006:AP1006),$AB$1006:$AQ$1006,0)))),"Fix")))</f>
        <v>0</v>
      </c>
      <c r="Q435" s="4">
        <f>IF(OR(INDEX($V$2:$V$1001,MATCH(ROWS($U$2:U435),$U$2:$U$1001,0),1)&gt;=100000,INDEX($AB$1005:$AQ$1005,1,MATCH(COLUMNS($AB$1006:AQ1006),$AB$1006:$AQ$1006,0))&gt;=100000), " ",IF(INDEX($AB$2:$AQ$1001,MATCH(ROWS($U$2:U435),$U$2:$U$1001,0),MATCH(COLUMNS($AB$1006:AQ1006),$AB$1006:$AQ$1006,0)), HYPERLINK("#",""), HYPERLINK(CONCATENATE("#metadata!", ADDRESS(INDEX($W$2:$W$1001,MATCH(ROWS($U$2:U435),$U$2:$U$1001,0),0), INDEX($AB$1004:$AQ$1004,1,MATCH(COLUMNS($AB$1006:AQ1006),$AB$1006:$AQ$1006,0)))),"Fix")))</f>
        <v>0</v>
      </c>
      <c r="U435">
        <v>0</v>
      </c>
      <c r="V435">
        <v>0</v>
      </c>
      <c r="W435">
        <v>0</v>
      </c>
      <c r="X435">
        <f>IF(Y435,TRUE,AND(AB435:AQ435))</f>
        <v>0</v>
      </c>
      <c r="Y435">
        <f>COUNTBLANK(metadata!B435:Q435)=COLUMNS(metadata!B435:Q435)</f>
        <v>0</v>
      </c>
      <c r="Z435">
        <v>0</v>
      </c>
      <c r="AB435">
        <f>AND(IF(metadata!B435="",FALSE,TRUE),COUNTIF(metadata!B:B, metadata!B435) = 1,NOT(ISERROR(SUMPRODUCT(SEARCH(MID(metadata!B435,ROW(INDIRECT("1:"&amp;LEN(metadata!B435))), 1),"0123456789abcdefghijklmnopqrstuvwxyzABCDEFGHIJKLMNOPQRSTUVWXYZ.")))))</f>
        <v>0</v>
      </c>
      <c r="AC435">
        <f>OR(AND(IF(metadata!C435="",FALSE,TRUE),OR(exact(metadata!C435,"missing: not collected"),exact(metadata!C435,"missing: not provided"),exact(metadata!C435,"missing: restricted access"))),AND(IF(metadata!C435="",FALSE,TRUE),AND(AND(IFERROR(INT(LEFT(metadata!C435,4))&gt;1900,FALSE),IFERROR(INT(LEFT(metadata!C435,4))&lt;=YEAR(NOW()),FALSE)), OR(MID(metadata!C435,5,1)="", AND(AND(MID(metadata!C435,5,1)="-",IFERROR(INT(MID(metadata!C435,6,1))&gt;=0,FALSE),IFERROR(INT(MID(metadata!C435,6,1))&lt;=1,FALSE),NOT(MID(metadata!C435,7,1)=""),IFERROR(INT(MID(metadata!C435,6,2))&gt;=1,FALSE),IFERROR(INT(MID(metadata!C435,6,2))&lt;=12,FALSE)), OR(MID(metadata!C435,8,1)="", AND(AND(MID(metadata!C435,8,1)="-",IFERROR(INT(MID(metadata!C435,9,1))&gt;=0,FALSE),IFERROR(INT(MID(metadata!C435,9,1))&lt;=3,FALSE),NOT(MID(metadata!C435,10,1)=""),IFERROR(INT(MID(metadata!C435,9,2))&gt;=1,FALSE),IFERROR(INT(MID(metadata!C435,9,2))&lt;=31,FALSE)), OR(MID(metadata!C435,11,1)="", AND(AND(MID(metadata!C435,11,1)=" ",IFERROR(INT(MID(metadata!C435,12,1))&gt;=0,FALSE),IFERROR(INT(MID(metadata!C435,12,1))&lt;=2,FALSE),NOT(MID(metadata!C435,13,1)=""),IFERROR(INT(MID(metadata!C435,12,2))&gt;=0,FALSE),IFERROR(INT(MID(metadata!C435,12,2))&lt;=23,FALSE)), OR(MID(metadata!C435,14,1)="", AND(AND(MID(metadata!C435,14,1)=":",IFERROR(INT(MID(metadata!C435,15,1))&gt;=0,FALSE),IFERROR(INT(MID(metadata!C435,15,1))&lt;=5,FALSE),NOT(MID(metadata!C435,16,1)=""),IFERROR(INT(MID(metadata!C435,15,2))&gt;=0,FALSE),IFERROR(INT(MID(metadata!C435,15,2))&lt;=59,FALSE)), OR(MID(metadata!C435,17,1)="", AND(AND(MID(metadata!C435,17,1)=":",IFERROR(INT(MID(metadata!C435,18,1))&gt;=0,FALSE),IFERROR(INT(MID(metadata!C435,18,1))&lt;=5,FALSE),NOT(MID(metadata!C435,19,1)=""),IFERROR(INT(MID(metadata!C435,18,2))&gt;=0,FALSE),IFERROR(INT(MID(metadata!C435,18,2))&lt;=59,FALSE)), LEN(metadata!C435)&lt;=19)))))))))))))</f>
        <v>0</v>
      </c>
      <c r="AD435">
        <f>IF(metadata!D435="",FALSE,TRUE)</f>
        <v>0</v>
      </c>
      <c r="AE435">
        <f>OR(AND(IF(metadata!E435="",FALSE,TRUE),OR(exact(metadata!E435,"missing: not collected"),exact(metadata!E435,"missing: not provided"))),AND(IF(metadata!E435="",FALSE,TRUE),OR(exact(metadata!E435,"TRUE"),exact(metadata!E435,"FALSE"))))</f>
        <v>0</v>
      </c>
      <c r="AF435">
        <f>IF(metadata!F435="",FALSE,TRUE)</f>
        <v>0</v>
      </c>
      <c r="AG435">
        <f>IF(metadata!G435="",FALSE,TRUE)</f>
        <v>0</v>
      </c>
      <c r="AH435">
        <f>IF(metadata!H435="",FALSE,TRUE)</f>
        <v>0</v>
      </c>
      <c r="AI435">
        <f>OR(AND(IF(metadata!I435="",FALSE,TRUE),OR(exact(metadata!I435,"missing: not collected"),exact(metadata!I435,"missing: not provided"),exact(metadata!I435,"missing: restricted access"))),AND(IF(metadata!I435="",FALSE,TRUE),OR(exact(metadata!I435,"air"),exact(metadata!I435,"built environment"),exact(metadata!I435,"host-associated"),exact(metadata!I435,"human-associated"),exact(metadata!I435,"human-skin"),exact(metadata!I435,"human-oral"),exact(metadata!I435,"human-gut"),exact(metadata!I435,"human-vaginal"),exact(metadata!I435,"microbial mat/biofilm"),exact(metadata!I435,"misc environment"),exact(metadata!I435,"plant-associated"),exact(metadata!I435,"sediment"),exact(metadata!I435,"soil"),exact(metadata!I435,"wastewater/sludge"),exact(metadata!I435,"water"))))</f>
        <v>0</v>
      </c>
      <c r="AJ435">
        <f>IF(metadata!J435="",FALSE,TRUE)</f>
        <v>0</v>
      </c>
      <c r="AK435">
        <f>OR(AND(IF(metadata!K435="",FALSE,TRUE),OR(exact(metadata!K435,"missing: not collected"),exact(metadata!K435,"missing: not provided"),exact(metadata!K435,"missing: restricted access"))),AND(IF(metadata!K435="",FALSE,ISNUMBER(VALUE(metadata!K435))),metadata!K435&gt;=-90.00,metadata!K435&lt;=90.00))</f>
        <v>0</v>
      </c>
      <c r="AL435">
        <f>OR(AND(IF(metadata!L435="",FALSE,TRUE),OR(exact(metadata!L435,"missing: not collected"),exact(metadata!L435,"missing: not provided"),exact(metadata!L435,"missing: restricted access"))),AND(IF(metadata!L435="",FALSE,ISNUMBER(VALUE(metadata!L435))),metadata!L435&gt;=-180.00,metadata!L435&lt;=180.00))</f>
        <v>0</v>
      </c>
      <c r="AM435">
        <f>IF(metadata!M435="",FALSE,TRUE)</f>
        <v>0</v>
      </c>
      <c r="AN435">
        <f>OR(AND(IF(metadata!N435="",FALSE,TRUE),OR(exact(metadata!N435,"missing: not collected"),exact(metadata!N435,"missing: not provided"),exact(metadata!N435,"missing: restricted access"))),AND(IF(metadata!N435="",FALSE,TRUE),OR(exact(metadata!N435,"TRUE"),exact(metadata!N435,"FALSE"))))</f>
        <v>0</v>
      </c>
      <c r="AO435">
        <f>IF(metadata!O435="",FALSE,TRUE)</f>
        <v>0</v>
      </c>
      <c r="AP435">
        <f>OR(AND(IF(metadata!P435="",FALSE,TRUE),OR(exact(metadata!P435,"missing: not collected"),exact(metadata!P435,"missing: not provided"))),AND(IF(metadata!P435="",FALSE,IF(ISERROR(INT(metadata!P435)),FALSE,INT(metadata!P435)=metadata!P435)),metadata!P435&gt;0))</f>
        <v>0</v>
      </c>
      <c r="AQ435">
        <f>IF(metadata!Q435="",FALSE,TRUE)</f>
        <v>0</v>
      </c>
    </row>
    <row r="436" spans="1:43">
      <c r="A436" s="5">
        <f>IF(B436=" "," ",HYPERLINK(CONCATENATE("#metadata!",ADDRESS(INDEX($W$2:$W$1001,MATCH(ROWS($U$2:U436),$U$2:$U$1001,0),0),1)),INDEX($Z$2:$Z$1001,MATCH(ROWS($U$2:U436),$U$2:$U$1001,0),0)))</f>
        <v>0</v>
      </c>
      <c r="B436" s="4">
        <f>IF(OR(INDEX($V$2:$V$1001,MATCH(ROWS($U$2:U436),$U$2:$U$1001,0),1)&gt;=100000,INDEX($AB$1005:$AQ$1005,1,MATCH(COLUMNS($AB$1006:AB1006),$AB$1006:$AQ$1006,0))&gt;=100000), " ",IF(INDEX($AB$2:$AQ$1001,MATCH(ROWS($U$2:U436),$U$2:$U$1001,0),MATCH(COLUMNS($AB$1006:AB1006),$AB$1006:$AQ$1006,0)), HYPERLINK("#",""), HYPERLINK(CONCATENATE("#metadata!", ADDRESS(INDEX($W$2:$W$1001,MATCH(ROWS($U$2:U436),$U$2:$U$1001,0),0), INDEX($AB$1004:$AQ$1004,1,MATCH(COLUMNS($AB$1006:AB1006),$AB$1006:$AQ$1006,0)))),"Fix")))</f>
        <v>0</v>
      </c>
      <c r="C436" s="4">
        <f>IF(OR(INDEX($V$2:$V$1001,MATCH(ROWS($U$2:U436),$U$2:$U$1001,0),1)&gt;=100000,INDEX($AB$1005:$AQ$1005,1,MATCH(COLUMNS($AB$1006:AC1006),$AB$1006:$AQ$1006,0))&gt;=100000), " ",IF(INDEX($AB$2:$AQ$1001,MATCH(ROWS($U$2:U436),$U$2:$U$1001,0),MATCH(COLUMNS($AB$1006:AC1006),$AB$1006:$AQ$1006,0)), HYPERLINK("#",""), HYPERLINK(CONCATENATE("#metadata!", ADDRESS(INDEX($W$2:$W$1001,MATCH(ROWS($U$2:U436),$U$2:$U$1001,0),0), INDEX($AB$1004:$AQ$1004,1,MATCH(COLUMNS($AB$1006:AC1006),$AB$1006:$AQ$1006,0)))),"Fix")))</f>
        <v>0</v>
      </c>
      <c r="D436" s="4">
        <f>IF(OR(INDEX($V$2:$V$1001,MATCH(ROWS($U$2:U436),$U$2:$U$1001,0),1)&gt;=100000,INDEX($AB$1005:$AQ$1005,1,MATCH(COLUMNS($AB$1006:AD1006),$AB$1006:$AQ$1006,0))&gt;=100000), " ",IF(INDEX($AB$2:$AQ$1001,MATCH(ROWS($U$2:U436),$U$2:$U$1001,0),MATCH(COLUMNS($AB$1006:AD1006),$AB$1006:$AQ$1006,0)), HYPERLINK("#",""), HYPERLINK(CONCATENATE("#metadata!", ADDRESS(INDEX($W$2:$W$1001,MATCH(ROWS($U$2:U436),$U$2:$U$1001,0),0), INDEX($AB$1004:$AQ$1004,1,MATCH(COLUMNS($AB$1006:AD1006),$AB$1006:$AQ$1006,0)))),"Fix")))</f>
        <v>0</v>
      </c>
      <c r="E436" s="4">
        <f>IF(OR(INDEX($V$2:$V$1001,MATCH(ROWS($U$2:U436),$U$2:$U$1001,0),1)&gt;=100000,INDEX($AB$1005:$AQ$1005,1,MATCH(COLUMNS($AB$1006:AE1006),$AB$1006:$AQ$1006,0))&gt;=100000), " ",IF(INDEX($AB$2:$AQ$1001,MATCH(ROWS($U$2:U436),$U$2:$U$1001,0),MATCH(COLUMNS($AB$1006:AE1006),$AB$1006:$AQ$1006,0)), HYPERLINK("#",""), HYPERLINK(CONCATENATE("#metadata!", ADDRESS(INDEX($W$2:$W$1001,MATCH(ROWS($U$2:U436),$U$2:$U$1001,0),0), INDEX($AB$1004:$AQ$1004,1,MATCH(COLUMNS($AB$1006:AE1006),$AB$1006:$AQ$1006,0)))),"Fix")))</f>
        <v>0</v>
      </c>
      <c r="F436" s="4">
        <f>IF(OR(INDEX($V$2:$V$1001,MATCH(ROWS($U$2:U436),$U$2:$U$1001,0),1)&gt;=100000,INDEX($AB$1005:$AQ$1005,1,MATCH(COLUMNS($AB$1006:AF1006),$AB$1006:$AQ$1006,0))&gt;=100000), " ",IF(INDEX($AB$2:$AQ$1001,MATCH(ROWS($U$2:U436),$U$2:$U$1001,0),MATCH(COLUMNS($AB$1006:AF1006),$AB$1006:$AQ$1006,0)), HYPERLINK("#",""), HYPERLINK(CONCATENATE("#metadata!", ADDRESS(INDEX($W$2:$W$1001,MATCH(ROWS($U$2:U436),$U$2:$U$1001,0),0), INDEX($AB$1004:$AQ$1004,1,MATCH(COLUMNS($AB$1006:AF1006),$AB$1006:$AQ$1006,0)))),"Fix")))</f>
        <v>0</v>
      </c>
      <c r="G436" s="4">
        <f>IF(OR(INDEX($V$2:$V$1001,MATCH(ROWS($U$2:U436),$U$2:$U$1001,0),1)&gt;=100000,INDEX($AB$1005:$AQ$1005,1,MATCH(COLUMNS($AB$1006:AG1006),$AB$1006:$AQ$1006,0))&gt;=100000), " ",IF(INDEX($AB$2:$AQ$1001,MATCH(ROWS($U$2:U436),$U$2:$U$1001,0),MATCH(COLUMNS($AB$1006:AG1006),$AB$1006:$AQ$1006,0)), HYPERLINK("#",""), HYPERLINK(CONCATENATE("#metadata!", ADDRESS(INDEX($W$2:$W$1001,MATCH(ROWS($U$2:U436),$U$2:$U$1001,0),0), INDEX($AB$1004:$AQ$1004,1,MATCH(COLUMNS($AB$1006:AG1006),$AB$1006:$AQ$1006,0)))),"Fix")))</f>
        <v>0</v>
      </c>
      <c r="H436" s="4">
        <f>IF(OR(INDEX($V$2:$V$1001,MATCH(ROWS($U$2:U436),$U$2:$U$1001,0),1)&gt;=100000,INDEX($AB$1005:$AQ$1005,1,MATCH(COLUMNS($AB$1006:AH1006),$AB$1006:$AQ$1006,0))&gt;=100000), " ",IF(INDEX($AB$2:$AQ$1001,MATCH(ROWS($U$2:U436),$U$2:$U$1001,0),MATCH(COLUMNS($AB$1006:AH1006),$AB$1006:$AQ$1006,0)), HYPERLINK("#",""), HYPERLINK(CONCATENATE("#metadata!", ADDRESS(INDEX($W$2:$W$1001,MATCH(ROWS($U$2:U436),$U$2:$U$1001,0),0), INDEX($AB$1004:$AQ$1004,1,MATCH(COLUMNS($AB$1006:AH1006),$AB$1006:$AQ$1006,0)))),"Fix")))</f>
        <v>0</v>
      </c>
      <c r="I436" s="4">
        <f>IF(OR(INDEX($V$2:$V$1001,MATCH(ROWS($U$2:U436),$U$2:$U$1001,0),1)&gt;=100000,INDEX($AB$1005:$AQ$1005,1,MATCH(COLUMNS($AB$1006:AI1006),$AB$1006:$AQ$1006,0))&gt;=100000), " ",IF(INDEX($AB$2:$AQ$1001,MATCH(ROWS($U$2:U436),$U$2:$U$1001,0),MATCH(COLUMNS($AB$1006:AI1006),$AB$1006:$AQ$1006,0)), HYPERLINK("#",""), HYPERLINK(CONCATENATE("#metadata!", ADDRESS(INDEX($W$2:$W$1001,MATCH(ROWS($U$2:U436),$U$2:$U$1001,0),0), INDEX($AB$1004:$AQ$1004,1,MATCH(COLUMNS($AB$1006:AI1006),$AB$1006:$AQ$1006,0)))),"Fix")))</f>
        <v>0</v>
      </c>
      <c r="J436" s="4">
        <f>IF(OR(INDEX($V$2:$V$1001,MATCH(ROWS($U$2:U436),$U$2:$U$1001,0),1)&gt;=100000,INDEX($AB$1005:$AQ$1005,1,MATCH(COLUMNS($AB$1006:AJ1006),$AB$1006:$AQ$1006,0))&gt;=100000), " ",IF(INDEX($AB$2:$AQ$1001,MATCH(ROWS($U$2:U436),$U$2:$U$1001,0),MATCH(COLUMNS($AB$1006:AJ1006),$AB$1006:$AQ$1006,0)), HYPERLINK("#",""), HYPERLINK(CONCATENATE("#metadata!", ADDRESS(INDEX($W$2:$W$1001,MATCH(ROWS($U$2:U436),$U$2:$U$1001,0),0), INDEX($AB$1004:$AQ$1004,1,MATCH(COLUMNS($AB$1006:AJ1006),$AB$1006:$AQ$1006,0)))),"Fix")))</f>
        <v>0</v>
      </c>
      <c r="K436" s="4">
        <f>IF(OR(INDEX($V$2:$V$1001,MATCH(ROWS($U$2:U436),$U$2:$U$1001,0),1)&gt;=100000,INDEX($AB$1005:$AQ$1005,1,MATCH(COLUMNS($AB$1006:AK1006),$AB$1006:$AQ$1006,0))&gt;=100000), " ",IF(INDEX($AB$2:$AQ$1001,MATCH(ROWS($U$2:U436),$U$2:$U$1001,0),MATCH(COLUMNS($AB$1006:AK1006),$AB$1006:$AQ$1006,0)), HYPERLINK("#",""), HYPERLINK(CONCATENATE("#metadata!", ADDRESS(INDEX($W$2:$W$1001,MATCH(ROWS($U$2:U436),$U$2:$U$1001,0),0), INDEX($AB$1004:$AQ$1004,1,MATCH(COLUMNS($AB$1006:AK1006),$AB$1006:$AQ$1006,0)))),"Fix")))</f>
        <v>0</v>
      </c>
      <c r="L436" s="4">
        <f>IF(OR(INDEX($V$2:$V$1001,MATCH(ROWS($U$2:U436),$U$2:$U$1001,0),1)&gt;=100000,INDEX($AB$1005:$AQ$1005,1,MATCH(COLUMNS($AB$1006:AL1006),$AB$1006:$AQ$1006,0))&gt;=100000), " ",IF(INDEX($AB$2:$AQ$1001,MATCH(ROWS($U$2:U436),$U$2:$U$1001,0),MATCH(COLUMNS($AB$1006:AL1006),$AB$1006:$AQ$1006,0)), HYPERLINK("#",""), HYPERLINK(CONCATENATE("#metadata!", ADDRESS(INDEX($W$2:$W$1001,MATCH(ROWS($U$2:U436),$U$2:$U$1001,0),0), INDEX($AB$1004:$AQ$1004,1,MATCH(COLUMNS($AB$1006:AL1006),$AB$1006:$AQ$1006,0)))),"Fix")))</f>
        <v>0</v>
      </c>
      <c r="M436" s="4">
        <f>IF(OR(INDEX($V$2:$V$1001,MATCH(ROWS($U$2:U436),$U$2:$U$1001,0),1)&gt;=100000,INDEX($AB$1005:$AQ$1005,1,MATCH(COLUMNS($AB$1006:AM1006),$AB$1006:$AQ$1006,0))&gt;=100000), " ",IF(INDEX($AB$2:$AQ$1001,MATCH(ROWS($U$2:U436),$U$2:$U$1001,0),MATCH(COLUMNS($AB$1006:AM1006),$AB$1006:$AQ$1006,0)), HYPERLINK("#",""), HYPERLINK(CONCATENATE("#metadata!", ADDRESS(INDEX($W$2:$W$1001,MATCH(ROWS($U$2:U436),$U$2:$U$1001,0),0), INDEX($AB$1004:$AQ$1004,1,MATCH(COLUMNS($AB$1006:AM1006),$AB$1006:$AQ$1006,0)))),"Fix")))</f>
        <v>0</v>
      </c>
      <c r="N436" s="4">
        <f>IF(OR(INDEX($V$2:$V$1001,MATCH(ROWS($U$2:U436),$U$2:$U$1001,0),1)&gt;=100000,INDEX($AB$1005:$AQ$1005,1,MATCH(COLUMNS($AB$1006:AN1006),$AB$1006:$AQ$1006,0))&gt;=100000), " ",IF(INDEX($AB$2:$AQ$1001,MATCH(ROWS($U$2:U436),$U$2:$U$1001,0),MATCH(COLUMNS($AB$1006:AN1006),$AB$1006:$AQ$1006,0)), HYPERLINK("#",""), HYPERLINK(CONCATENATE("#metadata!", ADDRESS(INDEX($W$2:$W$1001,MATCH(ROWS($U$2:U436),$U$2:$U$1001,0),0), INDEX($AB$1004:$AQ$1004,1,MATCH(COLUMNS($AB$1006:AN1006),$AB$1006:$AQ$1006,0)))),"Fix")))</f>
        <v>0</v>
      </c>
      <c r="O436" s="4">
        <f>IF(OR(INDEX($V$2:$V$1001,MATCH(ROWS($U$2:U436),$U$2:$U$1001,0),1)&gt;=100000,INDEX($AB$1005:$AQ$1005,1,MATCH(COLUMNS($AB$1006:AO1006),$AB$1006:$AQ$1006,0))&gt;=100000), " ",IF(INDEX($AB$2:$AQ$1001,MATCH(ROWS($U$2:U436),$U$2:$U$1001,0),MATCH(COLUMNS($AB$1006:AO1006),$AB$1006:$AQ$1006,0)), HYPERLINK("#",""), HYPERLINK(CONCATENATE("#metadata!", ADDRESS(INDEX($W$2:$W$1001,MATCH(ROWS($U$2:U436),$U$2:$U$1001,0),0), INDEX($AB$1004:$AQ$1004,1,MATCH(COLUMNS($AB$1006:AO1006),$AB$1006:$AQ$1006,0)))),"Fix")))</f>
        <v>0</v>
      </c>
      <c r="P436" s="4">
        <f>IF(OR(INDEX($V$2:$V$1001,MATCH(ROWS($U$2:U436),$U$2:$U$1001,0),1)&gt;=100000,INDEX($AB$1005:$AQ$1005,1,MATCH(COLUMNS($AB$1006:AP1006),$AB$1006:$AQ$1006,0))&gt;=100000), " ",IF(INDEX($AB$2:$AQ$1001,MATCH(ROWS($U$2:U436),$U$2:$U$1001,0),MATCH(COLUMNS($AB$1006:AP1006),$AB$1006:$AQ$1006,0)), HYPERLINK("#",""), HYPERLINK(CONCATENATE("#metadata!", ADDRESS(INDEX($W$2:$W$1001,MATCH(ROWS($U$2:U436),$U$2:$U$1001,0),0), INDEX($AB$1004:$AQ$1004,1,MATCH(COLUMNS($AB$1006:AP1006),$AB$1006:$AQ$1006,0)))),"Fix")))</f>
        <v>0</v>
      </c>
      <c r="Q436" s="4">
        <f>IF(OR(INDEX($V$2:$V$1001,MATCH(ROWS($U$2:U436),$U$2:$U$1001,0),1)&gt;=100000,INDEX($AB$1005:$AQ$1005,1,MATCH(COLUMNS($AB$1006:AQ1006),$AB$1006:$AQ$1006,0))&gt;=100000), " ",IF(INDEX($AB$2:$AQ$1001,MATCH(ROWS($U$2:U436),$U$2:$U$1001,0),MATCH(COLUMNS($AB$1006:AQ1006),$AB$1006:$AQ$1006,0)), HYPERLINK("#",""), HYPERLINK(CONCATENATE("#metadata!", ADDRESS(INDEX($W$2:$W$1001,MATCH(ROWS($U$2:U436),$U$2:$U$1001,0),0), INDEX($AB$1004:$AQ$1004,1,MATCH(COLUMNS($AB$1006:AQ1006),$AB$1006:$AQ$1006,0)))),"Fix")))</f>
        <v>0</v>
      </c>
      <c r="U436">
        <v>0</v>
      </c>
      <c r="V436">
        <v>0</v>
      </c>
      <c r="W436">
        <v>0</v>
      </c>
      <c r="X436">
        <f>IF(Y436,TRUE,AND(AB436:AQ436))</f>
        <v>0</v>
      </c>
      <c r="Y436">
        <f>COUNTBLANK(metadata!B436:Q436)=COLUMNS(metadata!B436:Q436)</f>
        <v>0</v>
      </c>
      <c r="Z436">
        <v>0</v>
      </c>
      <c r="AB436">
        <f>AND(IF(metadata!B436="",FALSE,TRUE),COUNTIF(metadata!B:B, metadata!B436) = 1,NOT(ISERROR(SUMPRODUCT(SEARCH(MID(metadata!B436,ROW(INDIRECT("1:"&amp;LEN(metadata!B436))), 1),"0123456789abcdefghijklmnopqrstuvwxyzABCDEFGHIJKLMNOPQRSTUVWXYZ.")))))</f>
        <v>0</v>
      </c>
      <c r="AC436">
        <f>OR(AND(IF(metadata!C436="",FALSE,TRUE),OR(exact(metadata!C436,"missing: not collected"),exact(metadata!C436,"missing: not provided"),exact(metadata!C436,"missing: restricted access"))),AND(IF(metadata!C436="",FALSE,TRUE),AND(AND(IFERROR(INT(LEFT(metadata!C436,4))&gt;1900,FALSE),IFERROR(INT(LEFT(metadata!C436,4))&lt;=YEAR(NOW()),FALSE)), OR(MID(metadata!C436,5,1)="", AND(AND(MID(metadata!C436,5,1)="-",IFERROR(INT(MID(metadata!C436,6,1))&gt;=0,FALSE),IFERROR(INT(MID(metadata!C436,6,1))&lt;=1,FALSE),NOT(MID(metadata!C436,7,1)=""),IFERROR(INT(MID(metadata!C436,6,2))&gt;=1,FALSE),IFERROR(INT(MID(metadata!C436,6,2))&lt;=12,FALSE)), OR(MID(metadata!C436,8,1)="", AND(AND(MID(metadata!C436,8,1)="-",IFERROR(INT(MID(metadata!C436,9,1))&gt;=0,FALSE),IFERROR(INT(MID(metadata!C436,9,1))&lt;=3,FALSE),NOT(MID(metadata!C436,10,1)=""),IFERROR(INT(MID(metadata!C436,9,2))&gt;=1,FALSE),IFERROR(INT(MID(metadata!C436,9,2))&lt;=31,FALSE)), OR(MID(metadata!C436,11,1)="", AND(AND(MID(metadata!C436,11,1)=" ",IFERROR(INT(MID(metadata!C436,12,1))&gt;=0,FALSE),IFERROR(INT(MID(metadata!C436,12,1))&lt;=2,FALSE),NOT(MID(metadata!C436,13,1)=""),IFERROR(INT(MID(metadata!C436,12,2))&gt;=0,FALSE),IFERROR(INT(MID(metadata!C436,12,2))&lt;=23,FALSE)), OR(MID(metadata!C436,14,1)="", AND(AND(MID(metadata!C436,14,1)=":",IFERROR(INT(MID(metadata!C436,15,1))&gt;=0,FALSE),IFERROR(INT(MID(metadata!C436,15,1))&lt;=5,FALSE),NOT(MID(metadata!C436,16,1)=""),IFERROR(INT(MID(metadata!C436,15,2))&gt;=0,FALSE),IFERROR(INT(MID(metadata!C436,15,2))&lt;=59,FALSE)), OR(MID(metadata!C436,17,1)="", AND(AND(MID(metadata!C436,17,1)=":",IFERROR(INT(MID(metadata!C436,18,1))&gt;=0,FALSE),IFERROR(INT(MID(metadata!C436,18,1))&lt;=5,FALSE),NOT(MID(metadata!C436,19,1)=""),IFERROR(INT(MID(metadata!C436,18,2))&gt;=0,FALSE),IFERROR(INT(MID(metadata!C436,18,2))&lt;=59,FALSE)), LEN(metadata!C436)&lt;=19)))))))))))))</f>
        <v>0</v>
      </c>
      <c r="AD436">
        <f>IF(metadata!D436="",FALSE,TRUE)</f>
        <v>0</v>
      </c>
      <c r="AE436">
        <f>OR(AND(IF(metadata!E436="",FALSE,TRUE),OR(exact(metadata!E436,"missing: not collected"),exact(metadata!E436,"missing: not provided"))),AND(IF(metadata!E436="",FALSE,TRUE),OR(exact(metadata!E436,"TRUE"),exact(metadata!E436,"FALSE"))))</f>
        <v>0</v>
      </c>
      <c r="AF436">
        <f>IF(metadata!F436="",FALSE,TRUE)</f>
        <v>0</v>
      </c>
      <c r="AG436">
        <f>IF(metadata!G436="",FALSE,TRUE)</f>
        <v>0</v>
      </c>
      <c r="AH436">
        <f>IF(metadata!H436="",FALSE,TRUE)</f>
        <v>0</v>
      </c>
      <c r="AI436">
        <f>OR(AND(IF(metadata!I436="",FALSE,TRUE),OR(exact(metadata!I436,"missing: not collected"),exact(metadata!I436,"missing: not provided"),exact(metadata!I436,"missing: restricted access"))),AND(IF(metadata!I436="",FALSE,TRUE),OR(exact(metadata!I436,"air"),exact(metadata!I436,"built environment"),exact(metadata!I436,"host-associated"),exact(metadata!I436,"human-associated"),exact(metadata!I436,"human-skin"),exact(metadata!I436,"human-oral"),exact(metadata!I436,"human-gut"),exact(metadata!I436,"human-vaginal"),exact(metadata!I436,"microbial mat/biofilm"),exact(metadata!I436,"misc environment"),exact(metadata!I436,"plant-associated"),exact(metadata!I436,"sediment"),exact(metadata!I436,"soil"),exact(metadata!I436,"wastewater/sludge"),exact(metadata!I436,"water"))))</f>
        <v>0</v>
      </c>
      <c r="AJ436">
        <f>IF(metadata!J436="",FALSE,TRUE)</f>
        <v>0</v>
      </c>
      <c r="AK436">
        <f>OR(AND(IF(metadata!K436="",FALSE,TRUE),OR(exact(metadata!K436,"missing: not collected"),exact(metadata!K436,"missing: not provided"),exact(metadata!K436,"missing: restricted access"))),AND(IF(metadata!K436="",FALSE,ISNUMBER(VALUE(metadata!K436))),metadata!K436&gt;=-90.00,metadata!K436&lt;=90.00))</f>
        <v>0</v>
      </c>
      <c r="AL436">
        <f>OR(AND(IF(metadata!L436="",FALSE,TRUE),OR(exact(metadata!L436,"missing: not collected"),exact(metadata!L436,"missing: not provided"),exact(metadata!L436,"missing: restricted access"))),AND(IF(metadata!L436="",FALSE,ISNUMBER(VALUE(metadata!L436))),metadata!L436&gt;=-180.00,metadata!L436&lt;=180.00))</f>
        <v>0</v>
      </c>
      <c r="AM436">
        <f>IF(metadata!M436="",FALSE,TRUE)</f>
        <v>0</v>
      </c>
      <c r="AN436">
        <f>OR(AND(IF(metadata!N436="",FALSE,TRUE),OR(exact(metadata!N436,"missing: not collected"),exact(metadata!N436,"missing: not provided"),exact(metadata!N436,"missing: restricted access"))),AND(IF(metadata!N436="",FALSE,TRUE),OR(exact(metadata!N436,"TRUE"),exact(metadata!N436,"FALSE"))))</f>
        <v>0</v>
      </c>
      <c r="AO436">
        <f>IF(metadata!O436="",FALSE,TRUE)</f>
        <v>0</v>
      </c>
      <c r="AP436">
        <f>OR(AND(IF(metadata!P436="",FALSE,TRUE),OR(exact(metadata!P436,"missing: not collected"),exact(metadata!P436,"missing: not provided"))),AND(IF(metadata!P436="",FALSE,IF(ISERROR(INT(metadata!P436)),FALSE,INT(metadata!P436)=metadata!P436)),metadata!P436&gt;0))</f>
        <v>0</v>
      </c>
      <c r="AQ436">
        <f>IF(metadata!Q436="",FALSE,TRUE)</f>
        <v>0</v>
      </c>
    </row>
    <row r="437" spans="1:43">
      <c r="A437" s="5">
        <f>IF(B437=" "," ",HYPERLINK(CONCATENATE("#metadata!",ADDRESS(INDEX($W$2:$W$1001,MATCH(ROWS($U$2:U437),$U$2:$U$1001,0),0),1)),INDEX($Z$2:$Z$1001,MATCH(ROWS($U$2:U437),$U$2:$U$1001,0),0)))</f>
        <v>0</v>
      </c>
      <c r="B437" s="4">
        <f>IF(OR(INDEX($V$2:$V$1001,MATCH(ROWS($U$2:U437),$U$2:$U$1001,0),1)&gt;=100000,INDEX($AB$1005:$AQ$1005,1,MATCH(COLUMNS($AB$1006:AB1006),$AB$1006:$AQ$1006,0))&gt;=100000), " ",IF(INDEX($AB$2:$AQ$1001,MATCH(ROWS($U$2:U437),$U$2:$U$1001,0),MATCH(COLUMNS($AB$1006:AB1006),$AB$1006:$AQ$1006,0)), HYPERLINK("#",""), HYPERLINK(CONCATENATE("#metadata!", ADDRESS(INDEX($W$2:$W$1001,MATCH(ROWS($U$2:U437),$U$2:$U$1001,0),0), INDEX($AB$1004:$AQ$1004,1,MATCH(COLUMNS($AB$1006:AB1006),$AB$1006:$AQ$1006,0)))),"Fix")))</f>
        <v>0</v>
      </c>
      <c r="C437" s="4">
        <f>IF(OR(INDEX($V$2:$V$1001,MATCH(ROWS($U$2:U437),$U$2:$U$1001,0),1)&gt;=100000,INDEX($AB$1005:$AQ$1005,1,MATCH(COLUMNS($AB$1006:AC1006),$AB$1006:$AQ$1006,0))&gt;=100000), " ",IF(INDEX($AB$2:$AQ$1001,MATCH(ROWS($U$2:U437),$U$2:$U$1001,0),MATCH(COLUMNS($AB$1006:AC1006),$AB$1006:$AQ$1006,0)), HYPERLINK("#",""), HYPERLINK(CONCATENATE("#metadata!", ADDRESS(INDEX($W$2:$W$1001,MATCH(ROWS($U$2:U437),$U$2:$U$1001,0),0), INDEX($AB$1004:$AQ$1004,1,MATCH(COLUMNS($AB$1006:AC1006),$AB$1006:$AQ$1006,0)))),"Fix")))</f>
        <v>0</v>
      </c>
      <c r="D437" s="4">
        <f>IF(OR(INDEX($V$2:$V$1001,MATCH(ROWS($U$2:U437),$U$2:$U$1001,0),1)&gt;=100000,INDEX($AB$1005:$AQ$1005,1,MATCH(COLUMNS($AB$1006:AD1006),$AB$1006:$AQ$1006,0))&gt;=100000), " ",IF(INDEX($AB$2:$AQ$1001,MATCH(ROWS($U$2:U437),$U$2:$U$1001,0),MATCH(COLUMNS($AB$1006:AD1006),$AB$1006:$AQ$1006,0)), HYPERLINK("#",""), HYPERLINK(CONCATENATE("#metadata!", ADDRESS(INDEX($W$2:$W$1001,MATCH(ROWS($U$2:U437),$U$2:$U$1001,0),0), INDEX($AB$1004:$AQ$1004,1,MATCH(COLUMNS($AB$1006:AD1006),$AB$1006:$AQ$1006,0)))),"Fix")))</f>
        <v>0</v>
      </c>
      <c r="E437" s="4">
        <f>IF(OR(INDEX($V$2:$V$1001,MATCH(ROWS($U$2:U437),$U$2:$U$1001,0),1)&gt;=100000,INDEX($AB$1005:$AQ$1005,1,MATCH(COLUMNS($AB$1006:AE1006),$AB$1006:$AQ$1006,0))&gt;=100000), " ",IF(INDEX($AB$2:$AQ$1001,MATCH(ROWS($U$2:U437),$U$2:$U$1001,0),MATCH(COLUMNS($AB$1006:AE1006),$AB$1006:$AQ$1006,0)), HYPERLINK("#",""), HYPERLINK(CONCATENATE("#metadata!", ADDRESS(INDEX($W$2:$W$1001,MATCH(ROWS($U$2:U437),$U$2:$U$1001,0),0), INDEX($AB$1004:$AQ$1004,1,MATCH(COLUMNS($AB$1006:AE1006),$AB$1006:$AQ$1006,0)))),"Fix")))</f>
        <v>0</v>
      </c>
      <c r="F437" s="4">
        <f>IF(OR(INDEX($V$2:$V$1001,MATCH(ROWS($U$2:U437),$U$2:$U$1001,0),1)&gt;=100000,INDEX($AB$1005:$AQ$1005,1,MATCH(COLUMNS($AB$1006:AF1006),$AB$1006:$AQ$1006,0))&gt;=100000), " ",IF(INDEX($AB$2:$AQ$1001,MATCH(ROWS($U$2:U437),$U$2:$U$1001,0),MATCH(COLUMNS($AB$1006:AF1006),$AB$1006:$AQ$1006,0)), HYPERLINK("#",""), HYPERLINK(CONCATENATE("#metadata!", ADDRESS(INDEX($W$2:$W$1001,MATCH(ROWS($U$2:U437),$U$2:$U$1001,0),0), INDEX($AB$1004:$AQ$1004,1,MATCH(COLUMNS($AB$1006:AF1006),$AB$1006:$AQ$1006,0)))),"Fix")))</f>
        <v>0</v>
      </c>
      <c r="G437" s="4">
        <f>IF(OR(INDEX($V$2:$V$1001,MATCH(ROWS($U$2:U437),$U$2:$U$1001,0),1)&gt;=100000,INDEX($AB$1005:$AQ$1005,1,MATCH(COLUMNS($AB$1006:AG1006),$AB$1006:$AQ$1006,0))&gt;=100000), " ",IF(INDEX($AB$2:$AQ$1001,MATCH(ROWS($U$2:U437),$U$2:$U$1001,0),MATCH(COLUMNS($AB$1006:AG1006),$AB$1006:$AQ$1006,0)), HYPERLINK("#",""), HYPERLINK(CONCATENATE("#metadata!", ADDRESS(INDEX($W$2:$W$1001,MATCH(ROWS($U$2:U437),$U$2:$U$1001,0),0), INDEX($AB$1004:$AQ$1004,1,MATCH(COLUMNS($AB$1006:AG1006),$AB$1006:$AQ$1006,0)))),"Fix")))</f>
        <v>0</v>
      </c>
      <c r="H437" s="4">
        <f>IF(OR(INDEX($V$2:$V$1001,MATCH(ROWS($U$2:U437),$U$2:$U$1001,0),1)&gt;=100000,INDEX($AB$1005:$AQ$1005,1,MATCH(COLUMNS($AB$1006:AH1006),$AB$1006:$AQ$1006,0))&gt;=100000), " ",IF(INDEX($AB$2:$AQ$1001,MATCH(ROWS($U$2:U437),$U$2:$U$1001,0),MATCH(COLUMNS($AB$1006:AH1006),$AB$1006:$AQ$1006,0)), HYPERLINK("#",""), HYPERLINK(CONCATENATE("#metadata!", ADDRESS(INDEX($W$2:$W$1001,MATCH(ROWS($U$2:U437),$U$2:$U$1001,0),0), INDEX($AB$1004:$AQ$1004,1,MATCH(COLUMNS($AB$1006:AH1006),$AB$1006:$AQ$1006,0)))),"Fix")))</f>
        <v>0</v>
      </c>
      <c r="I437" s="4">
        <f>IF(OR(INDEX($V$2:$V$1001,MATCH(ROWS($U$2:U437),$U$2:$U$1001,0),1)&gt;=100000,INDEX($AB$1005:$AQ$1005,1,MATCH(COLUMNS($AB$1006:AI1006),$AB$1006:$AQ$1006,0))&gt;=100000), " ",IF(INDEX($AB$2:$AQ$1001,MATCH(ROWS($U$2:U437),$U$2:$U$1001,0),MATCH(COLUMNS($AB$1006:AI1006),$AB$1006:$AQ$1006,0)), HYPERLINK("#",""), HYPERLINK(CONCATENATE("#metadata!", ADDRESS(INDEX($W$2:$W$1001,MATCH(ROWS($U$2:U437),$U$2:$U$1001,0),0), INDEX($AB$1004:$AQ$1004,1,MATCH(COLUMNS($AB$1006:AI1006),$AB$1006:$AQ$1006,0)))),"Fix")))</f>
        <v>0</v>
      </c>
      <c r="J437" s="4">
        <f>IF(OR(INDEX($V$2:$V$1001,MATCH(ROWS($U$2:U437),$U$2:$U$1001,0),1)&gt;=100000,INDEX($AB$1005:$AQ$1005,1,MATCH(COLUMNS($AB$1006:AJ1006),$AB$1006:$AQ$1006,0))&gt;=100000), " ",IF(INDEX($AB$2:$AQ$1001,MATCH(ROWS($U$2:U437),$U$2:$U$1001,0),MATCH(COLUMNS($AB$1006:AJ1006),$AB$1006:$AQ$1006,0)), HYPERLINK("#",""), HYPERLINK(CONCATENATE("#metadata!", ADDRESS(INDEX($W$2:$W$1001,MATCH(ROWS($U$2:U437),$U$2:$U$1001,0),0), INDEX($AB$1004:$AQ$1004,1,MATCH(COLUMNS($AB$1006:AJ1006),$AB$1006:$AQ$1006,0)))),"Fix")))</f>
        <v>0</v>
      </c>
      <c r="K437" s="4">
        <f>IF(OR(INDEX($V$2:$V$1001,MATCH(ROWS($U$2:U437),$U$2:$U$1001,0),1)&gt;=100000,INDEX($AB$1005:$AQ$1005,1,MATCH(COLUMNS($AB$1006:AK1006),$AB$1006:$AQ$1006,0))&gt;=100000), " ",IF(INDEX($AB$2:$AQ$1001,MATCH(ROWS($U$2:U437),$U$2:$U$1001,0),MATCH(COLUMNS($AB$1006:AK1006),$AB$1006:$AQ$1006,0)), HYPERLINK("#",""), HYPERLINK(CONCATENATE("#metadata!", ADDRESS(INDEX($W$2:$W$1001,MATCH(ROWS($U$2:U437),$U$2:$U$1001,0),0), INDEX($AB$1004:$AQ$1004,1,MATCH(COLUMNS($AB$1006:AK1006),$AB$1006:$AQ$1006,0)))),"Fix")))</f>
        <v>0</v>
      </c>
      <c r="L437" s="4">
        <f>IF(OR(INDEX($V$2:$V$1001,MATCH(ROWS($U$2:U437),$U$2:$U$1001,0),1)&gt;=100000,INDEX($AB$1005:$AQ$1005,1,MATCH(COLUMNS($AB$1006:AL1006),$AB$1006:$AQ$1006,0))&gt;=100000), " ",IF(INDEX($AB$2:$AQ$1001,MATCH(ROWS($U$2:U437),$U$2:$U$1001,0),MATCH(COLUMNS($AB$1006:AL1006),$AB$1006:$AQ$1006,0)), HYPERLINK("#",""), HYPERLINK(CONCATENATE("#metadata!", ADDRESS(INDEX($W$2:$W$1001,MATCH(ROWS($U$2:U437),$U$2:$U$1001,0),0), INDEX($AB$1004:$AQ$1004,1,MATCH(COLUMNS($AB$1006:AL1006),$AB$1006:$AQ$1006,0)))),"Fix")))</f>
        <v>0</v>
      </c>
      <c r="M437" s="4">
        <f>IF(OR(INDEX($V$2:$V$1001,MATCH(ROWS($U$2:U437),$U$2:$U$1001,0),1)&gt;=100000,INDEX($AB$1005:$AQ$1005,1,MATCH(COLUMNS($AB$1006:AM1006),$AB$1006:$AQ$1006,0))&gt;=100000), " ",IF(INDEX($AB$2:$AQ$1001,MATCH(ROWS($U$2:U437),$U$2:$U$1001,0),MATCH(COLUMNS($AB$1006:AM1006),$AB$1006:$AQ$1006,0)), HYPERLINK("#",""), HYPERLINK(CONCATENATE("#metadata!", ADDRESS(INDEX($W$2:$W$1001,MATCH(ROWS($U$2:U437),$U$2:$U$1001,0),0), INDEX($AB$1004:$AQ$1004,1,MATCH(COLUMNS($AB$1006:AM1006),$AB$1006:$AQ$1006,0)))),"Fix")))</f>
        <v>0</v>
      </c>
      <c r="N437" s="4">
        <f>IF(OR(INDEX($V$2:$V$1001,MATCH(ROWS($U$2:U437),$U$2:$U$1001,0),1)&gt;=100000,INDEX($AB$1005:$AQ$1005,1,MATCH(COLUMNS($AB$1006:AN1006),$AB$1006:$AQ$1006,0))&gt;=100000), " ",IF(INDEX($AB$2:$AQ$1001,MATCH(ROWS($U$2:U437),$U$2:$U$1001,0),MATCH(COLUMNS($AB$1006:AN1006),$AB$1006:$AQ$1006,0)), HYPERLINK("#",""), HYPERLINK(CONCATENATE("#metadata!", ADDRESS(INDEX($W$2:$W$1001,MATCH(ROWS($U$2:U437),$U$2:$U$1001,0),0), INDEX($AB$1004:$AQ$1004,1,MATCH(COLUMNS($AB$1006:AN1006),$AB$1006:$AQ$1006,0)))),"Fix")))</f>
        <v>0</v>
      </c>
      <c r="O437" s="4">
        <f>IF(OR(INDEX($V$2:$V$1001,MATCH(ROWS($U$2:U437),$U$2:$U$1001,0),1)&gt;=100000,INDEX($AB$1005:$AQ$1005,1,MATCH(COLUMNS($AB$1006:AO1006),$AB$1006:$AQ$1006,0))&gt;=100000), " ",IF(INDEX($AB$2:$AQ$1001,MATCH(ROWS($U$2:U437),$U$2:$U$1001,0),MATCH(COLUMNS($AB$1006:AO1006),$AB$1006:$AQ$1006,0)), HYPERLINK("#",""), HYPERLINK(CONCATENATE("#metadata!", ADDRESS(INDEX($W$2:$W$1001,MATCH(ROWS($U$2:U437),$U$2:$U$1001,0),0), INDEX($AB$1004:$AQ$1004,1,MATCH(COLUMNS($AB$1006:AO1006),$AB$1006:$AQ$1006,0)))),"Fix")))</f>
        <v>0</v>
      </c>
      <c r="P437" s="4">
        <f>IF(OR(INDEX($V$2:$V$1001,MATCH(ROWS($U$2:U437),$U$2:$U$1001,0),1)&gt;=100000,INDEX($AB$1005:$AQ$1005,1,MATCH(COLUMNS($AB$1006:AP1006),$AB$1006:$AQ$1006,0))&gt;=100000), " ",IF(INDEX($AB$2:$AQ$1001,MATCH(ROWS($U$2:U437),$U$2:$U$1001,0),MATCH(COLUMNS($AB$1006:AP1006),$AB$1006:$AQ$1006,0)), HYPERLINK("#",""), HYPERLINK(CONCATENATE("#metadata!", ADDRESS(INDEX($W$2:$W$1001,MATCH(ROWS($U$2:U437),$U$2:$U$1001,0),0), INDEX($AB$1004:$AQ$1004,1,MATCH(COLUMNS($AB$1006:AP1006),$AB$1006:$AQ$1006,0)))),"Fix")))</f>
        <v>0</v>
      </c>
      <c r="Q437" s="4">
        <f>IF(OR(INDEX($V$2:$V$1001,MATCH(ROWS($U$2:U437),$U$2:$U$1001,0),1)&gt;=100000,INDEX($AB$1005:$AQ$1005,1,MATCH(COLUMNS($AB$1006:AQ1006),$AB$1006:$AQ$1006,0))&gt;=100000), " ",IF(INDEX($AB$2:$AQ$1001,MATCH(ROWS($U$2:U437),$U$2:$U$1001,0),MATCH(COLUMNS($AB$1006:AQ1006),$AB$1006:$AQ$1006,0)), HYPERLINK("#",""), HYPERLINK(CONCATENATE("#metadata!", ADDRESS(INDEX($W$2:$W$1001,MATCH(ROWS($U$2:U437),$U$2:$U$1001,0),0), INDEX($AB$1004:$AQ$1004,1,MATCH(COLUMNS($AB$1006:AQ1006),$AB$1006:$AQ$1006,0)))),"Fix")))</f>
        <v>0</v>
      </c>
      <c r="U437">
        <v>0</v>
      </c>
      <c r="V437">
        <v>0</v>
      </c>
      <c r="W437">
        <v>0</v>
      </c>
      <c r="X437">
        <f>IF(Y437,TRUE,AND(AB437:AQ437))</f>
        <v>0</v>
      </c>
      <c r="Y437">
        <f>COUNTBLANK(metadata!B437:Q437)=COLUMNS(metadata!B437:Q437)</f>
        <v>0</v>
      </c>
      <c r="Z437">
        <v>0</v>
      </c>
      <c r="AB437">
        <f>AND(IF(metadata!B437="",FALSE,TRUE),COUNTIF(metadata!B:B, metadata!B437) = 1,NOT(ISERROR(SUMPRODUCT(SEARCH(MID(metadata!B437,ROW(INDIRECT("1:"&amp;LEN(metadata!B437))), 1),"0123456789abcdefghijklmnopqrstuvwxyzABCDEFGHIJKLMNOPQRSTUVWXYZ.")))))</f>
        <v>0</v>
      </c>
      <c r="AC437">
        <f>OR(AND(IF(metadata!C437="",FALSE,TRUE),OR(exact(metadata!C437,"missing: not collected"),exact(metadata!C437,"missing: not provided"),exact(metadata!C437,"missing: restricted access"))),AND(IF(metadata!C437="",FALSE,TRUE),AND(AND(IFERROR(INT(LEFT(metadata!C437,4))&gt;1900,FALSE),IFERROR(INT(LEFT(metadata!C437,4))&lt;=YEAR(NOW()),FALSE)), OR(MID(metadata!C437,5,1)="", AND(AND(MID(metadata!C437,5,1)="-",IFERROR(INT(MID(metadata!C437,6,1))&gt;=0,FALSE),IFERROR(INT(MID(metadata!C437,6,1))&lt;=1,FALSE),NOT(MID(metadata!C437,7,1)=""),IFERROR(INT(MID(metadata!C437,6,2))&gt;=1,FALSE),IFERROR(INT(MID(metadata!C437,6,2))&lt;=12,FALSE)), OR(MID(metadata!C437,8,1)="", AND(AND(MID(metadata!C437,8,1)="-",IFERROR(INT(MID(metadata!C437,9,1))&gt;=0,FALSE),IFERROR(INT(MID(metadata!C437,9,1))&lt;=3,FALSE),NOT(MID(metadata!C437,10,1)=""),IFERROR(INT(MID(metadata!C437,9,2))&gt;=1,FALSE),IFERROR(INT(MID(metadata!C437,9,2))&lt;=31,FALSE)), OR(MID(metadata!C437,11,1)="", AND(AND(MID(metadata!C437,11,1)=" ",IFERROR(INT(MID(metadata!C437,12,1))&gt;=0,FALSE),IFERROR(INT(MID(metadata!C437,12,1))&lt;=2,FALSE),NOT(MID(metadata!C437,13,1)=""),IFERROR(INT(MID(metadata!C437,12,2))&gt;=0,FALSE),IFERROR(INT(MID(metadata!C437,12,2))&lt;=23,FALSE)), OR(MID(metadata!C437,14,1)="", AND(AND(MID(metadata!C437,14,1)=":",IFERROR(INT(MID(metadata!C437,15,1))&gt;=0,FALSE),IFERROR(INT(MID(metadata!C437,15,1))&lt;=5,FALSE),NOT(MID(metadata!C437,16,1)=""),IFERROR(INT(MID(metadata!C437,15,2))&gt;=0,FALSE),IFERROR(INT(MID(metadata!C437,15,2))&lt;=59,FALSE)), OR(MID(metadata!C437,17,1)="", AND(AND(MID(metadata!C437,17,1)=":",IFERROR(INT(MID(metadata!C437,18,1))&gt;=0,FALSE),IFERROR(INT(MID(metadata!C437,18,1))&lt;=5,FALSE),NOT(MID(metadata!C437,19,1)=""),IFERROR(INT(MID(metadata!C437,18,2))&gt;=0,FALSE),IFERROR(INT(MID(metadata!C437,18,2))&lt;=59,FALSE)), LEN(metadata!C437)&lt;=19)))))))))))))</f>
        <v>0</v>
      </c>
      <c r="AD437">
        <f>IF(metadata!D437="",FALSE,TRUE)</f>
        <v>0</v>
      </c>
      <c r="AE437">
        <f>OR(AND(IF(metadata!E437="",FALSE,TRUE),OR(exact(metadata!E437,"missing: not collected"),exact(metadata!E437,"missing: not provided"))),AND(IF(metadata!E437="",FALSE,TRUE),OR(exact(metadata!E437,"TRUE"),exact(metadata!E437,"FALSE"))))</f>
        <v>0</v>
      </c>
      <c r="AF437">
        <f>IF(metadata!F437="",FALSE,TRUE)</f>
        <v>0</v>
      </c>
      <c r="AG437">
        <f>IF(metadata!G437="",FALSE,TRUE)</f>
        <v>0</v>
      </c>
      <c r="AH437">
        <f>IF(metadata!H437="",FALSE,TRUE)</f>
        <v>0</v>
      </c>
      <c r="AI437">
        <f>OR(AND(IF(metadata!I437="",FALSE,TRUE),OR(exact(metadata!I437,"missing: not collected"),exact(metadata!I437,"missing: not provided"),exact(metadata!I437,"missing: restricted access"))),AND(IF(metadata!I437="",FALSE,TRUE),OR(exact(metadata!I437,"air"),exact(metadata!I437,"built environment"),exact(metadata!I437,"host-associated"),exact(metadata!I437,"human-associated"),exact(metadata!I437,"human-skin"),exact(metadata!I437,"human-oral"),exact(metadata!I437,"human-gut"),exact(metadata!I437,"human-vaginal"),exact(metadata!I437,"microbial mat/biofilm"),exact(metadata!I437,"misc environment"),exact(metadata!I437,"plant-associated"),exact(metadata!I437,"sediment"),exact(metadata!I437,"soil"),exact(metadata!I437,"wastewater/sludge"),exact(metadata!I437,"water"))))</f>
        <v>0</v>
      </c>
      <c r="AJ437">
        <f>IF(metadata!J437="",FALSE,TRUE)</f>
        <v>0</v>
      </c>
      <c r="AK437">
        <f>OR(AND(IF(metadata!K437="",FALSE,TRUE),OR(exact(metadata!K437,"missing: not collected"),exact(metadata!K437,"missing: not provided"),exact(metadata!K437,"missing: restricted access"))),AND(IF(metadata!K437="",FALSE,ISNUMBER(VALUE(metadata!K437))),metadata!K437&gt;=-90.00,metadata!K437&lt;=90.00))</f>
        <v>0</v>
      </c>
      <c r="AL437">
        <f>OR(AND(IF(metadata!L437="",FALSE,TRUE),OR(exact(metadata!L437,"missing: not collected"),exact(metadata!L437,"missing: not provided"),exact(metadata!L437,"missing: restricted access"))),AND(IF(metadata!L437="",FALSE,ISNUMBER(VALUE(metadata!L437))),metadata!L437&gt;=-180.00,metadata!L437&lt;=180.00))</f>
        <v>0</v>
      </c>
      <c r="AM437">
        <f>IF(metadata!M437="",FALSE,TRUE)</f>
        <v>0</v>
      </c>
      <c r="AN437">
        <f>OR(AND(IF(metadata!N437="",FALSE,TRUE),OR(exact(metadata!N437,"missing: not collected"),exact(metadata!N437,"missing: not provided"),exact(metadata!N437,"missing: restricted access"))),AND(IF(metadata!N437="",FALSE,TRUE),OR(exact(metadata!N437,"TRUE"),exact(metadata!N437,"FALSE"))))</f>
        <v>0</v>
      </c>
      <c r="AO437">
        <f>IF(metadata!O437="",FALSE,TRUE)</f>
        <v>0</v>
      </c>
      <c r="AP437">
        <f>OR(AND(IF(metadata!P437="",FALSE,TRUE),OR(exact(metadata!P437,"missing: not collected"),exact(metadata!P437,"missing: not provided"))),AND(IF(metadata!P437="",FALSE,IF(ISERROR(INT(metadata!P437)),FALSE,INT(metadata!P437)=metadata!P437)),metadata!P437&gt;0))</f>
        <v>0</v>
      </c>
      <c r="AQ437">
        <f>IF(metadata!Q437="",FALSE,TRUE)</f>
        <v>0</v>
      </c>
    </row>
    <row r="438" spans="1:43">
      <c r="A438" s="5">
        <f>IF(B438=" "," ",HYPERLINK(CONCATENATE("#metadata!",ADDRESS(INDEX($W$2:$W$1001,MATCH(ROWS($U$2:U438),$U$2:$U$1001,0),0),1)),INDEX($Z$2:$Z$1001,MATCH(ROWS($U$2:U438),$U$2:$U$1001,0),0)))</f>
        <v>0</v>
      </c>
      <c r="B438" s="4">
        <f>IF(OR(INDEX($V$2:$V$1001,MATCH(ROWS($U$2:U438),$U$2:$U$1001,0),1)&gt;=100000,INDEX($AB$1005:$AQ$1005,1,MATCH(COLUMNS($AB$1006:AB1006),$AB$1006:$AQ$1006,0))&gt;=100000), " ",IF(INDEX($AB$2:$AQ$1001,MATCH(ROWS($U$2:U438),$U$2:$U$1001,0),MATCH(COLUMNS($AB$1006:AB1006),$AB$1006:$AQ$1006,0)), HYPERLINK("#",""), HYPERLINK(CONCATENATE("#metadata!", ADDRESS(INDEX($W$2:$W$1001,MATCH(ROWS($U$2:U438),$U$2:$U$1001,0),0), INDEX($AB$1004:$AQ$1004,1,MATCH(COLUMNS($AB$1006:AB1006),$AB$1006:$AQ$1006,0)))),"Fix")))</f>
        <v>0</v>
      </c>
      <c r="C438" s="4">
        <f>IF(OR(INDEX($V$2:$V$1001,MATCH(ROWS($U$2:U438),$U$2:$U$1001,0),1)&gt;=100000,INDEX($AB$1005:$AQ$1005,1,MATCH(COLUMNS($AB$1006:AC1006),$AB$1006:$AQ$1006,0))&gt;=100000), " ",IF(INDEX($AB$2:$AQ$1001,MATCH(ROWS($U$2:U438),$U$2:$U$1001,0),MATCH(COLUMNS($AB$1006:AC1006),$AB$1006:$AQ$1006,0)), HYPERLINK("#",""), HYPERLINK(CONCATENATE("#metadata!", ADDRESS(INDEX($W$2:$W$1001,MATCH(ROWS($U$2:U438),$U$2:$U$1001,0),0), INDEX($AB$1004:$AQ$1004,1,MATCH(COLUMNS($AB$1006:AC1006),$AB$1006:$AQ$1006,0)))),"Fix")))</f>
        <v>0</v>
      </c>
      <c r="D438" s="4">
        <f>IF(OR(INDEX($V$2:$V$1001,MATCH(ROWS($U$2:U438),$U$2:$U$1001,0),1)&gt;=100000,INDEX($AB$1005:$AQ$1005,1,MATCH(COLUMNS($AB$1006:AD1006),$AB$1006:$AQ$1006,0))&gt;=100000), " ",IF(INDEX($AB$2:$AQ$1001,MATCH(ROWS($U$2:U438),$U$2:$U$1001,0),MATCH(COLUMNS($AB$1006:AD1006),$AB$1006:$AQ$1006,0)), HYPERLINK("#",""), HYPERLINK(CONCATENATE("#metadata!", ADDRESS(INDEX($W$2:$W$1001,MATCH(ROWS($U$2:U438),$U$2:$U$1001,0),0), INDEX($AB$1004:$AQ$1004,1,MATCH(COLUMNS($AB$1006:AD1006),$AB$1006:$AQ$1006,0)))),"Fix")))</f>
        <v>0</v>
      </c>
      <c r="E438" s="4">
        <f>IF(OR(INDEX($V$2:$V$1001,MATCH(ROWS($U$2:U438),$U$2:$U$1001,0),1)&gt;=100000,INDEX($AB$1005:$AQ$1005,1,MATCH(COLUMNS($AB$1006:AE1006),$AB$1006:$AQ$1006,0))&gt;=100000), " ",IF(INDEX($AB$2:$AQ$1001,MATCH(ROWS($U$2:U438),$U$2:$U$1001,0),MATCH(COLUMNS($AB$1006:AE1006),$AB$1006:$AQ$1006,0)), HYPERLINK("#",""), HYPERLINK(CONCATENATE("#metadata!", ADDRESS(INDEX($W$2:$W$1001,MATCH(ROWS($U$2:U438),$U$2:$U$1001,0),0), INDEX($AB$1004:$AQ$1004,1,MATCH(COLUMNS($AB$1006:AE1006),$AB$1006:$AQ$1006,0)))),"Fix")))</f>
        <v>0</v>
      </c>
      <c r="F438" s="4">
        <f>IF(OR(INDEX($V$2:$V$1001,MATCH(ROWS($U$2:U438),$U$2:$U$1001,0),1)&gt;=100000,INDEX($AB$1005:$AQ$1005,1,MATCH(COLUMNS($AB$1006:AF1006),$AB$1006:$AQ$1006,0))&gt;=100000), " ",IF(INDEX($AB$2:$AQ$1001,MATCH(ROWS($U$2:U438),$U$2:$U$1001,0),MATCH(COLUMNS($AB$1006:AF1006),$AB$1006:$AQ$1006,0)), HYPERLINK("#",""), HYPERLINK(CONCATENATE("#metadata!", ADDRESS(INDEX($W$2:$W$1001,MATCH(ROWS($U$2:U438),$U$2:$U$1001,0),0), INDEX($AB$1004:$AQ$1004,1,MATCH(COLUMNS($AB$1006:AF1006),$AB$1006:$AQ$1006,0)))),"Fix")))</f>
        <v>0</v>
      </c>
      <c r="G438" s="4">
        <f>IF(OR(INDEX($V$2:$V$1001,MATCH(ROWS($U$2:U438),$U$2:$U$1001,0),1)&gt;=100000,INDEX($AB$1005:$AQ$1005,1,MATCH(COLUMNS($AB$1006:AG1006),$AB$1006:$AQ$1006,0))&gt;=100000), " ",IF(INDEX($AB$2:$AQ$1001,MATCH(ROWS($U$2:U438),$U$2:$U$1001,0),MATCH(COLUMNS($AB$1006:AG1006),$AB$1006:$AQ$1006,0)), HYPERLINK("#",""), HYPERLINK(CONCATENATE("#metadata!", ADDRESS(INDEX($W$2:$W$1001,MATCH(ROWS($U$2:U438),$U$2:$U$1001,0),0), INDEX($AB$1004:$AQ$1004,1,MATCH(COLUMNS($AB$1006:AG1006),$AB$1006:$AQ$1006,0)))),"Fix")))</f>
        <v>0</v>
      </c>
      <c r="H438" s="4">
        <f>IF(OR(INDEX($V$2:$V$1001,MATCH(ROWS($U$2:U438),$U$2:$U$1001,0),1)&gt;=100000,INDEX($AB$1005:$AQ$1005,1,MATCH(COLUMNS($AB$1006:AH1006),$AB$1006:$AQ$1006,0))&gt;=100000), " ",IF(INDEX($AB$2:$AQ$1001,MATCH(ROWS($U$2:U438),$U$2:$U$1001,0),MATCH(COLUMNS($AB$1006:AH1006),$AB$1006:$AQ$1006,0)), HYPERLINK("#",""), HYPERLINK(CONCATENATE("#metadata!", ADDRESS(INDEX($W$2:$W$1001,MATCH(ROWS($U$2:U438),$U$2:$U$1001,0),0), INDEX($AB$1004:$AQ$1004,1,MATCH(COLUMNS($AB$1006:AH1006),$AB$1006:$AQ$1006,0)))),"Fix")))</f>
        <v>0</v>
      </c>
      <c r="I438" s="4">
        <f>IF(OR(INDEX($V$2:$V$1001,MATCH(ROWS($U$2:U438),$U$2:$U$1001,0),1)&gt;=100000,INDEX($AB$1005:$AQ$1005,1,MATCH(COLUMNS($AB$1006:AI1006),$AB$1006:$AQ$1006,0))&gt;=100000), " ",IF(INDEX($AB$2:$AQ$1001,MATCH(ROWS($U$2:U438),$U$2:$U$1001,0),MATCH(COLUMNS($AB$1006:AI1006),$AB$1006:$AQ$1006,0)), HYPERLINK("#",""), HYPERLINK(CONCATENATE("#metadata!", ADDRESS(INDEX($W$2:$W$1001,MATCH(ROWS($U$2:U438),$U$2:$U$1001,0),0), INDEX($AB$1004:$AQ$1004,1,MATCH(COLUMNS($AB$1006:AI1006),$AB$1006:$AQ$1006,0)))),"Fix")))</f>
        <v>0</v>
      </c>
      <c r="J438" s="4">
        <f>IF(OR(INDEX($V$2:$V$1001,MATCH(ROWS($U$2:U438),$U$2:$U$1001,0),1)&gt;=100000,INDEX($AB$1005:$AQ$1005,1,MATCH(COLUMNS($AB$1006:AJ1006),$AB$1006:$AQ$1006,0))&gt;=100000), " ",IF(INDEX($AB$2:$AQ$1001,MATCH(ROWS($U$2:U438),$U$2:$U$1001,0),MATCH(COLUMNS($AB$1006:AJ1006),$AB$1006:$AQ$1006,0)), HYPERLINK("#",""), HYPERLINK(CONCATENATE("#metadata!", ADDRESS(INDEX($W$2:$W$1001,MATCH(ROWS($U$2:U438),$U$2:$U$1001,0),0), INDEX($AB$1004:$AQ$1004,1,MATCH(COLUMNS($AB$1006:AJ1006),$AB$1006:$AQ$1006,0)))),"Fix")))</f>
        <v>0</v>
      </c>
      <c r="K438" s="4">
        <f>IF(OR(INDEX($V$2:$V$1001,MATCH(ROWS($U$2:U438),$U$2:$U$1001,0),1)&gt;=100000,INDEX($AB$1005:$AQ$1005,1,MATCH(COLUMNS($AB$1006:AK1006),$AB$1006:$AQ$1006,0))&gt;=100000), " ",IF(INDEX($AB$2:$AQ$1001,MATCH(ROWS($U$2:U438),$U$2:$U$1001,0),MATCH(COLUMNS($AB$1006:AK1006),$AB$1006:$AQ$1006,0)), HYPERLINK("#",""), HYPERLINK(CONCATENATE("#metadata!", ADDRESS(INDEX($W$2:$W$1001,MATCH(ROWS($U$2:U438),$U$2:$U$1001,0),0), INDEX($AB$1004:$AQ$1004,1,MATCH(COLUMNS($AB$1006:AK1006),$AB$1006:$AQ$1006,0)))),"Fix")))</f>
        <v>0</v>
      </c>
      <c r="L438" s="4">
        <f>IF(OR(INDEX($V$2:$V$1001,MATCH(ROWS($U$2:U438),$U$2:$U$1001,0),1)&gt;=100000,INDEX($AB$1005:$AQ$1005,1,MATCH(COLUMNS($AB$1006:AL1006),$AB$1006:$AQ$1006,0))&gt;=100000), " ",IF(INDEX($AB$2:$AQ$1001,MATCH(ROWS($U$2:U438),$U$2:$U$1001,0),MATCH(COLUMNS($AB$1006:AL1006),$AB$1006:$AQ$1006,0)), HYPERLINK("#",""), HYPERLINK(CONCATENATE("#metadata!", ADDRESS(INDEX($W$2:$W$1001,MATCH(ROWS($U$2:U438),$U$2:$U$1001,0),0), INDEX($AB$1004:$AQ$1004,1,MATCH(COLUMNS($AB$1006:AL1006),$AB$1006:$AQ$1006,0)))),"Fix")))</f>
        <v>0</v>
      </c>
      <c r="M438" s="4">
        <f>IF(OR(INDEX($V$2:$V$1001,MATCH(ROWS($U$2:U438),$U$2:$U$1001,0),1)&gt;=100000,INDEX($AB$1005:$AQ$1005,1,MATCH(COLUMNS($AB$1006:AM1006),$AB$1006:$AQ$1006,0))&gt;=100000), " ",IF(INDEX($AB$2:$AQ$1001,MATCH(ROWS($U$2:U438),$U$2:$U$1001,0),MATCH(COLUMNS($AB$1006:AM1006),$AB$1006:$AQ$1006,0)), HYPERLINK("#",""), HYPERLINK(CONCATENATE("#metadata!", ADDRESS(INDEX($W$2:$W$1001,MATCH(ROWS($U$2:U438),$U$2:$U$1001,0),0), INDEX($AB$1004:$AQ$1004,1,MATCH(COLUMNS($AB$1006:AM1006),$AB$1006:$AQ$1006,0)))),"Fix")))</f>
        <v>0</v>
      </c>
      <c r="N438" s="4">
        <f>IF(OR(INDEX($V$2:$V$1001,MATCH(ROWS($U$2:U438),$U$2:$U$1001,0),1)&gt;=100000,INDEX($AB$1005:$AQ$1005,1,MATCH(COLUMNS($AB$1006:AN1006),$AB$1006:$AQ$1006,0))&gt;=100000), " ",IF(INDEX($AB$2:$AQ$1001,MATCH(ROWS($U$2:U438),$U$2:$U$1001,0),MATCH(COLUMNS($AB$1006:AN1006),$AB$1006:$AQ$1006,0)), HYPERLINK("#",""), HYPERLINK(CONCATENATE("#metadata!", ADDRESS(INDEX($W$2:$W$1001,MATCH(ROWS($U$2:U438),$U$2:$U$1001,0),0), INDEX($AB$1004:$AQ$1004,1,MATCH(COLUMNS($AB$1006:AN1006),$AB$1006:$AQ$1006,0)))),"Fix")))</f>
        <v>0</v>
      </c>
      <c r="O438" s="4">
        <f>IF(OR(INDEX($V$2:$V$1001,MATCH(ROWS($U$2:U438),$U$2:$U$1001,0),1)&gt;=100000,INDEX($AB$1005:$AQ$1005,1,MATCH(COLUMNS($AB$1006:AO1006),$AB$1006:$AQ$1006,0))&gt;=100000), " ",IF(INDEX($AB$2:$AQ$1001,MATCH(ROWS($U$2:U438),$U$2:$U$1001,0),MATCH(COLUMNS($AB$1006:AO1006),$AB$1006:$AQ$1006,0)), HYPERLINK("#",""), HYPERLINK(CONCATENATE("#metadata!", ADDRESS(INDEX($W$2:$W$1001,MATCH(ROWS($U$2:U438),$U$2:$U$1001,0),0), INDEX($AB$1004:$AQ$1004,1,MATCH(COLUMNS($AB$1006:AO1006),$AB$1006:$AQ$1006,0)))),"Fix")))</f>
        <v>0</v>
      </c>
      <c r="P438" s="4">
        <f>IF(OR(INDEX($V$2:$V$1001,MATCH(ROWS($U$2:U438),$U$2:$U$1001,0),1)&gt;=100000,INDEX($AB$1005:$AQ$1005,1,MATCH(COLUMNS($AB$1006:AP1006),$AB$1006:$AQ$1006,0))&gt;=100000), " ",IF(INDEX($AB$2:$AQ$1001,MATCH(ROWS($U$2:U438),$U$2:$U$1001,0),MATCH(COLUMNS($AB$1006:AP1006),$AB$1006:$AQ$1006,0)), HYPERLINK("#",""), HYPERLINK(CONCATENATE("#metadata!", ADDRESS(INDEX($W$2:$W$1001,MATCH(ROWS($U$2:U438),$U$2:$U$1001,0),0), INDEX($AB$1004:$AQ$1004,1,MATCH(COLUMNS($AB$1006:AP1006),$AB$1006:$AQ$1006,0)))),"Fix")))</f>
        <v>0</v>
      </c>
      <c r="Q438" s="4">
        <f>IF(OR(INDEX($V$2:$V$1001,MATCH(ROWS($U$2:U438),$U$2:$U$1001,0),1)&gt;=100000,INDEX($AB$1005:$AQ$1005,1,MATCH(COLUMNS($AB$1006:AQ1006),$AB$1006:$AQ$1006,0))&gt;=100000), " ",IF(INDEX($AB$2:$AQ$1001,MATCH(ROWS($U$2:U438),$U$2:$U$1001,0),MATCH(COLUMNS($AB$1006:AQ1006),$AB$1006:$AQ$1006,0)), HYPERLINK("#",""), HYPERLINK(CONCATENATE("#metadata!", ADDRESS(INDEX($W$2:$W$1001,MATCH(ROWS($U$2:U438),$U$2:$U$1001,0),0), INDEX($AB$1004:$AQ$1004,1,MATCH(COLUMNS($AB$1006:AQ1006),$AB$1006:$AQ$1006,0)))),"Fix")))</f>
        <v>0</v>
      </c>
      <c r="U438">
        <v>0</v>
      </c>
      <c r="V438">
        <v>0</v>
      </c>
      <c r="W438">
        <v>0</v>
      </c>
      <c r="X438">
        <f>IF(Y438,TRUE,AND(AB438:AQ438))</f>
        <v>0</v>
      </c>
      <c r="Y438">
        <f>COUNTBLANK(metadata!B438:Q438)=COLUMNS(metadata!B438:Q438)</f>
        <v>0</v>
      </c>
      <c r="Z438">
        <v>0</v>
      </c>
      <c r="AB438">
        <f>AND(IF(metadata!B438="",FALSE,TRUE),COUNTIF(metadata!B:B, metadata!B438) = 1,NOT(ISERROR(SUMPRODUCT(SEARCH(MID(metadata!B438,ROW(INDIRECT("1:"&amp;LEN(metadata!B438))), 1),"0123456789abcdefghijklmnopqrstuvwxyzABCDEFGHIJKLMNOPQRSTUVWXYZ.")))))</f>
        <v>0</v>
      </c>
      <c r="AC438">
        <f>OR(AND(IF(metadata!C438="",FALSE,TRUE),OR(exact(metadata!C438,"missing: not collected"),exact(metadata!C438,"missing: not provided"),exact(metadata!C438,"missing: restricted access"))),AND(IF(metadata!C438="",FALSE,TRUE),AND(AND(IFERROR(INT(LEFT(metadata!C438,4))&gt;1900,FALSE),IFERROR(INT(LEFT(metadata!C438,4))&lt;=YEAR(NOW()),FALSE)), OR(MID(metadata!C438,5,1)="", AND(AND(MID(metadata!C438,5,1)="-",IFERROR(INT(MID(metadata!C438,6,1))&gt;=0,FALSE),IFERROR(INT(MID(metadata!C438,6,1))&lt;=1,FALSE),NOT(MID(metadata!C438,7,1)=""),IFERROR(INT(MID(metadata!C438,6,2))&gt;=1,FALSE),IFERROR(INT(MID(metadata!C438,6,2))&lt;=12,FALSE)), OR(MID(metadata!C438,8,1)="", AND(AND(MID(metadata!C438,8,1)="-",IFERROR(INT(MID(metadata!C438,9,1))&gt;=0,FALSE),IFERROR(INT(MID(metadata!C438,9,1))&lt;=3,FALSE),NOT(MID(metadata!C438,10,1)=""),IFERROR(INT(MID(metadata!C438,9,2))&gt;=1,FALSE),IFERROR(INT(MID(metadata!C438,9,2))&lt;=31,FALSE)), OR(MID(metadata!C438,11,1)="", AND(AND(MID(metadata!C438,11,1)=" ",IFERROR(INT(MID(metadata!C438,12,1))&gt;=0,FALSE),IFERROR(INT(MID(metadata!C438,12,1))&lt;=2,FALSE),NOT(MID(metadata!C438,13,1)=""),IFERROR(INT(MID(metadata!C438,12,2))&gt;=0,FALSE),IFERROR(INT(MID(metadata!C438,12,2))&lt;=23,FALSE)), OR(MID(metadata!C438,14,1)="", AND(AND(MID(metadata!C438,14,1)=":",IFERROR(INT(MID(metadata!C438,15,1))&gt;=0,FALSE),IFERROR(INT(MID(metadata!C438,15,1))&lt;=5,FALSE),NOT(MID(metadata!C438,16,1)=""),IFERROR(INT(MID(metadata!C438,15,2))&gt;=0,FALSE),IFERROR(INT(MID(metadata!C438,15,2))&lt;=59,FALSE)), OR(MID(metadata!C438,17,1)="", AND(AND(MID(metadata!C438,17,1)=":",IFERROR(INT(MID(metadata!C438,18,1))&gt;=0,FALSE),IFERROR(INT(MID(metadata!C438,18,1))&lt;=5,FALSE),NOT(MID(metadata!C438,19,1)=""),IFERROR(INT(MID(metadata!C438,18,2))&gt;=0,FALSE),IFERROR(INT(MID(metadata!C438,18,2))&lt;=59,FALSE)), LEN(metadata!C438)&lt;=19)))))))))))))</f>
        <v>0</v>
      </c>
      <c r="AD438">
        <f>IF(metadata!D438="",FALSE,TRUE)</f>
        <v>0</v>
      </c>
      <c r="AE438">
        <f>OR(AND(IF(metadata!E438="",FALSE,TRUE),OR(exact(metadata!E438,"missing: not collected"),exact(metadata!E438,"missing: not provided"))),AND(IF(metadata!E438="",FALSE,TRUE),OR(exact(metadata!E438,"TRUE"),exact(metadata!E438,"FALSE"))))</f>
        <v>0</v>
      </c>
      <c r="AF438">
        <f>IF(metadata!F438="",FALSE,TRUE)</f>
        <v>0</v>
      </c>
      <c r="AG438">
        <f>IF(metadata!G438="",FALSE,TRUE)</f>
        <v>0</v>
      </c>
      <c r="AH438">
        <f>IF(metadata!H438="",FALSE,TRUE)</f>
        <v>0</v>
      </c>
      <c r="AI438">
        <f>OR(AND(IF(metadata!I438="",FALSE,TRUE),OR(exact(metadata!I438,"missing: not collected"),exact(metadata!I438,"missing: not provided"),exact(metadata!I438,"missing: restricted access"))),AND(IF(metadata!I438="",FALSE,TRUE),OR(exact(metadata!I438,"air"),exact(metadata!I438,"built environment"),exact(metadata!I438,"host-associated"),exact(metadata!I438,"human-associated"),exact(metadata!I438,"human-skin"),exact(metadata!I438,"human-oral"),exact(metadata!I438,"human-gut"),exact(metadata!I438,"human-vaginal"),exact(metadata!I438,"microbial mat/biofilm"),exact(metadata!I438,"misc environment"),exact(metadata!I438,"plant-associated"),exact(metadata!I438,"sediment"),exact(metadata!I438,"soil"),exact(metadata!I438,"wastewater/sludge"),exact(metadata!I438,"water"))))</f>
        <v>0</v>
      </c>
      <c r="AJ438">
        <f>IF(metadata!J438="",FALSE,TRUE)</f>
        <v>0</v>
      </c>
      <c r="AK438">
        <f>OR(AND(IF(metadata!K438="",FALSE,TRUE),OR(exact(metadata!K438,"missing: not collected"),exact(metadata!K438,"missing: not provided"),exact(metadata!K438,"missing: restricted access"))),AND(IF(metadata!K438="",FALSE,ISNUMBER(VALUE(metadata!K438))),metadata!K438&gt;=-90.00,metadata!K438&lt;=90.00))</f>
        <v>0</v>
      </c>
      <c r="AL438">
        <f>OR(AND(IF(metadata!L438="",FALSE,TRUE),OR(exact(metadata!L438,"missing: not collected"),exact(metadata!L438,"missing: not provided"),exact(metadata!L438,"missing: restricted access"))),AND(IF(metadata!L438="",FALSE,ISNUMBER(VALUE(metadata!L438))),metadata!L438&gt;=-180.00,metadata!L438&lt;=180.00))</f>
        <v>0</v>
      </c>
      <c r="AM438">
        <f>IF(metadata!M438="",FALSE,TRUE)</f>
        <v>0</v>
      </c>
      <c r="AN438">
        <f>OR(AND(IF(metadata!N438="",FALSE,TRUE),OR(exact(metadata!N438,"missing: not collected"),exact(metadata!N438,"missing: not provided"),exact(metadata!N438,"missing: restricted access"))),AND(IF(metadata!N438="",FALSE,TRUE),OR(exact(metadata!N438,"TRUE"),exact(metadata!N438,"FALSE"))))</f>
        <v>0</v>
      </c>
      <c r="AO438">
        <f>IF(metadata!O438="",FALSE,TRUE)</f>
        <v>0</v>
      </c>
      <c r="AP438">
        <f>OR(AND(IF(metadata!P438="",FALSE,TRUE),OR(exact(metadata!P438,"missing: not collected"),exact(metadata!P438,"missing: not provided"))),AND(IF(metadata!P438="",FALSE,IF(ISERROR(INT(metadata!P438)),FALSE,INT(metadata!P438)=metadata!P438)),metadata!P438&gt;0))</f>
        <v>0</v>
      </c>
      <c r="AQ438">
        <f>IF(metadata!Q438="",FALSE,TRUE)</f>
        <v>0</v>
      </c>
    </row>
    <row r="439" spans="1:43">
      <c r="A439" s="5">
        <f>IF(B439=" "," ",HYPERLINK(CONCATENATE("#metadata!",ADDRESS(INDEX($W$2:$W$1001,MATCH(ROWS($U$2:U439),$U$2:$U$1001,0),0),1)),INDEX($Z$2:$Z$1001,MATCH(ROWS($U$2:U439),$U$2:$U$1001,0),0)))</f>
        <v>0</v>
      </c>
      <c r="B439" s="4">
        <f>IF(OR(INDEX($V$2:$V$1001,MATCH(ROWS($U$2:U439),$U$2:$U$1001,0),1)&gt;=100000,INDEX($AB$1005:$AQ$1005,1,MATCH(COLUMNS($AB$1006:AB1006),$AB$1006:$AQ$1006,0))&gt;=100000), " ",IF(INDEX($AB$2:$AQ$1001,MATCH(ROWS($U$2:U439),$U$2:$U$1001,0),MATCH(COLUMNS($AB$1006:AB1006),$AB$1006:$AQ$1006,0)), HYPERLINK("#",""), HYPERLINK(CONCATENATE("#metadata!", ADDRESS(INDEX($W$2:$W$1001,MATCH(ROWS($U$2:U439),$U$2:$U$1001,0),0), INDEX($AB$1004:$AQ$1004,1,MATCH(COLUMNS($AB$1006:AB1006),$AB$1006:$AQ$1006,0)))),"Fix")))</f>
        <v>0</v>
      </c>
      <c r="C439" s="4">
        <f>IF(OR(INDEX($V$2:$V$1001,MATCH(ROWS($U$2:U439),$U$2:$U$1001,0),1)&gt;=100000,INDEX($AB$1005:$AQ$1005,1,MATCH(COLUMNS($AB$1006:AC1006),$AB$1006:$AQ$1006,0))&gt;=100000), " ",IF(INDEX($AB$2:$AQ$1001,MATCH(ROWS($U$2:U439),$U$2:$U$1001,0),MATCH(COLUMNS($AB$1006:AC1006),$AB$1006:$AQ$1006,0)), HYPERLINK("#",""), HYPERLINK(CONCATENATE("#metadata!", ADDRESS(INDEX($W$2:$W$1001,MATCH(ROWS($U$2:U439),$U$2:$U$1001,0),0), INDEX($AB$1004:$AQ$1004,1,MATCH(COLUMNS($AB$1006:AC1006),$AB$1006:$AQ$1006,0)))),"Fix")))</f>
        <v>0</v>
      </c>
      <c r="D439" s="4">
        <f>IF(OR(INDEX($V$2:$V$1001,MATCH(ROWS($U$2:U439),$U$2:$U$1001,0),1)&gt;=100000,INDEX($AB$1005:$AQ$1005,1,MATCH(COLUMNS($AB$1006:AD1006),$AB$1006:$AQ$1006,0))&gt;=100000), " ",IF(INDEX($AB$2:$AQ$1001,MATCH(ROWS($U$2:U439),$U$2:$U$1001,0),MATCH(COLUMNS($AB$1006:AD1006),$AB$1006:$AQ$1006,0)), HYPERLINK("#",""), HYPERLINK(CONCATENATE("#metadata!", ADDRESS(INDEX($W$2:$W$1001,MATCH(ROWS($U$2:U439),$U$2:$U$1001,0),0), INDEX($AB$1004:$AQ$1004,1,MATCH(COLUMNS($AB$1006:AD1006),$AB$1006:$AQ$1006,0)))),"Fix")))</f>
        <v>0</v>
      </c>
      <c r="E439" s="4">
        <f>IF(OR(INDEX($V$2:$V$1001,MATCH(ROWS($U$2:U439),$U$2:$U$1001,0),1)&gt;=100000,INDEX($AB$1005:$AQ$1005,1,MATCH(COLUMNS($AB$1006:AE1006),$AB$1006:$AQ$1006,0))&gt;=100000), " ",IF(INDEX($AB$2:$AQ$1001,MATCH(ROWS($U$2:U439),$U$2:$U$1001,0),MATCH(COLUMNS($AB$1006:AE1006),$AB$1006:$AQ$1006,0)), HYPERLINK("#",""), HYPERLINK(CONCATENATE("#metadata!", ADDRESS(INDEX($W$2:$W$1001,MATCH(ROWS($U$2:U439),$U$2:$U$1001,0),0), INDEX($AB$1004:$AQ$1004,1,MATCH(COLUMNS($AB$1006:AE1006),$AB$1006:$AQ$1006,0)))),"Fix")))</f>
        <v>0</v>
      </c>
      <c r="F439" s="4">
        <f>IF(OR(INDEX($V$2:$V$1001,MATCH(ROWS($U$2:U439),$U$2:$U$1001,0),1)&gt;=100000,INDEX($AB$1005:$AQ$1005,1,MATCH(COLUMNS($AB$1006:AF1006),$AB$1006:$AQ$1006,0))&gt;=100000), " ",IF(INDEX($AB$2:$AQ$1001,MATCH(ROWS($U$2:U439),$U$2:$U$1001,0),MATCH(COLUMNS($AB$1006:AF1006),$AB$1006:$AQ$1006,0)), HYPERLINK("#",""), HYPERLINK(CONCATENATE("#metadata!", ADDRESS(INDEX($W$2:$W$1001,MATCH(ROWS($U$2:U439),$U$2:$U$1001,0),0), INDEX($AB$1004:$AQ$1004,1,MATCH(COLUMNS($AB$1006:AF1006),$AB$1006:$AQ$1006,0)))),"Fix")))</f>
        <v>0</v>
      </c>
      <c r="G439" s="4">
        <f>IF(OR(INDEX($V$2:$V$1001,MATCH(ROWS($U$2:U439),$U$2:$U$1001,0),1)&gt;=100000,INDEX($AB$1005:$AQ$1005,1,MATCH(COLUMNS($AB$1006:AG1006),$AB$1006:$AQ$1006,0))&gt;=100000), " ",IF(INDEX($AB$2:$AQ$1001,MATCH(ROWS($U$2:U439),$U$2:$U$1001,0),MATCH(COLUMNS($AB$1006:AG1006),$AB$1006:$AQ$1006,0)), HYPERLINK("#",""), HYPERLINK(CONCATENATE("#metadata!", ADDRESS(INDEX($W$2:$W$1001,MATCH(ROWS($U$2:U439),$U$2:$U$1001,0),0), INDEX($AB$1004:$AQ$1004,1,MATCH(COLUMNS($AB$1006:AG1006),$AB$1006:$AQ$1006,0)))),"Fix")))</f>
        <v>0</v>
      </c>
      <c r="H439" s="4">
        <f>IF(OR(INDEX($V$2:$V$1001,MATCH(ROWS($U$2:U439),$U$2:$U$1001,0),1)&gt;=100000,INDEX($AB$1005:$AQ$1005,1,MATCH(COLUMNS($AB$1006:AH1006),$AB$1006:$AQ$1006,0))&gt;=100000), " ",IF(INDEX($AB$2:$AQ$1001,MATCH(ROWS($U$2:U439),$U$2:$U$1001,0),MATCH(COLUMNS($AB$1006:AH1006),$AB$1006:$AQ$1006,0)), HYPERLINK("#",""), HYPERLINK(CONCATENATE("#metadata!", ADDRESS(INDEX($W$2:$W$1001,MATCH(ROWS($U$2:U439),$U$2:$U$1001,0),0), INDEX($AB$1004:$AQ$1004,1,MATCH(COLUMNS($AB$1006:AH1006),$AB$1006:$AQ$1006,0)))),"Fix")))</f>
        <v>0</v>
      </c>
      <c r="I439" s="4">
        <f>IF(OR(INDEX($V$2:$V$1001,MATCH(ROWS($U$2:U439),$U$2:$U$1001,0),1)&gt;=100000,INDEX($AB$1005:$AQ$1005,1,MATCH(COLUMNS($AB$1006:AI1006),$AB$1006:$AQ$1006,0))&gt;=100000), " ",IF(INDEX($AB$2:$AQ$1001,MATCH(ROWS($U$2:U439),$U$2:$U$1001,0),MATCH(COLUMNS($AB$1006:AI1006),$AB$1006:$AQ$1006,0)), HYPERLINK("#",""), HYPERLINK(CONCATENATE("#metadata!", ADDRESS(INDEX($W$2:$W$1001,MATCH(ROWS($U$2:U439),$U$2:$U$1001,0),0), INDEX($AB$1004:$AQ$1004,1,MATCH(COLUMNS($AB$1006:AI1006),$AB$1006:$AQ$1006,0)))),"Fix")))</f>
        <v>0</v>
      </c>
      <c r="J439" s="4">
        <f>IF(OR(INDEX($V$2:$V$1001,MATCH(ROWS($U$2:U439),$U$2:$U$1001,0),1)&gt;=100000,INDEX($AB$1005:$AQ$1005,1,MATCH(COLUMNS($AB$1006:AJ1006),$AB$1006:$AQ$1006,0))&gt;=100000), " ",IF(INDEX($AB$2:$AQ$1001,MATCH(ROWS($U$2:U439),$U$2:$U$1001,0),MATCH(COLUMNS($AB$1006:AJ1006),$AB$1006:$AQ$1006,0)), HYPERLINK("#",""), HYPERLINK(CONCATENATE("#metadata!", ADDRESS(INDEX($W$2:$W$1001,MATCH(ROWS($U$2:U439),$U$2:$U$1001,0),0), INDEX($AB$1004:$AQ$1004,1,MATCH(COLUMNS($AB$1006:AJ1006),$AB$1006:$AQ$1006,0)))),"Fix")))</f>
        <v>0</v>
      </c>
      <c r="K439" s="4">
        <f>IF(OR(INDEX($V$2:$V$1001,MATCH(ROWS($U$2:U439),$U$2:$U$1001,0),1)&gt;=100000,INDEX($AB$1005:$AQ$1005,1,MATCH(COLUMNS($AB$1006:AK1006),$AB$1006:$AQ$1006,0))&gt;=100000), " ",IF(INDEX($AB$2:$AQ$1001,MATCH(ROWS($U$2:U439),$U$2:$U$1001,0),MATCH(COLUMNS($AB$1006:AK1006),$AB$1006:$AQ$1006,0)), HYPERLINK("#",""), HYPERLINK(CONCATENATE("#metadata!", ADDRESS(INDEX($W$2:$W$1001,MATCH(ROWS($U$2:U439),$U$2:$U$1001,0),0), INDEX($AB$1004:$AQ$1004,1,MATCH(COLUMNS($AB$1006:AK1006),$AB$1006:$AQ$1006,0)))),"Fix")))</f>
        <v>0</v>
      </c>
      <c r="L439" s="4">
        <f>IF(OR(INDEX($V$2:$V$1001,MATCH(ROWS($U$2:U439),$U$2:$U$1001,0),1)&gt;=100000,INDEX($AB$1005:$AQ$1005,1,MATCH(COLUMNS($AB$1006:AL1006),$AB$1006:$AQ$1006,0))&gt;=100000), " ",IF(INDEX($AB$2:$AQ$1001,MATCH(ROWS($U$2:U439),$U$2:$U$1001,0),MATCH(COLUMNS($AB$1006:AL1006),$AB$1006:$AQ$1006,0)), HYPERLINK("#",""), HYPERLINK(CONCATENATE("#metadata!", ADDRESS(INDEX($W$2:$W$1001,MATCH(ROWS($U$2:U439),$U$2:$U$1001,0),0), INDEX($AB$1004:$AQ$1004,1,MATCH(COLUMNS($AB$1006:AL1006),$AB$1006:$AQ$1006,0)))),"Fix")))</f>
        <v>0</v>
      </c>
      <c r="M439" s="4">
        <f>IF(OR(INDEX($V$2:$V$1001,MATCH(ROWS($U$2:U439),$U$2:$U$1001,0),1)&gt;=100000,INDEX($AB$1005:$AQ$1005,1,MATCH(COLUMNS($AB$1006:AM1006),$AB$1006:$AQ$1006,0))&gt;=100000), " ",IF(INDEX($AB$2:$AQ$1001,MATCH(ROWS($U$2:U439),$U$2:$U$1001,0),MATCH(COLUMNS($AB$1006:AM1006),$AB$1006:$AQ$1006,0)), HYPERLINK("#",""), HYPERLINK(CONCATENATE("#metadata!", ADDRESS(INDEX($W$2:$W$1001,MATCH(ROWS($U$2:U439),$U$2:$U$1001,0),0), INDEX($AB$1004:$AQ$1004,1,MATCH(COLUMNS($AB$1006:AM1006),$AB$1006:$AQ$1006,0)))),"Fix")))</f>
        <v>0</v>
      </c>
      <c r="N439" s="4">
        <f>IF(OR(INDEX($V$2:$V$1001,MATCH(ROWS($U$2:U439),$U$2:$U$1001,0),1)&gt;=100000,INDEX($AB$1005:$AQ$1005,1,MATCH(COLUMNS($AB$1006:AN1006),$AB$1006:$AQ$1006,0))&gt;=100000), " ",IF(INDEX($AB$2:$AQ$1001,MATCH(ROWS($U$2:U439),$U$2:$U$1001,0),MATCH(COLUMNS($AB$1006:AN1006),$AB$1006:$AQ$1006,0)), HYPERLINK("#",""), HYPERLINK(CONCATENATE("#metadata!", ADDRESS(INDEX($W$2:$W$1001,MATCH(ROWS($U$2:U439),$U$2:$U$1001,0),0), INDEX($AB$1004:$AQ$1004,1,MATCH(COLUMNS($AB$1006:AN1006),$AB$1006:$AQ$1006,0)))),"Fix")))</f>
        <v>0</v>
      </c>
      <c r="O439" s="4">
        <f>IF(OR(INDEX($V$2:$V$1001,MATCH(ROWS($U$2:U439),$U$2:$U$1001,0),1)&gt;=100000,INDEX($AB$1005:$AQ$1005,1,MATCH(COLUMNS($AB$1006:AO1006),$AB$1006:$AQ$1006,0))&gt;=100000), " ",IF(INDEX($AB$2:$AQ$1001,MATCH(ROWS($U$2:U439),$U$2:$U$1001,0),MATCH(COLUMNS($AB$1006:AO1006),$AB$1006:$AQ$1006,0)), HYPERLINK("#",""), HYPERLINK(CONCATENATE("#metadata!", ADDRESS(INDEX($W$2:$W$1001,MATCH(ROWS($U$2:U439),$U$2:$U$1001,0),0), INDEX($AB$1004:$AQ$1004,1,MATCH(COLUMNS($AB$1006:AO1006),$AB$1006:$AQ$1006,0)))),"Fix")))</f>
        <v>0</v>
      </c>
      <c r="P439" s="4">
        <f>IF(OR(INDEX($V$2:$V$1001,MATCH(ROWS($U$2:U439),$U$2:$U$1001,0),1)&gt;=100000,INDEX($AB$1005:$AQ$1005,1,MATCH(COLUMNS($AB$1006:AP1006),$AB$1006:$AQ$1006,0))&gt;=100000), " ",IF(INDEX($AB$2:$AQ$1001,MATCH(ROWS($U$2:U439),$U$2:$U$1001,0),MATCH(COLUMNS($AB$1006:AP1006),$AB$1006:$AQ$1006,0)), HYPERLINK("#",""), HYPERLINK(CONCATENATE("#metadata!", ADDRESS(INDEX($W$2:$W$1001,MATCH(ROWS($U$2:U439),$U$2:$U$1001,0),0), INDEX($AB$1004:$AQ$1004,1,MATCH(COLUMNS($AB$1006:AP1006),$AB$1006:$AQ$1006,0)))),"Fix")))</f>
        <v>0</v>
      </c>
      <c r="Q439" s="4">
        <f>IF(OR(INDEX($V$2:$V$1001,MATCH(ROWS($U$2:U439),$U$2:$U$1001,0),1)&gt;=100000,INDEX($AB$1005:$AQ$1005,1,MATCH(COLUMNS($AB$1006:AQ1006),$AB$1006:$AQ$1006,0))&gt;=100000), " ",IF(INDEX($AB$2:$AQ$1001,MATCH(ROWS($U$2:U439),$U$2:$U$1001,0),MATCH(COLUMNS($AB$1006:AQ1006),$AB$1006:$AQ$1006,0)), HYPERLINK("#",""), HYPERLINK(CONCATENATE("#metadata!", ADDRESS(INDEX($W$2:$W$1001,MATCH(ROWS($U$2:U439),$U$2:$U$1001,0),0), INDEX($AB$1004:$AQ$1004,1,MATCH(COLUMNS($AB$1006:AQ1006),$AB$1006:$AQ$1006,0)))),"Fix")))</f>
        <v>0</v>
      </c>
      <c r="U439">
        <v>0</v>
      </c>
      <c r="V439">
        <v>0</v>
      </c>
      <c r="W439">
        <v>0</v>
      </c>
      <c r="X439">
        <f>IF(Y439,TRUE,AND(AB439:AQ439))</f>
        <v>0</v>
      </c>
      <c r="Y439">
        <f>COUNTBLANK(metadata!B439:Q439)=COLUMNS(metadata!B439:Q439)</f>
        <v>0</v>
      </c>
      <c r="Z439">
        <v>0</v>
      </c>
      <c r="AB439">
        <f>AND(IF(metadata!B439="",FALSE,TRUE),COUNTIF(metadata!B:B, metadata!B439) = 1,NOT(ISERROR(SUMPRODUCT(SEARCH(MID(metadata!B439,ROW(INDIRECT("1:"&amp;LEN(metadata!B439))), 1),"0123456789abcdefghijklmnopqrstuvwxyzABCDEFGHIJKLMNOPQRSTUVWXYZ.")))))</f>
        <v>0</v>
      </c>
      <c r="AC439">
        <f>OR(AND(IF(metadata!C439="",FALSE,TRUE),OR(exact(metadata!C439,"missing: not collected"),exact(metadata!C439,"missing: not provided"),exact(metadata!C439,"missing: restricted access"))),AND(IF(metadata!C439="",FALSE,TRUE),AND(AND(IFERROR(INT(LEFT(metadata!C439,4))&gt;1900,FALSE),IFERROR(INT(LEFT(metadata!C439,4))&lt;=YEAR(NOW()),FALSE)), OR(MID(metadata!C439,5,1)="", AND(AND(MID(metadata!C439,5,1)="-",IFERROR(INT(MID(metadata!C439,6,1))&gt;=0,FALSE),IFERROR(INT(MID(metadata!C439,6,1))&lt;=1,FALSE),NOT(MID(metadata!C439,7,1)=""),IFERROR(INT(MID(metadata!C439,6,2))&gt;=1,FALSE),IFERROR(INT(MID(metadata!C439,6,2))&lt;=12,FALSE)), OR(MID(metadata!C439,8,1)="", AND(AND(MID(metadata!C439,8,1)="-",IFERROR(INT(MID(metadata!C439,9,1))&gt;=0,FALSE),IFERROR(INT(MID(metadata!C439,9,1))&lt;=3,FALSE),NOT(MID(metadata!C439,10,1)=""),IFERROR(INT(MID(metadata!C439,9,2))&gt;=1,FALSE),IFERROR(INT(MID(metadata!C439,9,2))&lt;=31,FALSE)), OR(MID(metadata!C439,11,1)="", AND(AND(MID(metadata!C439,11,1)=" ",IFERROR(INT(MID(metadata!C439,12,1))&gt;=0,FALSE),IFERROR(INT(MID(metadata!C439,12,1))&lt;=2,FALSE),NOT(MID(metadata!C439,13,1)=""),IFERROR(INT(MID(metadata!C439,12,2))&gt;=0,FALSE),IFERROR(INT(MID(metadata!C439,12,2))&lt;=23,FALSE)), OR(MID(metadata!C439,14,1)="", AND(AND(MID(metadata!C439,14,1)=":",IFERROR(INT(MID(metadata!C439,15,1))&gt;=0,FALSE),IFERROR(INT(MID(metadata!C439,15,1))&lt;=5,FALSE),NOT(MID(metadata!C439,16,1)=""),IFERROR(INT(MID(metadata!C439,15,2))&gt;=0,FALSE),IFERROR(INT(MID(metadata!C439,15,2))&lt;=59,FALSE)), OR(MID(metadata!C439,17,1)="", AND(AND(MID(metadata!C439,17,1)=":",IFERROR(INT(MID(metadata!C439,18,1))&gt;=0,FALSE),IFERROR(INT(MID(metadata!C439,18,1))&lt;=5,FALSE),NOT(MID(metadata!C439,19,1)=""),IFERROR(INT(MID(metadata!C439,18,2))&gt;=0,FALSE),IFERROR(INT(MID(metadata!C439,18,2))&lt;=59,FALSE)), LEN(metadata!C439)&lt;=19)))))))))))))</f>
        <v>0</v>
      </c>
      <c r="AD439">
        <f>IF(metadata!D439="",FALSE,TRUE)</f>
        <v>0</v>
      </c>
      <c r="AE439">
        <f>OR(AND(IF(metadata!E439="",FALSE,TRUE),OR(exact(metadata!E439,"missing: not collected"),exact(metadata!E439,"missing: not provided"))),AND(IF(metadata!E439="",FALSE,TRUE),OR(exact(metadata!E439,"TRUE"),exact(metadata!E439,"FALSE"))))</f>
        <v>0</v>
      </c>
      <c r="AF439">
        <f>IF(metadata!F439="",FALSE,TRUE)</f>
        <v>0</v>
      </c>
      <c r="AG439">
        <f>IF(metadata!G439="",FALSE,TRUE)</f>
        <v>0</v>
      </c>
      <c r="AH439">
        <f>IF(metadata!H439="",FALSE,TRUE)</f>
        <v>0</v>
      </c>
      <c r="AI439">
        <f>OR(AND(IF(metadata!I439="",FALSE,TRUE),OR(exact(metadata!I439,"missing: not collected"),exact(metadata!I439,"missing: not provided"),exact(metadata!I439,"missing: restricted access"))),AND(IF(metadata!I439="",FALSE,TRUE),OR(exact(metadata!I439,"air"),exact(metadata!I439,"built environment"),exact(metadata!I439,"host-associated"),exact(metadata!I439,"human-associated"),exact(metadata!I439,"human-skin"),exact(metadata!I439,"human-oral"),exact(metadata!I439,"human-gut"),exact(metadata!I439,"human-vaginal"),exact(metadata!I439,"microbial mat/biofilm"),exact(metadata!I439,"misc environment"),exact(metadata!I439,"plant-associated"),exact(metadata!I439,"sediment"),exact(metadata!I439,"soil"),exact(metadata!I439,"wastewater/sludge"),exact(metadata!I439,"water"))))</f>
        <v>0</v>
      </c>
      <c r="AJ439">
        <f>IF(metadata!J439="",FALSE,TRUE)</f>
        <v>0</v>
      </c>
      <c r="AK439">
        <f>OR(AND(IF(metadata!K439="",FALSE,TRUE),OR(exact(metadata!K439,"missing: not collected"),exact(metadata!K439,"missing: not provided"),exact(metadata!K439,"missing: restricted access"))),AND(IF(metadata!K439="",FALSE,ISNUMBER(VALUE(metadata!K439))),metadata!K439&gt;=-90.00,metadata!K439&lt;=90.00))</f>
        <v>0</v>
      </c>
      <c r="AL439">
        <f>OR(AND(IF(metadata!L439="",FALSE,TRUE),OR(exact(metadata!L439,"missing: not collected"),exact(metadata!L439,"missing: not provided"),exact(metadata!L439,"missing: restricted access"))),AND(IF(metadata!L439="",FALSE,ISNUMBER(VALUE(metadata!L439))),metadata!L439&gt;=-180.00,metadata!L439&lt;=180.00))</f>
        <v>0</v>
      </c>
      <c r="AM439">
        <f>IF(metadata!M439="",FALSE,TRUE)</f>
        <v>0</v>
      </c>
      <c r="AN439">
        <f>OR(AND(IF(metadata!N439="",FALSE,TRUE),OR(exact(metadata!N439,"missing: not collected"),exact(metadata!N439,"missing: not provided"),exact(metadata!N439,"missing: restricted access"))),AND(IF(metadata!N439="",FALSE,TRUE),OR(exact(metadata!N439,"TRUE"),exact(metadata!N439,"FALSE"))))</f>
        <v>0</v>
      </c>
      <c r="AO439">
        <f>IF(metadata!O439="",FALSE,TRUE)</f>
        <v>0</v>
      </c>
      <c r="AP439">
        <f>OR(AND(IF(metadata!P439="",FALSE,TRUE),OR(exact(metadata!P439,"missing: not collected"),exact(metadata!P439,"missing: not provided"))),AND(IF(metadata!P439="",FALSE,IF(ISERROR(INT(metadata!P439)),FALSE,INT(metadata!P439)=metadata!P439)),metadata!P439&gt;0))</f>
        <v>0</v>
      </c>
      <c r="AQ439">
        <f>IF(metadata!Q439="",FALSE,TRUE)</f>
        <v>0</v>
      </c>
    </row>
    <row r="440" spans="1:43">
      <c r="A440" s="5">
        <f>IF(B440=" "," ",HYPERLINK(CONCATENATE("#metadata!",ADDRESS(INDEX($W$2:$W$1001,MATCH(ROWS($U$2:U440),$U$2:$U$1001,0),0),1)),INDEX($Z$2:$Z$1001,MATCH(ROWS($U$2:U440),$U$2:$U$1001,0),0)))</f>
        <v>0</v>
      </c>
      <c r="B440" s="4">
        <f>IF(OR(INDEX($V$2:$V$1001,MATCH(ROWS($U$2:U440),$U$2:$U$1001,0),1)&gt;=100000,INDEX($AB$1005:$AQ$1005,1,MATCH(COLUMNS($AB$1006:AB1006),$AB$1006:$AQ$1006,0))&gt;=100000), " ",IF(INDEX($AB$2:$AQ$1001,MATCH(ROWS($U$2:U440),$U$2:$U$1001,0),MATCH(COLUMNS($AB$1006:AB1006),$AB$1006:$AQ$1006,0)), HYPERLINK("#",""), HYPERLINK(CONCATENATE("#metadata!", ADDRESS(INDEX($W$2:$W$1001,MATCH(ROWS($U$2:U440),$U$2:$U$1001,0),0), INDEX($AB$1004:$AQ$1004,1,MATCH(COLUMNS($AB$1006:AB1006),$AB$1006:$AQ$1006,0)))),"Fix")))</f>
        <v>0</v>
      </c>
      <c r="C440" s="4">
        <f>IF(OR(INDEX($V$2:$V$1001,MATCH(ROWS($U$2:U440),$U$2:$U$1001,0),1)&gt;=100000,INDEX($AB$1005:$AQ$1005,1,MATCH(COLUMNS($AB$1006:AC1006),$AB$1006:$AQ$1006,0))&gt;=100000), " ",IF(INDEX($AB$2:$AQ$1001,MATCH(ROWS($U$2:U440),$U$2:$U$1001,0),MATCH(COLUMNS($AB$1006:AC1006),$AB$1006:$AQ$1006,0)), HYPERLINK("#",""), HYPERLINK(CONCATENATE("#metadata!", ADDRESS(INDEX($W$2:$W$1001,MATCH(ROWS($U$2:U440),$U$2:$U$1001,0),0), INDEX($AB$1004:$AQ$1004,1,MATCH(COLUMNS($AB$1006:AC1006),$AB$1006:$AQ$1006,0)))),"Fix")))</f>
        <v>0</v>
      </c>
      <c r="D440" s="4">
        <f>IF(OR(INDEX($V$2:$V$1001,MATCH(ROWS($U$2:U440),$U$2:$U$1001,0),1)&gt;=100000,INDEX($AB$1005:$AQ$1005,1,MATCH(COLUMNS($AB$1006:AD1006),$AB$1006:$AQ$1006,0))&gt;=100000), " ",IF(INDEX($AB$2:$AQ$1001,MATCH(ROWS($U$2:U440),$U$2:$U$1001,0),MATCH(COLUMNS($AB$1006:AD1006),$AB$1006:$AQ$1006,0)), HYPERLINK("#",""), HYPERLINK(CONCATENATE("#metadata!", ADDRESS(INDEX($W$2:$W$1001,MATCH(ROWS($U$2:U440),$U$2:$U$1001,0),0), INDEX($AB$1004:$AQ$1004,1,MATCH(COLUMNS($AB$1006:AD1006),$AB$1006:$AQ$1006,0)))),"Fix")))</f>
        <v>0</v>
      </c>
      <c r="E440" s="4">
        <f>IF(OR(INDEX($V$2:$V$1001,MATCH(ROWS($U$2:U440),$U$2:$U$1001,0),1)&gt;=100000,INDEX($AB$1005:$AQ$1005,1,MATCH(COLUMNS($AB$1006:AE1006),$AB$1006:$AQ$1006,0))&gt;=100000), " ",IF(INDEX($AB$2:$AQ$1001,MATCH(ROWS($U$2:U440),$U$2:$U$1001,0),MATCH(COLUMNS($AB$1006:AE1006),$AB$1006:$AQ$1006,0)), HYPERLINK("#",""), HYPERLINK(CONCATENATE("#metadata!", ADDRESS(INDEX($W$2:$W$1001,MATCH(ROWS($U$2:U440),$U$2:$U$1001,0),0), INDEX($AB$1004:$AQ$1004,1,MATCH(COLUMNS($AB$1006:AE1006),$AB$1006:$AQ$1006,0)))),"Fix")))</f>
        <v>0</v>
      </c>
      <c r="F440" s="4">
        <f>IF(OR(INDEX($V$2:$V$1001,MATCH(ROWS($U$2:U440),$U$2:$U$1001,0),1)&gt;=100000,INDEX($AB$1005:$AQ$1005,1,MATCH(COLUMNS($AB$1006:AF1006),$AB$1006:$AQ$1006,0))&gt;=100000), " ",IF(INDEX($AB$2:$AQ$1001,MATCH(ROWS($U$2:U440),$U$2:$U$1001,0),MATCH(COLUMNS($AB$1006:AF1006),$AB$1006:$AQ$1006,0)), HYPERLINK("#",""), HYPERLINK(CONCATENATE("#metadata!", ADDRESS(INDEX($W$2:$W$1001,MATCH(ROWS($U$2:U440),$U$2:$U$1001,0),0), INDEX($AB$1004:$AQ$1004,1,MATCH(COLUMNS($AB$1006:AF1006),$AB$1006:$AQ$1006,0)))),"Fix")))</f>
        <v>0</v>
      </c>
      <c r="G440" s="4">
        <f>IF(OR(INDEX($V$2:$V$1001,MATCH(ROWS($U$2:U440),$U$2:$U$1001,0),1)&gt;=100000,INDEX($AB$1005:$AQ$1005,1,MATCH(COLUMNS($AB$1006:AG1006),$AB$1006:$AQ$1006,0))&gt;=100000), " ",IF(INDEX($AB$2:$AQ$1001,MATCH(ROWS($U$2:U440),$U$2:$U$1001,0),MATCH(COLUMNS($AB$1006:AG1006),$AB$1006:$AQ$1006,0)), HYPERLINK("#",""), HYPERLINK(CONCATENATE("#metadata!", ADDRESS(INDEX($W$2:$W$1001,MATCH(ROWS($U$2:U440),$U$2:$U$1001,0),0), INDEX($AB$1004:$AQ$1004,1,MATCH(COLUMNS($AB$1006:AG1006),$AB$1006:$AQ$1006,0)))),"Fix")))</f>
        <v>0</v>
      </c>
      <c r="H440" s="4">
        <f>IF(OR(INDEX($V$2:$V$1001,MATCH(ROWS($U$2:U440),$U$2:$U$1001,0),1)&gt;=100000,INDEX($AB$1005:$AQ$1005,1,MATCH(COLUMNS($AB$1006:AH1006),$AB$1006:$AQ$1006,0))&gt;=100000), " ",IF(INDEX($AB$2:$AQ$1001,MATCH(ROWS($U$2:U440),$U$2:$U$1001,0),MATCH(COLUMNS($AB$1006:AH1006),$AB$1006:$AQ$1006,0)), HYPERLINK("#",""), HYPERLINK(CONCATENATE("#metadata!", ADDRESS(INDEX($W$2:$W$1001,MATCH(ROWS($U$2:U440),$U$2:$U$1001,0),0), INDEX($AB$1004:$AQ$1004,1,MATCH(COLUMNS($AB$1006:AH1006),$AB$1006:$AQ$1006,0)))),"Fix")))</f>
        <v>0</v>
      </c>
      <c r="I440" s="4">
        <f>IF(OR(INDEX($V$2:$V$1001,MATCH(ROWS($U$2:U440),$U$2:$U$1001,0),1)&gt;=100000,INDEX($AB$1005:$AQ$1005,1,MATCH(COLUMNS($AB$1006:AI1006),$AB$1006:$AQ$1006,0))&gt;=100000), " ",IF(INDEX($AB$2:$AQ$1001,MATCH(ROWS($U$2:U440),$U$2:$U$1001,0),MATCH(COLUMNS($AB$1006:AI1006),$AB$1006:$AQ$1006,0)), HYPERLINK("#",""), HYPERLINK(CONCATENATE("#metadata!", ADDRESS(INDEX($W$2:$W$1001,MATCH(ROWS($U$2:U440),$U$2:$U$1001,0),0), INDEX($AB$1004:$AQ$1004,1,MATCH(COLUMNS($AB$1006:AI1006),$AB$1006:$AQ$1006,0)))),"Fix")))</f>
        <v>0</v>
      </c>
      <c r="J440" s="4">
        <f>IF(OR(INDEX($V$2:$V$1001,MATCH(ROWS($U$2:U440),$U$2:$U$1001,0),1)&gt;=100000,INDEX($AB$1005:$AQ$1005,1,MATCH(COLUMNS($AB$1006:AJ1006),$AB$1006:$AQ$1006,0))&gt;=100000), " ",IF(INDEX($AB$2:$AQ$1001,MATCH(ROWS($U$2:U440),$U$2:$U$1001,0),MATCH(COLUMNS($AB$1006:AJ1006),$AB$1006:$AQ$1006,0)), HYPERLINK("#",""), HYPERLINK(CONCATENATE("#metadata!", ADDRESS(INDEX($W$2:$W$1001,MATCH(ROWS($U$2:U440),$U$2:$U$1001,0),0), INDEX($AB$1004:$AQ$1004,1,MATCH(COLUMNS($AB$1006:AJ1006),$AB$1006:$AQ$1006,0)))),"Fix")))</f>
        <v>0</v>
      </c>
      <c r="K440" s="4">
        <f>IF(OR(INDEX($V$2:$V$1001,MATCH(ROWS($U$2:U440),$U$2:$U$1001,0),1)&gt;=100000,INDEX($AB$1005:$AQ$1005,1,MATCH(COLUMNS($AB$1006:AK1006),$AB$1006:$AQ$1006,0))&gt;=100000), " ",IF(INDEX($AB$2:$AQ$1001,MATCH(ROWS($U$2:U440),$U$2:$U$1001,0),MATCH(COLUMNS($AB$1006:AK1006),$AB$1006:$AQ$1006,0)), HYPERLINK("#",""), HYPERLINK(CONCATENATE("#metadata!", ADDRESS(INDEX($W$2:$W$1001,MATCH(ROWS($U$2:U440),$U$2:$U$1001,0),0), INDEX($AB$1004:$AQ$1004,1,MATCH(COLUMNS($AB$1006:AK1006),$AB$1006:$AQ$1006,0)))),"Fix")))</f>
        <v>0</v>
      </c>
      <c r="L440" s="4">
        <f>IF(OR(INDEX($V$2:$V$1001,MATCH(ROWS($U$2:U440),$U$2:$U$1001,0),1)&gt;=100000,INDEX($AB$1005:$AQ$1005,1,MATCH(COLUMNS($AB$1006:AL1006),$AB$1006:$AQ$1006,0))&gt;=100000), " ",IF(INDEX($AB$2:$AQ$1001,MATCH(ROWS($U$2:U440),$U$2:$U$1001,0),MATCH(COLUMNS($AB$1006:AL1006),$AB$1006:$AQ$1006,0)), HYPERLINK("#",""), HYPERLINK(CONCATENATE("#metadata!", ADDRESS(INDEX($W$2:$W$1001,MATCH(ROWS($U$2:U440),$U$2:$U$1001,0),0), INDEX($AB$1004:$AQ$1004,1,MATCH(COLUMNS($AB$1006:AL1006),$AB$1006:$AQ$1006,0)))),"Fix")))</f>
        <v>0</v>
      </c>
      <c r="M440" s="4">
        <f>IF(OR(INDEX($V$2:$V$1001,MATCH(ROWS($U$2:U440),$U$2:$U$1001,0),1)&gt;=100000,INDEX($AB$1005:$AQ$1005,1,MATCH(COLUMNS($AB$1006:AM1006),$AB$1006:$AQ$1006,0))&gt;=100000), " ",IF(INDEX($AB$2:$AQ$1001,MATCH(ROWS($U$2:U440),$U$2:$U$1001,0),MATCH(COLUMNS($AB$1006:AM1006),$AB$1006:$AQ$1006,0)), HYPERLINK("#",""), HYPERLINK(CONCATENATE("#metadata!", ADDRESS(INDEX($W$2:$W$1001,MATCH(ROWS($U$2:U440),$U$2:$U$1001,0),0), INDEX($AB$1004:$AQ$1004,1,MATCH(COLUMNS($AB$1006:AM1006),$AB$1006:$AQ$1006,0)))),"Fix")))</f>
        <v>0</v>
      </c>
      <c r="N440" s="4">
        <f>IF(OR(INDEX($V$2:$V$1001,MATCH(ROWS($U$2:U440),$U$2:$U$1001,0),1)&gt;=100000,INDEX($AB$1005:$AQ$1005,1,MATCH(COLUMNS($AB$1006:AN1006),$AB$1006:$AQ$1006,0))&gt;=100000), " ",IF(INDEX($AB$2:$AQ$1001,MATCH(ROWS($U$2:U440),$U$2:$U$1001,0),MATCH(COLUMNS($AB$1006:AN1006),$AB$1006:$AQ$1006,0)), HYPERLINK("#",""), HYPERLINK(CONCATENATE("#metadata!", ADDRESS(INDEX($W$2:$W$1001,MATCH(ROWS($U$2:U440),$U$2:$U$1001,0),0), INDEX($AB$1004:$AQ$1004,1,MATCH(COLUMNS($AB$1006:AN1006),$AB$1006:$AQ$1006,0)))),"Fix")))</f>
        <v>0</v>
      </c>
      <c r="O440" s="4">
        <f>IF(OR(INDEX($V$2:$V$1001,MATCH(ROWS($U$2:U440),$U$2:$U$1001,0),1)&gt;=100000,INDEX($AB$1005:$AQ$1005,1,MATCH(COLUMNS($AB$1006:AO1006),$AB$1006:$AQ$1006,0))&gt;=100000), " ",IF(INDEX($AB$2:$AQ$1001,MATCH(ROWS($U$2:U440),$U$2:$U$1001,0),MATCH(COLUMNS($AB$1006:AO1006),$AB$1006:$AQ$1006,0)), HYPERLINK("#",""), HYPERLINK(CONCATENATE("#metadata!", ADDRESS(INDEX($W$2:$W$1001,MATCH(ROWS($U$2:U440),$U$2:$U$1001,0),0), INDEX($AB$1004:$AQ$1004,1,MATCH(COLUMNS($AB$1006:AO1006),$AB$1006:$AQ$1006,0)))),"Fix")))</f>
        <v>0</v>
      </c>
      <c r="P440" s="4">
        <f>IF(OR(INDEX($V$2:$V$1001,MATCH(ROWS($U$2:U440),$U$2:$U$1001,0),1)&gt;=100000,INDEX($AB$1005:$AQ$1005,1,MATCH(COLUMNS($AB$1006:AP1006),$AB$1006:$AQ$1006,0))&gt;=100000), " ",IF(INDEX($AB$2:$AQ$1001,MATCH(ROWS($U$2:U440),$U$2:$U$1001,0),MATCH(COLUMNS($AB$1006:AP1006),$AB$1006:$AQ$1006,0)), HYPERLINK("#",""), HYPERLINK(CONCATENATE("#metadata!", ADDRESS(INDEX($W$2:$W$1001,MATCH(ROWS($U$2:U440),$U$2:$U$1001,0),0), INDEX($AB$1004:$AQ$1004,1,MATCH(COLUMNS($AB$1006:AP1006),$AB$1006:$AQ$1006,0)))),"Fix")))</f>
        <v>0</v>
      </c>
      <c r="Q440" s="4">
        <f>IF(OR(INDEX($V$2:$V$1001,MATCH(ROWS($U$2:U440),$U$2:$U$1001,0),1)&gt;=100000,INDEX($AB$1005:$AQ$1005,1,MATCH(COLUMNS($AB$1006:AQ1006),$AB$1006:$AQ$1006,0))&gt;=100000), " ",IF(INDEX($AB$2:$AQ$1001,MATCH(ROWS($U$2:U440),$U$2:$U$1001,0),MATCH(COLUMNS($AB$1006:AQ1006),$AB$1006:$AQ$1006,0)), HYPERLINK("#",""), HYPERLINK(CONCATENATE("#metadata!", ADDRESS(INDEX($W$2:$W$1001,MATCH(ROWS($U$2:U440),$U$2:$U$1001,0),0), INDEX($AB$1004:$AQ$1004,1,MATCH(COLUMNS($AB$1006:AQ1006),$AB$1006:$AQ$1006,0)))),"Fix")))</f>
        <v>0</v>
      </c>
      <c r="U440">
        <v>0</v>
      </c>
      <c r="V440">
        <v>0</v>
      </c>
      <c r="W440">
        <v>0</v>
      </c>
      <c r="X440">
        <f>IF(Y440,TRUE,AND(AB440:AQ440))</f>
        <v>0</v>
      </c>
      <c r="Y440">
        <f>COUNTBLANK(metadata!B440:Q440)=COLUMNS(metadata!B440:Q440)</f>
        <v>0</v>
      </c>
      <c r="Z440">
        <v>0</v>
      </c>
      <c r="AB440">
        <f>AND(IF(metadata!B440="",FALSE,TRUE),COUNTIF(metadata!B:B, metadata!B440) = 1,NOT(ISERROR(SUMPRODUCT(SEARCH(MID(metadata!B440,ROW(INDIRECT("1:"&amp;LEN(metadata!B440))), 1),"0123456789abcdefghijklmnopqrstuvwxyzABCDEFGHIJKLMNOPQRSTUVWXYZ.")))))</f>
        <v>0</v>
      </c>
      <c r="AC440">
        <f>OR(AND(IF(metadata!C440="",FALSE,TRUE),OR(exact(metadata!C440,"missing: not collected"),exact(metadata!C440,"missing: not provided"),exact(metadata!C440,"missing: restricted access"))),AND(IF(metadata!C440="",FALSE,TRUE),AND(AND(IFERROR(INT(LEFT(metadata!C440,4))&gt;1900,FALSE),IFERROR(INT(LEFT(metadata!C440,4))&lt;=YEAR(NOW()),FALSE)), OR(MID(metadata!C440,5,1)="", AND(AND(MID(metadata!C440,5,1)="-",IFERROR(INT(MID(metadata!C440,6,1))&gt;=0,FALSE),IFERROR(INT(MID(metadata!C440,6,1))&lt;=1,FALSE),NOT(MID(metadata!C440,7,1)=""),IFERROR(INT(MID(metadata!C440,6,2))&gt;=1,FALSE),IFERROR(INT(MID(metadata!C440,6,2))&lt;=12,FALSE)), OR(MID(metadata!C440,8,1)="", AND(AND(MID(metadata!C440,8,1)="-",IFERROR(INT(MID(metadata!C440,9,1))&gt;=0,FALSE),IFERROR(INT(MID(metadata!C440,9,1))&lt;=3,FALSE),NOT(MID(metadata!C440,10,1)=""),IFERROR(INT(MID(metadata!C440,9,2))&gt;=1,FALSE),IFERROR(INT(MID(metadata!C440,9,2))&lt;=31,FALSE)), OR(MID(metadata!C440,11,1)="", AND(AND(MID(metadata!C440,11,1)=" ",IFERROR(INT(MID(metadata!C440,12,1))&gt;=0,FALSE),IFERROR(INT(MID(metadata!C440,12,1))&lt;=2,FALSE),NOT(MID(metadata!C440,13,1)=""),IFERROR(INT(MID(metadata!C440,12,2))&gt;=0,FALSE),IFERROR(INT(MID(metadata!C440,12,2))&lt;=23,FALSE)), OR(MID(metadata!C440,14,1)="", AND(AND(MID(metadata!C440,14,1)=":",IFERROR(INT(MID(metadata!C440,15,1))&gt;=0,FALSE),IFERROR(INT(MID(metadata!C440,15,1))&lt;=5,FALSE),NOT(MID(metadata!C440,16,1)=""),IFERROR(INT(MID(metadata!C440,15,2))&gt;=0,FALSE),IFERROR(INT(MID(metadata!C440,15,2))&lt;=59,FALSE)), OR(MID(metadata!C440,17,1)="", AND(AND(MID(metadata!C440,17,1)=":",IFERROR(INT(MID(metadata!C440,18,1))&gt;=0,FALSE),IFERROR(INT(MID(metadata!C440,18,1))&lt;=5,FALSE),NOT(MID(metadata!C440,19,1)=""),IFERROR(INT(MID(metadata!C440,18,2))&gt;=0,FALSE),IFERROR(INT(MID(metadata!C440,18,2))&lt;=59,FALSE)), LEN(metadata!C440)&lt;=19)))))))))))))</f>
        <v>0</v>
      </c>
      <c r="AD440">
        <f>IF(metadata!D440="",FALSE,TRUE)</f>
        <v>0</v>
      </c>
      <c r="AE440">
        <f>OR(AND(IF(metadata!E440="",FALSE,TRUE),OR(exact(metadata!E440,"missing: not collected"),exact(metadata!E440,"missing: not provided"))),AND(IF(metadata!E440="",FALSE,TRUE),OR(exact(metadata!E440,"TRUE"),exact(metadata!E440,"FALSE"))))</f>
        <v>0</v>
      </c>
      <c r="AF440">
        <f>IF(metadata!F440="",FALSE,TRUE)</f>
        <v>0</v>
      </c>
      <c r="AG440">
        <f>IF(metadata!G440="",FALSE,TRUE)</f>
        <v>0</v>
      </c>
      <c r="AH440">
        <f>IF(metadata!H440="",FALSE,TRUE)</f>
        <v>0</v>
      </c>
      <c r="AI440">
        <f>OR(AND(IF(metadata!I440="",FALSE,TRUE),OR(exact(metadata!I440,"missing: not collected"),exact(metadata!I440,"missing: not provided"),exact(metadata!I440,"missing: restricted access"))),AND(IF(metadata!I440="",FALSE,TRUE),OR(exact(metadata!I440,"air"),exact(metadata!I440,"built environment"),exact(metadata!I440,"host-associated"),exact(metadata!I440,"human-associated"),exact(metadata!I440,"human-skin"),exact(metadata!I440,"human-oral"),exact(metadata!I440,"human-gut"),exact(metadata!I440,"human-vaginal"),exact(metadata!I440,"microbial mat/biofilm"),exact(metadata!I440,"misc environment"),exact(metadata!I440,"plant-associated"),exact(metadata!I440,"sediment"),exact(metadata!I440,"soil"),exact(metadata!I440,"wastewater/sludge"),exact(metadata!I440,"water"))))</f>
        <v>0</v>
      </c>
      <c r="AJ440">
        <f>IF(metadata!J440="",FALSE,TRUE)</f>
        <v>0</v>
      </c>
      <c r="AK440">
        <f>OR(AND(IF(metadata!K440="",FALSE,TRUE),OR(exact(metadata!K440,"missing: not collected"),exact(metadata!K440,"missing: not provided"),exact(metadata!K440,"missing: restricted access"))),AND(IF(metadata!K440="",FALSE,ISNUMBER(VALUE(metadata!K440))),metadata!K440&gt;=-90.00,metadata!K440&lt;=90.00))</f>
        <v>0</v>
      </c>
      <c r="AL440">
        <f>OR(AND(IF(metadata!L440="",FALSE,TRUE),OR(exact(metadata!L440,"missing: not collected"),exact(metadata!L440,"missing: not provided"),exact(metadata!L440,"missing: restricted access"))),AND(IF(metadata!L440="",FALSE,ISNUMBER(VALUE(metadata!L440))),metadata!L440&gt;=-180.00,metadata!L440&lt;=180.00))</f>
        <v>0</v>
      </c>
      <c r="AM440">
        <f>IF(metadata!M440="",FALSE,TRUE)</f>
        <v>0</v>
      </c>
      <c r="AN440">
        <f>OR(AND(IF(metadata!N440="",FALSE,TRUE),OR(exact(metadata!N440,"missing: not collected"),exact(metadata!N440,"missing: not provided"),exact(metadata!N440,"missing: restricted access"))),AND(IF(metadata!N440="",FALSE,TRUE),OR(exact(metadata!N440,"TRUE"),exact(metadata!N440,"FALSE"))))</f>
        <v>0</v>
      </c>
      <c r="AO440">
        <f>IF(metadata!O440="",FALSE,TRUE)</f>
        <v>0</v>
      </c>
      <c r="AP440">
        <f>OR(AND(IF(metadata!P440="",FALSE,TRUE),OR(exact(metadata!P440,"missing: not collected"),exact(metadata!P440,"missing: not provided"))),AND(IF(metadata!P440="",FALSE,IF(ISERROR(INT(metadata!P440)),FALSE,INT(metadata!P440)=metadata!P440)),metadata!P440&gt;0))</f>
        <v>0</v>
      </c>
      <c r="AQ440">
        <f>IF(metadata!Q440="",FALSE,TRUE)</f>
        <v>0</v>
      </c>
    </row>
    <row r="441" spans="1:43">
      <c r="A441" s="5">
        <f>IF(B441=" "," ",HYPERLINK(CONCATENATE("#metadata!",ADDRESS(INDEX($W$2:$W$1001,MATCH(ROWS($U$2:U441),$U$2:$U$1001,0),0),1)),INDEX($Z$2:$Z$1001,MATCH(ROWS($U$2:U441),$U$2:$U$1001,0),0)))</f>
        <v>0</v>
      </c>
      <c r="B441" s="4">
        <f>IF(OR(INDEX($V$2:$V$1001,MATCH(ROWS($U$2:U441),$U$2:$U$1001,0),1)&gt;=100000,INDEX($AB$1005:$AQ$1005,1,MATCH(COLUMNS($AB$1006:AB1006),$AB$1006:$AQ$1006,0))&gt;=100000), " ",IF(INDEX($AB$2:$AQ$1001,MATCH(ROWS($U$2:U441),$U$2:$U$1001,0),MATCH(COLUMNS($AB$1006:AB1006),$AB$1006:$AQ$1006,0)), HYPERLINK("#",""), HYPERLINK(CONCATENATE("#metadata!", ADDRESS(INDEX($W$2:$W$1001,MATCH(ROWS($U$2:U441),$U$2:$U$1001,0),0), INDEX($AB$1004:$AQ$1004,1,MATCH(COLUMNS($AB$1006:AB1006),$AB$1006:$AQ$1006,0)))),"Fix")))</f>
        <v>0</v>
      </c>
      <c r="C441" s="4">
        <f>IF(OR(INDEX($V$2:$V$1001,MATCH(ROWS($U$2:U441),$U$2:$U$1001,0),1)&gt;=100000,INDEX($AB$1005:$AQ$1005,1,MATCH(COLUMNS($AB$1006:AC1006),$AB$1006:$AQ$1006,0))&gt;=100000), " ",IF(INDEX($AB$2:$AQ$1001,MATCH(ROWS($U$2:U441),$U$2:$U$1001,0),MATCH(COLUMNS($AB$1006:AC1006),$AB$1006:$AQ$1006,0)), HYPERLINK("#",""), HYPERLINK(CONCATENATE("#metadata!", ADDRESS(INDEX($W$2:$W$1001,MATCH(ROWS($U$2:U441),$U$2:$U$1001,0),0), INDEX($AB$1004:$AQ$1004,1,MATCH(COLUMNS($AB$1006:AC1006),$AB$1006:$AQ$1006,0)))),"Fix")))</f>
        <v>0</v>
      </c>
      <c r="D441" s="4">
        <f>IF(OR(INDEX($V$2:$V$1001,MATCH(ROWS($U$2:U441),$U$2:$U$1001,0),1)&gt;=100000,INDEX($AB$1005:$AQ$1005,1,MATCH(COLUMNS($AB$1006:AD1006),$AB$1006:$AQ$1006,0))&gt;=100000), " ",IF(INDEX($AB$2:$AQ$1001,MATCH(ROWS($U$2:U441),$U$2:$U$1001,0),MATCH(COLUMNS($AB$1006:AD1006),$AB$1006:$AQ$1006,0)), HYPERLINK("#",""), HYPERLINK(CONCATENATE("#metadata!", ADDRESS(INDEX($W$2:$W$1001,MATCH(ROWS($U$2:U441),$U$2:$U$1001,0),0), INDEX($AB$1004:$AQ$1004,1,MATCH(COLUMNS($AB$1006:AD1006),$AB$1006:$AQ$1006,0)))),"Fix")))</f>
        <v>0</v>
      </c>
      <c r="E441" s="4">
        <f>IF(OR(INDEX($V$2:$V$1001,MATCH(ROWS($U$2:U441),$U$2:$U$1001,0),1)&gt;=100000,INDEX($AB$1005:$AQ$1005,1,MATCH(COLUMNS($AB$1006:AE1006),$AB$1006:$AQ$1006,0))&gt;=100000), " ",IF(INDEX($AB$2:$AQ$1001,MATCH(ROWS($U$2:U441),$U$2:$U$1001,0),MATCH(COLUMNS($AB$1006:AE1006),$AB$1006:$AQ$1006,0)), HYPERLINK("#",""), HYPERLINK(CONCATENATE("#metadata!", ADDRESS(INDEX($W$2:$W$1001,MATCH(ROWS($U$2:U441),$U$2:$U$1001,0),0), INDEX($AB$1004:$AQ$1004,1,MATCH(COLUMNS($AB$1006:AE1006),$AB$1006:$AQ$1006,0)))),"Fix")))</f>
        <v>0</v>
      </c>
      <c r="F441" s="4">
        <f>IF(OR(INDEX($V$2:$V$1001,MATCH(ROWS($U$2:U441),$U$2:$U$1001,0),1)&gt;=100000,INDEX($AB$1005:$AQ$1005,1,MATCH(COLUMNS($AB$1006:AF1006),$AB$1006:$AQ$1006,0))&gt;=100000), " ",IF(INDEX($AB$2:$AQ$1001,MATCH(ROWS($U$2:U441),$U$2:$U$1001,0),MATCH(COLUMNS($AB$1006:AF1006),$AB$1006:$AQ$1006,0)), HYPERLINK("#",""), HYPERLINK(CONCATENATE("#metadata!", ADDRESS(INDEX($W$2:$W$1001,MATCH(ROWS($U$2:U441),$U$2:$U$1001,0),0), INDEX($AB$1004:$AQ$1004,1,MATCH(COLUMNS($AB$1006:AF1006),$AB$1006:$AQ$1006,0)))),"Fix")))</f>
        <v>0</v>
      </c>
      <c r="G441" s="4">
        <f>IF(OR(INDEX($V$2:$V$1001,MATCH(ROWS($U$2:U441),$U$2:$U$1001,0),1)&gt;=100000,INDEX($AB$1005:$AQ$1005,1,MATCH(COLUMNS($AB$1006:AG1006),$AB$1006:$AQ$1006,0))&gt;=100000), " ",IF(INDEX($AB$2:$AQ$1001,MATCH(ROWS($U$2:U441),$U$2:$U$1001,0),MATCH(COLUMNS($AB$1006:AG1006),$AB$1006:$AQ$1006,0)), HYPERLINK("#",""), HYPERLINK(CONCATENATE("#metadata!", ADDRESS(INDEX($W$2:$W$1001,MATCH(ROWS($U$2:U441),$U$2:$U$1001,0),0), INDEX($AB$1004:$AQ$1004,1,MATCH(COLUMNS($AB$1006:AG1006),$AB$1006:$AQ$1006,0)))),"Fix")))</f>
        <v>0</v>
      </c>
      <c r="H441" s="4">
        <f>IF(OR(INDEX($V$2:$V$1001,MATCH(ROWS($U$2:U441),$U$2:$U$1001,0),1)&gt;=100000,INDEX($AB$1005:$AQ$1005,1,MATCH(COLUMNS($AB$1006:AH1006),$AB$1006:$AQ$1006,0))&gt;=100000), " ",IF(INDEX($AB$2:$AQ$1001,MATCH(ROWS($U$2:U441),$U$2:$U$1001,0),MATCH(COLUMNS($AB$1006:AH1006),$AB$1006:$AQ$1006,0)), HYPERLINK("#",""), HYPERLINK(CONCATENATE("#metadata!", ADDRESS(INDEX($W$2:$W$1001,MATCH(ROWS($U$2:U441),$U$2:$U$1001,0),0), INDEX($AB$1004:$AQ$1004,1,MATCH(COLUMNS($AB$1006:AH1006),$AB$1006:$AQ$1006,0)))),"Fix")))</f>
        <v>0</v>
      </c>
      <c r="I441" s="4">
        <f>IF(OR(INDEX($V$2:$V$1001,MATCH(ROWS($U$2:U441),$U$2:$U$1001,0),1)&gt;=100000,INDEX($AB$1005:$AQ$1005,1,MATCH(COLUMNS($AB$1006:AI1006),$AB$1006:$AQ$1006,0))&gt;=100000), " ",IF(INDEX($AB$2:$AQ$1001,MATCH(ROWS($U$2:U441),$U$2:$U$1001,0),MATCH(COLUMNS($AB$1006:AI1006),$AB$1006:$AQ$1006,0)), HYPERLINK("#",""), HYPERLINK(CONCATENATE("#metadata!", ADDRESS(INDEX($W$2:$W$1001,MATCH(ROWS($U$2:U441),$U$2:$U$1001,0),0), INDEX($AB$1004:$AQ$1004,1,MATCH(COLUMNS($AB$1006:AI1006),$AB$1006:$AQ$1006,0)))),"Fix")))</f>
        <v>0</v>
      </c>
      <c r="J441" s="4">
        <f>IF(OR(INDEX($V$2:$V$1001,MATCH(ROWS($U$2:U441),$U$2:$U$1001,0),1)&gt;=100000,INDEX($AB$1005:$AQ$1005,1,MATCH(COLUMNS($AB$1006:AJ1006),$AB$1006:$AQ$1006,0))&gt;=100000), " ",IF(INDEX($AB$2:$AQ$1001,MATCH(ROWS($U$2:U441),$U$2:$U$1001,0),MATCH(COLUMNS($AB$1006:AJ1006),$AB$1006:$AQ$1006,0)), HYPERLINK("#",""), HYPERLINK(CONCATENATE("#metadata!", ADDRESS(INDEX($W$2:$W$1001,MATCH(ROWS($U$2:U441),$U$2:$U$1001,0),0), INDEX($AB$1004:$AQ$1004,1,MATCH(COLUMNS($AB$1006:AJ1006),$AB$1006:$AQ$1006,0)))),"Fix")))</f>
        <v>0</v>
      </c>
      <c r="K441" s="4">
        <f>IF(OR(INDEX($V$2:$V$1001,MATCH(ROWS($U$2:U441),$U$2:$U$1001,0),1)&gt;=100000,INDEX($AB$1005:$AQ$1005,1,MATCH(COLUMNS($AB$1006:AK1006),$AB$1006:$AQ$1006,0))&gt;=100000), " ",IF(INDEX($AB$2:$AQ$1001,MATCH(ROWS($U$2:U441),$U$2:$U$1001,0),MATCH(COLUMNS($AB$1006:AK1006),$AB$1006:$AQ$1006,0)), HYPERLINK("#",""), HYPERLINK(CONCATENATE("#metadata!", ADDRESS(INDEX($W$2:$W$1001,MATCH(ROWS($U$2:U441),$U$2:$U$1001,0),0), INDEX($AB$1004:$AQ$1004,1,MATCH(COLUMNS($AB$1006:AK1006),$AB$1006:$AQ$1006,0)))),"Fix")))</f>
        <v>0</v>
      </c>
      <c r="L441" s="4">
        <f>IF(OR(INDEX($V$2:$V$1001,MATCH(ROWS($U$2:U441),$U$2:$U$1001,0),1)&gt;=100000,INDEX($AB$1005:$AQ$1005,1,MATCH(COLUMNS($AB$1006:AL1006),$AB$1006:$AQ$1006,0))&gt;=100000), " ",IF(INDEX($AB$2:$AQ$1001,MATCH(ROWS($U$2:U441),$U$2:$U$1001,0),MATCH(COLUMNS($AB$1006:AL1006),$AB$1006:$AQ$1006,0)), HYPERLINK("#",""), HYPERLINK(CONCATENATE("#metadata!", ADDRESS(INDEX($W$2:$W$1001,MATCH(ROWS($U$2:U441),$U$2:$U$1001,0),0), INDEX($AB$1004:$AQ$1004,1,MATCH(COLUMNS($AB$1006:AL1006),$AB$1006:$AQ$1006,0)))),"Fix")))</f>
        <v>0</v>
      </c>
      <c r="M441" s="4">
        <f>IF(OR(INDEX($V$2:$V$1001,MATCH(ROWS($U$2:U441),$U$2:$U$1001,0),1)&gt;=100000,INDEX($AB$1005:$AQ$1005,1,MATCH(COLUMNS($AB$1006:AM1006),$AB$1006:$AQ$1006,0))&gt;=100000), " ",IF(INDEX($AB$2:$AQ$1001,MATCH(ROWS($U$2:U441),$U$2:$U$1001,0),MATCH(COLUMNS($AB$1006:AM1006),$AB$1006:$AQ$1006,0)), HYPERLINK("#",""), HYPERLINK(CONCATENATE("#metadata!", ADDRESS(INDEX($W$2:$W$1001,MATCH(ROWS($U$2:U441),$U$2:$U$1001,0),0), INDEX($AB$1004:$AQ$1004,1,MATCH(COLUMNS($AB$1006:AM1006),$AB$1006:$AQ$1006,0)))),"Fix")))</f>
        <v>0</v>
      </c>
      <c r="N441" s="4">
        <f>IF(OR(INDEX($V$2:$V$1001,MATCH(ROWS($U$2:U441),$U$2:$U$1001,0),1)&gt;=100000,INDEX($AB$1005:$AQ$1005,1,MATCH(COLUMNS($AB$1006:AN1006),$AB$1006:$AQ$1006,0))&gt;=100000), " ",IF(INDEX($AB$2:$AQ$1001,MATCH(ROWS($U$2:U441),$U$2:$U$1001,0),MATCH(COLUMNS($AB$1006:AN1006),$AB$1006:$AQ$1006,0)), HYPERLINK("#",""), HYPERLINK(CONCATENATE("#metadata!", ADDRESS(INDEX($W$2:$W$1001,MATCH(ROWS($U$2:U441),$U$2:$U$1001,0),0), INDEX($AB$1004:$AQ$1004,1,MATCH(COLUMNS($AB$1006:AN1006),$AB$1006:$AQ$1006,0)))),"Fix")))</f>
        <v>0</v>
      </c>
      <c r="O441" s="4">
        <f>IF(OR(INDEX($V$2:$V$1001,MATCH(ROWS($U$2:U441),$U$2:$U$1001,0),1)&gt;=100000,INDEX($AB$1005:$AQ$1005,1,MATCH(COLUMNS($AB$1006:AO1006),$AB$1006:$AQ$1006,0))&gt;=100000), " ",IF(INDEX($AB$2:$AQ$1001,MATCH(ROWS($U$2:U441),$U$2:$U$1001,0),MATCH(COLUMNS($AB$1006:AO1006),$AB$1006:$AQ$1006,0)), HYPERLINK("#",""), HYPERLINK(CONCATENATE("#metadata!", ADDRESS(INDEX($W$2:$W$1001,MATCH(ROWS($U$2:U441),$U$2:$U$1001,0),0), INDEX($AB$1004:$AQ$1004,1,MATCH(COLUMNS($AB$1006:AO1006),$AB$1006:$AQ$1006,0)))),"Fix")))</f>
        <v>0</v>
      </c>
      <c r="P441" s="4">
        <f>IF(OR(INDEX($V$2:$V$1001,MATCH(ROWS($U$2:U441),$U$2:$U$1001,0),1)&gt;=100000,INDEX($AB$1005:$AQ$1005,1,MATCH(COLUMNS($AB$1006:AP1006),$AB$1006:$AQ$1006,0))&gt;=100000), " ",IF(INDEX($AB$2:$AQ$1001,MATCH(ROWS($U$2:U441),$U$2:$U$1001,0),MATCH(COLUMNS($AB$1006:AP1006),$AB$1006:$AQ$1006,0)), HYPERLINK("#",""), HYPERLINK(CONCATENATE("#metadata!", ADDRESS(INDEX($W$2:$W$1001,MATCH(ROWS($U$2:U441),$U$2:$U$1001,0),0), INDEX($AB$1004:$AQ$1004,1,MATCH(COLUMNS($AB$1006:AP1006),$AB$1006:$AQ$1006,0)))),"Fix")))</f>
        <v>0</v>
      </c>
      <c r="Q441" s="4">
        <f>IF(OR(INDEX($V$2:$V$1001,MATCH(ROWS($U$2:U441),$U$2:$U$1001,0),1)&gt;=100000,INDEX($AB$1005:$AQ$1005,1,MATCH(COLUMNS($AB$1006:AQ1006),$AB$1006:$AQ$1006,0))&gt;=100000), " ",IF(INDEX($AB$2:$AQ$1001,MATCH(ROWS($U$2:U441),$U$2:$U$1001,0),MATCH(COLUMNS($AB$1006:AQ1006),$AB$1006:$AQ$1006,0)), HYPERLINK("#",""), HYPERLINK(CONCATENATE("#metadata!", ADDRESS(INDEX($W$2:$W$1001,MATCH(ROWS($U$2:U441),$U$2:$U$1001,0),0), INDEX($AB$1004:$AQ$1004,1,MATCH(COLUMNS($AB$1006:AQ1006),$AB$1006:$AQ$1006,0)))),"Fix")))</f>
        <v>0</v>
      </c>
      <c r="U441">
        <v>0</v>
      </c>
      <c r="V441">
        <v>0</v>
      </c>
      <c r="W441">
        <v>0</v>
      </c>
      <c r="X441">
        <f>IF(Y441,TRUE,AND(AB441:AQ441))</f>
        <v>0</v>
      </c>
      <c r="Y441">
        <f>COUNTBLANK(metadata!B441:Q441)=COLUMNS(metadata!B441:Q441)</f>
        <v>0</v>
      </c>
      <c r="Z441">
        <v>0</v>
      </c>
      <c r="AB441">
        <f>AND(IF(metadata!B441="",FALSE,TRUE),COUNTIF(metadata!B:B, metadata!B441) = 1,NOT(ISERROR(SUMPRODUCT(SEARCH(MID(metadata!B441,ROW(INDIRECT("1:"&amp;LEN(metadata!B441))), 1),"0123456789abcdefghijklmnopqrstuvwxyzABCDEFGHIJKLMNOPQRSTUVWXYZ.")))))</f>
        <v>0</v>
      </c>
      <c r="AC441">
        <f>OR(AND(IF(metadata!C441="",FALSE,TRUE),OR(exact(metadata!C441,"missing: not collected"),exact(metadata!C441,"missing: not provided"),exact(metadata!C441,"missing: restricted access"))),AND(IF(metadata!C441="",FALSE,TRUE),AND(AND(IFERROR(INT(LEFT(metadata!C441,4))&gt;1900,FALSE),IFERROR(INT(LEFT(metadata!C441,4))&lt;=YEAR(NOW()),FALSE)), OR(MID(metadata!C441,5,1)="", AND(AND(MID(metadata!C441,5,1)="-",IFERROR(INT(MID(metadata!C441,6,1))&gt;=0,FALSE),IFERROR(INT(MID(metadata!C441,6,1))&lt;=1,FALSE),NOT(MID(metadata!C441,7,1)=""),IFERROR(INT(MID(metadata!C441,6,2))&gt;=1,FALSE),IFERROR(INT(MID(metadata!C441,6,2))&lt;=12,FALSE)), OR(MID(metadata!C441,8,1)="", AND(AND(MID(metadata!C441,8,1)="-",IFERROR(INT(MID(metadata!C441,9,1))&gt;=0,FALSE),IFERROR(INT(MID(metadata!C441,9,1))&lt;=3,FALSE),NOT(MID(metadata!C441,10,1)=""),IFERROR(INT(MID(metadata!C441,9,2))&gt;=1,FALSE),IFERROR(INT(MID(metadata!C441,9,2))&lt;=31,FALSE)), OR(MID(metadata!C441,11,1)="", AND(AND(MID(metadata!C441,11,1)=" ",IFERROR(INT(MID(metadata!C441,12,1))&gt;=0,FALSE),IFERROR(INT(MID(metadata!C441,12,1))&lt;=2,FALSE),NOT(MID(metadata!C441,13,1)=""),IFERROR(INT(MID(metadata!C441,12,2))&gt;=0,FALSE),IFERROR(INT(MID(metadata!C441,12,2))&lt;=23,FALSE)), OR(MID(metadata!C441,14,1)="", AND(AND(MID(metadata!C441,14,1)=":",IFERROR(INT(MID(metadata!C441,15,1))&gt;=0,FALSE),IFERROR(INT(MID(metadata!C441,15,1))&lt;=5,FALSE),NOT(MID(metadata!C441,16,1)=""),IFERROR(INT(MID(metadata!C441,15,2))&gt;=0,FALSE),IFERROR(INT(MID(metadata!C441,15,2))&lt;=59,FALSE)), OR(MID(metadata!C441,17,1)="", AND(AND(MID(metadata!C441,17,1)=":",IFERROR(INT(MID(metadata!C441,18,1))&gt;=0,FALSE),IFERROR(INT(MID(metadata!C441,18,1))&lt;=5,FALSE),NOT(MID(metadata!C441,19,1)=""),IFERROR(INT(MID(metadata!C441,18,2))&gt;=0,FALSE),IFERROR(INT(MID(metadata!C441,18,2))&lt;=59,FALSE)), LEN(metadata!C441)&lt;=19)))))))))))))</f>
        <v>0</v>
      </c>
      <c r="AD441">
        <f>IF(metadata!D441="",FALSE,TRUE)</f>
        <v>0</v>
      </c>
      <c r="AE441">
        <f>OR(AND(IF(metadata!E441="",FALSE,TRUE),OR(exact(metadata!E441,"missing: not collected"),exact(metadata!E441,"missing: not provided"))),AND(IF(metadata!E441="",FALSE,TRUE),OR(exact(metadata!E441,"TRUE"),exact(metadata!E441,"FALSE"))))</f>
        <v>0</v>
      </c>
      <c r="AF441">
        <f>IF(metadata!F441="",FALSE,TRUE)</f>
        <v>0</v>
      </c>
      <c r="AG441">
        <f>IF(metadata!G441="",FALSE,TRUE)</f>
        <v>0</v>
      </c>
      <c r="AH441">
        <f>IF(metadata!H441="",FALSE,TRUE)</f>
        <v>0</v>
      </c>
      <c r="AI441">
        <f>OR(AND(IF(metadata!I441="",FALSE,TRUE),OR(exact(metadata!I441,"missing: not collected"),exact(metadata!I441,"missing: not provided"),exact(metadata!I441,"missing: restricted access"))),AND(IF(metadata!I441="",FALSE,TRUE),OR(exact(metadata!I441,"air"),exact(metadata!I441,"built environment"),exact(metadata!I441,"host-associated"),exact(metadata!I441,"human-associated"),exact(metadata!I441,"human-skin"),exact(metadata!I441,"human-oral"),exact(metadata!I441,"human-gut"),exact(metadata!I441,"human-vaginal"),exact(metadata!I441,"microbial mat/biofilm"),exact(metadata!I441,"misc environment"),exact(metadata!I441,"plant-associated"),exact(metadata!I441,"sediment"),exact(metadata!I441,"soil"),exact(metadata!I441,"wastewater/sludge"),exact(metadata!I441,"water"))))</f>
        <v>0</v>
      </c>
      <c r="AJ441">
        <f>IF(metadata!J441="",FALSE,TRUE)</f>
        <v>0</v>
      </c>
      <c r="AK441">
        <f>OR(AND(IF(metadata!K441="",FALSE,TRUE),OR(exact(metadata!K441,"missing: not collected"),exact(metadata!K441,"missing: not provided"),exact(metadata!K441,"missing: restricted access"))),AND(IF(metadata!K441="",FALSE,ISNUMBER(VALUE(metadata!K441))),metadata!K441&gt;=-90.00,metadata!K441&lt;=90.00))</f>
        <v>0</v>
      </c>
      <c r="AL441">
        <f>OR(AND(IF(metadata!L441="",FALSE,TRUE),OR(exact(metadata!L441,"missing: not collected"),exact(metadata!L441,"missing: not provided"),exact(metadata!L441,"missing: restricted access"))),AND(IF(metadata!L441="",FALSE,ISNUMBER(VALUE(metadata!L441))),metadata!L441&gt;=-180.00,metadata!L441&lt;=180.00))</f>
        <v>0</v>
      </c>
      <c r="AM441">
        <f>IF(metadata!M441="",FALSE,TRUE)</f>
        <v>0</v>
      </c>
      <c r="AN441">
        <f>OR(AND(IF(metadata!N441="",FALSE,TRUE),OR(exact(metadata!N441,"missing: not collected"),exact(metadata!N441,"missing: not provided"),exact(metadata!N441,"missing: restricted access"))),AND(IF(metadata!N441="",FALSE,TRUE),OR(exact(metadata!N441,"TRUE"),exact(metadata!N441,"FALSE"))))</f>
        <v>0</v>
      </c>
      <c r="AO441">
        <f>IF(metadata!O441="",FALSE,TRUE)</f>
        <v>0</v>
      </c>
      <c r="AP441">
        <f>OR(AND(IF(metadata!P441="",FALSE,TRUE),OR(exact(metadata!P441,"missing: not collected"),exact(metadata!P441,"missing: not provided"))),AND(IF(metadata!P441="",FALSE,IF(ISERROR(INT(metadata!P441)),FALSE,INT(metadata!P441)=metadata!P441)),metadata!P441&gt;0))</f>
        <v>0</v>
      </c>
      <c r="AQ441">
        <f>IF(metadata!Q441="",FALSE,TRUE)</f>
        <v>0</v>
      </c>
    </row>
    <row r="442" spans="1:43">
      <c r="A442" s="5">
        <f>IF(B442=" "," ",HYPERLINK(CONCATENATE("#metadata!",ADDRESS(INDEX($W$2:$W$1001,MATCH(ROWS($U$2:U442),$U$2:$U$1001,0),0),1)),INDEX($Z$2:$Z$1001,MATCH(ROWS($U$2:U442),$U$2:$U$1001,0),0)))</f>
        <v>0</v>
      </c>
      <c r="B442" s="4">
        <f>IF(OR(INDEX($V$2:$V$1001,MATCH(ROWS($U$2:U442),$U$2:$U$1001,0),1)&gt;=100000,INDEX($AB$1005:$AQ$1005,1,MATCH(COLUMNS($AB$1006:AB1006),$AB$1006:$AQ$1006,0))&gt;=100000), " ",IF(INDEX($AB$2:$AQ$1001,MATCH(ROWS($U$2:U442),$U$2:$U$1001,0),MATCH(COLUMNS($AB$1006:AB1006),$AB$1006:$AQ$1006,0)), HYPERLINK("#",""), HYPERLINK(CONCATENATE("#metadata!", ADDRESS(INDEX($W$2:$W$1001,MATCH(ROWS($U$2:U442),$U$2:$U$1001,0),0), INDEX($AB$1004:$AQ$1004,1,MATCH(COLUMNS($AB$1006:AB1006),$AB$1006:$AQ$1006,0)))),"Fix")))</f>
        <v>0</v>
      </c>
      <c r="C442" s="4">
        <f>IF(OR(INDEX($V$2:$V$1001,MATCH(ROWS($U$2:U442),$U$2:$U$1001,0),1)&gt;=100000,INDEX($AB$1005:$AQ$1005,1,MATCH(COLUMNS($AB$1006:AC1006),$AB$1006:$AQ$1006,0))&gt;=100000), " ",IF(INDEX($AB$2:$AQ$1001,MATCH(ROWS($U$2:U442),$U$2:$U$1001,0),MATCH(COLUMNS($AB$1006:AC1006),$AB$1006:$AQ$1006,0)), HYPERLINK("#",""), HYPERLINK(CONCATENATE("#metadata!", ADDRESS(INDEX($W$2:$W$1001,MATCH(ROWS($U$2:U442),$U$2:$U$1001,0),0), INDEX($AB$1004:$AQ$1004,1,MATCH(COLUMNS($AB$1006:AC1006),$AB$1006:$AQ$1006,0)))),"Fix")))</f>
        <v>0</v>
      </c>
      <c r="D442" s="4">
        <f>IF(OR(INDEX($V$2:$V$1001,MATCH(ROWS($U$2:U442),$U$2:$U$1001,0),1)&gt;=100000,INDEX($AB$1005:$AQ$1005,1,MATCH(COLUMNS($AB$1006:AD1006),$AB$1006:$AQ$1006,0))&gt;=100000), " ",IF(INDEX($AB$2:$AQ$1001,MATCH(ROWS($U$2:U442),$U$2:$U$1001,0),MATCH(COLUMNS($AB$1006:AD1006),$AB$1006:$AQ$1006,0)), HYPERLINK("#",""), HYPERLINK(CONCATENATE("#metadata!", ADDRESS(INDEX($W$2:$W$1001,MATCH(ROWS($U$2:U442),$U$2:$U$1001,0),0), INDEX($AB$1004:$AQ$1004,1,MATCH(COLUMNS($AB$1006:AD1006),$AB$1006:$AQ$1006,0)))),"Fix")))</f>
        <v>0</v>
      </c>
      <c r="E442" s="4">
        <f>IF(OR(INDEX($V$2:$V$1001,MATCH(ROWS($U$2:U442),$U$2:$U$1001,0),1)&gt;=100000,INDEX($AB$1005:$AQ$1005,1,MATCH(COLUMNS($AB$1006:AE1006),$AB$1006:$AQ$1006,0))&gt;=100000), " ",IF(INDEX($AB$2:$AQ$1001,MATCH(ROWS($U$2:U442),$U$2:$U$1001,0),MATCH(COLUMNS($AB$1006:AE1006),$AB$1006:$AQ$1006,0)), HYPERLINK("#",""), HYPERLINK(CONCATENATE("#metadata!", ADDRESS(INDEX($W$2:$W$1001,MATCH(ROWS($U$2:U442),$U$2:$U$1001,0),0), INDEX($AB$1004:$AQ$1004,1,MATCH(COLUMNS($AB$1006:AE1006),$AB$1006:$AQ$1006,0)))),"Fix")))</f>
        <v>0</v>
      </c>
      <c r="F442" s="4">
        <f>IF(OR(INDEX($V$2:$V$1001,MATCH(ROWS($U$2:U442),$U$2:$U$1001,0),1)&gt;=100000,INDEX($AB$1005:$AQ$1005,1,MATCH(COLUMNS($AB$1006:AF1006),$AB$1006:$AQ$1006,0))&gt;=100000), " ",IF(INDEX($AB$2:$AQ$1001,MATCH(ROWS($U$2:U442),$U$2:$U$1001,0),MATCH(COLUMNS($AB$1006:AF1006),$AB$1006:$AQ$1006,0)), HYPERLINK("#",""), HYPERLINK(CONCATENATE("#metadata!", ADDRESS(INDEX($W$2:$W$1001,MATCH(ROWS($U$2:U442),$U$2:$U$1001,0),0), INDEX($AB$1004:$AQ$1004,1,MATCH(COLUMNS($AB$1006:AF1006),$AB$1006:$AQ$1006,0)))),"Fix")))</f>
        <v>0</v>
      </c>
      <c r="G442" s="4">
        <f>IF(OR(INDEX($V$2:$V$1001,MATCH(ROWS($U$2:U442),$U$2:$U$1001,0),1)&gt;=100000,INDEX($AB$1005:$AQ$1005,1,MATCH(COLUMNS($AB$1006:AG1006),$AB$1006:$AQ$1006,0))&gt;=100000), " ",IF(INDEX($AB$2:$AQ$1001,MATCH(ROWS($U$2:U442),$U$2:$U$1001,0),MATCH(COLUMNS($AB$1006:AG1006),$AB$1006:$AQ$1006,0)), HYPERLINK("#",""), HYPERLINK(CONCATENATE("#metadata!", ADDRESS(INDEX($W$2:$W$1001,MATCH(ROWS($U$2:U442),$U$2:$U$1001,0),0), INDEX($AB$1004:$AQ$1004,1,MATCH(COLUMNS($AB$1006:AG1006),$AB$1006:$AQ$1006,0)))),"Fix")))</f>
        <v>0</v>
      </c>
      <c r="H442" s="4">
        <f>IF(OR(INDEX($V$2:$V$1001,MATCH(ROWS($U$2:U442),$U$2:$U$1001,0),1)&gt;=100000,INDEX($AB$1005:$AQ$1005,1,MATCH(COLUMNS($AB$1006:AH1006),$AB$1006:$AQ$1006,0))&gt;=100000), " ",IF(INDEX($AB$2:$AQ$1001,MATCH(ROWS($U$2:U442),$U$2:$U$1001,0),MATCH(COLUMNS($AB$1006:AH1006),$AB$1006:$AQ$1006,0)), HYPERLINK("#",""), HYPERLINK(CONCATENATE("#metadata!", ADDRESS(INDEX($W$2:$W$1001,MATCH(ROWS($U$2:U442),$U$2:$U$1001,0),0), INDEX($AB$1004:$AQ$1004,1,MATCH(COLUMNS($AB$1006:AH1006),$AB$1006:$AQ$1006,0)))),"Fix")))</f>
        <v>0</v>
      </c>
      <c r="I442" s="4">
        <f>IF(OR(INDEX($V$2:$V$1001,MATCH(ROWS($U$2:U442),$U$2:$U$1001,0),1)&gt;=100000,INDEX($AB$1005:$AQ$1005,1,MATCH(COLUMNS($AB$1006:AI1006),$AB$1006:$AQ$1006,0))&gt;=100000), " ",IF(INDEX($AB$2:$AQ$1001,MATCH(ROWS($U$2:U442),$U$2:$U$1001,0),MATCH(COLUMNS($AB$1006:AI1006),$AB$1006:$AQ$1006,0)), HYPERLINK("#",""), HYPERLINK(CONCATENATE("#metadata!", ADDRESS(INDEX($W$2:$W$1001,MATCH(ROWS($U$2:U442),$U$2:$U$1001,0),0), INDEX($AB$1004:$AQ$1004,1,MATCH(COLUMNS($AB$1006:AI1006),$AB$1006:$AQ$1006,0)))),"Fix")))</f>
        <v>0</v>
      </c>
      <c r="J442" s="4">
        <f>IF(OR(INDEX($V$2:$V$1001,MATCH(ROWS($U$2:U442),$U$2:$U$1001,0),1)&gt;=100000,INDEX($AB$1005:$AQ$1005,1,MATCH(COLUMNS($AB$1006:AJ1006),$AB$1006:$AQ$1006,0))&gt;=100000), " ",IF(INDEX($AB$2:$AQ$1001,MATCH(ROWS($U$2:U442),$U$2:$U$1001,0),MATCH(COLUMNS($AB$1006:AJ1006),$AB$1006:$AQ$1006,0)), HYPERLINK("#",""), HYPERLINK(CONCATENATE("#metadata!", ADDRESS(INDEX($W$2:$W$1001,MATCH(ROWS($U$2:U442),$U$2:$U$1001,0),0), INDEX($AB$1004:$AQ$1004,1,MATCH(COLUMNS($AB$1006:AJ1006),$AB$1006:$AQ$1006,0)))),"Fix")))</f>
        <v>0</v>
      </c>
      <c r="K442" s="4">
        <f>IF(OR(INDEX($V$2:$V$1001,MATCH(ROWS($U$2:U442),$U$2:$U$1001,0),1)&gt;=100000,INDEX($AB$1005:$AQ$1005,1,MATCH(COLUMNS($AB$1006:AK1006),$AB$1006:$AQ$1006,0))&gt;=100000), " ",IF(INDEX($AB$2:$AQ$1001,MATCH(ROWS($U$2:U442),$U$2:$U$1001,0),MATCH(COLUMNS($AB$1006:AK1006),$AB$1006:$AQ$1006,0)), HYPERLINK("#",""), HYPERLINK(CONCATENATE("#metadata!", ADDRESS(INDEX($W$2:$W$1001,MATCH(ROWS($U$2:U442),$U$2:$U$1001,0),0), INDEX($AB$1004:$AQ$1004,1,MATCH(COLUMNS($AB$1006:AK1006),$AB$1006:$AQ$1006,0)))),"Fix")))</f>
        <v>0</v>
      </c>
      <c r="L442" s="4">
        <f>IF(OR(INDEX($V$2:$V$1001,MATCH(ROWS($U$2:U442),$U$2:$U$1001,0),1)&gt;=100000,INDEX($AB$1005:$AQ$1005,1,MATCH(COLUMNS($AB$1006:AL1006),$AB$1006:$AQ$1006,0))&gt;=100000), " ",IF(INDEX($AB$2:$AQ$1001,MATCH(ROWS($U$2:U442),$U$2:$U$1001,0),MATCH(COLUMNS($AB$1006:AL1006),$AB$1006:$AQ$1006,0)), HYPERLINK("#",""), HYPERLINK(CONCATENATE("#metadata!", ADDRESS(INDEX($W$2:$W$1001,MATCH(ROWS($U$2:U442),$U$2:$U$1001,0),0), INDEX($AB$1004:$AQ$1004,1,MATCH(COLUMNS($AB$1006:AL1006),$AB$1006:$AQ$1006,0)))),"Fix")))</f>
        <v>0</v>
      </c>
      <c r="M442" s="4">
        <f>IF(OR(INDEX($V$2:$V$1001,MATCH(ROWS($U$2:U442),$U$2:$U$1001,0),1)&gt;=100000,INDEX($AB$1005:$AQ$1005,1,MATCH(COLUMNS($AB$1006:AM1006),$AB$1006:$AQ$1006,0))&gt;=100000), " ",IF(INDEX($AB$2:$AQ$1001,MATCH(ROWS($U$2:U442),$U$2:$U$1001,0),MATCH(COLUMNS($AB$1006:AM1006),$AB$1006:$AQ$1006,0)), HYPERLINK("#",""), HYPERLINK(CONCATENATE("#metadata!", ADDRESS(INDEX($W$2:$W$1001,MATCH(ROWS($U$2:U442),$U$2:$U$1001,0),0), INDEX($AB$1004:$AQ$1004,1,MATCH(COLUMNS($AB$1006:AM1006),$AB$1006:$AQ$1006,0)))),"Fix")))</f>
        <v>0</v>
      </c>
      <c r="N442" s="4">
        <f>IF(OR(INDEX($V$2:$V$1001,MATCH(ROWS($U$2:U442),$U$2:$U$1001,0),1)&gt;=100000,INDEX($AB$1005:$AQ$1005,1,MATCH(COLUMNS($AB$1006:AN1006),$AB$1006:$AQ$1006,0))&gt;=100000), " ",IF(INDEX($AB$2:$AQ$1001,MATCH(ROWS($U$2:U442),$U$2:$U$1001,0),MATCH(COLUMNS($AB$1006:AN1006),$AB$1006:$AQ$1006,0)), HYPERLINK("#",""), HYPERLINK(CONCATENATE("#metadata!", ADDRESS(INDEX($W$2:$W$1001,MATCH(ROWS($U$2:U442),$U$2:$U$1001,0),0), INDEX($AB$1004:$AQ$1004,1,MATCH(COLUMNS($AB$1006:AN1006),$AB$1006:$AQ$1006,0)))),"Fix")))</f>
        <v>0</v>
      </c>
      <c r="O442" s="4">
        <f>IF(OR(INDEX($V$2:$V$1001,MATCH(ROWS($U$2:U442),$U$2:$U$1001,0),1)&gt;=100000,INDEX($AB$1005:$AQ$1005,1,MATCH(COLUMNS($AB$1006:AO1006),$AB$1006:$AQ$1006,0))&gt;=100000), " ",IF(INDEX($AB$2:$AQ$1001,MATCH(ROWS($U$2:U442),$U$2:$U$1001,0),MATCH(COLUMNS($AB$1006:AO1006),$AB$1006:$AQ$1006,0)), HYPERLINK("#",""), HYPERLINK(CONCATENATE("#metadata!", ADDRESS(INDEX($W$2:$W$1001,MATCH(ROWS($U$2:U442),$U$2:$U$1001,0),0), INDEX($AB$1004:$AQ$1004,1,MATCH(COLUMNS($AB$1006:AO1006),$AB$1006:$AQ$1006,0)))),"Fix")))</f>
        <v>0</v>
      </c>
      <c r="P442" s="4">
        <f>IF(OR(INDEX($V$2:$V$1001,MATCH(ROWS($U$2:U442),$U$2:$U$1001,0),1)&gt;=100000,INDEX($AB$1005:$AQ$1005,1,MATCH(COLUMNS($AB$1006:AP1006),$AB$1006:$AQ$1006,0))&gt;=100000), " ",IF(INDEX($AB$2:$AQ$1001,MATCH(ROWS($U$2:U442),$U$2:$U$1001,0),MATCH(COLUMNS($AB$1006:AP1006),$AB$1006:$AQ$1006,0)), HYPERLINK("#",""), HYPERLINK(CONCATENATE("#metadata!", ADDRESS(INDEX($W$2:$W$1001,MATCH(ROWS($U$2:U442),$U$2:$U$1001,0),0), INDEX($AB$1004:$AQ$1004,1,MATCH(COLUMNS($AB$1006:AP1006),$AB$1006:$AQ$1006,0)))),"Fix")))</f>
        <v>0</v>
      </c>
      <c r="Q442" s="4">
        <f>IF(OR(INDEX($V$2:$V$1001,MATCH(ROWS($U$2:U442),$U$2:$U$1001,0),1)&gt;=100000,INDEX($AB$1005:$AQ$1005,1,MATCH(COLUMNS($AB$1006:AQ1006),$AB$1006:$AQ$1006,0))&gt;=100000), " ",IF(INDEX($AB$2:$AQ$1001,MATCH(ROWS($U$2:U442),$U$2:$U$1001,0),MATCH(COLUMNS($AB$1006:AQ1006),$AB$1006:$AQ$1006,0)), HYPERLINK("#",""), HYPERLINK(CONCATENATE("#metadata!", ADDRESS(INDEX($W$2:$W$1001,MATCH(ROWS($U$2:U442),$U$2:$U$1001,0),0), INDEX($AB$1004:$AQ$1004,1,MATCH(COLUMNS($AB$1006:AQ1006),$AB$1006:$AQ$1006,0)))),"Fix")))</f>
        <v>0</v>
      </c>
      <c r="U442">
        <v>0</v>
      </c>
      <c r="V442">
        <v>0</v>
      </c>
      <c r="W442">
        <v>0</v>
      </c>
      <c r="X442">
        <f>IF(Y442,TRUE,AND(AB442:AQ442))</f>
        <v>0</v>
      </c>
      <c r="Y442">
        <f>COUNTBLANK(metadata!B442:Q442)=COLUMNS(metadata!B442:Q442)</f>
        <v>0</v>
      </c>
      <c r="Z442">
        <v>0</v>
      </c>
      <c r="AB442">
        <f>AND(IF(metadata!B442="",FALSE,TRUE),COUNTIF(metadata!B:B, metadata!B442) = 1,NOT(ISERROR(SUMPRODUCT(SEARCH(MID(metadata!B442,ROW(INDIRECT("1:"&amp;LEN(metadata!B442))), 1),"0123456789abcdefghijklmnopqrstuvwxyzABCDEFGHIJKLMNOPQRSTUVWXYZ.")))))</f>
        <v>0</v>
      </c>
      <c r="AC442">
        <f>OR(AND(IF(metadata!C442="",FALSE,TRUE),OR(exact(metadata!C442,"missing: not collected"),exact(metadata!C442,"missing: not provided"),exact(metadata!C442,"missing: restricted access"))),AND(IF(metadata!C442="",FALSE,TRUE),AND(AND(IFERROR(INT(LEFT(metadata!C442,4))&gt;1900,FALSE),IFERROR(INT(LEFT(metadata!C442,4))&lt;=YEAR(NOW()),FALSE)), OR(MID(metadata!C442,5,1)="", AND(AND(MID(metadata!C442,5,1)="-",IFERROR(INT(MID(metadata!C442,6,1))&gt;=0,FALSE),IFERROR(INT(MID(metadata!C442,6,1))&lt;=1,FALSE),NOT(MID(metadata!C442,7,1)=""),IFERROR(INT(MID(metadata!C442,6,2))&gt;=1,FALSE),IFERROR(INT(MID(metadata!C442,6,2))&lt;=12,FALSE)), OR(MID(metadata!C442,8,1)="", AND(AND(MID(metadata!C442,8,1)="-",IFERROR(INT(MID(metadata!C442,9,1))&gt;=0,FALSE),IFERROR(INT(MID(metadata!C442,9,1))&lt;=3,FALSE),NOT(MID(metadata!C442,10,1)=""),IFERROR(INT(MID(metadata!C442,9,2))&gt;=1,FALSE),IFERROR(INT(MID(metadata!C442,9,2))&lt;=31,FALSE)), OR(MID(metadata!C442,11,1)="", AND(AND(MID(metadata!C442,11,1)=" ",IFERROR(INT(MID(metadata!C442,12,1))&gt;=0,FALSE),IFERROR(INT(MID(metadata!C442,12,1))&lt;=2,FALSE),NOT(MID(metadata!C442,13,1)=""),IFERROR(INT(MID(metadata!C442,12,2))&gt;=0,FALSE),IFERROR(INT(MID(metadata!C442,12,2))&lt;=23,FALSE)), OR(MID(metadata!C442,14,1)="", AND(AND(MID(metadata!C442,14,1)=":",IFERROR(INT(MID(metadata!C442,15,1))&gt;=0,FALSE),IFERROR(INT(MID(metadata!C442,15,1))&lt;=5,FALSE),NOT(MID(metadata!C442,16,1)=""),IFERROR(INT(MID(metadata!C442,15,2))&gt;=0,FALSE),IFERROR(INT(MID(metadata!C442,15,2))&lt;=59,FALSE)), OR(MID(metadata!C442,17,1)="", AND(AND(MID(metadata!C442,17,1)=":",IFERROR(INT(MID(metadata!C442,18,1))&gt;=0,FALSE),IFERROR(INT(MID(metadata!C442,18,1))&lt;=5,FALSE),NOT(MID(metadata!C442,19,1)=""),IFERROR(INT(MID(metadata!C442,18,2))&gt;=0,FALSE),IFERROR(INT(MID(metadata!C442,18,2))&lt;=59,FALSE)), LEN(metadata!C442)&lt;=19)))))))))))))</f>
        <v>0</v>
      </c>
      <c r="AD442">
        <f>IF(metadata!D442="",FALSE,TRUE)</f>
        <v>0</v>
      </c>
      <c r="AE442">
        <f>OR(AND(IF(metadata!E442="",FALSE,TRUE),OR(exact(metadata!E442,"missing: not collected"),exact(metadata!E442,"missing: not provided"))),AND(IF(metadata!E442="",FALSE,TRUE),OR(exact(metadata!E442,"TRUE"),exact(metadata!E442,"FALSE"))))</f>
        <v>0</v>
      </c>
      <c r="AF442">
        <f>IF(metadata!F442="",FALSE,TRUE)</f>
        <v>0</v>
      </c>
      <c r="AG442">
        <f>IF(metadata!G442="",FALSE,TRUE)</f>
        <v>0</v>
      </c>
      <c r="AH442">
        <f>IF(metadata!H442="",FALSE,TRUE)</f>
        <v>0</v>
      </c>
      <c r="AI442">
        <f>OR(AND(IF(metadata!I442="",FALSE,TRUE),OR(exact(metadata!I442,"missing: not collected"),exact(metadata!I442,"missing: not provided"),exact(metadata!I442,"missing: restricted access"))),AND(IF(metadata!I442="",FALSE,TRUE),OR(exact(metadata!I442,"air"),exact(metadata!I442,"built environment"),exact(metadata!I442,"host-associated"),exact(metadata!I442,"human-associated"),exact(metadata!I442,"human-skin"),exact(metadata!I442,"human-oral"),exact(metadata!I442,"human-gut"),exact(metadata!I442,"human-vaginal"),exact(metadata!I442,"microbial mat/biofilm"),exact(metadata!I442,"misc environment"),exact(metadata!I442,"plant-associated"),exact(metadata!I442,"sediment"),exact(metadata!I442,"soil"),exact(metadata!I442,"wastewater/sludge"),exact(metadata!I442,"water"))))</f>
        <v>0</v>
      </c>
      <c r="AJ442">
        <f>IF(metadata!J442="",FALSE,TRUE)</f>
        <v>0</v>
      </c>
      <c r="AK442">
        <f>OR(AND(IF(metadata!K442="",FALSE,TRUE),OR(exact(metadata!K442,"missing: not collected"),exact(metadata!K442,"missing: not provided"),exact(metadata!K442,"missing: restricted access"))),AND(IF(metadata!K442="",FALSE,ISNUMBER(VALUE(metadata!K442))),metadata!K442&gt;=-90.00,metadata!K442&lt;=90.00))</f>
        <v>0</v>
      </c>
      <c r="AL442">
        <f>OR(AND(IF(metadata!L442="",FALSE,TRUE),OR(exact(metadata!L442,"missing: not collected"),exact(metadata!L442,"missing: not provided"),exact(metadata!L442,"missing: restricted access"))),AND(IF(metadata!L442="",FALSE,ISNUMBER(VALUE(metadata!L442))),metadata!L442&gt;=-180.00,metadata!L442&lt;=180.00))</f>
        <v>0</v>
      </c>
      <c r="AM442">
        <f>IF(metadata!M442="",FALSE,TRUE)</f>
        <v>0</v>
      </c>
      <c r="AN442">
        <f>OR(AND(IF(metadata!N442="",FALSE,TRUE),OR(exact(metadata!N442,"missing: not collected"),exact(metadata!N442,"missing: not provided"),exact(metadata!N442,"missing: restricted access"))),AND(IF(metadata!N442="",FALSE,TRUE),OR(exact(metadata!N442,"TRUE"),exact(metadata!N442,"FALSE"))))</f>
        <v>0</v>
      </c>
      <c r="AO442">
        <f>IF(metadata!O442="",FALSE,TRUE)</f>
        <v>0</v>
      </c>
      <c r="AP442">
        <f>OR(AND(IF(metadata!P442="",FALSE,TRUE),OR(exact(metadata!P442,"missing: not collected"),exact(metadata!P442,"missing: not provided"))),AND(IF(metadata!P442="",FALSE,IF(ISERROR(INT(metadata!P442)),FALSE,INT(metadata!P442)=metadata!P442)),metadata!P442&gt;0))</f>
        <v>0</v>
      </c>
      <c r="AQ442">
        <f>IF(metadata!Q442="",FALSE,TRUE)</f>
        <v>0</v>
      </c>
    </row>
    <row r="443" spans="1:43">
      <c r="A443" s="5">
        <f>IF(B443=" "," ",HYPERLINK(CONCATENATE("#metadata!",ADDRESS(INDEX($W$2:$W$1001,MATCH(ROWS($U$2:U443),$U$2:$U$1001,0),0),1)),INDEX($Z$2:$Z$1001,MATCH(ROWS($U$2:U443),$U$2:$U$1001,0),0)))</f>
        <v>0</v>
      </c>
      <c r="B443" s="4">
        <f>IF(OR(INDEX($V$2:$V$1001,MATCH(ROWS($U$2:U443),$U$2:$U$1001,0),1)&gt;=100000,INDEX($AB$1005:$AQ$1005,1,MATCH(COLUMNS($AB$1006:AB1006),$AB$1006:$AQ$1006,0))&gt;=100000), " ",IF(INDEX($AB$2:$AQ$1001,MATCH(ROWS($U$2:U443),$U$2:$U$1001,0),MATCH(COLUMNS($AB$1006:AB1006),$AB$1006:$AQ$1006,0)), HYPERLINK("#",""), HYPERLINK(CONCATENATE("#metadata!", ADDRESS(INDEX($W$2:$W$1001,MATCH(ROWS($U$2:U443),$U$2:$U$1001,0),0), INDEX($AB$1004:$AQ$1004,1,MATCH(COLUMNS($AB$1006:AB1006),$AB$1006:$AQ$1006,0)))),"Fix")))</f>
        <v>0</v>
      </c>
      <c r="C443" s="4">
        <f>IF(OR(INDEX($V$2:$V$1001,MATCH(ROWS($U$2:U443),$U$2:$U$1001,0),1)&gt;=100000,INDEX($AB$1005:$AQ$1005,1,MATCH(COLUMNS($AB$1006:AC1006),$AB$1006:$AQ$1006,0))&gt;=100000), " ",IF(INDEX($AB$2:$AQ$1001,MATCH(ROWS($U$2:U443),$U$2:$U$1001,0),MATCH(COLUMNS($AB$1006:AC1006),$AB$1006:$AQ$1006,0)), HYPERLINK("#",""), HYPERLINK(CONCATENATE("#metadata!", ADDRESS(INDEX($W$2:$W$1001,MATCH(ROWS($U$2:U443),$U$2:$U$1001,0),0), INDEX($AB$1004:$AQ$1004,1,MATCH(COLUMNS($AB$1006:AC1006),$AB$1006:$AQ$1006,0)))),"Fix")))</f>
        <v>0</v>
      </c>
      <c r="D443" s="4">
        <f>IF(OR(INDEX($V$2:$V$1001,MATCH(ROWS($U$2:U443),$U$2:$U$1001,0),1)&gt;=100000,INDEX($AB$1005:$AQ$1005,1,MATCH(COLUMNS($AB$1006:AD1006),$AB$1006:$AQ$1006,0))&gt;=100000), " ",IF(INDEX($AB$2:$AQ$1001,MATCH(ROWS($U$2:U443),$U$2:$U$1001,0),MATCH(COLUMNS($AB$1006:AD1006),$AB$1006:$AQ$1006,0)), HYPERLINK("#",""), HYPERLINK(CONCATENATE("#metadata!", ADDRESS(INDEX($W$2:$W$1001,MATCH(ROWS($U$2:U443),$U$2:$U$1001,0),0), INDEX($AB$1004:$AQ$1004,1,MATCH(COLUMNS($AB$1006:AD1006),$AB$1006:$AQ$1006,0)))),"Fix")))</f>
        <v>0</v>
      </c>
      <c r="E443" s="4">
        <f>IF(OR(INDEX($V$2:$V$1001,MATCH(ROWS($U$2:U443),$U$2:$U$1001,0),1)&gt;=100000,INDEX($AB$1005:$AQ$1005,1,MATCH(COLUMNS($AB$1006:AE1006),$AB$1006:$AQ$1006,0))&gt;=100000), " ",IF(INDEX($AB$2:$AQ$1001,MATCH(ROWS($U$2:U443),$U$2:$U$1001,0),MATCH(COLUMNS($AB$1006:AE1006),$AB$1006:$AQ$1006,0)), HYPERLINK("#",""), HYPERLINK(CONCATENATE("#metadata!", ADDRESS(INDEX($W$2:$W$1001,MATCH(ROWS($U$2:U443),$U$2:$U$1001,0),0), INDEX($AB$1004:$AQ$1004,1,MATCH(COLUMNS($AB$1006:AE1006),$AB$1006:$AQ$1006,0)))),"Fix")))</f>
        <v>0</v>
      </c>
      <c r="F443" s="4">
        <f>IF(OR(INDEX($V$2:$V$1001,MATCH(ROWS($U$2:U443),$U$2:$U$1001,0),1)&gt;=100000,INDEX($AB$1005:$AQ$1005,1,MATCH(COLUMNS($AB$1006:AF1006),$AB$1006:$AQ$1006,0))&gt;=100000), " ",IF(INDEX($AB$2:$AQ$1001,MATCH(ROWS($U$2:U443),$U$2:$U$1001,0),MATCH(COLUMNS($AB$1006:AF1006),$AB$1006:$AQ$1006,0)), HYPERLINK("#",""), HYPERLINK(CONCATENATE("#metadata!", ADDRESS(INDEX($W$2:$W$1001,MATCH(ROWS($U$2:U443),$U$2:$U$1001,0),0), INDEX($AB$1004:$AQ$1004,1,MATCH(COLUMNS($AB$1006:AF1006),$AB$1006:$AQ$1006,0)))),"Fix")))</f>
        <v>0</v>
      </c>
      <c r="G443" s="4">
        <f>IF(OR(INDEX($V$2:$V$1001,MATCH(ROWS($U$2:U443),$U$2:$U$1001,0),1)&gt;=100000,INDEX($AB$1005:$AQ$1005,1,MATCH(COLUMNS($AB$1006:AG1006),$AB$1006:$AQ$1006,0))&gt;=100000), " ",IF(INDEX($AB$2:$AQ$1001,MATCH(ROWS($U$2:U443),$U$2:$U$1001,0),MATCH(COLUMNS($AB$1006:AG1006),$AB$1006:$AQ$1006,0)), HYPERLINK("#",""), HYPERLINK(CONCATENATE("#metadata!", ADDRESS(INDEX($W$2:$W$1001,MATCH(ROWS($U$2:U443),$U$2:$U$1001,0),0), INDEX($AB$1004:$AQ$1004,1,MATCH(COLUMNS($AB$1006:AG1006),$AB$1006:$AQ$1006,0)))),"Fix")))</f>
        <v>0</v>
      </c>
      <c r="H443" s="4">
        <f>IF(OR(INDEX($V$2:$V$1001,MATCH(ROWS($U$2:U443),$U$2:$U$1001,0),1)&gt;=100000,INDEX($AB$1005:$AQ$1005,1,MATCH(COLUMNS($AB$1006:AH1006),$AB$1006:$AQ$1006,0))&gt;=100000), " ",IF(INDEX($AB$2:$AQ$1001,MATCH(ROWS($U$2:U443),$U$2:$U$1001,0),MATCH(COLUMNS($AB$1006:AH1006),$AB$1006:$AQ$1006,0)), HYPERLINK("#",""), HYPERLINK(CONCATENATE("#metadata!", ADDRESS(INDEX($W$2:$W$1001,MATCH(ROWS($U$2:U443),$U$2:$U$1001,0),0), INDEX($AB$1004:$AQ$1004,1,MATCH(COLUMNS($AB$1006:AH1006),$AB$1006:$AQ$1006,0)))),"Fix")))</f>
        <v>0</v>
      </c>
      <c r="I443" s="4">
        <f>IF(OR(INDEX($V$2:$V$1001,MATCH(ROWS($U$2:U443),$U$2:$U$1001,0),1)&gt;=100000,INDEX($AB$1005:$AQ$1005,1,MATCH(COLUMNS($AB$1006:AI1006),$AB$1006:$AQ$1006,0))&gt;=100000), " ",IF(INDEX($AB$2:$AQ$1001,MATCH(ROWS($U$2:U443),$U$2:$U$1001,0),MATCH(COLUMNS($AB$1006:AI1006),$AB$1006:$AQ$1006,0)), HYPERLINK("#",""), HYPERLINK(CONCATENATE("#metadata!", ADDRESS(INDEX($W$2:$W$1001,MATCH(ROWS($U$2:U443),$U$2:$U$1001,0),0), INDEX($AB$1004:$AQ$1004,1,MATCH(COLUMNS($AB$1006:AI1006),$AB$1006:$AQ$1006,0)))),"Fix")))</f>
        <v>0</v>
      </c>
      <c r="J443" s="4">
        <f>IF(OR(INDEX($V$2:$V$1001,MATCH(ROWS($U$2:U443),$U$2:$U$1001,0),1)&gt;=100000,INDEX($AB$1005:$AQ$1005,1,MATCH(COLUMNS($AB$1006:AJ1006),$AB$1006:$AQ$1006,0))&gt;=100000), " ",IF(INDEX($AB$2:$AQ$1001,MATCH(ROWS($U$2:U443),$U$2:$U$1001,0),MATCH(COLUMNS($AB$1006:AJ1006),$AB$1006:$AQ$1006,0)), HYPERLINK("#",""), HYPERLINK(CONCATENATE("#metadata!", ADDRESS(INDEX($W$2:$W$1001,MATCH(ROWS($U$2:U443),$U$2:$U$1001,0),0), INDEX($AB$1004:$AQ$1004,1,MATCH(COLUMNS($AB$1006:AJ1006),$AB$1006:$AQ$1006,0)))),"Fix")))</f>
        <v>0</v>
      </c>
      <c r="K443" s="4">
        <f>IF(OR(INDEX($V$2:$V$1001,MATCH(ROWS($U$2:U443),$U$2:$U$1001,0),1)&gt;=100000,INDEX($AB$1005:$AQ$1005,1,MATCH(COLUMNS($AB$1006:AK1006),$AB$1006:$AQ$1006,0))&gt;=100000), " ",IF(INDEX($AB$2:$AQ$1001,MATCH(ROWS($U$2:U443),$U$2:$U$1001,0),MATCH(COLUMNS($AB$1006:AK1006),$AB$1006:$AQ$1006,0)), HYPERLINK("#",""), HYPERLINK(CONCATENATE("#metadata!", ADDRESS(INDEX($W$2:$W$1001,MATCH(ROWS($U$2:U443),$U$2:$U$1001,0),0), INDEX($AB$1004:$AQ$1004,1,MATCH(COLUMNS($AB$1006:AK1006),$AB$1006:$AQ$1006,0)))),"Fix")))</f>
        <v>0</v>
      </c>
      <c r="L443" s="4">
        <f>IF(OR(INDEX($V$2:$V$1001,MATCH(ROWS($U$2:U443),$U$2:$U$1001,0),1)&gt;=100000,INDEX($AB$1005:$AQ$1005,1,MATCH(COLUMNS($AB$1006:AL1006),$AB$1006:$AQ$1006,0))&gt;=100000), " ",IF(INDEX($AB$2:$AQ$1001,MATCH(ROWS($U$2:U443),$U$2:$U$1001,0),MATCH(COLUMNS($AB$1006:AL1006),$AB$1006:$AQ$1006,0)), HYPERLINK("#",""), HYPERLINK(CONCATENATE("#metadata!", ADDRESS(INDEX($W$2:$W$1001,MATCH(ROWS($U$2:U443),$U$2:$U$1001,0),0), INDEX($AB$1004:$AQ$1004,1,MATCH(COLUMNS($AB$1006:AL1006),$AB$1006:$AQ$1006,0)))),"Fix")))</f>
        <v>0</v>
      </c>
      <c r="M443" s="4">
        <f>IF(OR(INDEX($V$2:$V$1001,MATCH(ROWS($U$2:U443),$U$2:$U$1001,0),1)&gt;=100000,INDEX($AB$1005:$AQ$1005,1,MATCH(COLUMNS($AB$1006:AM1006),$AB$1006:$AQ$1006,0))&gt;=100000), " ",IF(INDEX($AB$2:$AQ$1001,MATCH(ROWS($U$2:U443),$U$2:$U$1001,0),MATCH(COLUMNS($AB$1006:AM1006),$AB$1006:$AQ$1006,0)), HYPERLINK("#",""), HYPERLINK(CONCATENATE("#metadata!", ADDRESS(INDEX($W$2:$W$1001,MATCH(ROWS($U$2:U443),$U$2:$U$1001,0),0), INDEX($AB$1004:$AQ$1004,1,MATCH(COLUMNS($AB$1006:AM1006),$AB$1006:$AQ$1006,0)))),"Fix")))</f>
        <v>0</v>
      </c>
      <c r="N443" s="4">
        <f>IF(OR(INDEX($V$2:$V$1001,MATCH(ROWS($U$2:U443),$U$2:$U$1001,0),1)&gt;=100000,INDEX($AB$1005:$AQ$1005,1,MATCH(COLUMNS($AB$1006:AN1006),$AB$1006:$AQ$1006,0))&gt;=100000), " ",IF(INDEX($AB$2:$AQ$1001,MATCH(ROWS($U$2:U443),$U$2:$U$1001,0),MATCH(COLUMNS($AB$1006:AN1006),$AB$1006:$AQ$1006,0)), HYPERLINK("#",""), HYPERLINK(CONCATENATE("#metadata!", ADDRESS(INDEX($W$2:$W$1001,MATCH(ROWS($U$2:U443),$U$2:$U$1001,0),0), INDEX($AB$1004:$AQ$1004,1,MATCH(COLUMNS($AB$1006:AN1006),$AB$1006:$AQ$1006,0)))),"Fix")))</f>
        <v>0</v>
      </c>
      <c r="O443" s="4">
        <f>IF(OR(INDEX($V$2:$V$1001,MATCH(ROWS($U$2:U443),$U$2:$U$1001,0),1)&gt;=100000,INDEX($AB$1005:$AQ$1005,1,MATCH(COLUMNS($AB$1006:AO1006),$AB$1006:$AQ$1006,0))&gt;=100000), " ",IF(INDEX($AB$2:$AQ$1001,MATCH(ROWS($U$2:U443),$U$2:$U$1001,0),MATCH(COLUMNS($AB$1006:AO1006),$AB$1006:$AQ$1006,0)), HYPERLINK("#",""), HYPERLINK(CONCATENATE("#metadata!", ADDRESS(INDEX($W$2:$W$1001,MATCH(ROWS($U$2:U443),$U$2:$U$1001,0),0), INDEX($AB$1004:$AQ$1004,1,MATCH(COLUMNS($AB$1006:AO1006),$AB$1006:$AQ$1006,0)))),"Fix")))</f>
        <v>0</v>
      </c>
      <c r="P443" s="4">
        <f>IF(OR(INDEX($V$2:$V$1001,MATCH(ROWS($U$2:U443),$U$2:$U$1001,0),1)&gt;=100000,INDEX($AB$1005:$AQ$1005,1,MATCH(COLUMNS($AB$1006:AP1006),$AB$1006:$AQ$1006,0))&gt;=100000), " ",IF(INDEX($AB$2:$AQ$1001,MATCH(ROWS($U$2:U443),$U$2:$U$1001,0),MATCH(COLUMNS($AB$1006:AP1006),$AB$1006:$AQ$1006,0)), HYPERLINK("#",""), HYPERLINK(CONCATENATE("#metadata!", ADDRESS(INDEX($W$2:$W$1001,MATCH(ROWS($U$2:U443),$U$2:$U$1001,0),0), INDEX($AB$1004:$AQ$1004,1,MATCH(COLUMNS($AB$1006:AP1006),$AB$1006:$AQ$1006,0)))),"Fix")))</f>
        <v>0</v>
      </c>
      <c r="Q443" s="4">
        <f>IF(OR(INDEX($V$2:$V$1001,MATCH(ROWS($U$2:U443),$U$2:$U$1001,0),1)&gt;=100000,INDEX($AB$1005:$AQ$1005,1,MATCH(COLUMNS($AB$1006:AQ1006),$AB$1006:$AQ$1006,0))&gt;=100000), " ",IF(INDEX($AB$2:$AQ$1001,MATCH(ROWS($U$2:U443),$U$2:$U$1001,0),MATCH(COLUMNS($AB$1006:AQ1006),$AB$1006:$AQ$1006,0)), HYPERLINK("#",""), HYPERLINK(CONCATENATE("#metadata!", ADDRESS(INDEX($W$2:$W$1001,MATCH(ROWS($U$2:U443),$U$2:$U$1001,0),0), INDEX($AB$1004:$AQ$1004,1,MATCH(COLUMNS($AB$1006:AQ1006),$AB$1006:$AQ$1006,0)))),"Fix")))</f>
        <v>0</v>
      </c>
      <c r="U443">
        <v>0</v>
      </c>
      <c r="V443">
        <v>0</v>
      </c>
      <c r="W443">
        <v>0</v>
      </c>
      <c r="X443">
        <f>IF(Y443,TRUE,AND(AB443:AQ443))</f>
        <v>0</v>
      </c>
      <c r="Y443">
        <f>COUNTBLANK(metadata!B443:Q443)=COLUMNS(metadata!B443:Q443)</f>
        <v>0</v>
      </c>
      <c r="Z443">
        <v>0</v>
      </c>
      <c r="AB443">
        <f>AND(IF(metadata!B443="",FALSE,TRUE),COUNTIF(metadata!B:B, metadata!B443) = 1,NOT(ISERROR(SUMPRODUCT(SEARCH(MID(metadata!B443,ROW(INDIRECT("1:"&amp;LEN(metadata!B443))), 1),"0123456789abcdefghijklmnopqrstuvwxyzABCDEFGHIJKLMNOPQRSTUVWXYZ.")))))</f>
        <v>0</v>
      </c>
      <c r="AC443">
        <f>OR(AND(IF(metadata!C443="",FALSE,TRUE),OR(exact(metadata!C443,"missing: not collected"),exact(metadata!C443,"missing: not provided"),exact(metadata!C443,"missing: restricted access"))),AND(IF(metadata!C443="",FALSE,TRUE),AND(AND(IFERROR(INT(LEFT(metadata!C443,4))&gt;1900,FALSE),IFERROR(INT(LEFT(metadata!C443,4))&lt;=YEAR(NOW()),FALSE)), OR(MID(metadata!C443,5,1)="", AND(AND(MID(metadata!C443,5,1)="-",IFERROR(INT(MID(metadata!C443,6,1))&gt;=0,FALSE),IFERROR(INT(MID(metadata!C443,6,1))&lt;=1,FALSE),NOT(MID(metadata!C443,7,1)=""),IFERROR(INT(MID(metadata!C443,6,2))&gt;=1,FALSE),IFERROR(INT(MID(metadata!C443,6,2))&lt;=12,FALSE)), OR(MID(metadata!C443,8,1)="", AND(AND(MID(metadata!C443,8,1)="-",IFERROR(INT(MID(metadata!C443,9,1))&gt;=0,FALSE),IFERROR(INT(MID(metadata!C443,9,1))&lt;=3,FALSE),NOT(MID(metadata!C443,10,1)=""),IFERROR(INT(MID(metadata!C443,9,2))&gt;=1,FALSE),IFERROR(INT(MID(metadata!C443,9,2))&lt;=31,FALSE)), OR(MID(metadata!C443,11,1)="", AND(AND(MID(metadata!C443,11,1)=" ",IFERROR(INT(MID(metadata!C443,12,1))&gt;=0,FALSE),IFERROR(INT(MID(metadata!C443,12,1))&lt;=2,FALSE),NOT(MID(metadata!C443,13,1)=""),IFERROR(INT(MID(metadata!C443,12,2))&gt;=0,FALSE),IFERROR(INT(MID(metadata!C443,12,2))&lt;=23,FALSE)), OR(MID(metadata!C443,14,1)="", AND(AND(MID(metadata!C443,14,1)=":",IFERROR(INT(MID(metadata!C443,15,1))&gt;=0,FALSE),IFERROR(INT(MID(metadata!C443,15,1))&lt;=5,FALSE),NOT(MID(metadata!C443,16,1)=""),IFERROR(INT(MID(metadata!C443,15,2))&gt;=0,FALSE),IFERROR(INT(MID(metadata!C443,15,2))&lt;=59,FALSE)), OR(MID(metadata!C443,17,1)="", AND(AND(MID(metadata!C443,17,1)=":",IFERROR(INT(MID(metadata!C443,18,1))&gt;=0,FALSE),IFERROR(INT(MID(metadata!C443,18,1))&lt;=5,FALSE),NOT(MID(metadata!C443,19,1)=""),IFERROR(INT(MID(metadata!C443,18,2))&gt;=0,FALSE),IFERROR(INT(MID(metadata!C443,18,2))&lt;=59,FALSE)), LEN(metadata!C443)&lt;=19)))))))))))))</f>
        <v>0</v>
      </c>
      <c r="AD443">
        <f>IF(metadata!D443="",FALSE,TRUE)</f>
        <v>0</v>
      </c>
      <c r="AE443">
        <f>OR(AND(IF(metadata!E443="",FALSE,TRUE),OR(exact(metadata!E443,"missing: not collected"),exact(metadata!E443,"missing: not provided"))),AND(IF(metadata!E443="",FALSE,TRUE),OR(exact(metadata!E443,"TRUE"),exact(metadata!E443,"FALSE"))))</f>
        <v>0</v>
      </c>
      <c r="AF443">
        <f>IF(metadata!F443="",FALSE,TRUE)</f>
        <v>0</v>
      </c>
      <c r="AG443">
        <f>IF(metadata!G443="",FALSE,TRUE)</f>
        <v>0</v>
      </c>
      <c r="AH443">
        <f>IF(metadata!H443="",FALSE,TRUE)</f>
        <v>0</v>
      </c>
      <c r="AI443">
        <f>OR(AND(IF(metadata!I443="",FALSE,TRUE),OR(exact(metadata!I443,"missing: not collected"),exact(metadata!I443,"missing: not provided"),exact(metadata!I443,"missing: restricted access"))),AND(IF(metadata!I443="",FALSE,TRUE),OR(exact(metadata!I443,"air"),exact(metadata!I443,"built environment"),exact(metadata!I443,"host-associated"),exact(metadata!I443,"human-associated"),exact(metadata!I443,"human-skin"),exact(metadata!I443,"human-oral"),exact(metadata!I443,"human-gut"),exact(metadata!I443,"human-vaginal"),exact(metadata!I443,"microbial mat/biofilm"),exact(metadata!I443,"misc environment"),exact(metadata!I443,"plant-associated"),exact(metadata!I443,"sediment"),exact(metadata!I443,"soil"),exact(metadata!I443,"wastewater/sludge"),exact(metadata!I443,"water"))))</f>
        <v>0</v>
      </c>
      <c r="AJ443">
        <f>IF(metadata!J443="",FALSE,TRUE)</f>
        <v>0</v>
      </c>
      <c r="AK443">
        <f>OR(AND(IF(metadata!K443="",FALSE,TRUE),OR(exact(metadata!K443,"missing: not collected"),exact(metadata!K443,"missing: not provided"),exact(metadata!K443,"missing: restricted access"))),AND(IF(metadata!K443="",FALSE,ISNUMBER(VALUE(metadata!K443))),metadata!K443&gt;=-90.00,metadata!K443&lt;=90.00))</f>
        <v>0</v>
      </c>
      <c r="AL443">
        <f>OR(AND(IF(metadata!L443="",FALSE,TRUE),OR(exact(metadata!L443,"missing: not collected"),exact(metadata!L443,"missing: not provided"),exact(metadata!L443,"missing: restricted access"))),AND(IF(metadata!L443="",FALSE,ISNUMBER(VALUE(metadata!L443))),metadata!L443&gt;=-180.00,metadata!L443&lt;=180.00))</f>
        <v>0</v>
      </c>
      <c r="AM443">
        <f>IF(metadata!M443="",FALSE,TRUE)</f>
        <v>0</v>
      </c>
      <c r="AN443">
        <f>OR(AND(IF(metadata!N443="",FALSE,TRUE),OR(exact(metadata!N443,"missing: not collected"),exact(metadata!N443,"missing: not provided"),exact(metadata!N443,"missing: restricted access"))),AND(IF(metadata!N443="",FALSE,TRUE),OR(exact(metadata!N443,"TRUE"),exact(metadata!N443,"FALSE"))))</f>
        <v>0</v>
      </c>
      <c r="AO443">
        <f>IF(metadata!O443="",FALSE,TRUE)</f>
        <v>0</v>
      </c>
      <c r="AP443">
        <f>OR(AND(IF(metadata!P443="",FALSE,TRUE),OR(exact(metadata!P443,"missing: not collected"),exact(metadata!P443,"missing: not provided"))),AND(IF(metadata!P443="",FALSE,IF(ISERROR(INT(metadata!P443)),FALSE,INT(metadata!P443)=metadata!P443)),metadata!P443&gt;0))</f>
        <v>0</v>
      </c>
      <c r="AQ443">
        <f>IF(metadata!Q443="",FALSE,TRUE)</f>
        <v>0</v>
      </c>
    </row>
    <row r="444" spans="1:43">
      <c r="A444" s="5">
        <f>IF(B444=" "," ",HYPERLINK(CONCATENATE("#metadata!",ADDRESS(INDEX($W$2:$W$1001,MATCH(ROWS($U$2:U444),$U$2:$U$1001,0),0),1)),INDEX($Z$2:$Z$1001,MATCH(ROWS($U$2:U444),$U$2:$U$1001,0),0)))</f>
        <v>0</v>
      </c>
      <c r="B444" s="4">
        <f>IF(OR(INDEX($V$2:$V$1001,MATCH(ROWS($U$2:U444),$U$2:$U$1001,0),1)&gt;=100000,INDEX($AB$1005:$AQ$1005,1,MATCH(COLUMNS($AB$1006:AB1006),$AB$1006:$AQ$1006,0))&gt;=100000), " ",IF(INDEX($AB$2:$AQ$1001,MATCH(ROWS($U$2:U444),$U$2:$U$1001,0),MATCH(COLUMNS($AB$1006:AB1006),$AB$1006:$AQ$1006,0)), HYPERLINK("#",""), HYPERLINK(CONCATENATE("#metadata!", ADDRESS(INDEX($W$2:$W$1001,MATCH(ROWS($U$2:U444),$U$2:$U$1001,0),0), INDEX($AB$1004:$AQ$1004,1,MATCH(COLUMNS($AB$1006:AB1006),$AB$1006:$AQ$1006,0)))),"Fix")))</f>
        <v>0</v>
      </c>
      <c r="C444" s="4">
        <f>IF(OR(INDEX($V$2:$V$1001,MATCH(ROWS($U$2:U444),$U$2:$U$1001,0),1)&gt;=100000,INDEX($AB$1005:$AQ$1005,1,MATCH(COLUMNS($AB$1006:AC1006),$AB$1006:$AQ$1006,0))&gt;=100000), " ",IF(INDEX($AB$2:$AQ$1001,MATCH(ROWS($U$2:U444),$U$2:$U$1001,0),MATCH(COLUMNS($AB$1006:AC1006),$AB$1006:$AQ$1006,0)), HYPERLINK("#",""), HYPERLINK(CONCATENATE("#metadata!", ADDRESS(INDEX($W$2:$W$1001,MATCH(ROWS($U$2:U444),$U$2:$U$1001,0),0), INDEX($AB$1004:$AQ$1004,1,MATCH(COLUMNS($AB$1006:AC1006),$AB$1006:$AQ$1006,0)))),"Fix")))</f>
        <v>0</v>
      </c>
      <c r="D444" s="4">
        <f>IF(OR(INDEX($V$2:$V$1001,MATCH(ROWS($U$2:U444),$U$2:$U$1001,0),1)&gt;=100000,INDEX($AB$1005:$AQ$1005,1,MATCH(COLUMNS($AB$1006:AD1006),$AB$1006:$AQ$1006,0))&gt;=100000), " ",IF(INDEX($AB$2:$AQ$1001,MATCH(ROWS($U$2:U444),$U$2:$U$1001,0),MATCH(COLUMNS($AB$1006:AD1006),$AB$1006:$AQ$1006,0)), HYPERLINK("#",""), HYPERLINK(CONCATENATE("#metadata!", ADDRESS(INDEX($W$2:$W$1001,MATCH(ROWS($U$2:U444),$U$2:$U$1001,0),0), INDEX($AB$1004:$AQ$1004,1,MATCH(COLUMNS($AB$1006:AD1006),$AB$1006:$AQ$1006,0)))),"Fix")))</f>
        <v>0</v>
      </c>
      <c r="E444" s="4">
        <f>IF(OR(INDEX($V$2:$V$1001,MATCH(ROWS($U$2:U444),$U$2:$U$1001,0),1)&gt;=100000,INDEX($AB$1005:$AQ$1005,1,MATCH(COLUMNS($AB$1006:AE1006),$AB$1006:$AQ$1006,0))&gt;=100000), " ",IF(INDEX($AB$2:$AQ$1001,MATCH(ROWS($U$2:U444),$U$2:$U$1001,0),MATCH(COLUMNS($AB$1006:AE1006),$AB$1006:$AQ$1006,0)), HYPERLINK("#",""), HYPERLINK(CONCATENATE("#metadata!", ADDRESS(INDEX($W$2:$W$1001,MATCH(ROWS($U$2:U444),$U$2:$U$1001,0),0), INDEX($AB$1004:$AQ$1004,1,MATCH(COLUMNS($AB$1006:AE1006),$AB$1006:$AQ$1006,0)))),"Fix")))</f>
        <v>0</v>
      </c>
      <c r="F444" s="4">
        <f>IF(OR(INDEX($V$2:$V$1001,MATCH(ROWS($U$2:U444),$U$2:$U$1001,0),1)&gt;=100000,INDEX($AB$1005:$AQ$1005,1,MATCH(COLUMNS($AB$1006:AF1006),$AB$1006:$AQ$1006,0))&gt;=100000), " ",IF(INDEX($AB$2:$AQ$1001,MATCH(ROWS($U$2:U444),$U$2:$U$1001,0),MATCH(COLUMNS($AB$1006:AF1006),$AB$1006:$AQ$1006,0)), HYPERLINK("#",""), HYPERLINK(CONCATENATE("#metadata!", ADDRESS(INDEX($W$2:$W$1001,MATCH(ROWS($U$2:U444),$U$2:$U$1001,0),0), INDEX($AB$1004:$AQ$1004,1,MATCH(COLUMNS($AB$1006:AF1006),$AB$1006:$AQ$1006,0)))),"Fix")))</f>
        <v>0</v>
      </c>
      <c r="G444" s="4">
        <f>IF(OR(INDEX($V$2:$V$1001,MATCH(ROWS($U$2:U444),$U$2:$U$1001,0),1)&gt;=100000,INDEX($AB$1005:$AQ$1005,1,MATCH(COLUMNS($AB$1006:AG1006),$AB$1006:$AQ$1006,0))&gt;=100000), " ",IF(INDEX($AB$2:$AQ$1001,MATCH(ROWS($U$2:U444),$U$2:$U$1001,0),MATCH(COLUMNS($AB$1006:AG1006),$AB$1006:$AQ$1006,0)), HYPERLINK("#",""), HYPERLINK(CONCATENATE("#metadata!", ADDRESS(INDEX($W$2:$W$1001,MATCH(ROWS($U$2:U444),$U$2:$U$1001,0),0), INDEX($AB$1004:$AQ$1004,1,MATCH(COLUMNS($AB$1006:AG1006),$AB$1006:$AQ$1006,0)))),"Fix")))</f>
        <v>0</v>
      </c>
      <c r="H444" s="4">
        <f>IF(OR(INDEX($V$2:$V$1001,MATCH(ROWS($U$2:U444),$U$2:$U$1001,0),1)&gt;=100000,INDEX($AB$1005:$AQ$1005,1,MATCH(COLUMNS($AB$1006:AH1006),$AB$1006:$AQ$1006,0))&gt;=100000), " ",IF(INDEX($AB$2:$AQ$1001,MATCH(ROWS($U$2:U444),$U$2:$U$1001,0),MATCH(COLUMNS($AB$1006:AH1006),$AB$1006:$AQ$1006,0)), HYPERLINK("#",""), HYPERLINK(CONCATENATE("#metadata!", ADDRESS(INDEX($W$2:$W$1001,MATCH(ROWS($U$2:U444),$U$2:$U$1001,0),0), INDEX($AB$1004:$AQ$1004,1,MATCH(COLUMNS($AB$1006:AH1006),$AB$1006:$AQ$1006,0)))),"Fix")))</f>
        <v>0</v>
      </c>
      <c r="I444" s="4">
        <f>IF(OR(INDEX($V$2:$V$1001,MATCH(ROWS($U$2:U444),$U$2:$U$1001,0),1)&gt;=100000,INDEX($AB$1005:$AQ$1005,1,MATCH(COLUMNS($AB$1006:AI1006),$AB$1006:$AQ$1006,0))&gt;=100000), " ",IF(INDEX($AB$2:$AQ$1001,MATCH(ROWS($U$2:U444),$U$2:$U$1001,0),MATCH(COLUMNS($AB$1006:AI1006),$AB$1006:$AQ$1006,0)), HYPERLINK("#",""), HYPERLINK(CONCATENATE("#metadata!", ADDRESS(INDEX($W$2:$W$1001,MATCH(ROWS($U$2:U444),$U$2:$U$1001,0),0), INDEX($AB$1004:$AQ$1004,1,MATCH(COLUMNS($AB$1006:AI1006),$AB$1006:$AQ$1006,0)))),"Fix")))</f>
        <v>0</v>
      </c>
      <c r="J444" s="4">
        <f>IF(OR(INDEX($V$2:$V$1001,MATCH(ROWS($U$2:U444),$U$2:$U$1001,0),1)&gt;=100000,INDEX($AB$1005:$AQ$1005,1,MATCH(COLUMNS($AB$1006:AJ1006),$AB$1006:$AQ$1006,0))&gt;=100000), " ",IF(INDEX($AB$2:$AQ$1001,MATCH(ROWS($U$2:U444),$U$2:$U$1001,0),MATCH(COLUMNS($AB$1006:AJ1006),$AB$1006:$AQ$1006,0)), HYPERLINK("#",""), HYPERLINK(CONCATENATE("#metadata!", ADDRESS(INDEX($W$2:$W$1001,MATCH(ROWS($U$2:U444),$U$2:$U$1001,0),0), INDEX($AB$1004:$AQ$1004,1,MATCH(COLUMNS($AB$1006:AJ1006),$AB$1006:$AQ$1006,0)))),"Fix")))</f>
        <v>0</v>
      </c>
      <c r="K444" s="4">
        <f>IF(OR(INDEX($V$2:$V$1001,MATCH(ROWS($U$2:U444),$U$2:$U$1001,0),1)&gt;=100000,INDEX($AB$1005:$AQ$1005,1,MATCH(COLUMNS($AB$1006:AK1006),$AB$1006:$AQ$1006,0))&gt;=100000), " ",IF(INDEX($AB$2:$AQ$1001,MATCH(ROWS($U$2:U444),$U$2:$U$1001,0),MATCH(COLUMNS($AB$1006:AK1006),$AB$1006:$AQ$1006,0)), HYPERLINK("#",""), HYPERLINK(CONCATENATE("#metadata!", ADDRESS(INDEX($W$2:$W$1001,MATCH(ROWS($U$2:U444),$U$2:$U$1001,0),0), INDEX($AB$1004:$AQ$1004,1,MATCH(COLUMNS($AB$1006:AK1006),$AB$1006:$AQ$1006,0)))),"Fix")))</f>
        <v>0</v>
      </c>
      <c r="L444" s="4">
        <f>IF(OR(INDEX($V$2:$V$1001,MATCH(ROWS($U$2:U444),$U$2:$U$1001,0),1)&gt;=100000,INDEX($AB$1005:$AQ$1005,1,MATCH(COLUMNS($AB$1006:AL1006),$AB$1006:$AQ$1006,0))&gt;=100000), " ",IF(INDEX($AB$2:$AQ$1001,MATCH(ROWS($U$2:U444),$U$2:$U$1001,0),MATCH(COLUMNS($AB$1006:AL1006),$AB$1006:$AQ$1006,0)), HYPERLINK("#",""), HYPERLINK(CONCATENATE("#metadata!", ADDRESS(INDEX($W$2:$W$1001,MATCH(ROWS($U$2:U444),$U$2:$U$1001,0),0), INDEX($AB$1004:$AQ$1004,1,MATCH(COLUMNS($AB$1006:AL1006),$AB$1006:$AQ$1006,0)))),"Fix")))</f>
        <v>0</v>
      </c>
      <c r="M444" s="4">
        <f>IF(OR(INDEX($V$2:$V$1001,MATCH(ROWS($U$2:U444),$U$2:$U$1001,0),1)&gt;=100000,INDEX($AB$1005:$AQ$1005,1,MATCH(COLUMNS($AB$1006:AM1006),$AB$1006:$AQ$1006,0))&gt;=100000), " ",IF(INDEX($AB$2:$AQ$1001,MATCH(ROWS($U$2:U444),$U$2:$U$1001,0),MATCH(COLUMNS($AB$1006:AM1006),$AB$1006:$AQ$1006,0)), HYPERLINK("#",""), HYPERLINK(CONCATENATE("#metadata!", ADDRESS(INDEX($W$2:$W$1001,MATCH(ROWS($U$2:U444),$U$2:$U$1001,0),0), INDEX($AB$1004:$AQ$1004,1,MATCH(COLUMNS($AB$1006:AM1006),$AB$1006:$AQ$1006,0)))),"Fix")))</f>
        <v>0</v>
      </c>
      <c r="N444" s="4">
        <f>IF(OR(INDEX($V$2:$V$1001,MATCH(ROWS($U$2:U444),$U$2:$U$1001,0),1)&gt;=100000,INDEX($AB$1005:$AQ$1005,1,MATCH(COLUMNS($AB$1006:AN1006),$AB$1006:$AQ$1006,0))&gt;=100000), " ",IF(INDEX($AB$2:$AQ$1001,MATCH(ROWS($U$2:U444),$U$2:$U$1001,0),MATCH(COLUMNS($AB$1006:AN1006),$AB$1006:$AQ$1006,0)), HYPERLINK("#",""), HYPERLINK(CONCATENATE("#metadata!", ADDRESS(INDEX($W$2:$W$1001,MATCH(ROWS($U$2:U444),$U$2:$U$1001,0),0), INDEX($AB$1004:$AQ$1004,1,MATCH(COLUMNS($AB$1006:AN1006),$AB$1006:$AQ$1006,0)))),"Fix")))</f>
        <v>0</v>
      </c>
      <c r="O444" s="4">
        <f>IF(OR(INDEX($V$2:$V$1001,MATCH(ROWS($U$2:U444),$U$2:$U$1001,0),1)&gt;=100000,INDEX($AB$1005:$AQ$1005,1,MATCH(COLUMNS($AB$1006:AO1006),$AB$1006:$AQ$1006,0))&gt;=100000), " ",IF(INDEX($AB$2:$AQ$1001,MATCH(ROWS($U$2:U444),$U$2:$U$1001,0),MATCH(COLUMNS($AB$1006:AO1006),$AB$1006:$AQ$1006,0)), HYPERLINK("#",""), HYPERLINK(CONCATENATE("#metadata!", ADDRESS(INDEX($W$2:$W$1001,MATCH(ROWS($U$2:U444),$U$2:$U$1001,0),0), INDEX($AB$1004:$AQ$1004,1,MATCH(COLUMNS($AB$1006:AO1006),$AB$1006:$AQ$1006,0)))),"Fix")))</f>
        <v>0</v>
      </c>
      <c r="P444" s="4">
        <f>IF(OR(INDEX($V$2:$V$1001,MATCH(ROWS($U$2:U444),$U$2:$U$1001,0),1)&gt;=100000,INDEX($AB$1005:$AQ$1005,1,MATCH(COLUMNS($AB$1006:AP1006),$AB$1006:$AQ$1006,0))&gt;=100000), " ",IF(INDEX($AB$2:$AQ$1001,MATCH(ROWS($U$2:U444),$U$2:$U$1001,0),MATCH(COLUMNS($AB$1006:AP1006),$AB$1006:$AQ$1006,0)), HYPERLINK("#",""), HYPERLINK(CONCATENATE("#metadata!", ADDRESS(INDEX($W$2:$W$1001,MATCH(ROWS($U$2:U444),$U$2:$U$1001,0),0), INDEX($AB$1004:$AQ$1004,1,MATCH(COLUMNS($AB$1006:AP1006),$AB$1006:$AQ$1006,0)))),"Fix")))</f>
        <v>0</v>
      </c>
      <c r="Q444" s="4">
        <f>IF(OR(INDEX($V$2:$V$1001,MATCH(ROWS($U$2:U444),$U$2:$U$1001,0),1)&gt;=100000,INDEX($AB$1005:$AQ$1005,1,MATCH(COLUMNS($AB$1006:AQ1006),$AB$1006:$AQ$1006,0))&gt;=100000), " ",IF(INDEX($AB$2:$AQ$1001,MATCH(ROWS($U$2:U444),$U$2:$U$1001,0),MATCH(COLUMNS($AB$1006:AQ1006),$AB$1006:$AQ$1006,0)), HYPERLINK("#",""), HYPERLINK(CONCATENATE("#metadata!", ADDRESS(INDEX($W$2:$W$1001,MATCH(ROWS($U$2:U444),$U$2:$U$1001,0),0), INDEX($AB$1004:$AQ$1004,1,MATCH(COLUMNS($AB$1006:AQ1006),$AB$1006:$AQ$1006,0)))),"Fix")))</f>
        <v>0</v>
      </c>
      <c r="U444">
        <v>0</v>
      </c>
      <c r="V444">
        <v>0</v>
      </c>
      <c r="W444">
        <v>0</v>
      </c>
      <c r="X444">
        <f>IF(Y444,TRUE,AND(AB444:AQ444))</f>
        <v>0</v>
      </c>
      <c r="Y444">
        <f>COUNTBLANK(metadata!B444:Q444)=COLUMNS(metadata!B444:Q444)</f>
        <v>0</v>
      </c>
      <c r="Z444">
        <v>0</v>
      </c>
      <c r="AB444">
        <f>AND(IF(metadata!B444="",FALSE,TRUE),COUNTIF(metadata!B:B, metadata!B444) = 1,NOT(ISERROR(SUMPRODUCT(SEARCH(MID(metadata!B444,ROW(INDIRECT("1:"&amp;LEN(metadata!B444))), 1),"0123456789abcdefghijklmnopqrstuvwxyzABCDEFGHIJKLMNOPQRSTUVWXYZ.")))))</f>
        <v>0</v>
      </c>
      <c r="AC444">
        <f>OR(AND(IF(metadata!C444="",FALSE,TRUE),OR(exact(metadata!C444,"missing: not collected"),exact(metadata!C444,"missing: not provided"),exact(metadata!C444,"missing: restricted access"))),AND(IF(metadata!C444="",FALSE,TRUE),AND(AND(IFERROR(INT(LEFT(metadata!C444,4))&gt;1900,FALSE),IFERROR(INT(LEFT(metadata!C444,4))&lt;=YEAR(NOW()),FALSE)), OR(MID(metadata!C444,5,1)="", AND(AND(MID(metadata!C444,5,1)="-",IFERROR(INT(MID(metadata!C444,6,1))&gt;=0,FALSE),IFERROR(INT(MID(metadata!C444,6,1))&lt;=1,FALSE),NOT(MID(metadata!C444,7,1)=""),IFERROR(INT(MID(metadata!C444,6,2))&gt;=1,FALSE),IFERROR(INT(MID(metadata!C444,6,2))&lt;=12,FALSE)), OR(MID(metadata!C444,8,1)="", AND(AND(MID(metadata!C444,8,1)="-",IFERROR(INT(MID(metadata!C444,9,1))&gt;=0,FALSE),IFERROR(INT(MID(metadata!C444,9,1))&lt;=3,FALSE),NOT(MID(metadata!C444,10,1)=""),IFERROR(INT(MID(metadata!C444,9,2))&gt;=1,FALSE),IFERROR(INT(MID(metadata!C444,9,2))&lt;=31,FALSE)), OR(MID(metadata!C444,11,1)="", AND(AND(MID(metadata!C444,11,1)=" ",IFERROR(INT(MID(metadata!C444,12,1))&gt;=0,FALSE),IFERROR(INT(MID(metadata!C444,12,1))&lt;=2,FALSE),NOT(MID(metadata!C444,13,1)=""),IFERROR(INT(MID(metadata!C444,12,2))&gt;=0,FALSE),IFERROR(INT(MID(metadata!C444,12,2))&lt;=23,FALSE)), OR(MID(metadata!C444,14,1)="", AND(AND(MID(metadata!C444,14,1)=":",IFERROR(INT(MID(metadata!C444,15,1))&gt;=0,FALSE),IFERROR(INT(MID(metadata!C444,15,1))&lt;=5,FALSE),NOT(MID(metadata!C444,16,1)=""),IFERROR(INT(MID(metadata!C444,15,2))&gt;=0,FALSE),IFERROR(INT(MID(metadata!C444,15,2))&lt;=59,FALSE)), OR(MID(metadata!C444,17,1)="", AND(AND(MID(metadata!C444,17,1)=":",IFERROR(INT(MID(metadata!C444,18,1))&gt;=0,FALSE),IFERROR(INT(MID(metadata!C444,18,1))&lt;=5,FALSE),NOT(MID(metadata!C444,19,1)=""),IFERROR(INT(MID(metadata!C444,18,2))&gt;=0,FALSE),IFERROR(INT(MID(metadata!C444,18,2))&lt;=59,FALSE)), LEN(metadata!C444)&lt;=19)))))))))))))</f>
        <v>0</v>
      </c>
      <c r="AD444">
        <f>IF(metadata!D444="",FALSE,TRUE)</f>
        <v>0</v>
      </c>
      <c r="AE444">
        <f>OR(AND(IF(metadata!E444="",FALSE,TRUE),OR(exact(metadata!E444,"missing: not collected"),exact(metadata!E444,"missing: not provided"))),AND(IF(metadata!E444="",FALSE,TRUE),OR(exact(metadata!E444,"TRUE"),exact(metadata!E444,"FALSE"))))</f>
        <v>0</v>
      </c>
      <c r="AF444">
        <f>IF(metadata!F444="",FALSE,TRUE)</f>
        <v>0</v>
      </c>
      <c r="AG444">
        <f>IF(metadata!G444="",FALSE,TRUE)</f>
        <v>0</v>
      </c>
      <c r="AH444">
        <f>IF(metadata!H444="",FALSE,TRUE)</f>
        <v>0</v>
      </c>
      <c r="AI444">
        <f>OR(AND(IF(metadata!I444="",FALSE,TRUE),OR(exact(metadata!I444,"missing: not collected"),exact(metadata!I444,"missing: not provided"),exact(metadata!I444,"missing: restricted access"))),AND(IF(metadata!I444="",FALSE,TRUE),OR(exact(metadata!I444,"air"),exact(metadata!I444,"built environment"),exact(metadata!I444,"host-associated"),exact(metadata!I444,"human-associated"),exact(metadata!I444,"human-skin"),exact(metadata!I444,"human-oral"),exact(metadata!I444,"human-gut"),exact(metadata!I444,"human-vaginal"),exact(metadata!I444,"microbial mat/biofilm"),exact(metadata!I444,"misc environment"),exact(metadata!I444,"plant-associated"),exact(metadata!I444,"sediment"),exact(metadata!I444,"soil"),exact(metadata!I444,"wastewater/sludge"),exact(metadata!I444,"water"))))</f>
        <v>0</v>
      </c>
      <c r="AJ444">
        <f>IF(metadata!J444="",FALSE,TRUE)</f>
        <v>0</v>
      </c>
      <c r="AK444">
        <f>OR(AND(IF(metadata!K444="",FALSE,TRUE),OR(exact(metadata!K444,"missing: not collected"),exact(metadata!K444,"missing: not provided"),exact(metadata!K444,"missing: restricted access"))),AND(IF(metadata!K444="",FALSE,ISNUMBER(VALUE(metadata!K444))),metadata!K444&gt;=-90.00,metadata!K444&lt;=90.00))</f>
        <v>0</v>
      </c>
      <c r="AL444">
        <f>OR(AND(IF(metadata!L444="",FALSE,TRUE),OR(exact(metadata!L444,"missing: not collected"),exact(metadata!L444,"missing: not provided"),exact(metadata!L444,"missing: restricted access"))),AND(IF(metadata!L444="",FALSE,ISNUMBER(VALUE(metadata!L444))),metadata!L444&gt;=-180.00,metadata!L444&lt;=180.00))</f>
        <v>0</v>
      </c>
      <c r="AM444">
        <f>IF(metadata!M444="",FALSE,TRUE)</f>
        <v>0</v>
      </c>
      <c r="AN444">
        <f>OR(AND(IF(metadata!N444="",FALSE,TRUE),OR(exact(metadata!N444,"missing: not collected"),exact(metadata!N444,"missing: not provided"),exact(metadata!N444,"missing: restricted access"))),AND(IF(metadata!N444="",FALSE,TRUE),OR(exact(metadata!N444,"TRUE"),exact(metadata!N444,"FALSE"))))</f>
        <v>0</v>
      </c>
      <c r="AO444">
        <f>IF(metadata!O444="",FALSE,TRUE)</f>
        <v>0</v>
      </c>
      <c r="AP444">
        <f>OR(AND(IF(metadata!P444="",FALSE,TRUE),OR(exact(metadata!P444,"missing: not collected"),exact(metadata!P444,"missing: not provided"))),AND(IF(metadata!P444="",FALSE,IF(ISERROR(INT(metadata!P444)),FALSE,INT(metadata!P444)=metadata!P444)),metadata!P444&gt;0))</f>
        <v>0</v>
      </c>
      <c r="AQ444">
        <f>IF(metadata!Q444="",FALSE,TRUE)</f>
        <v>0</v>
      </c>
    </row>
    <row r="445" spans="1:43">
      <c r="A445" s="5">
        <f>IF(B445=" "," ",HYPERLINK(CONCATENATE("#metadata!",ADDRESS(INDEX($W$2:$W$1001,MATCH(ROWS($U$2:U445),$U$2:$U$1001,0),0),1)),INDEX($Z$2:$Z$1001,MATCH(ROWS($U$2:U445),$U$2:$U$1001,0),0)))</f>
        <v>0</v>
      </c>
      <c r="B445" s="4">
        <f>IF(OR(INDEX($V$2:$V$1001,MATCH(ROWS($U$2:U445),$U$2:$U$1001,0),1)&gt;=100000,INDEX($AB$1005:$AQ$1005,1,MATCH(COLUMNS($AB$1006:AB1006),$AB$1006:$AQ$1006,0))&gt;=100000), " ",IF(INDEX($AB$2:$AQ$1001,MATCH(ROWS($U$2:U445),$U$2:$U$1001,0),MATCH(COLUMNS($AB$1006:AB1006),$AB$1006:$AQ$1006,0)), HYPERLINK("#",""), HYPERLINK(CONCATENATE("#metadata!", ADDRESS(INDEX($W$2:$W$1001,MATCH(ROWS($U$2:U445),$U$2:$U$1001,0),0), INDEX($AB$1004:$AQ$1004,1,MATCH(COLUMNS($AB$1006:AB1006),$AB$1006:$AQ$1006,0)))),"Fix")))</f>
        <v>0</v>
      </c>
      <c r="C445" s="4">
        <f>IF(OR(INDEX($V$2:$V$1001,MATCH(ROWS($U$2:U445),$U$2:$U$1001,0),1)&gt;=100000,INDEX($AB$1005:$AQ$1005,1,MATCH(COLUMNS($AB$1006:AC1006),$AB$1006:$AQ$1006,0))&gt;=100000), " ",IF(INDEX($AB$2:$AQ$1001,MATCH(ROWS($U$2:U445),$U$2:$U$1001,0),MATCH(COLUMNS($AB$1006:AC1006),$AB$1006:$AQ$1006,0)), HYPERLINK("#",""), HYPERLINK(CONCATENATE("#metadata!", ADDRESS(INDEX($W$2:$W$1001,MATCH(ROWS($U$2:U445),$U$2:$U$1001,0),0), INDEX($AB$1004:$AQ$1004,1,MATCH(COLUMNS($AB$1006:AC1006),$AB$1006:$AQ$1006,0)))),"Fix")))</f>
        <v>0</v>
      </c>
      <c r="D445" s="4">
        <f>IF(OR(INDEX($V$2:$V$1001,MATCH(ROWS($U$2:U445),$U$2:$U$1001,0),1)&gt;=100000,INDEX($AB$1005:$AQ$1005,1,MATCH(COLUMNS($AB$1006:AD1006),$AB$1006:$AQ$1006,0))&gt;=100000), " ",IF(INDEX($AB$2:$AQ$1001,MATCH(ROWS($U$2:U445),$U$2:$U$1001,0),MATCH(COLUMNS($AB$1006:AD1006),$AB$1006:$AQ$1006,0)), HYPERLINK("#",""), HYPERLINK(CONCATENATE("#metadata!", ADDRESS(INDEX($W$2:$W$1001,MATCH(ROWS($U$2:U445),$U$2:$U$1001,0),0), INDEX($AB$1004:$AQ$1004,1,MATCH(COLUMNS($AB$1006:AD1006),$AB$1006:$AQ$1006,0)))),"Fix")))</f>
        <v>0</v>
      </c>
      <c r="E445" s="4">
        <f>IF(OR(INDEX($V$2:$V$1001,MATCH(ROWS($U$2:U445),$U$2:$U$1001,0),1)&gt;=100000,INDEX($AB$1005:$AQ$1005,1,MATCH(COLUMNS($AB$1006:AE1006),$AB$1006:$AQ$1006,0))&gt;=100000), " ",IF(INDEX($AB$2:$AQ$1001,MATCH(ROWS($U$2:U445),$U$2:$U$1001,0),MATCH(COLUMNS($AB$1006:AE1006),$AB$1006:$AQ$1006,0)), HYPERLINK("#",""), HYPERLINK(CONCATENATE("#metadata!", ADDRESS(INDEX($W$2:$W$1001,MATCH(ROWS($U$2:U445),$U$2:$U$1001,0),0), INDEX($AB$1004:$AQ$1004,1,MATCH(COLUMNS($AB$1006:AE1006),$AB$1006:$AQ$1006,0)))),"Fix")))</f>
        <v>0</v>
      </c>
      <c r="F445" s="4">
        <f>IF(OR(INDEX($V$2:$V$1001,MATCH(ROWS($U$2:U445),$U$2:$U$1001,0),1)&gt;=100000,INDEX($AB$1005:$AQ$1005,1,MATCH(COLUMNS($AB$1006:AF1006),$AB$1006:$AQ$1006,0))&gt;=100000), " ",IF(INDEX($AB$2:$AQ$1001,MATCH(ROWS($U$2:U445),$U$2:$U$1001,0),MATCH(COLUMNS($AB$1006:AF1006),$AB$1006:$AQ$1006,0)), HYPERLINK("#",""), HYPERLINK(CONCATENATE("#metadata!", ADDRESS(INDEX($W$2:$W$1001,MATCH(ROWS($U$2:U445),$U$2:$U$1001,0),0), INDEX($AB$1004:$AQ$1004,1,MATCH(COLUMNS($AB$1006:AF1006),$AB$1006:$AQ$1006,0)))),"Fix")))</f>
        <v>0</v>
      </c>
      <c r="G445" s="4">
        <f>IF(OR(INDEX($V$2:$V$1001,MATCH(ROWS($U$2:U445),$U$2:$U$1001,0),1)&gt;=100000,INDEX($AB$1005:$AQ$1005,1,MATCH(COLUMNS($AB$1006:AG1006),$AB$1006:$AQ$1006,0))&gt;=100000), " ",IF(INDEX($AB$2:$AQ$1001,MATCH(ROWS($U$2:U445),$U$2:$U$1001,0),MATCH(COLUMNS($AB$1006:AG1006),$AB$1006:$AQ$1006,0)), HYPERLINK("#",""), HYPERLINK(CONCATENATE("#metadata!", ADDRESS(INDEX($W$2:$W$1001,MATCH(ROWS($U$2:U445),$U$2:$U$1001,0),0), INDEX($AB$1004:$AQ$1004,1,MATCH(COLUMNS($AB$1006:AG1006),$AB$1006:$AQ$1006,0)))),"Fix")))</f>
        <v>0</v>
      </c>
      <c r="H445" s="4">
        <f>IF(OR(INDEX($V$2:$V$1001,MATCH(ROWS($U$2:U445),$U$2:$U$1001,0),1)&gt;=100000,INDEX($AB$1005:$AQ$1005,1,MATCH(COLUMNS($AB$1006:AH1006),$AB$1006:$AQ$1006,0))&gt;=100000), " ",IF(INDEX($AB$2:$AQ$1001,MATCH(ROWS($U$2:U445),$U$2:$U$1001,0),MATCH(COLUMNS($AB$1006:AH1006),$AB$1006:$AQ$1006,0)), HYPERLINK("#",""), HYPERLINK(CONCATENATE("#metadata!", ADDRESS(INDEX($W$2:$W$1001,MATCH(ROWS($U$2:U445),$U$2:$U$1001,0),0), INDEX($AB$1004:$AQ$1004,1,MATCH(COLUMNS($AB$1006:AH1006),$AB$1006:$AQ$1006,0)))),"Fix")))</f>
        <v>0</v>
      </c>
      <c r="I445" s="4">
        <f>IF(OR(INDEX($V$2:$V$1001,MATCH(ROWS($U$2:U445),$U$2:$U$1001,0),1)&gt;=100000,INDEX($AB$1005:$AQ$1005,1,MATCH(COLUMNS($AB$1006:AI1006),$AB$1006:$AQ$1006,0))&gt;=100000), " ",IF(INDEX($AB$2:$AQ$1001,MATCH(ROWS($U$2:U445),$U$2:$U$1001,0),MATCH(COLUMNS($AB$1006:AI1006),$AB$1006:$AQ$1006,0)), HYPERLINK("#",""), HYPERLINK(CONCATENATE("#metadata!", ADDRESS(INDEX($W$2:$W$1001,MATCH(ROWS($U$2:U445),$U$2:$U$1001,0),0), INDEX($AB$1004:$AQ$1004,1,MATCH(COLUMNS($AB$1006:AI1006),$AB$1006:$AQ$1006,0)))),"Fix")))</f>
        <v>0</v>
      </c>
      <c r="J445" s="4">
        <f>IF(OR(INDEX($V$2:$V$1001,MATCH(ROWS($U$2:U445),$U$2:$U$1001,0),1)&gt;=100000,INDEX($AB$1005:$AQ$1005,1,MATCH(COLUMNS($AB$1006:AJ1006),$AB$1006:$AQ$1006,0))&gt;=100000), " ",IF(INDEX($AB$2:$AQ$1001,MATCH(ROWS($U$2:U445),$U$2:$U$1001,0),MATCH(COLUMNS($AB$1006:AJ1006),$AB$1006:$AQ$1006,0)), HYPERLINK("#",""), HYPERLINK(CONCATENATE("#metadata!", ADDRESS(INDEX($W$2:$W$1001,MATCH(ROWS($U$2:U445),$U$2:$U$1001,0),0), INDEX($AB$1004:$AQ$1004,1,MATCH(COLUMNS($AB$1006:AJ1006),$AB$1006:$AQ$1006,0)))),"Fix")))</f>
        <v>0</v>
      </c>
      <c r="K445" s="4">
        <f>IF(OR(INDEX($V$2:$V$1001,MATCH(ROWS($U$2:U445),$U$2:$U$1001,0),1)&gt;=100000,INDEX($AB$1005:$AQ$1005,1,MATCH(COLUMNS($AB$1006:AK1006),$AB$1006:$AQ$1006,0))&gt;=100000), " ",IF(INDEX($AB$2:$AQ$1001,MATCH(ROWS($U$2:U445),$U$2:$U$1001,0),MATCH(COLUMNS($AB$1006:AK1006),$AB$1006:$AQ$1006,0)), HYPERLINK("#",""), HYPERLINK(CONCATENATE("#metadata!", ADDRESS(INDEX($W$2:$W$1001,MATCH(ROWS($U$2:U445),$U$2:$U$1001,0),0), INDEX($AB$1004:$AQ$1004,1,MATCH(COLUMNS($AB$1006:AK1006),$AB$1006:$AQ$1006,0)))),"Fix")))</f>
        <v>0</v>
      </c>
      <c r="L445" s="4">
        <f>IF(OR(INDEX($V$2:$V$1001,MATCH(ROWS($U$2:U445),$U$2:$U$1001,0),1)&gt;=100000,INDEX($AB$1005:$AQ$1005,1,MATCH(COLUMNS($AB$1006:AL1006),$AB$1006:$AQ$1006,0))&gt;=100000), " ",IF(INDEX($AB$2:$AQ$1001,MATCH(ROWS($U$2:U445),$U$2:$U$1001,0),MATCH(COLUMNS($AB$1006:AL1006),$AB$1006:$AQ$1006,0)), HYPERLINK("#",""), HYPERLINK(CONCATENATE("#metadata!", ADDRESS(INDEX($W$2:$W$1001,MATCH(ROWS($U$2:U445),$U$2:$U$1001,0),0), INDEX($AB$1004:$AQ$1004,1,MATCH(COLUMNS($AB$1006:AL1006),$AB$1006:$AQ$1006,0)))),"Fix")))</f>
        <v>0</v>
      </c>
      <c r="M445" s="4">
        <f>IF(OR(INDEX($V$2:$V$1001,MATCH(ROWS($U$2:U445),$U$2:$U$1001,0),1)&gt;=100000,INDEX($AB$1005:$AQ$1005,1,MATCH(COLUMNS($AB$1006:AM1006),$AB$1006:$AQ$1006,0))&gt;=100000), " ",IF(INDEX($AB$2:$AQ$1001,MATCH(ROWS($U$2:U445),$U$2:$U$1001,0),MATCH(COLUMNS($AB$1006:AM1006),$AB$1006:$AQ$1006,0)), HYPERLINK("#",""), HYPERLINK(CONCATENATE("#metadata!", ADDRESS(INDEX($W$2:$W$1001,MATCH(ROWS($U$2:U445),$U$2:$U$1001,0),0), INDEX($AB$1004:$AQ$1004,1,MATCH(COLUMNS($AB$1006:AM1006),$AB$1006:$AQ$1006,0)))),"Fix")))</f>
        <v>0</v>
      </c>
      <c r="N445" s="4">
        <f>IF(OR(INDEX($V$2:$V$1001,MATCH(ROWS($U$2:U445),$U$2:$U$1001,0),1)&gt;=100000,INDEX($AB$1005:$AQ$1005,1,MATCH(COLUMNS($AB$1006:AN1006),$AB$1006:$AQ$1006,0))&gt;=100000), " ",IF(INDEX($AB$2:$AQ$1001,MATCH(ROWS($U$2:U445),$U$2:$U$1001,0),MATCH(COLUMNS($AB$1006:AN1006),$AB$1006:$AQ$1006,0)), HYPERLINK("#",""), HYPERLINK(CONCATENATE("#metadata!", ADDRESS(INDEX($W$2:$W$1001,MATCH(ROWS($U$2:U445),$U$2:$U$1001,0),0), INDEX($AB$1004:$AQ$1004,1,MATCH(COLUMNS($AB$1006:AN1006),$AB$1006:$AQ$1006,0)))),"Fix")))</f>
        <v>0</v>
      </c>
      <c r="O445" s="4">
        <f>IF(OR(INDEX($V$2:$V$1001,MATCH(ROWS($U$2:U445),$U$2:$U$1001,0),1)&gt;=100000,INDEX($AB$1005:$AQ$1005,1,MATCH(COLUMNS($AB$1006:AO1006),$AB$1006:$AQ$1006,0))&gt;=100000), " ",IF(INDEX($AB$2:$AQ$1001,MATCH(ROWS($U$2:U445),$U$2:$U$1001,0),MATCH(COLUMNS($AB$1006:AO1006),$AB$1006:$AQ$1006,0)), HYPERLINK("#",""), HYPERLINK(CONCATENATE("#metadata!", ADDRESS(INDEX($W$2:$W$1001,MATCH(ROWS($U$2:U445),$U$2:$U$1001,0),0), INDEX($AB$1004:$AQ$1004,1,MATCH(COLUMNS($AB$1006:AO1006),$AB$1006:$AQ$1006,0)))),"Fix")))</f>
        <v>0</v>
      </c>
      <c r="P445" s="4">
        <f>IF(OR(INDEX($V$2:$V$1001,MATCH(ROWS($U$2:U445),$U$2:$U$1001,0),1)&gt;=100000,INDEX($AB$1005:$AQ$1005,1,MATCH(COLUMNS($AB$1006:AP1006),$AB$1006:$AQ$1006,0))&gt;=100000), " ",IF(INDEX($AB$2:$AQ$1001,MATCH(ROWS($U$2:U445),$U$2:$U$1001,0),MATCH(COLUMNS($AB$1006:AP1006),$AB$1006:$AQ$1006,0)), HYPERLINK("#",""), HYPERLINK(CONCATENATE("#metadata!", ADDRESS(INDEX($W$2:$W$1001,MATCH(ROWS($U$2:U445),$U$2:$U$1001,0),0), INDEX($AB$1004:$AQ$1004,1,MATCH(COLUMNS($AB$1006:AP1006),$AB$1006:$AQ$1006,0)))),"Fix")))</f>
        <v>0</v>
      </c>
      <c r="Q445" s="4">
        <f>IF(OR(INDEX($V$2:$V$1001,MATCH(ROWS($U$2:U445),$U$2:$U$1001,0),1)&gt;=100000,INDEX($AB$1005:$AQ$1005,1,MATCH(COLUMNS($AB$1006:AQ1006),$AB$1006:$AQ$1006,0))&gt;=100000), " ",IF(INDEX($AB$2:$AQ$1001,MATCH(ROWS($U$2:U445),$U$2:$U$1001,0),MATCH(COLUMNS($AB$1006:AQ1006),$AB$1006:$AQ$1006,0)), HYPERLINK("#",""), HYPERLINK(CONCATENATE("#metadata!", ADDRESS(INDEX($W$2:$W$1001,MATCH(ROWS($U$2:U445),$U$2:$U$1001,0),0), INDEX($AB$1004:$AQ$1004,1,MATCH(COLUMNS($AB$1006:AQ1006),$AB$1006:$AQ$1006,0)))),"Fix")))</f>
        <v>0</v>
      </c>
      <c r="U445">
        <v>0</v>
      </c>
      <c r="V445">
        <v>0</v>
      </c>
      <c r="W445">
        <v>0</v>
      </c>
      <c r="X445">
        <f>IF(Y445,TRUE,AND(AB445:AQ445))</f>
        <v>0</v>
      </c>
      <c r="Y445">
        <f>COUNTBLANK(metadata!B445:Q445)=COLUMNS(metadata!B445:Q445)</f>
        <v>0</v>
      </c>
      <c r="Z445">
        <v>0</v>
      </c>
      <c r="AB445">
        <f>AND(IF(metadata!B445="",FALSE,TRUE),COUNTIF(metadata!B:B, metadata!B445) = 1,NOT(ISERROR(SUMPRODUCT(SEARCH(MID(metadata!B445,ROW(INDIRECT("1:"&amp;LEN(metadata!B445))), 1),"0123456789abcdefghijklmnopqrstuvwxyzABCDEFGHIJKLMNOPQRSTUVWXYZ.")))))</f>
        <v>0</v>
      </c>
      <c r="AC445">
        <f>OR(AND(IF(metadata!C445="",FALSE,TRUE),OR(exact(metadata!C445,"missing: not collected"),exact(metadata!C445,"missing: not provided"),exact(metadata!C445,"missing: restricted access"))),AND(IF(metadata!C445="",FALSE,TRUE),AND(AND(IFERROR(INT(LEFT(metadata!C445,4))&gt;1900,FALSE),IFERROR(INT(LEFT(metadata!C445,4))&lt;=YEAR(NOW()),FALSE)), OR(MID(metadata!C445,5,1)="", AND(AND(MID(metadata!C445,5,1)="-",IFERROR(INT(MID(metadata!C445,6,1))&gt;=0,FALSE),IFERROR(INT(MID(metadata!C445,6,1))&lt;=1,FALSE),NOT(MID(metadata!C445,7,1)=""),IFERROR(INT(MID(metadata!C445,6,2))&gt;=1,FALSE),IFERROR(INT(MID(metadata!C445,6,2))&lt;=12,FALSE)), OR(MID(metadata!C445,8,1)="", AND(AND(MID(metadata!C445,8,1)="-",IFERROR(INT(MID(metadata!C445,9,1))&gt;=0,FALSE),IFERROR(INT(MID(metadata!C445,9,1))&lt;=3,FALSE),NOT(MID(metadata!C445,10,1)=""),IFERROR(INT(MID(metadata!C445,9,2))&gt;=1,FALSE),IFERROR(INT(MID(metadata!C445,9,2))&lt;=31,FALSE)), OR(MID(metadata!C445,11,1)="", AND(AND(MID(metadata!C445,11,1)=" ",IFERROR(INT(MID(metadata!C445,12,1))&gt;=0,FALSE),IFERROR(INT(MID(metadata!C445,12,1))&lt;=2,FALSE),NOT(MID(metadata!C445,13,1)=""),IFERROR(INT(MID(metadata!C445,12,2))&gt;=0,FALSE),IFERROR(INT(MID(metadata!C445,12,2))&lt;=23,FALSE)), OR(MID(metadata!C445,14,1)="", AND(AND(MID(metadata!C445,14,1)=":",IFERROR(INT(MID(metadata!C445,15,1))&gt;=0,FALSE),IFERROR(INT(MID(metadata!C445,15,1))&lt;=5,FALSE),NOT(MID(metadata!C445,16,1)=""),IFERROR(INT(MID(metadata!C445,15,2))&gt;=0,FALSE),IFERROR(INT(MID(metadata!C445,15,2))&lt;=59,FALSE)), OR(MID(metadata!C445,17,1)="", AND(AND(MID(metadata!C445,17,1)=":",IFERROR(INT(MID(metadata!C445,18,1))&gt;=0,FALSE),IFERROR(INT(MID(metadata!C445,18,1))&lt;=5,FALSE),NOT(MID(metadata!C445,19,1)=""),IFERROR(INT(MID(metadata!C445,18,2))&gt;=0,FALSE),IFERROR(INT(MID(metadata!C445,18,2))&lt;=59,FALSE)), LEN(metadata!C445)&lt;=19)))))))))))))</f>
        <v>0</v>
      </c>
      <c r="AD445">
        <f>IF(metadata!D445="",FALSE,TRUE)</f>
        <v>0</v>
      </c>
      <c r="AE445">
        <f>OR(AND(IF(metadata!E445="",FALSE,TRUE),OR(exact(metadata!E445,"missing: not collected"),exact(metadata!E445,"missing: not provided"))),AND(IF(metadata!E445="",FALSE,TRUE),OR(exact(metadata!E445,"TRUE"),exact(metadata!E445,"FALSE"))))</f>
        <v>0</v>
      </c>
      <c r="AF445">
        <f>IF(metadata!F445="",FALSE,TRUE)</f>
        <v>0</v>
      </c>
      <c r="AG445">
        <f>IF(metadata!G445="",FALSE,TRUE)</f>
        <v>0</v>
      </c>
      <c r="AH445">
        <f>IF(metadata!H445="",FALSE,TRUE)</f>
        <v>0</v>
      </c>
      <c r="AI445">
        <f>OR(AND(IF(metadata!I445="",FALSE,TRUE),OR(exact(metadata!I445,"missing: not collected"),exact(metadata!I445,"missing: not provided"),exact(metadata!I445,"missing: restricted access"))),AND(IF(metadata!I445="",FALSE,TRUE),OR(exact(metadata!I445,"air"),exact(metadata!I445,"built environment"),exact(metadata!I445,"host-associated"),exact(metadata!I445,"human-associated"),exact(metadata!I445,"human-skin"),exact(metadata!I445,"human-oral"),exact(metadata!I445,"human-gut"),exact(metadata!I445,"human-vaginal"),exact(metadata!I445,"microbial mat/biofilm"),exact(metadata!I445,"misc environment"),exact(metadata!I445,"plant-associated"),exact(metadata!I445,"sediment"),exact(metadata!I445,"soil"),exact(metadata!I445,"wastewater/sludge"),exact(metadata!I445,"water"))))</f>
        <v>0</v>
      </c>
      <c r="AJ445">
        <f>IF(metadata!J445="",FALSE,TRUE)</f>
        <v>0</v>
      </c>
      <c r="AK445">
        <f>OR(AND(IF(metadata!K445="",FALSE,TRUE),OR(exact(metadata!K445,"missing: not collected"),exact(metadata!K445,"missing: not provided"),exact(metadata!K445,"missing: restricted access"))),AND(IF(metadata!K445="",FALSE,ISNUMBER(VALUE(metadata!K445))),metadata!K445&gt;=-90.00,metadata!K445&lt;=90.00))</f>
        <v>0</v>
      </c>
      <c r="AL445">
        <f>OR(AND(IF(metadata!L445="",FALSE,TRUE),OR(exact(metadata!L445,"missing: not collected"),exact(metadata!L445,"missing: not provided"),exact(metadata!L445,"missing: restricted access"))),AND(IF(metadata!L445="",FALSE,ISNUMBER(VALUE(metadata!L445))),metadata!L445&gt;=-180.00,metadata!L445&lt;=180.00))</f>
        <v>0</v>
      </c>
      <c r="AM445">
        <f>IF(metadata!M445="",FALSE,TRUE)</f>
        <v>0</v>
      </c>
      <c r="AN445">
        <f>OR(AND(IF(metadata!N445="",FALSE,TRUE),OR(exact(metadata!N445,"missing: not collected"),exact(metadata!N445,"missing: not provided"),exact(metadata!N445,"missing: restricted access"))),AND(IF(metadata!N445="",FALSE,TRUE),OR(exact(metadata!N445,"TRUE"),exact(metadata!N445,"FALSE"))))</f>
        <v>0</v>
      </c>
      <c r="AO445">
        <f>IF(metadata!O445="",FALSE,TRUE)</f>
        <v>0</v>
      </c>
      <c r="AP445">
        <f>OR(AND(IF(metadata!P445="",FALSE,TRUE),OR(exact(metadata!P445,"missing: not collected"),exact(metadata!P445,"missing: not provided"))),AND(IF(metadata!P445="",FALSE,IF(ISERROR(INT(metadata!P445)),FALSE,INT(metadata!P445)=metadata!P445)),metadata!P445&gt;0))</f>
        <v>0</v>
      </c>
      <c r="AQ445">
        <f>IF(metadata!Q445="",FALSE,TRUE)</f>
        <v>0</v>
      </c>
    </row>
    <row r="446" spans="1:43">
      <c r="A446" s="5">
        <f>IF(B446=" "," ",HYPERLINK(CONCATENATE("#metadata!",ADDRESS(INDEX($W$2:$W$1001,MATCH(ROWS($U$2:U446),$U$2:$U$1001,0),0),1)),INDEX($Z$2:$Z$1001,MATCH(ROWS($U$2:U446),$U$2:$U$1001,0),0)))</f>
        <v>0</v>
      </c>
      <c r="B446" s="4">
        <f>IF(OR(INDEX($V$2:$V$1001,MATCH(ROWS($U$2:U446),$U$2:$U$1001,0),1)&gt;=100000,INDEX($AB$1005:$AQ$1005,1,MATCH(COLUMNS($AB$1006:AB1006),$AB$1006:$AQ$1006,0))&gt;=100000), " ",IF(INDEX($AB$2:$AQ$1001,MATCH(ROWS($U$2:U446),$U$2:$U$1001,0),MATCH(COLUMNS($AB$1006:AB1006),$AB$1006:$AQ$1006,0)), HYPERLINK("#",""), HYPERLINK(CONCATENATE("#metadata!", ADDRESS(INDEX($W$2:$W$1001,MATCH(ROWS($U$2:U446),$U$2:$U$1001,0),0), INDEX($AB$1004:$AQ$1004,1,MATCH(COLUMNS($AB$1006:AB1006),$AB$1006:$AQ$1006,0)))),"Fix")))</f>
        <v>0</v>
      </c>
      <c r="C446" s="4">
        <f>IF(OR(INDEX($V$2:$V$1001,MATCH(ROWS($U$2:U446),$U$2:$U$1001,0),1)&gt;=100000,INDEX($AB$1005:$AQ$1005,1,MATCH(COLUMNS($AB$1006:AC1006),$AB$1006:$AQ$1006,0))&gt;=100000), " ",IF(INDEX($AB$2:$AQ$1001,MATCH(ROWS($U$2:U446),$U$2:$U$1001,0),MATCH(COLUMNS($AB$1006:AC1006),$AB$1006:$AQ$1006,0)), HYPERLINK("#",""), HYPERLINK(CONCATENATE("#metadata!", ADDRESS(INDEX($W$2:$W$1001,MATCH(ROWS($U$2:U446),$U$2:$U$1001,0),0), INDEX($AB$1004:$AQ$1004,1,MATCH(COLUMNS($AB$1006:AC1006),$AB$1006:$AQ$1006,0)))),"Fix")))</f>
        <v>0</v>
      </c>
      <c r="D446" s="4">
        <f>IF(OR(INDEX($V$2:$V$1001,MATCH(ROWS($U$2:U446),$U$2:$U$1001,0),1)&gt;=100000,INDEX($AB$1005:$AQ$1005,1,MATCH(COLUMNS($AB$1006:AD1006),$AB$1006:$AQ$1006,0))&gt;=100000), " ",IF(INDEX($AB$2:$AQ$1001,MATCH(ROWS($U$2:U446),$U$2:$U$1001,0),MATCH(COLUMNS($AB$1006:AD1006),$AB$1006:$AQ$1006,0)), HYPERLINK("#",""), HYPERLINK(CONCATENATE("#metadata!", ADDRESS(INDEX($W$2:$W$1001,MATCH(ROWS($U$2:U446),$U$2:$U$1001,0),0), INDEX($AB$1004:$AQ$1004,1,MATCH(COLUMNS($AB$1006:AD1006),$AB$1006:$AQ$1006,0)))),"Fix")))</f>
        <v>0</v>
      </c>
      <c r="E446" s="4">
        <f>IF(OR(INDEX($V$2:$V$1001,MATCH(ROWS($U$2:U446),$U$2:$U$1001,0),1)&gt;=100000,INDEX($AB$1005:$AQ$1005,1,MATCH(COLUMNS($AB$1006:AE1006),$AB$1006:$AQ$1006,0))&gt;=100000), " ",IF(INDEX($AB$2:$AQ$1001,MATCH(ROWS($U$2:U446),$U$2:$U$1001,0),MATCH(COLUMNS($AB$1006:AE1006),$AB$1006:$AQ$1006,0)), HYPERLINK("#",""), HYPERLINK(CONCATENATE("#metadata!", ADDRESS(INDEX($W$2:$W$1001,MATCH(ROWS($U$2:U446),$U$2:$U$1001,0),0), INDEX($AB$1004:$AQ$1004,1,MATCH(COLUMNS($AB$1006:AE1006),$AB$1006:$AQ$1006,0)))),"Fix")))</f>
        <v>0</v>
      </c>
      <c r="F446" s="4">
        <f>IF(OR(INDEX($V$2:$V$1001,MATCH(ROWS($U$2:U446),$U$2:$U$1001,0),1)&gt;=100000,INDEX($AB$1005:$AQ$1005,1,MATCH(COLUMNS($AB$1006:AF1006),$AB$1006:$AQ$1006,0))&gt;=100000), " ",IF(INDEX($AB$2:$AQ$1001,MATCH(ROWS($U$2:U446),$U$2:$U$1001,0),MATCH(COLUMNS($AB$1006:AF1006),$AB$1006:$AQ$1006,0)), HYPERLINK("#",""), HYPERLINK(CONCATENATE("#metadata!", ADDRESS(INDEX($W$2:$W$1001,MATCH(ROWS($U$2:U446),$U$2:$U$1001,0),0), INDEX($AB$1004:$AQ$1004,1,MATCH(COLUMNS($AB$1006:AF1006),$AB$1006:$AQ$1006,0)))),"Fix")))</f>
        <v>0</v>
      </c>
      <c r="G446" s="4">
        <f>IF(OR(INDEX($V$2:$V$1001,MATCH(ROWS($U$2:U446),$U$2:$U$1001,0),1)&gt;=100000,INDEX($AB$1005:$AQ$1005,1,MATCH(COLUMNS($AB$1006:AG1006),$AB$1006:$AQ$1006,0))&gt;=100000), " ",IF(INDEX($AB$2:$AQ$1001,MATCH(ROWS($U$2:U446),$U$2:$U$1001,0),MATCH(COLUMNS($AB$1006:AG1006),$AB$1006:$AQ$1006,0)), HYPERLINK("#",""), HYPERLINK(CONCATENATE("#metadata!", ADDRESS(INDEX($W$2:$W$1001,MATCH(ROWS($U$2:U446),$U$2:$U$1001,0),0), INDEX($AB$1004:$AQ$1004,1,MATCH(COLUMNS($AB$1006:AG1006),$AB$1006:$AQ$1006,0)))),"Fix")))</f>
        <v>0</v>
      </c>
      <c r="H446" s="4">
        <f>IF(OR(INDEX($V$2:$V$1001,MATCH(ROWS($U$2:U446),$U$2:$U$1001,0),1)&gt;=100000,INDEX($AB$1005:$AQ$1005,1,MATCH(COLUMNS($AB$1006:AH1006),$AB$1006:$AQ$1006,0))&gt;=100000), " ",IF(INDEX($AB$2:$AQ$1001,MATCH(ROWS($U$2:U446),$U$2:$U$1001,0),MATCH(COLUMNS($AB$1006:AH1006),$AB$1006:$AQ$1006,0)), HYPERLINK("#",""), HYPERLINK(CONCATENATE("#metadata!", ADDRESS(INDEX($W$2:$W$1001,MATCH(ROWS($U$2:U446),$U$2:$U$1001,0),0), INDEX($AB$1004:$AQ$1004,1,MATCH(COLUMNS($AB$1006:AH1006),$AB$1006:$AQ$1006,0)))),"Fix")))</f>
        <v>0</v>
      </c>
      <c r="I446" s="4">
        <f>IF(OR(INDEX($V$2:$V$1001,MATCH(ROWS($U$2:U446),$U$2:$U$1001,0),1)&gt;=100000,INDEX($AB$1005:$AQ$1005,1,MATCH(COLUMNS($AB$1006:AI1006),$AB$1006:$AQ$1006,0))&gt;=100000), " ",IF(INDEX($AB$2:$AQ$1001,MATCH(ROWS($U$2:U446),$U$2:$U$1001,0),MATCH(COLUMNS($AB$1006:AI1006),$AB$1006:$AQ$1006,0)), HYPERLINK("#",""), HYPERLINK(CONCATENATE("#metadata!", ADDRESS(INDEX($W$2:$W$1001,MATCH(ROWS($U$2:U446),$U$2:$U$1001,0),0), INDEX($AB$1004:$AQ$1004,1,MATCH(COLUMNS($AB$1006:AI1006),$AB$1006:$AQ$1006,0)))),"Fix")))</f>
        <v>0</v>
      </c>
      <c r="J446" s="4">
        <f>IF(OR(INDEX($V$2:$V$1001,MATCH(ROWS($U$2:U446),$U$2:$U$1001,0),1)&gt;=100000,INDEX($AB$1005:$AQ$1005,1,MATCH(COLUMNS($AB$1006:AJ1006),$AB$1006:$AQ$1006,0))&gt;=100000), " ",IF(INDEX($AB$2:$AQ$1001,MATCH(ROWS($U$2:U446),$U$2:$U$1001,0),MATCH(COLUMNS($AB$1006:AJ1006),$AB$1006:$AQ$1006,0)), HYPERLINK("#",""), HYPERLINK(CONCATENATE("#metadata!", ADDRESS(INDEX($W$2:$W$1001,MATCH(ROWS($U$2:U446),$U$2:$U$1001,0),0), INDEX($AB$1004:$AQ$1004,1,MATCH(COLUMNS($AB$1006:AJ1006),$AB$1006:$AQ$1006,0)))),"Fix")))</f>
        <v>0</v>
      </c>
      <c r="K446" s="4">
        <f>IF(OR(INDEX($V$2:$V$1001,MATCH(ROWS($U$2:U446),$U$2:$U$1001,0),1)&gt;=100000,INDEX($AB$1005:$AQ$1005,1,MATCH(COLUMNS($AB$1006:AK1006),$AB$1006:$AQ$1006,0))&gt;=100000), " ",IF(INDEX($AB$2:$AQ$1001,MATCH(ROWS($U$2:U446),$U$2:$U$1001,0),MATCH(COLUMNS($AB$1006:AK1006),$AB$1006:$AQ$1006,0)), HYPERLINK("#",""), HYPERLINK(CONCATENATE("#metadata!", ADDRESS(INDEX($W$2:$W$1001,MATCH(ROWS($U$2:U446),$U$2:$U$1001,0),0), INDEX($AB$1004:$AQ$1004,1,MATCH(COLUMNS($AB$1006:AK1006),$AB$1006:$AQ$1006,0)))),"Fix")))</f>
        <v>0</v>
      </c>
      <c r="L446" s="4">
        <f>IF(OR(INDEX($V$2:$V$1001,MATCH(ROWS($U$2:U446),$U$2:$U$1001,0),1)&gt;=100000,INDEX($AB$1005:$AQ$1005,1,MATCH(COLUMNS($AB$1006:AL1006),$AB$1006:$AQ$1006,0))&gt;=100000), " ",IF(INDEX($AB$2:$AQ$1001,MATCH(ROWS($U$2:U446),$U$2:$U$1001,0),MATCH(COLUMNS($AB$1006:AL1006),$AB$1006:$AQ$1006,0)), HYPERLINK("#",""), HYPERLINK(CONCATENATE("#metadata!", ADDRESS(INDEX($W$2:$W$1001,MATCH(ROWS($U$2:U446),$U$2:$U$1001,0),0), INDEX($AB$1004:$AQ$1004,1,MATCH(COLUMNS($AB$1006:AL1006),$AB$1006:$AQ$1006,0)))),"Fix")))</f>
        <v>0</v>
      </c>
      <c r="M446" s="4">
        <f>IF(OR(INDEX($V$2:$V$1001,MATCH(ROWS($U$2:U446),$U$2:$U$1001,0),1)&gt;=100000,INDEX($AB$1005:$AQ$1005,1,MATCH(COLUMNS($AB$1006:AM1006),$AB$1006:$AQ$1006,0))&gt;=100000), " ",IF(INDEX($AB$2:$AQ$1001,MATCH(ROWS($U$2:U446),$U$2:$U$1001,0),MATCH(COLUMNS($AB$1006:AM1006),$AB$1006:$AQ$1006,0)), HYPERLINK("#",""), HYPERLINK(CONCATENATE("#metadata!", ADDRESS(INDEX($W$2:$W$1001,MATCH(ROWS($U$2:U446),$U$2:$U$1001,0),0), INDEX($AB$1004:$AQ$1004,1,MATCH(COLUMNS($AB$1006:AM1006),$AB$1006:$AQ$1006,0)))),"Fix")))</f>
        <v>0</v>
      </c>
      <c r="N446" s="4">
        <f>IF(OR(INDEX($V$2:$V$1001,MATCH(ROWS($U$2:U446),$U$2:$U$1001,0),1)&gt;=100000,INDEX($AB$1005:$AQ$1005,1,MATCH(COLUMNS($AB$1006:AN1006),$AB$1006:$AQ$1006,0))&gt;=100000), " ",IF(INDEX($AB$2:$AQ$1001,MATCH(ROWS($U$2:U446),$U$2:$U$1001,0),MATCH(COLUMNS($AB$1006:AN1006),$AB$1006:$AQ$1006,0)), HYPERLINK("#",""), HYPERLINK(CONCATENATE("#metadata!", ADDRESS(INDEX($W$2:$W$1001,MATCH(ROWS($U$2:U446),$U$2:$U$1001,0),0), INDEX($AB$1004:$AQ$1004,1,MATCH(COLUMNS($AB$1006:AN1006),$AB$1006:$AQ$1006,0)))),"Fix")))</f>
        <v>0</v>
      </c>
      <c r="O446" s="4">
        <f>IF(OR(INDEX($V$2:$V$1001,MATCH(ROWS($U$2:U446),$U$2:$U$1001,0),1)&gt;=100000,INDEX($AB$1005:$AQ$1005,1,MATCH(COLUMNS($AB$1006:AO1006),$AB$1006:$AQ$1006,0))&gt;=100000), " ",IF(INDEX($AB$2:$AQ$1001,MATCH(ROWS($U$2:U446),$U$2:$U$1001,0),MATCH(COLUMNS($AB$1006:AO1006),$AB$1006:$AQ$1006,0)), HYPERLINK("#",""), HYPERLINK(CONCATENATE("#metadata!", ADDRESS(INDEX($W$2:$W$1001,MATCH(ROWS($U$2:U446),$U$2:$U$1001,0),0), INDEX($AB$1004:$AQ$1004,1,MATCH(COLUMNS($AB$1006:AO1006),$AB$1006:$AQ$1006,0)))),"Fix")))</f>
        <v>0</v>
      </c>
      <c r="P446" s="4">
        <f>IF(OR(INDEX($V$2:$V$1001,MATCH(ROWS($U$2:U446),$U$2:$U$1001,0),1)&gt;=100000,INDEX($AB$1005:$AQ$1005,1,MATCH(COLUMNS($AB$1006:AP1006),$AB$1006:$AQ$1006,0))&gt;=100000), " ",IF(INDEX($AB$2:$AQ$1001,MATCH(ROWS($U$2:U446),$U$2:$U$1001,0),MATCH(COLUMNS($AB$1006:AP1006),$AB$1006:$AQ$1006,0)), HYPERLINK("#",""), HYPERLINK(CONCATENATE("#metadata!", ADDRESS(INDEX($W$2:$W$1001,MATCH(ROWS($U$2:U446),$U$2:$U$1001,0),0), INDEX($AB$1004:$AQ$1004,1,MATCH(COLUMNS($AB$1006:AP1006),$AB$1006:$AQ$1006,0)))),"Fix")))</f>
        <v>0</v>
      </c>
      <c r="Q446" s="4">
        <f>IF(OR(INDEX($V$2:$V$1001,MATCH(ROWS($U$2:U446),$U$2:$U$1001,0),1)&gt;=100000,INDEX($AB$1005:$AQ$1005,1,MATCH(COLUMNS($AB$1006:AQ1006),$AB$1006:$AQ$1006,0))&gt;=100000), " ",IF(INDEX($AB$2:$AQ$1001,MATCH(ROWS($U$2:U446),$U$2:$U$1001,0),MATCH(COLUMNS($AB$1006:AQ1006),$AB$1006:$AQ$1006,0)), HYPERLINK("#",""), HYPERLINK(CONCATENATE("#metadata!", ADDRESS(INDEX($W$2:$W$1001,MATCH(ROWS($U$2:U446),$U$2:$U$1001,0),0), INDEX($AB$1004:$AQ$1004,1,MATCH(COLUMNS($AB$1006:AQ1006),$AB$1006:$AQ$1006,0)))),"Fix")))</f>
        <v>0</v>
      </c>
      <c r="U446">
        <v>0</v>
      </c>
      <c r="V446">
        <v>0</v>
      </c>
      <c r="W446">
        <v>0</v>
      </c>
      <c r="X446">
        <f>IF(Y446,TRUE,AND(AB446:AQ446))</f>
        <v>0</v>
      </c>
      <c r="Y446">
        <f>COUNTBLANK(metadata!B446:Q446)=COLUMNS(metadata!B446:Q446)</f>
        <v>0</v>
      </c>
      <c r="Z446">
        <v>0</v>
      </c>
      <c r="AB446">
        <f>AND(IF(metadata!B446="",FALSE,TRUE),COUNTIF(metadata!B:B, metadata!B446) = 1,NOT(ISERROR(SUMPRODUCT(SEARCH(MID(metadata!B446,ROW(INDIRECT("1:"&amp;LEN(metadata!B446))), 1),"0123456789abcdefghijklmnopqrstuvwxyzABCDEFGHIJKLMNOPQRSTUVWXYZ.")))))</f>
        <v>0</v>
      </c>
      <c r="AC446">
        <f>OR(AND(IF(metadata!C446="",FALSE,TRUE),OR(exact(metadata!C446,"missing: not collected"),exact(metadata!C446,"missing: not provided"),exact(metadata!C446,"missing: restricted access"))),AND(IF(metadata!C446="",FALSE,TRUE),AND(AND(IFERROR(INT(LEFT(metadata!C446,4))&gt;1900,FALSE),IFERROR(INT(LEFT(metadata!C446,4))&lt;=YEAR(NOW()),FALSE)), OR(MID(metadata!C446,5,1)="", AND(AND(MID(metadata!C446,5,1)="-",IFERROR(INT(MID(metadata!C446,6,1))&gt;=0,FALSE),IFERROR(INT(MID(metadata!C446,6,1))&lt;=1,FALSE),NOT(MID(metadata!C446,7,1)=""),IFERROR(INT(MID(metadata!C446,6,2))&gt;=1,FALSE),IFERROR(INT(MID(metadata!C446,6,2))&lt;=12,FALSE)), OR(MID(metadata!C446,8,1)="", AND(AND(MID(metadata!C446,8,1)="-",IFERROR(INT(MID(metadata!C446,9,1))&gt;=0,FALSE),IFERROR(INT(MID(metadata!C446,9,1))&lt;=3,FALSE),NOT(MID(metadata!C446,10,1)=""),IFERROR(INT(MID(metadata!C446,9,2))&gt;=1,FALSE),IFERROR(INT(MID(metadata!C446,9,2))&lt;=31,FALSE)), OR(MID(metadata!C446,11,1)="", AND(AND(MID(metadata!C446,11,1)=" ",IFERROR(INT(MID(metadata!C446,12,1))&gt;=0,FALSE),IFERROR(INT(MID(metadata!C446,12,1))&lt;=2,FALSE),NOT(MID(metadata!C446,13,1)=""),IFERROR(INT(MID(metadata!C446,12,2))&gt;=0,FALSE),IFERROR(INT(MID(metadata!C446,12,2))&lt;=23,FALSE)), OR(MID(metadata!C446,14,1)="", AND(AND(MID(metadata!C446,14,1)=":",IFERROR(INT(MID(metadata!C446,15,1))&gt;=0,FALSE),IFERROR(INT(MID(metadata!C446,15,1))&lt;=5,FALSE),NOT(MID(metadata!C446,16,1)=""),IFERROR(INT(MID(metadata!C446,15,2))&gt;=0,FALSE),IFERROR(INT(MID(metadata!C446,15,2))&lt;=59,FALSE)), OR(MID(metadata!C446,17,1)="", AND(AND(MID(metadata!C446,17,1)=":",IFERROR(INT(MID(metadata!C446,18,1))&gt;=0,FALSE),IFERROR(INT(MID(metadata!C446,18,1))&lt;=5,FALSE),NOT(MID(metadata!C446,19,1)=""),IFERROR(INT(MID(metadata!C446,18,2))&gt;=0,FALSE),IFERROR(INT(MID(metadata!C446,18,2))&lt;=59,FALSE)), LEN(metadata!C446)&lt;=19)))))))))))))</f>
        <v>0</v>
      </c>
      <c r="AD446">
        <f>IF(metadata!D446="",FALSE,TRUE)</f>
        <v>0</v>
      </c>
      <c r="AE446">
        <f>OR(AND(IF(metadata!E446="",FALSE,TRUE),OR(exact(metadata!E446,"missing: not collected"),exact(metadata!E446,"missing: not provided"))),AND(IF(metadata!E446="",FALSE,TRUE),OR(exact(metadata!E446,"TRUE"),exact(metadata!E446,"FALSE"))))</f>
        <v>0</v>
      </c>
      <c r="AF446">
        <f>IF(metadata!F446="",FALSE,TRUE)</f>
        <v>0</v>
      </c>
      <c r="AG446">
        <f>IF(metadata!G446="",FALSE,TRUE)</f>
        <v>0</v>
      </c>
      <c r="AH446">
        <f>IF(metadata!H446="",FALSE,TRUE)</f>
        <v>0</v>
      </c>
      <c r="AI446">
        <f>OR(AND(IF(metadata!I446="",FALSE,TRUE),OR(exact(metadata!I446,"missing: not collected"),exact(metadata!I446,"missing: not provided"),exact(metadata!I446,"missing: restricted access"))),AND(IF(metadata!I446="",FALSE,TRUE),OR(exact(metadata!I446,"air"),exact(metadata!I446,"built environment"),exact(metadata!I446,"host-associated"),exact(metadata!I446,"human-associated"),exact(metadata!I446,"human-skin"),exact(metadata!I446,"human-oral"),exact(metadata!I446,"human-gut"),exact(metadata!I446,"human-vaginal"),exact(metadata!I446,"microbial mat/biofilm"),exact(metadata!I446,"misc environment"),exact(metadata!I446,"plant-associated"),exact(metadata!I446,"sediment"),exact(metadata!I446,"soil"),exact(metadata!I446,"wastewater/sludge"),exact(metadata!I446,"water"))))</f>
        <v>0</v>
      </c>
      <c r="AJ446">
        <f>IF(metadata!J446="",FALSE,TRUE)</f>
        <v>0</v>
      </c>
      <c r="AK446">
        <f>OR(AND(IF(metadata!K446="",FALSE,TRUE),OR(exact(metadata!K446,"missing: not collected"),exact(metadata!K446,"missing: not provided"),exact(metadata!K446,"missing: restricted access"))),AND(IF(metadata!K446="",FALSE,ISNUMBER(VALUE(metadata!K446))),metadata!K446&gt;=-90.00,metadata!K446&lt;=90.00))</f>
        <v>0</v>
      </c>
      <c r="AL446">
        <f>OR(AND(IF(metadata!L446="",FALSE,TRUE),OR(exact(metadata!L446,"missing: not collected"),exact(metadata!L446,"missing: not provided"),exact(metadata!L446,"missing: restricted access"))),AND(IF(metadata!L446="",FALSE,ISNUMBER(VALUE(metadata!L446))),metadata!L446&gt;=-180.00,metadata!L446&lt;=180.00))</f>
        <v>0</v>
      </c>
      <c r="AM446">
        <f>IF(metadata!M446="",FALSE,TRUE)</f>
        <v>0</v>
      </c>
      <c r="AN446">
        <f>OR(AND(IF(metadata!N446="",FALSE,TRUE),OR(exact(metadata!N446,"missing: not collected"),exact(metadata!N446,"missing: not provided"),exact(metadata!N446,"missing: restricted access"))),AND(IF(metadata!N446="",FALSE,TRUE),OR(exact(metadata!N446,"TRUE"),exact(metadata!N446,"FALSE"))))</f>
        <v>0</v>
      </c>
      <c r="AO446">
        <f>IF(metadata!O446="",FALSE,TRUE)</f>
        <v>0</v>
      </c>
      <c r="AP446">
        <f>OR(AND(IF(metadata!P446="",FALSE,TRUE),OR(exact(metadata!P446,"missing: not collected"),exact(metadata!P446,"missing: not provided"))),AND(IF(metadata!P446="",FALSE,IF(ISERROR(INT(metadata!P446)),FALSE,INT(metadata!P446)=metadata!P446)),metadata!P446&gt;0))</f>
        <v>0</v>
      </c>
      <c r="AQ446">
        <f>IF(metadata!Q446="",FALSE,TRUE)</f>
        <v>0</v>
      </c>
    </row>
    <row r="447" spans="1:43">
      <c r="A447" s="5">
        <f>IF(B447=" "," ",HYPERLINK(CONCATENATE("#metadata!",ADDRESS(INDEX($W$2:$W$1001,MATCH(ROWS($U$2:U447),$U$2:$U$1001,0),0),1)),INDEX($Z$2:$Z$1001,MATCH(ROWS($U$2:U447),$U$2:$U$1001,0),0)))</f>
        <v>0</v>
      </c>
      <c r="B447" s="4">
        <f>IF(OR(INDEX($V$2:$V$1001,MATCH(ROWS($U$2:U447),$U$2:$U$1001,0),1)&gt;=100000,INDEX($AB$1005:$AQ$1005,1,MATCH(COLUMNS($AB$1006:AB1006),$AB$1006:$AQ$1006,0))&gt;=100000), " ",IF(INDEX($AB$2:$AQ$1001,MATCH(ROWS($U$2:U447),$U$2:$U$1001,0),MATCH(COLUMNS($AB$1006:AB1006),$AB$1006:$AQ$1006,0)), HYPERLINK("#",""), HYPERLINK(CONCATENATE("#metadata!", ADDRESS(INDEX($W$2:$W$1001,MATCH(ROWS($U$2:U447),$U$2:$U$1001,0),0), INDEX($AB$1004:$AQ$1004,1,MATCH(COLUMNS($AB$1006:AB1006),$AB$1006:$AQ$1006,0)))),"Fix")))</f>
        <v>0</v>
      </c>
      <c r="C447" s="4">
        <f>IF(OR(INDEX($V$2:$V$1001,MATCH(ROWS($U$2:U447),$U$2:$U$1001,0),1)&gt;=100000,INDEX($AB$1005:$AQ$1005,1,MATCH(COLUMNS($AB$1006:AC1006),$AB$1006:$AQ$1006,0))&gt;=100000), " ",IF(INDEX($AB$2:$AQ$1001,MATCH(ROWS($U$2:U447),$U$2:$U$1001,0),MATCH(COLUMNS($AB$1006:AC1006),$AB$1006:$AQ$1006,0)), HYPERLINK("#",""), HYPERLINK(CONCATENATE("#metadata!", ADDRESS(INDEX($W$2:$W$1001,MATCH(ROWS($U$2:U447),$U$2:$U$1001,0),0), INDEX($AB$1004:$AQ$1004,1,MATCH(COLUMNS($AB$1006:AC1006),$AB$1006:$AQ$1006,0)))),"Fix")))</f>
        <v>0</v>
      </c>
      <c r="D447" s="4">
        <f>IF(OR(INDEX($V$2:$V$1001,MATCH(ROWS($U$2:U447),$U$2:$U$1001,0),1)&gt;=100000,INDEX($AB$1005:$AQ$1005,1,MATCH(COLUMNS($AB$1006:AD1006),$AB$1006:$AQ$1006,0))&gt;=100000), " ",IF(INDEX($AB$2:$AQ$1001,MATCH(ROWS($U$2:U447),$U$2:$U$1001,0),MATCH(COLUMNS($AB$1006:AD1006),$AB$1006:$AQ$1006,0)), HYPERLINK("#",""), HYPERLINK(CONCATENATE("#metadata!", ADDRESS(INDEX($W$2:$W$1001,MATCH(ROWS($U$2:U447),$U$2:$U$1001,0),0), INDEX($AB$1004:$AQ$1004,1,MATCH(COLUMNS($AB$1006:AD1006),$AB$1006:$AQ$1006,0)))),"Fix")))</f>
        <v>0</v>
      </c>
      <c r="E447" s="4">
        <f>IF(OR(INDEX($V$2:$V$1001,MATCH(ROWS($U$2:U447),$U$2:$U$1001,0),1)&gt;=100000,INDEX($AB$1005:$AQ$1005,1,MATCH(COLUMNS($AB$1006:AE1006),$AB$1006:$AQ$1006,0))&gt;=100000), " ",IF(INDEX($AB$2:$AQ$1001,MATCH(ROWS($U$2:U447),$U$2:$U$1001,0),MATCH(COLUMNS($AB$1006:AE1006),$AB$1006:$AQ$1006,0)), HYPERLINK("#",""), HYPERLINK(CONCATENATE("#metadata!", ADDRESS(INDEX($W$2:$W$1001,MATCH(ROWS($U$2:U447),$U$2:$U$1001,0),0), INDEX($AB$1004:$AQ$1004,1,MATCH(COLUMNS($AB$1006:AE1006),$AB$1006:$AQ$1006,0)))),"Fix")))</f>
        <v>0</v>
      </c>
      <c r="F447" s="4">
        <f>IF(OR(INDEX($V$2:$V$1001,MATCH(ROWS($U$2:U447),$U$2:$U$1001,0),1)&gt;=100000,INDEX($AB$1005:$AQ$1005,1,MATCH(COLUMNS($AB$1006:AF1006),$AB$1006:$AQ$1006,0))&gt;=100000), " ",IF(INDEX($AB$2:$AQ$1001,MATCH(ROWS($U$2:U447),$U$2:$U$1001,0),MATCH(COLUMNS($AB$1006:AF1006),$AB$1006:$AQ$1006,0)), HYPERLINK("#",""), HYPERLINK(CONCATENATE("#metadata!", ADDRESS(INDEX($W$2:$W$1001,MATCH(ROWS($U$2:U447),$U$2:$U$1001,0),0), INDEX($AB$1004:$AQ$1004,1,MATCH(COLUMNS($AB$1006:AF1006),$AB$1006:$AQ$1006,0)))),"Fix")))</f>
        <v>0</v>
      </c>
      <c r="G447" s="4">
        <f>IF(OR(INDEX($V$2:$V$1001,MATCH(ROWS($U$2:U447),$U$2:$U$1001,0),1)&gt;=100000,INDEX($AB$1005:$AQ$1005,1,MATCH(COLUMNS($AB$1006:AG1006),$AB$1006:$AQ$1006,0))&gt;=100000), " ",IF(INDEX($AB$2:$AQ$1001,MATCH(ROWS($U$2:U447),$U$2:$U$1001,0),MATCH(COLUMNS($AB$1006:AG1006),$AB$1006:$AQ$1006,0)), HYPERLINK("#",""), HYPERLINK(CONCATENATE("#metadata!", ADDRESS(INDEX($W$2:$W$1001,MATCH(ROWS($U$2:U447),$U$2:$U$1001,0),0), INDEX($AB$1004:$AQ$1004,1,MATCH(COLUMNS($AB$1006:AG1006),$AB$1006:$AQ$1006,0)))),"Fix")))</f>
        <v>0</v>
      </c>
      <c r="H447" s="4">
        <f>IF(OR(INDEX($V$2:$V$1001,MATCH(ROWS($U$2:U447),$U$2:$U$1001,0),1)&gt;=100000,INDEX($AB$1005:$AQ$1005,1,MATCH(COLUMNS($AB$1006:AH1006),$AB$1006:$AQ$1006,0))&gt;=100000), " ",IF(INDEX($AB$2:$AQ$1001,MATCH(ROWS($U$2:U447),$U$2:$U$1001,0),MATCH(COLUMNS($AB$1006:AH1006),$AB$1006:$AQ$1006,0)), HYPERLINK("#",""), HYPERLINK(CONCATENATE("#metadata!", ADDRESS(INDEX($W$2:$W$1001,MATCH(ROWS($U$2:U447),$U$2:$U$1001,0),0), INDEX($AB$1004:$AQ$1004,1,MATCH(COLUMNS($AB$1006:AH1006),$AB$1006:$AQ$1006,0)))),"Fix")))</f>
        <v>0</v>
      </c>
      <c r="I447" s="4">
        <f>IF(OR(INDEX($V$2:$V$1001,MATCH(ROWS($U$2:U447),$U$2:$U$1001,0),1)&gt;=100000,INDEX($AB$1005:$AQ$1005,1,MATCH(COLUMNS($AB$1006:AI1006),$AB$1006:$AQ$1006,0))&gt;=100000), " ",IF(INDEX($AB$2:$AQ$1001,MATCH(ROWS($U$2:U447),$U$2:$U$1001,0),MATCH(COLUMNS($AB$1006:AI1006),$AB$1006:$AQ$1006,0)), HYPERLINK("#",""), HYPERLINK(CONCATENATE("#metadata!", ADDRESS(INDEX($W$2:$W$1001,MATCH(ROWS($U$2:U447),$U$2:$U$1001,0),0), INDEX($AB$1004:$AQ$1004,1,MATCH(COLUMNS($AB$1006:AI1006),$AB$1006:$AQ$1006,0)))),"Fix")))</f>
        <v>0</v>
      </c>
      <c r="J447" s="4">
        <f>IF(OR(INDEX($V$2:$V$1001,MATCH(ROWS($U$2:U447),$U$2:$U$1001,0),1)&gt;=100000,INDEX($AB$1005:$AQ$1005,1,MATCH(COLUMNS($AB$1006:AJ1006),$AB$1006:$AQ$1006,0))&gt;=100000), " ",IF(INDEX($AB$2:$AQ$1001,MATCH(ROWS($U$2:U447),$U$2:$U$1001,0),MATCH(COLUMNS($AB$1006:AJ1006),$AB$1006:$AQ$1006,0)), HYPERLINK("#",""), HYPERLINK(CONCATENATE("#metadata!", ADDRESS(INDEX($W$2:$W$1001,MATCH(ROWS($U$2:U447),$U$2:$U$1001,0),0), INDEX($AB$1004:$AQ$1004,1,MATCH(COLUMNS($AB$1006:AJ1006),$AB$1006:$AQ$1006,0)))),"Fix")))</f>
        <v>0</v>
      </c>
      <c r="K447" s="4">
        <f>IF(OR(INDEX($V$2:$V$1001,MATCH(ROWS($U$2:U447),$U$2:$U$1001,0),1)&gt;=100000,INDEX($AB$1005:$AQ$1005,1,MATCH(COLUMNS($AB$1006:AK1006),$AB$1006:$AQ$1006,0))&gt;=100000), " ",IF(INDEX($AB$2:$AQ$1001,MATCH(ROWS($U$2:U447),$U$2:$U$1001,0),MATCH(COLUMNS($AB$1006:AK1006),$AB$1006:$AQ$1006,0)), HYPERLINK("#",""), HYPERLINK(CONCATENATE("#metadata!", ADDRESS(INDEX($W$2:$W$1001,MATCH(ROWS($U$2:U447),$U$2:$U$1001,0),0), INDEX($AB$1004:$AQ$1004,1,MATCH(COLUMNS($AB$1006:AK1006),$AB$1006:$AQ$1006,0)))),"Fix")))</f>
        <v>0</v>
      </c>
      <c r="L447" s="4">
        <f>IF(OR(INDEX($V$2:$V$1001,MATCH(ROWS($U$2:U447),$U$2:$U$1001,0),1)&gt;=100000,INDEX($AB$1005:$AQ$1005,1,MATCH(COLUMNS($AB$1006:AL1006),$AB$1006:$AQ$1006,0))&gt;=100000), " ",IF(INDEX($AB$2:$AQ$1001,MATCH(ROWS($U$2:U447),$U$2:$U$1001,0),MATCH(COLUMNS($AB$1006:AL1006),$AB$1006:$AQ$1006,0)), HYPERLINK("#",""), HYPERLINK(CONCATENATE("#metadata!", ADDRESS(INDEX($W$2:$W$1001,MATCH(ROWS($U$2:U447),$U$2:$U$1001,0),0), INDEX($AB$1004:$AQ$1004,1,MATCH(COLUMNS($AB$1006:AL1006),$AB$1006:$AQ$1006,0)))),"Fix")))</f>
        <v>0</v>
      </c>
      <c r="M447" s="4">
        <f>IF(OR(INDEX($V$2:$V$1001,MATCH(ROWS($U$2:U447),$U$2:$U$1001,0),1)&gt;=100000,INDEX($AB$1005:$AQ$1005,1,MATCH(COLUMNS($AB$1006:AM1006),$AB$1006:$AQ$1006,0))&gt;=100000), " ",IF(INDEX($AB$2:$AQ$1001,MATCH(ROWS($U$2:U447),$U$2:$U$1001,0),MATCH(COLUMNS($AB$1006:AM1006),$AB$1006:$AQ$1006,0)), HYPERLINK("#",""), HYPERLINK(CONCATENATE("#metadata!", ADDRESS(INDEX($W$2:$W$1001,MATCH(ROWS($U$2:U447),$U$2:$U$1001,0),0), INDEX($AB$1004:$AQ$1004,1,MATCH(COLUMNS($AB$1006:AM1006),$AB$1006:$AQ$1006,0)))),"Fix")))</f>
        <v>0</v>
      </c>
      <c r="N447" s="4">
        <f>IF(OR(INDEX($V$2:$V$1001,MATCH(ROWS($U$2:U447),$U$2:$U$1001,0),1)&gt;=100000,INDEX($AB$1005:$AQ$1005,1,MATCH(COLUMNS($AB$1006:AN1006),$AB$1006:$AQ$1006,0))&gt;=100000), " ",IF(INDEX($AB$2:$AQ$1001,MATCH(ROWS($U$2:U447),$U$2:$U$1001,0),MATCH(COLUMNS($AB$1006:AN1006),$AB$1006:$AQ$1006,0)), HYPERLINK("#",""), HYPERLINK(CONCATENATE("#metadata!", ADDRESS(INDEX($W$2:$W$1001,MATCH(ROWS($U$2:U447),$U$2:$U$1001,0),0), INDEX($AB$1004:$AQ$1004,1,MATCH(COLUMNS($AB$1006:AN1006),$AB$1006:$AQ$1006,0)))),"Fix")))</f>
        <v>0</v>
      </c>
      <c r="O447" s="4">
        <f>IF(OR(INDEX($V$2:$V$1001,MATCH(ROWS($U$2:U447),$U$2:$U$1001,0),1)&gt;=100000,INDEX($AB$1005:$AQ$1005,1,MATCH(COLUMNS($AB$1006:AO1006),$AB$1006:$AQ$1006,0))&gt;=100000), " ",IF(INDEX($AB$2:$AQ$1001,MATCH(ROWS($U$2:U447),$U$2:$U$1001,0),MATCH(COLUMNS($AB$1006:AO1006),$AB$1006:$AQ$1006,0)), HYPERLINK("#",""), HYPERLINK(CONCATENATE("#metadata!", ADDRESS(INDEX($W$2:$W$1001,MATCH(ROWS($U$2:U447),$U$2:$U$1001,0),0), INDEX($AB$1004:$AQ$1004,1,MATCH(COLUMNS($AB$1006:AO1006),$AB$1006:$AQ$1006,0)))),"Fix")))</f>
        <v>0</v>
      </c>
      <c r="P447" s="4">
        <f>IF(OR(INDEX($V$2:$V$1001,MATCH(ROWS($U$2:U447),$U$2:$U$1001,0),1)&gt;=100000,INDEX($AB$1005:$AQ$1005,1,MATCH(COLUMNS($AB$1006:AP1006),$AB$1006:$AQ$1006,0))&gt;=100000), " ",IF(INDEX($AB$2:$AQ$1001,MATCH(ROWS($U$2:U447),$U$2:$U$1001,0),MATCH(COLUMNS($AB$1006:AP1006),$AB$1006:$AQ$1006,0)), HYPERLINK("#",""), HYPERLINK(CONCATENATE("#metadata!", ADDRESS(INDEX($W$2:$W$1001,MATCH(ROWS($U$2:U447),$U$2:$U$1001,0),0), INDEX($AB$1004:$AQ$1004,1,MATCH(COLUMNS($AB$1006:AP1006),$AB$1006:$AQ$1006,0)))),"Fix")))</f>
        <v>0</v>
      </c>
      <c r="Q447" s="4">
        <f>IF(OR(INDEX($V$2:$V$1001,MATCH(ROWS($U$2:U447),$U$2:$U$1001,0),1)&gt;=100000,INDEX($AB$1005:$AQ$1005,1,MATCH(COLUMNS($AB$1006:AQ1006),$AB$1006:$AQ$1006,0))&gt;=100000), " ",IF(INDEX($AB$2:$AQ$1001,MATCH(ROWS($U$2:U447),$U$2:$U$1001,0),MATCH(COLUMNS($AB$1006:AQ1006),$AB$1006:$AQ$1006,0)), HYPERLINK("#",""), HYPERLINK(CONCATENATE("#metadata!", ADDRESS(INDEX($W$2:$W$1001,MATCH(ROWS($U$2:U447),$U$2:$U$1001,0),0), INDEX($AB$1004:$AQ$1004,1,MATCH(COLUMNS($AB$1006:AQ1006),$AB$1006:$AQ$1006,0)))),"Fix")))</f>
        <v>0</v>
      </c>
      <c r="U447">
        <v>0</v>
      </c>
      <c r="V447">
        <v>0</v>
      </c>
      <c r="W447">
        <v>0</v>
      </c>
      <c r="X447">
        <f>IF(Y447,TRUE,AND(AB447:AQ447))</f>
        <v>0</v>
      </c>
      <c r="Y447">
        <f>COUNTBLANK(metadata!B447:Q447)=COLUMNS(metadata!B447:Q447)</f>
        <v>0</v>
      </c>
      <c r="Z447">
        <v>0</v>
      </c>
      <c r="AB447">
        <f>AND(IF(metadata!B447="",FALSE,TRUE),COUNTIF(metadata!B:B, metadata!B447) = 1,NOT(ISERROR(SUMPRODUCT(SEARCH(MID(metadata!B447,ROW(INDIRECT("1:"&amp;LEN(metadata!B447))), 1),"0123456789abcdefghijklmnopqrstuvwxyzABCDEFGHIJKLMNOPQRSTUVWXYZ.")))))</f>
        <v>0</v>
      </c>
      <c r="AC447">
        <f>OR(AND(IF(metadata!C447="",FALSE,TRUE),OR(exact(metadata!C447,"missing: not collected"),exact(metadata!C447,"missing: not provided"),exact(metadata!C447,"missing: restricted access"))),AND(IF(metadata!C447="",FALSE,TRUE),AND(AND(IFERROR(INT(LEFT(metadata!C447,4))&gt;1900,FALSE),IFERROR(INT(LEFT(metadata!C447,4))&lt;=YEAR(NOW()),FALSE)), OR(MID(metadata!C447,5,1)="", AND(AND(MID(metadata!C447,5,1)="-",IFERROR(INT(MID(metadata!C447,6,1))&gt;=0,FALSE),IFERROR(INT(MID(metadata!C447,6,1))&lt;=1,FALSE),NOT(MID(metadata!C447,7,1)=""),IFERROR(INT(MID(metadata!C447,6,2))&gt;=1,FALSE),IFERROR(INT(MID(metadata!C447,6,2))&lt;=12,FALSE)), OR(MID(metadata!C447,8,1)="", AND(AND(MID(metadata!C447,8,1)="-",IFERROR(INT(MID(metadata!C447,9,1))&gt;=0,FALSE),IFERROR(INT(MID(metadata!C447,9,1))&lt;=3,FALSE),NOT(MID(metadata!C447,10,1)=""),IFERROR(INT(MID(metadata!C447,9,2))&gt;=1,FALSE),IFERROR(INT(MID(metadata!C447,9,2))&lt;=31,FALSE)), OR(MID(metadata!C447,11,1)="", AND(AND(MID(metadata!C447,11,1)=" ",IFERROR(INT(MID(metadata!C447,12,1))&gt;=0,FALSE),IFERROR(INT(MID(metadata!C447,12,1))&lt;=2,FALSE),NOT(MID(metadata!C447,13,1)=""),IFERROR(INT(MID(metadata!C447,12,2))&gt;=0,FALSE),IFERROR(INT(MID(metadata!C447,12,2))&lt;=23,FALSE)), OR(MID(metadata!C447,14,1)="", AND(AND(MID(metadata!C447,14,1)=":",IFERROR(INT(MID(metadata!C447,15,1))&gt;=0,FALSE),IFERROR(INT(MID(metadata!C447,15,1))&lt;=5,FALSE),NOT(MID(metadata!C447,16,1)=""),IFERROR(INT(MID(metadata!C447,15,2))&gt;=0,FALSE),IFERROR(INT(MID(metadata!C447,15,2))&lt;=59,FALSE)), OR(MID(metadata!C447,17,1)="", AND(AND(MID(metadata!C447,17,1)=":",IFERROR(INT(MID(metadata!C447,18,1))&gt;=0,FALSE),IFERROR(INT(MID(metadata!C447,18,1))&lt;=5,FALSE),NOT(MID(metadata!C447,19,1)=""),IFERROR(INT(MID(metadata!C447,18,2))&gt;=0,FALSE),IFERROR(INT(MID(metadata!C447,18,2))&lt;=59,FALSE)), LEN(metadata!C447)&lt;=19)))))))))))))</f>
        <v>0</v>
      </c>
      <c r="AD447">
        <f>IF(metadata!D447="",FALSE,TRUE)</f>
        <v>0</v>
      </c>
      <c r="AE447">
        <f>OR(AND(IF(metadata!E447="",FALSE,TRUE),OR(exact(metadata!E447,"missing: not collected"),exact(metadata!E447,"missing: not provided"))),AND(IF(metadata!E447="",FALSE,TRUE),OR(exact(metadata!E447,"TRUE"),exact(metadata!E447,"FALSE"))))</f>
        <v>0</v>
      </c>
      <c r="AF447">
        <f>IF(metadata!F447="",FALSE,TRUE)</f>
        <v>0</v>
      </c>
      <c r="AG447">
        <f>IF(metadata!G447="",FALSE,TRUE)</f>
        <v>0</v>
      </c>
      <c r="AH447">
        <f>IF(metadata!H447="",FALSE,TRUE)</f>
        <v>0</v>
      </c>
      <c r="AI447">
        <f>OR(AND(IF(metadata!I447="",FALSE,TRUE),OR(exact(metadata!I447,"missing: not collected"),exact(metadata!I447,"missing: not provided"),exact(metadata!I447,"missing: restricted access"))),AND(IF(metadata!I447="",FALSE,TRUE),OR(exact(metadata!I447,"air"),exact(metadata!I447,"built environment"),exact(metadata!I447,"host-associated"),exact(metadata!I447,"human-associated"),exact(metadata!I447,"human-skin"),exact(metadata!I447,"human-oral"),exact(metadata!I447,"human-gut"),exact(metadata!I447,"human-vaginal"),exact(metadata!I447,"microbial mat/biofilm"),exact(metadata!I447,"misc environment"),exact(metadata!I447,"plant-associated"),exact(metadata!I447,"sediment"),exact(metadata!I447,"soil"),exact(metadata!I447,"wastewater/sludge"),exact(metadata!I447,"water"))))</f>
        <v>0</v>
      </c>
      <c r="AJ447">
        <f>IF(metadata!J447="",FALSE,TRUE)</f>
        <v>0</v>
      </c>
      <c r="AK447">
        <f>OR(AND(IF(metadata!K447="",FALSE,TRUE),OR(exact(metadata!K447,"missing: not collected"),exact(metadata!K447,"missing: not provided"),exact(metadata!K447,"missing: restricted access"))),AND(IF(metadata!K447="",FALSE,ISNUMBER(VALUE(metadata!K447))),metadata!K447&gt;=-90.00,metadata!K447&lt;=90.00))</f>
        <v>0</v>
      </c>
      <c r="AL447">
        <f>OR(AND(IF(metadata!L447="",FALSE,TRUE),OR(exact(metadata!L447,"missing: not collected"),exact(metadata!L447,"missing: not provided"),exact(metadata!L447,"missing: restricted access"))),AND(IF(metadata!L447="",FALSE,ISNUMBER(VALUE(metadata!L447))),metadata!L447&gt;=-180.00,metadata!L447&lt;=180.00))</f>
        <v>0</v>
      </c>
      <c r="AM447">
        <f>IF(metadata!M447="",FALSE,TRUE)</f>
        <v>0</v>
      </c>
      <c r="AN447">
        <f>OR(AND(IF(metadata!N447="",FALSE,TRUE),OR(exact(metadata!N447,"missing: not collected"),exact(metadata!N447,"missing: not provided"),exact(metadata!N447,"missing: restricted access"))),AND(IF(metadata!N447="",FALSE,TRUE),OR(exact(metadata!N447,"TRUE"),exact(metadata!N447,"FALSE"))))</f>
        <v>0</v>
      </c>
      <c r="AO447">
        <f>IF(metadata!O447="",FALSE,TRUE)</f>
        <v>0</v>
      </c>
      <c r="AP447">
        <f>OR(AND(IF(metadata!P447="",FALSE,TRUE),OR(exact(metadata!P447,"missing: not collected"),exact(metadata!P447,"missing: not provided"))),AND(IF(metadata!P447="",FALSE,IF(ISERROR(INT(metadata!P447)),FALSE,INT(metadata!P447)=metadata!P447)),metadata!P447&gt;0))</f>
        <v>0</v>
      </c>
      <c r="AQ447">
        <f>IF(metadata!Q447="",FALSE,TRUE)</f>
        <v>0</v>
      </c>
    </row>
    <row r="448" spans="1:43">
      <c r="A448" s="5">
        <f>IF(B448=" "," ",HYPERLINK(CONCATENATE("#metadata!",ADDRESS(INDEX($W$2:$W$1001,MATCH(ROWS($U$2:U448),$U$2:$U$1001,0),0),1)),INDEX($Z$2:$Z$1001,MATCH(ROWS($U$2:U448),$U$2:$U$1001,0),0)))</f>
        <v>0</v>
      </c>
      <c r="B448" s="4">
        <f>IF(OR(INDEX($V$2:$V$1001,MATCH(ROWS($U$2:U448),$U$2:$U$1001,0),1)&gt;=100000,INDEX($AB$1005:$AQ$1005,1,MATCH(COLUMNS($AB$1006:AB1006),$AB$1006:$AQ$1006,0))&gt;=100000), " ",IF(INDEX($AB$2:$AQ$1001,MATCH(ROWS($U$2:U448),$U$2:$U$1001,0),MATCH(COLUMNS($AB$1006:AB1006),$AB$1006:$AQ$1006,0)), HYPERLINK("#",""), HYPERLINK(CONCATENATE("#metadata!", ADDRESS(INDEX($W$2:$W$1001,MATCH(ROWS($U$2:U448),$U$2:$U$1001,0),0), INDEX($AB$1004:$AQ$1004,1,MATCH(COLUMNS($AB$1006:AB1006),$AB$1006:$AQ$1006,0)))),"Fix")))</f>
        <v>0</v>
      </c>
      <c r="C448" s="4">
        <f>IF(OR(INDEX($V$2:$V$1001,MATCH(ROWS($U$2:U448),$U$2:$U$1001,0),1)&gt;=100000,INDEX($AB$1005:$AQ$1005,1,MATCH(COLUMNS($AB$1006:AC1006),$AB$1006:$AQ$1006,0))&gt;=100000), " ",IF(INDEX($AB$2:$AQ$1001,MATCH(ROWS($U$2:U448),$U$2:$U$1001,0),MATCH(COLUMNS($AB$1006:AC1006),$AB$1006:$AQ$1006,0)), HYPERLINK("#",""), HYPERLINK(CONCATENATE("#metadata!", ADDRESS(INDEX($W$2:$W$1001,MATCH(ROWS($U$2:U448),$U$2:$U$1001,0),0), INDEX($AB$1004:$AQ$1004,1,MATCH(COLUMNS($AB$1006:AC1006),$AB$1006:$AQ$1006,0)))),"Fix")))</f>
        <v>0</v>
      </c>
      <c r="D448" s="4">
        <f>IF(OR(INDEX($V$2:$V$1001,MATCH(ROWS($U$2:U448),$U$2:$U$1001,0),1)&gt;=100000,INDEX($AB$1005:$AQ$1005,1,MATCH(COLUMNS($AB$1006:AD1006),$AB$1006:$AQ$1006,0))&gt;=100000), " ",IF(INDEX($AB$2:$AQ$1001,MATCH(ROWS($U$2:U448),$U$2:$U$1001,0),MATCH(COLUMNS($AB$1006:AD1006),$AB$1006:$AQ$1006,0)), HYPERLINK("#",""), HYPERLINK(CONCATENATE("#metadata!", ADDRESS(INDEX($W$2:$W$1001,MATCH(ROWS($U$2:U448),$U$2:$U$1001,0),0), INDEX($AB$1004:$AQ$1004,1,MATCH(COLUMNS($AB$1006:AD1006),$AB$1006:$AQ$1006,0)))),"Fix")))</f>
        <v>0</v>
      </c>
      <c r="E448" s="4">
        <f>IF(OR(INDEX($V$2:$V$1001,MATCH(ROWS($U$2:U448),$U$2:$U$1001,0),1)&gt;=100000,INDEX($AB$1005:$AQ$1005,1,MATCH(COLUMNS($AB$1006:AE1006),$AB$1006:$AQ$1006,0))&gt;=100000), " ",IF(INDEX($AB$2:$AQ$1001,MATCH(ROWS($U$2:U448),$U$2:$U$1001,0),MATCH(COLUMNS($AB$1006:AE1006),$AB$1006:$AQ$1006,0)), HYPERLINK("#",""), HYPERLINK(CONCATENATE("#metadata!", ADDRESS(INDEX($W$2:$W$1001,MATCH(ROWS($U$2:U448),$U$2:$U$1001,0),0), INDEX($AB$1004:$AQ$1004,1,MATCH(COLUMNS($AB$1006:AE1006),$AB$1006:$AQ$1006,0)))),"Fix")))</f>
        <v>0</v>
      </c>
      <c r="F448" s="4">
        <f>IF(OR(INDEX($V$2:$V$1001,MATCH(ROWS($U$2:U448),$U$2:$U$1001,0),1)&gt;=100000,INDEX($AB$1005:$AQ$1005,1,MATCH(COLUMNS($AB$1006:AF1006),$AB$1006:$AQ$1006,0))&gt;=100000), " ",IF(INDEX($AB$2:$AQ$1001,MATCH(ROWS($U$2:U448),$U$2:$U$1001,0),MATCH(COLUMNS($AB$1006:AF1006),$AB$1006:$AQ$1006,0)), HYPERLINK("#",""), HYPERLINK(CONCATENATE("#metadata!", ADDRESS(INDEX($W$2:$W$1001,MATCH(ROWS($U$2:U448),$U$2:$U$1001,0),0), INDEX($AB$1004:$AQ$1004,1,MATCH(COLUMNS($AB$1006:AF1006),$AB$1006:$AQ$1006,0)))),"Fix")))</f>
        <v>0</v>
      </c>
      <c r="G448" s="4">
        <f>IF(OR(INDEX($V$2:$V$1001,MATCH(ROWS($U$2:U448),$U$2:$U$1001,0),1)&gt;=100000,INDEX($AB$1005:$AQ$1005,1,MATCH(COLUMNS($AB$1006:AG1006),$AB$1006:$AQ$1006,0))&gt;=100000), " ",IF(INDEX($AB$2:$AQ$1001,MATCH(ROWS($U$2:U448),$U$2:$U$1001,0),MATCH(COLUMNS($AB$1006:AG1006),$AB$1006:$AQ$1006,0)), HYPERLINK("#",""), HYPERLINK(CONCATENATE("#metadata!", ADDRESS(INDEX($W$2:$W$1001,MATCH(ROWS($U$2:U448),$U$2:$U$1001,0),0), INDEX($AB$1004:$AQ$1004,1,MATCH(COLUMNS($AB$1006:AG1006),$AB$1006:$AQ$1006,0)))),"Fix")))</f>
        <v>0</v>
      </c>
      <c r="H448" s="4">
        <f>IF(OR(INDEX($V$2:$V$1001,MATCH(ROWS($U$2:U448),$U$2:$U$1001,0),1)&gt;=100000,INDEX($AB$1005:$AQ$1005,1,MATCH(COLUMNS($AB$1006:AH1006),$AB$1006:$AQ$1006,0))&gt;=100000), " ",IF(INDEX($AB$2:$AQ$1001,MATCH(ROWS($U$2:U448),$U$2:$U$1001,0),MATCH(COLUMNS($AB$1006:AH1006),$AB$1006:$AQ$1006,0)), HYPERLINK("#",""), HYPERLINK(CONCATENATE("#metadata!", ADDRESS(INDEX($W$2:$W$1001,MATCH(ROWS($U$2:U448),$U$2:$U$1001,0),0), INDEX($AB$1004:$AQ$1004,1,MATCH(COLUMNS($AB$1006:AH1006),$AB$1006:$AQ$1006,0)))),"Fix")))</f>
        <v>0</v>
      </c>
      <c r="I448" s="4">
        <f>IF(OR(INDEX($V$2:$V$1001,MATCH(ROWS($U$2:U448),$U$2:$U$1001,0),1)&gt;=100000,INDEX($AB$1005:$AQ$1005,1,MATCH(COLUMNS($AB$1006:AI1006),$AB$1006:$AQ$1006,0))&gt;=100000), " ",IF(INDEX($AB$2:$AQ$1001,MATCH(ROWS($U$2:U448),$U$2:$U$1001,0),MATCH(COLUMNS($AB$1006:AI1006),$AB$1006:$AQ$1006,0)), HYPERLINK("#",""), HYPERLINK(CONCATENATE("#metadata!", ADDRESS(INDEX($W$2:$W$1001,MATCH(ROWS($U$2:U448),$U$2:$U$1001,0),0), INDEX($AB$1004:$AQ$1004,1,MATCH(COLUMNS($AB$1006:AI1006),$AB$1006:$AQ$1006,0)))),"Fix")))</f>
        <v>0</v>
      </c>
      <c r="J448" s="4">
        <f>IF(OR(INDEX($V$2:$V$1001,MATCH(ROWS($U$2:U448),$U$2:$U$1001,0),1)&gt;=100000,INDEX($AB$1005:$AQ$1005,1,MATCH(COLUMNS($AB$1006:AJ1006),$AB$1006:$AQ$1006,0))&gt;=100000), " ",IF(INDEX($AB$2:$AQ$1001,MATCH(ROWS($U$2:U448),$U$2:$U$1001,0),MATCH(COLUMNS($AB$1006:AJ1006),$AB$1006:$AQ$1006,0)), HYPERLINK("#",""), HYPERLINK(CONCATENATE("#metadata!", ADDRESS(INDEX($W$2:$W$1001,MATCH(ROWS($U$2:U448),$U$2:$U$1001,0),0), INDEX($AB$1004:$AQ$1004,1,MATCH(COLUMNS($AB$1006:AJ1006),$AB$1006:$AQ$1006,0)))),"Fix")))</f>
        <v>0</v>
      </c>
      <c r="K448" s="4">
        <f>IF(OR(INDEX($V$2:$V$1001,MATCH(ROWS($U$2:U448),$U$2:$U$1001,0),1)&gt;=100000,INDEX($AB$1005:$AQ$1005,1,MATCH(COLUMNS($AB$1006:AK1006),$AB$1006:$AQ$1006,0))&gt;=100000), " ",IF(INDEX($AB$2:$AQ$1001,MATCH(ROWS($U$2:U448),$U$2:$U$1001,0),MATCH(COLUMNS($AB$1006:AK1006),$AB$1006:$AQ$1006,0)), HYPERLINK("#",""), HYPERLINK(CONCATENATE("#metadata!", ADDRESS(INDEX($W$2:$W$1001,MATCH(ROWS($U$2:U448),$U$2:$U$1001,0),0), INDEX($AB$1004:$AQ$1004,1,MATCH(COLUMNS($AB$1006:AK1006),$AB$1006:$AQ$1006,0)))),"Fix")))</f>
        <v>0</v>
      </c>
      <c r="L448" s="4">
        <f>IF(OR(INDEX($V$2:$V$1001,MATCH(ROWS($U$2:U448),$U$2:$U$1001,0),1)&gt;=100000,INDEX($AB$1005:$AQ$1005,1,MATCH(COLUMNS($AB$1006:AL1006),$AB$1006:$AQ$1006,0))&gt;=100000), " ",IF(INDEX($AB$2:$AQ$1001,MATCH(ROWS($U$2:U448),$U$2:$U$1001,0),MATCH(COLUMNS($AB$1006:AL1006),$AB$1006:$AQ$1006,0)), HYPERLINK("#",""), HYPERLINK(CONCATENATE("#metadata!", ADDRESS(INDEX($W$2:$W$1001,MATCH(ROWS($U$2:U448),$U$2:$U$1001,0),0), INDEX($AB$1004:$AQ$1004,1,MATCH(COLUMNS($AB$1006:AL1006),$AB$1006:$AQ$1006,0)))),"Fix")))</f>
        <v>0</v>
      </c>
      <c r="M448" s="4">
        <f>IF(OR(INDEX($V$2:$V$1001,MATCH(ROWS($U$2:U448),$U$2:$U$1001,0),1)&gt;=100000,INDEX($AB$1005:$AQ$1005,1,MATCH(COLUMNS($AB$1006:AM1006),$AB$1006:$AQ$1006,0))&gt;=100000), " ",IF(INDEX($AB$2:$AQ$1001,MATCH(ROWS($U$2:U448),$U$2:$U$1001,0),MATCH(COLUMNS($AB$1006:AM1006),$AB$1006:$AQ$1006,0)), HYPERLINK("#",""), HYPERLINK(CONCATENATE("#metadata!", ADDRESS(INDEX($W$2:$W$1001,MATCH(ROWS($U$2:U448),$U$2:$U$1001,0),0), INDEX($AB$1004:$AQ$1004,1,MATCH(COLUMNS($AB$1006:AM1006),$AB$1006:$AQ$1006,0)))),"Fix")))</f>
        <v>0</v>
      </c>
      <c r="N448" s="4">
        <f>IF(OR(INDEX($V$2:$V$1001,MATCH(ROWS($U$2:U448),$U$2:$U$1001,0),1)&gt;=100000,INDEX($AB$1005:$AQ$1005,1,MATCH(COLUMNS($AB$1006:AN1006),$AB$1006:$AQ$1006,0))&gt;=100000), " ",IF(INDEX($AB$2:$AQ$1001,MATCH(ROWS($U$2:U448),$U$2:$U$1001,0),MATCH(COLUMNS($AB$1006:AN1006),$AB$1006:$AQ$1006,0)), HYPERLINK("#",""), HYPERLINK(CONCATENATE("#metadata!", ADDRESS(INDEX($W$2:$W$1001,MATCH(ROWS($U$2:U448),$U$2:$U$1001,0),0), INDEX($AB$1004:$AQ$1004,1,MATCH(COLUMNS($AB$1006:AN1006),$AB$1006:$AQ$1006,0)))),"Fix")))</f>
        <v>0</v>
      </c>
      <c r="O448" s="4">
        <f>IF(OR(INDEX($V$2:$V$1001,MATCH(ROWS($U$2:U448),$U$2:$U$1001,0),1)&gt;=100000,INDEX($AB$1005:$AQ$1005,1,MATCH(COLUMNS($AB$1006:AO1006),$AB$1006:$AQ$1006,0))&gt;=100000), " ",IF(INDEX($AB$2:$AQ$1001,MATCH(ROWS($U$2:U448),$U$2:$U$1001,0),MATCH(COLUMNS($AB$1006:AO1006),$AB$1006:$AQ$1006,0)), HYPERLINK("#",""), HYPERLINK(CONCATENATE("#metadata!", ADDRESS(INDEX($W$2:$W$1001,MATCH(ROWS($U$2:U448),$U$2:$U$1001,0),0), INDEX($AB$1004:$AQ$1004,1,MATCH(COLUMNS($AB$1006:AO1006),$AB$1006:$AQ$1006,0)))),"Fix")))</f>
        <v>0</v>
      </c>
      <c r="P448" s="4">
        <f>IF(OR(INDEX($V$2:$V$1001,MATCH(ROWS($U$2:U448),$U$2:$U$1001,0),1)&gt;=100000,INDEX($AB$1005:$AQ$1005,1,MATCH(COLUMNS($AB$1006:AP1006),$AB$1006:$AQ$1006,0))&gt;=100000), " ",IF(INDEX($AB$2:$AQ$1001,MATCH(ROWS($U$2:U448),$U$2:$U$1001,0),MATCH(COLUMNS($AB$1006:AP1006),$AB$1006:$AQ$1006,0)), HYPERLINK("#",""), HYPERLINK(CONCATENATE("#metadata!", ADDRESS(INDEX($W$2:$W$1001,MATCH(ROWS($U$2:U448),$U$2:$U$1001,0),0), INDEX($AB$1004:$AQ$1004,1,MATCH(COLUMNS($AB$1006:AP1006),$AB$1006:$AQ$1006,0)))),"Fix")))</f>
        <v>0</v>
      </c>
      <c r="Q448" s="4">
        <f>IF(OR(INDEX($V$2:$V$1001,MATCH(ROWS($U$2:U448),$U$2:$U$1001,0),1)&gt;=100000,INDEX($AB$1005:$AQ$1005,1,MATCH(COLUMNS($AB$1006:AQ1006),$AB$1006:$AQ$1006,0))&gt;=100000), " ",IF(INDEX($AB$2:$AQ$1001,MATCH(ROWS($U$2:U448),$U$2:$U$1001,0),MATCH(COLUMNS($AB$1006:AQ1006),$AB$1006:$AQ$1006,0)), HYPERLINK("#",""), HYPERLINK(CONCATENATE("#metadata!", ADDRESS(INDEX($W$2:$W$1001,MATCH(ROWS($U$2:U448),$U$2:$U$1001,0),0), INDEX($AB$1004:$AQ$1004,1,MATCH(COLUMNS($AB$1006:AQ1006),$AB$1006:$AQ$1006,0)))),"Fix")))</f>
        <v>0</v>
      </c>
      <c r="U448">
        <v>0</v>
      </c>
      <c r="V448">
        <v>0</v>
      </c>
      <c r="W448">
        <v>0</v>
      </c>
      <c r="X448">
        <f>IF(Y448,TRUE,AND(AB448:AQ448))</f>
        <v>0</v>
      </c>
      <c r="Y448">
        <f>COUNTBLANK(metadata!B448:Q448)=COLUMNS(metadata!B448:Q448)</f>
        <v>0</v>
      </c>
      <c r="Z448">
        <v>0</v>
      </c>
      <c r="AB448">
        <f>AND(IF(metadata!B448="",FALSE,TRUE),COUNTIF(metadata!B:B, metadata!B448) = 1,NOT(ISERROR(SUMPRODUCT(SEARCH(MID(metadata!B448,ROW(INDIRECT("1:"&amp;LEN(metadata!B448))), 1),"0123456789abcdefghijklmnopqrstuvwxyzABCDEFGHIJKLMNOPQRSTUVWXYZ.")))))</f>
        <v>0</v>
      </c>
      <c r="AC448">
        <f>OR(AND(IF(metadata!C448="",FALSE,TRUE),OR(exact(metadata!C448,"missing: not collected"),exact(metadata!C448,"missing: not provided"),exact(metadata!C448,"missing: restricted access"))),AND(IF(metadata!C448="",FALSE,TRUE),AND(AND(IFERROR(INT(LEFT(metadata!C448,4))&gt;1900,FALSE),IFERROR(INT(LEFT(metadata!C448,4))&lt;=YEAR(NOW()),FALSE)), OR(MID(metadata!C448,5,1)="", AND(AND(MID(metadata!C448,5,1)="-",IFERROR(INT(MID(metadata!C448,6,1))&gt;=0,FALSE),IFERROR(INT(MID(metadata!C448,6,1))&lt;=1,FALSE),NOT(MID(metadata!C448,7,1)=""),IFERROR(INT(MID(metadata!C448,6,2))&gt;=1,FALSE),IFERROR(INT(MID(metadata!C448,6,2))&lt;=12,FALSE)), OR(MID(metadata!C448,8,1)="", AND(AND(MID(metadata!C448,8,1)="-",IFERROR(INT(MID(metadata!C448,9,1))&gt;=0,FALSE),IFERROR(INT(MID(metadata!C448,9,1))&lt;=3,FALSE),NOT(MID(metadata!C448,10,1)=""),IFERROR(INT(MID(metadata!C448,9,2))&gt;=1,FALSE),IFERROR(INT(MID(metadata!C448,9,2))&lt;=31,FALSE)), OR(MID(metadata!C448,11,1)="", AND(AND(MID(metadata!C448,11,1)=" ",IFERROR(INT(MID(metadata!C448,12,1))&gt;=0,FALSE),IFERROR(INT(MID(metadata!C448,12,1))&lt;=2,FALSE),NOT(MID(metadata!C448,13,1)=""),IFERROR(INT(MID(metadata!C448,12,2))&gt;=0,FALSE),IFERROR(INT(MID(metadata!C448,12,2))&lt;=23,FALSE)), OR(MID(metadata!C448,14,1)="", AND(AND(MID(metadata!C448,14,1)=":",IFERROR(INT(MID(metadata!C448,15,1))&gt;=0,FALSE),IFERROR(INT(MID(metadata!C448,15,1))&lt;=5,FALSE),NOT(MID(metadata!C448,16,1)=""),IFERROR(INT(MID(metadata!C448,15,2))&gt;=0,FALSE),IFERROR(INT(MID(metadata!C448,15,2))&lt;=59,FALSE)), OR(MID(metadata!C448,17,1)="", AND(AND(MID(metadata!C448,17,1)=":",IFERROR(INT(MID(metadata!C448,18,1))&gt;=0,FALSE),IFERROR(INT(MID(metadata!C448,18,1))&lt;=5,FALSE),NOT(MID(metadata!C448,19,1)=""),IFERROR(INT(MID(metadata!C448,18,2))&gt;=0,FALSE),IFERROR(INT(MID(metadata!C448,18,2))&lt;=59,FALSE)), LEN(metadata!C448)&lt;=19)))))))))))))</f>
        <v>0</v>
      </c>
      <c r="AD448">
        <f>IF(metadata!D448="",FALSE,TRUE)</f>
        <v>0</v>
      </c>
      <c r="AE448">
        <f>OR(AND(IF(metadata!E448="",FALSE,TRUE),OR(exact(metadata!E448,"missing: not collected"),exact(metadata!E448,"missing: not provided"))),AND(IF(metadata!E448="",FALSE,TRUE),OR(exact(metadata!E448,"TRUE"),exact(metadata!E448,"FALSE"))))</f>
        <v>0</v>
      </c>
      <c r="AF448">
        <f>IF(metadata!F448="",FALSE,TRUE)</f>
        <v>0</v>
      </c>
      <c r="AG448">
        <f>IF(metadata!G448="",FALSE,TRUE)</f>
        <v>0</v>
      </c>
      <c r="AH448">
        <f>IF(metadata!H448="",FALSE,TRUE)</f>
        <v>0</v>
      </c>
      <c r="AI448">
        <f>OR(AND(IF(metadata!I448="",FALSE,TRUE),OR(exact(metadata!I448,"missing: not collected"),exact(metadata!I448,"missing: not provided"),exact(metadata!I448,"missing: restricted access"))),AND(IF(metadata!I448="",FALSE,TRUE),OR(exact(metadata!I448,"air"),exact(metadata!I448,"built environment"),exact(metadata!I448,"host-associated"),exact(metadata!I448,"human-associated"),exact(metadata!I448,"human-skin"),exact(metadata!I448,"human-oral"),exact(metadata!I448,"human-gut"),exact(metadata!I448,"human-vaginal"),exact(metadata!I448,"microbial mat/biofilm"),exact(metadata!I448,"misc environment"),exact(metadata!I448,"plant-associated"),exact(metadata!I448,"sediment"),exact(metadata!I448,"soil"),exact(metadata!I448,"wastewater/sludge"),exact(metadata!I448,"water"))))</f>
        <v>0</v>
      </c>
      <c r="AJ448">
        <f>IF(metadata!J448="",FALSE,TRUE)</f>
        <v>0</v>
      </c>
      <c r="AK448">
        <f>OR(AND(IF(metadata!K448="",FALSE,TRUE),OR(exact(metadata!K448,"missing: not collected"),exact(metadata!K448,"missing: not provided"),exact(metadata!K448,"missing: restricted access"))),AND(IF(metadata!K448="",FALSE,ISNUMBER(VALUE(metadata!K448))),metadata!K448&gt;=-90.00,metadata!K448&lt;=90.00))</f>
        <v>0</v>
      </c>
      <c r="AL448">
        <f>OR(AND(IF(metadata!L448="",FALSE,TRUE),OR(exact(metadata!L448,"missing: not collected"),exact(metadata!L448,"missing: not provided"),exact(metadata!L448,"missing: restricted access"))),AND(IF(metadata!L448="",FALSE,ISNUMBER(VALUE(metadata!L448))),metadata!L448&gt;=-180.00,metadata!L448&lt;=180.00))</f>
        <v>0</v>
      </c>
      <c r="AM448">
        <f>IF(metadata!M448="",FALSE,TRUE)</f>
        <v>0</v>
      </c>
      <c r="AN448">
        <f>OR(AND(IF(metadata!N448="",FALSE,TRUE),OR(exact(metadata!N448,"missing: not collected"),exact(metadata!N448,"missing: not provided"),exact(metadata!N448,"missing: restricted access"))),AND(IF(metadata!N448="",FALSE,TRUE),OR(exact(metadata!N448,"TRUE"),exact(metadata!N448,"FALSE"))))</f>
        <v>0</v>
      </c>
      <c r="AO448">
        <f>IF(metadata!O448="",FALSE,TRUE)</f>
        <v>0</v>
      </c>
      <c r="AP448">
        <f>OR(AND(IF(metadata!P448="",FALSE,TRUE),OR(exact(metadata!P448,"missing: not collected"),exact(metadata!P448,"missing: not provided"))),AND(IF(metadata!P448="",FALSE,IF(ISERROR(INT(metadata!P448)),FALSE,INT(metadata!P448)=metadata!P448)),metadata!P448&gt;0))</f>
        <v>0</v>
      </c>
      <c r="AQ448">
        <f>IF(metadata!Q448="",FALSE,TRUE)</f>
        <v>0</v>
      </c>
    </row>
    <row r="449" spans="1:43">
      <c r="A449" s="5">
        <f>IF(B449=" "," ",HYPERLINK(CONCATENATE("#metadata!",ADDRESS(INDEX($W$2:$W$1001,MATCH(ROWS($U$2:U449),$U$2:$U$1001,0),0),1)),INDEX($Z$2:$Z$1001,MATCH(ROWS($U$2:U449),$U$2:$U$1001,0),0)))</f>
        <v>0</v>
      </c>
      <c r="B449" s="4">
        <f>IF(OR(INDEX($V$2:$V$1001,MATCH(ROWS($U$2:U449),$U$2:$U$1001,0),1)&gt;=100000,INDEX($AB$1005:$AQ$1005,1,MATCH(COLUMNS($AB$1006:AB1006),$AB$1006:$AQ$1006,0))&gt;=100000), " ",IF(INDEX($AB$2:$AQ$1001,MATCH(ROWS($U$2:U449),$U$2:$U$1001,0),MATCH(COLUMNS($AB$1006:AB1006),$AB$1006:$AQ$1006,0)), HYPERLINK("#",""), HYPERLINK(CONCATENATE("#metadata!", ADDRESS(INDEX($W$2:$W$1001,MATCH(ROWS($U$2:U449),$U$2:$U$1001,0),0), INDEX($AB$1004:$AQ$1004,1,MATCH(COLUMNS($AB$1006:AB1006),$AB$1006:$AQ$1006,0)))),"Fix")))</f>
        <v>0</v>
      </c>
      <c r="C449" s="4">
        <f>IF(OR(INDEX($V$2:$V$1001,MATCH(ROWS($U$2:U449),$U$2:$U$1001,0),1)&gt;=100000,INDEX($AB$1005:$AQ$1005,1,MATCH(COLUMNS($AB$1006:AC1006),$AB$1006:$AQ$1006,0))&gt;=100000), " ",IF(INDEX($AB$2:$AQ$1001,MATCH(ROWS($U$2:U449),$U$2:$U$1001,0),MATCH(COLUMNS($AB$1006:AC1006),$AB$1006:$AQ$1006,0)), HYPERLINK("#",""), HYPERLINK(CONCATENATE("#metadata!", ADDRESS(INDEX($W$2:$W$1001,MATCH(ROWS($U$2:U449),$U$2:$U$1001,0),0), INDEX($AB$1004:$AQ$1004,1,MATCH(COLUMNS($AB$1006:AC1006),$AB$1006:$AQ$1006,0)))),"Fix")))</f>
        <v>0</v>
      </c>
      <c r="D449" s="4">
        <f>IF(OR(INDEX($V$2:$V$1001,MATCH(ROWS($U$2:U449),$U$2:$U$1001,0),1)&gt;=100000,INDEX($AB$1005:$AQ$1005,1,MATCH(COLUMNS($AB$1006:AD1006),$AB$1006:$AQ$1006,0))&gt;=100000), " ",IF(INDEX($AB$2:$AQ$1001,MATCH(ROWS($U$2:U449),$U$2:$U$1001,0),MATCH(COLUMNS($AB$1006:AD1006),$AB$1006:$AQ$1006,0)), HYPERLINK("#",""), HYPERLINK(CONCATENATE("#metadata!", ADDRESS(INDEX($W$2:$W$1001,MATCH(ROWS($U$2:U449),$U$2:$U$1001,0),0), INDEX($AB$1004:$AQ$1004,1,MATCH(COLUMNS($AB$1006:AD1006),$AB$1006:$AQ$1006,0)))),"Fix")))</f>
        <v>0</v>
      </c>
      <c r="E449" s="4">
        <f>IF(OR(INDEX($V$2:$V$1001,MATCH(ROWS($U$2:U449),$U$2:$U$1001,0),1)&gt;=100000,INDEX($AB$1005:$AQ$1005,1,MATCH(COLUMNS($AB$1006:AE1006),$AB$1006:$AQ$1006,0))&gt;=100000), " ",IF(INDEX($AB$2:$AQ$1001,MATCH(ROWS($U$2:U449),$U$2:$U$1001,0),MATCH(COLUMNS($AB$1006:AE1006),$AB$1006:$AQ$1006,0)), HYPERLINK("#",""), HYPERLINK(CONCATENATE("#metadata!", ADDRESS(INDEX($W$2:$W$1001,MATCH(ROWS($U$2:U449),$U$2:$U$1001,0),0), INDEX($AB$1004:$AQ$1004,1,MATCH(COLUMNS($AB$1006:AE1006),$AB$1006:$AQ$1006,0)))),"Fix")))</f>
        <v>0</v>
      </c>
      <c r="F449" s="4">
        <f>IF(OR(INDEX($V$2:$V$1001,MATCH(ROWS($U$2:U449),$U$2:$U$1001,0),1)&gt;=100000,INDEX($AB$1005:$AQ$1005,1,MATCH(COLUMNS($AB$1006:AF1006),$AB$1006:$AQ$1006,0))&gt;=100000), " ",IF(INDEX($AB$2:$AQ$1001,MATCH(ROWS($U$2:U449),$U$2:$U$1001,0),MATCH(COLUMNS($AB$1006:AF1006),$AB$1006:$AQ$1006,0)), HYPERLINK("#",""), HYPERLINK(CONCATENATE("#metadata!", ADDRESS(INDEX($W$2:$W$1001,MATCH(ROWS($U$2:U449),$U$2:$U$1001,0),0), INDEX($AB$1004:$AQ$1004,1,MATCH(COLUMNS($AB$1006:AF1006),$AB$1006:$AQ$1006,0)))),"Fix")))</f>
        <v>0</v>
      </c>
      <c r="G449" s="4">
        <f>IF(OR(INDEX($V$2:$V$1001,MATCH(ROWS($U$2:U449),$U$2:$U$1001,0),1)&gt;=100000,INDEX($AB$1005:$AQ$1005,1,MATCH(COLUMNS($AB$1006:AG1006),$AB$1006:$AQ$1006,0))&gt;=100000), " ",IF(INDEX($AB$2:$AQ$1001,MATCH(ROWS($U$2:U449),$U$2:$U$1001,0),MATCH(COLUMNS($AB$1006:AG1006),$AB$1006:$AQ$1006,0)), HYPERLINK("#",""), HYPERLINK(CONCATENATE("#metadata!", ADDRESS(INDEX($W$2:$W$1001,MATCH(ROWS($U$2:U449),$U$2:$U$1001,0),0), INDEX($AB$1004:$AQ$1004,1,MATCH(COLUMNS($AB$1006:AG1006),$AB$1006:$AQ$1006,0)))),"Fix")))</f>
        <v>0</v>
      </c>
      <c r="H449" s="4">
        <f>IF(OR(INDEX($V$2:$V$1001,MATCH(ROWS($U$2:U449),$U$2:$U$1001,0),1)&gt;=100000,INDEX($AB$1005:$AQ$1005,1,MATCH(COLUMNS($AB$1006:AH1006),$AB$1006:$AQ$1006,0))&gt;=100000), " ",IF(INDEX($AB$2:$AQ$1001,MATCH(ROWS($U$2:U449),$U$2:$U$1001,0),MATCH(COLUMNS($AB$1006:AH1006),$AB$1006:$AQ$1006,0)), HYPERLINK("#",""), HYPERLINK(CONCATENATE("#metadata!", ADDRESS(INDEX($W$2:$W$1001,MATCH(ROWS($U$2:U449),$U$2:$U$1001,0),0), INDEX($AB$1004:$AQ$1004,1,MATCH(COLUMNS($AB$1006:AH1006),$AB$1006:$AQ$1006,0)))),"Fix")))</f>
        <v>0</v>
      </c>
      <c r="I449" s="4">
        <f>IF(OR(INDEX($V$2:$V$1001,MATCH(ROWS($U$2:U449),$U$2:$U$1001,0),1)&gt;=100000,INDEX($AB$1005:$AQ$1005,1,MATCH(COLUMNS($AB$1006:AI1006),$AB$1006:$AQ$1006,0))&gt;=100000), " ",IF(INDEX($AB$2:$AQ$1001,MATCH(ROWS($U$2:U449),$U$2:$U$1001,0),MATCH(COLUMNS($AB$1006:AI1006),$AB$1006:$AQ$1006,0)), HYPERLINK("#",""), HYPERLINK(CONCATENATE("#metadata!", ADDRESS(INDEX($W$2:$W$1001,MATCH(ROWS($U$2:U449),$U$2:$U$1001,0),0), INDEX($AB$1004:$AQ$1004,1,MATCH(COLUMNS($AB$1006:AI1006),$AB$1006:$AQ$1006,0)))),"Fix")))</f>
        <v>0</v>
      </c>
      <c r="J449" s="4">
        <f>IF(OR(INDEX($V$2:$V$1001,MATCH(ROWS($U$2:U449),$U$2:$U$1001,0),1)&gt;=100000,INDEX($AB$1005:$AQ$1005,1,MATCH(COLUMNS($AB$1006:AJ1006),$AB$1006:$AQ$1006,0))&gt;=100000), " ",IF(INDEX($AB$2:$AQ$1001,MATCH(ROWS($U$2:U449),$U$2:$U$1001,0),MATCH(COLUMNS($AB$1006:AJ1006),$AB$1006:$AQ$1006,0)), HYPERLINK("#",""), HYPERLINK(CONCATENATE("#metadata!", ADDRESS(INDEX($W$2:$W$1001,MATCH(ROWS($U$2:U449),$U$2:$U$1001,0),0), INDEX($AB$1004:$AQ$1004,1,MATCH(COLUMNS($AB$1006:AJ1006),$AB$1006:$AQ$1006,0)))),"Fix")))</f>
        <v>0</v>
      </c>
      <c r="K449" s="4">
        <f>IF(OR(INDEX($V$2:$V$1001,MATCH(ROWS($U$2:U449),$U$2:$U$1001,0),1)&gt;=100000,INDEX($AB$1005:$AQ$1005,1,MATCH(COLUMNS($AB$1006:AK1006),$AB$1006:$AQ$1006,0))&gt;=100000), " ",IF(INDEX($AB$2:$AQ$1001,MATCH(ROWS($U$2:U449),$U$2:$U$1001,0),MATCH(COLUMNS($AB$1006:AK1006),$AB$1006:$AQ$1006,0)), HYPERLINK("#",""), HYPERLINK(CONCATENATE("#metadata!", ADDRESS(INDEX($W$2:$W$1001,MATCH(ROWS($U$2:U449),$U$2:$U$1001,0),0), INDEX($AB$1004:$AQ$1004,1,MATCH(COLUMNS($AB$1006:AK1006),$AB$1006:$AQ$1006,0)))),"Fix")))</f>
        <v>0</v>
      </c>
      <c r="L449" s="4">
        <f>IF(OR(INDEX($V$2:$V$1001,MATCH(ROWS($U$2:U449),$U$2:$U$1001,0),1)&gt;=100000,INDEX($AB$1005:$AQ$1005,1,MATCH(COLUMNS($AB$1006:AL1006),$AB$1006:$AQ$1006,0))&gt;=100000), " ",IF(INDEX($AB$2:$AQ$1001,MATCH(ROWS($U$2:U449),$U$2:$U$1001,0),MATCH(COLUMNS($AB$1006:AL1006),$AB$1006:$AQ$1006,0)), HYPERLINK("#",""), HYPERLINK(CONCATENATE("#metadata!", ADDRESS(INDEX($W$2:$W$1001,MATCH(ROWS($U$2:U449),$U$2:$U$1001,0),0), INDEX($AB$1004:$AQ$1004,1,MATCH(COLUMNS($AB$1006:AL1006),$AB$1006:$AQ$1006,0)))),"Fix")))</f>
        <v>0</v>
      </c>
      <c r="M449" s="4">
        <f>IF(OR(INDEX($V$2:$V$1001,MATCH(ROWS($U$2:U449),$U$2:$U$1001,0),1)&gt;=100000,INDEX($AB$1005:$AQ$1005,1,MATCH(COLUMNS($AB$1006:AM1006),$AB$1006:$AQ$1006,0))&gt;=100000), " ",IF(INDEX($AB$2:$AQ$1001,MATCH(ROWS($U$2:U449),$U$2:$U$1001,0),MATCH(COLUMNS($AB$1006:AM1006),$AB$1006:$AQ$1006,0)), HYPERLINK("#",""), HYPERLINK(CONCATENATE("#metadata!", ADDRESS(INDEX($W$2:$W$1001,MATCH(ROWS($U$2:U449),$U$2:$U$1001,0),0), INDEX($AB$1004:$AQ$1004,1,MATCH(COLUMNS($AB$1006:AM1006),$AB$1006:$AQ$1006,0)))),"Fix")))</f>
        <v>0</v>
      </c>
      <c r="N449" s="4">
        <f>IF(OR(INDEX($V$2:$V$1001,MATCH(ROWS($U$2:U449),$U$2:$U$1001,0),1)&gt;=100000,INDEX($AB$1005:$AQ$1005,1,MATCH(COLUMNS($AB$1006:AN1006),$AB$1006:$AQ$1006,0))&gt;=100000), " ",IF(INDEX($AB$2:$AQ$1001,MATCH(ROWS($U$2:U449),$U$2:$U$1001,0),MATCH(COLUMNS($AB$1006:AN1006),$AB$1006:$AQ$1006,0)), HYPERLINK("#",""), HYPERLINK(CONCATENATE("#metadata!", ADDRESS(INDEX($W$2:$W$1001,MATCH(ROWS($U$2:U449),$U$2:$U$1001,0),0), INDEX($AB$1004:$AQ$1004,1,MATCH(COLUMNS($AB$1006:AN1006),$AB$1006:$AQ$1006,0)))),"Fix")))</f>
        <v>0</v>
      </c>
      <c r="O449" s="4">
        <f>IF(OR(INDEX($V$2:$V$1001,MATCH(ROWS($U$2:U449),$U$2:$U$1001,0),1)&gt;=100000,INDEX($AB$1005:$AQ$1005,1,MATCH(COLUMNS($AB$1006:AO1006),$AB$1006:$AQ$1006,0))&gt;=100000), " ",IF(INDEX($AB$2:$AQ$1001,MATCH(ROWS($U$2:U449),$U$2:$U$1001,0),MATCH(COLUMNS($AB$1006:AO1006),$AB$1006:$AQ$1006,0)), HYPERLINK("#",""), HYPERLINK(CONCATENATE("#metadata!", ADDRESS(INDEX($W$2:$W$1001,MATCH(ROWS($U$2:U449),$U$2:$U$1001,0),0), INDEX($AB$1004:$AQ$1004,1,MATCH(COLUMNS($AB$1006:AO1006),$AB$1006:$AQ$1006,0)))),"Fix")))</f>
        <v>0</v>
      </c>
      <c r="P449" s="4">
        <f>IF(OR(INDEX($V$2:$V$1001,MATCH(ROWS($U$2:U449),$U$2:$U$1001,0),1)&gt;=100000,INDEX($AB$1005:$AQ$1005,1,MATCH(COLUMNS($AB$1006:AP1006),$AB$1006:$AQ$1006,0))&gt;=100000), " ",IF(INDEX($AB$2:$AQ$1001,MATCH(ROWS($U$2:U449),$U$2:$U$1001,0),MATCH(COLUMNS($AB$1006:AP1006),$AB$1006:$AQ$1006,0)), HYPERLINK("#",""), HYPERLINK(CONCATENATE("#metadata!", ADDRESS(INDEX($W$2:$W$1001,MATCH(ROWS($U$2:U449),$U$2:$U$1001,0),0), INDEX($AB$1004:$AQ$1004,1,MATCH(COLUMNS($AB$1006:AP1006),$AB$1006:$AQ$1006,0)))),"Fix")))</f>
        <v>0</v>
      </c>
      <c r="Q449" s="4">
        <f>IF(OR(INDEX($V$2:$V$1001,MATCH(ROWS($U$2:U449),$U$2:$U$1001,0),1)&gt;=100000,INDEX($AB$1005:$AQ$1005,1,MATCH(COLUMNS($AB$1006:AQ1006),$AB$1006:$AQ$1006,0))&gt;=100000), " ",IF(INDEX($AB$2:$AQ$1001,MATCH(ROWS($U$2:U449),$U$2:$U$1001,0),MATCH(COLUMNS($AB$1006:AQ1006),$AB$1006:$AQ$1006,0)), HYPERLINK("#",""), HYPERLINK(CONCATENATE("#metadata!", ADDRESS(INDEX($W$2:$W$1001,MATCH(ROWS($U$2:U449),$U$2:$U$1001,0),0), INDEX($AB$1004:$AQ$1004,1,MATCH(COLUMNS($AB$1006:AQ1006),$AB$1006:$AQ$1006,0)))),"Fix")))</f>
        <v>0</v>
      </c>
      <c r="U449">
        <v>0</v>
      </c>
      <c r="V449">
        <v>0</v>
      </c>
      <c r="W449">
        <v>0</v>
      </c>
      <c r="X449">
        <f>IF(Y449,TRUE,AND(AB449:AQ449))</f>
        <v>0</v>
      </c>
      <c r="Y449">
        <f>COUNTBLANK(metadata!B449:Q449)=COLUMNS(metadata!B449:Q449)</f>
        <v>0</v>
      </c>
      <c r="Z449">
        <v>0</v>
      </c>
      <c r="AB449">
        <f>AND(IF(metadata!B449="",FALSE,TRUE),COUNTIF(metadata!B:B, metadata!B449) = 1,NOT(ISERROR(SUMPRODUCT(SEARCH(MID(metadata!B449,ROW(INDIRECT("1:"&amp;LEN(metadata!B449))), 1),"0123456789abcdefghijklmnopqrstuvwxyzABCDEFGHIJKLMNOPQRSTUVWXYZ.")))))</f>
        <v>0</v>
      </c>
      <c r="AC449">
        <f>OR(AND(IF(metadata!C449="",FALSE,TRUE),OR(exact(metadata!C449,"missing: not collected"),exact(metadata!C449,"missing: not provided"),exact(metadata!C449,"missing: restricted access"))),AND(IF(metadata!C449="",FALSE,TRUE),AND(AND(IFERROR(INT(LEFT(metadata!C449,4))&gt;1900,FALSE),IFERROR(INT(LEFT(metadata!C449,4))&lt;=YEAR(NOW()),FALSE)), OR(MID(metadata!C449,5,1)="", AND(AND(MID(metadata!C449,5,1)="-",IFERROR(INT(MID(metadata!C449,6,1))&gt;=0,FALSE),IFERROR(INT(MID(metadata!C449,6,1))&lt;=1,FALSE),NOT(MID(metadata!C449,7,1)=""),IFERROR(INT(MID(metadata!C449,6,2))&gt;=1,FALSE),IFERROR(INT(MID(metadata!C449,6,2))&lt;=12,FALSE)), OR(MID(metadata!C449,8,1)="", AND(AND(MID(metadata!C449,8,1)="-",IFERROR(INT(MID(metadata!C449,9,1))&gt;=0,FALSE),IFERROR(INT(MID(metadata!C449,9,1))&lt;=3,FALSE),NOT(MID(metadata!C449,10,1)=""),IFERROR(INT(MID(metadata!C449,9,2))&gt;=1,FALSE),IFERROR(INT(MID(metadata!C449,9,2))&lt;=31,FALSE)), OR(MID(metadata!C449,11,1)="", AND(AND(MID(metadata!C449,11,1)=" ",IFERROR(INT(MID(metadata!C449,12,1))&gt;=0,FALSE),IFERROR(INT(MID(metadata!C449,12,1))&lt;=2,FALSE),NOT(MID(metadata!C449,13,1)=""),IFERROR(INT(MID(metadata!C449,12,2))&gt;=0,FALSE),IFERROR(INT(MID(metadata!C449,12,2))&lt;=23,FALSE)), OR(MID(metadata!C449,14,1)="", AND(AND(MID(metadata!C449,14,1)=":",IFERROR(INT(MID(metadata!C449,15,1))&gt;=0,FALSE),IFERROR(INT(MID(metadata!C449,15,1))&lt;=5,FALSE),NOT(MID(metadata!C449,16,1)=""),IFERROR(INT(MID(metadata!C449,15,2))&gt;=0,FALSE),IFERROR(INT(MID(metadata!C449,15,2))&lt;=59,FALSE)), OR(MID(metadata!C449,17,1)="", AND(AND(MID(metadata!C449,17,1)=":",IFERROR(INT(MID(metadata!C449,18,1))&gt;=0,FALSE),IFERROR(INT(MID(metadata!C449,18,1))&lt;=5,FALSE),NOT(MID(metadata!C449,19,1)=""),IFERROR(INT(MID(metadata!C449,18,2))&gt;=0,FALSE),IFERROR(INT(MID(metadata!C449,18,2))&lt;=59,FALSE)), LEN(metadata!C449)&lt;=19)))))))))))))</f>
        <v>0</v>
      </c>
      <c r="AD449">
        <f>IF(metadata!D449="",FALSE,TRUE)</f>
        <v>0</v>
      </c>
      <c r="AE449">
        <f>OR(AND(IF(metadata!E449="",FALSE,TRUE),OR(exact(metadata!E449,"missing: not collected"),exact(metadata!E449,"missing: not provided"))),AND(IF(metadata!E449="",FALSE,TRUE),OR(exact(metadata!E449,"TRUE"),exact(metadata!E449,"FALSE"))))</f>
        <v>0</v>
      </c>
      <c r="AF449">
        <f>IF(metadata!F449="",FALSE,TRUE)</f>
        <v>0</v>
      </c>
      <c r="AG449">
        <f>IF(metadata!G449="",FALSE,TRUE)</f>
        <v>0</v>
      </c>
      <c r="AH449">
        <f>IF(metadata!H449="",FALSE,TRUE)</f>
        <v>0</v>
      </c>
      <c r="AI449">
        <f>OR(AND(IF(metadata!I449="",FALSE,TRUE),OR(exact(metadata!I449,"missing: not collected"),exact(metadata!I449,"missing: not provided"),exact(metadata!I449,"missing: restricted access"))),AND(IF(metadata!I449="",FALSE,TRUE),OR(exact(metadata!I449,"air"),exact(metadata!I449,"built environment"),exact(metadata!I449,"host-associated"),exact(metadata!I449,"human-associated"),exact(metadata!I449,"human-skin"),exact(metadata!I449,"human-oral"),exact(metadata!I449,"human-gut"),exact(metadata!I449,"human-vaginal"),exact(metadata!I449,"microbial mat/biofilm"),exact(metadata!I449,"misc environment"),exact(metadata!I449,"plant-associated"),exact(metadata!I449,"sediment"),exact(metadata!I449,"soil"),exact(metadata!I449,"wastewater/sludge"),exact(metadata!I449,"water"))))</f>
        <v>0</v>
      </c>
      <c r="AJ449">
        <f>IF(metadata!J449="",FALSE,TRUE)</f>
        <v>0</v>
      </c>
      <c r="AK449">
        <f>OR(AND(IF(metadata!K449="",FALSE,TRUE),OR(exact(metadata!K449,"missing: not collected"),exact(metadata!K449,"missing: not provided"),exact(metadata!K449,"missing: restricted access"))),AND(IF(metadata!K449="",FALSE,ISNUMBER(VALUE(metadata!K449))),metadata!K449&gt;=-90.00,metadata!K449&lt;=90.00))</f>
        <v>0</v>
      </c>
      <c r="AL449">
        <f>OR(AND(IF(metadata!L449="",FALSE,TRUE),OR(exact(metadata!L449,"missing: not collected"),exact(metadata!L449,"missing: not provided"),exact(metadata!L449,"missing: restricted access"))),AND(IF(metadata!L449="",FALSE,ISNUMBER(VALUE(metadata!L449))),metadata!L449&gt;=-180.00,metadata!L449&lt;=180.00))</f>
        <v>0</v>
      </c>
      <c r="AM449">
        <f>IF(metadata!M449="",FALSE,TRUE)</f>
        <v>0</v>
      </c>
      <c r="AN449">
        <f>OR(AND(IF(metadata!N449="",FALSE,TRUE),OR(exact(metadata!N449,"missing: not collected"),exact(metadata!N449,"missing: not provided"),exact(metadata!N449,"missing: restricted access"))),AND(IF(metadata!N449="",FALSE,TRUE),OR(exact(metadata!N449,"TRUE"),exact(metadata!N449,"FALSE"))))</f>
        <v>0</v>
      </c>
      <c r="AO449">
        <f>IF(metadata!O449="",FALSE,TRUE)</f>
        <v>0</v>
      </c>
      <c r="AP449">
        <f>OR(AND(IF(metadata!P449="",FALSE,TRUE),OR(exact(metadata!P449,"missing: not collected"),exact(metadata!P449,"missing: not provided"))),AND(IF(metadata!P449="",FALSE,IF(ISERROR(INT(metadata!P449)),FALSE,INT(metadata!P449)=metadata!P449)),metadata!P449&gt;0))</f>
        <v>0</v>
      </c>
      <c r="AQ449">
        <f>IF(metadata!Q449="",FALSE,TRUE)</f>
        <v>0</v>
      </c>
    </row>
    <row r="450" spans="1:43">
      <c r="A450" s="5">
        <f>IF(B450=" "," ",HYPERLINK(CONCATENATE("#metadata!",ADDRESS(INDEX($W$2:$W$1001,MATCH(ROWS($U$2:U450),$U$2:$U$1001,0),0),1)),INDEX($Z$2:$Z$1001,MATCH(ROWS($U$2:U450),$U$2:$U$1001,0),0)))</f>
        <v>0</v>
      </c>
      <c r="B450" s="4">
        <f>IF(OR(INDEX($V$2:$V$1001,MATCH(ROWS($U$2:U450),$U$2:$U$1001,0),1)&gt;=100000,INDEX($AB$1005:$AQ$1005,1,MATCH(COLUMNS($AB$1006:AB1006),$AB$1006:$AQ$1006,0))&gt;=100000), " ",IF(INDEX($AB$2:$AQ$1001,MATCH(ROWS($U$2:U450),$U$2:$U$1001,0),MATCH(COLUMNS($AB$1006:AB1006),$AB$1006:$AQ$1006,0)), HYPERLINK("#",""), HYPERLINK(CONCATENATE("#metadata!", ADDRESS(INDEX($W$2:$W$1001,MATCH(ROWS($U$2:U450),$U$2:$U$1001,0),0), INDEX($AB$1004:$AQ$1004,1,MATCH(COLUMNS($AB$1006:AB1006),$AB$1006:$AQ$1006,0)))),"Fix")))</f>
        <v>0</v>
      </c>
      <c r="C450" s="4">
        <f>IF(OR(INDEX($V$2:$V$1001,MATCH(ROWS($U$2:U450),$U$2:$U$1001,0),1)&gt;=100000,INDEX($AB$1005:$AQ$1005,1,MATCH(COLUMNS($AB$1006:AC1006),$AB$1006:$AQ$1006,0))&gt;=100000), " ",IF(INDEX($AB$2:$AQ$1001,MATCH(ROWS($U$2:U450),$U$2:$U$1001,0),MATCH(COLUMNS($AB$1006:AC1006),$AB$1006:$AQ$1006,0)), HYPERLINK("#",""), HYPERLINK(CONCATENATE("#metadata!", ADDRESS(INDEX($W$2:$W$1001,MATCH(ROWS($U$2:U450),$U$2:$U$1001,0),0), INDEX($AB$1004:$AQ$1004,1,MATCH(COLUMNS($AB$1006:AC1006),$AB$1006:$AQ$1006,0)))),"Fix")))</f>
        <v>0</v>
      </c>
      <c r="D450" s="4">
        <f>IF(OR(INDEX($V$2:$V$1001,MATCH(ROWS($U$2:U450),$U$2:$U$1001,0),1)&gt;=100000,INDEX($AB$1005:$AQ$1005,1,MATCH(COLUMNS($AB$1006:AD1006),$AB$1006:$AQ$1006,0))&gt;=100000), " ",IF(INDEX($AB$2:$AQ$1001,MATCH(ROWS($U$2:U450),$U$2:$U$1001,0),MATCH(COLUMNS($AB$1006:AD1006),$AB$1006:$AQ$1006,0)), HYPERLINK("#",""), HYPERLINK(CONCATENATE("#metadata!", ADDRESS(INDEX($W$2:$W$1001,MATCH(ROWS($U$2:U450),$U$2:$U$1001,0),0), INDEX($AB$1004:$AQ$1004,1,MATCH(COLUMNS($AB$1006:AD1006),$AB$1006:$AQ$1006,0)))),"Fix")))</f>
        <v>0</v>
      </c>
      <c r="E450" s="4">
        <f>IF(OR(INDEX($V$2:$V$1001,MATCH(ROWS($U$2:U450),$U$2:$U$1001,0),1)&gt;=100000,INDEX($AB$1005:$AQ$1005,1,MATCH(COLUMNS($AB$1006:AE1006),$AB$1006:$AQ$1006,0))&gt;=100000), " ",IF(INDEX($AB$2:$AQ$1001,MATCH(ROWS($U$2:U450),$U$2:$U$1001,0),MATCH(COLUMNS($AB$1006:AE1006),$AB$1006:$AQ$1006,0)), HYPERLINK("#",""), HYPERLINK(CONCATENATE("#metadata!", ADDRESS(INDEX($W$2:$W$1001,MATCH(ROWS($U$2:U450),$U$2:$U$1001,0),0), INDEX($AB$1004:$AQ$1004,1,MATCH(COLUMNS($AB$1006:AE1006),$AB$1006:$AQ$1006,0)))),"Fix")))</f>
        <v>0</v>
      </c>
      <c r="F450" s="4">
        <f>IF(OR(INDEX($V$2:$V$1001,MATCH(ROWS($U$2:U450),$U$2:$U$1001,0),1)&gt;=100000,INDEX($AB$1005:$AQ$1005,1,MATCH(COLUMNS($AB$1006:AF1006),$AB$1006:$AQ$1006,0))&gt;=100000), " ",IF(INDEX($AB$2:$AQ$1001,MATCH(ROWS($U$2:U450),$U$2:$U$1001,0),MATCH(COLUMNS($AB$1006:AF1006),$AB$1006:$AQ$1006,0)), HYPERLINK("#",""), HYPERLINK(CONCATENATE("#metadata!", ADDRESS(INDEX($W$2:$W$1001,MATCH(ROWS($U$2:U450),$U$2:$U$1001,0),0), INDEX($AB$1004:$AQ$1004,1,MATCH(COLUMNS($AB$1006:AF1006),$AB$1006:$AQ$1006,0)))),"Fix")))</f>
        <v>0</v>
      </c>
      <c r="G450" s="4">
        <f>IF(OR(INDEX($V$2:$V$1001,MATCH(ROWS($U$2:U450),$U$2:$U$1001,0),1)&gt;=100000,INDEX($AB$1005:$AQ$1005,1,MATCH(COLUMNS($AB$1006:AG1006),$AB$1006:$AQ$1006,0))&gt;=100000), " ",IF(INDEX($AB$2:$AQ$1001,MATCH(ROWS($U$2:U450),$U$2:$U$1001,0),MATCH(COLUMNS($AB$1006:AG1006),$AB$1006:$AQ$1006,0)), HYPERLINK("#",""), HYPERLINK(CONCATENATE("#metadata!", ADDRESS(INDEX($W$2:$W$1001,MATCH(ROWS($U$2:U450),$U$2:$U$1001,0),0), INDEX($AB$1004:$AQ$1004,1,MATCH(COLUMNS($AB$1006:AG1006),$AB$1006:$AQ$1006,0)))),"Fix")))</f>
        <v>0</v>
      </c>
      <c r="H450" s="4">
        <f>IF(OR(INDEX($V$2:$V$1001,MATCH(ROWS($U$2:U450),$U$2:$U$1001,0),1)&gt;=100000,INDEX($AB$1005:$AQ$1005,1,MATCH(COLUMNS($AB$1006:AH1006),$AB$1006:$AQ$1006,0))&gt;=100000), " ",IF(INDEX($AB$2:$AQ$1001,MATCH(ROWS($U$2:U450),$U$2:$U$1001,0),MATCH(COLUMNS($AB$1006:AH1006),$AB$1006:$AQ$1006,0)), HYPERLINK("#",""), HYPERLINK(CONCATENATE("#metadata!", ADDRESS(INDEX($W$2:$W$1001,MATCH(ROWS($U$2:U450),$U$2:$U$1001,0),0), INDEX($AB$1004:$AQ$1004,1,MATCH(COLUMNS($AB$1006:AH1006),$AB$1006:$AQ$1006,0)))),"Fix")))</f>
        <v>0</v>
      </c>
      <c r="I450" s="4">
        <f>IF(OR(INDEX($V$2:$V$1001,MATCH(ROWS($U$2:U450),$U$2:$U$1001,0),1)&gt;=100000,INDEX($AB$1005:$AQ$1005,1,MATCH(COLUMNS($AB$1006:AI1006),$AB$1006:$AQ$1006,0))&gt;=100000), " ",IF(INDEX($AB$2:$AQ$1001,MATCH(ROWS($U$2:U450),$U$2:$U$1001,0),MATCH(COLUMNS($AB$1006:AI1006),$AB$1006:$AQ$1006,0)), HYPERLINK("#",""), HYPERLINK(CONCATENATE("#metadata!", ADDRESS(INDEX($W$2:$W$1001,MATCH(ROWS($U$2:U450),$U$2:$U$1001,0),0), INDEX($AB$1004:$AQ$1004,1,MATCH(COLUMNS($AB$1006:AI1006),$AB$1006:$AQ$1006,0)))),"Fix")))</f>
        <v>0</v>
      </c>
      <c r="J450" s="4">
        <f>IF(OR(INDEX($V$2:$V$1001,MATCH(ROWS($U$2:U450),$U$2:$U$1001,0),1)&gt;=100000,INDEX($AB$1005:$AQ$1005,1,MATCH(COLUMNS($AB$1006:AJ1006),$AB$1006:$AQ$1006,0))&gt;=100000), " ",IF(INDEX($AB$2:$AQ$1001,MATCH(ROWS($U$2:U450),$U$2:$U$1001,0),MATCH(COLUMNS($AB$1006:AJ1006),$AB$1006:$AQ$1006,0)), HYPERLINK("#",""), HYPERLINK(CONCATENATE("#metadata!", ADDRESS(INDEX($W$2:$W$1001,MATCH(ROWS($U$2:U450),$U$2:$U$1001,0),0), INDEX($AB$1004:$AQ$1004,1,MATCH(COLUMNS($AB$1006:AJ1006),$AB$1006:$AQ$1006,0)))),"Fix")))</f>
        <v>0</v>
      </c>
      <c r="K450" s="4">
        <f>IF(OR(INDEX($V$2:$V$1001,MATCH(ROWS($U$2:U450),$U$2:$U$1001,0),1)&gt;=100000,INDEX($AB$1005:$AQ$1005,1,MATCH(COLUMNS($AB$1006:AK1006),$AB$1006:$AQ$1006,0))&gt;=100000), " ",IF(INDEX($AB$2:$AQ$1001,MATCH(ROWS($U$2:U450),$U$2:$U$1001,0),MATCH(COLUMNS($AB$1006:AK1006),$AB$1006:$AQ$1006,0)), HYPERLINK("#",""), HYPERLINK(CONCATENATE("#metadata!", ADDRESS(INDEX($W$2:$W$1001,MATCH(ROWS($U$2:U450),$U$2:$U$1001,0),0), INDEX($AB$1004:$AQ$1004,1,MATCH(COLUMNS($AB$1006:AK1006),$AB$1006:$AQ$1006,0)))),"Fix")))</f>
        <v>0</v>
      </c>
      <c r="L450" s="4">
        <f>IF(OR(INDEX($V$2:$V$1001,MATCH(ROWS($U$2:U450),$U$2:$U$1001,0),1)&gt;=100000,INDEX($AB$1005:$AQ$1005,1,MATCH(COLUMNS($AB$1006:AL1006),$AB$1006:$AQ$1006,0))&gt;=100000), " ",IF(INDEX($AB$2:$AQ$1001,MATCH(ROWS($U$2:U450),$U$2:$U$1001,0),MATCH(COLUMNS($AB$1006:AL1006),$AB$1006:$AQ$1006,0)), HYPERLINK("#",""), HYPERLINK(CONCATENATE("#metadata!", ADDRESS(INDEX($W$2:$W$1001,MATCH(ROWS($U$2:U450),$U$2:$U$1001,0),0), INDEX($AB$1004:$AQ$1004,1,MATCH(COLUMNS($AB$1006:AL1006),$AB$1006:$AQ$1006,0)))),"Fix")))</f>
        <v>0</v>
      </c>
      <c r="M450" s="4">
        <f>IF(OR(INDEX($V$2:$V$1001,MATCH(ROWS($U$2:U450),$U$2:$U$1001,0),1)&gt;=100000,INDEX($AB$1005:$AQ$1005,1,MATCH(COLUMNS($AB$1006:AM1006),$AB$1006:$AQ$1006,0))&gt;=100000), " ",IF(INDEX($AB$2:$AQ$1001,MATCH(ROWS($U$2:U450),$U$2:$U$1001,0),MATCH(COLUMNS($AB$1006:AM1006),$AB$1006:$AQ$1006,0)), HYPERLINK("#",""), HYPERLINK(CONCATENATE("#metadata!", ADDRESS(INDEX($W$2:$W$1001,MATCH(ROWS($U$2:U450),$U$2:$U$1001,0),0), INDEX($AB$1004:$AQ$1004,1,MATCH(COLUMNS($AB$1006:AM1006),$AB$1006:$AQ$1006,0)))),"Fix")))</f>
        <v>0</v>
      </c>
      <c r="N450" s="4">
        <f>IF(OR(INDEX($V$2:$V$1001,MATCH(ROWS($U$2:U450),$U$2:$U$1001,0),1)&gt;=100000,INDEX($AB$1005:$AQ$1005,1,MATCH(COLUMNS($AB$1006:AN1006),$AB$1006:$AQ$1006,0))&gt;=100000), " ",IF(INDEX($AB$2:$AQ$1001,MATCH(ROWS($U$2:U450),$U$2:$U$1001,0),MATCH(COLUMNS($AB$1006:AN1006),$AB$1006:$AQ$1006,0)), HYPERLINK("#",""), HYPERLINK(CONCATENATE("#metadata!", ADDRESS(INDEX($W$2:$W$1001,MATCH(ROWS($U$2:U450),$U$2:$U$1001,0),0), INDEX($AB$1004:$AQ$1004,1,MATCH(COLUMNS($AB$1006:AN1006),$AB$1006:$AQ$1006,0)))),"Fix")))</f>
        <v>0</v>
      </c>
      <c r="O450" s="4">
        <f>IF(OR(INDEX($V$2:$V$1001,MATCH(ROWS($U$2:U450),$U$2:$U$1001,0),1)&gt;=100000,INDEX($AB$1005:$AQ$1005,1,MATCH(COLUMNS($AB$1006:AO1006),$AB$1006:$AQ$1006,0))&gt;=100000), " ",IF(INDEX($AB$2:$AQ$1001,MATCH(ROWS($U$2:U450),$U$2:$U$1001,0),MATCH(COLUMNS($AB$1006:AO1006),$AB$1006:$AQ$1006,0)), HYPERLINK("#",""), HYPERLINK(CONCATENATE("#metadata!", ADDRESS(INDEX($W$2:$W$1001,MATCH(ROWS($U$2:U450),$U$2:$U$1001,0),0), INDEX($AB$1004:$AQ$1004,1,MATCH(COLUMNS($AB$1006:AO1006),$AB$1006:$AQ$1006,0)))),"Fix")))</f>
        <v>0</v>
      </c>
      <c r="P450" s="4">
        <f>IF(OR(INDEX($V$2:$V$1001,MATCH(ROWS($U$2:U450),$U$2:$U$1001,0),1)&gt;=100000,INDEX($AB$1005:$AQ$1005,1,MATCH(COLUMNS($AB$1006:AP1006),$AB$1006:$AQ$1006,0))&gt;=100000), " ",IF(INDEX($AB$2:$AQ$1001,MATCH(ROWS($U$2:U450),$U$2:$U$1001,0),MATCH(COLUMNS($AB$1006:AP1006),$AB$1006:$AQ$1006,0)), HYPERLINK("#",""), HYPERLINK(CONCATENATE("#metadata!", ADDRESS(INDEX($W$2:$W$1001,MATCH(ROWS($U$2:U450),$U$2:$U$1001,0),0), INDEX($AB$1004:$AQ$1004,1,MATCH(COLUMNS($AB$1006:AP1006),$AB$1006:$AQ$1006,0)))),"Fix")))</f>
        <v>0</v>
      </c>
      <c r="Q450" s="4">
        <f>IF(OR(INDEX($V$2:$V$1001,MATCH(ROWS($U$2:U450),$U$2:$U$1001,0),1)&gt;=100000,INDEX($AB$1005:$AQ$1005,1,MATCH(COLUMNS($AB$1006:AQ1006),$AB$1006:$AQ$1006,0))&gt;=100000), " ",IF(INDEX($AB$2:$AQ$1001,MATCH(ROWS($U$2:U450),$U$2:$U$1001,0),MATCH(COLUMNS($AB$1006:AQ1006),$AB$1006:$AQ$1006,0)), HYPERLINK("#",""), HYPERLINK(CONCATENATE("#metadata!", ADDRESS(INDEX($W$2:$W$1001,MATCH(ROWS($U$2:U450),$U$2:$U$1001,0),0), INDEX($AB$1004:$AQ$1004,1,MATCH(COLUMNS($AB$1006:AQ1006),$AB$1006:$AQ$1006,0)))),"Fix")))</f>
        <v>0</v>
      </c>
      <c r="U450">
        <v>0</v>
      </c>
      <c r="V450">
        <v>0</v>
      </c>
      <c r="W450">
        <v>0</v>
      </c>
      <c r="X450">
        <f>IF(Y450,TRUE,AND(AB450:AQ450))</f>
        <v>0</v>
      </c>
      <c r="Y450">
        <f>COUNTBLANK(metadata!B450:Q450)=COLUMNS(metadata!B450:Q450)</f>
        <v>0</v>
      </c>
      <c r="Z450">
        <v>0</v>
      </c>
      <c r="AB450">
        <f>AND(IF(metadata!B450="",FALSE,TRUE),COUNTIF(metadata!B:B, metadata!B450) = 1,NOT(ISERROR(SUMPRODUCT(SEARCH(MID(metadata!B450,ROW(INDIRECT("1:"&amp;LEN(metadata!B450))), 1),"0123456789abcdefghijklmnopqrstuvwxyzABCDEFGHIJKLMNOPQRSTUVWXYZ.")))))</f>
        <v>0</v>
      </c>
      <c r="AC450">
        <f>OR(AND(IF(metadata!C450="",FALSE,TRUE),OR(exact(metadata!C450,"missing: not collected"),exact(metadata!C450,"missing: not provided"),exact(metadata!C450,"missing: restricted access"))),AND(IF(metadata!C450="",FALSE,TRUE),AND(AND(IFERROR(INT(LEFT(metadata!C450,4))&gt;1900,FALSE),IFERROR(INT(LEFT(metadata!C450,4))&lt;=YEAR(NOW()),FALSE)), OR(MID(metadata!C450,5,1)="", AND(AND(MID(metadata!C450,5,1)="-",IFERROR(INT(MID(metadata!C450,6,1))&gt;=0,FALSE),IFERROR(INT(MID(metadata!C450,6,1))&lt;=1,FALSE),NOT(MID(metadata!C450,7,1)=""),IFERROR(INT(MID(metadata!C450,6,2))&gt;=1,FALSE),IFERROR(INT(MID(metadata!C450,6,2))&lt;=12,FALSE)), OR(MID(metadata!C450,8,1)="", AND(AND(MID(metadata!C450,8,1)="-",IFERROR(INT(MID(metadata!C450,9,1))&gt;=0,FALSE),IFERROR(INT(MID(metadata!C450,9,1))&lt;=3,FALSE),NOT(MID(metadata!C450,10,1)=""),IFERROR(INT(MID(metadata!C450,9,2))&gt;=1,FALSE),IFERROR(INT(MID(metadata!C450,9,2))&lt;=31,FALSE)), OR(MID(metadata!C450,11,1)="", AND(AND(MID(metadata!C450,11,1)=" ",IFERROR(INT(MID(metadata!C450,12,1))&gt;=0,FALSE),IFERROR(INT(MID(metadata!C450,12,1))&lt;=2,FALSE),NOT(MID(metadata!C450,13,1)=""),IFERROR(INT(MID(metadata!C450,12,2))&gt;=0,FALSE),IFERROR(INT(MID(metadata!C450,12,2))&lt;=23,FALSE)), OR(MID(metadata!C450,14,1)="", AND(AND(MID(metadata!C450,14,1)=":",IFERROR(INT(MID(metadata!C450,15,1))&gt;=0,FALSE),IFERROR(INT(MID(metadata!C450,15,1))&lt;=5,FALSE),NOT(MID(metadata!C450,16,1)=""),IFERROR(INT(MID(metadata!C450,15,2))&gt;=0,FALSE),IFERROR(INT(MID(metadata!C450,15,2))&lt;=59,FALSE)), OR(MID(metadata!C450,17,1)="", AND(AND(MID(metadata!C450,17,1)=":",IFERROR(INT(MID(metadata!C450,18,1))&gt;=0,FALSE),IFERROR(INT(MID(metadata!C450,18,1))&lt;=5,FALSE),NOT(MID(metadata!C450,19,1)=""),IFERROR(INT(MID(metadata!C450,18,2))&gt;=0,FALSE),IFERROR(INT(MID(metadata!C450,18,2))&lt;=59,FALSE)), LEN(metadata!C450)&lt;=19)))))))))))))</f>
        <v>0</v>
      </c>
      <c r="AD450">
        <f>IF(metadata!D450="",FALSE,TRUE)</f>
        <v>0</v>
      </c>
      <c r="AE450">
        <f>OR(AND(IF(metadata!E450="",FALSE,TRUE),OR(exact(metadata!E450,"missing: not collected"),exact(metadata!E450,"missing: not provided"))),AND(IF(metadata!E450="",FALSE,TRUE),OR(exact(metadata!E450,"TRUE"),exact(metadata!E450,"FALSE"))))</f>
        <v>0</v>
      </c>
      <c r="AF450">
        <f>IF(metadata!F450="",FALSE,TRUE)</f>
        <v>0</v>
      </c>
      <c r="AG450">
        <f>IF(metadata!G450="",FALSE,TRUE)</f>
        <v>0</v>
      </c>
      <c r="AH450">
        <f>IF(metadata!H450="",FALSE,TRUE)</f>
        <v>0</v>
      </c>
      <c r="AI450">
        <f>OR(AND(IF(metadata!I450="",FALSE,TRUE),OR(exact(metadata!I450,"missing: not collected"),exact(metadata!I450,"missing: not provided"),exact(metadata!I450,"missing: restricted access"))),AND(IF(metadata!I450="",FALSE,TRUE),OR(exact(metadata!I450,"air"),exact(metadata!I450,"built environment"),exact(metadata!I450,"host-associated"),exact(metadata!I450,"human-associated"),exact(metadata!I450,"human-skin"),exact(metadata!I450,"human-oral"),exact(metadata!I450,"human-gut"),exact(metadata!I450,"human-vaginal"),exact(metadata!I450,"microbial mat/biofilm"),exact(metadata!I450,"misc environment"),exact(metadata!I450,"plant-associated"),exact(metadata!I450,"sediment"),exact(metadata!I450,"soil"),exact(metadata!I450,"wastewater/sludge"),exact(metadata!I450,"water"))))</f>
        <v>0</v>
      </c>
      <c r="AJ450">
        <f>IF(metadata!J450="",FALSE,TRUE)</f>
        <v>0</v>
      </c>
      <c r="AK450">
        <f>OR(AND(IF(metadata!K450="",FALSE,TRUE),OR(exact(metadata!K450,"missing: not collected"),exact(metadata!K450,"missing: not provided"),exact(metadata!K450,"missing: restricted access"))),AND(IF(metadata!K450="",FALSE,ISNUMBER(VALUE(metadata!K450))),metadata!K450&gt;=-90.00,metadata!K450&lt;=90.00))</f>
        <v>0</v>
      </c>
      <c r="AL450">
        <f>OR(AND(IF(metadata!L450="",FALSE,TRUE),OR(exact(metadata!L450,"missing: not collected"),exact(metadata!L450,"missing: not provided"),exact(metadata!L450,"missing: restricted access"))),AND(IF(metadata!L450="",FALSE,ISNUMBER(VALUE(metadata!L450))),metadata!L450&gt;=-180.00,metadata!L450&lt;=180.00))</f>
        <v>0</v>
      </c>
      <c r="AM450">
        <f>IF(metadata!M450="",FALSE,TRUE)</f>
        <v>0</v>
      </c>
      <c r="AN450">
        <f>OR(AND(IF(metadata!N450="",FALSE,TRUE),OR(exact(metadata!N450,"missing: not collected"),exact(metadata!N450,"missing: not provided"),exact(metadata!N450,"missing: restricted access"))),AND(IF(metadata!N450="",FALSE,TRUE),OR(exact(metadata!N450,"TRUE"),exact(metadata!N450,"FALSE"))))</f>
        <v>0</v>
      </c>
      <c r="AO450">
        <f>IF(metadata!O450="",FALSE,TRUE)</f>
        <v>0</v>
      </c>
      <c r="AP450">
        <f>OR(AND(IF(metadata!P450="",FALSE,TRUE),OR(exact(metadata!P450,"missing: not collected"),exact(metadata!P450,"missing: not provided"))),AND(IF(metadata!P450="",FALSE,IF(ISERROR(INT(metadata!P450)),FALSE,INT(metadata!P450)=metadata!P450)),metadata!P450&gt;0))</f>
        <v>0</v>
      </c>
      <c r="AQ450">
        <f>IF(metadata!Q450="",FALSE,TRUE)</f>
        <v>0</v>
      </c>
    </row>
    <row r="451" spans="1:43">
      <c r="A451" s="5">
        <f>IF(B451=" "," ",HYPERLINK(CONCATENATE("#metadata!",ADDRESS(INDEX($W$2:$W$1001,MATCH(ROWS($U$2:U451),$U$2:$U$1001,0),0),1)),INDEX($Z$2:$Z$1001,MATCH(ROWS($U$2:U451),$U$2:$U$1001,0),0)))</f>
        <v>0</v>
      </c>
      <c r="B451" s="4">
        <f>IF(OR(INDEX($V$2:$V$1001,MATCH(ROWS($U$2:U451),$U$2:$U$1001,0),1)&gt;=100000,INDEX($AB$1005:$AQ$1005,1,MATCH(COLUMNS($AB$1006:AB1006),$AB$1006:$AQ$1006,0))&gt;=100000), " ",IF(INDEX($AB$2:$AQ$1001,MATCH(ROWS($U$2:U451),$U$2:$U$1001,0),MATCH(COLUMNS($AB$1006:AB1006),$AB$1006:$AQ$1006,0)), HYPERLINK("#",""), HYPERLINK(CONCATENATE("#metadata!", ADDRESS(INDEX($W$2:$W$1001,MATCH(ROWS($U$2:U451),$U$2:$U$1001,0),0), INDEX($AB$1004:$AQ$1004,1,MATCH(COLUMNS($AB$1006:AB1006),$AB$1006:$AQ$1006,0)))),"Fix")))</f>
        <v>0</v>
      </c>
      <c r="C451" s="4">
        <f>IF(OR(INDEX($V$2:$V$1001,MATCH(ROWS($U$2:U451),$U$2:$U$1001,0),1)&gt;=100000,INDEX($AB$1005:$AQ$1005,1,MATCH(COLUMNS($AB$1006:AC1006),$AB$1006:$AQ$1006,0))&gt;=100000), " ",IF(INDEX($AB$2:$AQ$1001,MATCH(ROWS($U$2:U451),$U$2:$U$1001,0),MATCH(COLUMNS($AB$1006:AC1006),$AB$1006:$AQ$1006,0)), HYPERLINK("#",""), HYPERLINK(CONCATENATE("#metadata!", ADDRESS(INDEX($W$2:$W$1001,MATCH(ROWS($U$2:U451),$U$2:$U$1001,0),0), INDEX($AB$1004:$AQ$1004,1,MATCH(COLUMNS($AB$1006:AC1006),$AB$1006:$AQ$1006,0)))),"Fix")))</f>
        <v>0</v>
      </c>
      <c r="D451" s="4">
        <f>IF(OR(INDEX($V$2:$V$1001,MATCH(ROWS($U$2:U451),$U$2:$U$1001,0),1)&gt;=100000,INDEX($AB$1005:$AQ$1005,1,MATCH(COLUMNS($AB$1006:AD1006),$AB$1006:$AQ$1006,0))&gt;=100000), " ",IF(INDEX($AB$2:$AQ$1001,MATCH(ROWS($U$2:U451),$U$2:$U$1001,0),MATCH(COLUMNS($AB$1006:AD1006),$AB$1006:$AQ$1006,0)), HYPERLINK("#",""), HYPERLINK(CONCATENATE("#metadata!", ADDRESS(INDEX($W$2:$W$1001,MATCH(ROWS($U$2:U451),$U$2:$U$1001,0),0), INDEX($AB$1004:$AQ$1004,1,MATCH(COLUMNS($AB$1006:AD1006),$AB$1006:$AQ$1006,0)))),"Fix")))</f>
        <v>0</v>
      </c>
      <c r="E451" s="4">
        <f>IF(OR(INDEX($V$2:$V$1001,MATCH(ROWS($U$2:U451),$U$2:$U$1001,0),1)&gt;=100000,INDEX($AB$1005:$AQ$1005,1,MATCH(COLUMNS($AB$1006:AE1006),$AB$1006:$AQ$1006,0))&gt;=100000), " ",IF(INDEX($AB$2:$AQ$1001,MATCH(ROWS($U$2:U451),$U$2:$U$1001,0),MATCH(COLUMNS($AB$1006:AE1006),$AB$1006:$AQ$1006,0)), HYPERLINK("#",""), HYPERLINK(CONCATENATE("#metadata!", ADDRESS(INDEX($W$2:$W$1001,MATCH(ROWS($U$2:U451),$U$2:$U$1001,0),0), INDEX($AB$1004:$AQ$1004,1,MATCH(COLUMNS($AB$1006:AE1006),$AB$1006:$AQ$1006,0)))),"Fix")))</f>
        <v>0</v>
      </c>
      <c r="F451" s="4">
        <f>IF(OR(INDEX($V$2:$V$1001,MATCH(ROWS($U$2:U451),$U$2:$U$1001,0),1)&gt;=100000,INDEX($AB$1005:$AQ$1005,1,MATCH(COLUMNS($AB$1006:AF1006),$AB$1006:$AQ$1006,0))&gt;=100000), " ",IF(INDEX($AB$2:$AQ$1001,MATCH(ROWS($U$2:U451),$U$2:$U$1001,0),MATCH(COLUMNS($AB$1006:AF1006),$AB$1006:$AQ$1006,0)), HYPERLINK("#",""), HYPERLINK(CONCATENATE("#metadata!", ADDRESS(INDEX($W$2:$W$1001,MATCH(ROWS($U$2:U451),$U$2:$U$1001,0),0), INDEX($AB$1004:$AQ$1004,1,MATCH(COLUMNS($AB$1006:AF1006),$AB$1006:$AQ$1006,0)))),"Fix")))</f>
        <v>0</v>
      </c>
      <c r="G451" s="4">
        <f>IF(OR(INDEX($V$2:$V$1001,MATCH(ROWS($U$2:U451),$U$2:$U$1001,0),1)&gt;=100000,INDEX($AB$1005:$AQ$1005,1,MATCH(COLUMNS($AB$1006:AG1006),$AB$1006:$AQ$1006,0))&gt;=100000), " ",IF(INDEX($AB$2:$AQ$1001,MATCH(ROWS($U$2:U451),$U$2:$U$1001,0),MATCH(COLUMNS($AB$1006:AG1006),$AB$1006:$AQ$1006,0)), HYPERLINK("#",""), HYPERLINK(CONCATENATE("#metadata!", ADDRESS(INDEX($W$2:$W$1001,MATCH(ROWS($U$2:U451),$U$2:$U$1001,0),0), INDEX($AB$1004:$AQ$1004,1,MATCH(COLUMNS($AB$1006:AG1006),$AB$1006:$AQ$1006,0)))),"Fix")))</f>
        <v>0</v>
      </c>
      <c r="H451" s="4">
        <f>IF(OR(INDEX($V$2:$V$1001,MATCH(ROWS($U$2:U451),$U$2:$U$1001,0),1)&gt;=100000,INDEX($AB$1005:$AQ$1005,1,MATCH(COLUMNS($AB$1006:AH1006),$AB$1006:$AQ$1006,0))&gt;=100000), " ",IF(INDEX($AB$2:$AQ$1001,MATCH(ROWS($U$2:U451),$U$2:$U$1001,0),MATCH(COLUMNS($AB$1006:AH1006),$AB$1006:$AQ$1006,0)), HYPERLINK("#",""), HYPERLINK(CONCATENATE("#metadata!", ADDRESS(INDEX($W$2:$W$1001,MATCH(ROWS($U$2:U451),$U$2:$U$1001,0),0), INDEX($AB$1004:$AQ$1004,1,MATCH(COLUMNS($AB$1006:AH1006),$AB$1006:$AQ$1006,0)))),"Fix")))</f>
        <v>0</v>
      </c>
      <c r="I451" s="4">
        <f>IF(OR(INDEX($V$2:$V$1001,MATCH(ROWS($U$2:U451),$U$2:$U$1001,0),1)&gt;=100000,INDEX($AB$1005:$AQ$1005,1,MATCH(COLUMNS($AB$1006:AI1006),$AB$1006:$AQ$1006,0))&gt;=100000), " ",IF(INDEX($AB$2:$AQ$1001,MATCH(ROWS($U$2:U451),$U$2:$U$1001,0),MATCH(COLUMNS($AB$1006:AI1006),$AB$1006:$AQ$1006,0)), HYPERLINK("#",""), HYPERLINK(CONCATENATE("#metadata!", ADDRESS(INDEX($W$2:$W$1001,MATCH(ROWS($U$2:U451),$U$2:$U$1001,0),0), INDEX($AB$1004:$AQ$1004,1,MATCH(COLUMNS($AB$1006:AI1006),$AB$1006:$AQ$1006,0)))),"Fix")))</f>
        <v>0</v>
      </c>
      <c r="J451" s="4">
        <f>IF(OR(INDEX($V$2:$V$1001,MATCH(ROWS($U$2:U451),$U$2:$U$1001,0),1)&gt;=100000,INDEX($AB$1005:$AQ$1005,1,MATCH(COLUMNS($AB$1006:AJ1006),$AB$1006:$AQ$1006,0))&gt;=100000), " ",IF(INDEX($AB$2:$AQ$1001,MATCH(ROWS($U$2:U451),$U$2:$U$1001,0),MATCH(COLUMNS($AB$1006:AJ1006),$AB$1006:$AQ$1006,0)), HYPERLINK("#",""), HYPERLINK(CONCATENATE("#metadata!", ADDRESS(INDEX($W$2:$W$1001,MATCH(ROWS($U$2:U451),$U$2:$U$1001,0),0), INDEX($AB$1004:$AQ$1004,1,MATCH(COLUMNS($AB$1006:AJ1006),$AB$1006:$AQ$1006,0)))),"Fix")))</f>
        <v>0</v>
      </c>
      <c r="K451" s="4">
        <f>IF(OR(INDEX($V$2:$V$1001,MATCH(ROWS($U$2:U451),$U$2:$U$1001,0),1)&gt;=100000,INDEX($AB$1005:$AQ$1005,1,MATCH(COLUMNS($AB$1006:AK1006),$AB$1006:$AQ$1006,0))&gt;=100000), " ",IF(INDEX($AB$2:$AQ$1001,MATCH(ROWS($U$2:U451),$U$2:$U$1001,0),MATCH(COLUMNS($AB$1006:AK1006),$AB$1006:$AQ$1006,0)), HYPERLINK("#",""), HYPERLINK(CONCATENATE("#metadata!", ADDRESS(INDEX($W$2:$W$1001,MATCH(ROWS($U$2:U451),$U$2:$U$1001,0),0), INDEX($AB$1004:$AQ$1004,1,MATCH(COLUMNS($AB$1006:AK1006),$AB$1006:$AQ$1006,0)))),"Fix")))</f>
        <v>0</v>
      </c>
      <c r="L451" s="4">
        <f>IF(OR(INDEX($V$2:$V$1001,MATCH(ROWS($U$2:U451),$U$2:$U$1001,0),1)&gt;=100000,INDEX($AB$1005:$AQ$1005,1,MATCH(COLUMNS($AB$1006:AL1006),$AB$1006:$AQ$1006,0))&gt;=100000), " ",IF(INDEX($AB$2:$AQ$1001,MATCH(ROWS($U$2:U451),$U$2:$U$1001,0),MATCH(COLUMNS($AB$1006:AL1006),$AB$1006:$AQ$1006,0)), HYPERLINK("#",""), HYPERLINK(CONCATENATE("#metadata!", ADDRESS(INDEX($W$2:$W$1001,MATCH(ROWS($U$2:U451),$U$2:$U$1001,0),0), INDEX($AB$1004:$AQ$1004,1,MATCH(COLUMNS($AB$1006:AL1006),$AB$1006:$AQ$1006,0)))),"Fix")))</f>
        <v>0</v>
      </c>
      <c r="M451" s="4">
        <f>IF(OR(INDEX($V$2:$V$1001,MATCH(ROWS($U$2:U451),$U$2:$U$1001,0),1)&gt;=100000,INDEX($AB$1005:$AQ$1005,1,MATCH(COLUMNS($AB$1006:AM1006),$AB$1006:$AQ$1006,0))&gt;=100000), " ",IF(INDEX($AB$2:$AQ$1001,MATCH(ROWS($U$2:U451),$U$2:$U$1001,0),MATCH(COLUMNS($AB$1006:AM1006),$AB$1006:$AQ$1006,0)), HYPERLINK("#",""), HYPERLINK(CONCATENATE("#metadata!", ADDRESS(INDEX($W$2:$W$1001,MATCH(ROWS($U$2:U451),$U$2:$U$1001,0),0), INDEX($AB$1004:$AQ$1004,1,MATCH(COLUMNS($AB$1006:AM1006),$AB$1006:$AQ$1006,0)))),"Fix")))</f>
        <v>0</v>
      </c>
      <c r="N451" s="4">
        <f>IF(OR(INDEX($V$2:$V$1001,MATCH(ROWS($U$2:U451),$U$2:$U$1001,0),1)&gt;=100000,INDEX($AB$1005:$AQ$1005,1,MATCH(COLUMNS($AB$1006:AN1006),$AB$1006:$AQ$1006,0))&gt;=100000), " ",IF(INDEX($AB$2:$AQ$1001,MATCH(ROWS($U$2:U451),$U$2:$U$1001,0),MATCH(COLUMNS($AB$1006:AN1006),$AB$1006:$AQ$1006,0)), HYPERLINK("#",""), HYPERLINK(CONCATENATE("#metadata!", ADDRESS(INDEX($W$2:$W$1001,MATCH(ROWS($U$2:U451),$U$2:$U$1001,0),0), INDEX($AB$1004:$AQ$1004,1,MATCH(COLUMNS($AB$1006:AN1006),$AB$1006:$AQ$1006,0)))),"Fix")))</f>
        <v>0</v>
      </c>
      <c r="O451" s="4">
        <f>IF(OR(INDEX($V$2:$V$1001,MATCH(ROWS($U$2:U451),$U$2:$U$1001,0),1)&gt;=100000,INDEX($AB$1005:$AQ$1005,1,MATCH(COLUMNS($AB$1006:AO1006),$AB$1006:$AQ$1006,0))&gt;=100000), " ",IF(INDEX($AB$2:$AQ$1001,MATCH(ROWS($U$2:U451),$U$2:$U$1001,0),MATCH(COLUMNS($AB$1006:AO1006),$AB$1006:$AQ$1006,0)), HYPERLINK("#",""), HYPERLINK(CONCATENATE("#metadata!", ADDRESS(INDEX($W$2:$W$1001,MATCH(ROWS($U$2:U451),$U$2:$U$1001,0),0), INDEX($AB$1004:$AQ$1004,1,MATCH(COLUMNS($AB$1006:AO1006),$AB$1006:$AQ$1006,0)))),"Fix")))</f>
        <v>0</v>
      </c>
      <c r="P451" s="4">
        <f>IF(OR(INDEX($V$2:$V$1001,MATCH(ROWS($U$2:U451),$U$2:$U$1001,0),1)&gt;=100000,INDEX($AB$1005:$AQ$1005,1,MATCH(COLUMNS($AB$1006:AP1006),$AB$1006:$AQ$1006,0))&gt;=100000), " ",IF(INDEX($AB$2:$AQ$1001,MATCH(ROWS($U$2:U451),$U$2:$U$1001,0),MATCH(COLUMNS($AB$1006:AP1006),$AB$1006:$AQ$1006,0)), HYPERLINK("#",""), HYPERLINK(CONCATENATE("#metadata!", ADDRESS(INDEX($W$2:$W$1001,MATCH(ROWS($U$2:U451),$U$2:$U$1001,0),0), INDEX($AB$1004:$AQ$1004,1,MATCH(COLUMNS($AB$1006:AP1006),$AB$1006:$AQ$1006,0)))),"Fix")))</f>
        <v>0</v>
      </c>
      <c r="Q451" s="4">
        <f>IF(OR(INDEX($V$2:$V$1001,MATCH(ROWS($U$2:U451),$U$2:$U$1001,0),1)&gt;=100000,INDEX($AB$1005:$AQ$1005,1,MATCH(COLUMNS($AB$1006:AQ1006),$AB$1006:$AQ$1006,0))&gt;=100000), " ",IF(INDEX($AB$2:$AQ$1001,MATCH(ROWS($U$2:U451),$U$2:$U$1001,0),MATCH(COLUMNS($AB$1006:AQ1006),$AB$1006:$AQ$1006,0)), HYPERLINK("#",""), HYPERLINK(CONCATENATE("#metadata!", ADDRESS(INDEX($W$2:$W$1001,MATCH(ROWS($U$2:U451),$U$2:$U$1001,0),0), INDEX($AB$1004:$AQ$1004,1,MATCH(COLUMNS($AB$1006:AQ1006),$AB$1006:$AQ$1006,0)))),"Fix")))</f>
        <v>0</v>
      </c>
      <c r="U451">
        <v>0</v>
      </c>
      <c r="V451">
        <v>0</v>
      </c>
      <c r="W451">
        <v>0</v>
      </c>
      <c r="X451">
        <f>IF(Y451,TRUE,AND(AB451:AQ451))</f>
        <v>0</v>
      </c>
      <c r="Y451">
        <f>COUNTBLANK(metadata!B451:Q451)=COLUMNS(metadata!B451:Q451)</f>
        <v>0</v>
      </c>
      <c r="Z451">
        <v>0</v>
      </c>
      <c r="AB451">
        <f>AND(IF(metadata!B451="",FALSE,TRUE),COUNTIF(metadata!B:B, metadata!B451) = 1,NOT(ISERROR(SUMPRODUCT(SEARCH(MID(metadata!B451,ROW(INDIRECT("1:"&amp;LEN(metadata!B451))), 1),"0123456789abcdefghijklmnopqrstuvwxyzABCDEFGHIJKLMNOPQRSTUVWXYZ.")))))</f>
        <v>0</v>
      </c>
      <c r="AC451">
        <f>OR(AND(IF(metadata!C451="",FALSE,TRUE),OR(exact(metadata!C451,"missing: not collected"),exact(metadata!C451,"missing: not provided"),exact(metadata!C451,"missing: restricted access"))),AND(IF(metadata!C451="",FALSE,TRUE),AND(AND(IFERROR(INT(LEFT(metadata!C451,4))&gt;1900,FALSE),IFERROR(INT(LEFT(metadata!C451,4))&lt;=YEAR(NOW()),FALSE)), OR(MID(metadata!C451,5,1)="", AND(AND(MID(metadata!C451,5,1)="-",IFERROR(INT(MID(metadata!C451,6,1))&gt;=0,FALSE),IFERROR(INT(MID(metadata!C451,6,1))&lt;=1,FALSE),NOT(MID(metadata!C451,7,1)=""),IFERROR(INT(MID(metadata!C451,6,2))&gt;=1,FALSE),IFERROR(INT(MID(metadata!C451,6,2))&lt;=12,FALSE)), OR(MID(metadata!C451,8,1)="", AND(AND(MID(metadata!C451,8,1)="-",IFERROR(INT(MID(metadata!C451,9,1))&gt;=0,FALSE),IFERROR(INT(MID(metadata!C451,9,1))&lt;=3,FALSE),NOT(MID(metadata!C451,10,1)=""),IFERROR(INT(MID(metadata!C451,9,2))&gt;=1,FALSE),IFERROR(INT(MID(metadata!C451,9,2))&lt;=31,FALSE)), OR(MID(metadata!C451,11,1)="", AND(AND(MID(metadata!C451,11,1)=" ",IFERROR(INT(MID(metadata!C451,12,1))&gt;=0,FALSE),IFERROR(INT(MID(metadata!C451,12,1))&lt;=2,FALSE),NOT(MID(metadata!C451,13,1)=""),IFERROR(INT(MID(metadata!C451,12,2))&gt;=0,FALSE),IFERROR(INT(MID(metadata!C451,12,2))&lt;=23,FALSE)), OR(MID(metadata!C451,14,1)="", AND(AND(MID(metadata!C451,14,1)=":",IFERROR(INT(MID(metadata!C451,15,1))&gt;=0,FALSE),IFERROR(INT(MID(metadata!C451,15,1))&lt;=5,FALSE),NOT(MID(metadata!C451,16,1)=""),IFERROR(INT(MID(metadata!C451,15,2))&gt;=0,FALSE),IFERROR(INT(MID(metadata!C451,15,2))&lt;=59,FALSE)), OR(MID(metadata!C451,17,1)="", AND(AND(MID(metadata!C451,17,1)=":",IFERROR(INT(MID(metadata!C451,18,1))&gt;=0,FALSE),IFERROR(INT(MID(metadata!C451,18,1))&lt;=5,FALSE),NOT(MID(metadata!C451,19,1)=""),IFERROR(INT(MID(metadata!C451,18,2))&gt;=0,FALSE),IFERROR(INT(MID(metadata!C451,18,2))&lt;=59,FALSE)), LEN(metadata!C451)&lt;=19)))))))))))))</f>
        <v>0</v>
      </c>
      <c r="AD451">
        <f>IF(metadata!D451="",FALSE,TRUE)</f>
        <v>0</v>
      </c>
      <c r="AE451">
        <f>OR(AND(IF(metadata!E451="",FALSE,TRUE),OR(exact(metadata!E451,"missing: not collected"),exact(metadata!E451,"missing: not provided"))),AND(IF(metadata!E451="",FALSE,TRUE),OR(exact(metadata!E451,"TRUE"),exact(metadata!E451,"FALSE"))))</f>
        <v>0</v>
      </c>
      <c r="AF451">
        <f>IF(metadata!F451="",FALSE,TRUE)</f>
        <v>0</v>
      </c>
      <c r="AG451">
        <f>IF(metadata!G451="",FALSE,TRUE)</f>
        <v>0</v>
      </c>
      <c r="AH451">
        <f>IF(metadata!H451="",FALSE,TRUE)</f>
        <v>0</v>
      </c>
      <c r="AI451">
        <f>OR(AND(IF(metadata!I451="",FALSE,TRUE),OR(exact(metadata!I451,"missing: not collected"),exact(metadata!I451,"missing: not provided"),exact(metadata!I451,"missing: restricted access"))),AND(IF(metadata!I451="",FALSE,TRUE),OR(exact(metadata!I451,"air"),exact(metadata!I451,"built environment"),exact(metadata!I451,"host-associated"),exact(metadata!I451,"human-associated"),exact(metadata!I451,"human-skin"),exact(metadata!I451,"human-oral"),exact(metadata!I451,"human-gut"),exact(metadata!I451,"human-vaginal"),exact(metadata!I451,"microbial mat/biofilm"),exact(metadata!I451,"misc environment"),exact(metadata!I451,"plant-associated"),exact(metadata!I451,"sediment"),exact(metadata!I451,"soil"),exact(metadata!I451,"wastewater/sludge"),exact(metadata!I451,"water"))))</f>
        <v>0</v>
      </c>
      <c r="AJ451">
        <f>IF(metadata!J451="",FALSE,TRUE)</f>
        <v>0</v>
      </c>
      <c r="AK451">
        <f>OR(AND(IF(metadata!K451="",FALSE,TRUE),OR(exact(metadata!K451,"missing: not collected"),exact(metadata!K451,"missing: not provided"),exact(metadata!K451,"missing: restricted access"))),AND(IF(metadata!K451="",FALSE,ISNUMBER(VALUE(metadata!K451))),metadata!K451&gt;=-90.00,metadata!K451&lt;=90.00))</f>
        <v>0</v>
      </c>
      <c r="AL451">
        <f>OR(AND(IF(metadata!L451="",FALSE,TRUE),OR(exact(metadata!L451,"missing: not collected"),exact(metadata!L451,"missing: not provided"),exact(metadata!L451,"missing: restricted access"))),AND(IF(metadata!L451="",FALSE,ISNUMBER(VALUE(metadata!L451))),metadata!L451&gt;=-180.00,metadata!L451&lt;=180.00))</f>
        <v>0</v>
      </c>
      <c r="AM451">
        <f>IF(metadata!M451="",FALSE,TRUE)</f>
        <v>0</v>
      </c>
      <c r="AN451">
        <f>OR(AND(IF(metadata!N451="",FALSE,TRUE),OR(exact(metadata!N451,"missing: not collected"),exact(metadata!N451,"missing: not provided"),exact(metadata!N451,"missing: restricted access"))),AND(IF(metadata!N451="",FALSE,TRUE),OR(exact(metadata!N451,"TRUE"),exact(metadata!N451,"FALSE"))))</f>
        <v>0</v>
      </c>
      <c r="AO451">
        <f>IF(metadata!O451="",FALSE,TRUE)</f>
        <v>0</v>
      </c>
      <c r="AP451">
        <f>OR(AND(IF(metadata!P451="",FALSE,TRUE),OR(exact(metadata!P451,"missing: not collected"),exact(metadata!P451,"missing: not provided"))),AND(IF(metadata!P451="",FALSE,IF(ISERROR(INT(metadata!P451)),FALSE,INT(metadata!P451)=metadata!P451)),metadata!P451&gt;0))</f>
        <v>0</v>
      </c>
      <c r="AQ451">
        <f>IF(metadata!Q451="",FALSE,TRUE)</f>
        <v>0</v>
      </c>
    </row>
    <row r="452" spans="1:43">
      <c r="A452" s="5">
        <f>IF(B452=" "," ",HYPERLINK(CONCATENATE("#metadata!",ADDRESS(INDEX($W$2:$W$1001,MATCH(ROWS($U$2:U452),$U$2:$U$1001,0),0),1)),INDEX($Z$2:$Z$1001,MATCH(ROWS($U$2:U452),$U$2:$U$1001,0),0)))</f>
        <v>0</v>
      </c>
      <c r="B452" s="4">
        <f>IF(OR(INDEX($V$2:$V$1001,MATCH(ROWS($U$2:U452),$U$2:$U$1001,0),1)&gt;=100000,INDEX($AB$1005:$AQ$1005,1,MATCH(COLUMNS($AB$1006:AB1006),$AB$1006:$AQ$1006,0))&gt;=100000), " ",IF(INDEX($AB$2:$AQ$1001,MATCH(ROWS($U$2:U452),$U$2:$U$1001,0),MATCH(COLUMNS($AB$1006:AB1006),$AB$1006:$AQ$1006,0)), HYPERLINK("#",""), HYPERLINK(CONCATENATE("#metadata!", ADDRESS(INDEX($W$2:$W$1001,MATCH(ROWS($U$2:U452),$U$2:$U$1001,0),0), INDEX($AB$1004:$AQ$1004,1,MATCH(COLUMNS($AB$1006:AB1006),$AB$1006:$AQ$1006,0)))),"Fix")))</f>
        <v>0</v>
      </c>
      <c r="C452" s="4">
        <f>IF(OR(INDEX($V$2:$V$1001,MATCH(ROWS($U$2:U452),$U$2:$U$1001,0),1)&gt;=100000,INDEX($AB$1005:$AQ$1005,1,MATCH(COLUMNS($AB$1006:AC1006),$AB$1006:$AQ$1006,0))&gt;=100000), " ",IF(INDEX($AB$2:$AQ$1001,MATCH(ROWS($U$2:U452),$U$2:$U$1001,0),MATCH(COLUMNS($AB$1006:AC1006),$AB$1006:$AQ$1006,0)), HYPERLINK("#",""), HYPERLINK(CONCATENATE("#metadata!", ADDRESS(INDEX($W$2:$W$1001,MATCH(ROWS($U$2:U452),$U$2:$U$1001,0),0), INDEX($AB$1004:$AQ$1004,1,MATCH(COLUMNS($AB$1006:AC1006),$AB$1006:$AQ$1006,0)))),"Fix")))</f>
        <v>0</v>
      </c>
      <c r="D452" s="4">
        <f>IF(OR(INDEX($V$2:$V$1001,MATCH(ROWS($U$2:U452),$U$2:$U$1001,0),1)&gt;=100000,INDEX($AB$1005:$AQ$1005,1,MATCH(COLUMNS($AB$1006:AD1006),$AB$1006:$AQ$1006,0))&gt;=100000), " ",IF(INDEX($AB$2:$AQ$1001,MATCH(ROWS($U$2:U452),$U$2:$U$1001,0),MATCH(COLUMNS($AB$1006:AD1006),$AB$1006:$AQ$1006,0)), HYPERLINK("#",""), HYPERLINK(CONCATENATE("#metadata!", ADDRESS(INDEX($W$2:$W$1001,MATCH(ROWS($U$2:U452),$U$2:$U$1001,0),0), INDEX($AB$1004:$AQ$1004,1,MATCH(COLUMNS($AB$1006:AD1006),$AB$1006:$AQ$1006,0)))),"Fix")))</f>
        <v>0</v>
      </c>
      <c r="E452" s="4">
        <f>IF(OR(INDEX($V$2:$V$1001,MATCH(ROWS($U$2:U452),$U$2:$U$1001,0),1)&gt;=100000,INDEX($AB$1005:$AQ$1005,1,MATCH(COLUMNS($AB$1006:AE1006),$AB$1006:$AQ$1006,0))&gt;=100000), " ",IF(INDEX($AB$2:$AQ$1001,MATCH(ROWS($U$2:U452),$U$2:$U$1001,0),MATCH(COLUMNS($AB$1006:AE1006),$AB$1006:$AQ$1006,0)), HYPERLINK("#",""), HYPERLINK(CONCATENATE("#metadata!", ADDRESS(INDEX($W$2:$W$1001,MATCH(ROWS($U$2:U452),$U$2:$U$1001,0),0), INDEX($AB$1004:$AQ$1004,1,MATCH(COLUMNS($AB$1006:AE1006),$AB$1006:$AQ$1006,0)))),"Fix")))</f>
        <v>0</v>
      </c>
      <c r="F452" s="4">
        <f>IF(OR(INDEX($V$2:$V$1001,MATCH(ROWS($U$2:U452),$U$2:$U$1001,0),1)&gt;=100000,INDEX($AB$1005:$AQ$1005,1,MATCH(COLUMNS($AB$1006:AF1006),$AB$1006:$AQ$1006,0))&gt;=100000), " ",IF(INDEX($AB$2:$AQ$1001,MATCH(ROWS($U$2:U452),$U$2:$U$1001,0),MATCH(COLUMNS($AB$1006:AF1006),$AB$1006:$AQ$1006,0)), HYPERLINK("#",""), HYPERLINK(CONCATENATE("#metadata!", ADDRESS(INDEX($W$2:$W$1001,MATCH(ROWS($U$2:U452),$U$2:$U$1001,0),0), INDEX($AB$1004:$AQ$1004,1,MATCH(COLUMNS($AB$1006:AF1006),$AB$1006:$AQ$1006,0)))),"Fix")))</f>
        <v>0</v>
      </c>
      <c r="G452" s="4">
        <f>IF(OR(INDEX($V$2:$V$1001,MATCH(ROWS($U$2:U452),$U$2:$U$1001,0),1)&gt;=100000,INDEX($AB$1005:$AQ$1005,1,MATCH(COLUMNS($AB$1006:AG1006),$AB$1006:$AQ$1006,0))&gt;=100000), " ",IF(INDEX($AB$2:$AQ$1001,MATCH(ROWS($U$2:U452),$U$2:$U$1001,0),MATCH(COLUMNS($AB$1006:AG1006),$AB$1006:$AQ$1006,0)), HYPERLINK("#",""), HYPERLINK(CONCATENATE("#metadata!", ADDRESS(INDEX($W$2:$W$1001,MATCH(ROWS($U$2:U452),$U$2:$U$1001,0),0), INDEX($AB$1004:$AQ$1004,1,MATCH(COLUMNS($AB$1006:AG1006),$AB$1006:$AQ$1006,0)))),"Fix")))</f>
        <v>0</v>
      </c>
      <c r="H452" s="4">
        <f>IF(OR(INDEX($V$2:$V$1001,MATCH(ROWS($U$2:U452),$U$2:$U$1001,0),1)&gt;=100000,INDEX($AB$1005:$AQ$1005,1,MATCH(COLUMNS($AB$1006:AH1006),$AB$1006:$AQ$1006,0))&gt;=100000), " ",IF(INDEX($AB$2:$AQ$1001,MATCH(ROWS($U$2:U452),$U$2:$U$1001,0),MATCH(COLUMNS($AB$1006:AH1006),$AB$1006:$AQ$1006,0)), HYPERLINK("#",""), HYPERLINK(CONCATENATE("#metadata!", ADDRESS(INDEX($W$2:$W$1001,MATCH(ROWS($U$2:U452),$U$2:$U$1001,0),0), INDEX($AB$1004:$AQ$1004,1,MATCH(COLUMNS($AB$1006:AH1006),$AB$1006:$AQ$1006,0)))),"Fix")))</f>
        <v>0</v>
      </c>
      <c r="I452" s="4">
        <f>IF(OR(INDEX($V$2:$V$1001,MATCH(ROWS($U$2:U452),$U$2:$U$1001,0),1)&gt;=100000,INDEX($AB$1005:$AQ$1005,1,MATCH(COLUMNS($AB$1006:AI1006),$AB$1006:$AQ$1006,0))&gt;=100000), " ",IF(INDEX($AB$2:$AQ$1001,MATCH(ROWS($U$2:U452),$U$2:$U$1001,0),MATCH(COLUMNS($AB$1006:AI1006),$AB$1006:$AQ$1006,0)), HYPERLINK("#",""), HYPERLINK(CONCATENATE("#metadata!", ADDRESS(INDEX($W$2:$W$1001,MATCH(ROWS($U$2:U452),$U$2:$U$1001,0),0), INDEX($AB$1004:$AQ$1004,1,MATCH(COLUMNS($AB$1006:AI1006),$AB$1006:$AQ$1006,0)))),"Fix")))</f>
        <v>0</v>
      </c>
      <c r="J452" s="4">
        <f>IF(OR(INDEX($V$2:$V$1001,MATCH(ROWS($U$2:U452),$U$2:$U$1001,0),1)&gt;=100000,INDEX($AB$1005:$AQ$1005,1,MATCH(COLUMNS($AB$1006:AJ1006),$AB$1006:$AQ$1006,0))&gt;=100000), " ",IF(INDEX($AB$2:$AQ$1001,MATCH(ROWS($U$2:U452),$U$2:$U$1001,0),MATCH(COLUMNS($AB$1006:AJ1006),$AB$1006:$AQ$1006,0)), HYPERLINK("#",""), HYPERLINK(CONCATENATE("#metadata!", ADDRESS(INDEX($W$2:$W$1001,MATCH(ROWS($U$2:U452),$U$2:$U$1001,0),0), INDEX($AB$1004:$AQ$1004,1,MATCH(COLUMNS($AB$1006:AJ1006),$AB$1006:$AQ$1006,0)))),"Fix")))</f>
        <v>0</v>
      </c>
      <c r="K452" s="4">
        <f>IF(OR(INDEX($V$2:$V$1001,MATCH(ROWS($U$2:U452),$U$2:$U$1001,0),1)&gt;=100000,INDEX($AB$1005:$AQ$1005,1,MATCH(COLUMNS($AB$1006:AK1006),$AB$1006:$AQ$1006,0))&gt;=100000), " ",IF(INDEX($AB$2:$AQ$1001,MATCH(ROWS($U$2:U452),$U$2:$U$1001,0),MATCH(COLUMNS($AB$1006:AK1006),$AB$1006:$AQ$1006,0)), HYPERLINK("#",""), HYPERLINK(CONCATENATE("#metadata!", ADDRESS(INDEX($W$2:$W$1001,MATCH(ROWS($U$2:U452),$U$2:$U$1001,0),0), INDEX($AB$1004:$AQ$1004,1,MATCH(COLUMNS($AB$1006:AK1006),$AB$1006:$AQ$1006,0)))),"Fix")))</f>
        <v>0</v>
      </c>
      <c r="L452" s="4">
        <f>IF(OR(INDEX($V$2:$V$1001,MATCH(ROWS($U$2:U452),$U$2:$U$1001,0),1)&gt;=100000,INDEX($AB$1005:$AQ$1005,1,MATCH(COLUMNS($AB$1006:AL1006),$AB$1006:$AQ$1006,0))&gt;=100000), " ",IF(INDEX($AB$2:$AQ$1001,MATCH(ROWS($U$2:U452),$U$2:$U$1001,0),MATCH(COLUMNS($AB$1006:AL1006),$AB$1006:$AQ$1006,0)), HYPERLINK("#",""), HYPERLINK(CONCATENATE("#metadata!", ADDRESS(INDEX($W$2:$W$1001,MATCH(ROWS($U$2:U452),$U$2:$U$1001,0),0), INDEX($AB$1004:$AQ$1004,1,MATCH(COLUMNS($AB$1006:AL1006),$AB$1006:$AQ$1006,0)))),"Fix")))</f>
        <v>0</v>
      </c>
      <c r="M452" s="4">
        <f>IF(OR(INDEX($V$2:$V$1001,MATCH(ROWS($U$2:U452),$U$2:$U$1001,0),1)&gt;=100000,INDEX($AB$1005:$AQ$1005,1,MATCH(COLUMNS($AB$1006:AM1006),$AB$1006:$AQ$1006,0))&gt;=100000), " ",IF(INDEX($AB$2:$AQ$1001,MATCH(ROWS($U$2:U452),$U$2:$U$1001,0),MATCH(COLUMNS($AB$1006:AM1006),$AB$1006:$AQ$1006,0)), HYPERLINK("#",""), HYPERLINK(CONCATENATE("#metadata!", ADDRESS(INDEX($W$2:$W$1001,MATCH(ROWS($U$2:U452),$U$2:$U$1001,0),0), INDEX($AB$1004:$AQ$1004,1,MATCH(COLUMNS($AB$1006:AM1006),$AB$1006:$AQ$1006,0)))),"Fix")))</f>
        <v>0</v>
      </c>
      <c r="N452" s="4">
        <f>IF(OR(INDEX($V$2:$V$1001,MATCH(ROWS($U$2:U452),$U$2:$U$1001,0),1)&gt;=100000,INDEX($AB$1005:$AQ$1005,1,MATCH(COLUMNS($AB$1006:AN1006),$AB$1006:$AQ$1006,0))&gt;=100000), " ",IF(INDEX($AB$2:$AQ$1001,MATCH(ROWS($U$2:U452),$U$2:$U$1001,0),MATCH(COLUMNS($AB$1006:AN1006),$AB$1006:$AQ$1006,0)), HYPERLINK("#",""), HYPERLINK(CONCATENATE("#metadata!", ADDRESS(INDEX($W$2:$W$1001,MATCH(ROWS($U$2:U452),$U$2:$U$1001,0),0), INDEX($AB$1004:$AQ$1004,1,MATCH(COLUMNS($AB$1006:AN1006),$AB$1006:$AQ$1006,0)))),"Fix")))</f>
        <v>0</v>
      </c>
      <c r="O452" s="4">
        <f>IF(OR(INDEX($V$2:$V$1001,MATCH(ROWS($U$2:U452),$U$2:$U$1001,0),1)&gt;=100000,INDEX($AB$1005:$AQ$1005,1,MATCH(COLUMNS($AB$1006:AO1006),$AB$1006:$AQ$1006,0))&gt;=100000), " ",IF(INDEX($AB$2:$AQ$1001,MATCH(ROWS($U$2:U452),$U$2:$U$1001,0),MATCH(COLUMNS($AB$1006:AO1006),$AB$1006:$AQ$1006,0)), HYPERLINK("#",""), HYPERLINK(CONCATENATE("#metadata!", ADDRESS(INDEX($W$2:$W$1001,MATCH(ROWS($U$2:U452),$U$2:$U$1001,0),0), INDEX($AB$1004:$AQ$1004,1,MATCH(COLUMNS($AB$1006:AO1006),$AB$1006:$AQ$1006,0)))),"Fix")))</f>
        <v>0</v>
      </c>
      <c r="P452" s="4">
        <f>IF(OR(INDEX($V$2:$V$1001,MATCH(ROWS($U$2:U452),$U$2:$U$1001,0),1)&gt;=100000,INDEX($AB$1005:$AQ$1005,1,MATCH(COLUMNS($AB$1006:AP1006),$AB$1006:$AQ$1006,0))&gt;=100000), " ",IF(INDEX($AB$2:$AQ$1001,MATCH(ROWS($U$2:U452),$U$2:$U$1001,0),MATCH(COLUMNS($AB$1006:AP1006),$AB$1006:$AQ$1006,0)), HYPERLINK("#",""), HYPERLINK(CONCATENATE("#metadata!", ADDRESS(INDEX($W$2:$W$1001,MATCH(ROWS($U$2:U452),$U$2:$U$1001,0),0), INDEX($AB$1004:$AQ$1004,1,MATCH(COLUMNS($AB$1006:AP1006),$AB$1006:$AQ$1006,0)))),"Fix")))</f>
        <v>0</v>
      </c>
      <c r="Q452" s="4">
        <f>IF(OR(INDEX($V$2:$V$1001,MATCH(ROWS($U$2:U452),$U$2:$U$1001,0),1)&gt;=100000,INDEX($AB$1005:$AQ$1005,1,MATCH(COLUMNS($AB$1006:AQ1006),$AB$1006:$AQ$1006,0))&gt;=100000), " ",IF(INDEX($AB$2:$AQ$1001,MATCH(ROWS($U$2:U452),$U$2:$U$1001,0),MATCH(COLUMNS($AB$1006:AQ1006),$AB$1006:$AQ$1006,0)), HYPERLINK("#",""), HYPERLINK(CONCATENATE("#metadata!", ADDRESS(INDEX($W$2:$W$1001,MATCH(ROWS($U$2:U452),$U$2:$U$1001,0),0), INDEX($AB$1004:$AQ$1004,1,MATCH(COLUMNS($AB$1006:AQ1006),$AB$1006:$AQ$1006,0)))),"Fix")))</f>
        <v>0</v>
      </c>
      <c r="U452">
        <v>0</v>
      </c>
      <c r="V452">
        <v>0</v>
      </c>
      <c r="W452">
        <v>0</v>
      </c>
      <c r="X452">
        <f>IF(Y452,TRUE,AND(AB452:AQ452))</f>
        <v>0</v>
      </c>
      <c r="Y452">
        <f>COUNTBLANK(metadata!B452:Q452)=COLUMNS(metadata!B452:Q452)</f>
        <v>0</v>
      </c>
      <c r="Z452">
        <v>0</v>
      </c>
      <c r="AB452">
        <f>AND(IF(metadata!B452="",FALSE,TRUE),COUNTIF(metadata!B:B, metadata!B452) = 1,NOT(ISERROR(SUMPRODUCT(SEARCH(MID(metadata!B452,ROW(INDIRECT("1:"&amp;LEN(metadata!B452))), 1),"0123456789abcdefghijklmnopqrstuvwxyzABCDEFGHIJKLMNOPQRSTUVWXYZ.")))))</f>
        <v>0</v>
      </c>
      <c r="AC452">
        <f>OR(AND(IF(metadata!C452="",FALSE,TRUE),OR(exact(metadata!C452,"missing: not collected"),exact(metadata!C452,"missing: not provided"),exact(metadata!C452,"missing: restricted access"))),AND(IF(metadata!C452="",FALSE,TRUE),AND(AND(IFERROR(INT(LEFT(metadata!C452,4))&gt;1900,FALSE),IFERROR(INT(LEFT(metadata!C452,4))&lt;=YEAR(NOW()),FALSE)), OR(MID(metadata!C452,5,1)="", AND(AND(MID(metadata!C452,5,1)="-",IFERROR(INT(MID(metadata!C452,6,1))&gt;=0,FALSE),IFERROR(INT(MID(metadata!C452,6,1))&lt;=1,FALSE),NOT(MID(metadata!C452,7,1)=""),IFERROR(INT(MID(metadata!C452,6,2))&gt;=1,FALSE),IFERROR(INT(MID(metadata!C452,6,2))&lt;=12,FALSE)), OR(MID(metadata!C452,8,1)="", AND(AND(MID(metadata!C452,8,1)="-",IFERROR(INT(MID(metadata!C452,9,1))&gt;=0,FALSE),IFERROR(INT(MID(metadata!C452,9,1))&lt;=3,FALSE),NOT(MID(metadata!C452,10,1)=""),IFERROR(INT(MID(metadata!C452,9,2))&gt;=1,FALSE),IFERROR(INT(MID(metadata!C452,9,2))&lt;=31,FALSE)), OR(MID(metadata!C452,11,1)="", AND(AND(MID(metadata!C452,11,1)=" ",IFERROR(INT(MID(metadata!C452,12,1))&gt;=0,FALSE),IFERROR(INT(MID(metadata!C452,12,1))&lt;=2,FALSE),NOT(MID(metadata!C452,13,1)=""),IFERROR(INT(MID(metadata!C452,12,2))&gt;=0,FALSE),IFERROR(INT(MID(metadata!C452,12,2))&lt;=23,FALSE)), OR(MID(metadata!C452,14,1)="", AND(AND(MID(metadata!C452,14,1)=":",IFERROR(INT(MID(metadata!C452,15,1))&gt;=0,FALSE),IFERROR(INT(MID(metadata!C452,15,1))&lt;=5,FALSE),NOT(MID(metadata!C452,16,1)=""),IFERROR(INT(MID(metadata!C452,15,2))&gt;=0,FALSE),IFERROR(INT(MID(metadata!C452,15,2))&lt;=59,FALSE)), OR(MID(metadata!C452,17,1)="", AND(AND(MID(metadata!C452,17,1)=":",IFERROR(INT(MID(metadata!C452,18,1))&gt;=0,FALSE),IFERROR(INT(MID(metadata!C452,18,1))&lt;=5,FALSE),NOT(MID(metadata!C452,19,1)=""),IFERROR(INT(MID(metadata!C452,18,2))&gt;=0,FALSE),IFERROR(INT(MID(metadata!C452,18,2))&lt;=59,FALSE)), LEN(metadata!C452)&lt;=19)))))))))))))</f>
        <v>0</v>
      </c>
      <c r="AD452">
        <f>IF(metadata!D452="",FALSE,TRUE)</f>
        <v>0</v>
      </c>
      <c r="AE452">
        <f>OR(AND(IF(metadata!E452="",FALSE,TRUE),OR(exact(metadata!E452,"missing: not collected"),exact(metadata!E452,"missing: not provided"))),AND(IF(metadata!E452="",FALSE,TRUE),OR(exact(metadata!E452,"TRUE"),exact(metadata!E452,"FALSE"))))</f>
        <v>0</v>
      </c>
      <c r="AF452">
        <f>IF(metadata!F452="",FALSE,TRUE)</f>
        <v>0</v>
      </c>
      <c r="AG452">
        <f>IF(metadata!G452="",FALSE,TRUE)</f>
        <v>0</v>
      </c>
      <c r="AH452">
        <f>IF(metadata!H452="",FALSE,TRUE)</f>
        <v>0</v>
      </c>
      <c r="AI452">
        <f>OR(AND(IF(metadata!I452="",FALSE,TRUE),OR(exact(metadata!I452,"missing: not collected"),exact(metadata!I452,"missing: not provided"),exact(metadata!I452,"missing: restricted access"))),AND(IF(metadata!I452="",FALSE,TRUE),OR(exact(metadata!I452,"air"),exact(metadata!I452,"built environment"),exact(metadata!I452,"host-associated"),exact(metadata!I452,"human-associated"),exact(metadata!I452,"human-skin"),exact(metadata!I452,"human-oral"),exact(metadata!I452,"human-gut"),exact(metadata!I452,"human-vaginal"),exact(metadata!I452,"microbial mat/biofilm"),exact(metadata!I452,"misc environment"),exact(metadata!I452,"plant-associated"),exact(metadata!I452,"sediment"),exact(metadata!I452,"soil"),exact(metadata!I452,"wastewater/sludge"),exact(metadata!I452,"water"))))</f>
        <v>0</v>
      </c>
      <c r="AJ452">
        <f>IF(metadata!J452="",FALSE,TRUE)</f>
        <v>0</v>
      </c>
      <c r="AK452">
        <f>OR(AND(IF(metadata!K452="",FALSE,TRUE),OR(exact(metadata!K452,"missing: not collected"),exact(metadata!K452,"missing: not provided"),exact(metadata!K452,"missing: restricted access"))),AND(IF(metadata!K452="",FALSE,ISNUMBER(VALUE(metadata!K452))),metadata!K452&gt;=-90.00,metadata!K452&lt;=90.00))</f>
        <v>0</v>
      </c>
      <c r="AL452">
        <f>OR(AND(IF(metadata!L452="",FALSE,TRUE),OR(exact(metadata!L452,"missing: not collected"),exact(metadata!L452,"missing: not provided"),exact(metadata!L452,"missing: restricted access"))),AND(IF(metadata!L452="",FALSE,ISNUMBER(VALUE(metadata!L452))),metadata!L452&gt;=-180.00,metadata!L452&lt;=180.00))</f>
        <v>0</v>
      </c>
      <c r="AM452">
        <f>IF(metadata!M452="",FALSE,TRUE)</f>
        <v>0</v>
      </c>
      <c r="AN452">
        <f>OR(AND(IF(metadata!N452="",FALSE,TRUE),OR(exact(metadata!N452,"missing: not collected"),exact(metadata!N452,"missing: not provided"),exact(metadata!N452,"missing: restricted access"))),AND(IF(metadata!N452="",FALSE,TRUE),OR(exact(metadata!N452,"TRUE"),exact(metadata!N452,"FALSE"))))</f>
        <v>0</v>
      </c>
      <c r="AO452">
        <f>IF(metadata!O452="",FALSE,TRUE)</f>
        <v>0</v>
      </c>
      <c r="AP452">
        <f>OR(AND(IF(metadata!P452="",FALSE,TRUE),OR(exact(metadata!P452,"missing: not collected"),exact(metadata!P452,"missing: not provided"))),AND(IF(metadata!P452="",FALSE,IF(ISERROR(INT(metadata!P452)),FALSE,INT(metadata!P452)=metadata!P452)),metadata!P452&gt;0))</f>
        <v>0</v>
      </c>
      <c r="AQ452">
        <f>IF(metadata!Q452="",FALSE,TRUE)</f>
        <v>0</v>
      </c>
    </row>
    <row r="453" spans="1:43">
      <c r="A453" s="5">
        <f>IF(B453=" "," ",HYPERLINK(CONCATENATE("#metadata!",ADDRESS(INDEX($W$2:$W$1001,MATCH(ROWS($U$2:U453),$U$2:$U$1001,0),0),1)),INDEX($Z$2:$Z$1001,MATCH(ROWS($U$2:U453),$U$2:$U$1001,0),0)))</f>
        <v>0</v>
      </c>
      <c r="B453" s="4">
        <f>IF(OR(INDEX($V$2:$V$1001,MATCH(ROWS($U$2:U453),$U$2:$U$1001,0),1)&gt;=100000,INDEX($AB$1005:$AQ$1005,1,MATCH(COLUMNS($AB$1006:AB1006),$AB$1006:$AQ$1006,0))&gt;=100000), " ",IF(INDEX($AB$2:$AQ$1001,MATCH(ROWS($U$2:U453),$U$2:$U$1001,0),MATCH(COLUMNS($AB$1006:AB1006),$AB$1006:$AQ$1006,0)), HYPERLINK("#",""), HYPERLINK(CONCATENATE("#metadata!", ADDRESS(INDEX($W$2:$W$1001,MATCH(ROWS($U$2:U453),$U$2:$U$1001,0),0), INDEX($AB$1004:$AQ$1004,1,MATCH(COLUMNS($AB$1006:AB1006),$AB$1006:$AQ$1006,0)))),"Fix")))</f>
        <v>0</v>
      </c>
      <c r="C453" s="4">
        <f>IF(OR(INDEX($V$2:$V$1001,MATCH(ROWS($U$2:U453),$U$2:$U$1001,0),1)&gt;=100000,INDEX($AB$1005:$AQ$1005,1,MATCH(COLUMNS($AB$1006:AC1006),$AB$1006:$AQ$1006,0))&gt;=100000), " ",IF(INDEX($AB$2:$AQ$1001,MATCH(ROWS($U$2:U453),$U$2:$U$1001,0),MATCH(COLUMNS($AB$1006:AC1006),$AB$1006:$AQ$1006,0)), HYPERLINK("#",""), HYPERLINK(CONCATENATE("#metadata!", ADDRESS(INDEX($W$2:$W$1001,MATCH(ROWS($U$2:U453),$U$2:$U$1001,0),0), INDEX($AB$1004:$AQ$1004,1,MATCH(COLUMNS($AB$1006:AC1006),$AB$1006:$AQ$1006,0)))),"Fix")))</f>
        <v>0</v>
      </c>
      <c r="D453" s="4">
        <f>IF(OR(INDEX($V$2:$V$1001,MATCH(ROWS($U$2:U453),$U$2:$U$1001,0),1)&gt;=100000,INDEX($AB$1005:$AQ$1005,1,MATCH(COLUMNS($AB$1006:AD1006),$AB$1006:$AQ$1006,0))&gt;=100000), " ",IF(INDEX($AB$2:$AQ$1001,MATCH(ROWS($U$2:U453),$U$2:$U$1001,0),MATCH(COLUMNS($AB$1006:AD1006),$AB$1006:$AQ$1006,0)), HYPERLINK("#",""), HYPERLINK(CONCATENATE("#metadata!", ADDRESS(INDEX($W$2:$W$1001,MATCH(ROWS($U$2:U453),$U$2:$U$1001,0),0), INDEX($AB$1004:$AQ$1004,1,MATCH(COLUMNS($AB$1006:AD1006),$AB$1006:$AQ$1006,0)))),"Fix")))</f>
        <v>0</v>
      </c>
      <c r="E453" s="4">
        <f>IF(OR(INDEX($V$2:$V$1001,MATCH(ROWS($U$2:U453),$U$2:$U$1001,0),1)&gt;=100000,INDEX($AB$1005:$AQ$1005,1,MATCH(COLUMNS($AB$1006:AE1006),$AB$1006:$AQ$1006,0))&gt;=100000), " ",IF(INDEX($AB$2:$AQ$1001,MATCH(ROWS($U$2:U453),$U$2:$U$1001,0),MATCH(COLUMNS($AB$1006:AE1006),$AB$1006:$AQ$1006,0)), HYPERLINK("#",""), HYPERLINK(CONCATENATE("#metadata!", ADDRESS(INDEX($W$2:$W$1001,MATCH(ROWS($U$2:U453),$U$2:$U$1001,0),0), INDEX($AB$1004:$AQ$1004,1,MATCH(COLUMNS($AB$1006:AE1006),$AB$1006:$AQ$1006,0)))),"Fix")))</f>
        <v>0</v>
      </c>
      <c r="F453" s="4">
        <f>IF(OR(INDEX($V$2:$V$1001,MATCH(ROWS($U$2:U453),$U$2:$U$1001,0),1)&gt;=100000,INDEX($AB$1005:$AQ$1005,1,MATCH(COLUMNS($AB$1006:AF1006),$AB$1006:$AQ$1006,0))&gt;=100000), " ",IF(INDEX($AB$2:$AQ$1001,MATCH(ROWS($U$2:U453),$U$2:$U$1001,0),MATCH(COLUMNS($AB$1006:AF1006),$AB$1006:$AQ$1006,0)), HYPERLINK("#",""), HYPERLINK(CONCATENATE("#metadata!", ADDRESS(INDEX($W$2:$W$1001,MATCH(ROWS($U$2:U453),$U$2:$U$1001,0),0), INDEX($AB$1004:$AQ$1004,1,MATCH(COLUMNS($AB$1006:AF1006),$AB$1006:$AQ$1006,0)))),"Fix")))</f>
        <v>0</v>
      </c>
      <c r="G453" s="4">
        <f>IF(OR(INDEX($V$2:$V$1001,MATCH(ROWS($U$2:U453),$U$2:$U$1001,0),1)&gt;=100000,INDEX($AB$1005:$AQ$1005,1,MATCH(COLUMNS($AB$1006:AG1006),$AB$1006:$AQ$1006,0))&gt;=100000), " ",IF(INDEX($AB$2:$AQ$1001,MATCH(ROWS($U$2:U453),$U$2:$U$1001,0),MATCH(COLUMNS($AB$1006:AG1006),$AB$1006:$AQ$1006,0)), HYPERLINK("#",""), HYPERLINK(CONCATENATE("#metadata!", ADDRESS(INDEX($W$2:$W$1001,MATCH(ROWS($U$2:U453),$U$2:$U$1001,0),0), INDEX($AB$1004:$AQ$1004,1,MATCH(COLUMNS($AB$1006:AG1006),$AB$1006:$AQ$1006,0)))),"Fix")))</f>
        <v>0</v>
      </c>
      <c r="H453" s="4">
        <f>IF(OR(INDEX($V$2:$V$1001,MATCH(ROWS($U$2:U453),$U$2:$U$1001,0),1)&gt;=100000,INDEX($AB$1005:$AQ$1005,1,MATCH(COLUMNS($AB$1006:AH1006),$AB$1006:$AQ$1006,0))&gt;=100000), " ",IF(INDEX($AB$2:$AQ$1001,MATCH(ROWS($U$2:U453),$U$2:$U$1001,0),MATCH(COLUMNS($AB$1006:AH1006),$AB$1006:$AQ$1006,0)), HYPERLINK("#",""), HYPERLINK(CONCATENATE("#metadata!", ADDRESS(INDEX($W$2:$W$1001,MATCH(ROWS($U$2:U453),$U$2:$U$1001,0),0), INDEX($AB$1004:$AQ$1004,1,MATCH(COLUMNS($AB$1006:AH1006),$AB$1006:$AQ$1006,0)))),"Fix")))</f>
        <v>0</v>
      </c>
      <c r="I453" s="4">
        <f>IF(OR(INDEX($V$2:$V$1001,MATCH(ROWS($U$2:U453),$U$2:$U$1001,0),1)&gt;=100000,INDEX($AB$1005:$AQ$1005,1,MATCH(COLUMNS($AB$1006:AI1006),$AB$1006:$AQ$1006,0))&gt;=100000), " ",IF(INDEX($AB$2:$AQ$1001,MATCH(ROWS($U$2:U453),$U$2:$U$1001,0),MATCH(COLUMNS($AB$1006:AI1006),$AB$1006:$AQ$1006,0)), HYPERLINK("#",""), HYPERLINK(CONCATENATE("#metadata!", ADDRESS(INDEX($W$2:$W$1001,MATCH(ROWS($U$2:U453),$U$2:$U$1001,0),0), INDEX($AB$1004:$AQ$1004,1,MATCH(COLUMNS($AB$1006:AI1006),$AB$1006:$AQ$1006,0)))),"Fix")))</f>
        <v>0</v>
      </c>
      <c r="J453" s="4">
        <f>IF(OR(INDEX($V$2:$V$1001,MATCH(ROWS($U$2:U453),$U$2:$U$1001,0),1)&gt;=100000,INDEX($AB$1005:$AQ$1005,1,MATCH(COLUMNS($AB$1006:AJ1006),$AB$1006:$AQ$1006,0))&gt;=100000), " ",IF(INDEX($AB$2:$AQ$1001,MATCH(ROWS($U$2:U453),$U$2:$U$1001,0),MATCH(COLUMNS($AB$1006:AJ1006),$AB$1006:$AQ$1006,0)), HYPERLINK("#",""), HYPERLINK(CONCATENATE("#metadata!", ADDRESS(INDEX($W$2:$W$1001,MATCH(ROWS($U$2:U453),$U$2:$U$1001,0),0), INDEX($AB$1004:$AQ$1004,1,MATCH(COLUMNS($AB$1006:AJ1006),$AB$1006:$AQ$1006,0)))),"Fix")))</f>
        <v>0</v>
      </c>
      <c r="K453" s="4">
        <f>IF(OR(INDEX($V$2:$V$1001,MATCH(ROWS($U$2:U453),$U$2:$U$1001,0),1)&gt;=100000,INDEX($AB$1005:$AQ$1005,1,MATCH(COLUMNS($AB$1006:AK1006),$AB$1006:$AQ$1006,0))&gt;=100000), " ",IF(INDEX($AB$2:$AQ$1001,MATCH(ROWS($U$2:U453),$U$2:$U$1001,0),MATCH(COLUMNS($AB$1006:AK1006),$AB$1006:$AQ$1006,0)), HYPERLINK("#",""), HYPERLINK(CONCATENATE("#metadata!", ADDRESS(INDEX($W$2:$W$1001,MATCH(ROWS($U$2:U453),$U$2:$U$1001,0),0), INDEX($AB$1004:$AQ$1004,1,MATCH(COLUMNS($AB$1006:AK1006),$AB$1006:$AQ$1006,0)))),"Fix")))</f>
        <v>0</v>
      </c>
      <c r="L453" s="4">
        <f>IF(OR(INDEX($V$2:$V$1001,MATCH(ROWS($U$2:U453),$U$2:$U$1001,0),1)&gt;=100000,INDEX($AB$1005:$AQ$1005,1,MATCH(COLUMNS($AB$1006:AL1006),$AB$1006:$AQ$1006,0))&gt;=100000), " ",IF(INDEX($AB$2:$AQ$1001,MATCH(ROWS($U$2:U453),$U$2:$U$1001,0),MATCH(COLUMNS($AB$1006:AL1006),$AB$1006:$AQ$1006,0)), HYPERLINK("#",""), HYPERLINK(CONCATENATE("#metadata!", ADDRESS(INDEX($W$2:$W$1001,MATCH(ROWS($U$2:U453),$U$2:$U$1001,0),0), INDEX($AB$1004:$AQ$1004,1,MATCH(COLUMNS($AB$1006:AL1006),$AB$1006:$AQ$1006,0)))),"Fix")))</f>
        <v>0</v>
      </c>
      <c r="M453" s="4">
        <f>IF(OR(INDEX($V$2:$V$1001,MATCH(ROWS($U$2:U453),$U$2:$U$1001,0),1)&gt;=100000,INDEX($AB$1005:$AQ$1005,1,MATCH(COLUMNS($AB$1006:AM1006),$AB$1006:$AQ$1006,0))&gt;=100000), " ",IF(INDEX($AB$2:$AQ$1001,MATCH(ROWS($U$2:U453),$U$2:$U$1001,0),MATCH(COLUMNS($AB$1006:AM1006),$AB$1006:$AQ$1006,0)), HYPERLINK("#",""), HYPERLINK(CONCATENATE("#metadata!", ADDRESS(INDEX($W$2:$W$1001,MATCH(ROWS($U$2:U453),$U$2:$U$1001,0),0), INDEX($AB$1004:$AQ$1004,1,MATCH(COLUMNS($AB$1006:AM1006),$AB$1006:$AQ$1006,0)))),"Fix")))</f>
        <v>0</v>
      </c>
      <c r="N453" s="4">
        <f>IF(OR(INDEX($V$2:$V$1001,MATCH(ROWS($U$2:U453),$U$2:$U$1001,0),1)&gt;=100000,INDEX($AB$1005:$AQ$1005,1,MATCH(COLUMNS($AB$1006:AN1006),$AB$1006:$AQ$1006,0))&gt;=100000), " ",IF(INDEX($AB$2:$AQ$1001,MATCH(ROWS($U$2:U453),$U$2:$U$1001,0),MATCH(COLUMNS($AB$1006:AN1006),$AB$1006:$AQ$1006,0)), HYPERLINK("#",""), HYPERLINK(CONCATENATE("#metadata!", ADDRESS(INDEX($W$2:$W$1001,MATCH(ROWS($U$2:U453),$U$2:$U$1001,0),0), INDEX($AB$1004:$AQ$1004,1,MATCH(COLUMNS($AB$1006:AN1006),$AB$1006:$AQ$1006,0)))),"Fix")))</f>
        <v>0</v>
      </c>
      <c r="O453" s="4">
        <f>IF(OR(INDEX($V$2:$V$1001,MATCH(ROWS($U$2:U453),$U$2:$U$1001,0),1)&gt;=100000,INDEX($AB$1005:$AQ$1005,1,MATCH(COLUMNS($AB$1006:AO1006),$AB$1006:$AQ$1006,0))&gt;=100000), " ",IF(INDEX($AB$2:$AQ$1001,MATCH(ROWS($U$2:U453),$U$2:$U$1001,0),MATCH(COLUMNS($AB$1006:AO1006),$AB$1006:$AQ$1006,0)), HYPERLINK("#",""), HYPERLINK(CONCATENATE("#metadata!", ADDRESS(INDEX($W$2:$W$1001,MATCH(ROWS($U$2:U453),$U$2:$U$1001,0),0), INDEX($AB$1004:$AQ$1004,1,MATCH(COLUMNS($AB$1006:AO1006),$AB$1006:$AQ$1006,0)))),"Fix")))</f>
        <v>0</v>
      </c>
      <c r="P453" s="4">
        <f>IF(OR(INDEX($V$2:$V$1001,MATCH(ROWS($U$2:U453),$U$2:$U$1001,0),1)&gt;=100000,INDEX($AB$1005:$AQ$1005,1,MATCH(COLUMNS($AB$1006:AP1006),$AB$1006:$AQ$1006,0))&gt;=100000), " ",IF(INDEX($AB$2:$AQ$1001,MATCH(ROWS($U$2:U453),$U$2:$U$1001,0),MATCH(COLUMNS($AB$1006:AP1006),$AB$1006:$AQ$1006,0)), HYPERLINK("#",""), HYPERLINK(CONCATENATE("#metadata!", ADDRESS(INDEX($W$2:$W$1001,MATCH(ROWS($U$2:U453),$U$2:$U$1001,0),0), INDEX($AB$1004:$AQ$1004,1,MATCH(COLUMNS($AB$1006:AP1006),$AB$1006:$AQ$1006,0)))),"Fix")))</f>
        <v>0</v>
      </c>
      <c r="Q453" s="4">
        <f>IF(OR(INDEX($V$2:$V$1001,MATCH(ROWS($U$2:U453),$U$2:$U$1001,0),1)&gt;=100000,INDEX($AB$1005:$AQ$1005,1,MATCH(COLUMNS($AB$1006:AQ1006),$AB$1006:$AQ$1006,0))&gt;=100000), " ",IF(INDEX($AB$2:$AQ$1001,MATCH(ROWS($U$2:U453),$U$2:$U$1001,0),MATCH(COLUMNS($AB$1006:AQ1006),$AB$1006:$AQ$1006,0)), HYPERLINK("#",""), HYPERLINK(CONCATENATE("#metadata!", ADDRESS(INDEX($W$2:$W$1001,MATCH(ROWS($U$2:U453),$U$2:$U$1001,0),0), INDEX($AB$1004:$AQ$1004,1,MATCH(COLUMNS($AB$1006:AQ1006),$AB$1006:$AQ$1006,0)))),"Fix")))</f>
        <v>0</v>
      </c>
      <c r="U453">
        <v>0</v>
      </c>
      <c r="V453">
        <v>0</v>
      </c>
      <c r="W453">
        <v>0</v>
      </c>
      <c r="X453">
        <f>IF(Y453,TRUE,AND(AB453:AQ453))</f>
        <v>0</v>
      </c>
      <c r="Y453">
        <f>COUNTBLANK(metadata!B453:Q453)=COLUMNS(metadata!B453:Q453)</f>
        <v>0</v>
      </c>
      <c r="Z453">
        <v>0</v>
      </c>
      <c r="AB453">
        <f>AND(IF(metadata!B453="",FALSE,TRUE),COUNTIF(metadata!B:B, metadata!B453) = 1,NOT(ISERROR(SUMPRODUCT(SEARCH(MID(metadata!B453,ROW(INDIRECT("1:"&amp;LEN(metadata!B453))), 1),"0123456789abcdefghijklmnopqrstuvwxyzABCDEFGHIJKLMNOPQRSTUVWXYZ.")))))</f>
        <v>0</v>
      </c>
      <c r="AC453">
        <f>OR(AND(IF(metadata!C453="",FALSE,TRUE),OR(exact(metadata!C453,"missing: not collected"),exact(metadata!C453,"missing: not provided"),exact(metadata!C453,"missing: restricted access"))),AND(IF(metadata!C453="",FALSE,TRUE),AND(AND(IFERROR(INT(LEFT(metadata!C453,4))&gt;1900,FALSE),IFERROR(INT(LEFT(metadata!C453,4))&lt;=YEAR(NOW()),FALSE)), OR(MID(metadata!C453,5,1)="", AND(AND(MID(metadata!C453,5,1)="-",IFERROR(INT(MID(metadata!C453,6,1))&gt;=0,FALSE),IFERROR(INT(MID(metadata!C453,6,1))&lt;=1,FALSE),NOT(MID(metadata!C453,7,1)=""),IFERROR(INT(MID(metadata!C453,6,2))&gt;=1,FALSE),IFERROR(INT(MID(metadata!C453,6,2))&lt;=12,FALSE)), OR(MID(metadata!C453,8,1)="", AND(AND(MID(metadata!C453,8,1)="-",IFERROR(INT(MID(metadata!C453,9,1))&gt;=0,FALSE),IFERROR(INT(MID(metadata!C453,9,1))&lt;=3,FALSE),NOT(MID(metadata!C453,10,1)=""),IFERROR(INT(MID(metadata!C453,9,2))&gt;=1,FALSE),IFERROR(INT(MID(metadata!C453,9,2))&lt;=31,FALSE)), OR(MID(metadata!C453,11,1)="", AND(AND(MID(metadata!C453,11,1)=" ",IFERROR(INT(MID(metadata!C453,12,1))&gt;=0,FALSE),IFERROR(INT(MID(metadata!C453,12,1))&lt;=2,FALSE),NOT(MID(metadata!C453,13,1)=""),IFERROR(INT(MID(metadata!C453,12,2))&gt;=0,FALSE),IFERROR(INT(MID(metadata!C453,12,2))&lt;=23,FALSE)), OR(MID(metadata!C453,14,1)="", AND(AND(MID(metadata!C453,14,1)=":",IFERROR(INT(MID(metadata!C453,15,1))&gt;=0,FALSE),IFERROR(INT(MID(metadata!C453,15,1))&lt;=5,FALSE),NOT(MID(metadata!C453,16,1)=""),IFERROR(INT(MID(metadata!C453,15,2))&gt;=0,FALSE),IFERROR(INT(MID(metadata!C453,15,2))&lt;=59,FALSE)), OR(MID(metadata!C453,17,1)="", AND(AND(MID(metadata!C453,17,1)=":",IFERROR(INT(MID(metadata!C453,18,1))&gt;=0,FALSE),IFERROR(INT(MID(metadata!C453,18,1))&lt;=5,FALSE),NOT(MID(metadata!C453,19,1)=""),IFERROR(INT(MID(metadata!C453,18,2))&gt;=0,FALSE),IFERROR(INT(MID(metadata!C453,18,2))&lt;=59,FALSE)), LEN(metadata!C453)&lt;=19)))))))))))))</f>
        <v>0</v>
      </c>
      <c r="AD453">
        <f>IF(metadata!D453="",FALSE,TRUE)</f>
        <v>0</v>
      </c>
      <c r="AE453">
        <f>OR(AND(IF(metadata!E453="",FALSE,TRUE),OR(exact(metadata!E453,"missing: not collected"),exact(metadata!E453,"missing: not provided"))),AND(IF(metadata!E453="",FALSE,TRUE),OR(exact(metadata!E453,"TRUE"),exact(metadata!E453,"FALSE"))))</f>
        <v>0</v>
      </c>
      <c r="AF453">
        <f>IF(metadata!F453="",FALSE,TRUE)</f>
        <v>0</v>
      </c>
      <c r="AG453">
        <f>IF(metadata!G453="",FALSE,TRUE)</f>
        <v>0</v>
      </c>
      <c r="AH453">
        <f>IF(metadata!H453="",FALSE,TRUE)</f>
        <v>0</v>
      </c>
      <c r="AI453">
        <f>OR(AND(IF(metadata!I453="",FALSE,TRUE),OR(exact(metadata!I453,"missing: not collected"),exact(metadata!I453,"missing: not provided"),exact(metadata!I453,"missing: restricted access"))),AND(IF(metadata!I453="",FALSE,TRUE),OR(exact(metadata!I453,"air"),exact(metadata!I453,"built environment"),exact(metadata!I453,"host-associated"),exact(metadata!I453,"human-associated"),exact(metadata!I453,"human-skin"),exact(metadata!I453,"human-oral"),exact(metadata!I453,"human-gut"),exact(metadata!I453,"human-vaginal"),exact(metadata!I453,"microbial mat/biofilm"),exact(metadata!I453,"misc environment"),exact(metadata!I453,"plant-associated"),exact(metadata!I453,"sediment"),exact(metadata!I453,"soil"),exact(metadata!I453,"wastewater/sludge"),exact(metadata!I453,"water"))))</f>
        <v>0</v>
      </c>
      <c r="AJ453">
        <f>IF(metadata!J453="",FALSE,TRUE)</f>
        <v>0</v>
      </c>
      <c r="AK453">
        <f>OR(AND(IF(metadata!K453="",FALSE,TRUE),OR(exact(metadata!K453,"missing: not collected"),exact(metadata!K453,"missing: not provided"),exact(metadata!K453,"missing: restricted access"))),AND(IF(metadata!K453="",FALSE,ISNUMBER(VALUE(metadata!K453))),metadata!K453&gt;=-90.00,metadata!K453&lt;=90.00))</f>
        <v>0</v>
      </c>
      <c r="AL453">
        <f>OR(AND(IF(metadata!L453="",FALSE,TRUE),OR(exact(metadata!L453,"missing: not collected"),exact(metadata!L453,"missing: not provided"),exact(metadata!L453,"missing: restricted access"))),AND(IF(metadata!L453="",FALSE,ISNUMBER(VALUE(metadata!L453))),metadata!L453&gt;=-180.00,metadata!L453&lt;=180.00))</f>
        <v>0</v>
      </c>
      <c r="AM453">
        <f>IF(metadata!M453="",FALSE,TRUE)</f>
        <v>0</v>
      </c>
      <c r="AN453">
        <f>OR(AND(IF(metadata!N453="",FALSE,TRUE),OR(exact(metadata!N453,"missing: not collected"),exact(metadata!N453,"missing: not provided"),exact(metadata!N453,"missing: restricted access"))),AND(IF(metadata!N453="",FALSE,TRUE),OR(exact(metadata!N453,"TRUE"),exact(metadata!N453,"FALSE"))))</f>
        <v>0</v>
      </c>
      <c r="AO453">
        <f>IF(metadata!O453="",FALSE,TRUE)</f>
        <v>0</v>
      </c>
      <c r="AP453">
        <f>OR(AND(IF(metadata!P453="",FALSE,TRUE),OR(exact(metadata!P453,"missing: not collected"),exact(metadata!P453,"missing: not provided"))),AND(IF(metadata!P453="",FALSE,IF(ISERROR(INT(metadata!P453)),FALSE,INT(metadata!P453)=metadata!P453)),metadata!P453&gt;0))</f>
        <v>0</v>
      </c>
      <c r="AQ453">
        <f>IF(metadata!Q453="",FALSE,TRUE)</f>
        <v>0</v>
      </c>
    </row>
    <row r="454" spans="1:43">
      <c r="A454" s="5">
        <f>IF(B454=" "," ",HYPERLINK(CONCATENATE("#metadata!",ADDRESS(INDEX($W$2:$W$1001,MATCH(ROWS($U$2:U454),$U$2:$U$1001,0),0),1)),INDEX($Z$2:$Z$1001,MATCH(ROWS($U$2:U454),$U$2:$U$1001,0),0)))</f>
        <v>0</v>
      </c>
      <c r="B454" s="4">
        <f>IF(OR(INDEX($V$2:$V$1001,MATCH(ROWS($U$2:U454),$U$2:$U$1001,0),1)&gt;=100000,INDEX($AB$1005:$AQ$1005,1,MATCH(COLUMNS($AB$1006:AB1006),$AB$1006:$AQ$1006,0))&gt;=100000), " ",IF(INDEX($AB$2:$AQ$1001,MATCH(ROWS($U$2:U454),$U$2:$U$1001,0),MATCH(COLUMNS($AB$1006:AB1006),$AB$1006:$AQ$1006,0)), HYPERLINK("#",""), HYPERLINK(CONCATENATE("#metadata!", ADDRESS(INDEX($W$2:$W$1001,MATCH(ROWS($U$2:U454),$U$2:$U$1001,0),0), INDEX($AB$1004:$AQ$1004,1,MATCH(COLUMNS($AB$1006:AB1006),$AB$1006:$AQ$1006,0)))),"Fix")))</f>
        <v>0</v>
      </c>
      <c r="C454" s="4">
        <f>IF(OR(INDEX($V$2:$V$1001,MATCH(ROWS($U$2:U454),$U$2:$U$1001,0),1)&gt;=100000,INDEX($AB$1005:$AQ$1005,1,MATCH(COLUMNS($AB$1006:AC1006),$AB$1006:$AQ$1006,0))&gt;=100000), " ",IF(INDEX($AB$2:$AQ$1001,MATCH(ROWS($U$2:U454),$U$2:$U$1001,0),MATCH(COLUMNS($AB$1006:AC1006),$AB$1006:$AQ$1006,0)), HYPERLINK("#",""), HYPERLINK(CONCATENATE("#metadata!", ADDRESS(INDEX($W$2:$W$1001,MATCH(ROWS($U$2:U454),$U$2:$U$1001,0),0), INDEX($AB$1004:$AQ$1004,1,MATCH(COLUMNS($AB$1006:AC1006),$AB$1006:$AQ$1006,0)))),"Fix")))</f>
        <v>0</v>
      </c>
      <c r="D454" s="4">
        <f>IF(OR(INDEX($V$2:$V$1001,MATCH(ROWS($U$2:U454),$U$2:$U$1001,0),1)&gt;=100000,INDEX($AB$1005:$AQ$1005,1,MATCH(COLUMNS($AB$1006:AD1006),$AB$1006:$AQ$1006,0))&gt;=100000), " ",IF(INDEX($AB$2:$AQ$1001,MATCH(ROWS($U$2:U454),$U$2:$U$1001,0),MATCH(COLUMNS($AB$1006:AD1006),$AB$1006:$AQ$1006,0)), HYPERLINK("#",""), HYPERLINK(CONCATENATE("#metadata!", ADDRESS(INDEX($W$2:$W$1001,MATCH(ROWS($U$2:U454),$U$2:$U$1001,0),0), INDEX($AB$1004:$AQ$1004,1,MATCH(COLUMNS($AB$1006:AD1006),$AB$1006:$AQ$1006,0)))),"Fix")))</f>
        <v>0</v>
      </c>
      <c r="E454" s="4">
        <f>IF(OR(INDEX($V$2:$V$1001,MATCH(ROWS($U$2:U454),$U$2:$U$1001,0),1)&gt;=100000,INDEX($AB$1005:$AQ$1005,1,MATCH(COLUMNS($AB$1006:AE1006),$AB$1006:$AQ$1006,0))&gt;=100000), " ",IF(INDEX($AB$2:$AQ$1001,MATCH(ROWS($U$2:U454),$U$2:$U$1001,0),MATCH(COLUMNS($AB$1006:AE1006),$AB$1006:$AQ$1006,0)), HYPERLINK("#",""), HYPERLINK(CONCATENATE("#metadata!", ADDRESS(INDEX($W$2:$W$1001,MATCH(ROWS($U$2:U454),$U$2:$U$1001,0),0), INDEX($AB$1004:$AQ$1004,1,MATCH(COLUMNS($AB$1006:AE1006),$AB$1006:$AQ$1006,0)))),"Fix")))</f>
        <v>0</v>
      </c>
      <c r="F454" s="4">
        <f>IF(OR(INDEX($V$2:$V$1001,MATCH(ROWS($U$2:U454),$U$2:$U$1001,0),1)&gt;=100000,INDEX($AB$1005:$AQ$1005,1,MATCH(COLUMNS($AB$1006:AF1006),$AB$1006:$AQ$1006,0))&gt;=100000), " ",IF(INDEX($AB$2:$AQ$1001,MATCH(ROWS($U$2:U454),$U$2:$U$1001,0),MATCH(COLUMNS($AB$1006:AF1006),$AB$1006:$AQ$1006,0)), HYPERLINK("#",""), HYPERLINK(CONCATENATE("#metadata!", ADDRESS(INDEX($W$2:$W$1001,MATCH(ROWS($U$2:U454),$U$2:$U$1001,0),0), INDEX($AB$1004:$AQ$1004,1,MATCH(COLUMNS($AB$1006:AF1006),$AB$1006:$AQ$1006,0)))),"Fix")))</f>
        <v>0</v>
      </c>
      <c r="G454" s="4">
        <f>IF(OR(INDEX($V$2:$V$1001,MATCH(ROWS($U$2:U454),$U$2:$U$1001,0),1)&gt;=100000,INDEX($AB$1005:$AQ$1005,1,MATCH(COLUMNS($AB$1006:AG1006),$AB$1006:$AQ$1006,0))&gt;=100000), " ",IF(INDEX($AB$2:$AQ$1001,MATCH(ROWS($U$2:U454),$U$2:$U$1001,0),MATCH(COLUMNS($AB$1006:AG1006),$AB$1006:$AQ$1006,0)), HYPERLINK("#",""), HYPERLINK(CONCATENATE("#metadata!", ADDRESS(INDEX($W$2:$W$1001,MATCH(ROWS($U$2:U454),$U$2:$U$1001,0),0), INDEX($AB$1004:$AQ$1004,1,MATCH(COLUMNS($AB$1006:AG1006),$AB$1006:$AQ$1006,0)))),"Fix")))</f>
        <v>0</v>
      </c>
      <c r="H454" s="4">
        <f>IF(OR(INDEX($V$2:$V$1001,MATCH(ROWS($U$2:U454),$U$2:$U$1001,0),1)&gt;=100000,INDEX($AB$1005:$AQ$1005,1,MATCH(COLUMNS($AB$1006:AH1006),$AB$1006:$AQ$1006,0))&gt;=100000), " ",IF(INDEX($AB$2:$AQ$1001,MATCH(ROWS($U$2:U454),$U$2:$U$1001,0),MATCH(COLUMNS($AB$1006:AH1006),$AB$1006:$AQ$1006,0)), HYPERLINK("#",""), HYPERLINK(CONCATENATE("#metadata!", ADDRESS(INDEX($W$2:$W$1001,MATCH(ROWS($U$2:U454),$U$2:$U$1001,0),0), INDEX($AB$1004:$AQ$1004,1,MATCH(COLUMNS($AB$1006:AH1006),$AB$1006:$AQ$1006,0)))),"Fix")))</f>
        <v>0</v>
      </c>
      <c r="I454" s="4">
        <f>IF(OR(INDEX($V$2:$V$1001,MATCH(ROWS($U$2:U454),$U$2:$U$1001,0),1)&gt;=100000,INDEX($AB$1005:$AQ$1005,1,MATCH(COLUMNS($AB$1006:AI1006),$AB$1006:$AQ$1006,0))&gt;=100000), " ",IF(INDEX($AB$2:$AQ$1001,MATCH(ROWS($U$2:U454),$U$2:$U$1001,0),MATCH(COLUMNS($AB$1006:AI1006),$AB$1006:$AQ$1006,0)), HYPERLINK("#",""), HYPERLINK(CONCATENATE("#metadata!", ADDRESS(INDEX($W$2:$W$1001,MATCH(ROWS($U$2:U454),$U$2:$U$1001,0),0), INDEX($AB$1004:$AQ$1004,1,MATCH(COLUMNS($AB$1006:AI1006),$AB$1006:$AQ$1006,0)))),"Fix")))</f>
        <v>0</v>
      </c>
      <c r="J454" s="4">
        <f>IF(OR(INDEX($V$2:$V$1001,MATCH(ROWS($U$2:U454),$U$2:$U$1001,0),1)&gt;=100000,INDEX($AB$1005:$AQ$1005,1,MATCH(COLUMNS($AB$1006:AJ1006),$AB$1006:$AQ$1006,0))&gt;=100000), " ",IF(INDEX($AB$2:$AQ$1001,MATCH(ROWS($U$2:U454),$U$2:$U$1001,0),MATCH(COLUMNS($AB$1006:AJ1006),$AB$1006:$AQ$1006,0)), HYPERLINK("#",""), HYPERLINK(CONCATENATE("#metadata!", ADDRESS(INDEX($W$2:$W$1001,MATCH(ROWS($U$2:U454),$U$2:$U$1001,0),0), INDEX($AB$1004:$AQ$1004,1,MATCH(COLUMNS($AB$1006:AJ1006),$AB$1006:$AQ$1006,0)))),"Fix")))</f>
        <v>0</v>
      </c>
      <c r="K454" s="4">
        <f>IF(OR(INDEX($V$2:$V$1001,MATCH(ROWS($U$2:U454),$U$2:$U$1001,0),1)&gt;=100000,INDEX($AB$1005:$AQ$1005,1,MATCH(COLUMNS($AB$1006:AK1006),$AB$1006:$AQ$1006,0))&gt;=100000), " ",IF(INDEX($AB$2:$AQ$1001,MATCH(ROWS($U$2:U454),$U$2:$U$1001,0),MATCH(COLUMNS($AB$1006:AK1006),$AB$1006:$AQ$1006,0)), HYPERLINK("#",""), HYPERLINK(CONCATENATE("#metadata!", ADDRESS(INDEX($W$2:$W$1001,MATCH(ROWS($U$2:U454),$U$2:$U$1001,0),0), INDEX($AB$1004:$AQ$1004,1,MATCH(COLUMNS($AB$1006:AK1006),$AB$1006:$AQ$1006,0)))),"Fix")))</f>
        <v>0</v>
      </c>
      <c r="L454" s="4">
        <f>IF(OR(INDEX($V$2:$V$1001,MATCH(ROWS($U$2:U454),$U$2:$U$1001,0),1)&gt;=100000,INDEX($AB$1005:$AQ$1005,1,MATCH(COLUMNS($AB$1006:AL1006),$AB$1006:$AQ$1006,0))&gt;=100000), " ",IF(INDEX($AB$2:$AQ$1001,MATCH(ROWS($U$2:U454),$U$2:$U$1001,0),MATCH(COLUMNS($AB$1006:AL1006),$AB$1006:$AQ$1006,0)), HYPERLINK("#",""), HYPERLINK(CONCATENATE("#metadata!", ADDRESS(INDEX($W$2:$W$1001,MATCH(ROWS($U$2:U454),$U$2:$U$1001,0),0), INDEX($AB$1004:$AQ$1004,1,MATCH(COLUMNS($AB$1006:AL1006),$AB$1006:$AQ$1006,0)))),"Fix")))</f>
        <v>0</v>
      </c>
      <c r="M454" s="4">
        <f>IF(OR(INDEX($V$2:$V$1001,MATCH(ROWS($U$2:U454),$U$2:$U$1001,0),1)&gt;=100000,INDEX($AB$1005:$AQ$1005,1,MATCH(COLUMNS($AB$1006:AM1006),$AB$1006:$AQ$1006,0))&gt;=100000), " ",IF(INDEX($AB$2:$AQ$1001,MATCH(ROWS($U$2:U454),$U$2:$U$1001,0),MATCH(COLUMNS($AB$1006:AM1006),$AB$1006:$AQ$1006,0)), HYPERLINK("#",""), HYPERLINK(CONCATENATE("#metadata!", ADDRESS(INDEX($W$2:$W$1001,MATCH(ROWS($U$2:U454),$U$2:$U$1001,0),0), INDEX($AB$1004:$AQ$1004,1,MATCH(COLUMNS($AB$1006:AM1006),$AB$1006:$AQ$1006,0)))),"Fix")))</f>
        <v>0</v>
      </c>
      <c r="N454" s="4">
        <f>IF(OR(INDEX($V$2:$V$1001,MATCH(ROWS($U$2:U454),$U$2:$U$1001,0),1)&gt;=100000,INDEX($AB$1005:$AQ$1005,1,MATCH(COLUMNS($AB$1006:AN1006),$AB$1006:$AQ$1006,0))&gt;=100000), " ",IF(INDEX($AB$2:$AQ$1001,MATCH(ROWS($U$2:U454),$U$2:$U$1001,0),MATCH(COLUMNS($AB$1006:AN1006),$AB$1006:$AQ$1006,0)), HYPERLINK("#",""), HYPERLINK(CONCATENATE("#metadata!", ADDRESS(INDEX($W$2:$W$1001,MATCH(ROWS($U$2:U454),$U$2:$U$1001,0),0), INDEX($AB$1004:$AQ$1004,1,MATCH(COLUMNS($AB$1006:AN1006),$AB$1006:$AQ$1006,0)))),"Fix")))</f>
        <v>0</v>
      </c>
      <c r="O454" s="4">
        <f>IF(OR(INDEX($V$2:$V$1001,MATCH(ROWS($U$2:U454),$U$2:$U$1001,0),1)&gt;=100000,INDEX($AB$1005:$AQ$1005,1,MATCH(COLUMNS($AB$1006:AO1006),$AB$1006:$AQ$1006,0))&gt;=100000), " ",IF(INDEX($AB$2:$AQ$1001,MATCH(ROWS($U$2:U454),$U$2:$U$1001,0),MATCH(COLUMNS($AB$1006:AO1006),$AB$1006:$AQ$1006,0)), HYPERLINK("#",""), HYPERLINK(CONCATENATE("#metadata!", ADDRESS(INDEX($W$2:$W$1001,MATCH(ROWS($U$2:U454),$U$2:$U$1001,0),0), INDEX($AB$1004:$AQ$1004,1,MATCH(COLUMNS($AB$1006:AO1006),$AB$1006:$AQ$1006,0)))),"Fix")))</f>
        <v>0</v>
      </c>
      <c r="P454" s="4">
        <f>IF(OR(INDEX($V$2:$V$1001,MATCH(ROWS($U$2:U454),$U$2:$U$1001,0),1)&gt;=100000,INDEX($AB$1005:$AQ$1005,1,MATCH(COLUMNS($AB$1006:AP1006),$AB$1006:$AQ$1006,0))&gt;=100000), " ",IF(INDEX($AB$2:$AQ$1001,MATCH(ROWS($U$2:U454),$U$2:$U$1001,0),MATCH(COLUMNS($AB$1006:AP1006),$AB$1006:$AQ$1006,0)), HYPERLINK("#",""), HYPERLINK(CONCATENATE("#metadata!", ADDRESS(INDEX($W$2:$W$1001,MATCH(ROWS($U$2:U454),$U$2:$U$1001,0),0), INDEX($AB$1004:$AQ$1004,1,MATCH(COLUMNS($AB$1006:AP1006),$AB$1006:$AQ$1006,0)))),"Fix")))</f>
        <v>0</v>
      </c>
      <c r="Q454" s="4">
        <f>IF(OR(INDEX($V$2:$V$1001,MATCH(ROWS($U$2:U454),$U$2:$U$1001,0),1)&gt;=100000,INDEX($AB$1005:$AQ$1005,1,MATCH(COLUMNS($AB$1006:AQ1006),$AB$1006:$AQ$1006,0))&gt;=100000), " ",IF(INDEX($AB$2:$AQ$1001,MATCH(ROWS($U$2:U454),$U$2:$U$1001,0),MATCH(COLUMNS($AB$1006:AQ1006),$AB$1006:$AQ$1006,0)), HYPERLINK("#",""), HYPERLINK(CONCATENATE("#metadata!", ADDRESS(INDEX($W$2:$W$1001,MATCH(ROWS($U$2:U454),$U$2:$U$1001,0),0), INDEX($AB$1004:$AQ$1004,1,MATCH(COLUMNS($AB$1006:AQ1006),$AB$1006:$AQ$1006,0)))),"Fix")))</f>
        <v>0</v>
      </c>
      <c r="U454">
        <v>0</v>
      </c>
      <c r="V454">
        <v>0</v>
      </c>
      <c r="W454">
        <v>0</v>
      </c>
      <c r="X454">
        <f>IF(Y454,TRUE,AND(AB454:AQ454))</f>
        <v>0</v>
      </c>
      <c r="Y454">
        <f>COUNTBLANK(metadata!B454:Q454)=COLUMNS(metadata!B454:Q454)</f>
        <v>0</v>
      </c>
      <c r="Z454">
        <v>0</v>
      </c>
      <c r="AB454">
        <f>AND(IF(metadata!B454="",FALSE,TRUE),COUNTIF(metadata!B:B, metadata!B454) = 1,NOT(ISERROR(SUMPRODUCT(SEARCH(MID(metadata!B454,ROW(INDIRECT("1:"&amp;LEN(metadata!B454))), 1),"0123456789abcdefghijklmnopqrstuvwxyzABCDEFGHIJKLMNOPQRSTUVWXYZ.")))))</f>
        <v>0</v>
      </c>
      <c r="AC454">
        <f>OR(AND(IF(metadata!C454="",FALSE,TRUE),OR(exact(metadata!C454,"missing: not collected"),exact(metadata!C454,"missing: not provided"),exact(metadata!C454,"missing: restricted access"))),AND(IF(metadata!C454="",FALSE,TRUE),AND(AND(IFERROR(INT(LEFT(metadata!C454,4))&gt;1900,FALSE),IFERROR(INT(LEFT(metadata!C454,4))&lt;=YEAR(NOW()),FALSE)), OR(MID(metadata!C454,5,1)="", AND(AND(MID(metadata!C454,5,1)="-",IFERROR(INT(MID(metadata!C454,6,1))&gt;=0,FALSE),IFERROR(INT(MID(metadata!C454,6,1))&lt;=1,FALSE),NOT(MID(metadata!C454,7,1)=""),IFERROR(INT(MID(metadata!C454,6,2))&gt;=1,FALSE),IFERROR(INT(MID(metadata!C454,6,2))&lt;=12,FALSE)), OR(MID(metadata!C454,8,1)="", AND(AND(MID(metadata!C454,8,1)="-",IFERROR(INT(MID(metadata!C454,9,1))&gt;=0,FALSE),IFERROR(INT(MID(metadata!C454,9,1))&lt;=3,FALSE),NOT(MID(metadata!C454,10,1)=""),IFERROR(INT(MID(metadata!C454,9,2))&gt;=1,FALSE),IFERROR(INT(MID(metadata!C454,9,2))&lt;=31,FALSE)), OR(MID(metadata!C454,11,1)="", AND(AND(MID(metadata!C454,11,1)=" ",IFERROR(INT(MID(metadata!C454,12,1))&gt;=0,FALSE),IFERROR(INT(MID(metadata!C454,12,1))&lt;=2,FALSE),NOT(MID(metadata!C454,13,1)=""),IFERROR(INT(MID(metadata!C454,12,2))&gt;=0,FALSE),IFERROR(INT(MID(metadata!C454,12,2))&lt;=23,FALSE)), OR(MID(metadata!C454,14,1)="", AND(AND(MID(metadata!C454,14,1)=":",IFERROR(INT(MID(metadata!C454,15,1))&gt;=0,FALSE),IFERROR(INT(MID(metadata!C454,15,1))&lt;=5,FALSE),NOT(MID(metadata!C454,16,1)=""),IFERROR(INT(MID(metadata!C454,15,2))&gt;=0,FALSE),IFERROR(INT(MID(metadata!C454,15,2))&lt;=59,FALSE)), OR(MID(metadata!C454,17,1)="", AND(AND(MID(metadata!C454,17,1)=":",IFERROR(INT(MID(metadata!C454,18,1))&gt;=0,FALSE),IFERROR(INT(MID(metadata!C454,18,1))&lt;=5,FALSE),NOT(MID(metadata!C454,19,1)=""),IFERROR(INT(MID(metadata!C454,18,2))&gt;=0,FALSE),IFERROR(INT(MID(metadata!C454,18,2))&lt;=59,FALSE)), LEN(metadata!C454)&lt;=19)))))))))))))</f>
        <v>0</v>
      </c>
      <c r="AD454">
        <f>IF(metadata!D454="",FALSE,TRUE)</f>
        <v>0</v>
      </c>
      <c r="AE454">
        <f>OR(AND(IF(metadata!E454="",FALSE,TRUE),OR(exact(metadata!E454,"missing: not collected"),exact(metadata!E454,"missing: not provided"))),AND(IF(metadata!E454="",FALSE,TRUE),OR(exact(metadata!E454,"TRUE"),exact(metadata!E454,"FALSE"))))</f>
        <v>0</v>
      </c>
      <c r="AF454">
        <f>IF(metadata!F454="",FALSE,TRUE)</f>
        <v>0</v>
      </c>
      <c r="AG454">
        <f>IF(metadata!G454="",FALSE,TRUE)</f>
        <v>0</v>
      </c>
      <c r="AH454">
        <f>IF(metadata!H454="",FALSE,TRUE)</f>
        <v>0</v>
      </c>
      <c r="AI454">
        <f>OR(AND(IF(metadata!I454="",FALSE,TRUE),OR(exact(metadata!I454,"missing: not collected"),exact(metadata!I454,"missing: not provided"),exact(metadata!I454,"missing: restricted access"))),AND(IF(metadata!I454="",FALSE,TRUE),OR(exact(metadata!I454,"air"),exact(metadata!I454,"built environment"),exact(metadata!I454,"host-associated"),exact(metadata!I454,"human-associated"),exact(metadata!I454,"human-skin"),exact(metadata!I454,"human-oral"),exact(metadata!I454,"human-gut"),exact(metadata!I454,"human-vaginal"),exact(metadata!I454,"microbial mat/biofilm"),exact(metadata!I454,"misc environment"),exact(metadata!I454,"plant-associated"),exact(metadata!I454,"sediment"),exact(metadata!I454,"soil"),exact(metadata!I454,"wastewater/sludge"),exact(metadata!I454,"water"))))</f>
        <v>0</v>
      </c>
      <c r="AJ454">
        <f>IF(metadata!J454="",FALSE,TRUE)</f>
        <v>0</v>
      </c>
      <c r="AK454">
        <f>OR(AND(IF(metadata!K454="",FALSE,TRUE),OR(exact(metadata!K454,"missing: not collected"),exact(metadata!K454,"missing: not provided"),exact(metadata!K454,"missing: restricted access"))),AND(IF(metadata!K454="",FALSE,ISNUMBER(VALUE(metadata!K454))),metadata!K454&gt;=-90.00,metadata!K454&lt;=90.00))</f>
        <v>0</v>
      </c>
      <c r="AL454">
        <f>OR(AND(IF(metadata!L454="",FALSE,TRUE),OR(exact(metadata!L454,"missing: not collected"),exact(metadata!L454,"missing: not provided"),exact(metadata!L454,"missing: restricted access"))),AND(IF(metadata!L454="",FALSE,ISNUMBER(VALUE(metadata!L454))),metadata!L454&gt;=-180.00,metadata!L454&lt;=180.00))</f>
        <v>0</v>
      </c>
      <c r="AM454">
        <f>IF(metadata!M454="",FALSE,TRUE)</f>
        <v>0</v>
      </c>
      <c r="AN454">
        <f>OR(AND(IF(metadata!N454="",FALSE,TRUE),OR(exact(metadata!N454,"missing: not collected"),exact(metadata!N454,"missing: not provided"),exact(metadata!N454,"missing: restricted access"))),AND(IF(metadata!N454="",FALSE,TRUE),OR(exact(metadata!N454,"TRUE"),exact(metadata!N454,"FALSE"))))</f>
        <v>0</v>
      </c>
      <c r="AO454">
        <f>IF(metadata!O454="",FALSE,TRUE)</f>
        <v>0</v>
      </c>
      <c r="AP454">
        <f>OR(AND(IF(metadata!P454="",FALSE,TRUE),OR(exact(metadata!P454,"missing: not collected"),exact(metadata!P454,"missing: not provided"))),AND(IF(metadata!P454="",FALSE,IF(ISERROR(INT(metadata!P454)),FALSE,INT(metadata!P454)=metadata!P454)),metadata!P454&gt;0))</f>
        <v>0</v>
      </c>
      <c r="AQ454">
        <f>IF(metadata!Q454="",FALSE,TRUE)</f>
        <v>0</v>
      </c>
    </row>
    <row r="455" spans="1:43">
      <c r="A455" s="5">
        <f>IF(B455=" "," ",HYPERLINK(CONCATENATE("#metadata!",ADDRESS(INDEX($W$2:$W$1001,MATCH(ROWS($U$2:U455),$U$2:$U$1001,0),0),1)),INDEX($Z$2:$Z$1001,MATCH(ROWS($U$2:U455),$U$2:$U$1001,0),0)))</f>
        <v>0</v>
      </c>
      <c r="B455" s="4">
        <f>IF(OR(INDEX($V$2:$V$1001,MATCH(ROWS($U$2:U455),$U$2:$U$1001,0),1)&gt;=100000,INDEX($AB$1005:$AQ$1005,1,MATCH(COLUMNS($AB$1006:AB1006),$AB$1006:$AQ$1006,0))&gt;=100000), " ",IF(INDEX($AB$2:$AQ$1001,MATCH(ROWS($U$2:U455),$U$2:$U$1001,0),MATCH(COLUMNS($AB$1006:AB1006),$AB$1006:$AQ$1006,0)), HYPERLINK("#",""), HYPERLINK(CONCATENATE("#metadata!", ADDRESS(INDEX($W$2:$W$1001,MATCH(ROWS($U$2:U455),$U$2:$U$1001,0),0), INDEX($AB$1004:$AQ$1004,1,MATCH(COLUMNS($AB$1006:AB1006),$AB$1006:$AQ$1006,0)))),"Fix")))</f>
        <v>0</v>
      </c>
      <c r="C455" s="4">
        <f>IF(OR(INDEX($V$2:$V$1001,MATCH(ROWS($U$2:U455),$U$2:$U$1001,0),1)&gt;=100000,INDEX($AB$1005:$AQ$1005,1,MATCH(COLUMNS($AB$1006:AC1006),$AB$1006:$AQ$1006,0))&gt;=100000), " ",IF(INDEX($AB$2:$AQ$1001,MATCH(ROWS($U$2:U455),$U$2:$U$1001,0),MATCH(COLUMNS($AB$1006:AC1006),$AB$1006:$AQ$1006,0)), HYPERLINK("#",""), HYPERLINK(CONCATENATE("#metadata!", ADDRESS(INDEX($W$2:$W$1001,MATCH(ROWS($U$2:U455),$U$2:$U$1001,0),0), INDEX($AB$1004:$AQ$1004,1,MATCH(COLUMNS($AB$1006:AC1006),$AB$1006:$AQ$1006,0)))),"Fix")))</f>
        <v>0</v>
      </c>
      <c r="D455" s="4">
        <f>IF(OR(INDEX($V$2:$V$1001,MATCH(ROWS($U$2:U455),$U$2:$U$1001,0),1)&gt;=100000,INDEX($AB$1005:$AQ$1005,1,MATCH(COLUMNS($AB$1006:AD1006),$AB$1006:$AQ$1006,0))&gt;=100000), " ",IF(INDEX($AB$2:$AQ$1001,MATCH(ROWS($U$2:U455),$U$2:$U$1001,0),MATCH(COLUMNS($AB$1006:AD1006),$AB$1006:$AQ$1006,0)), HYPERLINK("#",""), HYPERLINK(CONCATENATE("#metadata!", ADDRESS(INDEX($W$2:$W$1001,MATCH(ROWS($U$2:U455),$U$2:$U$1001,0),0), INDEX($AB$1004:$AQ$1004,1,MATCH(COLUMNS($AB$1006:AD1006),$AB$1006:$AQ$1006,0)))),"Fix")))</f>
        <v>0</v>
      </c>
      <c r="E455" s="4">
        <f>IF(OR(INDEX($V$2:$V$1001,MATCH(ROWS($U$2:U455),$U$2:$U$1001,0),1)&gt;=100000,INDEX($AB$1005:$AQ$1005,1,MATCH(COLUMNS($AB$1006:AE1006),$AB$1006:$AQ$1006,0))&gt;=100000), " ",IF(INDEX($AB$2:$AQ$1001,MATCH(ROWS($U$2:U455),$U$2:$U$1001,0),MATCH(COLUMNS($AB$1006:AE1006),$AB$1006:$AQ$1006,0)), HYPERLINK("#",""), HYPERLINK(CONCATENATE("#metadata!", ADDRESS(INDEX($W$2:$W$1001,MATCH(ROWS($U$2:U455),$U$2:$U$1001,0),0), INDEX($AB$1004:$AQ$1004,1,MATCH(COLUMNS($AB$1006:AE1006),$AB$1006:$AQ$1006,0)))),"Fix")))</f>
        <v>0</v>
      </c>
      <c r="F455" s="4">
        <f>IF(OR(INDEX($V$2:$V$1001,MATCH(ROWS($U$2:U455),$U$2:$U$1001,0),1)&gt;=100000,INDEX($AB$1005:$AQ$1005,1,MATCH(COLUMNS($AB$1006:AF1006),$AB$1006:$AQ$1006,0))&gt;=100000), " ",IF(INDEX($AB$2:$AQ$1001,MATCH(ROWS($U$2:U455),$U$2:$U$1001,0),MATCH(COLUMNS($AB$1006:AF1006),$AB$1006:$AQ$1006,0)), HYPERLINK("#",""), HYPERLINK(CONCATENATE("#metadata!", ADDRESS(INDEX($W$2:$W$1001,MATCH(ROWS($U$2:U455),$U$2:$U$1001,0),0), INDEX($AB$1004:$AQ$1004,1,MATCH(COLUMNS($AB$1006:AF1006),$AB$1006:$AQ$1006,0)))),"Fix")))</f>
        <v>0</v>
      </c>
      <c r="G455" s="4">
        <f>IF(OR(INDEX($V$2:$V$1001,MATCH(ROWS($U$2:U455),$U$2:$U$1001,0),1)&gt;=100000,INDEX($AB$1005:$AQ$1005,1,MATCH(COLUMNS($AB$1006:AG1006),$AB$1006:$AQ$1006,0))&gt;=100000), " ",IF(INDEX($AB$2:$AQ$1001,MATCH(ROWS($U$2:U455),$U$2:$U$1001,0),MATCH(COLUMNS($AB$1006:AG1006),$AB$1006:$AQ$1006,0)), HYPERLINK("#",""), HYPERLINK(CONCATENATE("#metadata!", ADDRESS(INDEX($W$2:$W$1001,MATCH(ROWS($U$2:U455),$U$2:$U$1001,0),0), INDEX($AB$1004:$AQ$1004,1,MATCH(COLUMNS($AB$1006:AG1006),$AB$1006:$AQ$1006,0)))),"Fix")))</f>
        <v>0</v>
      </c>
      <c r="H455" s="4">
        <f>IF(OR(INDEX($V$2:$V$1001,MATCH(ROWS($U$2:U455),$U$2:$U$1001,0),1)&gt;=100000,INDEX($AB$1005:$AQ$1005,1,MATCH(COLUMNS($AB$1006:AH1006),$AB$1006:$AQ$1006,0))&gt;=100000), " ",IF(INDEX($AB$2:$AQ$1001,MATCH(ROWS($U$2:U455),$U$2:$U$1001,0),MATCH(COLUMNS($AB$1006:AH1006),$AB$1006:$AQ$1006,0)), HYPERLINK("#",""), HYPERLINK(CONCATENATE("#metadata!", ADDRESS(INDEX($W$2:$W$1001,MATCH(ROWS($U$2:U455),$U$2:$U$1001,0),0), INDEX($AB$1004:$AQ$1004,1,MATCH(COLUMNS($AB$1006:AH1006),$AB$1006:$AQ$1006,0)))),"Fix")))</f>
        <v>0</v>
      </c>
      <c r="I455" s="4">
        <f>IF(OR(INDEX($V$2:$V$1001,MATCH(ROWS($U$2:U455),$U$2:$U$1001,0),1)&gt;=100000,INDEX($AB$1005:$AQ$1005,1,MATCH(COLUMNS($AB$1006:AI1006),$AB$1006:$AQ$1006,0))&gt;=100000), " ",IF(INDEX($AB$2:$AQ$1001,MATCH(ROWS($U$2:U455),$U$2:$U$1001,0),MATCH(COLUMNS($AB$1006:AI1006),$AB$1006:$AQ$1006,0)), HYPERLINK("#",""), HYPERLINK(CONCATENATE("#metadata!", ADDRESS(INDEX($W$2:$W$1001,MATCH(ROWS($U$2:U455),$U$2:$U$1001,0),0), INDEX($AB$1004:$AQ$1004,1,MATCH(COLUMNS($AB$1006:AI1006),$AB$1006:$AQ$1006,0)))),"Fix")))</f>
        <v>0</v>
      </c>
      <c r="J455" s="4">
        <f>IF(OR(INDEX($V$2:$V$1001,MATCH(ROWS($U$2:U455),$U$2:$U$1001,0),1)&gt;=100000,INDEX($AB$1005:$AQ$1005,1,MATCH(COLUMNS($AB$1006:AJ1006),$AB$1006:$AQ$1006,0))&gt;=100000), " ",IF(INDEX($AB$2:$AQ$1001,MATCH(ROWS($U$2:U455),$U$2:$U$1001,0),MATCH(COLUMNS($AB$1006:AJ1006),$AB$1006:$AQ$1006,0)), HYPERLINK("#",""), HYPERLINK(CONCATENATE("#metadata!", ADDRESS(INDEX($W$2:$W$1001,MATCH(ROWS($U$2:U455),$U$2:$U$1001,0),0), INDEX($AB$1004:$AQ$1004,1,MATCH(COLUMNS($AB$1006:AJ1006),$AB$1006:$AQ$1006,0)))),"Fix")))</f>
        <v>0</v>
      </c>
      <c r="K455" s="4">
        <f>IF(OR(INDEX($V$2:$V$1001,MATCH(ROWS($U$2:U455),$U$2:$U$1001,0),1)&gt;=100000,INDEX($AB$1005:$AQ$1005,1,MATCH(COLUMNS($AB$1006:AK1006),$AB$1006:$AQ$1006,0))&gt;=100000), " ",IF(INDEX($AB$2:$AQ$1001,MATCH(ROWS($U$2:U455),$U$2:$U$1001,0),MATCH(COLUMNS($AB$1006:AK1006),$AB$1006:$AQ$1006,0)), HYPERLINK("#",""), HYPERLINK(CONCATENATE("#metadata!", ADDRESS(INDEX($W$2:$W$1001,MATCH(ROWS($U$2:U455),$U$2:$U$1001,0),0), INDEX($AB$1004:$AQ$1004,1,MATCH(COLUMNS($AB$1006:AK1006),$AB$1006:$AQ$1006,0)))),"Fix")))</f>
        <v>0</v>
      </c>
      <c r="L455" s="4">
        <f>IF(OR(INDEX($V$2:$V$1001,MATCH(ROWS($U$2:U455),$U$2:$U$1001,0),1)&gt;=100000,INDEX($AB$1005:$AQ$1005,1,MATCH(COLUMNS($AB$1006:AL1006),$AB$1006:$AQ$1006,0))&gt;=100000), " ",IF(INDEX($AB$2:$AQ$1001,MATCH(ROWS($U$2:U455),$U$2:$U$1001,0),MATCH(COLUMNS($AB$1006:AL1006),$AB$1006:$AQ$1006,0)), HYPERLINK("#",""), HYPERLINK(CONCATENATE("#metadata!", ADDRESS(INDEX($W$2:$W$1001,MATCH(ROWS($U$2:U455),$U$2:$U$1001,0),0), INDEX($AB$1004:$AQ$1004,1,MATCH(COLUMNS($AB$1006:AL1006),$AB$1006:$AQ$1006,0)))),"Fix")))</f>
        <v>0</v>
      </c>
      <c r="M455" s="4">
        <f>IF(OR(INDEX($V$2:$V$1001,MATCH(ROWS($U$2:U455),$U$2:$U$1001,0),1)&gt;=100000,INDEX($AB$1005:$AQ$1005,1,MATCH(COLUMNS($AB$1006:AM1006),$AB$1006:$AQ$1006,0))&gt;=100000), " ",IF(INDEX($AB$2:$AQ$1001,MATCH(ROWS($U$2:U455),$U$2:$U$1001,0),MATCH(COLUMNS($AB$1006:AM1006),$AB$1006:$AQ$1006,0)), HYPERLINK("#",""), HYPERLINK(CONCATENATE("#metadata!", ADDRESS(INDEX($W$2:$W$1001,MATCH(ROWS($U$2:U455),$U$2:$U$1001,0),0), INDEX($AB$1004:$AQ$1004,1,MATCH(COLUMNS($AB$1006:AM1006),$AB$1006:$AQ$1006,0)))),"Fix")))</f>
        <v>0</v>
      </c>
      <c r="N455" s="4">
        <f>IF(OR(INDEX($V$2:$V$1001,MATCH(ROWS($U$2:U455),$U$2:$U$1001,0),1)&gt;=100000,INDEX($AB$1005:$AQ$1005,1,MATCH(COLUMNS($AB$1006:AN1006),$AB$1006:$AQ$1006,0))&gt;=100000), " ",IF(INDEX($AB$2:$AQ$1001,MATCH(ROWS($U$2:U455),$U$2:$U$1001,0),MATCH(COLUMNS($AB$1006:AN1006),$AB$1006:$AQ$1006,0)), HYPERLINK("#",""), HYPERLINK(CONCATENATE("#metadata!", ADDRESS(INDEX($W$2:$W$1001,MATCH(ROWS($U$2:U455),$U$2:$U$1001,0),0), INDEX($AB$1004:$AQ$1004,1,MATCH(COLUMNS($AB$1006:AN1006),$AB$1006:$AQ$1006,0)))),"Fix")))</f>
        <v>0</v>
      </c>
      <c r="O455" s="4">
        <f>IF(OR(INDEX($V$2:$V$1001,MATCH(ROWS($U$2:U455),$U$2:$U$1001,0),1)&gt;=100000,INDEX($AB$1005:$AQ$1005,1,MATCH(COLUMNS($AB$1006:AO1006),$AB$1006:$AQ$1006,0))&gt;=100000), " ",IF(INDEX($AB$2:$AQ$1001,MATCH(ROWS($U$2:U455),$U$2:$U$1001,0),MATCH(COLUMNS($AB$1006:AO1006),$AB$1006:$AQ$1006,0)), HYPERLINK("#",""), HYPERLINK(CONCATENATE("#metadata!", ADDRESS(INDEX($W$2:$W$1001,MATCH(ROWS($U$2:U455),$U$2:$U$1001,0),0), INDEX($AB$1004:$AQ$1004,1,MATCH(COLUMNS($AB$1006:AO1006),$AB$1006:$AQ$1006,0)))),"Fix")))</f>
        <v>0</v>
      </c>
      <c r="P455" s="4">
        <f>IF(OR(INDEX($V$2:$V$1001,MATCH(ROWS($U$2:U455),$U$2:$U$1001,0),1)&gt;=100000,INDEX($AB$1005:$AQ$1005,1,MATCH(COLUMNS($AB$1006:AP1006),$AB$1006:$AQ$1006,0))&gt;=100000), " ",IF(INDEX($AB$2:$AQ$1001,MATCH(ROWS($U$2:U455),$U$2:$U$1001,0),MATCH(COLUMNS($AB$1006:AP1006),$AB$1006:$AQ$1006,0)), HYPERLINK("#",""), HYPERLINK(CONCATENATE("#metadata!", ADDRESS(INDEX($W$2:$W$1001,MATCH(ROWS($U$2:U455),$U$2:$U$1001,0),0), INDEX($AB$1004:$AQ$1004,1,MATCH(COLUMNS($AB$1006:AP1006),$AB$1006:$AQ$1006,0)))),"Fix")))</f>
        <v>0</v>
      </c>
      <c r="Q455" s="4">
        <f>IF(OR(INDEX($V$2:$V$1001,MATCH(ROWS($U$2:U455),$U$2:$U$1001,0),1)&gt;=100000,INDEX($AB$1005:$AQ$1005,1,MATCH(COLUMNS($AB$1006:AQ1006),$AB$1006:$AQ$1006,0))&gt;=100000), " ",IF(INDEX($AB$2:$AQ$1001,MATCH(ROWS($U$2:U455),$U$2:$U$1001,0),MATCH(COLUMNS($AB$1006:AQ1006),$AB$1006:$AQ$1006,0)), HYPERLINK("#",""), HYPERLINK(CONCATENATE("#metadata!", ADDRESS(INDEX($W$2:$W$1001,MATCH(ROWS($U$2:U455),$U$2:$U$1001,0),0), INDEX($AB$1004:$AQ$1004,1,MATCH(COLUMNS($AB$1006:AQ1006),$AB$1006:$AQ$1006,0)))),"Fix")))</f>
        <v>0</v>
      </c>
      <c r="U455">
        <v>0</v>
      </c>
      <c r="V455">
        <v>0</v>
      </c>
      <c r="W455">
        <v>0</v>
      </c>
      <c r="X455">
        <f>IF(Y455,TRUE,AND(AB455:AQ455))</f>
        <v>0</v>
      </c>
      <c r="Y455">
        <f>COUNTBLANK(metadata!B455:Q455)=COLUMNS(metadata!B455:Q455)</f>
        <v>0</v>
      </c>
      <c r="Z455">
        <v>0</v>
      </c>
      <c r="AB455">
        <f>AND(IF(metadata!B455="",FALSE,TRUE),COUNTIF(metadata!B:B, metadata!B455) = 1,NOT(ISERROR(SUMPRODUCT(SEARCH(MID(metadata!B455,ROW(INDIRECT("1:"&amp;LEN(metadata!B455))), 1),"0123456789abcdefghijklmnopqrstuvwxyzABCDEFGHIJKLMNOPQRSTUVWXYZ.")))))</f>
        <v>0</v>
      </c>
      <c r="AC455">
        <f>OR(AND(IF(metadata!C455="",FALSE,TRUE),OR(exact(metadata!C455,"missing: not collected"),exact(metadata!C455,"missing: not provided"),exact(metadata!C455,"missing: restricted access"))),AND(IF(metadata!C455="",FALSE,TRUE),AND(AND(IFERROR(INT(LEFT(metadata!C455,4))&gt;1900,FALSE),IFERROR(INT(LEFT(metadata!C455,4))&lt;=YEAR(NOW()),FALSE)), OR(MID(metadata!C455,5,1)="", AND(AND(MID(metadata!C455,5,1)="-",IFERROR(INT(MID(metadata!C455,6,1))&gt;=0,FALSE),IFERROR(INT(MID(metadata!C455,6,1))&lt;=1,FALSE),NOT(MID(metadata!C455,7,1)=""),IFERROR(INT(MID(metadata!C455,6,2))&gt;=1,FALSE),IFERROR(INT(MID(metadata!C455,6,2))&lt;=12,FALSE)), OR(MID(metadata!C455,8,1)="", AND(AND(MID(metadata!C455,8,1)="-",IFERROR(INT(MID(metadata!C455,9,1))&gt;=0,FALSE),IFERROR(INT(MID(metadata!C455,9,1))&lt;=3,FALSE),NOT(MID(metadata!C455,10,1)=""),IFERROR(INT(MID(metadata!C455,9,2))&gt;=1,FALSE),IFERROR(INT(MID(metadata!C455,9,2))&lt;=31,FALSE)), OR(MID(metadata!C455,11,1)="", AND(AND(MID(metadata!C455,11,1)=" ",IFERROR(INT(MID(metadata!C455,12,1))&gt;=0,FALSE),IFERROR(INT(MID(metadata!C455,12,1))&lt;=2,FALSE),NOT(MID(metadata!C455,13,1)=""),IFERROR(INT(MID(metadata!C455,12,2))&gt;=0,FALSE),IFERROR(INT(MID(metadata!C455,12,2))&lt;=23,FALSE)), OR(MID(metadata!C455,14,1)="", AND(AND(MID(metadata!C455,14,1)=":",IFERROR(INT(MID(metadata!C455,15,1))&gt;=0,FALSE),IFERROR(INT(MID(metadata!C455,15,1))&lt;=5,FALSE),NOT(MID(metadata!C455,16,1)=""),IFERROR(INT(MID(metadata!C455,15,2))&gt;=0,FALSE),IFERROR(INT(MID(metadata!C455,15,2))&lt;=59,FALSE)), OR(MID(metadata!C455,17,1)="", AND(AND(MID(metadata!C455,17,1)=":",IFERROR(INT(MID(metadata!C455,18,1))&gt;=0,FALSE),IFERROR(INT(MID(metadata!C455,18,1))&lt;=5,FALSE),NOT(MID(metadata!C455,19,1)=""),IFERROR(INT(MID(metadata!C455,18,2))&gt;=0,FALSE),IFERROR(INT(MID(metadata!C455,18,2))&lt;=59,FALSE)), LEN(metadata!C455)&lt;=19)))))))))))))</f>
        <v>0</v>
      </c>
      <c r="AD455">
        <f>IF(metadata!D455="",FALSE,TRUE)</f>
        <v>0</v>
      </c>
      <c r="AE455">
        <f>OR(AND(IF(metadata!E455="",FALSE,TRUE),OR(exact(metadata!E455,"missing: not collected"),exact(metadata!E455,"missing: not provided"))),AND(IF(metadata!E455="",FALSE,TRUE),OR(exact(metadata!E455,"TRUE"),exact(metadata!E455,"FALSE"))))</f>
        <v>0</v>
      </c>
      <c r="AF455">
        <f>IF(metadata!F455="",FALSE,TRUE)</f>
        <v>0</v>
      </c>
      <c r="AG455">
        <f>IF(metadata!G455="",FALSE,TRUE)</f>
        <v>0</v>
      </c>
      <c r="AH455">
        <f>IF(metadata!H455="",FALSE,TRUE)</f>
        <v>0</v>
      </c>
      <c r="AI455">
        <f>OR(AND(IF(metadata!I455="",FALSE,TRUE),OR(exact(metadata!I455,"missing: not collected"),exact(metadata!I455,"missing: not provided"),exact(metadata!I455,"missing: restricted access"))),AND(IF(metadata!I455="",FALSE,TRUE),OR(exact(metadata!I455,"air"),exact(metadata!I455,"built environment"),exact(metadata!I455,"host-associated"),exact(metadata!I455,"human-associated"),exact(metadata!I455,"human-skin"),exact(metadata!I455,"human-oral"),exact(metadata!I455,"human-gut"),exact(metadata!I455,"human-vaginal"),exact(metadata!I455,"microbial mat/biofilm"),exact(metadata!I455,"misc environment"),exact(metadata!I455,"plant-associated"),exact(metadata!I455,"sediment"),exact(metadata!I455,"soil"),exact(metadata!I455,"wastewater/sludge"),exact(metadata!I455,"water"))))</f>
        <v>0</v>
      </c>
      <c r="AJ455">
        <f>IF(metadata!J455="",FALSE,TRUE)</f>
        <v>0</v>
      </c>
      <c r="AK455">
        <f>OR(AND(IF(metadata!K455="",FALSE,TRUE),OR(exact(metadata!K455,"missing: not collected"),exact(metadata!K455,"missing: not provided"),exact(metadata!K455,"missing: restricted access"))),AND(IF(metadata!K455="",FALSE,ISNUMBER(VALUE(metadata!K455))),metadata!K455&gt;=-90.00,metadata!K455&lt;=90.00))</f>
        <v>0</v>
      </c>
      <c r="AL455">
        <f>OR(AND(IF(metadata!L455="",FALSE,TRUE),OR(exact(metadata!L455,"missing: not collected"),exact(metadata!L455,"missing: not provided"),exact(metadata!L455,"missing: restricted access"))),AND(IF(metadata!L455="",FALSE,ISNUMBER(VALUE(metadata!L455))),metadata!L455&gt;=-180.00,metadata!L455&lt;=180.00))</f>
        <v>0</v>
      </c>
      <c r="AM455">
        <f>IF(metadata!M455="",FALSE,TRUE)</f>
        <v>0</v>
      </c>
      <c r="AN455">
        <f>OR(AND(IF(metadata!N455="",FALSE,TRUE),OR(exact(metadata!N455,"missing: not collected"),exact(metadata!N455,"missing: not provided"),exact(metadata!N455,"missing: restricted access"))),AND(IF(metadata!N455="",FALSE,TRUE),OR(exact(metadata!N455,"TRUE"),exact(metadata!N455,"FALSE"))))</f>
        <v>0</v>
      </c>
      <c r="AO455">
        <f>IF(metadata!O455="",FALSE,TRUE)</f>
        <v>0</v>
      </c>
      <c r="AP455">
        <f>OR(AND(IF(metadata!P455="",FALSE,TRUE),OR(exact(metadata!P455,"missing: not collected"),exact(metadata!P455,"missing: not provided"))),AND(IF(metadata!P455="",FALSE,IF(ISERROR(INT(metadata!P455)),FALSE,INT(metadata!P455)=metadata!P455)),metadata!P455&gt;0))</f>
        <v>0</v>
      </c>
      <c r="AQ455">
        <f>IF(metadata!Q455="",FALSE,TRUE)</f>
        <v>0</v>
      </c>
    </row>
    <row r="456" spans="1:43">
      <c r="A456" s="5">
        <f>IF(B456=" "," ",HYPERLINK(CONCATENATE("#metadata!",ADDRESS(INDEX($W$2:$W$1001,MATCH(ROWS($U$2:U456),$U$2:$U$1001,0),0),1)),INDEX($Z$2:$Z$1001,MATCH(ROWS($U$2:U456),$U$2:$U$1001,0),0)))</f>
        <v>0</v>
      </c>
      <c r="B456" s="4">
        <f>IF(OR(INDEX($V$2:$V$1001,MATCH(ROWS($U$2:U456),$U$2:$U$1001,0),1)&gt;=100000,INDEX($AB$1005:$AQ$1005,1,MATCH(COLUMNS($AB$1006:AB1006),$AB$1006:$AQ$1006,0))&gt;=100000), " ",IF(INDEX($AB$2:$AQ$1001,MATCH(ROWS($U$2:U456),$U$2:$U$1001,0),MATCH(COLUMNS($AB$1006:AB1006),$AB$1006:$AQ$1006,0)), HYPERLINK("#",""), HYPERLINK(CONCATENATE("#metadata!", ADDRESS(INDEX($W$2:$W$1001,MATCH(ROWS($U$2:U456),$U$2:$U$1001,0),0), INDEX($AB$1004:$AQ$1004,1,MATCH(COLUMNS($AB$1006:AB1006),$AB$1006:$AQ$1006,0)))),"Fix")))</f>
        <v>0</v>
      </c>
      <c r="C456" s="4">
        <f>IF(OR(INDEX($V$2:$V$1001,MATCH(ROWS($U$2:U456),$U$2:$U$1001,0),1)&gt;=100000,INDEX($AB$1005:$AQ$1005,1,MATCH(COLUMNS($AB$1006:AC1006),$AB$1006:$AQ$1006,0))&gt;=100000), " ",IF(INDEX($AB$2:$AQ$1001,MATCH(ROWS($U$2:U456),$U$2:$U$1001,0),MATCH(COLUMNS($AB$1006:AC1006),$AB$1006:$AQ$1006,0)), HYPERLINK("#",""), HYPERLINK(CONCATENATE("#metadata!", ADDRESS(INDEX($W$2:$W$1001,MATCH(ROWS($U$2:U456),$U$2:$U$1001,0),0), INDEX($AB$1004:$AQ$1004,1,MATCH(COLUMNS($AB$1006:AC1006),$AB$1006:$AQ$1006,0)))),"Fix")))</f>
        <v>0</v>
      </c>
      <c r="D456" s="4">
        <f>IF(OR(INDEX($V$2:$V$1001,MATCH(ROWS($U$2:U456),$U$2:$U$1001,0),1)&gt;=100000,INDEX($AB$1005:$AQ$1005,1,MATCH(COLUMNS($AB$1006:AD1006),$AB$1006:$AQ$1006,0))&gt;=100000), " ",IF(INDEX($AB$2:$AQ$1001,MATCH(ROWS($U$2:U456),$U$2:$U$1001,0),MATCH(COLUMNS($AB$1006:AD1006),$AB$1006:$AQ$1006,0)), HYPERLINK("#",""), HYPERLINK(CONCATENATE("#metadata!", ADDRESS(INDEX($W$2:$W$1001,MATCH(ROWS($U$2:U456),$U$2:$U$1001,0),0), INDEX($AB$1004:$AQ$1004,1,MATCH(COLUMNS($AB$1006:AD1006),$AB$1006:$AQ$1006,0)))),"Fix")))</f>
        <v>0</v>
      </c>
      <c r="E456" s="4">
        <f>IF(OR(INDEX($V$2:$V$1001,MATCH(ROWS($U$2:U456),$U$2:$U$1001,0),1)&gt;=100000,INDEX($AB$1005:$AQ$1005,1,MATCH(COLUMNS($AB$1006:AE1006),$AB$1006:$AQ$1006,0))&gt;=100000), " ",IF(INDEX($AB$2:$AQ$1001,MATCH(ROWS($U$2:U456),$U$2:$U$1001,0),MATCH(COLUMNS($AB$1006:AE1006),$AB$1006:$AQ$1006,0)), HYPERLINK("#",""), HYPERLINK(CONCATENATE("#metadata!", ADDRESS(INDEX($W$2:$W$1001,MATCH(ROWS($U$2:U456),$U$2:$U$1001,0),0), INDEX($AB$1004:$AQ$1004,1,MATCH(COLUMNS($AB$1006:AE1006),$AB$1006:$AQ$1006,0)))),"Fix")))</f>
        <v>0</v>
      </c>
      <c r="F456" s="4">
        <f>IF(OR(INDEX($V$2:$V$1001,MATCH(ROWS($U$2:U456),$U$2:$U$1001,0),1)&gt;=100000,INDEX($AB$1005:$AQ$1005,1,MATCH(COLUMNS($AB$1006:AF1006),$AB$1006:$AQ$1006,0))&gt;=100000), " ",IF(INDEX($AB$2:$AQ$1001,MATCH(ROWS($U$2:U456),$U$2:$U$1001,0),MATCH(COLUMNS($AB$1006:AF1006),$AB$1006:$AQ$1006,0)), HYPERLINK("#",""), HYPERLINK(CONCATENATE("#metadata!", ADDRESS(INDEX($W$2:$W$1001,MATCH(ROWS($U$2:U456),$U$2:$U$1001,0),0), INDEX($AB$1004:$AQ$1004,1,MATCH(COLUMNS($AB$1006:AF1006),$AB$1006:$AQ$1006,0)))),"Fix")))</f>
        <v>0</v>
      </c>
      <c r="G456" s="4">
        <f>IF(OR(INDEX($V$2:$V$1001,MATCH(ROWS($U$2:U456),$U$2:$U$1001,0),1)&gt;=100000,INDEX($AB$1005:$AQ$1005,1,MATCH(COLUMNS($AB$1006:AG1006),$AB$1006:$AQ$1006,0))&gt;=100000), " ",IF(INDEX($AB$2:$AQ$1001,MATCH(ROWS($U$2:U456),$U$2:$U$1001,0),MATCH(COLUMNS($AB$1006:AG1006),$AB$1006:$AQ$1006,0)), HYPERLINK("#",""), HYPERLINK(CONCATENATE("#metadata!", ADDRESS(INDEX($W$2:$W$1001,MATCH(ROWS($U$2:U456),$U$2:$U$1001,0),0), INDEX($AB$1004:$AQ$1004,1,MATCH(COLUMNS($AB$1006:AG1006),$AB$1006:$AQ$1006,0)))),"Fix")))</f>
        <v>0</v>
      </c>
      <c r="H456" s="4">
        <f>IF(OR(INDEX($V$2:$V$1001,MATCH(ROWS($U$2:U456),$U$2:$U$1001,0),1)&gt;=100000,INDEX($AB$1005:$AQ$1005,1,MATCH(COLUMNS($AB$1006:AH1006),$AB$1006:$AQ$1006,0))&gt;=100000), " ",IF(INDEX($AB$2:$AQ$1001,MATCH(ROWS($U$2:U456),$U$2:$U$1001,0),MATCH(COLUMNS($AB$1006:AH1006),$AB$1006:$AQ$1006,0)), HYPERLINK("#",""), HYPERLINK(CONCATENATE("#metadata!", ADDRESS(INDEX($W$2:$W$1001,MATCH(ROWS($U$2:U456),$U$2:$U$1001,0),0), INDEX($AB$1004:$AQ$1004,1,MATCH(COLUMNS($AB$1006:AH1006),$AB$1006:$AQ$1006,0)))),"Fix")))</f>
        <v>0</v>
      </c>
      <c r="I456" s="4">
        <f>IF(OR(INDEX($V$2:$V$1001,MATCH(ROWS($U$2:U456),$U$2:$U$1001,0),1)&gt;=100000,INDEX($AB$1005:$AQ$1005,1,MATCH(COLUMNS($AB$1006:AI1006),$AB$1006:$AQ$1006,0))&gt;=100000), " ",IF(INDEX($AB$2:$AQ$1001,MATCH(ROWS($U$2:U456),$U$2:$U$1001,0),MATCH(COLUMNS($AB$1006:AI1006),$AB$1006:$AQ$1006,0)), HYPERLINK("#",""), HYPERLINK(CONCATENATE("#metadata!", ADDRESS(INDEX($W$2:$W$1001,MATCH(ROWS($U$2:U456),$U$2:$U$1001,0),0), INDEX($AB$1004:$AQ$1004,1,MATCH(COLUMNS($AB$1006:AI1006),$AB$1006:$AQ$1006,0)))),"Fix")))</f>
        <v>0</v>
      </c>
      <c r="J456" s="4">
        <f>IF(OR(INDEX($V$2:$V$1001,MATCH(ROWS($U$2:U456),$U$2:$U$1001,0),1)&gt;=100000,INDEX($AB$1005:$AQ$1005,1,MATCH(COLUMNS($AB$1006:AJ1006),$AB$1006:$AQ$1006,0))&gt;=100000), " ",IF(INDEX($AB$2:$AQ$1001,MATCH(ROWS($U$2:U456),$U$2:$U$1001,0),MATCH(COLUMNS($AB$1006:AJ1006),$AB$1006:$AQ$1006,0)), HYPERLINK("#",""), HYPERLINK(CONCATENATE("#metadata!", ADDRESS(INDEX($W$2:$W$1001,MATCH(ROWS($U$2:U456),$U$2:$U$1001,0),0), INDEX($AB$1004:$AQ$1004,1,MATCH(COLUMNS($AB$1006:AJ1006),$AB$1006:$AQ$1006,0)))),"Fix")))</f>
        <v>0</v>
      </c>
      <c r="K456" s="4">
        <f>IF(OR(INDEX($V$2:$V$1001,MATCH(ROWS($U$2:U456),$U$2:$U$1001,0),1)&gt;=100000,INDEX($AB$1005:$AQ$1005,1,MATCH(COLUMNS($AB$1006:AK1006),$AB$1006:$AQ$1006,0))&gt;=100000), " ",IF(INDEX($AB$2:$AQ$1001,MATCH(ROWS($U$2:U456),$U$2:$U$1001,0),MATCH(COLUMNS($AB$1006:AK1006),$AB$1006:$AQ$1006,0)), HYPERLINK("#",""), HYPERLINK(CONCATENATE("#metadata!", ADDRESS(INDEX($W$2:$W$1001,MATCH(ROWS($U$2:U456),$U$2:$U$1001,0),0), INDEX($AB$1004:$AQ$1004,1,MATCH(COLUMNS($AB$1006:AK1006),$AB$1006:$AQ$1006,0)))),"Fix")))</f>
        <v>0</v>
      </c>
      <c r="L456" s="4">
        <f>IF(OR(INDEX($V$2:$V$1001,MATCH(ROWS($U$2:U456),$U$2:$U$1001,0),1)&gt;=100000,INDEX($AB$1005:$AQ$1005,1,MATCH(COLUMNS($AB$1006:AL1006),$AB$1006:$AQ$1006,0))&gt;=100000), " ",IF(INDEX($AB$2:$AQ$1001,MATCH(ROWS($U$2:U456),$U$2:$U$1001,0),MATCH(COLUMNS($AB$1006:AL1006),$AB$1006:$AQ$1006,0)), HYPERLINK("#",""), HYPERLINK(CONCATENATE("#metadata!", ADDRESS(INDEX($W$2:$W$1001,MATCH(ROWS($U$2:U456),$U$2:$U$1001,0),0), INDEX($AB$1004:$AQ$1004,1,MATCH(COLUMNS($AB$1006:AL1006),$AB$1006:$AQ$1006,0)))),"Fix")))</f>
        <v>0</v>
      </c>
      <c r="M456" s="4">
        <f>IF(OR(INDEX($V$2:$V$1001,MATCH(ROWS($U$2:U456),$U$2:$U$1001,0),1)&gt;=100000,INDEX($AB$1005:$AQ$1005,1,MATCH(COLUMNS($AB$1006:AM1006),$AB$1006:$AQ$1006,0))&gt;=100000), " ",IF(INDEX($AB$2:$AQ$1001,MATCH(ROWS($U$2:U456),$U$2:$U$1001,0),MATCH(COLUMNS($AB$1006:AM1006),$AB$1006:$AQ$1006,0)), HYPERLINK("#",""), HYPERLINK(CONCATENATE("#metadata!", ADDRESS(INDEX($W$2:$W$1001,MATCH(ROWS($U$2:U456),$U$2:$U$1001,0),0), INDEX($AB$1004:$AQ$1004,1,MATCH(COLUMNS($AB$1006:AM1006),$AB$1006:$AQ$1006,0)))),"Fix")))</f>
        <v>0</v>
      </c>
      <c r="N456" s="4">
        <f>IF(OR(INDEX($V$2:$V$1001,MATCH(ROWS($U$2:U456),$U$2:$U$1001,0),1)&gt;=100000,INDEX($AB$1005:$AQ$1005,1,MATCH(COLUMNS($AB$1006:AN1006),$AB$1006:$AQ$1006,0))&gt;=100000), " ",IF(INDEX($AB$2:$AQ$1001,MATCH(ROWS($U$2:U456),$U$2:$U$1001,0),MATCH(COLUMNS($AB$1006:AN1006),$AB$1006:$AQ$1006,0)), HYPERLINK("#",""), HYPERLINK(CONCATENATE("#metadata!", ADDRESS(INDEX($W$2:$W$1001,MATCH(ROWS($U$2:U456),$U$2:$U$1001,0),0), INDEX($AB$1004:$AQ$1004,1,MATCH(COLUMNS($AB$1006:AN1006),$AB$1006:$AQ$1006,0)))),"Fix")))</f>
        <v>0</v>
      </c>
      <c r="O456" s="4">
        <f>IF(OR(INDEX($V$2:$V$1001,MATCH(ROWS($U$2:U456),$U$2:$U$1001,0),1)&gt;=100000,INDEX($AB$1005:$AQ$1005,1,MATCH(COLUMNS($AB$1006:AO1006),$AB$1006:$AQ$1006,0))&gt;=100000), " ",IF(INDEX($AB$2:$AQ$1001,MATCH(ROWS($U$2:U456),$U$2:$U$1001,0),MATCH(COLUMNS($AB$1006:AO1006),$AB$1006:$AQ$1006,0)), HYPERLINK("#",""), HYPERLINK(CONCATENATE("#metadata!", ADDRESS(INDEX($W$2:$W$1001,MATCH(ROWS($U$2:U456),$U$2:$U$1001,0),0), INDEX($AB$1004:$AQ$1004,1,MATCH(COLUMNS($AB$1006:AO1006),$AB$1006:$AQ$1006,0)))),"Fix")))</f>
        <v>0</v>
      </c>
      <c r="P456" s="4">
        <f>IF(OR(INDEX($V$2:$V$1001,MATCH(ROWS($U$2:U456),$U$2:$U$1001,0),1)&gt;=100000,INDEX($AB$1005:$AQ$1005,1,MATCH(COLUMNS($AB$1006:AP1006),$AB$1006:$AQ$1006,0))&gt;=100000), " ",IF(INDEX($AB$2:$AQ$1001,MATCH(ROWS($U$2:U456),$U$2:$U$1001,0),MATCH(COLUMNS($AB$1006:AP1006),$AB$1006:$AQ$1006,0)), HYPERLINK("#",""), HYPERLINK(CONCATENATE("#metadata!", ADDRESS(INDEX($W$2:$W$1001,MATCH(ROWS($U$2:U456),$U$2:$U$1001,0),0), INDEX($AB$1004:$AQ$1004,1,MATCH(COLUMNS($AB$1006:AP1006),$AB$1006:$AQ$1006,0)))),"Fix")))</f>
        <v>0</v>
      </c>
      <c r="Q456" s="4">
        <f>IF(OR(INDEX($V$2:$V$1001,MATCH(ROWS($U$2:U456),$U$2:$U$1001,0),1)&gt;=100000,INDEX($AB$1005:$AQ$1005,1,MATCH(COLUMNS($AB$1006:AQ1006),$AB$1006:$AQ$1006,0))&gt;=100000), " ",IF(INDEX($AB$2:$AQ$1001,MATCH(ROWS($U$2:U456),$U$2:$U$1001,0),MATCH(COLUMNS($AB$1006:AQ1006),$AB$1006:$AQ$1006,0)), HYPERLINK("#",""), HYPERLINK(CONCATENATE("#metadata!", ADDRESS(INDEX($W$2:$W$1001,MATCH(ROWS($U$2:U456),$U$2:$U$1001,0),0), INDEX($AB$1004:$AQ$1004,1,MATCH(COLUMNS($AB$1006:AQ1006),$AB$1006:$AQ$1006,0)))),"Fix")))</f>
        <v>0</v>
      </c>
      <c r="U456">
        <v>0</v>
      </c>
      <c r="V456">
        <v>0</v>
      </c>
      <c r="W456">
        <v>0</v>
      </c>
      <c r="X456">
        <f>IF(Y456,TRUE,AND(AB456:AQ456))</f>
        <v>0</v>
      </c>
      <c r="Y456">
        <f>COUNTBLANK(metadata!B456:Q456)=COLUMNS(metadata!B456:Q456)</f>
        <v>0</v>
      </c>
      <c r="Z456">
        <v>0</v>
      </c>
      <c r="AB456">
        <f>AND(IF(metadata!B456="",FALSE,TRUE),COUNTIF(metadata!B:B, metadata!B456) = 1,NOT(ISERROR(SUMPRODUCT(SEARCH(MID(metadata!B456,ROW(INDIRECT("1:"&amp;LEN(metadata!B456))), 1),"0123456789abcdefghijklmnopqrstuvwxyzABCDEFGHIJKLMNOPQRSTUVWXYZ.")))))</f>
        <v>0</v>
      </c>
      <c r="AC456">
        <f>OR(AND(IF(metadata!C456="",FALSE,TRUE),OR(exact(metadata!C456,"missing: not collected"),exact(metadata!C456,"missing: not provided"),exact(metadata!C456,"missing: restricted access"))),AND(IF(metadata!C456="",FALSE,TRUE),AND(AND(IFERROR(INT(LEFT(metadata!C456,4))&gt;1900,FALSE),IFERROR(INT(LEFT(metadata!C456,4))&lt;=YEAR(NOW()),FALSE)), OR(MID(metadata!C456,5,1)="", AND(AND(MID(metadata!C456,5,1)="-",IFERROR(INT(MID(metadata!C456,6,1))&gt;=0,FALSE),IFERROR(INT(MID(metadata!C456,6,1))&lt;=1,FALSE),NOT(MID(metadata!C456,7,1)=""),IFERROR(INT(MID(metadata!C456,6,2))&gt;=1,FALSE),IFERROR(INT(MID(metadata!C456,6,2))&lt;=12,FALSE)), OR(MID(metadata!C456,8,1)="", AND(AND(MID(metadata!C456,8,1)="-",IFERROR(INT(MID(metadata!C456,9,1))&gt;=0,FALSE),IFERROR(INT(MID(metadata!C456,9,1))&lt;=3,FALSE),NOT(MID(metadata!C456,10,1)=""),IFERROR(INT(MID(metadata!C456,9,2))&gt;=1,FALSE),IFERROR(INT(MID(metadata!C456,9,2))&lt;=31,FALSE)), OR(MID(metadata!C456,11,1)="", AND(AND(MID(metadata!C456,11,1)=" ",IFERROR(INT(MID(metadata!C456,12,1))&gt;=0,FALSE),IFERROR(INT(MID(metadata!C456,12,1))&lt;=2,FALSE),NOT(MID(metadata!C456,13,1)=""),IFERROR(INT(MID(metadata!C456,12,2))&gt;=0,FALSE),IFERROR(INT(MID(metadata!C456,12,2))&lt;=23,FALSE)), OR(MID(metadata!C456,14,1)="", AND(AND(MID(metadata!C456,14,1)=":",IFERROR(INT(MID(metadata!C456,15,1))&gt;=0,FALSE),IFERROR(INT(MID(metadata!C456,15,1))&lt;=5,FALSE),NOT(MID(metadata!C456,16,1)=""),IFERROR(INT(MID(metadata!C456,15,2))&gt;=0,FALSE),IFERROR(INT(MID(metadata!C456,15,2))&lt;=59,FALSE)), OR(MID(metadata!C456,17,1)="", AND(AND(MID(metadata!C456,17,1)=":",IFERROR(INT(MID(metadata!C456,18,1))&gt;=0,FALSE),IFERROR(INT(MID(metadata!C456,18,1))&lt;=5,FALSE),NOT(MID(metadata!C456,19,1)=""),IFERROR(INT(MID(metadata!C456,18,2))&gt;=0,FALSE),IFERROR(INT(MID(metadata!C456,18,2))&lt;=59,FALSE)), LEN(metadata!C456)&lt;=19)))))))))))))</f>
        <v>0</v>
      </c>
      <c r="AD456">
        <f>IF(metadata!D456="",FALSE,TRUE)</f>
        <v>0</v>
      </c>
      <c r="AE456">
        <f>OR(AND(IF(metadata!E456="",FALSE,TRUE),OR(exact(metadata!E456,"missing: not collected"),exact(metadata!E456,"missing: not provided"))),AND(IF(metadata!E456="",FALSE,TRUE),OR(exact(metadata!E456,"TRUE"),exact(metadata!E456,"FALSE"))))</f>
        <v>0</v>
      </c>
      <c r="AF456">
        <f>IF(metadata!F456="",FALSE,TRUE)</f>
        <v>0</v>
      </c>
      <c r="AG456">
        <f>IF(metadata!G456="",FALSE,TRUE)</f>
        <v>0</v>
      </c>
      <c r="AH456">
        <f>IF(metadata!H456="",FALSE,TRUE)</f>
        <v>0</v>
      </c>
      <c r="AI456">
        <f>OR(AND(IF(metadata!I456="",FALSE,TRUE),OR(exact(metadata!I456,"missing: not collected"),exact(metadata!I456,"missing: not provided"),exact(metadata!I456,"missing: restricted access"))),AND(IF(metadata!I456="",FALSE,TRUE),OR(exact(metadata!I456,"air"),exact(metadata!I456,"built environment"),exact(metadata!I456,"host-associated"),exact(metadata!I456,"human-associated"),exact(metadata!I456,"human-skin"),exact(metadata!I456,"human-oral"),exact(metadata!I456,"human-gut"),exact(metadata!I456,"human-vaginal"),exact(metadata!I456,"microbial mat/biofilm"),exact(metadata!I456,"misc environment"),exact(metadata!I456,"plant-associated"),exact(metadata!I456,"sediment"),exact(metadata!I456,"soil"),exact(metadata!I456,"wastewater/sludge"),exact(metadata!I456,"water"))))</f>
        <v>0</v>
      </c>
      <c r="AJ456">
        <f>IF(metadata!J456="",FALSE,TRUE)</f>
        <v>0</v>
      </c>
      <c r="AK456">
        <f>OR(AND(IF(metadata!K456="",FALSE,TRUE),OR(exact(metadata!K456,"missing: not collected"),exact(metadata!K456,"missing: not provided"),exact(metadata!K456,"missing: restricted access"))),AND(IF(metadata!K456="",FALSE,ISNUMBER(VALUE(metadata!K456))),metadata!K456&gt;=-90.00,metadata!K456&lt;=90.00))</f>
        <v>0</v>
      </c>
      <c r="AL456">
        <f>OR(AND(IF(metadata!L456="",FALSE,TRUE),OR(exact(metadata!L456,"missing: not collected"),exact(metadata!L456,"missing: not provided"),exact(metadata!L456,"missing: restricted access"))),AND(IF(metadata!L456="",FALSE,ISNUMBER(VALUE(metadata!L456))),metadata!L456&gt;=-180.00,metadata!L456&lt;=180.00))</f>
        <v>0</v>
      </c>
      <c r="AM456">
        <f>IF(metadata!M456="",FALSE,TRUE)</f>
        <v>0</v>
      </c>
      <c r="AN456">
        <f>OR(AND(IF(metadata!N456="",FALSE,TRUE),OR(exact(metadata!N456,"missing: not collected"),exact(metadata!N456,"missing: not provided"),exact(metadata!N456,"missing: restricted access"))),AND(IF(metadata!N456="",FALSE,TRUE),OR(exact(metadata!N456,"TRUE"),exact(metadata!N456,"FALSE"))))</f>
        <v>0</v>
      </c>
      <c r="AO456">
        <f>IF(metadata!O456="",FALSE,TRUE)</f>
        <v>0</v>
      </c>
      <c r="AP456">
        <f>OR(AND(IF(metadata!P456="",FALSE,TRUE),OR(exact(metadata!P456,"missing: not collected"),exact(metadata!P456,"missing: not provided"))),AND(IF(metadata!P456="",FALSE,IF(ISERROR(INT(metadata!P456)),FALSE,INT(metadata!P456)=metadata!P456)),metadata!P456&gt;0))</f>
        <v>0</v>
      </c>
      <c r="AQ456">
        <f>IF(metadata!Q456="",FALSE,TRUE)</f>
        <v>0</v>
      </c>
    </row>
    <row r="457" spans="1:43">
      <c r="A457" s="5">
        <f>IF(B457=" "," ",HYPERLINK(CONCATENATE("#metadata!",ADDRESS(INDEX($W$2:$W$1001,MATCH(ROWS($U$2:U457),$U$2:$U$1001,0),0),1)),INDEX($Z$2:$Z$1001,MATCH(ROWS($U$2:U457),$U$2:$U$1001,0),0)))</f>
        <v>0</v>
      </c>
      <c r="B457" s="4">
        <f>IF(OR(INDEX($V$2:$V$1001,MATCH(ROWS($U$2:U457),$U$2:$U$1001,0),1)&gt;=100000,INDEX($AB$1005:$AQ$1005,1,MATCH(COLUMNS($AB$1006:AB1006),$AB$1006:$AQ$1006,0))&gt;=100000), " ",IF(INDEX($AB$2:$AQ$1001,MATCH(ROWS($U$2:U457),$U$2:$U$1001,0),MATCH(COLUMNS($AB$1006:AB1006),$AB$1006:$AQ$1006,0)), HYPERLINK("#",""), HYPERLINK(CONCATENATE("#metadata!", ADDRESS(INDEX($W$2:$W$1001,MATCH(ROWS($U$2:U457),$U$2:$U$1001,0),0), INDEX($AB$1004:$AQ$1004,1,MATCH(COLUMNS($AB$1006:AB1006),$AB$1006:$AQ$1006,0)))),"Fix")))</f>
        <v>0</v>
      </c>
      <c r="C457" s="4">
        <f>IF(OR(INDEX($V$2:$V$1001,MATCH(ROWS($U$2:U457),$U$2:$U$1001,0),1)&gt;=100000,INDEX($AB$1005:$AQ$1005,1,MATCH(COLUMNS($AB$1006:AC1006),$AB$1006:$AQ$1006,0))&gt;=100000), " ",IF(INDEX($AB$2:$AQ$1001,MATCH(ROWS($U$2:U457),$U$2:$U$1001,0),MATCH(COLUMNS($AB$1006:AC1006),$AB$1006:$AQ$1006,0)), HYPERLINK("#",""), HYPERLINK(CONCATENATE("#metadata!", ADDRESS(INDEX($W$2:$W$1001,MATCH(ROWS($U$2:U457),$U$2:$U$1001,0),0), INDEX($AB$1004:$AQ$1004,1,MATCH(COLUMNS($AB$1006:AC1006),$AB$1006:$AQ$1006,0)))),"Fix")))</f>
        <v>0</v>
      </c>
      <c r="D457" s="4">
        <f>IF(OR(INDEX($V$2:$V$1001,MATCH(ROWS($U$2:U457),$U$2:$U$1001,0),1)&gt;=100000,INDEX($AB$1005:$AQ$1005,1,MATCH(COLUMNS($AB$1006:AD1006),$AB$1006:$AQ$1006,0))&gt;=100000), " ",IF(INDEX($AB$2:$AQ$1001,MATCH(ROWS($U$2:U457),$U$2:$U$1001,0),MATCH(COLUMNS($AB$1006:AD1006),$AB$1006:$AQ$1006,0)), HYPERLINK("#",""), HYPERLINK(CONCATENATE("#metadata!", ADDRESS(INDEX($W$2:$W$1001,MATCH(ROWS($U$2:U457),$U$2:$U$1001,0),0), INDEX($AB$1004:$AQ$1004,1,MATCH(COLUMNS($AB$1006:AD1006),$AB$1006:$AQ$1006,0)))),"Fix")))</f>
        <v>0</v>
      </c>
      <c r="E457" s="4">
        <f>IF(OR(INDEX($V$2:$V$1001,MATCH(ROWS($U$2:U457),$U$2:$U$1001,0),1)&gt;=100000,INDEX($AB$1005:$AQ$1005,1,MATCH(COLUMNS($AB$1006:AE1006),$AB$1006:$AQ$1006,0))&gt;=100000), " ",IF(INDEX($AB$2:$AQ$1001,MATCH(ROWS($U$2:U457),$U$2:$U$1001,0),MATCH(COLUMNS($AB$1006:AE1006),$AB$1006:$AQ$1006,0)), HYPERLINK("#",""), HYPERLINK(CONCATENATE("#metadata!", ADDRESS(INDEX($W$2:$W$1001,MATCH(ROWS($U$2:U457),$U$2:$U$1001,0),0), INDEX($AB$1004:$AQ$1004,1,MATCH(COLUMNS($AB$1006:AE1006),$AB$1006:$AQ$1006,0)))),"Fix")))</f>
        <v>0</v>
      </c>
      <c r="F457" s="4">
        <f>IF(OR(INDEX($V$2:$V$1001,MATCH(ROWS($U$2:U457),$U$2:$U$1001,0),1)&gt;=100000,INDEX($AB$1005:$AQ$1005,1,MATCH(COLUMNS($AB$1006:AF1006),$AB$1006:$AQ$1006,0))&gt;=100000), " ",IF(INDEX($AB$2:$AQ$1001,MATCH(ROWS($U$2:U457),$U$2:$U$1001,0),MATCH(COLUMNS($AB$1006:AF1006),$AB$1006:$AQ$1006,0)), HYPERLINK("#",""), HYPERLINK(CONCATENATE("#metadata!", ADDRESS(INDEX($W$2:$W$1001,MATCH(ROWS($U$2:U457),$U$2:$U$1001,0),0), INDEX($AB$1004:$AQ$1004,1,MATCH(COLUMNS($AB$1006:AF1006),$AB$1006:$AQ$1006,0)))),"Fix")))</f>
        <v>0</v>
      </c>
      <c r="G457" s="4">
        <f>IF(OR(INDEX($V$2:$V$1001,MATCH(ROWS($U$2:U457),$U$2:$U$1001,0),1)&gt;=100000,INDEX($AB$1005:$AQ$1005,1,MATCH(COLUMNS($AB$1006:AG1006),$AB$1006:$AQ$1006,0))&gt;=100000), " ",IF(INDEX($AB$2:$AQ$1001,MATCH(ROWS($U$2:U457),$U$2:$U$1001,0),MATCH(COLUMNS($AB$1006:AG1006),$AB$1006:$AQ$1006,0)), HYPERLINK("#",""), HYPERLINK(CONCATENATE("#metadata!", ADDRESS(INDEX($W$2:$W$1001,MATCH(ROWS($U$2:U457),$U$2:$U$1001,0),0), INDEX($AB$1004:$AQ$1004,1,MATCH(COLUMNS($AB$1006:AG1006),$AB$1006:$AQ$1006,0)))),"Fix")))</f>
        <v>0</v>
      </c>
      <c r="H457" s="4">
        <f>IF(OR(INDEX($V$2:$V$1001,MATCH(ROWS($U$2:U457),$U$2:$U$1001,0),1)&gt;=100000,INDEX($AB$1005:$AQ$1005,1,MATCH(COLUMNS($AB$1006:AH1006),$AB$1006:$AQ$1006,0))&gt;=100000), " ",IF(INDEX($AB$2:$AQ$1001,MATCH(ROWS($U$2:U457),$U$2:$U$1001,0),MATCH(COLUMNS($AB$1006:AH1006),$AB$1006:$AQ$1006,0)), HYPERLINK("#",""), HYPERLINK(CONCATENATE("#metadata!", ADDRESS(INDEX($W$2:$W$1001,MATCH(ROWS($U$2:U457),$U$2:$U$1001,0),0), INDEX($AB$1004:$AQ$1004,1,MATCH(COLUMNS($AB$1006:AH1006),$AB$1006:$AQ$1006,0)))),"Fix")))</f>
        <v>0</v>
      </c>
      <c r="I457" s="4">
        <f>IF(OR(INDEX($V$2:$V$1001,MATCH(ROWS($U$2:U457),$U$2:$U$1001,0),1)&gt;=100000,INDEX($AB$1005:$AQ$1005,1,MATCH(COLUMNS($AB$1006:AI1006),$AB$1006:$AQ$1006,0))&gt;=100000), " ",IF(INDEX($AB$2:$AQ$1001,MATCH(ROWS($U$2:U457),$U$2:$U$1001,0),MATCH(COLUMNS($AB$1006:AI1006),$AB$1006:$AQ$1006,0)), HYPERLINK("#",""), HYPERLINK(CONCATENATE("#metadata!", ADDRESS(INDEX($W$2:$W$1001,MATCH(ROWS($U$2:U457),$U$2:$U$1001,0),0), INDEX($AB$1004:$AQ$1004,1,MATCH(COLUMNS($AB$1006:AI1006),$AB$1006:$AQ$1006,0)))),"Fix")))</f>
        <v>0</v>
      </c>
      <c r="J457" s="4">
        <f>IF(OR(INDEX($V$2:$V$1001,MATCH(ROWS($U$2:U457),$U$2:$U$1001,0),1)&gt;=100000,INDEX($AB$1005:$AQ$1005,1,MATCH(COLUMNS($AB$1006:AJ1006),$AB$1006:$AQ$1006,0))&gt;=100000), " ",IF(INDEX($AB$2:$AQ$1001,MATCH(ROWS($U$2:U457),$U$2:$U$1001,0),MATCH(COLUMNS($AB$1006:AJ1006),$AB$1006:$AQ$1006,0)), HYPERLINK("#",""), HYPERLINK(CONCATENATE("#metadata!", ADDRESS(INDEX($W$2:$W$1001,MATCH(ROWS($U$2:U457),$U$2:$U$1001,0),0), INDEX($AB$1004:$AQ$1004,1,MATCH(COLUMNS($AB$1006:AJ1006),$AB$1006:$AQ$1006,0)))),"Fix")))</f>
        <v>0</v>
      </c>
      <c r="K457" s="4">
        <f>IF(OR(INDEX($V$2:$V$1001,MATCH(ROWS($U$2:U457),$U$2:$U$1001,0),1)&gt;=100000,INDEX($AB$1005:$AQ$1005,1,MATCH(COLUMNS($AB$1006:AK1006),$AB$1006:$AQ$1006,0))&gt;=100000), " ",IF(INDEX($AB$2:$AQ$1001,MATCH(ROWS($U$2:U457),$U$2:$U$1001,0),MATCH(COLUMNS($AB$1006:AK1006),$AB$1006:$AQ$1006,0)), HYPERLINK("#",""), HYPERLINK(CONCATENATE("#metadata!", ADDRESS(INDEX($W$2:$W$1001,MATCH(ROWS($U$2:U457),$U$2:$U$1001,0),0), INDEX($AB$1004:$AQ$1004,1,MATCH(COLUMNS($AB$1006:AK1006),$AB$1006:$AQ$1006,0)))),"Fix")))</f>
        <v>0</v>
      </c>
      <c r="L457" s="4">
        <f>IF(OR(INDEX($V$2:$V$1001,MATCH(ROWS($U$2:U457),$U$2:$U$1001,0),1)&gt;=100000,INDEX($AB$1005:$AQ$1005,1,MATCH(COLUMNS($AB$1006:AL1006),$AB$1006:$AQ$1006,0))&gt;=100000), " ",IF(INDEX($AB$2:$AQ$1001,MATCH(ROWS($U$2:U457),$U$2:$U$1001,0),MATCH(COLUMNS($AB$1006:AL1006),$AB$1006:$AQ$1006,0)), HYPERLINK("#",""), HYPERLINK(CONCATENATE("#metadata!", ADDRESS(INDEX($W$2:$W$1001,MATCH(ROWS($U$2:U457),$U$2:$U$1001,0),0), INDEX($AB$1004:$AQ$1004,1,MATCH(COLUMNS($AB$1006:AL1006),$AB$1006:$AQ$1006,0)))),"Fix")))</f>
        <v>0</v>
      </c>
      <c r="M457" s="4">
        <f>IF(OR(INDEX($V$2:$V$1001,MATCH(ROWS($U$2:U457),$U$2:$U$1001,0),1)&gt;=100000,INDEX($AB$1005:$AQ$1005,1,MATCH(COLUMNS($AB$1006:AM1006),$AB$1006:$AQ$1006,0))&gt;=100000), " ",IF(INDEX($AB$2:$AQ$1001,MATCH(ROWS($U$2:U457),$U$2:$U$1001,0),MATCH(COLUMNS($AB$1006:AM1006),$AB$1006:$AQ$1006,0)), HYPERLINK("#",""), HYPERLINK(CONCATENATE("#metadata!", ADDRESS(INDEX($W$2:$W$1001,MATCH(ROWS($U$2:U457),$U$2:$U$1001,0),0), INDEX($AB$1004:$AQ$1004,1,MATCH(COLUMNS($AB$1006:AM1006),$AB$1006:$AQ$1006,0)))),"Fix")))</f>
        <v>0</v>
      </c>
      <c r="N457" s="4">
        <f>IF(OR(INDEX($V$2:$V$1001,MATCH(ROWS($U$2:U457),$U$2:$U$1001,0),1)&gt;=100000,INDEX($AB$1005:$AQ$1005,1,MATCH(COLUMNS($AB$1006:AN1006),$AB$1006:$AQ$1006,0))&gt;=100000), " ",IF(INDEX($AB$2:$AQ$1001,MATCH(ROWS($U$2:U457),$U$2:$U$1001,0),MATCH(COLUMNS($AB$1006:AN1006),$AB$1006:$AQ$1006,0)), HYPERLINK("#",""), HYPERLINK(CONCATENATE("#metadata!", ADDRESS(INDEX($W$2:$W$1001,MATCH(ROWS($U$2:U457),$U$2:$U$1001,0),0), INDEX($AB$1004:$AQ$1004,1,MATCH(COLUMNS($AB$1006:AN1006),$AB$1006:$AQ$1006,0)))),"Fix")))</f>
        <v>0</v>
      </c>
      <c r="O457" s="4">
        <f>IF(OR(INDEX($V$2:$V$1001,MATCH(ROWS($U$2:U457),$U$2:$U$1001,0),1)&gt;=100000,INDEX($AB$1005:$AQ$1005,1,MATCH(COLUMNS($AB$1006:AO1006),$AB$1006:$AQ$1006,0))&gt;=100000), " ",IF(INDEX($AB$2:$AQ$1001,MATCH(ROWS($U$2:U457),$U$2:$U$1001,0),MATCH(COLUMNS($AB$1006:AO1006),$AB$1006:$AQ$1006,0)), HYPERLINK("#",""), HYPERLINK(CONCATENATE("#metadata!", ADDRESS(INDEX($W$2:$W$1001,MATCH(ROWS($U$2:U457),$U$2:$U$1001,0),0), INDEX($AB$1004:$AQ$1004,1,MATCH(COLUMNS($AB$1006:AO1006),$AB$1006:$AQ$1006,0)))),"Fix")))</f>
        <v>0</v>
      </c>
      <c r="P457" s="4">
        <f>IF(OR(INDEX($V$2:$V$1001,MATCH(ROWS($U$2:U457),$U$2:$U$1001,0),1)&gt;=100000,INDEX($AB$1005:$AQ$1005,1,MATCH(COLUMNS($AB$1006:AP1006),$AB$1006:$AQ$1006,0))&gt;=100000), " ",IF(INDEX($AB$2:$AQ$1001,MATCH(ROWS($U$2:U457),$U$2:$U$1001,0),MATCH(COLUMNS($AB$1006:AP1006),$AB$1006:$AQ$1006,0)), HYPERLINK("#",""), HYPERLINK(CONCATENATE("#metadata!", ADDRESS(INDEX($W$2:$W$1001,MATCH(ROWS($U$2:U457),$U$2:$U$1001,0),0), INDEX($AB$1004:$AQ$1004,1,MATCH(COLUMNS($AB$1006:AP1006),$AB$1006:$AQ$1006,0)))),"Fix")))</f>
        <v>0</v>
      </c>
      <c r="Q457" s="4">
        <f>IF(OR(INDEX($V$2:$V$1001,MATCH(ROWS($U$2:U457),$U$2:$U$1001,0),1)&gt;=100000,INDEX($AB$1005:$AQ$1005,1,MATCH(COLUMNS($AB$1006:AQ1006),$AB$1006:$AQ$1006,0))&gt;=100000), " ",IF(INDEX($AB$2:$AQ$1001,MATCH(ROWS($U$2:U457),$U$2:$U$1001,0),MATCH(COLUMNS($AB$1006:AQ1006),$AB$1006:$AQ$1006,0)), HYPERLINK("#",""), HYPERLINK(CONCATENATE("#metadata!", ADDRESS(INDEX($W$2:$W$1001,MATCH(ROWS($U$2:U457),$U$2:$U$1001,0),0), INDEX($AB$1004:$AQ$1004,1,MATCH(COLUMNS($AB$1006:AQ1006),$AB$1006:$AQ$1006,0)))),"Fix")))</f>
        <v>0</v>
      </c>
      <c r="U457">
        <v>0</v>
      </c>
      <c r="V457">
        <v>0</v>
      </c>
      <c r="W457">
        <v>0</v>
      </c>
      <c r="X457">
        <f>IF(Y457,TRUE,AND(AB457:AQ457))</f>
        <v>0</v>
      </c>
      <c r="Y457">
        <f>COUNTBLANK(metadata!B457:Q457)=COLUMNS(metadata!B457:Q457)</f>
        <v>0</v>
      </c>
      <c r="Z457">
        <v>0</v>
      </c>
      <c r="AB457">
        <f>AND(IF(metadata!B457="",FALSE,TRUE),COUNTIF(metadata!B:B, metadata!B457) = 1,NOT(ISERROR(SUMPRODUCT(SEARCH(MID(metadata!B457,ROW(INDIRECT("1:"&amp;LEN(metadata!B457))), 1),"0123456789abcdefghijklmnopqrstuvwxyzABCDEFGHIJKLMNOPQRSTUVWXYZ.")))))</f>
        <v>0</v>
      </c>
      <c r="AC457">
        <f>OR(AND(IF(metadata!C457="",FALSE,TRUE),OR(exact(metadata!C457,"missing: not collected"),exact(metadata!C457,"missing: not provided"),exact(metadata!C457,"missing: restricted access"))),AND(IF(metadata!C457="",FALSE,TRUE),AND(AND(IFERROR(INT(LEFT(metadata!C457,4))&gt;1900,FALSE),IFERROR(INT(LEFT(metadata!C457,4))&lt;=YEAR(NOW()),FALSE)), OR(MID(metadata!C457,5,1)="", AND(AND(MID(metadata!C457,5,1)="-",IFERROR(INT(MID(metadata!C457,6,1))&gt;=0,FALSE),IFERROR(INT(MID(metadata!C457,6,1))&lt;=1,FALSE),NOT(MID(metadata!C457,7,1)=""),IFERROR(INT(MID(metadata!C457,6,2))&gt;=1,FALSE),IFERROR(INT(MID(metadata!C457,6,2))&lt;=12,FALSE)), OR(MID(metadata!C457,8,1)="", AND(AND(MID(metadata!C457,8,1)="-",IFERROR(INT(MID(metadata!C457,9,1))&gt;=0,FALSE),IFERROR(INT(MID(metadata!C457,9,1))&lt;=3,FALSE),NOT(MID(metadata!C457,10,1)=""),IFERROR(INT(MID(metadata!C457,9,2))&gt;=1,FALSE),IFERROR(INT(MID(metadata!C457,9,2))&lt;=31,FALSE)), OR(MID(metadata!C457,11,1)="", AND(AND(MID(metadata!C457,11,1)=" ",IFERROR(INT(MID(metadata!C457,12,1))&gt;=0,FALSE),IFERROR(INT(MID(metadata!C457,12,1))&lt;=2,FALSE),NOT(MID(metadata!C457,13,1)=""),IFERROR(INT(MID(metadata!C457,12,2))&gt;=0,FALSE),IFERROR(INT(MID(metadata!C457,12,2))&lt;=23,FALSE)), OR(MID(metadata!C457,14,1)="", AND(AND(MID(metadata!C457,14,1)=":",IFERROR(INT(MID(metadata!C457,15,1))&gt;=0,FALSE),IFERROR(INT(MID(metadata!C457,15,1))&lt;=5,FALSE),NOT(MID(metadata!C457,16,1)=""),IFERROR(INT(MID(metadata!C457,15,2))&gt;=0,FALSE),IFERROR(INT(MID(metadata!C457,15,2))&lt;=59,FALSE)), OR(MID(metadata!C457,17,1)="", AND(AND(MID(metadata!C457,17,1)=":",IFERROR(INT(MID(metadata!C457,18,1))&gt;=0,FALSE),IFERROR(INT(MID(metadata!C457,18,1))&lt;=5,FALSE),NOT(MID(metadata!C457,19,1)=""),IFERROR(INT(MID(metadata!C457,18,2))&gt;=0,FALSE),IFERROR(INT(MID(metadata!C457,18,2))&lt;=59,FALSE)), LEN(metadata!C457)&lt;=19)))))))))))))</f>
        <v>0</v>
      </c>
      <c r="AD457">
        <f>IF(metadata!D457="",FALSE,TRUE)</f>
        <v>0</v>
      </c>
      <c r="AE457">
        <f>OR(AND(IF(metadata!E457="",FALSE,TRUE),OR(exact(metadata!E457,"missing: not collected"),exact(metadata!E457,"missing: not provided"))),AND(IF(metadata!E457="",FALSE,TRUE),OR(exact(metadata!E457,"TRUE"),exact(metadata!E457,"FALSE"))))</f>
        <v>0</v>
      </c>
      <c r="AF457">
        <f>IF(metadata!F457="",FALSE,TRUE)</f>
        <v>0</v>
      </c>
      <c r="AG457">
        <f>IF(metadata!G457="",FALSE,TRUE)</f>
        <v>0</v>
      </c>
      <c r="AH457">
        <f>IF(metadata!H457="",FALSE,TRUE)</f>
        <v>0</v>
      </c>
      <c r="AI457">
        <f>OR(AND(IF(metadata!I457="",FALSE,TRUE),OR(exact(metadata!I457,"missing: not collected"),exact(metadata!I457,"missing: not provided"),exact(metadata!I457,"missing: restricted access"))),AND(IF(metadata!I457="",FALSE,TRUE),OR(exact(metadata!I457,"air"),exact(metadata!I457,"built environment"),exact(metadata!I457,"host-associated"),exact(metadata!I457,"human-associated"),exact(metadata!I457,"human-skin"),exact(metadata!I457,"human-oral"),exact(metadata!I457,"human-gut"),exact(metadata!I457,"human-vaginal"),exact(metadata!I457,"microbial mat/biofilm"),exact(metadata!I457,"misc environment"),exact(metadata!I457,"plant-associated"),exact(metadata!I457,"sediment"),exact(metadata!I457,"soil"),exact(metadata!I457,"wastewater/sludge"),exact(metadata!I457,"water"))))</f>
        <v>0</v>
      </c>
      <c r="AJ457">
        <f>IF(metadata!J457="",FALSE,TRUE)</f>
        <v>0</v>
      </c>
      <c r="AK457">
        <f>OR(AND(IF(metadata!K457="",FALSE,TRUE),OR(exact(metadata!K457,"missing: not collected"),exact(metadata!K457,"missing: not provided"),exact(metadata!K457,"missing: restricted access"))),AND(IF(metadata!K457="",FALSE,ISNUMBER(VALUE(metadata!K457))),metadata!K457&gt;=-90.00,metadata!K457&lt;=90.00))</f>
        <v>0</v>
      </c>
      <c r="AL457">
        <f>OR(AND(IF(metadata!L457="",FALSE,TRUE),OR(exact(metadata!L457,"missing: not collected"),exact(metadata!L457,"missing: not provided"),exact(metadata!L457,"missing: restricted access"))),AND(IF(metadata!L457="",FALSE,ISNUMBER(VALUE(metadata!L457))),metadata!L457&gt;=-180.00,metadata!L457&lt;=180.00))</f>
        <v>0</v>
      </c>
      <c r="AM457">
        <f>IF(metadata!M457="",FALSE,TRUE)</f>
        <v>0</v>
      </c>
      <c r="AN457">
        <f>OR(AND(IF(metadata!N457="",FALSE,TRUE),OR(exact(metadata!N457,"missing: not collected"),exact(metadata!N457,"missing: not provided"),exact(metadata!N457,"missing: restricted access"))),AND(IF(metadata!N457="",FALSE,TRUE),OR(exact(metadata!N457,"TRUE"),exact(metadata!N457,"FALSE"))))</f>
        <v>0</v>
      </c>
      <c r="AO457">
        <f>IF(metadata!O457="",FALSE,TRUE)</f>
        <v>0</v>
      </c>
      <c r="AP457">
        <f>OR(AND(IF(metadata!P457="",FALSE,TRUE),OR(exact(metadata!P457,"missing: not collected"),exact(metadata!P457,"missing: not provided"))),AND(IF(metadata!P457="",FALSE,IF(ISERROR(INT(metadata!P457)),FALSE,INT(metadata!P457)=metadata!P457)),metadata!P457&gt;0))</f>
        <v>0</v>
      </c>
      <c r="AQ457">
        <f>IF(metadata!Q457="",FALSE,TRUE)</f>
        <v>0</v>
      </c>
    </row>
    <row r="458" spans="1:43">
      <c r="A458" s="5">
        <f>IF(B458=" "," ",HYPERLINK(CONCATENATE("#metadata!",ADDRESS(INDEX($W$2:$W$1001,MATCH(ROWS($U$2:U458),$U$2:$U$1001,0),0),1)),INDEX($Z$2:$Z$1001,MATCH(ROWS($U$2:U458),$U$2:$U$1001,0),0)))</f>
        <v>0</v>
      </c>
      <c r="B458" s="4">
        <f>IF(OR(INDEX($V$2:$V$1001,MATCH(ROWS($U$2:U458),$U$2:$U$1001,0),1)&gt;=100000,INDEX($AB$1005:$AQ$1005,1,MATCH(COLUMNS($AB$1006:AB1006),$AB$1006:$AQ$1006,0))&gt;=100000), " ",IF(INDEX($AB$2:$AQ$1001,MATCH(ROWS($U$2:U458),$U$2:$U$1001,0),MATCH(COLUMNS($AB$1006:AB1006),$AB$1006:$AQ$1006,0)), HYPERLINK("#",""), HYPERLINK(CONCATENATE("#metadata!", ADDRESS(INDEX($W$2:$W$1001,MATCH(ROWS($U$2:U458),$U$2:$U$1001,0),0), INDEX($AB$1004:$AQ$1004,1,MATCH(COLUMNS($AB$1006:AB1006),$AB$1006:$AQ$1006,0)))),"Fix")))</f>
        <v>0</v>
      </c>
      <c r="C458" s="4">
        <f>IF(OR(INDEX($V$2:$V$1001,MATCH(ROWS($U$2:U458),$U$2:$U$1001,0),1)&gt;=100000,INDEX($AB$1005:$AQ$1005,1,MATCH(COLUMNS($AB$1006:AC1006),$AB$1006:$AQ$1006,0))&gt;=100000), " ",IF(INDEX($AB$2:$AQ$1001,MATCH(ROWS($U$2:U458),$U$2:$U$1001,0),MATCH(COLUMNS($AB$1006:AC1006),$AB$1006:$AQ$1006,0)), HYPERLINK("#",""), HYPERLINK(CONCATENATE("#metadata!", ADDRESS(INDEX($W$2:$W$1001,MATCH(ROWS($U$2:U458),$U$2:$U$1001,0),0), INDEX($AB$1004:$AQ$1004,1,MATCH(COLUMNS($AB$1006:AC1006),$AB$1006:$AQ$1006,0)))),"Fix")))</f>
        <v>0</v>
      </c>
      <c r="D458" s="4">
        <f>IF(OR(INDEX($V$2:$V$1001,MATCH(ROWS($U$2:U458),$U$2:$U$1001,0),1)&gt;=100000,INDEX($AB$1005:$AQ$1005,1,MATCH(COLUMNS($AB$1006:AD1006),$AB$1006:$AQ$1006,0))&gt;=100000), " ",IF(INDEX($AB$2:$AQ$1001,MATCH(ROWS($U$2:U458),$U$2:$U$1001,0),MATCH(COLUMNS($AB$1006:AD1006),$AB$1006:$AQ$1006,0)), HYPERLINK("#",""), HYPERLINK(CONCATENATE("#metadata!", ADDRESS(INDEX($W$2:$W$1001,MATCH(ROWS($U$2:U458),$U$2:$U$1001,0),0), INDEX($AB$1004:$AQ$1004,1,MATCH(COLUMNS($AB$1006:AD1006),$AB$1006:$AQ$1006,0)))),"Fix")))</f>
        <v>0</v>
      </c>
      <c r="E458" s="4">
        <f>IF(OR(INDEX($V$2:$V$1001,MATCH(ROWS($U$2:U458),$U$2:$U$1001,0),1)&gt;=100000,INDEX($AB$1005:$AQ$1005,1,MATCH(COLUMNS($AB$1006:AE1006),$AB$1006:$AQ$1006,0))&gt;=100000), " ",IF(INDEX($AB$2:$AQ$1001,MATCH(ROWS($U$2:U458),$U$2:$U$1001,0),MATCH(COLUMNS($AB$1006:AE1006),$AB$1006:$AQ$1006,0)), HYPERLINK("#",""), HYPERLINK(CONCATENATE("#metadata!", ADDRESS(INDEX($W$2:$W$1001,MATCH(ROWS($U$2:U458),$U$2:$U$1001,0),0), INDEX($AB$1004:$AQ$1004,1,MATCH(COLUMNS($AB$1006:AE1006),$AB$1006:$AQ$1006,0)))),"Fix")))</f>
        <v>0</v>
      </c>
      <c r="F458" s="4">
        <f>IF(OR(INDEX($V$2:$V$1001,MATCH(ROWS($U$2:U458),$U$2:$U$1001,0),1)&gt;=100000,INDEX($AB$1005:$AQ$1005,1,MATCH(COLUMNS($AB$1006:AF1006),$AB$1006:$AQ$1006,0))&gt;=100000), " ",IF(INDEX($AB$2:$AQ$1001,MATCH(ROWS($U$2:U458),$U$2:$U$1001,0),MATCH(COLUMNS($AB$1006:AF1006),$AB$1006:$AQ$1006,0)), HYPERLINK("#",""), HYPERLINK(CONCATENATE("#metadata!", ADDRESS(INDEX($W$2:$W$1001,MATCH(ROWS($U$2:U458),$U$2:$U$1001,0),0), INDEX($AB$1004:$AQ$1004,1,MATCH(COLUMNS($AB$1006:AF1006),$AB$1006:$AQ$1006,0)))),"Fix")))</f>
        <v>0</v>
      </c>
      <c r="G458" s="4">
        <f>IF(OR(INDEX($V$2:$V$1001,MATCH(ROWS($U$2:U458),$U$2:$U$1001,0),1)&gt;=100000,INDEX($AB$1005:$AQ$1005,1,MATCH(COLUMNS($AB$1006:AG1006),$AB$1006:$AQ$1006,0))&gt;=100000), " ",IF(INDEX($AB$2:$AQ$1001,MATCH(ROWS($U$2:U458),$U$2:$U$1001,0),MATCH(COLUMNS($AB$1006:AG1006),$AB$1006:$AQ$1006,0)), HYPERLINK("#",""), HYPERLINK(CONCATENATE("#metadata!", ADDRESS(INDEX($W$2:$W$1001,MATCH(ROWS($U$2:U458),$U$2:$U$1001,0),0), INDEX($AB$1004:$AQ$1004,1,MATCH(COLUMNS($AB$1006:AG1006),$AB$1006:$AQ$1006,0)))),"Fix")))</f>
        <v>0</v>
      </c>
      <c r="H458" s="4">
        <f>IF(OR(INDEX($V$2:$V$1001,MATCH(ROWS($U$2:U458),$U$2:$U$1001,0),1)&gt;=100000,INDEX($AB$1005:$AQ$1005,1,MATCH(COLUMNS($AB$1006:AH1006),$AB$1006:$AQ$1006,0))&gt;=100000), " ",IF(INDEX($AB$2:$AQ$1001,MATCH(ROWS($U$2:U458),$U$2:$U$1001,0),MATCH(COLUMNS($AB$1006:AH1006),$AB$1006:$AQ$1006,0)), HYPERLINK("#",""), HYPERLINK(CONCATENATE("#metadata!", ADDRESS(INDEX($W$2:$W$1001,MATCH(ROWS($U$2:U458),$U$2:$U$1001,0),0), INDEX($AB$1004:$AQ$1004,1,MATCH(COLUMNS($AB$1006:AH1006),$AB$1006:$AQ$1006,0)))),"Fix")))</f>
        <v>0</v>
      </c>
      <c r="I458" s="4">
        <f>IF(OR(INDEX($V$2:$V$1001,MATCH(ROWS($U$2:U458),$U$2:$U$1001,0),1)&gt;=100000,INDEX($AB$1005:$AQ$1005,1,MATCH(COLUMNS($AB$1006:AI1006),$AB$1006:$AQ$1006,0))&gt;=100000), " ",IF(INDEX($AB$2:$AQ$1001,MATCH(ROWS($U$2:U458),$U$2:$U$1001,0),MATCH(COLUMNS($AB$1006:AI1006),$AB$1006:$AQ$1006,0)), HYPERLINK("#",""), HYPERLINK(CONCATENATE("#metadata!", ADDRESS(INDEX($W$2:$W$1001,MATCH(ROWS($U$2:U458),$U$2:$U$1001,0),0), INDEX($AB$1004:$AQ$1004,1,MATCH(COLUMNS($AB$1006:AI1006),$AB$1006:$AQ$1006,0)))),"Fix")))</f>
        <v>0</v>
      </c>
      <c r="J458" s="4">
        <f>IF(OR(INDEX($V$2:$V$1001,MATCH(ROWS($U$2:U458),$U$2:$U$1001,0),1)&gt;=100000,INDEX($AB$1005:$AQ$1005,1,MATCH(COLUMNS($AB$1006:AJ1006),$AB$1006:$AQ$1006,0))&gt;=100000), " ",IF(INDEX($AB$2:$AQ$1001,MATCH(ROWS($U$2:U458),$U$2:$U$1001,0),MATCH(COLUMNS($AB$1006:AJ1006),$AB$1006:$AQ$1006,0)), HYPERLINK("#",""), HYPERLINK(CONCATENATE("#metadata!", ADDRESS(INDEX($W$2:$W$1001,MATCH(ROWS($U$2:U458),$U$2:$U$1001,0),0), INDEX($AB$1004:$AQ$1004,1,MATCH(COLUMNS($AB$1006:AJ1006),$AB$1006:$AQ$1006,0)))),"Fix")))</f>
        <v>0</v>
      </c>
      <c r="K458" s="4">
        <f>IF(OR(INDEX($V$2:$V$1001,MATCH(ROWS($U$2:U458),$U$2:$U$1001,0),1)&gt;=100000,INDEX($AB$1005:$AQ$1005,1,MATCH(COLUMNS($AB$1006:AK1006),$AB$1006:$AQ$1006,0))&gt;=100000), " ",IF(INDEX($AB$2:$AQ$1001,MATCH(ROWS($U$2:U458),$U$2:$U$1001,0),MATCH(COLUMNS($AB$1006:AK1006),$AB$1006:$AQ$1006,0)), HYPERLINK("#",""), HYPERLINK(CONCATENATE("#metadata!", ADDRESS(INDEX($W$2:$W$1001,MATCH(ROWS($U$2:U458),$U$2:$U$1001,0),0), INDEX($AB$1004:$AQ$1004,1,MATCH(COLUMNS($AB$1006:AK1006),$AB$1006:$AQ$1006,0)))),"Fix")))</f>
        <v>0</v>
      </c>
      <c r="L458" s="4">
        <f>IF(OR(INDEX($V$2:$V$1001,MATCH(ROWS($U$2:U458),$U$2:$U$1001,0),1)&gt;=100000,INDEX($AB$1005:$AQ$1005,1,MATCH(COLUMNS($AB$1006:AL1006),$AB$1006:$AQ$1006,0))&gt;=100000), " ",IF(INDEX($AB$2:$AQ$1001,MATCH(ROWS($U$2:U458),$U$2:$U$1001,0),MATCH(COLUMNS($AB$1006:AL1006),$AB$1006:$AQ$1006,0)), HYPERLINK("#",""), HYPERLINK(CONCATENATE("#metadata!", ADDRESS(INDEX($W$2:$W$1001,MATCH(ROWS($U$2:U458),$U$2:$U$1001,0),0), INDEX($AB$1004:$AQ$1004,1,MATCH(COLUMNS($AB$1006:AL1006),$AB$1006:$AQ$1006,0)))),"Fix")))</f>
        <v>0</v>
      </c>
      <c r="M458" s="4">
        <f>IF(OR(INDEX($V$2:$V$1001,MATCH(ROWS($U$2:U458),$U$2:$U$1001,0),1)&gt;=100000,INDEX($AB$1005:$AQ$1005,1,MATCH(COLUMNS($AB$1006:AM1006),$AB$1006:$AQ$1006,0))&gt;=100000), " ",IF(INDEX($AB$2:$AQ$1001,MATCH(ROWS($U$2:U458),$U$2:$U$1001,0),MATCH(COLUMNS($AB$1006:AM1006),$AB$1006:$AQ$1006,0)), HYPERLINK("#",""), HYPERLINK(CONCATENATE("#metadata!", ADDRESS(INDEX($W$2:$W$1001,MATCH(ROWS($U$2:U458),$U$2:$U$1001,0),0), INDEX($AB$1004:$AQ$1004,1,MATCH(COLUMNS($AB$1006:AM1006),$AB$1006:$AQ$1006,0)))),"Fix")))</f>
        <v>0</v>
      </c>
      <c r="N458" s="4">
        <f>IF(OR(INDEX($V$2:$V$1001,MATCH(ROWS($U$2:U458),$U$2:$U$1001,0),1)&gt;=100000,INDEX($AB$1005:$AQ$1005,1,MATCH(COLUMNS($AB$1006:AN1006),$AB$1006:$AQ$1006,0))&gt;=100000), " ",IF(INDEX($AB$2:$AQ$1001,MATCH(ROWS($U$2:U458),$U$2:$U$1001,0),MATCH(COLUMNS($AB$1006:AN1006),$AB$1006:$AQ$1006,0)), HYPERLINK("#",""), HYPERLINK(CONCATENATE("#metadata!", ADDRESS(INDEX($W$2:$W$1001,MATCH(ROWS($U$2:U458),$U$2:$U$1001,0),0), INDEX($AB$1004:$AQ$1004,1,MATCH(COLUMNS($AB$1006:AN1006),$AB$1006:$AQ$1006,0)))),"Fix")))</f>
        <v>0</v>
      </c>
      <c r="O458" s="4">
        <f>IF(OR(INDEX($V$2:$V$1001,MATCH(ROWS($U$2:U458),$U$2:$U$1001,0),1)&gt;=100000,INDEX($AB$1005:$AQ$1005,1,MATCH(COLUMNS($AB$1006:AO1006),$AB$1006:$AQ$1006,0))&gt;=100000), " ",IF(INDEX($AB$2:$AQ$1001,MATCH(ROWS($U$2:U458),$U$2:$U$1001,0),MATCH(COLUMNS($AB$1006:AO1006),$AB$1006:$AQ$1006,0)), HYPERLINK("#",""), HYPERLINK(CONCATENATE("#metadata!", ADDRESS(INDEX($W$2:$W$1001,MATCH(ROWS($U$2:U458),$U$2:$U$1001,0),0), INDEX($AB$1004:$AQ$1004,1,MATCH(COLUMNS($AB$1006:AO1006),$AB$1006:$AQ$1006,0)))),"Fix")))</f>
        <v>0</v>
      </c>
      <c r="P458" s="4">
        <f>IF(OR(INDEX($V$2:$V$1001,MATCH(ROWS($U$2:U458),$U$2:$U$1001,0),1)&gt;=100000,INDEX($AB$1005:$AQ$1005,1,MATCH(COLUMNS($AB$1006:AP1006),$AB$1006:$AQ$1006,0))&gt;=100000), " ",IF(INDEX($AB$2:$AQ$1001,MATCH(ROWS($U$2:U458),$U$2:$U$1001,0),MATCH(COLUMNS($AB$1006:AP1006),$AB$1006:$AQ$1006,0)), HYPERLINK("#",""), HYPERLINK(CONCATENATE("#metadata!", ADDRESS(INDEX($W$2:$W$1001,MATCH(ROWS($U$2:U458),$U$2:$U$1001,0),0), INDEX($AB$1004:$AQ$1004,1,MATCH(COLUMNS($AB$1006:AP1006),$AB$1006:$AQ$1006,0)))),"Fix")))</f>
        <v>0</v>
      </c>
      <c r="Q458" s="4">
        <f>IF(OR(INDEX($V$2:$V$1001,MATCH(ROWS($U$2:U458),$U$2:$U$1001,0),1)&gt;=100000,INDEX($AB$1005:$AQ$1005,1,MATCH(COLUMNS($AB$1006:AQ1006),$AB$1006:$AQ$1006,0))&gt;=100000), " ",IF(INDEX($AB$2:$AQ$1001,MATCH(ROWS($U$2:U458),$U$2:$U$1001,0),MATCH(COLUMNS($AB$1006:AQ1006),$AB$1006:$AQ$1006,0)), HYPERLINK("#",""), HYPERLINK(CONCATENATE("#metadata!", ADDRESS(INDEX($W$2:$W$1001,MATCH(ROWS($U$2:U458),$U$2:$U$1001,0),0), INDEX($AB$1004:$AQ$1004,1,MATCH(COLUMNS($AB$1006:AQ1006),$AB$1006:$AQ$1006,0)))),"Fix")))</f>
        <v>0</v>
      </c>
      <c r="U458">
        <v>0</v>
      </c>
      <c r="V458">
        <v>0</v>
      </c>
      <c r="W458">
        <v>0</v>
      </c>
      <c r="X458">
        <f>IF(Y458,TRUE,AND(AB458:AQ458))</f>
        <v>0</v>
      </c>
      <c r="Y458">
        <f>COUNTBLANK(metadata!B458:Q458)=COLUMNS(metadata!B458:Q458)</f>
        <v>0</v>
      </c>
      <c r="Z458">
        <v>0</v>
      </c>
      <c r="AB458">
        <f>AND(IF(metadata!B458="",FALSE,TRUE),COUNTIF(metadata!B:B, metadata!B458) = 1,NOT(ISERROR(SUMPRODUCT(SEARCH(MID(metadata!B458,ROW(INDIRECT("1:"&amp;LEN(metadata!B458))), 1),"0123456789abcdefghijklmnopqrstuvwxyzABCDEFGHIJKLMNOPQRSTUVWXYZ.")))))</f>
        <v>0</v>
      </c>
      <c r="AC458">
        <f>OR(AND(IF(metadata!C458="",FALSE,TRUE),OR(exact(metadata!C458,"missing: not collected"),exact(metadata!C458,"missing: not provided"),exact(metadata!C458,"missing: restricted access"))),AND(IF(metadata!C458="",FALSE,TRUE),AND(AND(IFERROR(INT(LEFT(metadata!C458,4))&gt;1900,FALSE),IFERROR(INT(LEFT(metadata!C458,4))&lt;=YEAR(NOW()),FALSE)), OR(MID(metadata!C458,5,1)="", AND(AND(MID(metadata!C458,5,1)="-",IFERROR(INT(MID(metadata!C458,6,1))&gt;=0,FALSE),IFERROR(INT(MID(metadata!C458,6,1))&lt;=1,FALSE),NOT(MID(metadata!C458,7,1)=""),IFERROR(INT(MID(metadata!C458,6,2))&gt;=1,FALSE),IFERROR(INT(MID(metadata!C458,6,2))&lt;=12,FALSE)), OR(MID(metadata!C458,8,1)="", AND(AND(MID(metadata!C458,8,1)="-",IFERROR(INT(MID(metadata!C458,9,1))&gt;=0,FALSE),IFERROR(INT(MID(metadata!C458,9,1))&lt;=3,FALSE),NOT(MID(metadata!C458,10,1)=""),IFERROR(INT(MID(metadata!C458,9,2))&gt;=1,FALSE),IFERROR(INT(MID(metadata!C458,9,2))&lt;=31,FALSE)), OR(MID(metadata!C458,11,1)="", AND(AND(MID(metadata!C458,11,1)=" ",IFERROR(INT(MID(metadata!C458,12,1))&gt;=0,FALSE),IFERROR(INT(MID(metadata!C458,12,1))&lt;=2,FALSE),NOT(MID(metadata!C458,13,1)=""),IFERROR(INT(MID(metadata!C458,12,2))&gt;=0,FALSE),IFERROR(INT(MID(metadata!C458,12,2))&lt;=23,FALSE)), OR(MID(metadata!C458,14,1)="", AND(AND(MID(metadata!C458,14,1)=":",IFERROR(INT(MID(metadata!C458,15,1))&gt;=0,FALSE),IFERROR(INT(MID(metadata!C458,15,1))&lt;=5,FALSE),NOT(MID(metadata!C458,16,1)=""),IFERROR(INT(MID(metadata!C458,15,2))&gt;=0,FALSE),IFERROR(INT(MID(metadata!C458,15,2))&lt;=59,FALSE)), OR(MID(metadata!C458,17,1)="", AND(AND(MID(metadata!C458,17,1)=":",IFERROR(INT(MID(metadata!C458,18,1))&gt;=0,FALSE),IFERROR(INT(MID(metadata!C458,18,1))&lt;=5,FALSE),NOT(MID(metadata!C458,19,1)=""),IFERROR(INT(MID(metadata!C458,18,2))&gt;=0,FALSE),IFERROR(INT(MID(metadata!C458,18,2))&lt;=59,FALSE)), LEN(metadata!C458)&lt;=19)))))))))))))</f>
        <v>0</v>
      </c>
      <c r="AD458">
        <f>IF(metadata!D458="",FALSE,TRUE)</f>
        <v>0</v>
      </c>
      <c r="AE458">
        <f>OR(AND(IF(metadata!E458="",FALSE,TRUE),OR(exact(metadata!E458,"missing: not collected"),exact(metadata!E458,"missing: not provided"))),AND(IF(metadata!E458="",FALSE,TRUE),OR(exact(metadata!E458,"TRUE"),exact(metadata!E458,"FALSE"))))</f>
        <v>0</v>
      </c>
      <c r="AF458">
        <f>IF(metadata!F458="",FALSE,TRUE)</f>
        <v>0</v>
      </c>
      <c r="AG458">
        <f>IF(metadata!G458="",FALSE,TRUE)</f>
        <v>0</v>
      </c>
      <c r="AH458">
        <f>IF(metadata!H458="",FALSE,TRUE)</f>
        <v>0</v>
      </c>
      <c r="AI458">
        <f>OR(AND(IF(metadata!I458="",FALSE,TRUE),OR(exact(metadata!I458,"missing: not collected"),exact(metadata!I458,"missing: not provided"),exact(metadata!I458,"missing: restricted access"))),AND(IF(metadata!I458="",FALSE,TRUE),OR(exact(metadata!I458,"air"),exact(metadata!I458,"built environment"),exact(metadata!I458,"host-associated"),exact(metadata!I458,"human-associated"),exact(metadata!I458,"human-skin"),exact(metadata!I458,"human-oral"),exact(metadata!I458,"human-gut"),exact(metadata!I458,"human-vaginal"),exact(metadata!I458,"microbial mat/biofilm"),exact(metadata!I458,"misc environment"),exact(metadata!I458,"plant-associated"),exact(metadata!I458,"sediment"),exact(metadata!I458,"soil"),exact(metadata!I458,"wastewater/sludge"),exact(metadata!I458,"water"))))</f>
        <v>0</v>
      </c>
      <c r="AJ458">
        <f>IF(metadata!J458="",FALSE,TRUE)</f>
        <v>0</v>
      </c>
      <c r="AK458">
        <f>OR(AND(IF(metadata!K458="",FALSE,TRUE),OR(exact(metadata!K458,"missing: not collected"),exact(metadata!K458,"missing: not provided"),exact(metadata!K458,"missing: restricted access"))),AND(IF(metadata!K458="",FALSE,ISNUMBER(VALUE(metadata!K458))),metadata!K458&gt;=-90.00,metadata!K458&lt;=90.00))</f>
        <v>0</v>
      </c>
      <c r="AL458">
        <f>OR(AND(IF(metadata!L458="",FALSE,TRUE),OR(exact(metadata!L458,"missing: not collected"),exact(metadata!L458,"missing: not provided"),exact(metadata!L458,"missing: restricted access"))),AND(IF(metadata!L458="",FALSE,ISNUMBER(VALUE(metadata!L458))),metadata!L458&gt;=-180.00,metadata!L458&lt;=180.00))</f>
        <v>0</v>
      </c>
      <c r="AM458">
        <f>IF(metadata!M458="",FALSE,TRUE)</f>
        <v>0</v>
      </c>
      <c r="AN458">
        <f>OR(AND(IF(metadata!N458="",FALSE,TRUE),OR(exact(metadata!N458,"missing: not collected"),exact(metadata!N458,"missing: not provided"),exact(metadata!N458,"missing: restricted access"))),AND(IF(metadata!N458="",FALSE,TRUE),OR(exact(metadata!N458,"TRUE"),exact(metadata!N458,"FALSE"))))</f>
        <v>0</v>
      </c>
      <c r="AO458">
        <f>IF(metadata!O458="",FALSE,TRUE)</f>
        <v>0</v>
      </c>
      <c r="AP458">
        <f>OR(AND(IF(metadata!P458="",FALSE,TRUE),OR(exact(metadata!P458,"missing: not collected"),exact(metadata!P458,"missing: not provided"))),AND(IF(metadata!P458="",FALSE,IF(ISERROR(INT(metadata!P458)),FALSE,INT(metadata!P458)=metadata!P458)),metadata!P458&gt;0))</f>
        <v>0</v>
      </c>
      <c r="AQ458">
        <f>IF(metadata!Q458="",FALSE,TRUE)</f>
        <v>0</v>
      </c>
    </row>
    <row r="459" spans="1:43">
      <c r="A459" s="5">
        <f>IF(B459=" "," ",HYPERLINK(CONCATENATE("#metadata!",ADDRESS(INDEX($W$2:$W$1001,MATCH(ROWS($U$2:U459),$U$2:$U$1001,0),0),1)),INDEX($Z$2:$Z$1001,MATCH(ROWS($U$2:U459),$U$2:$U$1001,0),0)))</f>
        <v>0</v>
      </c>
      <c r="B459" s="4">
        <f>IF(OR(INDEX($V$2:$V$1001,MATCH(ROWS($U$2:U459),$U$2:$U$1001,0),1)&gt;=100000,INDEX($AB$1005:$AQ$1005,1,MATCH(COLUMNS($AB$1006:AB1006),$AB$1006:$AQ$1006,0))&gt;=100000), " ",IF(INDEX($AB$2:$AQ$1001,MATCH(ROWS($U$2:U459),$U$2:$U$1001,0),MATCH(COLUMNS($AB$1006:AB1006),$AB$1006:$AQ$1006,0)), HYPERLINK("#",""), HYPERLINK(CONCATENATE("#metadata!", ADDRESS(INDEX($W$2:$W$1001,MATCH(ROWS($U$2:U459),$U$2:$U$1001,0),0), INDEX($AB$1004:$AQ$1004,1,MATCH(COLUMNS($AB$1006:AB1006),$AB$1006:$AQ$1006,0)))),"Fix")))</f>
        <v>0</v>
      </c>
      <c r="C459" s="4">
        <f>IF(OR(INDEX($V$2:$V$1001,MATCH(ROWS($U$2:U459),$U$2:$U$1001,0),1)&gt;=100000,INDEX($AB$1005:$AQ$1005,1,MATCH(COLUMNS($AB$1006:AC1006),$AB$1006:$AQ$1006,0))&gt;=100000), " ",IF(INDEX($AB$2:$AQ$1001,MATCH(ROWS($U$2:U459),$U$2:$U$1001,0),MATCH(COLUMNS($AB$1006:AC1006),$AB$1006:$AQ$1006,0)), HYPERLINK("#",""), HYPERLINK(CONCATENATE("#metadata!", ADDRESS(INDEX($W$2:$W$1001,MATCH(ROWS($U$2:U459),$U$2:$U$1001,0),0), INDEX($AB$1004:$AQ$1004,1,MATCH(COLUMNS($AB$1006:AC1006),$AB$1006:$AQ$1006,0)))),"Fix")))</f>
        <v>0</v>
      </c>
      <c r="D459" s="4">
        <f>IF(OR(INDEX($V$2:$V$1001,MATCH(ROWS($U$2:U459),$U$2:$U$1001,0),1)&gt;=100000,INDEX($AB$1005:$AQ$1005,1,MATCH(COLUMNS($AB$1006:AD1006),$AB$1006:$AQ$1006,0))&gt;=100000), " ",IF(INDEX($AB$2:$AQ$1001,MATCH(ROWS($U$2:U459),$U$2:$U$1001,0),MATCH(COLUMNS($AB$1006:AD1006),$AB$1006:$AQ$1006,0)), HYPERLINK("#",""), HYPERLINK(CONCATENATE("#metadata!", ADDRESS(INDEX($W$2:$W$1001,MATCH(ROWS($U$2:U459),$U$2:$U$1001,0),0), INDEX($AB$1004:$AQ$1004,1,MATCH(COLUMNS($AB$1006:AD1006),$AB$1006:$AQ$1006,0)))),"Fix")))</f>
        <v>0</v>
      </c>
      <c r="E459" s="4">
        <f>IF(OR(INDEX($V$2:$V$1001,MATCH(ROWS($U$2:U459),$U$2:$U$1001,0),1)&gt;=100000,INDEX($AB$1005:$AQ$1005,1,MATCH(COLUMNS($AB$1006:AE1006),$AB$1006:$AQ$1006,0))&gt;=100000), " ",IF(INDEX($AB$2:$AQ$1001,MATCH(ROWS($U$2:U459),$U$2:$U$1001,0),MATCH(COLUMNS($AB$1006:AE1006),$AB$1006:$AQ$1006,0)), HYPERLINK("#",""), HYPERLINK(CONCATENATE("#metadata!", ADDRESS(INDEX($W$2:$W$1001,MATCH(ROWS($U$2:U459),$U$2:$U$1001,0),0), INDEX($AB$1004:$AQ$1004,1,MATCH(COLUMNS($AB$1006:AE1006),$AB$1006:$AQ$1006,0)))),"Fix")))</f>
        <v>0</v>
      </c>
      <c r="F459" s="4">
        <f>IF(OR(INDEX($V$2:$V$1001,MATCH(ROWS($U$2:U459),$U$2:$U$1001,0),1)&gt;=100000,INDEX($AB$1005:$AQ$1005,1,MATCH(COLUMNS($AB$1006:AF1006),$AB$1006:$AQ$1006,0))&gt;=100000), " ",IF(INDEX($AB$2:$AQ$1001,MATCH(ROWS($U$2:U459),$U$2:$U$1001,0),MATCH(COLUMNS($AB$1006:AF1006),$AB$1006:$AQ$1006,0)), HYPERLINK("#",""), HYPERLINK(CONCATENATE("#metadata!", ADDRESS(INDEX($W$2:$W$1001,MATCH(ROWS($U$2:U459),$U$2:$U$1001,0),0), INDEX($AB$1004:$AQ$1004,1,MATCH(COLUMNS($AB$1006:AF1006),$AB$1006:$AQ$1006,0)))),"Fix")))</f>
        <v>0</v>
      </c>
      <c r="G459" s="4">
        <f>IF(OR(INDEX($V$2:$V$1001,MATCH(ROWS($U$2:U459),$U$2:$U$1001,0),1)&gt;=100000,INDEX($AB$1005:$AQ$1005,1,MATCH(COLUMNS($AB$1006:AG1006),$AB$1006:$AQ$1006,0))&gt;=100000), " ",IF(INDEX($AB$2:$AQ$1001,MATCH(ROWS($U$2:U459),$U$2:$U$1001,0),MATCH(COLUMNS($AB$1006:AG1006),$AB$1006:$AQ$1006,0)), HYPERLINK("#",""), HYPERLINK(CONCATENATE("#metadata!", ADDRESS(INDEX($W$2:$W$1001,MATCH(ROWS($U$2:U459),$U$2:$U$1001,0),0), INDEX($AB$1004:$AQ$1004,1,MATCH(COLUMNS($AB$1006:AG1006),$AB$1006:$AQ$1006,0)))),"Fix")))</f>
        <v>0</v>
      </c>
      <c r="H459" s="4">
        <f>IF(OR(INDEX($V$2:$V$1001,MATCH(ROWS($U$2:U459),$U$2:$U$1001,0),1)&gt;=100000,INDEX($AB$1005:$AQ$1005,1,MATCH(COLUMNS($AB$1006:AH1006),$AB$1006:$AQ$1006,0))&gt;=100000), " ",IF(INDEX($AB$2:$AQ$1001,MATCH(ROWS($U$2:U459),$U$2:$U$1001,0),MATCH(COLUMNS($AB$1006:AH1006),$AB$1006:$AQ$1006,0)), HYPERLINK("#",""), HYPERLINK(CONCATENATE("#metadata!", ADDRESS(INDEX($W$2:$W$1001,MATCH(ROWS($U$2:U459),$U$2:$U$1001,0),0), INDEX($AB$1004:$AQ$1004,1,MATCH(COLUMNS($AB$1006:AH1006),$AB$1006:$AQ$1006,0)))),"Fix")))</f>
        <v>0</v>
      </c>
      <c r="I459" s="4">
        <f>IF(OR(INDEX($V$2:$V$1001,MATCH(ROWS($U$2:U459),$U$2:$U$1001,0),1)&gt;=100000,INDEX($AB$1005:$AQ$1005,1,MATCH(COLUMNS($AB$1006:AI1006),$AB$1006:$AQ$1006,0))&gt;=100000), " ",IF(INDEX($AB$2:$AQ$1001,MATCH(ROWS($U$2:U459),$U$2:$U$1001,0),MATCH(COLUMNS($AB$1006:AI1006),$AB$1006:$AQ$1006,0)), HYPERLINK("#",""), HYPERLINK(CONCATENATE("#metadata!", ADDRESS(INDEX($W$2:$W$1001,MATCH(ROWS($U$2:U459),$U$2:$U$1001,0),0), INDEX($AB$1004:$AQ$1004,1,MATCH(COLUMNS($AB$1006:AI1006),$AB$1006:$AQ$1006,0)))),"Fix")))</f>
        <v>0</v>
      </c>
      <c r="J459" s="4">
        <f>IF(OR(INDEX($V$2:$V$1001,MATCH(ROWS($U$2:U459),$U$2:$U$1001,0),1)&gt;=100000,INDEX($AB$1005:$AQ$1005,1,MATCH(COLUMNS($AB$1006:AJ1006),$AB$1006:$AQ$1006,0))&gt;=100000), " ",IF(INDEX($AB$2:$AQ$1001,MATCH(ROWS($U$2:U459),$U$2:$U$1001,0),MATCH(COLUMNS($AB$1006:AJ1006),$AB$1006:$AQ$1006,0)), HYPERLINK("#",""), HYPERLINK(CONCATENATE("#metadata!", ADDRESS(INDEX($W$2:$W$1001,MATCH(ROWS($U$2:U459),$U$2:$U$1001,0),0), INDEX($AB$1004:$AQ$1004,1,MATCH(COLUMNS($AB$1006:AJ1006),$AB$1006:$AQ$1006,0)))),"Fix")))</f>
        <v>0</v>
      </c>
      <c r="K459" s="4">
        <f>IF(OR(INDEX($V$2:$V$1001,MATCH(ROWS($U$2:U459),$U$2:$U$1001,0),1)&gt;=100000,INDEX($AB$1005:$AQ$1005,1,MATCH(COLUMNS($AB$1006:AK1006),$AB$1006:$AQ$1006,0))&gt;=100000), " ",IF(INDEX($AB$2:$AQ$1001,MATCH(ROWS($U$2:U459),$U$2:$U$1001,0),MATCH(COLUMNS($AB$1006:AK1006),$AB$1006:$AQ$1006,0)), HYPERLINK("#",""), HYPERLINK(CONCATENATE("#metadata!", ADDRESS(INDEX($W$2:$W$1001,MATCH(ROWS($U$2:U459),$U$2:$U$1001,0),0), INDEX($AB$1004:$AQ$1004,1,MATCH(COLUMNS($AB$1006:AK1006),$AB$1006:$AQ$1006,0)))),"Fix")))</f>
        <v>0</v>
      </c>
      <c r="L459" s="4">
        <f>IF(OR(INDEX($V$2:$V$1001,MATCH(ROWS($U$2:U459),$U$2:$U$1001,0),1)&gt;=100000,INDEX($AB$1005:$AQ$1005,1,MATCH(COLUMNS($AB$1006:AL1006),$AB$1006:$AQ$1006,0))&gt;=100000), " ",IF(INDEX($AB$2:$AQ$1001,MATCH(ROWS($U$2:U459),$U$2:$U$1001,0),MATCH(COLUMNS($AB$1006:AL1006),$AB$1006:$AQ$1006,0)), HYPERLINK("#",""), HYPERLINK(CONCATENATE("#metadata!", ADDRESS(INDEX($W$2:$W$1001,MATCH(ROWS($U$2:U459),$U$2:$U$1001,0),0), INDEX($AB$1004:$AQ$1004,1,MATCH(COLUMNS($AB$1006:AL1006),$AB$1006:$AQ$1006,0)))),"Fix")))</f>
        <v>0</v>
      </c>
      <c r="M459" s="4">
        <f>IF(OR(INDEX($V$2:$V$1001,MATCH(ROWS($U$2:U459),$U$2:$U$1001,0),1)&gt;=100000,INDEX($AB$1005:$AQ$1005,1,MATCH(COLUMNS($AB$1006:AM1006),$AB$1006:$AQ$1006,0))&gt;=100000), " ",IF(INDEX($AB$2:$AQ$1001,MATCH(ROWS($U$2:U459),$U$2:$U$1001,0),MATCH(COLUMNS($AB$1006:AM1006),$AB$1006:$AQ$1006,0)), HYPERLINK("#",""), HYPERLINK(CONCATENATE("#metadata!", ADDRESS(INDEX($W$2:$W$1001,MATCH(ROWS($U$2:U459),$U$2:$U$1001,0),0), INDEX($AB$1004:$AQ$1004,1,MATCH(COLUMNS($AB$1006:AM1006),$AB$1006:$AQ$1006,0)))),"Fix")))</f>
        <v>0</v>
      </c>
      <c r="N459" s="4">
        <f>IF(OR(INDEX($V$2:$V$1001,MATCH(ROWS($U$2:U459),$U$2:$U$1001,0),1)&gt;=100000,INDEX($AB$1005:$AQ$1005,1,MATCH(COLUMNS($AB$1006:AN1006),$AB$1006:$AQ$1006,0))&gt;=100000), " ",IF(INDEX($AB$2:$AQ$1001,MATCH(ROWS($U$2:U459),$U$2:$U$1001,0),MATCH(COLUMNS($AB$1006:AN1006),$AB$1006:$AQ$1006,0)), HYPERLINK("#",""), HYPERLINK(CONCATENATE("#metadata!", ADDRESS(INDEX($W$2:$W$1001,MATCH(ROWS($U$2:U459),$U$2:$U$1001,0),0), INDEX($AB$1004:$AQ$1004,1,MATCH(COLUMNS($AB$1006:AN1006),$AB$1006:$AQ$1006,0)))),"Fix")))</f>
        <v>0</v>
      </c>
      <c r="O459" s="4">
        <f>IF(OR(INDEX($V$2:$V$1001,MATCH(ROWS($U$2:U459),$U$2:$U$1001,0),1)&gt;=100000,INDEX($AB$1005:$AQ$1005,1,MATCH(COLUMNS($AB$1006:AO1006),$AB$1006:$AQ$1006,0))&gt;=100000), " ",IF(INDEX($AB$2:$AQ$1001,MATCH(ROWS($U$2:U459),$U$2:$U$1001,0),MATCH(COLUMNS($AB$1006:AO1006),$AB$1006:$AQ$1006,0)), HYPERLINK("#",""), HYPERLINK(CONCATENATE("#metadata!", ADDRESS(INDEX($W$2:$W$1001,MATCH(ROWS($U$2:U459),$U$2:$U$1001,0),0), INDEX($AB$1004:$AQ$1004,1,MATCH(COLUMNS($AB$1006:AO1006),$AB$1006:$AQ$1006,0)))),"Fix")))</f>
        <v>0</v>
      </c>
      <c r="P459" s="4">
        <f>IF(OR(INDEX($V$2:$V$1001,MATCH(ROWS($U$2:U459),$U$2:$U$1001,0),1)&gt;=100000,INDEX($AB$1005:$AQ$1005,1,MATCH(COLUMNS($AB$1006:AP1006),$AB$1006:$AQ$1006,0))&gt;=100000), " ",IF(INDEX($AB$2:$AQ$1001,MATCH(ROWS($U$2:U459),$U$2:$U$1001,0),MATCH(COLUMNS($AB$1006:AP1006),$AB$1006:$AQ$1006,0)), HYPERLINK("#",""), HYPERLINK(CONCATENATE("#metadata!", ADDRESS(INDEX($W$2:$W$1001,MATCH(ROWS($U$2:U459),$U$2:$U$1001,0),0), INDEX($AB$1004:$AQ$1004,1,MATCH(COLUMNS($AB$1006:AP1006),$AB$1006:$AQ$1006,0)))),"Fix")))</f>
        <v>0</v>
      </c>
      <c r="Q459" s="4">
        <f>IF(OR(INDEX($V$2:$V$1001,MATCH(ROWS($U$2:U459),$U$2:$U$1001,0),1)&gt;=100000,INDEX($AB$1005:$AQ$1005,1,MATCH(COLUMNS($AB$1006:AQ1006),$AB$1006:$AQ$1006,0))&gt;=100000), " ",IF(INDEX($AB$2:$AQ$1001,MATCH(ROWS($U$2:U459),$U$2:$U$1001,0),MATCH(COLUMNS($AB$1006:AQ1006),$AB$1006:$AQ$1006,0)), HYPERLINK("#",""), HYPERLINK(CONCATENATE("#metadata!", ADDRESS(INDEX($W$2:$W$1001,MATCH(ROWS($U$2:U459),$U$2:$U$1001,0),0), INDEX($AB$1004:$AQ$1004,1,MATCH(COLUMNS($AB$1006:AQ1006),$AB$1006:$AQ$1006,0)))),"Fix")))</f>
        <v>0</v>
      </c>
      <c r="U459">
        <v>0</v>
      </c>
      <c r="V459">
        <v>0</v>
      </c>
      <c r="W459">
        <v>0</v>
      </c>
      <c r="X459">
        <f>IF(Y459,TRUE,AND(AB459:AQ459))</f>
        <v>0</v>
      </c>
      <c r="Y459">
        <f>COUNTBLANK(metadata!B459:Q459)=COLUMNS(metadata!B459:Q459)</f>
        <v>0</v>
      </c>
      <c r="Z459">
        <v>0</v>
      </c>
      <c r="AB459">
        <f>AND(IF(metadata!B459="",FALSE,TRUE),COUNTIF(metadata!B:B, metadata!B459) = 1,NOT(ISERROR(SUMPRODUCT(SEARCH(MID(metadata!B459,ROW(INDIRECT("1:"&amp;LEN(metadata!B459))), 1),"0123456789abcdefghijklmnopqrstuvwxyzABCDEFGHIJKLMNOPQRSTUVWXYZ.")))))</f>
        <v>0</v>
      </c>
      <c r="AC459">
        <f>OR(AND(IF(metadata!C459="",FALSE,TRUE),OR(exact(metadata!C459,"missing: not collected"),exact(metadata!C459,"missing: not provided"),exact(metadata!C459,"missing: restricted access"))),AND(IF(metadata!C459="",FALSE,TRUE),AND(AND(IFERROR(INT(LEFT(metadata!C459,4))&gt;1900,FALSE),IFERROR(INT(LEFT(metadata!C459,4))&lt;=YEAR(NOW()),FALSE)), OR(MID(metadata!C459,5,1)="", AND(AND(MID(metadata!C459,5,1)="-",IFERROR(INT(MID(metadata!C459,6,1))&gt;=0,FALSE),IFERROR(INT(MID(metadata!C459,6,1))&lt;=1,FALSE),NOT(MID(metadata!C459,7,1)=""),IFERROR(INT(MID(metadata!C459,6,2))&gt;=1,FALSE),IFERROR(INT(MID(metadata!C459,6,2))&lt;=12,FALSE)), OR(MID(metadata!C459,8,1)="", AND(AND(MID(metadata!C459,8,1)="-",IFERROR(INT(MID(metadata!C459,9,1))&gt;=0,FALSE),IFERROR(INT(MID(metadata!C459,9,1))&lt;=3,FALSE),NOT(MID(metadata!C459,10,1)=""),IFERROR(INT(MID(metadata!C459,9,2))&gt;=1,FALSE),IFERROR(INT(MID(metadata!C459,9,2))&lt;=31,FALSE)), OR(MID(metadata!C459,11,1)="", AND(AND(MID(metadata!C459,11,1)=" ",IFERROR(INT(MID(metadata!C459,12,1))&gt;=0,FALSE),IFERROR(INT(MID(metadata!C459,12,1))&lt;=2,FALSE),NOT(MID(metadata!C459,13,1)=""),IFERROR(INT(MID(metadata!C459,12,2))&gt;=0,FALSE),IFERROR(INT(MID(metadata!C459,12,2))&lt;=23,FALSE)), OR(MID(metadata!C459,14,1)="", AND(AND(MID(metadata!C459,14,1)=":",IFERROR(INT(MID(metadata!C459,15,1))&gt;=0,FALSE),IFERROR(INT(MID(metadata!C459,15,1))&lt;=5,FALSE),NOT(MID(metadata!C459,16,1)=""),IFERROR(INT(MID(metadata!C459,15,2))&gt;=0,FALSE),IFERROR(INT(MID(metadata!C459,15,2))&lt;=59,FALSE)), OR(MID(metadata!C459,17,1)="", AND(AND(MID(metadata!C459,17,1)=":",IFERROR(INT(MID(metadata!C459,18,1))&gt;=0,FALSE),IFERROR(INT(MID(metadata!C459,18,1))&lt;=5,FALSE),NOT(MID(metadata!C459,19,1)=""),IFERROR(INT(MID(metadata!C459,18,2))&gt;=0,FALSE),IFERROR(INT(MID(metadata!C459,18,2))&lt;=59,FALSE)), LEN(metadata!C459)&lt;=19)))))))))))))</f>
        <v>0</v>
      </c>
      <c r="AD459">
        <f>IF(metadata!D459="",FALSE,TRUE)</f>
        <v>0</v>
      </c>
      <c r="AE459">
        <f>OR(AND(IF(metadata!E459="",FALSE,TRUE),OR(exact(metadata!E459,"missing: not collected"),exact(metadata!E459,"missing: not provided"))),AND(IF(metadata!E459="",FALSE,TRUE),OR(exact(metadata!E459,"TRUE"),exact(metadata!E459,"FALSE"))))</f>
        <v>0</v>
      </c>
      <c r="AF459">
        <f>IF(metadata!F459="",FALSE,TRUE)</f>
        <v>0</v>
      </c>
      <c r="AG459">
        <f>IF(metadata!G459="",FALSE,TRUE)</f>
        <v>0</v>
      </c>
      <c r="AH459">
        <f>IF(metadata!H459="",FALSE,TRUE)</f>
        <v>0</v>
      </c>
      <c r="AI459">
        <f>OR(AND(IF(metadata!I459="",FALSE,TRUE),OR(exact(metadata!I459,"missing: not collected"),exact(metadata!I459,"missing: not provided"),exact(metadata!I459,"missing: restricted access"))),AND(IF(metadata!I459="",FALSE,TRUE),OR(exact(metadata!I459,"air"),exact(metadata!I459,"built environment"),exact(metadata!I459,"host-associated"),exact(metadata!I459,"human-associated"),exact(metadata!I459,"human-skin"),exact(metadata!I459,"human-oral"),exact(metadata!I459,"human-gut"),exact(metadata!I459,"human-vaginal"),exact(metadata!I459,"microbial mat/biofilm"),exact(metadata!I459,"misc environment"),exact(metadata!I459,"plant-associated"),exact(metadata!I459,"sediment"),exact(metadata!I459,"soil"),exact(metadata!I459,"wastewater/sludge"),exact(metadata!I459,"water"))))</f>
        <v>0</v>
      </c>
      <c r="AJ459">
        <f>IF(metadata!J459="",FALSE,TRUE)</f>
        <v>0</v>
      </c>
      <c r="AK459">
        <f>OR(AND(IF(metadata!K459="",FALSE,TRUE),OR(exact(metadata!K459,"missing: not collected"),exact(metadata!K459,"missing: not provided"),exact(metadata!K459,"missing: restricted access"))),AND(IF(metadata!K459="",FALSE,ISNUMBER(VALUE(metadata!K459))),metadata!K459&gt;=-90.00,metadata!K459&lt;=90.00))</f>
        <v>0</v>
      </c>
      <c r="AL459">
        <f>OR(AND(IF(metadata!L459="",FALSE,TRUE),OR(exact(metadata!L459,"missing: not collected"),exact(metadata!L459,"missing: not provided"),exact(metadata!L459,"missing: restricted access"))),AND(IF(metadata!L459="",FALSE,ISNUMBER(VALUE(metadata!L459))),metadata!L459&gt;=-180.00,metadata!L459&lt;=180.00))</f>
        <v>0</v>
      </c>
      <c r="AM459">
        <f>IF(metadata!M459="",FALSE,TRUE)</f>
        <v>0</v>
      </c>
      <c r="AN459">
        <f>OR(AND(IF(metadata!N459="",FALSE,TRUE),OR(exact(metadata!N459,"missing: not collected"),exact(metadata!N459,"missing: not provided"),exact(metadata!N459,"missing: restricted access"))),AND(IF(metadata!N459="",FALSE,TRUE),OR(exact(metadata!N459,"TRUE"),exact(metadata!N459,"FALSE"))))</f>
        <v>0</v>
      </c>
      <c r="AO459">
        <f>IF(metadata!O459="",FALSE,TRUE)</f>
        <v>0</v>
      </c>
      <c r="AP459">
        <f>OR(AND(IF(metadata!P459="",FALSE,TRUE),OR(exact(metadata!P459,"missing: not collected"),exact(metadata!P459,"missing: not provided"))),AND(IF(metadata!P459="",FALSE,IF(ISERROR(INT(metadata!P459)),FALSE,INT(metadata!P459)=metadata!P459)),metadata!P459&gt;0))</f>
        <v>0</v>
      </c>
      <c r="AQ459">
        <f>IF(metadata!Q459="",FALSE,TRUE)</f>
        <v>0</v>
      </c>
    </row>
    <row r="460" spans="1:43">
      <c r="A460" s="5">
        <f>IF(B460=" "," ",HYPERLINK(CONCATENATE("#metadata!",ADDRESS(INDEX($W$2:$W$1001,MATCH(ROWS($U$2:U460),$U$2:$U$1001,0),0),1)),INDEX($Z$2:$Z$1001,MATCH(ROWS($U$2:U460),$U$2:$U$1001,0),0)))</f>
        <v>0</v>
      </c>
      <c r="B460" s="4">
        <f>IF(OR(INDEX($V$2:$V$1001,MATCH(ROWS($U$2:U460),$U$2:$U$1001,0),1)&gt;=100000,INDEX($AB$1005:$AQ$1005,1,MATCH(COLUMNS($AB$1006:AB1006),$AB$1006:$AQ$1006,0))&gt;=100000), " ",IF(INDEX($AB$2:$AQ$1001,MATCH(ROWS($U$2:U460),$U$2:$U$1001,0),MATCH(COLUMNS($AB$1006:AB1006),$AB$1006:$AQ$1006,0)), HYPERLINK("#",""), HYPERLINK(CONCATENATE("#metadata!", ADDRESS(INDEX($W$2:$W$1001,MATCH(ROWS($U$2:U460),$U$2:$U$1001,0),0), INDEX($AB$1004:$AQ$1004,1,MATCH(COLUMNS($AB$1006:AB1006),$AB$1006:$AQ$1006,0)))),"Fix")))</f>
        <v>0</v>
      </c>
      <c r="C460" s="4">
        <f>IF(OR(INDEX($V$2:$V$1001,MATCH(ROWS($U$2:U460),$U$2:$U$1001,0),1)&gt;=100000,INDEX($AB$1005:$AQ$1005,1,MATCH(COLUMNS($AB$1006:AC1006),$AB$1006:$AQ$1006,0))&gt;=100000), " ",IF(INDEX($AB$2:$AQ$1001,MATCH(ROWS($U$2:U460),$U$2:$U$1001,0),MATCH(COLUMNS($AB$1006:AC1006),$AB$1006:$AQ$1006,0)), HYPERLINK("#",""), HYPERLINK(CONCATENATE("#metadata!", ADDRESS(INDEX($W$2:$W$1001,MATCH(ROWS($U$2:U460),$U$2:$U$1001,0),0), INDEX($AB$1004:$AQ$1004,1,MATCH(COLUMNS($AB$1006:AC1006),$AB$1006:$AQ$1006,0)))),"Fix")))</f>
        <v>0</v>
      </c>
      <c r="D460" s="4">
        <f>IF(OR(INDEX($V$2:$V$1001,MATCH(ROWS($U$2:U460),$U$2:$U$1001,0),1)&gt;=100000,INDEX($AB$1005:$AQ$1005,1,MATCH(COLUMNS($AB$1006:AD1006),$AB$1006:$AQ$1006,0))&gt;=100000), " ",IF(INDEX($AB$2:$AQ$1001,MATCH(ROWS($U$2:U460),$U$2:$U$1001,0),MATCH(COLUMNS($AB$1006:AD1006),$AB$1006:$AQ$1006,0)), HYPERLINK("#",""), HYPERLINK(CONCATENATE("#metadata!", ADDRESS(INDEX($W$2:$W$1001,MATCH(ROWS($U$2:U460),$U$2:$U$1001,0),0), INDEX($AB$1004:$AQ$1004,1,MATCH(COLUMNS($AB$1006:AD1006),$AB$1006:$AQ$1006,0)))),"Fix")))</f>
        <v>0</v>
      </c>
      <c r="E460" s="4">
        <f>IF(OR(INDEX($V$2:$V$1001,MATCH(ROWS($U$2:U460),$U$2:$U$1001,0),1)&gt;=100000,INDEX($AB$1005:$AQ$1005,1,MATCH(COLUMNS($AB$1006:AE1006),$AB$1006:$AQ$1006,0))&gt;=100000), " ",IF(INDEX($AB$2:$AQ$1001,MATCH(ROWS($U$2:U460),$U$2:$U$1001,0),MATCH(COLUMNS($AB$1006:AE1006),$AB$1006:$AQ$1006,0)), HYPERLINK("#",""), HYPERLINK(CONCATENATE("#metadata!", ADDRESS(INDEX($W$2:$W$1001,MATCH(ROWS($U$2:U460),$U$2:$U$1001,0),0), INDEX($AB$1004:$AQ$1004,1,MATCH(COLUMNS($AB$1006:AE1006),$AB$1006:$AQ$1006,0)))),"Fix")))</f>
        <v>0</v>
      </c>
      <c r="F460" s="4">
        <f>IF(OR(INDEX($V$2:$V$1001,MATCH(ROWS($U$2:U460),$U$2:$U$1001,0),1)&gt;=100000,INDEX($AB$1005:$AQ$1005,1,MATCH(COLUMNS($AB$1006:AF1006),$AB$1006:$AQ$1006,0))&gt;=100000), " ",IF(INDEX($AB$2:$AQ$1001,MATCH(ROWS($U$2:U460),$U$2:$U$1001,0),MATCH(COLUMNS($AB$1006:AF1006),$AB$1006:$AQ$1006,0)), HYPERLINK("#",""), HYPERLINK(CONCATENATE("#metadata!", ADDRESS(INDEX($W$2:$W$1001,MATCH(ROWS($U$2:U460),$U$2:$U$1001,0),0), INDEX($AB$1004:$AQ$1004,1,MATCH(COLUMNS($AB$1006:AF1006),$AB$1006:$AQ$1006,0)))),"Fix")))</f>
        <v>0</v>
      </c>
      <c r="G460" s="4">
        <f>IF(OR(INDEX($V$2:$V$1001,MATCH(ROWS($U$2:U460),$U$2:$U$1001,0),1)&gt;=100000,INDEX($AB$1005:$AQ$1005,1,MATCH(COLUMNS($AB$1006:AG1006),$AB$1006:$AQ$1006,0))&gt;=100000), " ",IF(INDEX($AB$2:$AQ$1001,MATCH(ROWS($U$2:U460),$U$2:$U$1001,0),MATCH(COLUMNS($AB$1006:AG1006),$AB$1006:$AQ$1006,0)), HYPERLINK("#",""), HYPERLINK(CONCATENATE("#metadata!", ADDRESS(INDEX($W$2:$W$1001,MATCH(ROWS($U$2:U460),$U$2:$U$1001,0),0), INDEX($AB$1004:$AQ$1004,1,MATCH(COLUMNS($AB$1006:AG1006),$AB$1006:$AQ$1006,0)))),"Fix")))</f>
        <v>0</v>
      </c>
      <c r="H460" s="4">
        <f>IF(OR(INDEX($V$2:$V$1001,MATCH(ROWS($U$2:U460),$U$2:$U$1001,0),1)&gt;=100000,INDEX($AB$1005:$AQ$1005,1,MATCH(COLUMNS($AB$1006:AH1006),$AB$1006:$AQ$1006,0))&gt;=100000), " ",IF(INDEX($AB$2:$AQ$1001,MATCH(ROWS($U$2:U460),$U$2:$U$1001,0),MATCH(COLUMNS($AB$1006:AH1006),$AB$1006:$AQ$1006,0)), HYPERLINK("#",""), HYPERLINK(CONCATENATE("#metadata!", ADDRESS(INDEX($W$2:$W$1001,MATCH(ROWS($U$2:U460),$U$2:$U$1001,0),0), INDEX($AB$1004:$AQ$1004,1,MATCH(COLUMNS($AB$1006:AH1006),$AB$1006:$AQ$1006,0)))),"Fix")))</f>
        <v>0</v>
      </c>
      <c r="I460" s="4">
        <f>IF(OR(INDEX($V$2:$V$1001,MATCH(ROWS($U$2:U460),$U$2:$U$1001,0),1)&gt;=100000,INDEX($AB$1005:$AQ$1005,1,MATCH(COLUMNS($AB$1006:AI1006),$AB$1006:$AQ$1006,0))&gt;=100000), " ",IF(INDEX($AB$2:$AQ$1001,MATCH(ROWS($U$2:U460),$U$2:$U$1001,0),MATCH(COLUMNS($AB$1006:AI1006),$AB$1006:$AQ$1006,0)), HYPERLINK("#",""), HYPERLINK(CONCATENATE("#metadata!", ADDRESS(INDEX($W$2:$W$1001,MATCH(ROWS($U$2:U460),$U$2:$U$1001,0),0), INDEX($AB$1004:$AQ$1004,1,MATCH(COLUMNS($AB$1006:AI1006),$AB$1006:$AQ$1006,0)))),"Fix")))</f>
        <v>0</v>
      </c>
      <c r="J460" s="4">
        <f>IF(OR(INDEX($V$2:$V$1001,MATCH(ROWS($U$2:U460),$U$2:$U$1001,0),1)&gt;=100000,INDEX($AB$1005:$AQ$1005,1,MATCH(COLUMNS($AB$1006:AJ1006),$AB$1006:$AQ$1006,0))&gt;=100000), " ",IF(INDEX($AB$2:$AQ$1001,MATCH(ROWS($U$2:U460),$U$2:$U$1001,0),MATCH(COLUMNS($AB$1006:AJ1006),$AB$1006:$AQ$1006,0)), HYPERLINK("#",""), HYPERLINK(CONCATENATE("#metadata!", ADDRESS(INDEX($W$2:$W$1001,MATCH(ROWS($U$2:U460),$U$2:$U$1001,0),0), INDEX($AB$1004:$AQ$1004,1,MATCH(COLUMNS($AB$1006:AJ1006),$AB$1006:$AQ$1006,0)))),"Fix")))</f>
        <v>0</v>
      </c>
      <c r="K460" s="4">
        <f>IF(OR(INDEX($V$2:$V$1001,MATCH(ROWS($U$2:U460),$U$2:$U$1001,0),1)&gt;=100000,INDEX($AB$1005:$AQ$1005,1,MATCH(COLUMNS($AB$1006:AK1006),$AB$1006:$AQ$1006,0))&gt;=100000), " ",IF(INDEX($AB$2:$AQ$1001,MATCH(ROWS($U$2:U460),$U$2:$U$1001,0),MATCH(COLUMNS($AB$1006:AK1006),$AB$1006:$AQ$1006,0)), HYPERLINK("#",""), HYPERLINK(CONCATENATE("#metadata!", ADDRESS(INDEX($W$2:$W$1001,MATCH(ROWS($U$2:U460),$U$2:$U$1001,0),0), INDEX($AB$1004:$AQ$1004,1,MATCH(COLUMNS($AB$1006:AK1006),$AB$1006:$AQ$1006,0)))),"Fix")))</f>
        <v>0</v>
      </c>
      <c r="L460" s="4">
        <f>IF(OR(INDEX($V$2:$V$1001,MATCH(ROWS($U$2:U460),$U$2:$U$1001,0),1)&gt;=100000,INDEX($AB$1005:$AQ$1005,1,MATCH(COLUMNS($AB$1006:AL1006),$AB$1006:$AQ$1006,0))&gt;=100000), " ",IF(INDEX($AB$2:$AQ$1001,MATCH(ROWS($U$2:U460),$U$2:$U$1001,0),MATCH(COLUMNS($AB$1006:AL1006),$AB$1006:$AQ$1006,0)), HYPERLINK("#",""), HYPERLINK(CONCATENATE("#metadata!", ADDRESS(INDEX($W$2:$W$1001,MATCH(ROWS($U$2:U460),$U$2:$U$1001,0),0), INDEX($AB$1004:$AQ$1004,1,MATCH(COLUMNS($AB$1006:AL1006),$AB$1006:$AQ$1006,0)))),"Fix")))</f>
        <v>0</v>
      </c>
      <c r="M460" s="4">
        <f>IF(OR(INDEX($V$2:$V$1001,MATCH(ROWS($U$2:U460),$U$2:$U$1001,0),1)&gt;=100000,INDEX($AB$1005:$AQ$1005,1,MATCH(COLUMNS($AB$1006:AM1006),$AB$1006:$AQ$1006,0))&gt;=100000), " ",IF(INDEX($AB$2:$AQ$1001,MATCH(ROWS($U$2:U460),$U$2:$U$1001,0),MATCH(COLUMNS($AB$1006:AM1006),$AB$1006:$AQ$1006,0)), HYPERLINK("#",""), HYPERLINK(CONCATENATE("#metadata!", ADDRESS(INDEX($W$2:$W$1001,MATCH(ROWS($U$2:U460),$U$2:$U$1001,0),0), INDEX($AB$1004:$AQ$1004,1,MATCH(COLUMNS($AB$1006:AM1006),$AB$1006:$AQ$1006,0)))),"Fix")))</f>
        <v>0</v>
      </c>
      <c r="N460" s="4">
        <f>IF(OR(INDEX($V$2:$V$1001,MATCH(ROWS($U$2:U460),$U$2:$U$1001,0),1)&gt;=100000,INDEX($AB$1005:$AQ$1005,1,MATCH(COLUMNS($AB$1006:AN1006),$AB$1006:$AQ$1006,0))&gt;=100000), " ",IF(INDEX($AB$2:$AQ$1001,MATCH(ROWS($U$2:U460),$U$2:$U$1001,0),MATCH(COLUMNS($AB$1006:AN1006),$AB$1006:$AQ$1006,0)), HYPERLINK("#",""), HYPERLINK(CONCATENATE("#metadata!", ADDRESS(INDEX($W$2:$W$1001,MATCH(ROWS($U$2:U460),$U$2:$U$1001,0),0), INDEX($AB$1004:$AQ$1004,1,MATCH(COLUMNS($AB$1006:AN1006),$AB$1006:$AQ$1006,0)))),"Fix")))</f>
        <v>0</v>
      </c>
      <c r="O460" s="4">
        <f>IF(OR(INDEX($V$2:$V$1001,MATCH(ROWS($U$2:U460),$U$2:$U$1001,0),1)&gt;=100000,INDEX($AB$1005:$AQ$1005,1,MATCH(COLUMNS($AB$1006:AO1006),$AB$1006:$AQ$1006,0))&gt;=100000), " ",IF(INDEX($AB$2:$AQ$1001,MATCH(ROWS($U$2:U460),$U$2:$U$1001,0),MATCH(COLUMNS($AB$1006:AO1006),$AB$1006:$AQ$1006,0)), HYPERLINK("#",""), HYPERLINK(CONCATENATE("#metadata!", ADDRESS(INDEX($W$2:$W$1001,MATCH(ROWS($U$2:U460),$U$2:$U$1001,0),0), INDEX($AB$1004:$AQ$1004,1,MATCH(COLUMNS($AB$1006:AO1006),$AB$1006:$AQ$1006,0)))),"Fix")))</f>
        <v>0</v>
      </c>
      <c r="P460" s="4">
        <f>IF(OR(INDEX($V$2:$V$1001,MATCH(ROWS($U$2:U460),$U$2:$U$1001,0),1)&gt;=100000,INDEX($AB$1005:$AQ$1005,1,MATCH(COLUMNS($AB$1006:AP1006),$AB$1006:$AQ$1006,0))&gt;=100000), " ",IF(INDEX($AB$2:$AQ$1001,MATCH(ROWS($U$2:U460),$U$2:$U$1001,0),MATCH(COLUMNS($AB$1006:AP1006),$AB$1006:$AQ$1006,0)), HYPERLINK("#",""), HYPERLINK(CONCATENATE("#metadata!", ADDRESS(INDEX($W$2:$W$1001,MATCH(ROWS($U$2:U460),$U$2:$U$1001,0),0), INDEX($AB$1004:$AQ$1004,1,MATCH(COLUMNS($AB$1006:AP1006),$AB$1006:$AQ$1006,0)))),"Fix")))</f>
        <v>0</v>
      </c>
      <c r="Q460" s="4">
        <f>IF(OR(INDEX($V$2:$V$1001,MATCH(ROWS($U$2:U460),$U$2:$U$1001,0),1)&gt;=100000,INDEX($AB$1005:$AQ$1005,1,MATCH(COLUMNS($AB$1006:AQ1006),$AB$1006:$AQ$1006,0))&gt;=100000), " ",IF(INDEX($AB$2:$AQ$1001,MATCH(ROWS($U$2:U460),$U$2:$U$1001,0),MATCH(COLUMNS($AB$1006:AQ1006),$AB$1006:$AQ$1006,0)), HYPERLINK("#",""), HYPERLINK(CONCATENATE("#metadata!", ADDRESS(INDEX($W$2:$W$1001,MATCH(ROWS($U$2:U460),$U$2:$U$1001,0),0), INDEX($AB$1004:$AQ$1004,1,MATCH(COLUMNS($AB$1006:AQ1006),$AB$1006:$AQ$1006,0)))),"Fix")))</f>
        <v>0</v>
      </c>
      <c r="U460">
        <v>0</v>
      </c>
      <c r="V460">
        <v>0</v>
      </c>
      <c r="W460">
        <v>0</v>
      </c>
      <c r="X460">
        <f>IF(Y460,TRUE,AND(AB460:AQ460))</f>
        <v>0</v>
      </c>
      <c r="Y460">
        <f>COUNTBLANK(metadata!B460:Q460)=COLUMNS(metadata!B460:Q460)</f>
        <v>0</v>
      </c>
      <c r="Z460">
        <v>0</v>
      </c>
      <c r="AB460">
        <f>AND(IF(metadata!B460="",FALSE,TRUE),COUNTIF(metadata!B:B, metadata!B460) = 1,NOT(ISERROR(SUMPRODUCT(SEARCH(MID(metadata!B460,ROW(INDIRECT("1:"&amp;LEN(metadata!B460))), 1),"0123456789abcdefghijklmnopqrstuvwxyzABCDEFGHIJKLMNOPQRSTUVWXYZ.")))))</f>
        <v>0</v>
      </c>
      <c r="AC460">
        <f>OR(AND(IF(metadata!C460="",FALSE,TRUE),OR(exact(metadata!C460,"missing: not collected"),exact(metadata!C460,"missing: not provided"),exact(metadata!C460,"missing: restricted access"))),AND(IF(metadata!C460="",FALSE,TRUE),AND(AND(IFERROR(INT(LEFT(metadata!C460,4))&gt;1900,FALSE),IFERROR(INT(LEFT(metadata!C460,4))&lt;=YEAR(NOW()),FALSE)), OR(MID(metadata!C460,5,1)="", AND(AND(MID(metadata!C460,5,1)="-",IFERROR(INT(MID(metadata!C460,6,1))&gt;=0,FALSE),IFERROR(INT(MID(metadata!C460,6,1))&lt;=1,FALSE),NOT(MID(metadata!C460,7,1)=""),IFERROR(INT(MID(metadata!C460,6,2))&gt;=1,FALSE),IFERROR(INT(MID(metadata!C460,6,2))&lt;=12,FALSE)), OR(MID(metadata!C460,8,1)="", AND(AND(MID(metadata!C460,8,1)="-",IFERROR(INT(MID(metadata!C460,9,1))&gt;=0,FALSE),IFERROR(INT(MID(metadata!C460,9,1))&lt;=3,FALSE),NOT(MID(metadata!C460,10,1)=""),IFERROR(INT(MID(metadata!C460,9,2))&gt;=1,FALSE),IFERROR(INT(MID(metadata!C460,9,2))&lt;=31,FALSE)), OR(MID(metadata!C460,11,1)="", AND(AND(MID(metadata!C460,11,1)=" ",IFERROR(INT(MID(metadata!C460,12,1))&gt;=0,FALSE),IFERROR(INT(MID(metadata!C460,12,1))&lt;=2,FALSE),NOT(MID(metadata!C460,13,1)=""),IFERROR(INT(MID(metadata!C460,12,2))&gt;=0,FALSE),IFERROR(INT(MID(metadata!C460,12,2))&lt;=23,FALSE)), OR(MID(metadata!C460,14,1)="", AND(AND(MID(metadata!C460,14,1)=":",IFERROR(INT(MID(metadata!C460,15,1))&gt;=0,FALSE),IFERROR(INT(MID(metadata!C460,15,1))&lt;=5,FALSE),NOT(MID(metadata!C460,16,1)=""),IFERROR(INT(MID(metadata!C460,15,2))&gt;=0,FALSE),IFERROR(INT(MID(metadata!C460,15,2))&lt;=59,FALSE)), OR(MID(metadata!C460,17,1)="", AND(AND(MID(metadata!C460,17,1)=":",IFERROR(INT(MID(metadata!C460,18,1))&gt;=0,FALSE),IFERROR(INT(MID(metadata!C460,18,1))&lt;=5,FALSE),NOT(MID(metadata!C460,19,1)=""),IFERROR(INT(MID(metadata!C460,18,2))&gt;=0,FALSE),IFERROR(INT(MID(metadata!C460,18,2))&lt;=59,FALSE)), LEN(metadata!C460)&lt;=19)))))))))))))</f>
        <v>0</v>
      </c>
      <c r="AD460">
        <f>IF(metadata!D460="",FALSE,TRUE)</f>
        <v>0</v>
      </c>
      <c r="AE460">
        <f>OR(AND(IF(metadata!E460="",FALSE,TRUE),OR(exact(metadata!E460,"missing: not collected"),exact(metadata!E460,"missing: not provided"))),AND(IF(metadata!E460="",FALSE,TRUE),OR(exact(metadata!E460,"TRUE"),exact(metadata!E460,"FALSE"))))</f>
        <v>0</v>
      </c>
      <c r="AF460">
        <f>IF(metadata!F460="",FALSE,TRUE)</f>
        <v>0</v>
      </c>
      <c r="AG460">
        <f>IF(metadata!G460="",FALSE,TRUE)</f>
        <v>0</v>
      </c>
      <c r="AH460">
        <f>IF(metadata!H460="",FALSE,TRUE)</f>
        <v>0</v>
      </c>
      <c r="AI460">
        <f>OR(AND(IF(metadata!I460="",FALSE,TRUE),OR(exact(metadata!I460,"missing: not collected"),exact(metadata!I460,"missing: not provided"),exact(metadata!I460,"missing: restricted access"))),AND(IF(metadata!I460="",FALSE,TRUE),OR(exact(metadata!I460,"air"),exact(metadata!I460,"built environment"),exact(metadata!I460,"host-associated"),exact(metadata!I460,"human-associated"),exact(metadata!I460,"human-skin"),exact(metadata!I460,"human-oral"),exact(metadata!I460,"human-gut"),exact(metadata!I460,"human-vaginal"),exact(metadata!I460,"microbial mat/biofilm"),exact(metadata!I460,"misc environment"),exact(metadata!I460,"plant-associated"),exact(metadata!I460,"sediment"),exact(metadata!I460,"soil"),exact(metadata!I460,"wastewater/sludge"),exact(metadata!I460,"water"))))</f>
        <v>0</v>
      </c>
      <c r="AJ460">
        <f>IF(metadata!J460="",FALSE,TRUE)</f>
        <v>0</v>
      </c>
      <c r="AK460">
        <f>OR(AND(IF(metadata!K460="",FALSE,TRUE),OR(exact(metadata!K460,"missing: not collected"),exact(metadata!K460,"missing: not provided"),exact(metadata!K460,"missing: restricted access"))),AND(IF(metadata!K460="",FALSE,ISNUMBER(VALUE(metadata!K460))),metadata!K460&gt;=-90.00,metadata!K460&lt;=90.00))</f>
        <v>0</v>
      </c>
      <c r="AL460">
        <f>OR(AND(IF(metadata!L460="",FALSE,TRUE),OR(exact(metadata!L460,"missing: not collected"),exact(metadata!L460,"missing: not provided"),exact(metadata!L460,"missing: restricted access"))),AND(IF(metadata!L460="",FALSE,ISNUMBER(VALUE(metadata!L460))),metadata!L460&gt;=-180.00,metadata!L460&lt;=180.00))</f>
        <v>0</v>
      </c>
      <c r="AM460">
        <f>IF(metadata!M460="",FALSE,TRUE)</f>
        <v>0</v>
      </c>
      <c r="AN460">
        <f>OR(AND(IF(metadata!N460="",FALSE,TRUE),OR(exact(metadata!N460,"missing: not collected"),exact(metadata!N460,"missing: not provided"),exact(metadata!N460,"missing: restricted access"))),AND(IF(metadata!N460="",FALSE,TRUE),OR(exact(metadata!N460,"TRUE"),exact(metadata!N460,"FALSE"))))</f>
        <v>0</v>
      </c>
      <c r="AO460">
        <f>IF(metadata!O460="",FALSE,TRUE)</f>
        <v>0</v>
      </c>
      <c r="AP460">
        <f>OR(AND(IF(metadata!P460="",FALSE,TRUE),OR(exact(metadata!P460,"missing: not collected"),exact(metadata!P460,"missing: not provided"))),AND(IF(metadata!P460="",FALSE,IF(ISERROR(INT(metadata!P460)),FALSE,INT(metadata!P460)=metadata!P460)),metadata!P460&gt;0))</f>
        <v>0</v>
      </c>
      <c r="AQ460">
        <f>IF(metadata!Q460="",FALSE,TRUE)</f>
        <v>0</v>
      </c>
    </row>
    <row r="461" spans="1:43">
      <c r="A461" s="5">
        <f>IF(B461=" "," ",HYPERLINK(CONCATENATE("#metadata!",ADDRESS(INDEX($W$2:$W$1001,MATCH(ROWS($U$2:U461),$U$2:$U$1001,0),0),1)),INDEX($Z$2:$Z$1001,MATCH(ROWS($U$2:U461),$U$2:$U$1001,0),0)))</f>
        <v>0</v>
      </c>
      <c r="B461" s="4">
        <f>IF(OR(INDEX($V$2:$V$1001,MATCH(ROWS($U$2:U461),$U$2:$U$1001,0),1)&gt;=100000,INDEX($AB$1005:$AQ$1005,1,MATCH(COLUMNS($AB$1006:AB1006),$AB$1006:$AQ$1006,0))&gt;=100000), " ",IF(INDEX($AB$2:$AQ$1001,MATCH(ROWS($U$2:U461),$U$2:$U$1001,0),MATCH(COLUMNS($AB$1006:AB1006),$AB$1006:$AQ$1006,0)), HYPERLINK("#",""), HYPERLINK(CONCATENATE("#metadata!", ADDRESS(INDEX($W$2:$W$1001,MATCH(ROWS($U$2:U461),$U$2:$U$1001,0),0), INDEX($AB$1004:$AQ$1004,1,MATCH(COLUMNS($AB$1006:AB1006),$AB$1006:$AQ$1006,0)))),"Fix")))</f>
        <v>0</v>
      </c>
      <c r="C461" s="4">
        <f>IF(OR(INDEX($V$2:$V$1001,MATCH(ROWS($U$2:U461),$U$2:$U$1001,0),1)&gt;=100000,INDEX($AB$1005:$AQ$1005,1,MATCH(COLUMNS($AB$1006:AC1006),$AB$1006:$AQ$1006,0))&gt;=100000), " ",IF(INDEX($AB$2:$AQ$1001,MATCH(ROWS($U$2:U461),$U$2:$U$1001,0),MATCH(COLUMNS($AB$1006:AC1006),$AB$1006:$AQ$1006,0)), HYPERLINK("#",""), HYPERLINK(CONCATENATE("#metadata!", ADDRESS(INDEX($W$2:$W$1001,MATCH(ROWS($U$2:U461),$U$2:$U$1001,0),0), INDEX($AB$1004:$AQ$1004,1,MATCH(COLUMNS($AB$1006:AC1006),$AB$1006:$AQ$1006,0)))),"Fix")))</f>
        <v>0</v>
      </c>
      <c r="D461" s="4">
        <f>IF(OR(INDEX($V$2:$V$1001,MATCH(ROWS($U$2:U461),$U$2:$U$1001,0),1)&gt;=100000,INDEX($AB$1005:$AQ$1005,1,MATCH(COLUMNS($AB$1006:AD1006),$AB$1006:$AQ$1006,0))&gt;=100000), " ",IF(INDEX($AB$2:$AQ$1001,MATCH(ROWS($U$2:U461),$U$2:$U$1001,0),MATCH(COLUMNS($AB$1006:AD1006),$AB$1006:$AQ$1006,0)), HYPERLINK("#",""), HYPERLINK(CONCATENATE("#metadata!", ADDRESS(INDEX($W$2:$W$1001,MATCH(ROWS($U$2:U461),$U$2:$U$1001,0),0), INDEX($AB$1004:$AQ$1004,1,MATCH(COLUMNS($AB$1006:AD1006),$AB$1006:$AQ$1006,0)))),"Fix")))</f>
        <v>0</v>
      </c>
      <c r="E461" s="4">
        <f>IF(OR(INDEX($V$2:$V$1001,MATCH(ROWS($U$2:U461),$U$2:$U$1001,0),1)&gt;=100000,INDEX($AB$1005:$AQ$1005,1,MATCH(COLUMNS($AB$1006:AE1006),$AB$1006:$AQ$1006,0))&gt;=100000), " ",IF(INDEX($AB$2:$AQ$1001,MATCH(ROWS($U$2:U461),$U$2:$U$1001,0),MATCH(COLUMNS($AB$1006:AE1006),$AB$1006:$AQ$1006,0)), HYPERLINK("#",""), HYPERLINK(CONCATENATE("#metadata!", ADDRESS(INDEX($W$2:$W$1001,MATCH(ROWS($U$2:U461),$U$2:$U$1001,0),0), INDEX($AB$1004:$AQ$1004,1,MATCH(COLUMNS($AB$1006:AE1006),$AB$1006:$AQ$1006,0)))),"Fix")))</f>
        <v>0</v>
      </c>
      <c r="F461" s="4">
        <f>IF(OR(INDEX($V$2:$V$1001,MATCH(ROWS($U$2:U461),$U$2:$U$1001,0),1)&gt;=100000,INDEX($AB$1005:$AQ$1005,1,MATCH(COLUMNS($AB$1006:AF1006),$AB$1006:$AQ$1006,0))&gt;=100000), " ",IF(INDEX($AB$2:$AQ$1001,MATCH(ROWS($U$2:U461),$U$2:$U$1001,0),MATCH(COLUMNS($AB$1006:AF1006),$AB$1006:$AQ$1006,0)), HYPERLINK("#",""), HYPERLINK(CONCATENATE("#metadata!", ADDRESS(INDEX($W$2:$W$1001,MATCH(ROWS($U$2:U461),$U$2:$U$1001,0),0), INDEX($AB$1004:$AQ$1004,1,MATCH(COLUMNS($AB$1006:AF1006),$AB$1006:$AQ$1006,0)))),"Fix")))</f>
        <v>0</v>
      </c>
      <c r="G461" s="4">
        <f>IF(OR(INDEX($V$2:$V$1001,MATCH(ROWS($U$2:U461),$U$2:$U$1001,0),1)&gt;=100000,INDEX($AB$1005:$AQ$1005,1,MATCH(COLUMNS($AB$1006:AG1006),$AB$1006:$AQ$1006,0))&gt;=100000), " ",IF(INDEX($AB$2:$AQ$1001,MATCH(ROWS($U$2:U461),$U$2:$U$1001,0),MATCH(COLUMNS($AB$1006:AG1006),$AB$1006:$AQ$1006,0)), HYPERLINK("#",""), HYPERLINK(CONCATENATE("#metadata!", ADDRESS(INDEX($W$2:$W$1001,MATCH(ROWS($U$2:U461),$U$2:$U$1001,0),0), INDEX($AB$1004:$AQ$1004,1,MATCH(COLUMNS($AB$1006:AG1006),$AB$1006:$AQ$1006,0)))),"Fix")))</f>
        <v>0</v>
      </c>
      <c r="H461" s="4">
        <f>IF(OR(INDEX($V$2:$V$1001,MATCH(ROWS($U$2:U461),$U$2:$U$1001,0),1)&gt;=100000,INDEX($AB$1005:$AQ$1005,1,MATCH(COLUMNS($AB$1006:AH1006),$AB$1006:$AQ$1006,0))&gt;=100000), " ",IF(INDEX($AB$2:$AQ$1001,MATCH(ROWS($U$2:U461),$U$2:$U$1001,0),MATCH(COLUMNS($AB$1006:AH1006),$AB$1006:$AQ$1006,0)), HYPERLINK("#",""), HYPERLINK(CONCATENATE("#metadata!", ADDRESS(INDEX($W$2:$W$1001,MATCH(ROWS($U$2:U461),$U$2:$U$1001,0),0), INDEX($AB$1004:$AQ$1004,1,MATCH(COLUMNS($AB$1006:AH1006),$AB$1006:$AQ$1006,0)))),"Fix")))</f>
        <v>0</v>
      </c>
      <c r="I461" s="4">
        <f>IF(OR(INDEX($V$2:$V$1001,MATCH(ROWS($U$2:U461),$U$2:$U$1001,0),1)&gt;=100000,INDEX($AB$1005:$AQ$1005,1,MATCH(COLUMNS($AB$1006:AI1006),$AB$1006:$AQ$1006,0))&gt;=100000), " ",IF(INDEX($AB$2:$AQ$1001,MATCH(ROWS($U$2:U461),$U$2:$U$1001,0),MATCH(COLUMNS($AB$1006:AI1006),$AB$1006:$AQ$1006,0)), HYPERLINK("#",""), HYPERLINK(CONCATENATE("#metadata!", ADDRESS(INDEX($W$2:$W$1001,MATCH(ROWS($U$2:U461),$U$2:$U$1001,0),0), INDEX($AB$1004:$AQ$1004,1,MATCH(COLUMNS($AB$1006:AI1006),$AB$1006:$AQ$1006,0)))),"Fix")))</f>
        <v>0</v>
      </c>
      <c r="J461" s="4">
        <f>IF(OR(INDEX($V$2:$V$1001,MATCH(ROWS($U$2:U461),$U$2:$U$1001,0),1)&gt;=100000,INDEX($AB$1005:$AQ$1005,1,MATCH(COLUMNS($AB$1006:AJ1006),$AB$1006:$AQ$1006,0))&gt;=100000), " ",IF(INDEX($AB$2:$AQ$1001,MATCH(ROWS($U$2:U461),$U$2:$U$1001,0),MATCH(COLUMNS($AB$1006:AJ1006),$AB$1006:$AQ$1006,0)), HYPERLINK("#",""), HYPERLINK(CONCATENATE("#metadata!", ADDRESS(INDEX($W$2:$W$1001,MATCH(ROWS($U$2:U461),$U$2:$U$1001,0),0), INDEX($AB$1004:$AQ$1004,1,MATCH(COLUMNS($AB$1006:AJ1006),$AB$1006:$AQ$1006,0)))),"Fix")))</f>
        <v>0</v>
      </c>
      <c r="K461" s="4">
        <f>IF(OR(INDEX($V$2:$V$1001,MATCH(ROWS($U$2:U461),$U$2:$U$1001,0),1)&gt;=100000,INDEX($AB$1005:$AQ$1005,1,MATCH(COLUMNS($AB$1006:AK1006),$AB$1006:$AQ$1006,0))&gt;=100000), " ",IF(INDEX($AB$2:$AQ$1001,MATCH(ROWS($U$2:U461),$U$2:$U$1001,0),MATCH(COLUMNS($AB$1006:AK1006),$AB$1006:$AQ$1006,0)), HYPERLINK("#",""), HYPERLINK(CONCATENATE("#metadata!", ADDRESS(INDEX($W$2:$W$1001,MATCH(ROWS($U$2:U461),$U$2:$U$1001,0),0), INDEX($AB$1004:$AQ$1004,1,MATCH(COLUMNS($AB$1006:AK1006),$AB$1006:$AQ$1006,0)))),"Fix")))</f>
        <v>0</v>
      </c>
      <c r="L461" s="4">
        <f>IF(OR(INDEX($V$2:$V$1001,MATCH(ROWS($U$2:U461),$U$2:$U$1001,0),1)&gt;=100000,INDEX($AB$1005:$AQ$1005,1,MATCH(COLUMNS($AB$1006:AL1006),$AB$1006:$AQ$1006,0))&gt;=100000), " ",IF(INDEX($AB$2:$AQ$1001,MATCH(ROWS($U$2:U461),$U$2:$U$1001,0),MATCH(COLUMNS($AB$1006:AL1006),$AB$1006:$AQ$1006,0)), HYPERLINK("#",""), HYPERLINK(CONCATENATE("#metadata!", ADDRESS(INDEX($W$2:$W$1001,MATCH(ROWS($U$2:U461),$U$2:$U$1001,0),0), INDEX($AB$1004:$AQ$1004,1,MATCH(COLUMNS($AB$1006:AL1006),$AB$1006:$AQ$1006,0)))),"Fix")))</f>
        <v>0</v>
      </c>
      <c r="M461" s="4">
        <f>IF(OR(INDEX($V$2:$V$1001,MATCH(ROWS($U$2:U461),$U$2:$U$1001,0),1)&gt;=100000,INDEX($AB$1005:$AQ$1005,1,MATCH(COLUMNS($AB$1006:AM1006),$AB$1006:$AQ$1006,0))&gt;=100000), " ",IF(INDEX($AB$2:$AQ$1001,MATCH(ROWS($U$2:U461),$U$2:$U$1001,0),MATCH(COLUMNS($AB$1006:AM1006),$AB$1006:$AQ$1006,0)), HYPERLINK("#",""), HYPERLINK(CONCATENATE("#metadata!", ADDRESS(INDEX($W$2:$W$1001,MATCH(ROWS($U$2:U461),$U$2:$U$1001,0),0), INDEX($AB$1004:$AQ$1004,1,MATCH(COLUMNS($AB$1006:AM1006),$AB$1006:$AQ$1006,0)))),"Fix")))</f>
        <v>0</v>
      </c>
      <c r="N461" s="4">
        <f>IF(OR(INDEX($V$2:$V$1001,MATCH(ROWS($U$2:U461),$U$2:$U$1001,0),1)&gt;=100000,INDEX($AB$1005:$AQ$1005,1,MATCH(COLUMNS($AB$1006:AN1006),$AB$1006:$AQ$1006,0))&gt;=100000), " ",IF(INDEX($AB$2:$AQ$1001,MATCH(ROWS($U$2:U461),$U$2:$U$1001,0),MATCH(COLUMNS($AB$1006:AN1006),$AB$1006:$AQ$1006,0)), HYPERLINK("#",""), HYPERLINK(CONCATENATE("#metadata!", ADDRESS(INDEX($W$2:$W$1001,MATCH(ROWS($U$2:U461),$U$2:$U$1001,0),0), INDEX($AB$1004:$AQ$1004,1,MATCH(COLUMNS($AB$1006:AN1006),$AB$1006:$AQ$1006,0)))),"Fix")))</f>
        <v>0</v>
      </c>
      <c r="O461" s="4">
        <f>IF(OR(INDEX($V$2:$V$1001,MATCH(ROWS($U$2:U461),$U$2:$U$1001,0),1)&gt;=100000,INDEX($AB$1005:$AQ$1005,1,MATCH(COLUMNS($AB$1006:AO1006),$AB$1006:$AQ$1006,0))&gt;=100000), " ",IF(INDEX($AB$2:$AQ$1001,MATCH(ROWS($U$2:U461),$U$2:$U$1001,0),MATCH(COLUMNS($AB$1006:AO1006),$AB$1006:$AQ$1006,0)), HYPERLINK("#",""), HYPERLINK(CONCATENATE("#metadata!", ADDRESS(INDEX($W$2:$W$1001,MATCH(ROWS($U$2:U461),$U$2:$U$1001,0),0), INDEX($AB$1004:$AQ$1004,1,MATCH(COLUMNS($AB$1006:AO1006),$AB$1006:$AQ$1006,0)))),"Fix")))</f>
        <v>0</v>
      </c>
      <c r="P461" s="4">
        <f>IF(OR(INDEX($V$2:$V$1001,MATCH(ROWS($U$2:U461),$U$2:$U$1001,0),1)&gt;=100000,INDEX($AB$1005:$AQ$1005,1,MATCH(COLUMNS($AB$1006:AP1006),$AB$1006:$AQ$1006,0))&gt;=100000), " ",IF(INDEX($AB$2:$AQ$1001,MATCH(ROWS($U$2:U461),$U$2:$U$1001,0),MATCH(COLUMNS($AB$1006:AP1006),$AB$1006:$AQ$1006,0)), HYPERLINK("#",""), HYPERLINK(CONCATENATE("#metadata!", ADDRESS(INDEX($W$2:$W$1001,MATCH(ROWS($U$2:U461),$U$2:$U$1001,0),0), INDEX($AB$1004:$AQ$1004,1,MATCH(COLUMNS($AB$1006:AP1006),$AB$1006:$AQ$1006,0)))),"Fix")))</f>
        <v>0</v>
      </c>
      <c r="Q461" s="4">
        <f>IF(OR(INDEX($V$2:$V$1001,MATCH(ROWS($U$2:U461),$U$2:$U$1001,0),1)&gt;=100000,INDEX($AB$1005:$AQ$1005,1,MATCH(COLUMNS($AB$1006:AQ1006),$AB$1006:$AQ$1006,0))&gt;=100000), " ",IF(INDEX($AB$2:$AQ$1001,MATCH(ROWS($U$2:U461),$U$2:$U$1001,0),MATCH(COLUMNS($AB$1006:AQ1006),$AB$1006:$AQ$1006,0)), HYPERLINK("#",""), HYPERLINK(CONCATENATE("#metadata!", ADDRESS(INDEX($W$2:$W$1001,MATCH(ROWS($U$2:U461),$U$2:$U$1001,0),0), INDEX($AB$1004:$AQ$1004,1,MATCH(COLUMNS($AB$1006:AQ1006),$AB$1006:$AQ$1006,0)))),"Fix")))</f>
        <v>0</v>
      </c>
      <c r="U461">
        <v>0</v>
      </c>
      <c r="V461">
        <v>0</v>
      </c>
      <c r="W461">
        <v>0</v>
      </c>
      <c r="X461">
        <f>IF(Y461,TRUE,AND(AB461:AQ461))</f>
        <v>0</v>
      </c>
      <c r="Y461">
        <f>COUNTBLANK(metadata!B461:Q461)=COLUMNS(metadata!B461:Q461)</f>
        <v>0</v>
      </c>
      <c r="Z461">
        <v>0</v>
      </c>
      <c r="AB461">
        <f>AND(IF(metadata!B461="",FALSE,TRUE),COUNTIF(metadata!B:B, metadata!B461) = 1,NOT(ISERROR(SUMPRODUCT(SEARCH(MID(metadata!B461,ROW(INDIRECT("1:"&amp;LEN(metadata!B461))), 1),"0123456789abcdefghijklmnopqrstuvwxyzABCDEFGHIJKLMNOPQRSTUVWXYZ.")))))</f>
        <v>0</v>
      </c>
      <c r="AC461">
        <f>OR(AND(IF(metadata!C461="",FALSE,TRUE),OR(exact(metadata!C461,"missing: not collected"),exact(metadata!C461,"missing: not provided"),exact(metadata!C461,"missing: restricted access"))),AND(IF(metadata!C461="",FALSE,TRUE),AND(AND(IFERROR(INT(LEFT(metadata!C461,4))&gt;1900,FALSE),IFERROR(INT(LEFT(metadata!C461,4))&lt;=YEAR(NOW()),FALSE)), OR(MID(metadata!C461,5,1)="", AND(AND(MID(metadata!C461,5,1)="-",IFERROR(INT(MID(metadata!C461,6,1))&gt;=0,FALSE),IFERROR(INT(MID(metadata!C461,6,1))&lt;=1,FALSE),NOT(MID(metadata!C461,7,1)=""),IFERROR(INT(MID(metadata!C461,6,2))&gt;=1,FALSE),IFERROR(INT(MID(metadata!C461,6,2))&lt;=12,FALSE)), OR(MID(metadata!C461,8,1)="", AND(AND(MID(metadata!C461,8,1)="-",IFERROR(INT(MID(metadata!C461,9,1))&gt;=0,FALSE),IFERROR(INT(MID(metadata!C461,9,1))&lt;=3,FALSE),NOT(MID(metadata!C461,10,1)=""),IFERROR(INT(MID(metadata!C461,9,2))&gt;=1,FALSE),IFERROR(INT(MID(metadata!C461,9,2))&lt;=31,FALSE)), OR(MID(metadata!C461,11,1)="", AND(AND(MID(metadata!C461,11,1)=" ",IFERROR(INT(MID(metadata!C461,12,1))&gt;=0,FALSE),IFERROR(INT(MID(metadata!C461,12,1))&lt;=2,FALSE),NOT(MID(metadata!C461,13,1)=""),IFERROR(INT(MID(metadata!C461,12,2))&gt;=0,FALSE),IFERROR(INT(MID(metadata!C461,12,2))&lt;=23,FALSE)), OR(MID(metadata!C461,14,1)="", AND(AND(MID(metadata!C461,14,1)=":",IFERROR(INT(MID(metadata!C461,15,1))&gt;=0,FALSE),IFERROR(INT(MID(metadata!C461,15,1))&lt;=5,FALSE),NOT(MID(metadata!C461,16,1)=""),IFERROR(INT(MID(metadata!C461,15,2))&gt;=0,FALSE),IFERROR(INT(MID(metadata!C461,15,2))&lt;=59,FALSE)), OR(MID(metadata!C461,17,1)="", AND(AND(MID(metadata!C461,17,1)=":",IFERROR(INT(MID(metadata!C461,18,1))&gt;=0,FALSE),IFERROR(INT(MID(metadata!C461,18,1))&lt;=5,FALSE),NOT(MID(metadata!C461,19,1)=""),IFERROR(INT(MID(metadata!C461,18,2))&gt;=0,FALSE),IFERROR(INT(MID(metadata!C461,18,2))&lt;=59,FALSE)), LEN(metadata!C461)&lt;=19)))))))))))))</f>
        <v>0</v>
      </c>
      <c r="AD461">
        <f>IF(metadata!D461="",FALSE,TRUE)</f>
        <v>0</v>
      </c>
      <c r="AE461">
        <f>OR(AND(IF(metadata!E461="",FALSE,TRUE),OR(exact(metadata!E461,"missing: not collected"),exact(metadata!E461,"missing: not provided"))),AND(IF(metadata!E461="",FALSE,TRUE),OR(exact(metadata!E461,"TRUE"),exact(metadata!E461,"FALSE"))))</f>
        <v>0</v>
      </c>
      <c r="AF461">
        <f>IF(metadata!F461="",FALSE,TRUE)</f>
        <v>0</v>
      </c>
      <c r="AG461">
        <f>IF(metadata!G461="",FALSE,TRUE)</f>
        <v>0</v>
      </c>
      <c r="AH461">
        <f>IF(metadata!H461="",FALSE,TRUE)</f>
        <v>0</v>
      </c>
      <c r="AI461">
        <f>OR(AND(IF(metadata!I461="",FALSE,TRUE),OR(exact(metadata!I461,"missing: not collected"),exact(metadata!I461,"missing: not provided"),exact(metadata!I461,"missing: restricted access"))),AND(IF(metadata!I461="",FALSE,TRUE),OR(exact(metadata!I461,"air"),exact(metadata!I461,"built environment"),exact(metadata!I461,"host-associated"),exact(metadata!I461,"human-associated"),exact(metadata!I461,"human-skin"),exact(metadata!I461,"human-oral"),exact(metadata!I461,"human-gut"),exact(metadata!I461,"human-vaginal"),exact(metadata!I461,"microbial mat/biofilm"),exact(metadata!I461,"misc environment"),exact(metadata!I461,"plant-associated"),exact(metadata!I461,"sediment"),exact(metadata!I461,"soil"),exact(metadata!I461,"wastewater/sludge"),exact(metadata!I461,"water"))))</f>
        <v>0</v>
      </c>
      <c r="AJ461">
        <f>IF(metadata!J461="",FALSE,TRUE)</f>
        <v>0</v>
      </c>
      <c r="AK461">
        <f>OR(AND(IF(metadata!K461="",FALSE,TRUE),OR(exact(metadata!K461,"missing: not collected"),exact(metadata!K461,"missing: not provided"),exact(metadata!K461,"missing: restricted access"))),AND(IF(metadata!K461="",FALSE,ISNUMBER(VALUE(metadata!K461))),metadata!K461&gt;=-90.00,metadata!K461&lt;=90.00))</f>
        <v>0</v>
      </c>
      <c r="AL461">
        <f>OR(AND(IF(metadata!L461="",FALSE,TRUE),OR(exact(metadata!L461,"missing: not collected"),exact(metadata!L461,"missing: not provided"),exact(metadata!L461,"missing: restricted access"))),AND(IF(metadata!L461="",FALSE,ISNUMBER(VALUE(metadata!L461))),metadata!L461&gt;=-180.00,metadata!L461&lt;=180.00))</f>
        <v>0</v>
      </c>
      <c r="AM461">
        <f>IF(metadata!M461="",FALSE,TRUE)</f>
        <v>0</v>
      </c>
      <c r="AN461">
        <f>OR(AND(IF(metadata!N461="",FALSE,TRUE),OR(exact(metadata!N461,"missing: not collected"),exact(metadata!N461,"missing: not provided"),exact(metadata!N461,"missing: restricted access"))),AND(IF(metadata!N461="",FALSE,TRUE),OR(exact(metadata!N461,"TRUE"),exact(metadata!N461,"FALSE"))))</f>
        <v>0</v>
      </c>
      <c r="AO461">
        <f>IF(metadata!O461="",FALSE,TRUE)</f>
        <v>0</v>
      </c>
      <c r="AP461">
        <f>OR(AND(IF(metadata!P461="",FALSE,TRUE),OR(exact(metadata!P461,"missing: not collected"),exact(metadata!P461,"missing: not provided"))),AND(IF(metadata!P461="",FALSE,IF(ISERROR(INT(metadata!P461)),FALSE,INT(metadata!P461)=metadata!P461)),metadata!P461&gt;0))</f>
        <v>0</v>
      </c>
      <c r="AQ461">
        <f>IF(metadata!Q461="",FALSE,TRUE)</f>
        <v>0</v>
      </c>
    </row>
    <row r="462" spans="1:43">
      <c r="A462" s="5">
        <f>IF(B462=" "," ",HYPERLINK(CONCATENATE("#metadata!",ADDRESS(INDEX($W$2:$W$1001,MATCH(ROWS($U$2:U462),$U$2:$U$1001,0),0),1)),INDEX($Z$2:$Z$1001,MATCH(ROWS($U$2:U462),$U$2:$U$1001,0),0)))</f>
        <v>0</v>
      </c>
      <c r="B462" s="4">
        <f>IF(OR(INDEX($V$2:$V$1001,MATCH(ROWS($U$2:U462),$U$2:$U$1001,0),1)&gt;=100000,INDEX($AB$1005:$AQ$1005,1,MATCH(COLUMNS($AB$1006:AB1006),$AB$1006:$AQ$1006,0))&gt;=100000), " ",IF(INDEX($AB$2:$AQ$1001,MATCH(ROWS($U$2:U462),$U$2:$U$1001,0),MATCH(COLUMNS($AB$1006:AB1006),$AB$1006:$AQ$1006,0)), HYPERLINK("#",""), HYPERLINK(CONCATENATE("#metadata!", ADDRESS(INDEX($W$2:$W$1001,MATCH(ROWS($U$2:U462),$U$2:$U$1001,0),0), INDEX($AB$1004:$AQ$1004,1,MATCH(COLUMNS($AB$1006:AB1006),$AB$1006:$AQ$1006,0)))),"Fix")))</f>
        <v>0</v>
      </c>
      <c r="C462" s="4">
        <f>IF(OR(INDEX($V$2:$V$1001,MATCH(ROWS($U$2:U462),$U$2:$U$1001,0),1)&gt;=100000,INDEX($AB$1005:$AQ$1005,1,MATCH(COLUMNS($AB$1006:AC1006),$AB$1006:$AQ$1006,0))&gt;=100000), " ",IF(INDEX($AB$2:$AQ$1001,MATCH(ROWS($U$2:U462),$U$2:$U$1001,0),MATCH(COLUMNS($AB$1006:AC1006),$AB$1006:$AQ$1006,0)), HYPERLINK("#",""), HYPERLINK(CONCATENATE("#metadata!", ADDRESS(INDEX($W$2:$W$1001,MATCH(ROWS($U$2:U462),$U$2:$U$1001,0),0), INDEX($AB$1004:$AQ$1004,1,MATCH(COLUMNS($AB$1006:AC1006),$AB$1006:$AQ$1006,0)))),"Fix")))</f>
        <v>0</v>
      </c>
      <c r="D462" s="4">
        <f>IF(OR(INDEX($V$2:$V$1001,MATCH(ROWS($U$2:U462),$U$2:$U$1001,0),1)&gt;=100000,INDEX($AB$1005:$AQ$1005,1,MATCH(COLUMNS($AB$1006:AD1006),$AB$1006:$AQ$1006,0))&gt;=100000), " ",IF(INDEX($AB$2:$AQ$1001,MATCH(ROWS($U$2:U462),$U$2:$U$1001,0),MATCH(COLUMNS($AB$1006:AD1006),$AB$1006:$AQ$1006,0)), HYPERLINK("#",""), HYPERLINK(CONCATENATE("#metadata!", ADDRESS(INDEX($W$2:$W$1001,MATCH(ROWS($U$2:U462),$U$2:$U$1001,0),0), INDEX($AB$1004:$AQ$1004,1,MATCH(COLUMNS($AB$1006:AD1006),$AB$1006:$AQ$1006,0)))),"Fix")))</f>
        <v>0</v>
      </c>
      <c r="E462" s="4">
        <f>IF(OR(INDEX($V$2:$V$1001,MATCH(ROWS($U$2:U462),$U$2:$U$1001,0),1)&gt;=100000,INDEX($AB$1005:$AQ$1005,1,MATCH(COLUMNS($AB$1006:AE1006),$AB$1006:$AQ$1006,0))&gt;=100000), " ",IF(INDEX($AB$2:$AQ$1001,MATCH(ROWS($U$2:U462),$U$2:$U$1001,0),MATCH(COLUMNS($AB$1006:AE1006),$AB$1006:$AQ$1006,0)), HYPERLINK("#",""), HYPERLINK(CONCATENATE("#metadata!", ADDRESS(INDEX($W$2:$W$1001,MATCH(ROWS($U$2:U462),$U$2:$U$1001,0),0), INDEX($AB$1004:$AQ$1004,1,MATCH(COLUMNS($AB$1006:AE1006),$AB$1006:$AQ$1006,0)))),"Fix")))</f>
        <v>0</v>
      </c>
      <c r="F462" s="4">
        <f>IF(OR(INDEX($V$2:$V$1001,MATCH(ROWS($U$2:U462),$U$2:$U$1001,0),1)&gt;=100000,INDEX($AB$1005:$AQ$1005,1,MATCH(COLUMNS($AB$1006:AF1006),$AB$1006:$AQ$1006,0))&gt;=100000), " ",IF(INDEX($AB$2:$AQ$1001,MATCH(ROWS($U$2:U462),$U$2:$U$1001,0),MATCH(COLUMNS($AB$1006:AF1006),$AB$1006:$AQ$1006,0)), HYPERLINK("#",""), HYPERLINK(CONCATENATE("#metadata!", ADDRESS(INDEX($W$2:$W$1001,MATCH(ROWS($U$2:U462),$U$2:$U$1001,0),0), INDEX($AB$1004:$AQ$1004,1,MATCH(COLUMNS($AB$1006:AF1006),$AB$1006:$AQ$1006,0)))),"Fix")))</f>
        <v>0</v>
      </c>
      <c r="G462" s="4">
        <f>IF(OR(INDEX($V$2:$V$1001,MATCH(ROWS($U$2:U462),$U$2:$U$1001,0),1)&gt;=100000,INDEX($AB$1005:$AQ$1005,1,MATCH(COLUMNS($AB$1006:AG1006),$AB$1006:$AQ$1006,0))&gt;=100000), " ",IF(INDEX($AB$2:$AQ$1001,MATCH(ROWS($U$2:U462),$U$2:$U$1001,0),MATCH(COLUMNS($AB$1006:AG1006),$AB$1006:$AQ$1006,0)), HYPERLINK("#",""), HYPERLINK(CONCATENATE("#metadata!", ADDRESS(INDEX($W$2:$W$1001,MATCH(ROWS($U$2:U462),$U$2:$U$1001,0),0), INDEX($AB$1004:$AQ$1004,1,MATCH(COLUMNS($AB$1006:AG1006),$AB$1006:$AQ$1006,0)))),"Fix")))</f>
        <v>0</v>
      </c>
      <c r="H462" s="4">
        <f>IF(OR(INDEX($V$2:$V$1001,MATCH(ROWS($U$2:U462),$U$2:$U$1001,0),1)&gt;=100000,INDEX($AB$1005:$AQ$1005,1,MATCH(COLUMNS($AB$1006:AH1006),$AB$1006:$AQ$1006,0))&gt;=100000), " ",IF(INDEX($AB$2:$AQ$1001,MATCH(ROWS($U$2:U462),$U$2:$U$1001,0),MATCH(COLUMNS($AB$1006:AH1006),$AB$1006:$AQ$1006,0)), HYPERLINK("#",""), HYPERLINK(CONCATENATE("#metadata!", ADDRESS(INDEX($W$2:$W$1001,MATCH(ROWS($U$2:U462),$U$2:$U$1001,0),0), INDEX($AB$1004:$AQ$1004,1,MATCH(COLUMNS($AB$1006:AH1006),$AB$1006:$AQ$1006,0)))),"Fix")))</f>
        <v>0</v>
      </c>
      <c r="I462" s="4">
        <f>IF(OR(INDEX($V$2:$V$1001,MATCH(ROWS($U$2:U462),$U$2:$U$1001,0),1)&gt;=100000,INDEX($AB$1005:$AQ$1005,1,MATCH(COLUMNS($AB$1006:AI1006),$AB$1006:$AQ$1006,0))&gt;=100000), " ",IF(INDEX($AB$2:$AQ$1001,MATCH(ROWS($U$2:U462),$U$2:$U$1001,0),MATCH(COLUMNS($AB$1006:AI1006),$AB$1006:$AQ$1006,0)), HYPERLINK("#",""), HYPERLINK(CONCATENATE("#metadata!", ADDRESS(INDEX($W$2:$W$1001,MATCH(ROWS($U$2:U462),$U$2:$U$1001,0),0), INDEX($AB$1004:$AQ$1004,1,MATCH(COLUMNS($AB$1006:AI1006),$AB$1006:$AQ$1006,0)))),"Fix")))</f>
        <v>0</v>
      </c>
      <c r="J462" s="4">
        <f>IF(OR(INDEX($V$2:$V$1001,MATCH(ROWS($U$2:U462),$U$2:$U$1001,0),1)&gt;=100000,INDEX($AB$1005:$AQ$1005,1,MATCH(COLUMNS($AB$1006:AJ1006),$AB$1006:$AQ$1006,0))&gt;=100000), " ",IF(INDEX($AB$2:$AQ$1001,MATCH(ROWS($U$2:U462),$U$2:$U$1001,0),MATCH(COLUMNS($AB$1006:AJ1006),$AB$1006:$AQ$1006,0)), HYPERLINK("#",""), HYPERLINK(CONCATENATE("#metadata!", ADDRESS(INDEX($W$2:$W$1001,MATCH(ROWS($U$2:U462),$U$2:$U$1001,0),0), INDEX($AB$1004:$AQ$1004,1,MATCH(COLUMNS($AB$1006:AJ1006),$AB$1006:$AQ$1006,0)))),"Fix")))</f>
        <v>0</v>
      </c>
      <c r="K462" s="4">
        <f>IF(OR(INDEX($V$2:$V$1001,MATCH(ROWS($U$2:U462),$U$2:$U$1001,0),1)&gt;=100000,INDEX($AB$1005:$AQ$1005,1,MATCH(COLUMNS($AB$1006:AK1006),$AB$1006:$AQ$1006,0))&gt;=100000), " ",IF(INDEX($AB$2:$AQ$1001,MATCH(ROWS($U$2:U462),$U$2:$U$1001,0),MATCH(COLUMNS($AB$1006:AK1006),$AB$1006:$AQ$1006,0)), HYPERLINK("#",""), HYPERLINK(CONCATENATE("#metadata!", ADDRESS(INDEX($W$2:$W$1001,MATCH(ROWS($U$2:U462),$U$2:$U$1001,0),0), INDEX($AB$1004:$AQ$1004,1,MATCH(COLUMNS($AB$1006:AK1006),$AB$1006:$AQ$1006,0)))),"Fix")))</f>
        <v>0</v>
      </c>
      <c r="L462" s="4">
        <f>IF(OR(INDEX($V$2:$V$1001,MATCH(ROWS($U$2:U462),$U$2:$U$1001,0),1)&gt;=100000,INDEX($AB$1005:$AQ$1005,1,MATCH(COLUMNS($AB$1006:AL1006),$AB$1006:$AQ$1006,0))&gt;=100000), " ",IF(INDEX($AB$2:$AQ$1001,MATCH(ROWS($U$2:U462),$U$2:$U$1001,0),MATCH(COLUMNS($AB$1006:AL1006),$AB$1006:$AQ$1006,0)), HYPERLINK("#",""), HYPERLINK(CONCATENATE("#metadata!", ADDRESS(INDEX($W$2:$W$1001,MATCH(ROWS($U$2:U462),$U$2:$U$1001,0),0), INDEX($AB$1004:$AQ$1004,1,MATCH(COLUMNS($AB$1006:AL1006),$AB$1006:$AQ$1006,0)))),"Fix")))</f>
        <v>0</v>
      </c>
      <c r="M462" s="4">
        <f>IF(OR(INDEX($V$2:$V$1001,MATCH(ROWS($U$2:U462),$U$2:$U$1001,0),1)&gt;=100000,INDEX($AB$1005:$AQ$1005,1,MATCH(COLUMNS($AB$1006:AM1006),$AB$1006:$AQ$1006,0))&gt;=100000), " ",IF(INDEX($AB$2:$AQ$1001,MATCH(ROWS($U$2:U462),$U$2:$U$1001,0),MATCH(COLUMNS($AB$1006:AM1006),$AB$1006:$AQ$1006,0)), HYPERLINK("#",""), HYPERLINK(CONCATENATE("#metadata!", ADDRESS(INDEX($W$2:$W$1001,MATCH(ROWS($U$2:U462),$U$2:$U$1001,0),0), INDEX($AB$1004:$AQ$1004,1,MATCH(COLUMNS($AB$1006:AM1006),$AB$1006:$AQ$1006,0)))),"Fix")))</f>
        <v>0</v>
      </c>
      <c r="N462" s="4">
        <f>IF(OR(INDEX($V$2:$V$1001,MATCH(ROWS($U$2:U462),$U$2:$U$1001,0),1)&gt;=100000,INDEX($AB$1005:$AQ$1005,1,MATCH(COLUMNS($AB$1006:AN1006),$AB$1006:$AQ$1006,0))&gt;=100000), " ",IF(INDEX($AB$2:$AQ$1001,MATCH(ROWS($U$2:U462),$U$2:$U$1001,0),MATCH(COLUMNS($AB$1006:AN1006),$AB$1006:$AQ$1006,0)), HYPERLINK("#",""), HYPERLINK(CONCATENATE("#metadata!", ADDRESS(INDEX($W$2:$W$1001,MATCH(ROWS($U$2:U462),$U$2:$U$1001,0),0), INDEX($AB$1004:$AQ$1004,1,MATCH(COLUMNS($AB$1006:AN1006),$AB$1006:$AQ$1006,0)))),"Fix")))</f>
        <v>0</v>
      </c>
      <c r="O462" s="4">
        <f>IF(OR(INDEX($V$2:$V$1001,MATCH(ROWS($U$2:U462),$U$2:$U$1001,0),1)&gt;=100000,INDEX($AB$1005:$AQ$1005,1,MATCH(COLUMNS($AB$1006:AO1006),$AB$1006:$AQ$1006,0))&gt;=100000), " ",IF(INDEX($AB$2:$AQ$1001,MATCH(ROWS($U$2:U462),$U$2:$U$1001,0),MATCH(COLUMNS($AB$1006:AO1006),$AB$1006:$AQ$1006,0)), HYPERLINK("#",""), HYPERLINK(CONCATENATE("#metadata!", ADDRESS(INDEX($W$2:$W$1001,MATCH(ROWS($U$2:U462),$U$2:$U$1001,0),0), INDEX($AB$1004:$AQ$1004,1,MATCH(COLUMNS($AB$1006:AO1006),$AB$1006:$AQ$1006,0)))),"Fix")))</f>
        <v>0</v>
      </c>
      <c r="P462" s="4">
        <f>IF(OR(INDEX($V$2:$V$1001,MATCH(ROWS($U$2:U462),$U$2:$U$1001,0),1)&gt;=100000,INDEX($AB$1005:$AQ$1005,1,MATCH(COLUMNS($AB$1006:AP1006),$AB$1006:$AQ$1006,0))&gt;=100000), " ",IF(INDEX($AB$2:$AQ$1001,MATCH(ROWS($U$2:U462),$U$2:$U$1001,0),MATCH(COLUMNS($AB$1006:AP1006),$AB$1006:$AQ$1006,0)), HYPERLINK("#",""), HYPERLINK(CONCATENATE("#metadata!", ADDRESS(INDEX($W$2:$W$1001,MATCH(ROWS($U$2:U462),$U$2:$U$1001,0),0), INDEX($AB$1004:$AQ$1004,1,MATCH(COLUMNS($AB$1006:AP1006),$AB$1006:$AQ$1006,0)))),"Fix")))</f>
        <v>0</v>
      </c>
      <c r="Q462" s="4">
        <f>IF(OR(INDEX($V$2:$V$1001,MATCH(ROWS($U$2:U462),$U$2:$U$1001,0),1)&gt;=100000,INDEX($AB$1005:$AQ$1005,1,MATCH(COLUMNS($AB$1006:AQ1006),$AB$1006:$AQ$1006,0))&gt;=100000), " ",IF(INDEX($AB$2:$AQ$1001,MATCH(ROWS($U$2:U462),$U$2:$U$1001,0),MATCH(COLUMNS($AB$1006:AQ1006),$AB$1006:$AQ$1006,0)), HYPERLINK("#",""), HYPERLINK(CONCATENATE("#metadata!", ADDRESS(INDEX($W$2:$W$1001,MATCH(ROWS($U$2:U462),$U$2:$U$1001,0),0), INDEX($AB$1004:$AQ$1004,1,MATCH(COLUMNS($AB$1006:AQ1006),$AB$1006:$AQ$1006,0)))),"Fix")))</f>
        <v>0</v>
      </c>
      <c r="U462">
        <v>0</v>
      </c>
      <c r="V462">
        <v>0</v>
      </c>
      <c r="W462">
        <v>0</v>
      </c>
      <c r="X462">
        <f>IF(Y462,TRUE,AND(AB462:AQ462))</f>
        <v>0</v>
      </c>
      <c r="Y462">
        <f>COUNTBLANK(metadata!B462:Q462)=COLUMNS(metadata!B462:Q462)</f>
        <v>0</v>
      </c>
      <c r="Z462">
        <v>0</v>
      </c>
      <c r="AB462">
        <f>AND(IF(metadata!B462="",FALSE,TRUE),COUNTIF(metadata!B:B, metadata!B462) = 1,NOT(ISERROR(SUMPRODUCT(SEARCH(MID(metadata!B462,ROW(INDIRECT("1:"&amp;LEN(metadata!B462))), 1),"0123456789abcdefghijklmnopqrstuvwxyzABCDEFGHIJKLMNOPQRSTUVWXYZ.")))))</f>
        <v>0</v>
      </c>
      <c r="AC462">
        <f>OR(AND(IF(metadata!C462="",FALSE,TRUE),OR(exact(metadata!C462,"missing: not collected"),exact(metadata!C462,"missing: not provided"),exact(metadata!C462,"missing: restricted access"))),AND(IF(metadata!C462="",FALSE,TRUE),AND(AND(IFERROR(INT(LEFT(metadata!C462,4))&gt;1900,FALSE),IFERROR(INT(LEFT(metadata!C462,4))&lt;=YEAR(NOW()),FALSE)), OR(MID(metadata!C462,5,1)="", AND(AND(MID(metadata!C462,5,1)="-",IFERROR(INT(MID(metadata!C462,6,1))&gt;=0,FALSE),IFERROR(INT(MID(metadata!C462,6,1))&lt;=1,FALSE),NOT(MID(metadata!C462,7,1)=""),IFERROR(INT(MID(metadata!C462,6,2))&gt;=1,FALSE),IFERROR(INT(MID(metadata!C462,6,2))&lt;=12,FALSE)), OR(MID(metadata!C462,8,1)="", AND(AND(MID(metadata!C462,8,1)="-",IFERROR(INT(MID(metadata!C462,9,1))&gt;=0,FALSE),IFERROR(INT(MID(metadata!C462,9,1))&lt;=3,FALSE),NOT(MID(metadata!C462,10,1)=""),IFERROR(INT(MID(metadata!C462,9,2))&gt;=1,FALSE),IFERROR(INT(MID(metadata!C462,9,2))&lt;=31,FALSE)), OR(MID(metadata!C462,11,1)="", AND(AND(MID(metadata!C462,11,1)=" ",IFERROR(INT(MID(metadata!C462,12,1))&gt;=0,FALSE),IFERROR(INT(MID(metadata!C462,12,1))&lt;=2,FALSE),NOT(MID(metadata!C462,13,1)=""),IFERROR(INT(MID(metadata!C462,12,2))&gt;=0,FALSE),IFERROR(INT(MID(metadata!C462,12,2))&lt;=23,FALSE)), OR(MID(metadata!C462,14,1)="", AND(AND(MID(metadata!C462,14,1)=":",IFERROR(INT(MID(metadata!C462,15,1))&gt;=0,FALSE),IFERROR(INT(MID(metadata!C462,15,1))&lt;=5,FALSE),NOT(MID(metadata!C462,16,1)=""),IFERROR(INT(MID(metadata!C462,15,2))&gt;=0,FALSE),IFERROR(INT(MID(metadata!C462,15,2))&lt;=59,FALSE)), OR(MID(metadata!C462,17,1)="", AND(AND(MID(metadata!C462,17,1)=":",IFERROR(INT(MID(metadata!C462,18,1))&gt;=0,FALSE),IFERROR(INT(MID(metadata!C462,18,1))&lt;=5,FALSE),NOT(MID(metadata!C462,19,1)=""),IFERROR(INT(MID(metadata!C462,18,2))&gt;=0,FALSE),IFERROR(INT(MID(metadata!C462,18,2))&lt;=59,FALSE)), LEN(metadata!C462)&lt;=19)))))))))))))</f>
        <v>0</v>
      </c>
      <c r="AD462">
        <f>IF(metadata!D462="",FALSE,TRUE)</f>
        <v>0</v>
      </c>
      <c r="AE462">
        <f>OR(AND(IF(metadata!E462="",FALSE,TRUE),OR(exact(metadata!E462,"missing: not collected"),exact(metadata!E462,"missing: not provided"))),AND(IF(metadata!E462="",FALSE,TRUE),OR(exact(metadata!E462,"TRUE"),exact(metadata!E462,"FALSE"))))</f>
        <v>0</v>
      </c>
      <c r="AF462">
        <f>IF(metadata!F462="",FALSE,TRUE)</f>
        <v>0</v>
      </c>
      <c r="AG462">
        <f>IF(metadata!G462="",FALSE,TRUE)</f>
        <v>0</v>
      </c>
      <c r="AH462">
        <f>IF(metadata!H462="",FALSE,TRUE)</f>
        <v>0</v>
      </c>
      <c r="AI462">
        <f>OR(AND(IF(metadata!I462="",FALSE,TRUE),OR(exact(metadata!I462,"missing: not collected"),exact(metadata!I462,"missing: not provided"),exact(metadata!I462,"missing: restricted access"))),AND(IF(metadata!I462="",FALSE,TRUE),OR(exact(metadata!I462,"air"),exact(metadata!I462,"built environment"),exact(metadata!I462,"host-associated"),exact(metadata!I462,"human-associated"),exact(metadata!I462,"human-skin"),exact(metadata!I462,"human-oral"),exact(metadata!I462,"human-gut"),exact(metadata!I462,"human-vaginal"),exact(metadata!I462,"microbial mat/biofilm"),exact(metadata!I462,"misc environment"),exact(metadata!I462,"plant-associated"),exact(metadata!I462,"sediment"),exact(metadata!I462,"soil"),exact(metadata!I462,"wastewater/sludge"),exact(metadata!I462,"water"))))</f>
        <v>0</v>
      </c>
      <c r="AJ462">
        <f>IF(metadata!J462="",FALSE,TRUE)</f>
        <v>0</v>
      </c>
      <c r="AK462">
        <f>OR(AND(IF(metadata!K462="",FALSE,TRUE),OR(exact(metadata!K462,"missing: not collected"),exact(metadata!K462,"missing: not provided"),exact(metadata!K462,"missing: restricted access"))),AND(IF(metadata!K462="",FALSE,ISNUMBER(VALUE(metadata!K462))),metadata!K462&gt;=-90.00,metadata!K462&lt;=90.00))</f>
        <v>0</v>
      </c>
      <c r="AL462">
        <f>OR(AND(IF(metadata!L462="",FALSE,TRUE),OR(exact(metadata!L462,"missing: not collected"),exact(metadata!L462,"missing: not provided"),exact(metadata!L462,"missing: restricted access"))),AND(IF(metadata!L462="",FALSE,ISNUMBER(VALUE(metadata!L462))),metadata!L462&gt;=-180.00,metadata!L462&lt;=180.00))</f>
        <v>0</v>
      </c>
      <c r="AM462">
        <f>IF(metadata!M462="",FALSE,TRUE)</f>
        <v>0</v>
      </c>
      <c r="AN462">
        <f>OR(AND(IF(metadata!N462="",FALSE,TRUE),OR(exact(metadata!N462,"missing: not collected"),exact(metadata!N462,"missing: not provided"),exact(metadata!N462,"missing: restricted access"))),AND(IF(metadata!N462="",FALSE,TRUE),OR(exact(metadata!N462,"TRUE"),exact(metadata!N462,"FALSE"))))</f>
        <v>0</v>
      </c>
      <c r="AO462">
        <f>IF(metadata!O462="",FALSE,TRUE)</f>
        <v>0</v>
      </c>
      <c r="AP462">
        <f>OR(AND(IF(metadata!P462="",FALSE,TRUE),OR(exact(metadata!P462,"missing: not collected"),exact(metadata!P462,"missing: not provided"))),AND(IF(metadata!P462="",FALSE,IF(ISERROR(INT(metadata!P462)),FALSE,INT(metadata!P462)=metadata!P462)),metadata!P462&gt;0))</f>
        <v>0</v>
      </c>
      <c r="AQ462">
        <f>IF(metadata!Q462="",FALSE,TRUE)</f>
        <v>0</v>
      </c>
    </row>
    <row r="463" spans="1:43">
      <c r="A463" s="5">
        <f>IF(B463=" "," ",HYPERLINK(CONCATENATE("#metadata!",ADDRESS(INDEX($W$2:$W$1001,MATCH(ROWS($U$2:U463),$U$2:$U$1001,0),0),1)),INDEX($Z$2:$Z$1001,MATCH(ROWS($U$2:U463),$U$2:$U$1001,0),0)))</f>
        <v>0</v>
      </c>
      <c r="B463" s="4">
        <f>IF(OR(INDEX($V$2:$V$1001,MATCH(ROWS($U$2:U463),$U$2:$U$1001,0),1)&gt;=100000,INDEX($AB$1005:$AQ$1005,1,MATCH(COLUMNS($AB$1006:AB1006),$AB$1006:$AQ$1006,0))&gt;=100000), " ",IF(INDEX($AB$2:$AQ$1001,MATCH(ROWS($U$2:U463),$U$2:$U$1001,0),MATCH(COLUMNS($AB$1006:AB1006),$AB$1006:$AQ$1006,0)), HYPERLINK("#",""), HYPERLINK(CONCATENATE("#metadata!", ADDRESS(INDEX($W$2:$W$1001,MATCH(ROWS($U$2:U463),$U$2:$U$1001,0),0), INDEX($AB$1004:$AQ$1004,1,MATCH(COLUMNS($AB$1006:AB1006),$AB$1006:$AQ$1006,0)))),"Fix")))</f>
        <v>0</v>
      </c>
      <c r="C463" s="4">
        <f>IF(OR(INDEX($V$2:$V$1001,MATCH(ROWS($U$2:U463),$U$2:$U$1001,0),1)&gt;=100000,INDEX($AB$1005:$AQ$1005,1,MATCH(COLUMNS($AB$1006:AC1006),$AB$1006:$AQ$1006,0))&gt;=100000), " ",IF(INDEX($AB$2:$AQ$1001,MATCH(ROWS($U$2:U463),$U$2:$U$1001,0),MATCH(COLUMNS($AB$1006:AC1006),$AB$1006:$AQ$1006,0)), HYPERLINK("#",""), HYPERLINK(CONCATENATE("#metadata!", ADDRESS(INDEX($W$2:$W$1001,MATCH(ROWS($U$2:U463),$U$2:$U$1001,0),0), INDEX($AB$1004:$AQ$1004,1,MATCH(COLUMNS($AB$1006:AC1006),$AB$1006:$AQ$1006,0)))),"Fix")))</f>
        <v>0</v>
      </c>
      <c r="D463" s="4">
        <f>IF(OR(INDEX($V$2:$V$1001,MATCH(ROWS($U$2:U463),$U$2:$U$1001,0),1)&gt;=100000,INDEX($AB$1005:$AQ$1005,1,MATCH(COLUMNS($AB$1006:AD1006),$AB$1006:$AQ$1006,0))&gt;=100000), " ",IF(INDEX($AB$2:$AQ$1001,MATCH(ROWS($U$2:U463),$U$2:$U$1001,0),MATCH(COLUMNS($AB$1006:AD1006),$AB$1006:$AQ$1006,0)), HYPERLINK("#",""), HYPERLINK(CONCATENATE("#metadata!", ADDRESS(INDEX($W$2:$W$1001,MATCH(ROWS($U$2:U463),$U$2:$U$1001,0),0), INDEX($AB$1004:$AQ$1004,1,MATCH(COLUMNS($AB$1006:AD1006),$AB$1006:$AQ$1006,0)))),"Fix")))</f>
        <v>0</v>
      </c>
      <c r="E463" s="4">
        <f>IF(OR(INDEX($V$2:$V$1001,MATCH(ROWS($U$2:U463),$U$2:$U$1001,0),1)&gt;=100000,INDEX($AB$1005:$AQ$1005,1,MATCH(COLUMNS($AB$1006:AE1006),$AB$1006:$AQ$1006,0))&gt;=100000), " ",IF(INDEX($AB$2:$AQ$1001,MATCH(ROWS($U$2:U463),$U$2:$U$1001,0),MATCH(COLUMNS($AB$1006:AE1006),$AB$1006:$AQ$1006,0)), HYPERLINK("#",""), HYPERLINK(CONCATENATE("#metadata!", ADDRESS(INDEX($W$2:$W$1001,MATCH(ROWS($U$2:U463),$U$2:$U$1001,0),0), INDEX($AB$1004:$AQ$1004,1,MATCH(COLUMNS($AB$1006:AE1006),$AB$1006:$AQ$1006,0)))),"Fix")))</f>
        <v>0</v>
      </c>
      <c r="F463" s="4">
        <f>IF(OR(INDEX($V$2:$V$1001,MATCH(ROWS($U$2:U463),$U$2:$U$1001,0),1)&gt;=100000,INDEX($AB$1005:$AQ$1005,1,MATCH(COLUMNS($AB$1006:AF1006),$AB$1006:$AQ$1006,0))&gt;=100000), " ",IF(INDEX($AB$2:$AQ$1001,MATCH(ROWS($U$2:U463),$U$2:$U$1001,0),MATCH(COLUMNS($AB$1006:AF1006),$AB$1006:$AQ$1006,0)), HYPERLINK("#",""), HYPERLINK(CONCATENATE("#metadata!", ADDRESS(INDEX($W$2:$W$1001,MATCH(ROWS($U$2:U463),$U$2:$U$1001,0),0), INDEX($AB$1004:$AQ$1004,1,MATCH(COLUMNS($AB$1006:AF1006),$AB$1006:$AQ$1006,0)))),"Fix")))</f>
        <v>0</v>
      </c>
      <c r="G463" s="4">
        <f>IF(OR(INDEX($V$2:$V$1001,MATCH(ROWS($U$2:U463),$U$2:$U$1001,0),1)&gt;=100000,INDEX($AB$1005:$AQ$1005,1,MATCH(COLUMNS($AB$1006:AG1006),$AB$1006:$AQ$1006,0))&gt;=100000), " ",IF(INDEX($AB$2:$AQ$1001,MATCH(ROWS($U$2:U463),$U$2:$U$1001,0),MATCH(COLUMNS($AB$1006:AG1006),$AB$1006:$AQ$1006,0)), HYPERLINK("#",""), HYPERLINK(CONCATENATE("#metadata!", ADDRESS(INDEX($W$2:$W$1001,MATCH(ROWS($U$2:U463),$U$2:$U$1001,0),0), INDEX($AB$1004:$AQ$1004,1,MATCH(COLUMNS($AB$1006:AG1006),$AB$1006:$AQ$1006,0)))),"Fix")))</f>
        <v>0</v>
      </c>
      <c r="H463" s="4">
        <f>IF(OR(INDEX($V$2:$V$1001,MATCH(ROWS($U$2:U463),$U$2:$U$1001,0),1)&gt;=100000,INDEX($AB$1005:$AQ$1005,1,MATCH(COLUMNS($AB$1006:AH1006),$AB$1006:$AQ$1006,0))&gt;=100000), " ",IF(INDEX($AB$2:$AQ$1001,MATCH(ROWS($U$2:U463),$U$2:$U$1001,0),MATCH(COLUMNS($AB$1006:AH1006),$AB$1006:$AQ$1006,0)), HYPERLINK("#",""), HYPERLINK(CONCATENATE("#metadata!", ADDRESS(INDEX($W$2:$W$1001,MATCH(ROWS($U$2:U463),$U$2:$U$1001,0),0), INDEX($AB$1004:$AQ$1004,1,MATCH(COLUMNS($AB$1006:AH1006),$AB$1006:$AQ$1006,0)))),"Fix")))</f>
        <v>0</v>
      </c>
      <c r="I463" s="4">
        <f>IF(OR(INDEX($V$2:$V$1001,MATCH(ROWS($U$2:U463),$U$2:$U$1001,0),1)&gt;=100000,INDEX($AB$1005:$AQ$1005,1,MATCH(COLUMNS($AB$1006:AI1006),$AB$1006:$AQ$1006,0))&gt;=100000), " ",IF(INDEX($AB$2:$AQ$1001,MATCH(ROWS($U$2:U463),$U$2:$U$1001,0),MATCH(COLUMNS($AB$1006:AI1006),$AB$1006:$AQ$1006,0)), HYPERLINK("#",""), HYPERLINK(CONCATENATE("#metadata!", ADDRESS(INDEX($W$2:$W$1001,MATCH(ROWS($U$2:U463),$U$2:$U$1001,0),0), INDEX($AB$1004:$AQ$1004,1,MATCH(COLUMNS($AB$1006:AI1006),$AB$1006:$AQ$1006,0)))),"Fix")))</f>
        <v>0</v>
      </c>
      <c r="J463" s="4">
        <f>IF(OR(INDEX($V$2:$V$1001,MATCH(ROWS($U$2:U463),$U$2:$U$1001,0),1)&gt;=100000,INDEX($AB$1005:$AQ$1005,1,MATCH(COLUMNS($AB$1006:AJ1006),$AB$1006:$AQ$1006,0))&gt;=100000), " ",IF(INDEX($AB$2:$AQ$1001,MATCH(ROWS($U$2:U463),$U$2:$U$1001,0),MATCH(COLUMNS($AB$1006:AJ1006),$AB$1006:$AQ$1006,0)), HYPERLINK("#",""), HYPERLINK(CONCATENATE("#metadata!", ADDRESS(INDEX($W$2:$W$1001,MATCH(ROWS($U$2:U463),$U$2:$U$1001,0),0), INDEX($AB$1004:$AQ$1004,1,MATCH(COLUMNS($AB$1006:AJ1006),$AB$1006:$AQ$1006,0)))),"Fix")))</f>
        <v>0</v>
      </c>
      <c r="K463" s="4">
        <f>IF(OR(INDEX($V$2:$V$1001,MATCH(ROWS($U$2:U463),$U$2:$U$1001,0),1)&gt;=100000,INDEX($AB$1005:$AQ$1005,1,MATCH(COLUMNS($AB$1006:AK1006),$AB$1006:$AQ$1006,0))&gt;=100000), " ",IF(INDEX($AB$2:$AQ$1001,MATCH(ROWS($U$2:U463),$U$2:$U$1001,0),MATCH(COLUMNS($AB$1006:AK1006),$AB$1006:$AQ$1006,0)), HYPERLINK("#",""), HYPERLINK(CONCATENATE("#metadata!", ADDRESS(INDEX($W$2:$W$1001,MATCH(ROWS($U$2:U463),$U$2:$U$1001,0),0), INDEX($AB$1004:$AQ$1004,1,MATCH(COLUMNS($AB$1006:AK1006),$AB$1006:$AQ$1006,0)))),"Fix")))</f>
        <v>0</v>
      </c>
      <c r="L463" s="4">
        <f>IF(OR(INDEX($V$2:$V$1001,MATCH(ROWS($U$2:U463),$U$2:$U$1001,0),1)&gt;=100000,INDEX($AB$1005:$AQ$1005,1,MATCH(COLUMNS($AB$1006:AL1006),$AB$1006:$AQ$1006,0))&gt;=100000), " ",IF(INDEX($AB$2:$AQ$1001,MATCH(ROWS($U$2:U463),$U$2:$U$1001,0),MATCH(COLUMNS($AB$1006:AL1006),$AB$1006:$AQ$1006,0)), HYPERLINK("#",""), HYPERLINK(CONCATENATE("#metadata!", ADDRESS(INDEX($W$2:$W$1001,MATCH(ROWS($U$2:U463),$U$2:$U$1001,0),0), INDEX($AB$1004:$AQ$1004,1,MATCH(COLUMNS($AB$1006:AL1006),$AB$1006:$AQ$1006,0)))),"Fix")))</f>
        <v>0</v>
      </c>
      <c r="M463" s="4">
        <f>IF(OR(INDEX($V$2:$V$1001,MATCH(ROWS($U$2:U463),$U$2:$U$1001,0),1)&gt;=100000,INDEX($AB$1005:$AQ$1005,1,MATCH(COLUMNS($AB$1006:AM1006),$AB$1006:$AQ$1006,0))&gt;=100000), " ",IF(INDEX($AB$2:$AQ$1001,MATCH(ROWS($U$2:U463),$U$2:$U$1001,0),MATCH(COLUMNS($AB$1006:AM1006),$AB$1006:$AQ$1006,0)), HYPERLINK("#",""), HYPERLINK(CONCATENATE("#metadata!", ADDRESS(INDEX($W$2:$W$1001,MATCH(ROWS($U$2:U463),$U$2:$U$1001,0),0), INDEX($AB$1004:$AQ$1004,1,MATCH(COLUMNS($AB$1006:AM1006),$AB$1006:$AQ$1006,0)))),"Fix")))</f>
        <v>0</v>
      </c>
      <c r="N463" s="4">
        <f>IF(OR(INDEX($V$2:$V$1001,MATCH(ROWS($U$2:U463),$U$2:$U$1001,0),1)&gt;=100000,INDEX($AB$1005:$AQ$1005,1,MATCH(COLUMNS($AB$1006:AN1006),$AB$1006:$AQ$1006,0))&gt;=100000), " ",IF(INDEX($AB$2:$AQ$1001,MATCH(ROWS($U$2:U463),$U$2:$U$1001,0),MATCH(COLUMNS($AB$1006:AN1006),$AB$1006:$AQ$1006,0)), HYPERLINK("#",""), HYPERLINK(CONCATENATE("#metadata!", ADDRESS(INDEX($W$2:$W$1001,MATCH(ROWS($U$2:U463),$U$2:$U$1001,0),0), INDEX($AB$1004:$AQ$1004,1,MATCH(COLUMNS($AB$1006:AN1006),$AB$1006:$AQ$1006,0)))),"Fix")))</f>
        <v>0</v>
      </c>
      <c r="O463" s="4">
        <f>IF(OR(INDEX($V$2:$V$1001,MATCH(ROWS($U$2:U463),$U$2:$U$1001,0),1)&gt;=100000,INDEX($AB$1005:$AQ$1005,1,MATCH(COLUMNS($AB$1006:AO1006),$AB$1006:$AQ$1006,0))&gt;=100000), " ",IF(INDEX($AB$2:$AQ$1001,MATCH(ROWS($U$2:U463),$U$2:$U$1001,0),MATCH(COLUMNS($AB$1006:AO1006),$AB$1006:$AQ$1006,0)), HYPERLINK("#",""), HYPERLINK(CONCATENATE("#metadata!", ADDRESS(INDEX($W$2:$W$1001,MATCH(ROWS($U$2:U463),$U$2:$U$1001,0),0), INDEX($AB$1004:$AQ$1004,1,MATCH(COLUMNS($AB$1006:AO1006),$AB$1006:$AQ$1006,0)))),"Fix")))</f>
        <v>0</v>
      </c>
      <c r="P463" s="4">
        <f>IF(OR(INDEX($V$2:$V$1001,MATCH(ROWS($U$2:U463),$U$2:$U$1001,0),1)&gt;=100000,INDEX($AB$1005:$AQ$1005,1,MATCH(COLUMNS($AB$1006:AP1006),$AB$1006:$AQ$1006,0))&gt;=100000), " ",IF(INDEX($AB$2:$AQ$1001,MATCH(ROWS($U$2:U463),$U$2:$U$1001,0),MATCH(COLUMNS($AB$1006:AP1006),$AB$1006:$AQ$1006,0)), HYPERLINK("#",""), HYPERLINK(CONCATENATE("#metadata!", ADDRESS(INDEX($W$2:$W$1001,MATCH(ROWS($U$2:U463),$U$2:$U$1001,0),0), INDEX($AB$1004:$AQ$1004,1,MATCH(COLUMNS($AB$1006:AP1006),$AB$1006:$AQ$1006,0)))),"Fix")))</f>
        <v>0</v>
      </c>
      <c r="Q463" s="4">
        <f>IF(OR(INDEX($V$2:$V$1001,MATCH(ROWS($U$2:U463),$U$2:$U$1001,0),1)&gt;=100000,INDEX($AB$1005:$AQ$1005,1,MATCH(COLUMNS($AB$1006:AQ1006),$AB$1006:$AQ$1006,0))&gt;=100000), " ",IF(INDEX($AB$2:$AQ$1001,MATCH(ROWS($U$2:U463),$U$2:$U$1001,0),MATCH(COLUMNS($AB$1006:AQ1006),$AB$1006:$AQ$1006,0)), HYPERLINK("#",""), HYPERLINK(CONCATENATE("#metadata!", ADDRESS(INDEX($W$2:$W$1001,MATCH(ROWS($U$2:U463),$U$2:$U$1001,0),0), INDEX($AB$1004:$AQ$1004,1,MATCH(COLUMNS($AB$1006:AQ1006),$AB$1006:$AQ$1006,0)))),"Fix")))</f>
        <v>0</v>
      </c>
      <c r="U463">
        <v>0</v>
      </c>
      <c r="V463">
        <v>0</v>
      </c>
      <c r="W463">
        <v>0</v>
      </c>
      <c r="X463">
        <f>IF(Y463,TRUE,AND(AB463:AQ463))</f>
        <v>0</v>
      </c>
      <c r="Y463">
        <f>COUNTBLANK(metadata!B463:Q463)=COLUMNS(metadata!B463:Q463)</f>
        <v>0</v>
      </c>
      <c r="Z463">
        <v>0</v>
      </c>
      <c r="AB463">
        <f>AND(IF(metadata!B463="",FALSE,TRUE),COUNTIF(metadata!B:B, metadata!B463) = 1,NOT(ISERROR(SUMPRODUCT(SEARCH(MID(metadata!B463,ROW(INDIRECT("1:"&amp;LEN(metadata!B463))), 1),"0123456789abcdefghijklmnopqrstuvwxyzABCDEFGHIJKLMNOPQRSTUVWXYZ.")))))</f>
        <v>0</v>
      </c>
      <c r="AC463">
        <f>OR(AND(IF(metadata!C463="",FALSE,TRUE),OR(exact(metadata!C463,"missing: not collected"),exact(metadata!C463,"missing: not provided"),exact(metadata!C463,"missing: restricted access"))),AND(IF(metadata!C463="",FALSE,TRUE),AND(AND(IFERROR(INT(LEFT(metadata!C463,4))&gt;1900,FALSE),IFERROR(INT(LEFT(metadata!C463,4))&lt;=YEAR(NOW()),FALSE)), OR(MID(metadata!C463,5,1)="", AND(AND(MID(metadata!C463,5,1)="-",IFERROR(INT(MID(metadata!C463,6,1))&gt;=0,FALSE),IFERROR(INT(MID(metadata!C463,6,1))&lt;=1,FALSE),NOT(MID(metadata!C463,7,1)=""),IFERROR(INT(MID(metadata!C463,6,2))&gt;=1,FALSE),IFERROR(INT(MID(metadata!C463,6,2))&lt;=12,FALSE)), OR(MID(metadata!C463,8,1)="", AND(AND(MID(metadata!C463,8,1)="-",IFERROR(INT(MID(metadata!C463,9,1))&gt;=0,FALSE),IFERROR(INT(MID(metadata!C463,9,1))&lt;=3,FALSE),NOT(MID(metadata!C463,10,1)=""),IFERROR(INT(MID(metadata!C463,9,2))&gt;=1,FALSE),IFERROR(INT(MID(metadata!C463,9,2))&lt;=31,FALSE)), OR(MID(metadata!C463,11,1)="", AND(AND(MID(metadata!C463,11,1)=" ",IFERROR(INT(MID(metadata!C463,12,1))&gt;=0,FALSE),IFERROR(INT(MID(metadata!C463,12,1))&lt;=2,FALSE),NOT(MID(metadata!C463,13,1)=""),IFERROR(INT(MID(metadata!C463,12,2))&gt;=0,FALSE),IFERROR(INT(MID(metadata!C463,12,2))&lt;=23,FALSE)), OR(MID(metadata!C463,14,1)="", AND(AND(MID(metadata!C463,14,1)=":",IFERROR(INT(MID(metadata!C463,15,1))&gt;=0,FALSE),IFERROR(INT(MID(metadata!C463,15,1))&lt;=5,FALSE),NOT(MID(metadata!C463,16,1)=""),IFERROR(INT(MID(metadata!C463,15,2))&gt;=0,FALSE),IFERROR(INT(MID(metadata!C463,15,2))&lt;=59,FALSE)), OR(MID(metadata!C463,17,1)="", AND(AND(MID(metadata!C463,17,1)=":",IFERROR(INT(MID(metadata!C463,18,1))&gt;=0,FALSE),IFERROR(INT(MID(metadata!C463,18,1))&lt;=5,FALSE),NOT(MID(metadata!C463,19,1)=""),IFERROR(INT(MID(metadata!C463,18,2))&gt;=0,FALSE),IFERROR(INT(MID(metadata!C463,18,2))&lt;=59,FALSE)), LEN(metadata!C463)&lt;=19)))))))))))))</f>
        <v>0</v>
      </c>
      <c r="AD463">
        <f>IF(metadata!D463="",FALSE,TRUE)</f>
        <v>0</v>
      </c>
      <c r="AE463">
        <f>OR(AND(IF(metadata!E463="",FALSE,TRUE),OR(exact(metadata!E463,"missing: not collected"),exact(metadata!E463,"missing: not provided"))),AND(IF(metadata!E463="",FALSE,TRUE),OR(exact(metadata!E463,"TRUE"),exact(metadata!E463,"FALSE"))))</f>
        <v>0</v>
      </c>
      <c r="AF463">
        <f>IF(metadata!F463="",FALSE,TRUE)</f>
        <v>0</v>
      </c>
      <c r="AG463">
        <f>IF(metadata!G463="",FALSE,TRUE)</f>
        <v>0</v>
      </c>
      <c r="AH463">
        <f>IF(metadata!H463="",FALSE,TRUE)</f>
        <v>0</v>
      </c>
      <c r="AI463">
        <f>OR(AND(IF(metadata!I463="",FALSE,TRUE),OR(exact(metadata!I463,"missing: not collected"),exact(metadata!I463,"missing: not provided"),exact(metadata!I463,"missing: restricted access"))),AND(IF(metadata!I463="",FALSE,TRUE),OR(exact(metadata!I463,"air"),exact(metadata!I463,"built environment"),exact(metadata!I463,"host-associated"),exact(metadata!I463,"human-associated"),exact(metadata!I463,"human-skin"),exact(metadata!I463,"human-oral"),exact(metadata!I463,"human-gut"),exact(metadata!I463,"human-vaginal"),exact(metadata!I463,"microbial mat/biofilm"),exact(metadata!I463,"misc environment"),exact(metadata!I463,"plant-associated"),exact(metadata!I463,"sediment"),exact(metadata!I463,"soil"),exact(metadata!I463,"wastewater/sludge"),exact(metadata!I463,"water"))))</f>
        <v>0</v>
      </c>
      <c r="AJ463">
        <f>IF(metadata!J463="",FALSE,TRUE)</f>
        <v>0</v>
      </c>
      <c r="AK463">
        <f>OR(AND(IF(metadata!K463="",FALSE,TRUE),OR(exact(metadata!K463,"missing: not collected"),exact(metadata!K463,"missing: not provided"),exact(metadata!K463,"missing: restricted access"))),AND(IF(metadata!K463="",FALSE,ISNUMBER(VALUE(metadata!K463))),metadata!K463&gt;=-90.00,metadata!K463&lt;=90.00))</f>
        <v>0</v>
      </c>
      <c r="AL463">
        <f>OR(AND(IF(metadata!L463="",FALSE,TRUE),OR(exact(metadata!L463,"missing: not collected"),exact(metadata!L463,"missing: not provided"),exact(metadata!L463,"missing: restricted access"))),AND(IF(metadata!L463="",FALSE,ISNUMBER(VALUE(metadata!L463))),metadata!L463&gt;=-180.00,metadata!L463&lt;=180.00))</f>
        <v>0</v>
      </c>
      <c r="AM463">
        <f>IF(metadata!M463="",FALSE,TRUE)</f>
        <v>0</v>
      </c>
      <c r="AN463">
        <f>OR(AND(IF(metadata!N463="",FALSE,TRUE),OR(exact(metadata!N463,"missing: not collected"),exact(metadata!N463,"missing: not provided"),exact(metadata!N463,"missing: restricted access"))),AND(IF(metadata!N463="",FALSE,TRUE),OR(exact(metadata!N463,"TRUE"),exact(metadata!N463,"FALSE"))))</f>
        <v>0</v>
      </c>
      <c r="AO463">
        <f>IF(metadata!O463="",FALSE,TRUE)</f>
        <v>0</v>
      </c>
      <c r="AP463">
        <f>OR(AND(IF(metadata!P463="",FALSE,TRUE),OR(exact(metadata!P463,"missing: not collected"),exact(metadata!P463,"missing: not provided"))),AND(IF(metadata!P463="",FALSE,IF(ISERROR(INT(metadata!P463)),FALSE,INT(metadata!P463)=metadata!P463)),metadata!P463&gt;0))</f>
        <v>0</v>
      </c>
      <c r="AQ463">
        <f>IF(metadata!Q463="",FALSE,TRUE)</f>
        <v>0</v>
      </c>
    </row>
    <row r="464" spans="1:43">
      <c r="A464" s="5">
        <f>IF(B464=" "," ",HYPERLINK(CONCATENATE("#metadata!",ADDRESS(INDEX($W$2:$W$1001,MATCH(ROWS($U$2:U464),$U$2:$U$1001,0),0),1)),INDEX($Z$2:$Z$1001,MATCH(ROWS($U$2:U464),$U$2:$U$1001,0),0)))</f>
        <v>0</v>
      </c>
      <c r="B464" s="4">
        <f>IF(OR(INDEX($V$2:$V$1001,MATCH(ROWS($U$2:U464),$U$2:$U$1001,0),1)&gt;=100000,INDEX($AB$1005:$AQ$1005,1,MATCH(COLUMNS($AB$1006:AB1006),$AB$1006:$AQ$1006,0))&gt;=100000), " ",IF(INDEX($AB$2:$AQ$1001,MATCH(ROWS($U$2:U464),$U$2:$U$1001,0),MATCH(COLUMNS($AB$1006:AB1006),$AB$1006:$AQ$1006,0)), HYPERLINK("#",""), HYPERLINK(CONCATENATE("#metadata!", ADDRESS(INDEX($W$2:$W$1001,MATCH(ROWS($U$2:U464),$U$2:$U$1001,0),0), INDEX($AB$1004:$AQ$1004,1,MATCH(COLUMNS($AB$1006:AB1006),$AB$1006:$AQ$1006,0)))),"Fix")))</f>
        <v>0</v>
      </c>
      <c r="C464" s="4">
        <f>IF(OR(INDEX($V$2:$V$1001,MATCH(ROWS($U$2:U464),$U$2:$U$1001,0),1)&gt;=100000,INDEX($AB$1005:$AQ$1005,1,MATCH(COLUMNS($AB$1006:AC1006),$AB$1006:$AQ$1006,0))&gt;=100000), " ",IF(INDEX($AB$2:$AQ$1001,MATCH(ROWS($U$2:U464),$U$2:$U$1001,0),MATCH(COLUMNS($AB$1006:AC1006),$AB$1006:$AQ$1006,0)), HYPERLINK("#",""), HYPERLINK(CONCATENATE("#metadata!", ADDRESS(INDEX($W$2:$W$1001,MATCH(ROWS($U$2:U464),$U$2:$U$1001,0),0), INDEX($AB$1004:$AQ$1004,1,MATCH(COLUMNS($AB$1006:AC1006),$AB$1006:$AQ$1006,0)))),"Fix")))</f>
        <v>0</v>
      </c>
      <c r="D464" s="4">
        <f>IF(OR(INDEX($V$2:$V$1001,MATCH(ROWS($U$2:U464),$U$2:$U$1001,0),1)&gt;=100000,INDEX($AB$1005:$AQ$1005,1,MATCH(COLUMNS($AB$1006:AD1006),$AB$1006:$AQ$1006,0))&gt;=100000), " ",IF(INDEX($AB$2:$AQ$1001,MATCH(ROWS($U$2:U464),$U$2:$U$1001,0),MATCH(COLUMNS($AB$1006:AD1006),$AB$1006:$AQ$1006,0)), HYPERLINK("#",""), HYPERLINK(CONCATENATE("#metadata!", ADDRESS(INDEX($W$2:$W$1001,MATCH(ROWS($U$2:U464),$U$2:$U$1001,0),0), INDEX($AB$1004:$AQ$1004,1,MATCH(COLUMNS($AB$1006:AD1006),$AB$1006:$AQ$1006,0)))),"Fix")))</f>
        <v>0</v>
      </c>
      <c r="E464" s="4">
        <f>IF(OR(INDEX($V$2:$V$1001,MATCH(ROWS($U$2:U464),$U$2:$U$1001,0),1)&gt;=100000,INDEX($AB$1005:$AQ$1005,1,MATCH(COLUMNS($AB$1006:AE1006),$AB$1006:$AQ$1006,0))&gt;=100000), " ",IF(INDEX($AB$2:$AQ$1001,MATCH(ROWS($U$2:U464),$U$2:$U$1001,0),MATCH(COLUMNS($AB$1006:AE1006),$AB$1006:$AQ$1006,0)), HYPERLINK("#",""), HYPERLINK(CONCATENATE("#metadata!", ADDRESS(INDEX($W$2:$W$1001,MATCH(ROWS($U$2:U464),$U$2:$U$1001,0),0), INDEX($AB$1004:$AQ$1004,1,MATCH(COLUMNS($AB$1006:AE1006),$AB$1006:$AQ$1006,0)))),"Fix")))</f>
        <v>0</v>
      </c>
      <c r="F464" s="4">
        <f>IF(OR(INDEX($V$2:$V$1001,MATCH(ROWS($U$2:U464),$U$2:$U$1001,0),1)&gt;=100000,INDEX($AB$1005:$AQ$1005,1,MATCH(COLUMNS($AB$1006:AF1006),$AB$1006:$AQ$1006,0))&gt;=100000), " ",IF(INDEX($AB$2:$AQ$1001,MATCH(ROWS($U$2:U464),$U$2:$U$1001,0),MATCH(COLUMNS($AB$1006:AF1006),$AB$1006:$AQ$1006,0)), HYPERLINK("#",""), HYPERLINK(CONCATENATE("#metadata!", ADDRESS(INDEX($W$2:$W$1001,MATCH(ROWS($U$2:U464),$U$2:$U$1001,0),0), INDEX($AB$1004:$AQ$1004,1,MATCH(COLUMNS($AB$1006:AF1006),$AB$1006:$AQ$1006,0)))),"Fix")))</f>
        <v>0</v>
      </c>
      <c r="G464" s="4">
        <f>IF(OR(INDEX($V$2:$V$1001,MATCH(ROWS($U$2:U464),$U$2:$U$1001,0),1)&gt;=100000,INDEX($AB$1005:$AQ$1005,1,MATCH(COLUMNS($AB$1006:AG1006),$AB$1006:$AQ$1006,0))&gt;=100000), " ",IF(INDEX($AB$2:$AQ$1001,MATCH(ROWS($U$2:U464),$U$2:$U$1001,0),MATCH(COLUMNS($AB$1006:AG1006),$AB$1006:$AQ$1006,0)), HYPERLINK("#",""), HYPERLINK(CONCATENATE("#metadata!", ADDRESS(INDEX($W$2:$W$1001,MATCH(ROWS($U$2:U464),$U$2:$U$1001,0),0), INDEX($AB$1004:$AQ$1004,1,MATCH(COLUMNS($AB$1006:AG1006),$AB$1006:$AQ$1006,0)))),"Fix")))</f>
        <v>0</v>
      </c>
      <c r="H464" s="4">
        <f>IF(OR(INDEX($V$2:$V$1001,MATCH(ROWS($U$2:U464),$U$2:$U$1001,0),1)&gt;=100000,INDEX($AB$1005:$AQ$1005,1,MATCH(COLUMNS($AB$1006:AH1006),$AB$1006:$AQ$1006,0))&gt;=100000), " ",IF(INDEX($AB$2:$AQ$1001,MATCH(ROWS($U$2:U464),$U$2:$U$1001,0),MATCH(COLUMNS($AB$1006:AH1006),$AB$1006:$AQ$1006,0)), HYPERLINK("#",""), HYPERLINK(CONCATENATE("#metadata!", ADDRESS(INDEX($W$2:$W$1001,MATCH(ROWS($U$2:U464),$U$2:$U$1001,0),0), INDEX($AB$1004:$AQ$1004,1,MATCH(COLUMNS($AB$1006:AH1006),$AB$1006:$AQ$1006,0)))),"Fix")))</f>
        <v>0</v>
      </c>
      <c r="I464" s="4">
        <f>IF(OR(INDEX($V$2:$V$1001,MATCH(ROWS($U$2:U464),$U$2:$U$1001,0),1)&gt;=100000,INDEX($AB$1005:$AQ$1005,1,MATCH(COLUMNS($AB$1006:AI1006),$AB$1006:$AQ$1006,0))&gt;=100000), " ",IF(INDEX($AB$2:$AQ$1001,MATCH(ROWS($U$2:U464),$U$2:$U$1001,0),MATCH(COLUMNS($AB$1006:AI1006),$AB$1006:$AQ$1006,0)), HYPERLINK("#",""), HYPERLINK(CONCATENATE("#metadata!", ADDRESS(INDEX($W$2:$W$1001,MATCH(ROWS($U$2:U464),$U$2:$U$1001,0),0), INDEX($AB$1004:$AQ$1004,1,MATCH(COLUMNS($AB$1006:AI1006),$AB$1006:$AQ$1006,0)))),"Fix")))</f>
        <v>0</v>
      </c>
      <c r="J464" s="4">
        <f>IF(OR(INDEX($V$2:$V$1001,MATCH(ROWS($U$2:U464),$U$2:$U$1001,0),1)&gt;=100000,INDEX($AB$1005:$AQ$1005,1,MATCH(COLUMNS($AB$1006:AJ1006),$AB$1006:$AQ$1006,0))&gt;=100000), " ",IF(INDEX($AB$2:$AQ$1001,MATCH(ROWS($U$2:U464),$U$2:$U$1001,0),MATCH(COLUMNS($AB$1006:AJ1006),$AB$1006:$AQ$1006,0)), HYPERLINK("#",""), HYPERLINK(CONCATENATE("#metadata!", ADDRESS(INDEX($W$2:$W$1001,MATCH(ROWS($U$2:U464),$U$2:$U$1001,0),0), INDEX($AB$1004:$AQ$1004,1,MATCH(COLUMNS($AB$1006:AJ1006),$AB$1006:$AQ$1006,0)))),"Fix")))</f>
        <v>0</v>
      </c>
      <c r="K464" s="4">
        <f>IF(OR(INDEX($V$2:$V$1001,MATCH(ROWS($U$2:U464),$U$2:$U$1001,0),1)&gt;=100000,INDEX($AB$1005:$AQ$1005,1,MATCH(COLUMNS($AB$1006:AK1006),$AB$1006:$AQ$1006,0))&gt;=100000), " ",IF(INDEX($AB$2:$AQ$1001,MATCH(ROWS($U$2:U464),$U$2:$U$1001,0),MATCH(COLUMNS($AB$1006:AK1006),$AB$1006:$AQ$1006,0)), HYPERLINK("#",""), HYPERLINK(CONCATENATE("#metadata!", ADDRESS(INDEX($W$2:$W$1001,MATCH(ROWS($U$2:U464),$U$2:$U$1001,0),0), INDEX($AB$1004:$AQ$1004,1,MATCH(COLUMNS($AB$1006:AK1006),$AB$1006:$AQ$1006,0)))),"Fix")))</f>
        <v>0</v>
      </c>
      <c r="L464" s="4">
        <f>IF(OR(INDEX($V$2:$V$1001,MATCH(ROWS($U$2:U464),$U$2:$U$1001,0),1)&gt;=100000,INDEX($AB$1005:$AQ$1005,1,MATCH(COLUMNS($AB$1006:AL1006),$AB$1006:$AQ$1006,0))&gt;=100000), " ",IF(INDEX($AB$2:$AQ$1001,MATCH(ROWS($U$2:U464),$U$2:$U$1001,0),MATCH(COLUMNS($AB$1006:AL1006),$AB$1006:$AQ$1006,0)), HYPERLINK("#",""), HYPERLINK(CONCATENATE("#metadata!", ADDRESS(INDEX($W$2:$W$1001,MATCH(ROWS($U$2:U464),$U$2:$U$1001,0),0), INDEX($AB$1004:$AQ$1004,1,MATCH(COLUMNS($AB$1006:AL1006),$AB$1006:$AQ$1006,0)))),"Fix")))</f>
        <v>0</v>
      </c>
      <c r="M464" s="4">
        <f>IF(OR(INDEX($V$2:$V$1001,MATCH(ROWS($U$2:U464),$U$2:$U$1001,0),1)&gt;=100000,INDEX($AB$1005:$AQ$1005,1,MATCH(COLUMNS($AB$1006:AM1006),$AB$1006:$AQ$1006,0))&gt;=100000), " ",IF(INDEX($AB$2:$AQ$1001,MATCH(ROWS($U$2:U464),$U$2:$U$1001,0),MATCH(COLUMNS($AB$1006:AM1006),$AB$1006:$AQ$1006,0)), HYPERLINK("#",""), HYPERLINK(CONCATENATE("#metadata!", ADDRESS(INDEX($W$2:$W$1001,MATCH(ROWS($U$2:U464),$U$2:$U$1001,0),0), INDEX($AB$1004:$AQ$1004,1,MATCH(COLUMNS($AB$1006:AM1006),$AB$1006:$AQ$1006,0)))),"Fix")))</f>
        <v>0</v>
      </c>
      <c r="N464" s="4">
        <f>IF(OR(INDEX($V$2:$V$1001,MATCH(ROWS($U$2:U464),$U$2:$U$1001,0),1)&gt;=100000,INDEX($AB$1005:$AQ$1005,1,MATCH(COLUMNS($AB$1006:AN1006),$AB$1006:$AQ$1006,0))&gt;=100000), " ",IF(INDEX($AB$2:$AQ$1001,MATCH(ROWS($U$2:U464),$U$2:$U$1001,0),MATCH(COLUMNS($AB$1006:AN1006),$AB$1006:$AQ$1006,0)), HYPERLINK("#",""), HYPERLINK(CONCATENATE("#metadata!", ADDRESS(INDEX($W$2:$W$1001,MATCH(ROWS($U$2:U464),$U$2:$U$1001,0),0), INDEX($AB$1004:$AQ$1004,1,MATCH(COLUMNS($AB$1006:AN1006),$AB$1006:$AQ$1006,0)))),"Fix")))</f>
        <v>0</v>
      </c>
      <c r="O464" s="4">
        <f>IF(OR(INDEX($V$2:$V$1001,MATCH(ROWS($U$2:U464),$U$2:$U$1001,0),1)&gt;=100000,INDEX($AB$1005:$AQ$1005,1,MATCH(COLUMNS($AB$1006:AO1006),$AB$1006:$AQ$1006,0))&gt;=100000), " ",IF(INDEX($AB$2:$AQ$1001,MATCH(ROWS($U$2:U464),$U$2:$U$1001,0),MATCH(COLUMNS($AB$1006:AO1006),$AB$1006:$AQ$1006,0)), HYPERLINK("#",""), HYPERLINK(CONCATENATE("#metadata!", ADDRESS(INDEX($W$2:$W$1001,MATCH(ROWS($U$2:U464),$U$2:$U$1001,0),0), INDEX($AB$1004:$AQ$1004,1,MATCH(COLUMNS($AB$1006:AO1006),$AB$1006:$AQ$1006,0)))),"Fix")))</f>
        <v>0</v>
      </c>
      <c r="P464" s="4">
        <f>IF(OR(INDEX($V$2:$V$1001,MATCH(ROWS($U$2:U464),$U$2:$U$1001,0),1)&gt;=100000,INDEX($AB$1005:$AQ$1005,1,MATCH(COLUMNS($AB$1006:AP1006),$AB$1006:$AQ$1006,0))&gt;=100000), " ",IF(INDEX($AB$2:$AQ$1001,MATCH(ROWS($U$2:U464),$U$2:$U$1001,0),MATCH(COLUMNS($AB$1006:AP1006),$AB$1006:$AQ$1006,0)), HYPERLINK("#",""), HYPERLINK(CONCATENATE("#metadata!", ADDRESS(INDEX($W$2:$W$1001,MATCH(ROWS($U$2:U464),$U$2:$U$1001,0),0), INDEX($AB$1004:$AQ$1004,1,MATCH(COLUMNS($AB$1006:AP1006),$AB$1006:$AQ$1006,0)))),"Fix")))</f>
        <v>0</v>
      </c>
      <c r="Q464" s="4">
        <f>IF(OR(INDEX($V$2:$V$1001,MATCH(ROWS($U$2:U464),$U$2:$U$1001,0),1)&gt;=100000,INDEX($AB$1005:$AQ$1005,1,MATCH(COLUMNS($AB$1006:AQ1006),$AB$1006:$AQ$1006,0))&gt;=100000), " ",IF(INDEX($AB$2:$AQ$1001,MATCH(ROWS($U$2:U464),$U$2:$U$1001,0),MATCH(COLUMNS($AB$1006:AQ1006),$AB$1006:$AQ$1006,0)), HYPERLINK("#",""), HYPERLINK(CONCATENATE("#metadata!", ADDRESS(INDEX($W$2:$W$1001,MATCH(ROWS($U$2:U464),$U$2:$U$1001,0),0), INDEX($AB$1004:$AQ$1004,1,MATCH(COLUMNS($AB$1006:AQ1006),$AB$1006:$AQ$1006,0)))),"Fix")))</f>
        <v>0</v>
      </c>
      <c r="U464">
        <v>0</v>
      </c>
      <c r="V464">
        <v>0</v>
      </c>
      <c r="W464">
        <v>0</v>
      </c>
      <c r="X464">
        <f>IF(Y464,TRUE,AND(AB464:AQ464))</f>
        <v>0</v>
      </c>
      <c r="Y464">
        <f>COUNTBLANK(metadata!B464:Q464)=COLUMNS(metadata!B464:Q464)</f>
        <v>0</v>
      </c>
      <c r="Z464">
        <v>0</v>
      </c>
      <c r="AB464">
        <f>AND(IF(metadata!B464="",FALSE,TRUE),COUNTIF(metadata!B:B, metadata!B464) = 1,NOT(ISERROR(SUMPRODUCT(SEARCH(MID(metadata!B464,ROW(INDIRECT("1:"&amp;LEN(metadata!B464))), 1),"0123456789abcdefghijklmnopqrstuvwxyzABCDEFGHIJKLMNOPQRSTUVWXYZ.")))))</f>
        <v>0</v>
      </c>
      <c r="AC464">
        <f>OR(AND(IF(metadata!C464="",FALSE,TRUE),OR(exact(metadata!C464,"missing: not collected"),exact(metadata!C464,"missing: not provided"),exact(metadata!C464,"missing: restricted access"))),AND(IF(metadata!C464="",FALSE,TRUE),AND(AND(IFERROR(INT(LEFT(metadata!C464,4))&gt;1900,FALSE),IFERROR(INT(LEFT(metadata!C464,4))&lt;=YEAR(NOW()),FALSE)), OR(MID(metadata!C464,5,1)="", AND(AND(MID(metadata!C464,5,1)="-",IFERROR(INT(MID(metadata!C464,6,1))&gt;=0,FALSE),IFERROR(INT(MID(metadata!C464,6,1))&lt;=1,FALSE),NOT(MID(metadata!C464,7,1)=""),IFERROR(INT(MID(metadata!C464,6,2))&gt;=1,FALSE),IFERROR(INT(MID(metadata!C464,6,2))&lt;=12,FALSE)), OR(MID(metadata!C464,8,1)="", AND(AND(MID(metadata!C464,8,1)="-",IFERROR(INT(MID(metadata!C464,9,1))&gt;=0,FALSE),IFERROR(INT(MID(metadata!C464,9,1))&lt;=3,FALSE),NOT(MID(metadata!C464,10,1)=""),IFERROR(INT(MID(metadata!C464,9,2))&gt;=1,FALSE),IFERROR(INT(MID(metadata!C464,9,2))&lt;=31,FALSE)), OR(MID(metadata!C464,11,1)="", AND(AND(MID(metadata!C464,11,1)=" ",IFERROR(INT(MID(metadata!C464,12,1))&gt;=0,FALSE),IFERROR(INT(MID(metadata!C464,12,1))&lt;=2,FALSE),NOT(MID(metadata!C464,13,1)=""),IFERROR(INT(MID(metadata!C464,12,2))&gt;=0,FALSE),IFERROR(INT(MID(metadata!C464,12,2))&lt;=23,FALSE)), OR(MID(metadata!C464,14,1)="", AND(AND(MID(metadata!C464,14,1)=":",IFERROR(INT(MID(metadata!C464,15,1))&gt;=0,FALSE),IFERROR(INT(MID(metadata!C464,15,1))&lt;=5,FALSE),NOT(MID(metadata!C464,16,1)=""),IFERROR(INT(MID(metadata!C464,15,2))&gt;=0,FALSE),IFERROR(INT(MID(metadata!C464,15,2))&lt;=59,FALSE)), OR(MID(metadata!C464,17,1)="", AND(AND(MID(metadata!C464,17,1)=":",IFERROR(INT(MID(metadata!C464,18,1))&gt;=0,FALSE),IFERROR(INT(MID(metadata!C464,18,1))&lt;=5,FALSE),NOT(MID(metadata!C464,19,1)=""),IFERROR(INT(MID(metadata!C464,18,2))&gt;=0,FALSE),IFERROR(INT(MID(metadata!C464,18,2))&lt;=59,FALSE)), LEN(metadata!C464)&lt;=19)))))))))))))</f>
        <v>0</v>
      </c>
      <c r="AD464">
        <f>IF(metadata!D464="",FALSE,TRUE)</f>
        <v>0</v>
      </c>
      <c r="AE464">
        <f>OR(AND(IF(metadata!E464="",FALSE,TRUE),OR(exact(metadata!E464,"missing: not collected"),exact(metadata!E464,"missing: not provided"))),AND(IF(metadata!E464="",FALSE,TRUE),OR(exact(metadata!E464,"TRUE"),exact(metadata!E464,"FALSE"))))</f>
        <v>0</v>
      </c>
      <c r="AF464">
        <f>IF(metadata!F464="",FALSE,TRUE)</f>
        <v>0</v>
      </c>
      <c r="AG464">
        <f>IF(metadata!G464="",FALSE,TRUE)</f>
        <v>0</v>
      </c>
      <c r="AH464">
        <f>IF(metadata!H464="",FALSE,TRUE)</f>
        <v>0</v>
      </c>
      <c r="AI464">
        <f>OR(AND(IF(metadata!I464="",FALSE,TRUE),OR(exact(metadata!I464,"missing: not collected"),exact(metadata!I464,"missing: not provided"),exact(metadata!I464,"missing: restricted access"))),AND(IF(metadata!I464="",FALSE,TRUE),OR(exact(metadata!I464,"air"),exact(metadata!I464,"built environment"),exact(metadata!I464,"host-associated"),exact(metadata!I464,"human-associated"),exact(metadata!I464,"human-skin"),exact(metadata!I464,"human-oral"),exact(metadata!I464,"human-gut"),exact(metadata!I464,"human-vaginal"),exact(metadata!I464,"microbial mat/biofilm"),exact(metadata!I464,"misc environment"),exact(metadata!I464,"plant-associated"),exact(metadata!I464,"sediment"),exact(metadata!I464,"soil"),exact(metadata!I464,"wastewater/sludge"),exact(metadata!I464,"water"))))</f>
        <v>0</v>
      </c>
      <c r="AJ464">
        <f>IF(metadata!J464="",FALSE,TRUE)</f>
        <v>0</v>
      </c>
      <c r="AK464">
        <f>OR(AND(IF(metadata!K464="",FALSE,TRUE),OR(exact(metadata!K464,"missing: not collected"),exact(metadata!K464,"missing: not provided"),exact(metadata!K464,"missing: restricted access"))),AND(IF(metadata!K464="",FALSE,ISNUMBER(VALUE(metadata!K464))),metadata!K464&gt;=-90.00,metadata!K464&lt;=90.00))</f>
        <v>0</v>
      </c>
      <c r="AL464">
        <f>OR(AND(IF(metadata!L464="",FALSE,TRUE),OR(exact(metadata!L464,"missing: not collected"),exact(metadata!L464,"missing: not provided"),exact(metadata!L464,"missing: restricted access"))),AND(IF(metadata!L464="",FALSE,ISNUMBER(VALUE(metadata!L464))),metadata!L464&gt;=-180.00,metadata!L464&lt;=180.00))</f>
        <v>0</v>
      </c>
      <c r="AM464">
        <f>IF(metadata!M464="",FALSE,TRUE)</f>
        <v>0</v>
      </c>
      <c r="AN464">
        <f>OR(AND(IF(metadata!N464="",FALSE,TRUE),OR(exact(metadata!N464,"missing: not collected"),exact(metadata!N464,"missing: not provided"),exact(metadata!N464,"missing: restricted access"))),AND(IF(metadata!N464="",FALSE,TRUE),OR(exact(metadata!N464,"TRUE"),exact(metadata!N464,"FALSE"))))</f>
        <v>0</v>
      </c>
      <c r="AO464">
        <f>IF(metadata!O464="",FALSE,TRUE)</f>
        <v>0</v>
      </c>
      <c r="AP464">
        <f>OR(AND(IF(metadata!P464="",FALSE,TRUE),OR(exact(metadata!P464,"missing: not collected"),exact(metadata!P464,"missing: not provided"))),AND(IF(metadata!P464="",FALSE,IF(ISERROR(INT(metadata!P464)),FALSE,INT(metadata!P464)=metadata!P464)),metadata!P464&gt;0))</f>
        <v>0</v>
      </c>
      <c r="AQ464">
        <f>IF(metadata!Q464="",FALSE,TRUE)</f>
        <v>0</v>
      </c>
    </row>
    <row r="465" spans="1:43">
      <c r="A465" s="5">
        <f>IF(B465=" "," ",HYPERLINK(CONCATENATE("#metadata!",ADDRESS(INDEX($W$2:$W$1001,MATCH(ROWS($U$2:U465),$U$2:$U$1001,0),0),1)),INDEX($Z$2:$Z$1001,MATCH(ROWS($U$2:U465),$U$2:$U$1001,0),0)))</f>
        <v>0</v>
      </c>
      <c r="B465" s="4">
        <f>IF(OR(INDEX($V$2:$V$1001,MATCH(ROWS($U$2:U465),$U$2:$U$1001,0),1)&gt;=100000,INDEX($AB$1005:$AQ$1005,1,MATCH(COLUMNS($AB$1006:AB1006),$AB$1006:$AQ$1006,0))&gt;=100000), " ",IF(INDEX($AB$2:$AQ$1001,MATCH(ROWS($U$2:U465),$U$2:$U$1001,0),MATCH(COLUMNS($AB$1006:AB1006),$AB$1006:$AQ$1006,0)), HYPERLINK("#",""), HYPERLINK(CONCATENATE("#metadata!", ADDRESS(INDEX($W$2:$W$1001,MATCH(ROWS($U$2:U465),$U$2:$U$1001,0),0), INDEX($AB$1004:$AQ$1004,1,MATCH(COLUMNS($AB$1006:AB1006),$AB$1006:$AQ$1006,0)))),"Fix")))</f>
        <v>0</v>
      </c>
      <c r="C465" s="4">
        <f>IF(OR(INDEX($V$2:$V$1001,MATCH(ROWS($U$2:U465),$U$2:$U$1001,0),1)&gt;=100000,INDEX($AB$1005:$AQ$1005,1,MATCH(COLUMNS($AB$1006:AC1006),$AB$1006:$AQ$1006,0))&gt;=100000), " ",IF(INDEX($AB$2:$AQ$1001,MATCH(ROWS($U$2:U465),$U$2:$U$1001,0),MATCH(COLUMNS($AB$1006:AC1006),$AB$1006:$AQ$1006,0)), HYPERLINK("#",""), HYPERLINK(CONCATENATE("#metadata!", ADDRESS(INDEX($W$2:$W$1001,MATCH(ROWS($U$2:U465),$U$2:$U$1001,0),0), INDEX($AB$1004:$AQ$1004,1,MATCH(COLUMNS($AB$1006:AC1006),$AB$1006:$AQ$1006,0)))),"Fix")))</f>
        <v>0</v>
      </c>
      <c r="D465" s="4">
        <f>IF(OR(INDEX($V$2:$V$1001,MATCH(ROWS($U$2:U465),$U$2:$U$1001,0),1)&gt;=100000,INDEX($AB$1005:$AQ$1005,1,MATCH(COLUMNS($AB$1006:AD1006),$AB$1006:$AQ$1006,0))&gt;=100000), " ",IF(INDEX($AB$2:$AQ$1001,MATCH(ROWS($U$2:U465),$U$2:$U$1001,0),MATCH(COLUMNS($AB$1006:AD1006),$AB$1006:$AQ$1006,0)), HYPERLINK("#",""), HYPERLINK(CONCATENATE("#metadata!", ADDRESS(INDEX($W$2:$W$1001,MATCH(ROWS($U$2:U465),$U$2:$U$1001,0),0), INDEX($AB$1004:$AQ$1004,1,MATCH(COLUMNS($AB$1006:AD1006),$AB$1006:$AQ$1006,0)))),"Fix")))</f>
        <v>0</v>
      </c>
      <c r="E465" s="4">
        <f>IF(OR(INDEX($V$2:$V$1001,MATCH(ROWS($U$2:U465),$U$2:$U$1001,0),1)&gt;=100000,INDEX($AB$1005:$AQ$1005,1,MATCH(COLUMNS($AB$1006:AE1006),$AB$1006:$AQ$1006,0))&gt;=100000), " ",IF(INDEX($AB$2:$AQ$1001,MATCH(ROWS($U$2:U465),$U$2:$U$1001,0),MATCH(COLUMNS($AB$1006:AE1006),$AB$1006:$AQ$1006,0)), HYPERLINK("#",""), HYPERLINK(CONCATENATE("#metadata!", ADDRESS(INDEX($W$2:$W$1001,MATCH(ROWS($U$2:U465),$U$2:$U$1001,0),0), INDEX($AB$1004:$AQ$1004,1,MATCH(COLUMNS($AB$1006:AE1006),$AB$1006:$AQ$1006,0)))),"Fix")))</f>
        <v>0</v>
      </c>
      <c r="F465" s="4">
        <f>IF(OR(INDEX($V$2:$V$1001,MATCH(ROWS($U$2:U465),$U$2:$U$1001,0),1)&gt;=100000,INDEX($AB$1005:$AQ$1005,1,MATCH(COLUMNS($AB$1006:AF1006),$AB$1006:$AQ$1006,0))&gt;=100000), " ",IF(INDEX($AB$2:$AQ$1001,MATCH(ROWS($U$2:U465),$U$2:$U$1001,0),MATCH(COLUMNS($AB$1006:AF1006),$AB$1006:$AQ$1006,0)), HYPERLINK("#",""), HYPERLINK(CONCATENATE("#metadata!", ADDRESS(INDEX($W$2:$W$1001,MATCH(ROWS($U$2:U465),$U$2:$U$1001,0),0), INDEX($AB$1004:$AQ$1004,1,MATCH(COLUMNS($AB$1006:AF1006),$AB$1006:$AQ$1006,0)))),"Fix")))</f>
        <v>0</v>
      </c>
      <c r="G465" s="4">
        <f>IF(OR(INDEX($V$2:$V$1001,MATCH(ROWS($U$2:U465),$U$2:$U$1001,0),1)&gt;=100000,INDEX($AB$1005:$AQ$1005,1,MATCH(COLUMNS($AB$1006:AG1006),$AB$1006:$AQ$1006,0))&gt;=100000), " ",IF(INDEX($AB$2:$AQ$1001,MATCH(ROWS($U$2:U465),$U$2:$U$1001,0),MATCH(COLUMNS($AB$1006:AG1006),$AB$1006:$AQ$1006,0)), HYPERLINK("#",""), HYPERLINK(CONCATENATE("#metadata!", ADDRESS(INDEX($W$2:$W$1001,MATCH(ROWS($U$2:U465),$U$2:$U$1001,0),0), INDEX($AB$1004:$AQ$1004,1,MATCH(COLUMNS($AB$1006:AG1006),$AB$1006:$AQ$1006,0)))),"Fix")))</f>
        <v>0</v>
      </c>
      <c r="H465" s="4">
        <f>IF(OR(INDEX($V$2:$V$1001,MATCH(ROWS($U$2:U465),$U$2:$U$1001,0),1)&gt;=100000,INDEX($AB$1005:$AQ$1005,1,MATCH(COLUMNS($AB$1006:AH1006),$AB$1006:$AQ$1006,0))&gt;=100000), " ",IF(INDEX($AB$2:$AQ$1001,MATCH(ROWS($U$2:U465),$U$2:$U$1001,0),MATCH(COLUMNS($AB$1006:AH1006),$AB$1006:$AQ$1006,0)), HYPERLINK("#",""), HYPERLINK(CONCATENATE("#metadata!", ADDRESS(INDEX($W$2:$W$1001,MATCH(ROWS($U$2:U465),$U$2:$U$1001,0),0), INDEX($AB$1004:$AQ$1004,1,MATCH(COLUMNS($AB$1006:AH1006),$AB$1006:$AQ$1006,0)))),"Fix")))</f>
        <v>0</v>
      </c>
      <c r="I465" s="4">
        <f>IF(OR(INDEX($V$2:$V$1001,MATCH(ROWS($U$2:U465),$U$2:$U$1001,0),1)&gt;=100000,INDEX($AB$1005:$AQ$1005,1,MATCH(COLUMNS($AB$1006:AI1006),$AB$1006:$AQ$1006,0))&gt;=100000), " ",IF(INDEX($AB$2:$AQ$1001,MATCH(ROWS($U$2:U465),$U$2:$U$1001,0),MATCH(COLUMNS($AB$1006:AI1006),$AB$1006:$AQ$1006,0)), HYPERLINK("#",""), HYPERLINK(CONCATENATE("#metadata!", ADDRESS(INDEX($W$2:$W$1001,MATCH(ROWS($U$2:U465),$U$2:$U$1001,0),0), INDEX($AB$1004:$AQ$1004,1,MATCH(COLUMNS($AB$1006:AI1006),$AB$1006:$AQ$1006,0)))),"Fix")))</f>
        <v>0</v>
      </c>
      <c r="J465" s="4">
        <f>IF(OR(INDEX($V$2:$V$1001,MATCH(ROWS($U$2:U465),$U$2:$U$1001,0),1)&gt;=100000,INDEX($AB$1005:$AQ$1005,1,MATCH(COLUMNS($AB$1006:AJ1006),$AB$1006:$AQ$1006,0))&gt;=100000), " ",IF(INDEX($AB$2:$AQ$1001,MATCH(ROWS($U$2:U465),$U$2:$U$1001,0),MATCH(COLUMNS($AB$1006:AJ1006),$AB$1006:$AQ$1006,0)), HYPERLINK("#",""), HYPERLINK(CONCATENATE("#metadata!", ADDRESS(INDEX($W$2:$W$1001,MATCH(ROWS($U$2:U465),$U$2:$U$1001,0),0), INDEX($AB$1004:$AQ$1004,1,MATCH(COLUMNS($AB$1006:AJ1006),$AB$1006:$AQ$1006,0)))),"Fix")))</f>
        <v>0</v>
      </c>
      <c r="K465" s="4">
        <f>IF(OR(INDEX($V$2:$V$1001,MATCH(ROWS($U$2:U465),$U$2:$U$1001,0),1)&gt;=100000,INDEX($AB$1005:$AQ$1005,1,MATCH(COLUMNS($AB$1006:AK1006),$AB$1006:$AQ$1006,0))&gt;=100000), " ",IF(INDEX($AB$2:$AQ$1001,MATCH(ROWS($U$2:U465),$U$2:$U$1001,0),MATCH(COLUMNS($AB$1006:AK1006),$AB$1006:$AQ$1006,0)), HYPERLINK("#",""), HYPERLINK(CONCATENATE("#metadata!", ADDRESS(INDEX($W$2:$W$1001,MATCH(ROWS($U$2:U465),$U$2:$U$1001,0),0), INDEX($AB$1004:$AQ$1004,1,MATCH(COLUMNS($AB$1006:AK1006),$AB$1006:$AQ$1006,0)))),"Fix")))</f>
        <v>0</v>
      </c>
      <c r="L465" s="4">
        <f>IF(OR(INDEX($V$2:$V$1001,MATCH(ROWS($U$2:U465),$U$2:$U$1001,0),1)&gt;=100000,INDEX($AB$1005:$AQ$1005,1,MATCH(COLUMNS($AB$1006:AL1006),$AB$1006:$AQ$1006,0))&gt;=100000), " ",IF(INDEX($AB$2:$AQ$1001,MATCH(ROWS($U$2:U465),$U$2:$U$1001,0),MATCH(COLUMNS($AB$1006:AL1006),$AB$1006:$AQ$1006,0)), HYPERLINK("#",""), HYPERLINK(CONCATENATE("#metadata!", ADDRESS(INDEX($W$2:$W$1001,MATCH(ROWS($U$2:U465),$U$2:$U$1001,0),0), INDEX($AB$1004:$AQ$1004,1,MATCH(COLUMNS($AB$1006:AL1006),$AB$1006:$AQ$1006,0)))),"Fix")))</f>
        <v>0</v>
      </c>
      <c r="M465" s="4">
        <f>IF(OR(INDEX($V$2:$V$1001,MATCH(ROWS($U$2:U465),$U$2:$U$1001,0),1)&gt;=100000,INDEX($AB$1005:$AQ$1005,1,MATCH(COLUMNS($AB$1006:AM1006),$AB$1006:$AQ$1006,0))&gt;=100000), " ",IF(INDEX($AB$2:$AQ$1001,MATCH(ROWS($U$2:U465),$U$2:$U$1001,0),MATCH(COLUMNS($AB$1006:AM1006),$AB$1006:$AQ$1006,0)), HYPERLINK("#",""), HYPERLINK(CONCATENATE("#metadata!", ADDRESS(INDEX($W$2:$W$1001,MATCH(ROWS($U$2:U465),$U$2:$U$1001,0),0), INDEX($AB$1004:$AQ$1004,1,MATCH(COLUMNS($AB$1006:AM1006),$AB$1006:$AQ$1006,0)))),"Fix")))</f>
        <v>0</v>
      </c>
      <c r="N465" s="4">
        <f>IF(OR(INDEX($V$2:$V$1001,MATCH(ROWS($U$2:U465),$U$2:$U$1001,0),1)&gt;=100000,INDEX($AB$1005:$AQ$1005,1,MATCH(COLUMNS($AB$1006:AN1006),$AB$1006:$AQ$1006,0))&gt;=100000), " ",IF(INDEX($AB$2:$AQ$1001,MATCH(ROWS($U$2:U465),$U$2:$U$1001,0),MATCH(COLUMNS($AB$1006:AN1006),$AB$1006:$AQ$1006,0)), HYPERLINK("#",""), HYPERLINK(CONCATENATE("#metadata!", ADDRESS(INDEX($W$2:$W$1001,MATCH(ROWS($U$2:U465),$U$2:$U$1001,0),0), INDEX($AB$1004:$AQ$1004,1,MATCH(COLUMNS($AB$1006:AN1006),$AB$1006:$AQ$1006,0)))),"Fix")))</f>
        <v>0</v>
      </c>
      <c r="O465" s="4">
        <f>IF(OR(INDEX($V$2:$V$1001,MATCH(ROWS($U$2:U465),$U$2:$U$1001,0),1)&gt;=100000,INDEX($AB$1005:$AQ$1005,1,MATCH(COLUMNS($AB$1006:AO1006),$AB$1006:$AQ$1006,0))&gt;=100000), " ",IF(INDEX($AB$2:$AQ$1001,MATCH(ROWS($U$2:U465),$U$2:$U$1001,0),MATCH(COLUMNS($AB$1006:AO1006),$AB$1006:$AQ$1006,0)), HYPERLINK("#",""), HYPERLINK(CONCATENATE("#metadata!", ADDRESS(INDEX($W$2:$W$1001,MATCH(ROWS($U$2:U465),$U$2:$U$1001,0),0), INDEX($AB$1004:$AQ$1004,1,MATCH(COLUMNS($AB$1006:AO1006),$AB$1006:$AQ$1006,0)))),"Fix")))</f>
        <v>0</v>
      </c>
      <c r="P465" s="4">
        <f>IF(OR(INDEX($V$2:$V$1001,MATCH(ROWS($U$2:U465),$U$2:$U$1001,0),1)&gt;=100000,INDEX($AB$1005:$AQ$1005,1,MATCH(COLUMNS($AB$1006:AP1006),$AB$1006:$AQ$1006,0))&gt;=100000), " ",IF(INDEX($AB$2:$AQ$1001,MATCH(ROWS($U$2:U465),$U$2:$U$1001,0),MATCH(COLUMNS($AB$1006:AP1006),$AB$1006:$AQ$1006,0)), HYPERLINK("#",""), HYPERLINK(CONCATENATE("#metadata!", ADDRESS(INDEX($W$2:$W$1001,MATCH(ROWS($U$2:U465),$U$2:$U$1001,0),0), INDEX($AB$1004:$AQ$1004,1,MATCH(COLUMNS($AB$1006:AP1006),$AB$1006:$AQ$1006,0)))),"Fix")))</f>
        <v>0</v>
      </c>
      <c r="Q465" s="4">
        <f>IF(OR(INDEX($V$2:$V$1001,MATCH(ROWS($U$2:U465),$U$2:$U$1001,0),1)&gt;=100000,INDEX($AB$1005:$AQ$1005,1,MATCH(COLUMNS($AB$1006:AQ1006),$AB$1006:$AQ$1006,0))&gt;=100000), " ",IF(INDEX($AB$2:$AQ$1001,MATCH(ROWS($U$2:U465),$U$2:$U$1001,0),MATCH(COLUMNS($AB$1006:AQ1006),$AB$1006:$AQ$1006,0)), HYPERLINK("#",""), HYPERLINK(CONCATENATE("#metadata!", ADDRESS(INDEX($W$2:$W$1001,MATCH(ROWS($U$2:U465),$U$2:$U$1001,0),0), INDEX($AB$1004:$AQ$1004,1,MATCH(COLUMNS($AB$1006:AQ1006),$AB$1006:$AQ$1006,0)))),"Fix")))</f>
        <v>0</v>
      </c>
      <c r="U465">
        <v>0</v>
      </c>
      <c r="V465">
        <v>0</v>
      </c>
      <c r="W465">
        <v>0</v>
      </c>
      <c r="X465">
        <f>IF(Y465,TRUE,AND(AB465:AQ465))</f>
        <v>0</v>
      </c>
      <c r="Y465">
        <f>COUNTBLANK(metadata!B465:Q465)=COLUMNS(metadata!B465:Q465)</f>
        <v>0</v>
      </c>
      <c r="Z465">
        <v>0</v>
      </c>
      <c r="AB465">
        <f>AND(IF(metadata!B465="",FALSE,TRUE),COUNTIF(metadata!B:B, metadata!B465) = 1,NOT(ISERROR(SUMPRODUCT(SEARCH(MID(metadata!B465,ROW(INDIRECT("1:"&amp;LEN(metadata!B465))), 1),"0123456789abcdefghijklmnopqrstuvwxyzABCDEFGHIJKLMNOPQRSTUVWXYZ.")))))</f>
        <v>0</v>
      </c>
      <c r="AC465">
        <f>OR(AND(IF(metadata!C465="",FALSE,TRUE),OR(exact(metadata!C465,"missing: not collected"),exact(metadata!C465,"missing: not provided"),exact(metadata!C465,"missing: restricted access"))),AND(IF(metadata!C465="",FALSE,TRUE),AND(AND(IFERROR(INT(LEFT(metadata!C465,4))&gt;1900,FALSE),IFERROR(INT(LEFT(metadata!C465,4))&lt;=YEAR(NOW()),FALSE)), OR(MID(metadata!C465,5,1)="", AND(AND(MID(metadata!C465,5,1)="-",IFERROR(INT(MID(metadata!C465,6,1))&gt;=0,FALSE),IFERROR(INT(MID(metadata!C465,6,1))&lt;=1,FALSE),NOT(MID(metadata!C465,7,1)=""),IFERROR(INT(MID(metadata!C465,6,2))&gt;=1,FALSE),IFERROR(INT(MID(metadata!C465,6,2))&lt;=12,FALSE)), OR(MID(metadata!C465,8,1)="", AND(AND(MID(metadata!C465,8,1)="-",IFERROR(INT(MID(metadata!C465,9,1))&gt;=0,FALSE),IFERROR(INT(MID(metadata!C465,9,1))&lt;=3,FALSE),NOT(MID(metadata!C465,10,1)=""),IFERROR(INT(MID(metadata!C465,9,2))&gt;=1,FALSE),IFERROR(INT(MID(metadata!C465,9,2))&lt;=31,FALSE)), OR(MID(metadata!C465,11,1)="", AND(AND(MID(metadata!C465,11,1)=" ",IFERROR(INT(MID(metadata!C465,12,1))&gt;=0,FALSE),IFERROR(INT(MID(metadata!C465,12,1))&lt;=2,FALSE),NOT(MID(metadata!C465,13,1)=""),IFERROR(INT(MID(metadata!C465,12,2))&gt;=0,FALSE),IFERROR(INT(MID(metadata!C465,12,2))&lt;=23,FALSE)), OR(MID(metadata!C465,14,1)="", AND(AND(MID(metadata!C465,14,1)=":",IFERROR(INT(MID(metadata!C465,15,1))&gt;=0,FALSE),IFERROR(INT(MID(metadata!C465,15,1))&lt;=5,FALSE),NOT(MID(metadata!C465,16,1)=""),IFERROR(INT(MID(metadata!C465,15,2))&gt;=0,FALSE),IFERROR(INT(MID(metadata!C465,15,2))&lt;=59,FALSE)), OR(MID(metadata!C465,17,1)="", AND(AND(MID(metadata!C465,17,1)=":",IFERROR(INT(MID(metadata!C465,18,1))&gt;=0,FALSE),IFERROR(INT(MID(metadata!C465,18,1))&lt;=5,FALSE),NOT(MID(metadata!C465,19,1)=""),IFERROR(INT(MID(metadata!C465,18,2))&gt;=0,FALSE),IFERROR(INT(MID(metadata!C465,18,2))&lt;=59,FALSE)), LEN(metadata!C465)&lt;=19)))))))))))))</f>
        <v>0</v>
      </c>
      <c r="AD465">
        <f>IF(metadata!D465="",FALSE,TRUE)</f>
        <v>0</v>
      </c>
      <c r="AE465">
        <f>OR(AND(IF(metadata!E465="",FALSE,TRUE),OR(exact(metadata!E465,"missing: not collected"),exact(metadata!E465,"missing: not provided"))),AND(IF(metadata!E465="",FALSE,TRUE),OR(exact(metadata!E465,"TRUE"),exact(metadata!E465,"FALSE"))))</f>
        <v>0</v>
      </c>
      <c r="AF465">
        <f>IF(metadata!F465="",FALSE,TRUE)</f>
        <v>0</v>
      </c>
      <c r="AG465">
        <f>IF(metadata!G465="",FALSE,TRUE)</f>
        <v>0</v>
      </c>
      <c r="AH465">
        <f>IF(metadata!H465="",FALSE,TRUE)</f>
        <v>0</v>
      </c>
      <c r="AI465">
        <f>OR(AND(IF(metadata!I465="",FALSE,TRUE),OR(exact(metadata!I465,"missing: not collected"),exact(metadata!I465,"missing: not provided"),exact(metadata!I465,"missing: restricted access"))),AND(IF(metadata!I465="",FALSE,TRUE),OR(exact(metadata!I465,"air"),exact(metadata!I465,"built environment"),exact(metadata!I465,"host-associated"),exact(metadata!I465,"human-associated"),exact(metadata!I465,"human-skin"),exact(metadata!I465,"human-oral"),exact(metadata!I465,"human-gut"),exact(metadata!I465,"human-vaginal"),exact(metadata!I465,"microbial mat/biofilm"),exact(metadata!I465,"misc environment"),exact(metadata!I465,"plant-associated"),exact(metadata!I465,"sediment"),exact(metadata!I465,"soil"),exact(metadata!I465,"wastewater/sludge"),exact(metadata!I465,"water"))))</f>
        <v>0</v>
      </c>
      <c r="AJ465">
        <f>IF(metadata!J465="",FALSE,TRUE)</f>
        <v>0</v>
      </c>
      <c r="AK465">
        <f>OR(AND(IF(metadata!K465="",FALSE,TRUE),OR(exact(metadata!K465,"missing: not collected"),exact(metadata!K465,"missing: not provided"),exact(metadata!K465,"missing: restricted access"))),AND(IF(metadata!K465="",FALSE,ISNUMBER(VALUE(metadata!K465))),metadata!K465&gt;=-90.00,metadata!K465&lt;=90.00))</f>
        <v>0</v>
      </c>
      <c r="AL465">
        <f>OR(AND(IF(metadata!L465="",FALSE,TRUE),OR(exact(metadata!L465,"missing: not collected"),exact(metadata!L465,"missing: not provided"),exact(metadata!L465,"missing: restricted access"))),AND(IF(metadata!L465="",FALSE,ISNUMBER(VALUE(metadata!L465))),metadata!L465&gt;=-180.00,metadata!L465&lt;=180.00))</f>
        <v>0</v>
      </c>
      <c r="AM465">
        <f>IF(metadata!M465="",FALSE,TRUE)</f>
        <v>0</v>
      </c>
      <c r="AN465">
        <f>OR(AND(IF(metadata!N465="",FALSE,TRUE),OR(exact(metadata!N465,"missing: not collected"),exact(metadata!N465,"missing: not provided"),exact(metadata!N465,"missing: restricted access"))),AND(IF(metadata!N465="",FALSE,TRUE),OR(exact(metadata!N465,"TRUE"),exact(metadata!N465,"FALSE"))))</f>
        <v>0</v>
      </c>
      <c r="AO465">
        <f>IF(metadata!O465="",FALSE,TRUE)</f>
        <v>0</v>
      </c>
      <c r="AP465">
        <f>OR(AND(IF(metadata!P465="",FALSE,TRUE),OR(exact(metadata!P465,"missing: not collected"),exact(metadata!P465,"missing: not provided"))),AND(IF(metadata!P465="",FALSE,IF(ISERROR(INT(metadata!P465)),FALSE,INT(metadata!P465)=metadata!P465)),metadata!P465&gt;0))</f>
        <v>0</v>
      </c>
      <c r="AQ465">
        <f>IF(metadata!Q465="",FALSE,TRUE)</f>
        <v>0</v>
      </c>
    </row>
    <row r="466" spans="1:43">
      <c r="A466" s="5">
        <f>IF(B466=" "," ",HYPERLINK(CONCATENATE("#metadata!",ADDRESS(INDEX($W$2:$W$1001,MATCH(ROWS($U$2:U466),$U$2:$U$1001,0),0),1)),INDEX($Z$2:$Z$1001,MATCH(ROWS($U$2:U466),$U$2:$U$1001,0),0)))</f>
        <v>0</v>
      </c>
      <c r="B466" s="4">
        <f>IF(OR(INDEX($V$2:$V$1001,MATCH(ROWS($U$2:U466),$U$2:$U$1001,0),1)&gt;=100000,INDEX($AB$1005:$AQ$1005,1,MATCH(COLUMNS($AB$1006:AB1006),$AB$1006:$AQ$1006,0))&gt;=100000), " ",IF(INDEX($AB$2:$AQ$1001,MATCH(ROWS($U$2:U466),$U$2:$U$1001,0),MATCH(COLUMNS($AB$1006:AB1006),$AB$1006:$AQ$1006,0)), HYPERLINK("#",""), HYPERLINK(CONCATENATE("#metadata!", ADDRESS(INDEX($W$2:$W$1001,MATCH(ROWS($U$2:U466),$U$2:$U$1001,0),0), INDEX($AB$1004:$AQ$1004,1,MATCH(COLUMNS($AB$1006:AB1006),$AB$1006:$AQ$1006,0)))),"Fix")))</f>
        <v>0</v>
      </c>
      <c r="C466" s="4">
        <f>IF(OR(INDEX($V$2:$V$1001,MATCH(ROWS($U$2:U466),$U$2:$U$1001,0),1)&gt;=100000,INDEX($AB$1005:$AQ$1005,1,MATCH(COLUMNS($AB$1006:AC1006),$AB$1006:$AQ$1006,0))&gt;=100000), " ",IF(INDEX($AB$2:$AQ$1001,MATCH(ROWS($U$2:U466),$U$2:$U$1001,0),MATCH(COLUMNS($AB$1006:AC1006),$AB$1006:$AQ$1006,0)), HYPERLINK("#",""), HYPERLINK(CONCATENATE("#metadata!", ADDRESS(INDEX($W$2:$W$1001,MATCH(ROWS($U$2:U466),$U$2:$U$1001,0),0), INDEX($AB$1004:$AQ$1004,1,MATCH(COLUMNS($AB$1006:AC1006),$AB$1006:$AQ$1006,0)))),"Fix")))</f>
        <v>0</v>
      </c>
      <c r="D466" s="4">
        <f>IF(OR(INDEX($V$2:$V$1001,MATCH(ROWS($U$2:U466),$U$2:$U$1001,0),1)&gt;=100000,INDEX($AB$1005:$AQ$1005,1,MATCH(COLUMNS($AB$1006:AD1006),$AB$1006:$AQ$1006,0))&gt;=100000), " ",IF(INDEX($AB$2:$AQ$1001,MATCH(ROWS($U$2:U466),$U$2:$U$1001,0),MATCH(COLUMNS($AB$1006:AD1006),$AB$1006:$AQ$1006,0)), HYPERLINK("#",""), HYPERLINK(CONCATENATE("#metadata!", ADDRESS(INDEX($W$2:$W$1001,MATCH(ROWS($U$2:U466),$U$2:$U$1001,0),0), INDEX($AB$1004:$AQ$1004,1,MATCH(COLUMNS($AB$1006:AD1006),$AB$1006:$AQ$1006,0)))),"Fix")))</f>
        <v>0</v>
      </c>
      <c r="E466" s="4">
        <f>IF(OR(INDEX($V$2:$V$1001,MATCH(ROWS($U$2:U466),$U$2:$U$1001,0),1)&gt;=100000,INDEX($AB$1005:$AQ$1005,1,MATCH(COLUMNS($AB$1006:AE1006),$AB$1006:$AQ$1006,0))&gt;=100000), " ",IF(INDEX($AB$2:$AQ$1001,MATCH(ROWS($U$2:U466),$U$2:$U$1001,0),MATCH(COLUMNS($AB$1006:AE1006),$AB$1006:$AQ$1006,0)), HYPERLINK("#",""), HYPERLINK(CONCATENATE("#metadata!", ADDRESS(INDEX($W$2:$W$1001,MATCH(ROWS($U$2:U466),$U$2:$U$1001,0),0), INDEX($AB$1004:$AQ$1004,1,MATCH(COLUMNS($AB$1006:AE1006),$AB$1006:$AQ$1006,0)))),"Fix")))</f>
        <v>0</v>
      </c>
      <c r="F466" s="4">
        <f>IF(OR(INDEX($V$2:$V$1001,MATCH(ROWS($U$2:U466),$U$2:$U$1001,0),1)&gt;=100000,INDEX($AB$1005:$AQ$1005,1,MATCH(COLUMNS($AB$1006:AF1006),$AB$1006:$AQ$1006,0))&gt;=100000), " ",IF(INDEX($AB$2:$AQ$1001,MATCH(ROWS($U$2:U466),$U$2:$U$1001,0),MATCH(COLUMNS($AB$1006:AF1006),$AB$1006:$AQ$1006,0)), HYPERLINK("#",""), HYPERLINK(CONCATENATE("#metadata!", ADDRESS(INDEX($W$2:$W$1001,MATCH(ROWS($U$2:U466),$U$2:$U$1001,0),0), INDEX($AB$1004:$AQ$1004,1,MATCH(COLUMNS($AB$1006:AF1006),$AB$1006:$AQ$1006,0)))),"Fix")))</f>
        <v>0</v>
      </c>
      <c r="G466" s="4">
        <f>IF(OR(INDEX($V$2:$V$1001,MATCH(ROWS($U$2:U466),$U$2:$U$1001,0),1)&gt;=100000,INDEX($AB$1005:$AQ$1005,1,MATCH(COLUMNS($AB$1006:AG1006),$AB$1006:$AQ$1006,0))&gt;=100000), " ",IF(INDEX($AB$2:$AQ$1001,MATCH(ROWS($U$2:U466),$U$2:$U$1001,0),MATCH(COLUMNS($AB$1006:AG1006),$AB$1006:$AQ$1006,0)), HYPERLINK("#",""), HYPERLINK(CONCATENATE("#metadata!", ADDRESS(INDEX($W$2:$W$1001,MATCH(ROWS($U$2:U466),$U$2:$U$1001,0),0), INDEX($AB$1004:$AQ$1004,1,MATCH(COLUMNS($AB$1006:AG1006),$AB$1006:$AQ$1006,0)))),"Fix")))</f>
        <v>0</v>
      </c>
      <c r="H466" s="4">
        <f>IF(OR(INDEX($V$2:$V$1001,MATCH(ROWS($U$2:U466),$U$2:$U$1001,0),1)&gt;=100000,INDEX($AB$1005:$AQ$1005,1,MATCH(COLUMNS($AB$1006:AH1006),$AB$1006:$AQ$1006,0))&gt;=100000), " ",IF(INDEX($AB$2:$AQ$1001,MATCH(ROWS($U$2:U466),$U$2:$U$1001,0),MATCH(COLUMNS($AB$1006:AH1006),$AB$1006:$AQ$1006,0)), HYPERLINK("#",""), HYPERLINK(CONCATENATE("#metadata!", ADDRESS(INDEX($W$2:$W$1001,MATCH(ROWS($U$2:U466),$U$2:$U$1001,0),0), INDEX($AB$1004:$AQ$1004,1,MATCH(COLUMNS($AB$1006:AH1006),$AB$1006:$AQ$1006,0)))),"Fix")))</f>
        <v>0</v>
      </c>
      <c r="I466" s="4">
        <f>IF(OR(INDEX($V$2:$V$1001,MATCH(ROWS($U$2:U466),$U$2:$U$1001,0),1)&gt;=100000,INDEX($AB$1005:$AQ$1005,1,MATCH(COLUMNS($AB$1006:AI1006),$AB$1006:$AQ$1006,0))&gt;=100000), " ",IF(INDEX($AB$2:$AQ$1001,MATCH(ROWS($U$2:U466),$U$2:$U$1001,0),MATCH(COLUMNS($AB$1006:AI1006),$AB$1006:$AQ$1006,0)), HYPERLINK("#",""), HYPERLINK(CONCATENATE("#metadata!", ADDRESS(INDEX($W$2:$W$1001,MATCH(ROWS($U$2:U466),$U$2:$U$1001,0),0), INDEX($AB$1004:$AQ$1004,1,MATCH(COLUMNS($AB$1006:AI1006),$AB$1006:$AQ$1006,0)))),"Fix")))</f>
        <v>0</v>
      </c>
      <c r="J466" s="4">
        <f>IF(OR(INDEX($V$2:$V$1001,MATCH(ROWS($U$2:U466),$U$2:$U$1001,0),1)&gt;=100000,INDEX($AB$1005:$AQ$1005,1,MATCH(COLUMNS($AB$1006:AJ1006),$AB$1006:$AQ$1006,0))&gt;=100000), " ",IF(INDEX($AB$2:$AQ$1001,MATCH(ROWS($U$2:U466),$U$2:$U$1001,0),MATCH(COLUMNS($AB$1006:AJ1006),$AB$1006:$AQ$1006,0)), HYPERLINK("#",""), HYPERLINK(CONCATENATE("#metadata!", ADDRESS(INDEX($W$2:$W$1001,MATCH(ROWS($U$2:U466),$U$2:$U$1001,0),0), INDEX($AB$1004:$AQ$1004,1,MATCH(COLUMNS($AB$1006:AJ1006),$AB$1006:$AQ$1006,0)))),"Fix")))</f>
        <v>0</v>
      </c>
      <c r="K466" s="4">
        <f>IF(OR(INDEX($V$2:$V$1001,MATCH(ROWS($U$2:U466),$U$2:$U$1001,0),1)&gt;=100000,INDEX($AB$1005:$AQ$1005,1,MATCH(COLUMNS($AB$1006:AK1006),$AB$1006:$AQ$1006,0))&gt;=100000), " ",IF(INDEX($AB$2:$AQ$1001,MATCH(ROWS($U$2:U466),$U$2:$U$1001,0),MATCH(COLUMNS($AB$1006:AK1006),$AB$1006:$AQ$1006,0)), HYPERLINK("#",""), HYPERLINK(CONCATENATE("#metadata!", ADDRESS(INDEX($W$2:$W$1001,MATCH(ROWS($U$2:U466),$U$2:$U$1001,0),0), INDEX($AB$1004:$AQ$1004,1,MATCH(COLUMNS($AB$1006:AK1006),$AB$1006:$AQ$1006,0)))),"Fix")))</f>
        <v>0</v>
      </c>
      <c r="L466" s="4">
        <f>IF(OR(INDEX($V$2:$V$1001,MATCH(ROWS($U$2:U466),$U$2:$U$1001,0),1)&gt;=100000,INDEX($AB$1005:$AQ$1005,1,MATCH(COLUMNS($AB$1006:AL1006),$AB$1006:$AQ$1006,0))&gt;=100000), " ",IF(INDEX($AB$2:$AQ$1001,MATCH(ROWS($U$2:U466),$U$2:$U$1001,0),MATCH(COLUMNS($AB$1006:AL1006),$AB$1006:$AQ$1006,0)), HYPERLINK("#",""), HYPERLINK(CONCATENATE("#metadata!", ADDRESS(INDEX($W$2:$W$1001,MATCH(ROWS($U$2:U466),$U$2:$U$1001,0),0), INDEX($AB$1004:$AQ$1004,1,MATCH(COLUMNS($AB$1006:AL1006),$AB$1006:$AQ$1006,0)))),"Fix")))</f>
        <v>0</v>
      </c>
      <c r="M466" s="4">
        <f>IF(OR(INDEX($V$2:$V$1001,MATCH(ROWS($U$2:U466),$U$2:$U$1001,0),1)&gt;=100000,INDEX($AB$1005:$AQ$1005,1,MATCH(COLUMNS($AB$1006:AM1006),$AB$1006:$AQ$1006,0))&gt;=100000), " ",IF(INDEX($AB$2:$AQ$1001,MATCH(ROWS($U$2:U466),$U$2:$U$1001,0),MATCH(COLUMNS($AB$1006:AM1006),$AB$1006:$AQ$1006,0)), HYPERLINK("#",""), HYPERLINK(CONCATENATE("#metadata!", ADDRESS(INDEX($W$2:$W$1001,MATCH(ROWS($U$2:U466),$U$2:$U$1001,0),0), INDEX($AB$1004:$AQ$1004,1,MATCH(COLUMNS($AB$1006:AM1006),$AB$1006:$AQ$1006,0)))),"Fix")))</f>
        <v>0</v>
      </c>
      <c r="N466" s="4">
        <f>IF(OR(INDEX($V$2:$V$1001,MATCH(ROWS($U$2:U466),$U$2:$U$1001,0),1)&gt;=100000,INDEX($AB$1005:$AQ$1005,1,MATCH(COLUMNS($AB$1006:AN1006),$AB$1006:$AQ$1006,0))&gt;=100000), " ",IF(INDEX($AB$2:$AQ$1001,MATCH(ROWS($U$2:U466),$U$2:$U$1001,0),MATCH(COLUMNS($AB$1006:AN1006),$AB$1006:$AQ$1006,0)), HYPERLINK("#",""), HYPERLINK(CONCATENATE("#metadata!", ADDRESS(INDEX($W$2:$W$1001,MATCH(ROWS($U$2:U466),$U$2:$U$1001,0),0), INDEX($AB$1004:$AQ$1004,1,MATCH(COLUMNS($AB$1006:AN1006),$AB$1006:$AQ$1006,0)))),"Fix")))</f>
        <v>0</v>
      </c>
      <c r="O466" s="4">
        <f>IF(OR(INDEX($V$2:$V$1001,MATCH(ROWS($U$2:U466),$U$2:$U$1001,0),1)&gt;=100000,INDEX($AB$1005:$AQ$1005,1,MATCH(COLUMNS($AB$1006:AO1006),$AB$1006:$AQ$1006,0))&gt;=100000), " ",IF(INDEX($AB$2:$AQ$1001,MATCH(ROWS($U$2:U466),$U$2:$U$1001,0),MATCH(COLUMNS($AB$1006:AO1006),$AB$1006:$AQ$1006,0)), HYPERLINK("#",""), HYPERLINK(CONCATENATE("#metadata!", ADDRESS(INDEX($W$2:$W$1001,MATCH(ROWS($U$2:U466),$U$2:$U$1001,0),0), INDEX($AB$1004:$AQ$1004,1,MATCH(COLUMNS($AB$1006:AO1006),$AB$1006:$AQ$1006,0)))),"Fix")))</f>
        <v>0</v>
      </c>
      <c r="P466" s="4">
        <f>IF(OR(INDEX($V$2:$V$1001,MATCH(ROWS($U$2:U466),$U$2:$U$1001,0),1)&gt;=100000,INDEX($AB$1005:$AQ$1005,1,MATCH(COLUMNS($AB$1006:AP1006),$AB$1006:$AQ$1006,0))&gt;=100000), " ",IF(INDEX($AB$2:$AQ$1001,MATCH(ROWS($U$2:U466),$U$2:$U$1001,0),MATCH(COLUMNS($AB$1006:AP1006),$AB$1006:$AQ$1006,0)), HYPERLINK("#",""), HYPERLINK(CONCATENATE("#metadata!", ADDRESS(INDEX($W$2:$W$1001,MATCH(ROWS($U$2:U466),$U$2:$U$1001,0),0), INDEX($AB$1004:$AQ$1004,1,MATCH(COLUMNS($AB$1006:AP1006),$AB$1006:$AQ$1006,0)))),"Fix")))</f>
        <v>0</v>
      </c>
      <c r="Q466" s="4">
        <f>IF(OR(INDEX($V$2:$V$1001,MATCH(ROWS($U$2:U466),$U$2:$U$1001,0),1)&gt;=100000,INDEX($AB$1005:$AQ$1005,1,MATCH(COLUMNS($AB$1006:AQ1006),$AB$1006:$AQ$1006,0))&gt;=100000), " ",IF(INDEX($AB$2:$AQ$1001,MATCH(ROWS($U$2:U466),$U$2:$U$1001,0),MATCH(COLUMNS($AB$1006:AQ1006),$AB$1006:$AQ$1006,0)), HYPERLINK("#",""), HYPERLINK(CONCATENATE("#metadata!", ADDRESS(INDEX($W$2:$W$1001,MATCH(ROWS($U$2:U466),$U$2:$U$1001,0),0), INDEX($AB$1004:$AQ$1004,1,MATCH(COLUMNS($AB$1006:AQ1006),$AB$1006:$AQ$1006,0)))),"Fix")))</f>
        <v>0</v>
      </c>
      <c r="U466">
        <v>0</v>
      </c>
      <c r="V466">
        <v>0</v>
      </c>
      <c r="W466">
        <v>0</v>
      </c>
      <c r="X466">
        <f>IF(Y466,TRUE,AND(AB466:AQ466))</f>
        <v>0</v>
      </c>
      <c r="Y466">
        <f>COUNTBLANK(metadata!B466:Q466)=COLUMNS(metadata!B466:Q466)</f>
        <v>0</v>
      </c>
      <c r="Z466">
        <v>0</v>
      </c>
      <c r="AB466">
        <f>AND(IF(metadata!B466="",FALSE,TRUE),COUNTIF(metadata!B:B, metadata!B466) = 1,NOT(ISERROR(SUMPRODUCT(SEARCH(MID(metadata!B466,ROW(INDIRECT("1:"&amp;LEN(metadata!B466))), 1),"0123456789abcdefghijklmnopqrstuvwxyzABCDEFGHIJKLMNOPQRSTUVWXYZ.")))))</f>
        <v>0</v>
      </c>
      <c r="AC466">
        <f>OR(AND(IF(metadata!C466="",FALSE,TRUE),OR(exact(metadata!C466,"missing: not collected"),exact(metadata!C466,"missing: not provided"),exact(metadata!C466,"missing: restricted access"))),AND(IF(metadata!C466="",FALSE,TRUE),AND(AND(IFERROR(INT(LEFT(metadata!C466,4))&gt;1900,FALSE),IFERROR(INT(LEFT(metadata!C466,4))&lt;=YEAR(NOW()),FALSE)), OR(MID(metadata!C466,5,1)="", AND(AND(MID(metadata!C466,5,1)="-",IFERROR(INT(MID(metadata!C466,6,1))&gt;=0,FALSE),IFERROR(INT(MID(metadata!C466,6,1))&lt;=1,FALSE),NOT(MID(metadata!C466,7,1)=""),IFERROR(INT(MID(metadata!C466,6,2))&gt;=1,FALSE),IFERROR(INT(MID(metadata!C466,6,2))&lt;=12,FALSE)), OR(MID(metadata!C466,8,1)="", AND(AND(MID(metadata!C466,8,1)="-",IFERROR(INT(MID(metadata!C466,9,1))&gt;=0,FALSE),IFERROR(INT(MID(metadata!C466,9,1))&lt;=3,FALSE),NOT(MID(metadata!C466,10,1)=""),IFERROR(INT(MID(metadata!C466,9,2))&gt;=1,FALSE),IFERROR(INT(MID(metadata!C466,9,2))&lt;=31,FALSE)), OR(MID(metadata!C466,11,1)="", AND(AND(MID(metadata!C466,11,1)=" ",IFERROR(INT(MID(metadata!C466,12,1))&gt;=0,FALSE),IFERROR(INT(MID(metadata!C466,12,1))&lt;=2,FALSE),NOT(MID(metadata!C466,13,1)=""),IFERROR(INT(MID(metadata!C466,12,2))&gt;=0,FALSE),IFERROR(INT(MID(metadata!C466,12,2))&lt;=23,FALSE)), OR(MID(metadata!C466,14,1)="", AND(AND(MID(metadata!C466,14,1)=":",IFERROR(INT(MID(metadata!C466,15,1))&gt;=0,FALSE),IFERROR(INT(MID(metadata!C466,15,1))&lt;=5,FALSE),NOT(MID(metadata!C466,16,1)=""),IFERROR(INT(MID(metadata!C466,15,2))&gt;=0,FALSE),IFERROR(INT(MID(metadata!C466,15,2))&lt;=59,FALSE)), OR(MID(metadata!C466,17,1)="", AND(AND(MID(metadata!C466,17,1)=":",IFERROR(INT(MID(metadata!C466,18,1))&gt;=0,FALSE),IFERROR(INT(MID(metadata!C466,18,1))&lt;=5,FALSE),NOT(MID(metadata!C466,19,1)=""),IFERROR(INT(MID(metadata!C466,18,2))&gt;=0,FALSE),IFERROR(INT(MID(metadata!C466,18,2))&lt;=59,FALSE)), LEN(metadata!C466)&lt;=19)))))))))))))</f>
        <v>0</v>
      </c>
      <c r="AD466">
        <f>IF(metadata!D466="",FALSE,TRUE)</f>
        <v>0</v>
      </c>
      <c r="AE466">
        <f>OR(AND(IF(metadata!E466="",FALSE,TRUE),OR(exact(metadata!E466,"missing: not collected"),exact(metadata!E466,"missing: not provided"))),AND(IF(metadata!E466="",FALSE,TRUE),OR(exact(metadata!E466,"TRUE"),exact(metadata!E466,"FALSE"))))</f>
        <v>0</v>
      </c>
      <c r="AF466">
        <f>IF(metadata!F466="",FALSE,TRUE)</f>
        <v>0</v>
      </c>
      <c r="AG466">
        <f>IF(metadata!G466="",FALSE,TRUE)</f>
        <v>0</v>
      </c>
      <c r="AH466">
        <f>IF(metadata!H466="",FALSE,TRUE)</f>
        <v>0</v>
      </c>
      <c r="AI466">
        <f>OR(AND(IF(metadata!I466="",FALSE,TRUE),OR(exact(metadata!I466,"missing: not collected"),exact(metadata!I466,"missing: not provided"),exact(metadata!I466,"missing: restricted access"))),AND(IF(metadata!I466="",FALSE,TRUE),OR(exact(metadata!I466,"air"),exact(metadata!I466,"built environment"),exact(metadata!I466,"host-associated"),exact(metadata!I466,"human-associated"),exact(metadata!I466,"human-skin"),exact(metadata!I466,"human-oral"),exact(metadata!I466,"human-gut"),exact(metadata!I466,"human-vaginal"),exact(metadata!I466,"microbial mat/biofilm"),exact(metadata!I466,"misc environment"),exact(metadata!I466,"plant-associated"),exact(metadata!I466,"sediment"),exact(metadata!I466,"soil"),exact(metadata!I466,"wastewater/sludge"),exact(metadata!I466,"water"))))</f>
        <v>0</v>
      </c>
      <c r="AJ466">
        <f>IF(metadata!J466="",FALSE,TRUE)</f>
        <v>0</v>
      </c>
      <c r="AK466">
        <f>OR(AND(IF(metadata!K466="",FALSE,TRUE),OR(exact(metadata!K466,"missing: not collected"),exact(metadata!K466,"missing: not provided"),exact(metadata!K466,"missing: restricted access"))),AND(IF(metadata!K466="",FALSE,ISNUMBER(VALUE(metadata!K466))),metadata!K466&gt;=-90.00,metadata!K466&lt;=90.00))</f>
        <v>0</v>
      </c>
      <c r="AL466">
        <f>OR(AND(IF(metadata!L466="",FALSE,TRUE),OR(exact(metadata!L466,"missing: not collected"),exact(metadata!L466,"missing: not provided"),exact(metadata!L466,"missing: restricted access"))),AND(IF(metadata!L466="",FALSE,ISNUMBER(VALUE(metadata!L466))),metadata!L466&gt;=-180.00,metadata!L466&lt;=180.00))</f>
        <v>0</v>
      </c>
      <c r="AM466">
        <f>IF(metadata!M466="",FALSE,TRUE)</f>
        <v>0</v>
      </c>
      <c r="AN466">
        <f>OR(AND(IF(metadata!N466="",FALSE,TRUE),OR(exact(metadata!N466,"missing: not collected"),exact(metadata!N466,"missing: not provided"),exact(metadata!N466,"missing: restricted access"))),AND(IF(metadata!N466="",FALSE,TRUE),OR(exact(metadata!N466,"TRUE"),exact(metadata!N466,"FALSE"))))</f>
        <v>0</v>
      </c>
      <c r="AO466">
        <f>IF(metadata!O466="",FALSE,TRUE)</f>
        <v>0</v>
      </c>
      <c r="AP466">
        <f>OR(AND(IF(metadata!P466="",FALSE,TRUE),OR(exact(metadata!P466,"missing: not collected"),exact(metadata!P466,"missing: not provided"))),AND(IF(metadata!P466="",FALSE,IF(ISERROR(INT(metadata!P466)),FALSE,INT(metadata!P466)=metadata!P466)),metadata!P466&gt;0))</f>
        <v>0</v>
      </c>
      <c r="AQ466">
        <f>IF(metadata!Q466="",FALSE,TRUE)</f>
        <v>0</v>
      </c>
    </row>
    <row r="467" spans="1:43">
      <c r="A467" s="5">
        <f>IF(B467=" "," ",HYPERLINK(CONCATENATE("#metadata!",ADDRESS(INDEX($W$2:$W$1001,MATCH(ROWS($U$2:U467),$U$2:$U$1001,0),0),1)),INDEX($Z$2:$Z$1001,MATCH(ROWS($U$2:U467),$U$2:$U$1001,0),0)))</f>
        <v>0</v>
      </c>
      <c r="B467" s="4">
        <f>IF(OR(INDEX($V$2:$V$1001,MATCH(ROWS($U$2:U467),$U$2:$U$1001,0),1)&gt;=100000,INDEX($AB$1005:$AQ$1005,1,MATCH(COLUMNS($AB$1006:AB1006),$AB$1006:$AQ$1006,0))&gt;=100000), " ",IF(INDEX($AB$2:$AQ$1001,MATCH(ROWS($U$2:U467),$U$2:$U$1001,0),MATCH(COLUMNS($AB$1006:AB1006),$AB$1006:$AQ$1006,0)), HYPERLINK("#",""), HYPERLINK(CONCATENATE("#metadata!", ADDRESS(INDEX($W$2:$W$1001,MATCH(ROWS($U$2:U467),$U$2:$U$1001,0),0), INDEX($AB$1004:$AQ$1004,1,MATCH(COLUMNS($AB$1006:AB1006),$AB$1006:$AQ$1006,0)))),"Fix")))</f>
        <v>0</v>
      </c>
      <c r="C467" s="4">
        <f>IF(OR(INDEX($V$2:$V$1001,MATCH(ROWS($U$2:U467),$U$2:$U$1001,0),1)&gt;=100000,INDEX($AB$1005:$AQ$1005,1,MATCH(COLUMNS($AB$1006:AC1006),$AB$1006:$AQ$1006,0))&gt;=100000), " ",IF(INDEX($AB$2:$AQ$1001,MATCH(ROWS($U$2:U467),$U$2:$U$1001,0),MATCH(COLUMNS($AB$1006:AC1006),$AB$1006:$AQ$1006,0)), HYPERLINK("#",""), HYPERLINK(CONCATENATE("#metadata!", ADDRESS(INDEX($W$2:$W$1001,MATCH(ROWS($U$2:U467),$U$2:$U$1001,0),0), INDEX($AB$1004:$AQ$1004,1,MATCH(COLUMNS($AB$1006:AC1006),$AB$1006:$AQ$1006,0)))),"Fix")))</f>
        <v>0</v>
      </c>
      <c r="D467" s="4">
        <f>IF(OR(INDEX($V$2:$V$1001,MATCH(ROWS($U$2:U467),$U$2:$U$1001,0),1)&gt;=100000,INDEX($AB$1005:$AQ$1005,1,MATCH(COLUMNS($AB$1006:AD1006),$AB$1006:$AQ$1006,0))&gt;=100000), " ",IF(INDEX($AB$2:$AQ$1001,MATCH(ROWS($U$2:U467),$U$2:$U$1001,0),MATCH(COLUMNS($AB$1006:AD1006),$AB$1006:$AQ$1006,0)), HYPERLINK("#",""), HYPERLINK(CONCATENATE("#metadata!", ADDRESS(INDEX($W$2:$W$1001,MATCH(ROWS($U$2:U467),$U$2:$U$1001,0),0), INDEX($AB$1004:$AQ$1004,1,MATCH(COLUMNS($AB$1006:AD1006),$AB$1006:$AQ$1006,0)))),"Fix")))</f>
        <v>0</v>
      </c>
      <c r="E467" s="4">
        <f>IF(OR(INDEX($V$2:$V$1001,MATCH(ROWS($U$2:U467),$U$2:$U$1001,0),1)&gt;=100000,INDEX($AB$1005:$AQ$1005,1,MATCH(COLUMNS($AB$1006:AE1006),$AB$1006:$AQ$1006,0))&gt;=100000), " ",IF(INDEX($AB$2:$AQ$1001,MATCH(ROWS($U$2:U467),$U$2:$U$1001,0),MATCH(COLUMNS($AB$1006:AE1006),$AB$1006:$AQ$1006,0)), HYPERLINK("#",""), HYPERLINK(CONCATENATE("#metadata!", ADDRESS(INDEX($W$2:$W$1001,MATCH(ROWS($U$2:U467),$U$2:$U$1001,0),0), INDEX($AB$1004:$AQ$1004,1,MATCH(COLUMNS($AB$1006:AE1006),$AB$1006:$AQ$1006,0)))),"Fix")))</f>
        <v>0</v>
      </c>
      <c r="F467" s="4">
        <f>IF(OR(INDEX($V$2:$V$1001,MATCH(ROWS($U$2:U467),$U$2:$U$1001,0),1)&gt;=100000,INDEX($AB$1005:$AQ$1005,1,MATCH(COLUMNS($AB$1006:AF1006),$AB$1006:$AQ$1006,0))&gt;=100000), " ",IF(INDEX($AB$2:$AQ$1001,MATCH(ROWS($U$2:U467),$U$2:$U$1001,0),MATCH(COLUMNS($AB$1006:AF1006),$AB$1006:$AQ$1006,0)), HYPERLINK("#",""), HYPERLINK(CONCATENATE("#metadata!", ADDRESS(INDEX($W$2:$W$1001,MATCH(ROWS($U$2:U467),$U$2:$U$1001,0),0), INDEX($AB$1004:$AQ$1004,1,MATCH(COLUMNS($AB$1006:AF1006),$AB$1006:$AQ$1006,0)))),"Fix")))</f>
        <v>0</v>
      </c>
      <c r="G467" s="4">
        <f>IF(OR(INDEX($V$2:$V$1001,MATCH(ROWS($U$2:U467),$U$2:$U$1001,0),1)&gt;=100000,INDEX($AB$1005:$AQ$1005,1,MATCH(COLUMNS($AB$1006:AG1006),$AB$1006:$AQ$1006,0))&gt;=100000), " ",IF(INDEX($AB$2:$AQ$1001,MATCH(ROWS($U$2:U467),$U$2:$U$1001,0),MATCH(COLUMNS($AB$1006:AG1006),$AB$1006:$AQ$1006,0)), HYPERLINK("#",""), HYPERLINK(CONCATENATE("#metadata!", ADDRESS(INDEX($W$2:$W$1001,MATCH(ROWS($U$2:U467),$U$2:$U$1001,0),0), INDEX($AB$1004:$AQ$1004,1,MATCH(COLUMNS($AB$1006:AG1006),$AB$1006:$AQ$1006,0)))),"Fix")))</f>
        <v>0</v>
      </c>
      <c r="H467" s="4">
        <f>IF(OR(INDEX($V$2:$V$1001,MATCH(ROWS($U$2:U467),$U$2:$U$1001,0),1)&gt;=100000,INDEX($AB$1005:$AQ$1005,1,MATCH(COLUMNS($AB$1006:AH1006),$AB$1006:$AQ$1006,0))&gt;=100000), " ",IF(INDEX($AB$2:$AQ$1001,MATCH(ROWS($U$2:U467),$U$2:$U$1001,0),MATCH(COLUMNS($AB$1006:AH1006),$AB$1006:$AQ$1006,0)), HYPERLINK("#",""), HYPERLINK(CONCATENATE("#metadata!", ADDRESS(INDEX($W$2:$W$1001,MATCH(ROWS($U$2:U467),$U$2:$U$1001,0),0), INDEX($AB$1004:$AQ$1004,1,MATCH(COLUMNS($AB$1006:AH1006),$AB$1006:$AQ$1006,0)))),"Fix")))</f>
        <v>0</v>
      </c>
      <c r="I467" s="4">
        <f>IF(OR(INDEX($V$2:$V$1001,MATCH(ROWS($U$2:U467),$U$2:$U$1001,0),1)&gt;=100000,INDEX($AB$1005:$AQ$1005,1,MATCH(COLUMNS($AB$1006:AI1006),$AB$1006:$AQ$1006,0))&gt;=100000), " ",IF(INDEX($AB$2:$AQ$1001,MATCH(ROWS($U$2:U467),$U$2:$U$1001,0),MATCH(COLUMNS($AB$1006:AI1006),$AB$1006:$AQ$1006,0)), HYPERLINK("#",""), HYPERLINK(CONCATENATE("#metadata!", ADDRESS(INDEX($W$2:$W$1001,MATCH(ROWS($U$2:U467),$U$2:$U$1001,0),0), INDEX($AB$1004:$AQ$1004,1,MATCH(COLUMNS($AB$1006:AI1006),$AB$1006:$AQ$1006,0)))),"Fix")))</f>
        <v>0</v>
      </c>
      <c r="J467" s="4">
        <f>IF(OR(INDEX($V$2:$V$1001,MATCH(ROWS($U$2:U467),$U$2:$U$1001,0),1)&gt;=100000,INDEX($AB$1005:$AQ$1005,1,MATCH(COLUMNS($AB$1006:AJ1006),$AB$1006:$AQ$1006,0))&gt;=100000), " ",IF(INDEX($AB$2:$AQ$1001,MATCH(ROWS($U$2:U467),$U$2:$U$1001,0),MATCH(COLUMNS($AB$1006:AJ1006),$AB$1006:$AQ$1006,0)), HYPERLINK("#",""), HYPERLINK(CONCATENATE("#metadata!", ADDRESS(INDEX($W$2:$W$1001,MATCH(ROWS($U$2:U467),$U$2:$U$1001,0),0), INDEX($AB$1004:$AQ$1004,1,MATCH(COLUMNS($AB$1006:AJ1006),$AB$1006:$AQ$1006,0)))),"Fix")))</f>
        <v>0</v>
      </c>
      <c r="K467" s="4">
        <f>IF(OR(INDEX($V$2:$V$1001,MATCH(ROWS($U$2:U467),$U$2:$U$1001,0),1)&gt;=100000,INDEX($AB$1005:$AQ$1005,1,MATCH(COLUMNS($AB$1006:AK1006),$AB$1006:$AQ$1006,0))&gt;=100000), " ",IF(INDEX($AB$2:$AQ$1001,MATCH(ROWS($U$2:U467),$U$2:$U$1001,0),MATCH(COLUMNS($AB$1006:AK1006),$AB$1006:$AQ$1006,0)), HYPERLINK("#",""), HYPERLINK(CONCATENATE("#metadata!", ADDRESS(INDEX($W$2:$W$1001,MATCH(ROWS($U$2:U467),$U$2:$U$1001,0),0), INDEX($AB$1004:$AQ$1004,1,MATCH(COLUMNS($AB$1006:AK1006),$AB$1006:$AQ$1006,0)))),"Fix")))</f>
        <v>0</v>
      </c>
      <c r="L467" s="4">
        <f>IF(OR(INDEX($V$2:$V$1001,MATCH(ROWS($U$2:U467),$U$2:$U$1001,0),1)&gt;=100000,INDEX($AB$1005:$AQ$1005,1,MATCH(COLUMNS($AB$1006:AL1006),$AB$1006:$AQ$1006,0))&gt;=100000), " ",IF(INDEX($AB$2:$AQ$1001,MATCH(ROWS($U$2:U467),$U$2:$U$1001,0),MATCH(COLUMNS($AB$1006:AL1006),$AB$1006:$AQ$1006,0)), HYPERLINK("#",""), HYPERLINK(CONCATENATE("#metadata!", ADDRESS(INDEX($W$2:$W$1001,MATCH(ROWS($U$2:U467),$U$2:$U$1001,0),0), INDEX($AB$1004:$AQ$1004,1,MATCH(COLUMNS($AB$1006:AL1006),$AB$1006:$AQ$1006,0)))),"Fix")))</f>
        <v>0</v>
      </c>
      <c r="M467" s="4">
        <f>IF(OR(INDEX($V$2:$V$1001,MATCH(ROWS($U$2:U467),$U$2:$U$1001,0),1)&gt;=100000,INDEX($AB$1005:$AQ$1005,1,MATCH(COLUMNS($AB$1006:AM1006),$AB$1006:$AQ$1006,0))&gt;=100000), " ",IF(INDEX($AB$2:$AQ$1001,MATCH(ROWS($U$2:U467),$U$2:$U$1001,0),MATCH(COLUMNS($AB$1006:AM1006),$AB$1006:$AQ$1006,0)), HYPERLINK("#",""), HYPERLINK(CONCATENATE("#metadata!", ADDRESS(INDEX($W$2:$W$1001,MATCH(ROWS($U$2:U467),$U$2:$U$1001,0),0), INDEX($AB$1004:$AQ$1004,1,MATCH(COLUMNS($AB$1006:AM1006),$AB$1006:$AQ$1006,0)))),"Fix")))</f>
        <v>0</v>
      </c>
      <c r="N467" s="4">
        <f>IF(OR(INDEX($V$2:$V$1001,MATCH(ROWS($U$2:U467),$U$2:$U$1001,0),1)&gt;=100000,INDEX($AB$1005:$AQ$1005,1,MATCH(COLUMNS($AB$1006:AN1006),$AB$1006:$AQ$1006,0))&gt;=100000), " ",IF(INDEX($AB$2:$AQ$1001,MATCH(ROWS($U$2:U467),$U$2:$U$1001,0),MATCH(COLUMNS($AB$1006:AN1006),$AB$1006:$AQ$1006,0)), HYPERLINK("#",""), HYPERLINK(CONCATENATE("#metadata!", ADDRESS(INDEX($W$2:$W$1001,MATCH(ROWS($U$2:U467),$U$2:$U$1001,0),0), INDEX($AB$1004:$AQ$1004,1,MATCH(COLUMNS($AB$1006:AN1006),$AB$1006:$AQ$1006,0)))),"Fix")))</f>
        <v>0</v>
      </c>
      <c r="O467" s="4">
        <f>IF(OR(INDEX($V$2:$V$1001,MATCH(ROWS($U$2:U467),$U$2:$U$1001,0),1)&gt;=100000,INDEX($AB$1005:$AQ$1005,1,MATCH(COLUMNS($AB$1006:AO1006),$AB$1006:$AQ$1006,0))&gt;=100000), " ",IF(INDEX($AB$2:$AQ$1001,MATCH(ROWS($U$2:U467),$U$2:$U$1001,0),MATCH(COLUMNS($AB$1006:AO1006),$AB$1006:$AQ$1006,0)), HYPERLINK("#",""), HYPERLINK(CONCATENATE("#metadata!", ADDRESS(INDEX($W$2:$W$1001,MATCH(ROWS($U$2:U467),$U$2:$U$1001,0),0), INDEX($AB$1004:$AQ$1004,1,MATCH(COLUMNS($AB$1006:AO1006),$AB$1006:$AQ$1006,0)))),"Fix")))</f>
        <v>0</v>
      </c>
      <c r="P467" s="4">
        <f>IF(OR(INDEX($V$2:$V$1001,MATCH(ROWS($U$2:U467),$U$2:$U$1001,0),1)&gt;=100000,INDEX($AB$1005:$AQ$1005,1,MATCH(COLUMNS($AB$1006:AP1006),$AB$1006:$AQ$1006,0))&gt;=100000), " ",IF(INDEX($AB$2:$AQ$1001,MATCH(ROWS($U$2:U467),$U$2:$U$1001,0),MATCH(COLUMNS($AB$1006:AP1006),$AB$1006:$AQ$1006,0)), HYPERLINK("#",""), HYPERLINK(CONCATENATE("#metadata!", ADDRESS(INDEX($W$2:$W$1001,MATCH(ROWS($U$2:U467),$U$2:$U$1001,0),0), INDEX($AB$1004:$AQ$1004,1,MATCH(COLUMNS($AB$1006:AP1006),$AB$1006:$AQ$1006,0)))),"Fix")))</f>
        <v>0</v>
      </c>
      <c r="Q467" s="4">
        <f>IF(OR(INDEX($V$2:$V$1001,MATCH(ROWS($U$2:U467),$U$2:$U$1001,0),1)&gt;=100000,INDEX($AB$1005:$AQ$1005,1,MATCH(COLUMNS($AB$1006:AQ1006),$AB$1006:$AQ$1006,0))&gt;=100000), " ",IF(INDEX($AB$2:$AQ$1001,MATCH(ROWS($U$2:U467),$U$2:$U$1001,0),MATCH(COLUMNS($AB$1006:AQ1006),$AB$1006:$AQ$1006,0)), HYPERLINK("#",""), HYPERLINK(CONCATENATE("#metadata!", ADDRESS(INDEX($W$2:$W$1001,MATCH(ROWS($U$2:U467),$U$2:$U$1001,0),0), INDEX($AB$1004:$AQ$1004,1,MATCH(COLUMNS($AB$1006:AQ1006),$AB$1006:$AQ$1006,0)))),"Fix")))</f>
        <v>0</v>
      </c>
      <c r="U467">
        <v>0</v>
      </c>
      <c r="V467">
        <v>0</v>
      </c>
      <c r="W467">
        <v>0</v>
      </c>
      <c r="X467">
        <f>IF(Y467,TRUE,AND(AB467:AQ467))</f>
        <v>0</v>
      </c>
      <c r="Y467">
        <f>COUNTBLANK(metadata!B467:Q467)=COLUMNS(metadata!B467:Q467)</f>
        <v>0</v>
      </c>
      <c r="Z467">
        <v>0</v>
      </c>
      <c r="AB467">
        <f>AND(IF(metadata!B467="",FALSE,TRUE),COUNTIF(metadata!B:B, metadata!B467) = 1,NOT(ISERROR(SUMPRODUCT(SEARCH(MID(metadata!B467,ROW(INDIRECT("1:"&amp;LEN(metadata!B467))), 1),"0123456789abcdefghijklmnopqrstuvwxyzABCDEFGHIJKLMNOPQRSTUVWXYZ.")))))</f>
        <v>0</v>
      </c>
      <c r="AC467">
        <f>OR(AND(IF(metadata!C467="",FALSE,TRUE),OR(exact(metadata!C467,"missing: not collected"),exact(metadata!C467,"missing: not provided"),exact(metadata!C467,"missing: restricted access"))),AND(IF(metadata!C467="",FALSE,TRUE),AND(AND(IFERROR(INT(LEFT(metadata!C467,4))&gt;1900,FALSE),IFERROR(INT(LEFT(metadata!C467,4))&lt;=YEAR(NOW()),FALSE)), OR(MID(metadata!C467,5,1)="", AND(AND(MID(metadata!C467,5,1)="-",IFERROR(INT(MID(metadata!C467,6,1))&gt;=0,FALSE),IFERROR(INT(MID(metadata!C467,6,1))&lt;=1,FALSE),NOT(MID(metadata!C467,7,1)=""),IFERROR(INT(MID(metadata!C467,6,2))&gt;=1,FALSE),IFERROR(INT(MID(metadata!C467,6,2))&lt;=12,FALSE)), OR(MID(metadata!C467,8,1)="", AND(AND(MID(metadata!C467,8,1)="-",IFERROR(INT(MID(metadata!C467,9,1))&gt;=0,FALSE),IFERROR(INT(MID(metadata!C467,9,1))&lt;=3,FALSE),NOT(MID(metadata!C467,10,1)=""),IFERROR(INT(MID(metadata!C467,9,2))&gt;=1,FALSE),IFERROR(INT(MID(metadata!C467,9,2))&lt;=31,FALSE)), OR(MID(metadata!C467,11,1)="", AND(AND(MID(metadata!C467,11,1)=" ",IFERROR(INT(MID(metadata!C467,12,1))&gt;=0,FALSE),IFERROR(INT(MID(metadata!C467,12,1))&lt;=2,FALSE),NOT(MID(metadata!C467,13,1)=""),IFERROR(INT(MID(metadata!C467,12,2))&gt;=0,FALSE),IFERROR(INT(MID(metadata!C467,12,2))&lt;=23,FALSE)), OR(MID(metadata!C467,14,1)="", AND(AND(MID(metadata!C467,14,1)=":",IFERROR(INT(MID(metadata!C467,15,1))&gt;=0,FALSE),IFERROR(INT(MID(metadata!C467,15,1))&lt;=5,FALSE),NOT(MID(metadata!C467,16,1)=""),IFERROR(INT(MID(metadata!C467,15,2))&gt;=0,FALSE),IFERROR(INT(MID(metadata!C467,15,2))&lt;=59,FALSE)), OR(MID(metadata!C467,17,1)="", AND(AND(MID(metadata!C467,17,1)=":",IFERROR(INT(MID(metadata!C467,18,1))&gt;=0,FALSE),IFERROR(INT(MID(metadata!C467,18,1))&lt;=5,FALSE),NOT(MID(metadata!C467,19,1)=""),IFERROR(INT(MID(metadata!C467,18,2))&gt;=0,FALSE),IFERROR(INT(MID(metadata!C467,18,2))&lt;=59,FALSE)), LEN(metadata!C467)&lt;=19)))))))))))))</f>
        <v>0</v>
      </c>
      <c r="AD467">
        <f>IF(metadata!D467="",FALSE,TRUE)</f>
        <v>0</v>
      </c>
      <c r="AE467">
        <f>OR(AND(IF(metadata!E467="",FALSE,TRUE),OR(exact(metadata!E467,"missing: not collected"),exact(metadata!E467,"missing: not provided"))),AND(IF(metadata!E467="",FALSE,TRUE),OR(exact(metadata!E467,"TRUE"),exact(metadata!E467,"FALSE"))))</f>
        <v>0</v>
      </c>
      <c r="AF467">
        <f>IF(metadata!F467="",FALSE,TRUE)</f>
        <v>0</v>
      </c>
      <c r="AG467">
        <f>IF(metadata!G467="",FALSE,TRUE)</f>
        <v>0</v>
      </c>
      <c r="AH467">
        <f>IF(metadata!H467="",FALSE,TRUE)</f>
        <v>0</v>
      </c>
      <c r="AI467">
        <f>OR(AND(IF(metadata!I467="",FALSE,TRUE),OR(exact(metadata!I467,"missing: not collected"),exact(metadata!I467,"missing: not provided"),exact(metadata!I467,"missing: restricted access"))),AND(IF(metadata!I467="",FALSE,TRUE),OR(exact(metadata!I467,"air"),exact(metadata!I467,"built environment"),exact(metadata!I467,"host-associated"),exact(metadata!I467,"human-associated"),exact(metadata!I467,"human-skin"),exact(metadata!I467,"human-oral"),exact(metadata!I467,"human-gut"),exact(metadata!I467,"human-vaginal"),exact(metadata!I467,"microbial mat/biofilm"),exact(metadata!I467,"misc environment"),exact(metadata!I467,"plant-associated"),exact(metadata!I467,"sediment"),exact(metadata!I467,"soil"),exact(metadata!I467,"wastewater/sludge"),exact(metadata!I467,"water"))))</f>
        <v>0</v>
      </c>
      <c r="AJ467">
        <f>IF(metadata!J467="",FALSE,TRUE)</f>
        <v>0</v>
      </c>
      <c r="AK467">
        <f>OR(AND(IF(metadata!K467="",FALSE,TRUE),OR(exact(metadata!K467,"missing: not collected"),exact(metadata!K467,"missing: not provided"),exact(metadata!K467,"missing: restricted access"))),AND(IF(metadata!K467="",FALSE,ISNUMBER(VALUE(metadata!K467))),metadata!K467&gt;=-90.00,metadata!K467&lt;=90.00))</f>
        <v>0</v>
      </c>
      <c r="AL467">
        <f>OR(AND(IF(metadata!L467="",FALSE,TRUE),OR(exact(metadata!L467,"missing: not collected"),exact(metadata!L467,"missing: not provided"),exact(metadata!L467,"missing: restricted access"))),AND(IF(metadata!L467="",FALSE,ISNUMBER(VALUE(metadata!L467))),metadata!L467&gt;=-180.00,metadata!L467&lt;=180.00))</f>
        <v>0</v>
      </c>
      <c r="AM467">
        <f>IF(metadata!M467="",FALSE,TRUE)</f>
        <v>0</v>
      </c>
      <c r="AN467">
        <f>OR(AND(IF(metadata!N467="",FALSE,TRUE),OR(exact(metadata!N467,"missing: not collected"),exact(metadata!N467,"missing: not provided"),exact(metadata!N467,"missing: restricted access"))),AND(IF(metadata!N467="",FALSE,TRUE),OR(exact(metadata!N467,"TRUE"),exact(metadata!N467,"FALSE"))))</f>
        <v>0</v>
      </c>
      <c r="AO467">
        <f>IF(metadata!O467="",FALSE,TRUE)</f>
        <v>0</v>
      </c>
      <c r="AP467">
        <f>OR(AND(IF(metadata!P467="",FALSE,TRUE),OR(exact(metadata!P467,"missing: not collected"),exact(metadata!P467,"missing: not provided"))),AND(IF(metadata!P467="",FALSE,IF(ISERROR(INT(metadata!P467)),FALSE,INT(metadata!P467)=metadata!P467)),metadata!P467&gt;0))</f>
        <v>0</v>
      </c>
      <c r="AQ467">
        <f>IF(metadata!Q467="",FALSE,TRUE)</f>
        <v>0</v>
      </c>
    </row>
    <row r="468" spans="1:43">
      <c r="A468" s="5">
        <f>IF(B468=" "," ",HYPERLINK(CONCATENATE("#metadata!",ADDRESS(INDEX($W$2:$W$1001,MATCH(ROWS($U$2:U468),$U$2:$U$1001,0),0),1)),INDEX($Z$2:$Z$1001,MATCH(ROWS($U$2:U468),$U$2:$U$1001,0),0)))</f>
        <v>0</v>
      </c>
      <c r="B468" s="4">
        <f>IF(OR(INDEX($V$2:$V$1001,MATCH(ROWS($U$2:U468),$U$2:$U$1001,0),1)&gt;=100000,INDEX($AB$1005:$AQ$1005,1,MATCH(COLUMNS($AB$1006:AB1006),$AB$1006:$AQ$1006,0))&gt;=100000), " ",IF(INDEX($AB$2:$AQ$1001,MATCH(ROWS($U$2:U468),$U$2:$U$1001,0),MATCH(COLUMNS($AB$1006:AB1006),$AB$1006:$AQ$1006,0)), HYPERLINK("#",""), HYPERLINK(CONCATENATE("#metadata!", ADDRESS(INDEX($W$2:$W$1001,MATCH(ROWS($U$2:U468),$U$2:$U$1001,0),0), INDEX($AB$1004:$AQ$1004,1,MATCH(COLUMNS($AB$1006:AB1006),$AB$1006:$AQ$1006,0)))),"Fix")))</f>
        <v>0</v>
      </c>
      <c r="C468" s="4">
        <f>IF(OR(INDEX($V$2:$V$1001,MATCH(ROWS($U$2:U468),$U$2:$U$1001,0),1)&gt;=100000,INDEX($AB$1005:$AQ$1005,1,MATCH(COLUMNS($AB$1006:AC1006),$AB$1006:$AQ$1006,0))&gt;=100000), " ",IF(INDEX($AB$2:$AQ$1001,MATCH(ROWS($U$2:U468),$U$2:$U$1001,0),MATCH(COLUMNS($AB$1006:AC1006),$AB$1006:$AQ$1006,0)), HYPERLINK("#",""), HYPERLINK(CONCATENATE("#metadata!", ADDRESS(INDEX($W$2:$W$1001,MATCH(ROWS($U$2:U468),$U$2:$U$1001,0),0), INDEX($AB$1004:$AQ$1004,1,MATCH(COLUMNS($AB$1006:AC1006),$AB$1006:$AQ$1006,0)))),"Fix")))</f>
        <v>0</v>
      </c>
      <c r="D468" s="4">
        <f>IF(OR(INDEX($V$2:$V$1001,MATCH(ROWS($U$2:U468),$U$2:$U$1001,0),1)&gt;=100000,INDEX($AB$1005:$AQ$1005,1,MATCH(COLUMNS($AB$1006:AD1006),$AB$1006:$AQ$1006,0))&gt;=100000), " ",IF(INDEX($AB$2:$AQ$1001,MATCH(ROWS($U$2:U468),$U$2:$U$1001,0),MATCH(COLUMNS($AB$1006:AD1006),$AB$1006:$AQ$1006,0)), HYPERLINK("#",""), HYPERLINK(CONCATENATE("#metadata!", ADDRESS(INDEX($W$2:$W$1001,MATCH(ROWS($U$2:U468),$U$2:$U$1001,0),0), INDEX($AB$1004:$AQ$1004,1,MATCH(COLUMNS($AB$1006:AD1006),$AB$1006:$AQ$1006,0)))),"Fix")))</f>
        <v>0</v>
      </c>
      <c r="E468" s="4">
        <f>IF(OR(INDEX($V$2:$V$1001,MATCH(ROWS($U$2:U468),$U$2:$U$1001,0),1)&gt;=100000,INDEX($AB$1005:$AQ$1005,1,MATCH(COLUMNS($AB$1006:AE1006),$AB$1006:$AQ$1006,0))&gt;=100000), " ",IF(INDEX($AB$2:$AQ$1001,MATCH(ROWS($U$2:U468),$U$2:$U$1001,0),MATCH(COLUMNS($AB$1006:AE1006),$AB$1006:$AQ$1006,0)), HYPERLINK("#",""), HYPERLINK(CONCATENATE("#metadata!", ADDRESS(INDEX($W$2:$W$1001,MATCH(ROWS($U$2:U468),$U$2:$U$1001,0),0), INDEX($AB$1004:$AQ$1004,1,MATCH(COLUMNS($AB$1006:AE1006),$AB$1006:$AQ$1006,0)))),"Fix")))</f>
        <v>0</v>
      </c>
      <c r="F468" s="4">
        <f>IF(OR(INDEX($V$2:$V$1001,MATCH(ROWS($U$2:U468),$U$2:$U$1001,0),1)&gt;=100000,INDEX($AB$1005:$AQ$1005,1,MATCH(COLUMNS($AB$1006:AF1006),$AB$1006:$AQ$1006,0))&gt;=100000), " ",IF(INDEX($AB$2:$AQ$1001,MATCH(ROWS($U$2:U468),$U$2:$U$1001,0),MATCH(COLUMNS($AB$1006:AF1006),$AB$1006:$AQ$1006,0)), HYPERLINK("#",""), HYPERLINK(CONCATENATE("#metadata!", ADDRESS(INDEX($W$2:$W$1001,MATCH(ROWS($U$2:U468),$U$2:$U$1001,0),0), INDEX($AB$1004:$AQ$1004,1,MATCH(COLUMNS($AB$1006:AF1006),$AB$1006:$AQ$1006,0)))),"Fix")))</f>
        <v>0</v>
      </c>
      <c r="G468" s="4">
        <f>IF(OR(INDEX($V$2:$V$1001,MATCH(ROWS($U$2:U468),$U$2:$U$1001,0),1)&gt;=100000,INDEX($AB$1005:$AQ$1005,1,MATCH(COLUMNS($AB$1006:AG1006),$AB$1006:$AQ$1006,0))&gt;=100000), " ",IF(INDEX($AB$2:$AQ$1001,MATCH(ROWS($U$2:U468),$U$2:$U$1001,0),MATCH(COLUMNS($AB$1006:AG1006),$AB$1006:$AQ$1006,0)), HYPERLINK("#",""), HYPERLINK(CONCATENATE("#metadata!", ADDRESS(INDEX($W$2:$W$1001,MATCH(ROWS($U$2:U468),$U$2:$U$1001,0),0), INDEX($AB$1004:$AQ$1004,1,MATCH(COLUMNS($AB$1006:AG1006),$AB$1006:$AQ$1006,0)))),"Fix")))</f>
        <v>0</v>
      </c>
      <c r="H468" s="4">
        <f>IF(OR(INDEX($V$2:$V$1001,MATCH(ROWS($U$2:U468),$U$2:$U$1001,0),1)&gt;=100000,INDEX($AB$1005:$AQ$1005,1,MATCH(COLUMNS($AB$1006:AH1006),$AB$1006:$AQ$1006,0))&gt;=100000), " ",IF(INDEX($AB$2:$AQ$1001,MATCH(ROWS($U$2:U468),$U$2:$U$1001,0),MATCH(COLUMNS($AB$1006:AH1006),$AB$1006:$AQ$1006,0)), HYPERLINK("#",""), HYPERLINK(CONCATENATE("#metadata!", ADDRESS(INDEX($W$2:$W$1001,MATCH(ROWS($U$2:U468),$U$2:$U$1001,0),0), INDEX($AB$1004:$AQ$1004,1,MATCH(COLUMNS($AB$1006:AH1006),$AB$1006:$AQ$1006,0)))),"Fix")))</f>
        <v>0</v>
      </c>
      <c r="I468" s="4">
        <f>IF(OR(INDEX($V$2:$V$1001,MATCH(ROWS($U$2:U468),$U$2:$U$1001,0),1)&gt;=100000,INDEX($AB$1005:$AQ$1005,1,MATCH(COLUMNS($AB$1006:AI1006),$AB$1006:$AQ$1006,0))&gt;=100000), " ",IF(INDEX($AB$2:$AQ$1001,MATCH(ROWS($U$2:U468),$U$2:$U$1001,0),MATCH(COLUMNS($AB$1006:AI1006),$AB$1006:$AQ$1006,0)), HYPERLINK("#",""), HYPERLINK(CONCATENATE("#metadata!", ADDRESS(INDEX($W$2:$W$1001,MATCH(ROWS($U$2:U468),$U$2:$U$1001,0),0), INDEX($AB$1004:$AQ$1004,1,MATCH(COLUMNS($AB$1006:AI1006),$AB$1006:$AQ$1006,0)))),"Fix")))</f>
        <v>0</v>
      </c>
      <c r="J468" s="4">
        <f>IF(OR(INDEX($V$2:$V$1001,MATCH(ROWS($U$2:U468),$U$2:$U$1001,0),1)&gt;=100000,INDEX($AB$1005:$AQ$1005,1,MATCH(COLUMNS($AB$1006:AJ1006),$AB$1006:$AQ$1006,0))&gt;=100000), " ",IF(INDEX($AB$2:$AQ$1001,MATCH(ROWS($U$2:U468),$U$2:$U$1001,0),MATCH(COLUMNS($AB$1006:AJ1006),$AB$1006:$AQ$1006,0)), HYPERLINK("#",""), HYPERLINK(CONCATENATE("#metadata!", ADDRESS(INDEX($W$2:$W$1001,MATCH(ROWS($U$2:U468),$U$2:$U$1001,0),0), INDEX($AB$1004:$AQ$1004,1,MATCH(COLUMNS($AB$1006:AJ1006),$AB$1006:$AQ$1006,0)))),"Fix")))</f>
        <v>0</v>
      </c>
      <c r="K468" s="4">
        <f>IF(OR(INDEX($V$2:$V$1001,MATCH(ROWS($U$2:U468),$U$2:$U$1001,0),1)&gt;=100000,INDEX($AB$1005:$AQ$1005,1,MATCH(COLUMNS($AB$1006:AK1006),$AB$1006:$AQ$1006,0))&gt;=100000), " ",IF(INDEX($AB$2:$AQ$1001,MATCH(ROWS($U$2:U468),$U$2:$U$1001,0),MATCH(COLUMNS($AB$1006:AK1006),$AB$1006:$AQ$1006,0)), HYPERLINK("#",""), HYPERLINK(CONCATENATE("#metadata!", ADDRESS(INDEX($W$2:$W$1001,MATCH(ROWS($U$2:U468),$U$2:$U$1001,0),0), INDEX($AB$1004:$AQ$1004,1,MATCH(COLUMNS($AB$1006:AK1006),$AB$1006:$AQ$1006,0)))),"Fix")))</f>
        <v>0</v>
      </c>
      <c r="L468" s="4">
        <f>IF(OR(INDEX($V$2:$V$1001,MATCH(ROWS($U$2:U468),$U$2:$U$1001,0),1)&gt;=100000,INDEX($AB$1005:$AQ$1005,1,MATCH(COLUMNS($AB$1006:AL1006),$AB$1006:$AQ$1006,0))&gt;=100000), " ",IF(INDEX($AB$2:$AQ$1001,MATCH(ROWS($U$2:U468),$U$2:$U$1001,0),MATCH(COLUMNS($AB$1006:AL1006),$AB$1006:$AQ$1006,0)), HYPERLINK("#",""), HYPERLINK(CONCATENATE("#metadata!", ADDRESS(INDEX($W$2:$W$1001,MATCH(ROWS($U$2:U468),$U$2:$U$1001,0),0), INDEX($AB$1004:$AQ$1004,1,MATCH(COLUMNS($AB$1006:AL1006),$AB$1006:$AQ$1006,0)))),"Fix")))</f>
        <v>0</v>
      </c>
      <c r="M468" s="4">
        <f>IF(OR(INDEX($V$2:$V$1001,MATCH(ROWS($U$2:U468),$U$2:$U$1001,0),1)&gt;=100000,INDEX($AB$1005:$AQ$1005,1,MATCH(COLUMNS($AB$1006:AM1006),$AB$1006:$AQ$1006,0))&gt;=100000), " ",IF(INDEX($AB$2:$AQ$1001,MATCH(ROWS($U$2:U468),$U$2:$U$1001,0),MATCH(COLUMNS($AB$1006:AM1006),$AB$1006:$AQ$1006,0)), HYPERLINK("#",""), HYPERLINK(CONCATENATE("#metadata!", ADDRESS(INDEX($W$2:$W$1001,MATCH(ROWS($U$2:U468),$U$2:$U$1001,0),0), INDEX($AB$1004:$AQ$1004,1,MATCH(COLUMNS($AB$1006:AM1006),$AB$1006:$AQ$1006,0)))),"Fix")))</f>
        <v>0</v>
      </c>
      <c r="N468" s="4">
        <f>IF(OR(INDEX($V$2:$V$1001,MATCH(ROWS($U$2:U468),$U$2:$U$1001,0),1)&gt;=100000,INDEX($AB$1005:$AQ$1005,1,MATCH(COLUMNS($AB$1006:AN1006),$AB$1006:$AQ$1006,0))&gt;=100000), " ",IF(INDEX($AB$2:$AQ$1001,MATCH(ROWS($U$2:U468),$U$2:$U$1001,0),MATCH(COLUMNS($AB$1006:AN1006),$AB$1006:$AQ$1006,0)), HYPERLINK("#",""), HYPERLINK(CONCATENATE("#metadata!", ADDRESS(INDEX($W$2:$W$1001,MATCH(ROWS($U$2:U468),$U$2:$U$1001,0),0), INDEX($AB$1004:$AQ$1004,1,MATCH(COLUMNS($AB$1006:AN1006),$AB$1006:$AQ$1006,0)))),"Fix")))</f>
        <v>0</v>
      </c>
      <c r="O468" s="4">
        <f>IF(OR(INDEX($V$2:$V$1001,MATCH(ROWS($U$2:U468),$U$2:$U$1001,0),1)&gt;=100000,INDEX($AB$1005:$AQ$1005,1,MATCH(COLUMNS($AB$1006:AO1006),$AB$1006:$AQ$1006,0))&gt;=100000), " ",IF(INDEX($AB$2:$AQ$1001,MATCH(ROWS($U$2:U468),$U$2:$U$1001,0),MATCH(COLUMNS($AB$1006:AO1006),$AB$1006:$AQ$1006,0)), HYPERLINK("#",""), HYPERLINK(CONCATENATE("#metadata!", ADDRESS(INDEX($W$2:$W$1001,MATCH(ROWS($U$2:U468),$U$2:$U$1001,0),0), INDEX($AB$1004:$AQ$1004,1,MATCH(COLUMNS($AB$1006:AO1006),$AB$1006:$AQ$1006,0)))),"Fix")))</f>
        <v>0</v>
      </c>
      <c r="P468" s="4">
        <f>IF(OR(INDEX($V$2:$V$1001,MATCH(ROWS($U$2:U468),$U$2:$U$1001,0),1)&gt;=100000,INDEX($AB$1005:$AQ$1005,1,MATCH(COLUMNS($AB$1006:AP1006),$AB$1006:$AQ$1006,0))&gt;=100000), " ",IF(INDEX($AB$2:$AQ$1001,MATCH(ROWS($U$2:U468),$U$2:$U$1001,0),MATCH(COLUMNS($AB$1006:AP1006),$AB$1006:$AQ$1006,0)), HYPERLINK("#",""), HYPERLINK(CONCATENATE("#metadata!", ADDRESS(INDEX($W$2:$W$1001,MATCH(ROWS($U$2:U468),$U$2:$U$1001,0),0), INDEX($AB$1004:$AQ$1004,1,MATCH(COLUMNS($AB$1006:AP1006),$AB$1006:$AQ$1006,0)))),"Fix")))</f>
        <v>0</v>
      </c>
      <c r="Q468" s="4">
        <f>IF(OR(INDEX($V$2:$V$1001,MATCH(ROWS($U$2:U468),$U$2:$U$1001,0),1)&gt;=100000,INDEX($AB$1005:$AQ$1005,1,MATCH(COLUMNS($AB$1006:AQ1006),$AB$1006:$AQ$1006,0))&gt;=100000), " ",IF(INDEX($AB$2:$AQ$1001,MATCH(ROWS($U$2:U468),$U$2:$U$1001,0),MATCH(COLUMNS($AB$1006:AQ1006),$AB$1006:$AQ$1006,0)), HYPERLINK("#",""), HYPERLINK(CONCATENATE("#metadata!", ADDRESS(INDEX($W$2:$W$1001,MATCH(ROWS($U$2:U468),$U$2:$U$1001,0),0), INDEX($AB$1004:$AQ$1004,1,MATCH(COLUMNS($AB$1006:AQ1006),$AB$1006:$AQ$1006,0)))),"Fix")))</f>
        <v>0</v>
      </c>
      <c r="U468">
        <v>0</v>
      </c>
      <c r="V468">
        <v>0</v>
      </c>
      <c r="W468">
        <v>0</v>
      </c>
      <c r="X468">
        <f>IF(Y468,TRUE,AND(AB468:AQ468))</f>
        <v>0</v>
      </c>
      <c r="Y468">
        <f>COUNTBLANK(metadata!B468:Q468)=COLUMNS(metadata!B468:Q468)</f>
        <v>0</v>
      </c>
      <c r="Z468">
        <v>0</v>
      </c>
      <c r="AB468">
        <f>AND(IF(metadata!B468="",FALSE,TRUE),COUNTIF(metadata!B:B, metadata!B468) = 1,NOT(ISERROR(SUMPRODUCT(SEARCH(MID(metadata!B468,ROW(INDIRECT("1:"&amp;LEN(metadata!B468))), 1),"0123456789abcdefghijklmnopqrstuvwxyzABCDEFGHIJKLMNOPQRSTUVWXYZ.")))))</f>
        <v>0</v>
      </c>
      <c r="AC468">
        <f>OR(AND(IF(metadata!C468="",FALSE,TRUE),OR(exact(metadata!C468,"missing: not collected"),exact(metadata!C468,"missing: not provided"),exact(metadata!C468,"missing: restricted access"))),AND(IF(metadata!C468="",FALSE,TRUE),AND(AND(IFERROR(INT(LEFT(metadata!C468,4))&gt;1900,FALSE),IFERROR(INT(LEFT(metadata!C468,4))&lt;=YEAR(NOW()),FALSE)), OR(MID(metadata!C468,5,1)="", AND(AND(MID(metadata!C468,5,1)="-",IFERROR(INT(MID(metadata!C468,6,1))&gt;=0,FALSE),IFERROR(INT(MID(metadata!C468,6,1))&lt;=1,FALSE),NOT(MID(metadata!C468,7,1)=""),IFERROR(INT(MID(metadata!C468,6,2))&gt;=1,FALSE),IFERROR(INT(MID(metadata!C468,6,2))&lt;=12,FALSE)), OR(MID(metadata!C468,8,1)="", AND(AND(MID(metadata!C468,8,1)="-",IFERROR(INT(MID(metadata!C468,9,1))&gt;=0,FALSE),IFERROR(INT(MID(metadata!C468,9,1))&lt;=3,FALSE),NOT(MID(metadata!C468,10,1)=""),IFERROR(INT(MID(metadata!C468,9,2))&gt;=1,FALSE),IFERROR(INT(MID(metadata!C468,9,2))&lt;=31,FALSE)), OR(MID(metadata!C468,11,1)="", AND(AND(MID(metadata!C468,11,1)=" ",IFERROR(INT(MID(metadata!C468,12,1))&gt;=0,FALSE),IFERROR(INT(MID(metadata!C468,12,1))&lt;=2,FALSE),NOT(MID(metadata!C468,13,1)=""),IFERROR(INT(MID(metadata!C468,12,2))&gt;=0,FALSE),IFERROR(INT(MID(metadata!C468,12,2))&lt;=23,FALSE)), OR(MID(metadata!C468,14,1)="", AND(AND(MID(metadata!C468,14,1)=":",IFERROR(INT(MID(metadata!C468,15,1))&gt;=0,FALSE),IFERROR(INT(MID(metadata!C468,15,1))&lt;=5,FALSE),NOT(MID(metadata!C468,16,1)=""),IFERROR(INT(MID(metadata!C468,15,2))&gt;=0,FALSE),IFERROR(INT(MID(metadata!C468,15,2))&lt;=59,FALSE)), OR(MID(metadata!C468,17,1)="", AND(AND(MID(metadata!C468,17,1)=":",IFERROR(INT(MID(metadata!C468,18,1))&gt;=0,FALSE),IFERROR(INT(MID(metadata!C468,18,1))&lt;=5,FALSE),NOT(MID(metadata!C468,19,1)=""),IFERROR(INT(MID(metadata!C468,18,2))&gt;=0,FALSE),IFERROR(INT(MID(metadata!C468,18,2))&lt;=59,FALSE)), LEN(metadata!C468)&lt;=19)))))))))))))</f>
        <v>0</v>
      </c>
      <c r="AD468">
        <f>IF(metadata!D468="",FALSE,TRUE)</f>
        <v>0</v>
      </c>
      <c r="AE468">
        <f>OR(AND(IF(metadata!E468="",FALSE,TRUE),OR(exact(metadata!E468,"missing: not collected"),exact(metadata!E468,"missing: not provided"))),AND(IF(metadata!E468="",FALSE,TRUE),OR(exact(metadata!E468,"TRUE"),exact(metadata!E468,"FALSE"))))</f>
        <v>0</v>
      </c>
      <c r="AF468">
        <f>IF(metadata!F468="",FALSE,TRUE)</f>
        <v>0</v>
      </c>
      <c r="AG468">
        <f>IF(metadata!G468="",FALSE,TRUE)</f>
        <v>0</v>
      </c>
      <c r="AH468">
        <f>IF(metadata!H468="",FALSE,TRUE)</f>
        <v>0</v>
      </c>
      <c r="AI468">
        <f>OR(AND(IF(metadata!I468="",FALSE,TRUE),OR(exact(metadata!I468,"missing: not collected"),exact(metadata!I468,"missing: not provided"),exact(metadata!I468,"missing: restricted access"))),AND(IF(metadata!I468="",FALSE,TRUE),OR(exact(metadata!I468,"air"),exact(metadata!I468,"built environment"),exact(metadata!I468,"host-associated"),exact(metadata!I468,"human-associated"),exact(metadata!I468,"human-skin"),exact(metadata!I468,"human-oral"),exact(metadata!I468,"human-gut"),exact(metadata!I468,"human-vaginal"),exact(metadata!I468,"microbial mat/biofilm"),exact(metadata!I468,"misc environment"),exact(metadata!I468,"plant-associated"),exact(metadata!I468,"sediment"),exact(metadata!I468,"soil"),exact(metadata!I468,"wastewater/sludge"),exact(metadata!I468,"water"))))</f>
        <v>0</v>
      </c>
      <c r="AJ468">
        <f>IF(metadata!J468="",FALSE,TRUE)</f>
        <v>0</v>
      </c>
      <c r="AK468">
        <f>OR(AND(IF(metadata!K468="",FALSE,TRUE),OR(exact(metadata!K468,"missing: not collected"),exact(metadata!K468,"missing: not provided"),exact(metadata!K468,"missing: restricted access"))),AND(IF(metadata!K468="",FALSE,ISNUMBER(VALUE(metadata!K468))),metadata!K468&gt;=-90.00,metadata!K468&lt;=90.00))</f>
        <v>0</v>
      </c>
      <c r="AL468">
        <f>OR(AND(IF(metadata!L468="",FALSE,TRUE),OR(exact(metadata!L468,"missing: not collected"),exact(metadata!L468,"missing: not provided"),exact(metadata!L468,"missing: restricted access"))),AND(IF(metadata!L468="",FALSE,ISNUMBER(VALUE(metadata!L468))),metadata!L468&gt;=-180.00,metadata!L468&lt;=180.00))</f>
        <v>0</v>
      </c>
      <c r="AM468">
        <f>IF(metadata!M468="",FALSE,TRUE)</f>
        <v>0</v>
      </c>
      <c r="AN468">
        <f>OR(AND(IF(metadata!N468="",FALSE,TRUE),OR(exact(metadata!N468,"missing: not collected"),exact(metadata!N468,"missing: not provided"),exact(metadata!N468,"missing: restricted access"))),AND(IF(metadata!N468="",FALSE,TRUE),OR(exact(metadata!N468,"TRUE"),exact(metadata!N468,"FALSE"))))</f>
        <v>0</v>
      </c>
      <c r="AO468">
        <f>IF(metadata!O468="",FALSE,TRUE)</f>
        <v>0</v>
      </c>
      <c r="AP468">
        <f>OR(AND(IF(metadata!P468="",FALSE,TRUE),OR(exact(metadata!P468,"missing: not collected"),exact(metadata!P468,"missing: not provided"))),AND(IF(metadata!P468="",FALSE,IF(ISERROR(INT(metadata!P468)),FALSE,INT(metadata!P468)=metadata!P468)),metadata!P468&gt;0))</f>
        <v>0</v>
      </c>
      <c r="AQ468">
        <f>IF(metadata!Q468="",FALSE,TRUE)</f>
        <v>0</v>
      </c>
    </row>
    <row r="469" spans="1:43">
      <c r="A469" s="5">
        <f>IF(B469=" "," ",HYPERLINK(CONCATENATE("#metadata!",ADDRESS(INDEX($W$2:$W$1001,MATCH(ROWS($U$2:U469),$U$2:$U$1001,0),0),1)),INDEX($Z$2:$Z$1001,MATCH(ROWS($U$2:U469),$U$2:$U$1001,0),0)))</f>
        <v>0</v>
      </c>
      <c r="B469" s="4">
        <f>IF(OR(INDEX($V$2:$V$1001,MATCH(ROWS($U$2:U469),$U$2:$U$1001,0),1)&gt;=100000,INDEX($AB$1005:$AQ$1005,1,MATCH(COLUMNS($AB$1006:AB1006),$AB$1006:$AQ$1006,0))&gt;=100000), " ",IF(INDEX($AB$2:$AQ$1001,MATCH(ROWS($U$2:U469),$U$2:$U$1001,0),MATCH(COLUMNS($AB$1006:AB1006),$AB$1006:$AQ$1006,0)), HYPERLINK("#",""), HYPERLINK(CONCATENATE("#metadata!", ADDRESS(INDEX($W$2:$W$1001,MATCH(ROWS($U$2:U469),$U$2:$U$1001,0),0), INDEX($AB$1004:$AQ$1004,1,MATCH(COLUMNS($AB$1006:AB1006),$AB$1006:$AQ$1006,0)))),"Fix")))</f>
        <v>0</v>
      </c>
      <c r="C469" s="4">
        <f>IF(OR(INDEX($V$2:$V$1001,MATCH(ROWS($U$2:U469),$U$2:$U$1001,0),1)&gt;=100000,INDEX($AB$1005:$AQ$1005,1,MATCH(COLUMNS($AB$1006:AC1006),$AB$1006:$AQ$1006,0))&gt;=100000), " ",IF(INDEX($AB$2:$AQ$1001,MATCH(ROWS($U$2:U469),$U$2:$U$1001,0),MATCH(COLUMNS($AB$1006:AC1006),$AB$1006:$AQ$1006,0)), HYPERLINK("#",""), HYPERLINK(CONCATENATE("#metadata!", ADDRESS(INDEX($W$2:$W$1001,MATCH(ROWS($U$2:U469),$U$2:$U$1001,0),0), INDEX($AB$1004:$AQ$1004,1,MATCH(COLUMNS($AB$1006:AC1006),$AB$1006:$AQ$1006,0)))),"Fix")))</f>
        <v>0</v>
      </c>
      <c r="D469" s="4">
        <f>IF(OR(INDEX($V$2:$V$1001,MATCH(ROWS($U$2:U469),$U$2:$U$1001,0),1)&gt;=100000,INDEX($AB$1005:$AQ$1005,1,MATCH(COLUMNS($AB$1006:AD1006),$AB$1006:$AQ$1006,0))&gt;=100000), " ",IF(INDEX($AB$2:$AQ$1001,MATCH(ROWS($U$2:U469),$U$2:$U$1001,0),MATCH(COLUMNS($AB$1006:AD1006),$AB$1006:$AQ$1006,0)), HYPERLINK("#",""), HYPERLINK(CONCATENATE("#metadata!", ADDRESS(INDEX($W$2:$W$1001,MATCH(ROWS($U$2:U469),$U$2:$U$1001,0),0), INDEX($AB$1004:$AQ$1004,1,MATCH(COLUMNS($AB$1006:AD1006),$AB$1006:$AQ$1006,0)))),"Fix")))</f>
        <v>0</v>
      </c>
      <c r="E469" s="4">
        <f>IF(OR(INDEX($V$2:$V$1001,MATCH(ROWS($U$2:U469),$U$2:$U$1001,0),1)&gt;=100000,INDEX($AB$1005:$AQ$1005,1,MATCH(COLUMNS($AB$1006:AE1006),$AB$1006:$AQ$1006,0))&gt;=100000), " ",IF(INDEX($AB$2:$AQ$1001,MATCH(ROWS($U$2:U469),$U$2:$U$1001,0),MATCH(COLUMNS($AB$1006:AE1006),$AB$1006:$AQ$1006,0)), HYPERLINK("#",""), HYPERLINK(CONCATENATE("#metadata!", ADDRESS(INDEX($W$2:$W$1001,MATCH(ROWS($U$2:U469),$U$2:$U$1001,0),0), INDEX($AB$1004:$AQ$1004,1,MATCH(COLUMNS($AB$1006:AE1006),$AB$1006:$AQ$1006,0)))),"Fix")))</f>
        <v>0</v>
      </c>
      <c r="F469" s="4">
        <f>IF(OR(INDEX($V$2:$V$1001,MATCH(ROWS($U$2:U469),$U$2:$U$1001,0),1)&gt;=100000,INDEX($AB$1005:$AQ$1005,1,MATCH(COLUMNS($AB$1006:AF1006),$AB$1006:$AQ$1006,0))&gt;=100000), " ",IF(INDEX($AB$2:$AQ$1001,MATCH(ROWS($U$2:U469),$U$2:$U$1001,0),MATCH(COLUMNS($AB$1006:AF1006),$AB$1006:$AQ$1006,0)), HYPERLINK("#",""), HYPERLINK(CONCATENATE("#metadata!", ADDRESS(INDEX($W$2:$W$1001,MATCH(ROWS($U$2:U469),$U$2:$U$1001,0),0), INDEX($AB$1004:$AQ$1004,1,MATCH(COLUMNS($AB$1006:AF1006),$AB$1006:$AQ$1006,0)))),"Fix")))</f>
        <v>0</v>
      </c>
      <c r="G469" s="4">
        <f>IF(OR(INDEX($V$2:$V$1001,MATCH(ROWS($U$2:U469),$U$2:$U$1001,0),1)&gt;=100000,INDEX($AB$1005:$AQ$1005,1,MATCH(COLUMNS($AB$1006:AG1006),$AB$1006:$AQ$1006,0))&gt;=100000), " ",IF(INDEX($AB$2:$AQ$1001,MATCH(ROWS($U$2:U469),$U$2:$U$1001,0),MATCH(COLUMNS($AB$1006:AG1006),$AB$1006:$AQ$1006,0)), HYPERLINK("#",""), HYPERLINK(CONCATENATE("#metadata!", ADDRESS(INDEX($W$2:$W$1001,MATCH(ROWS($U$2:U469),$U$2:$U$1001,0),0), INDEX($AB$1004:$AQ$1004,1,MATCH(COLUMNS($AB$1006:AG1006),$AB$1006:$AQ$1006,0)))),"Fix")))</f>
        <v>0</v>
      </c>
      <c r="H469" s="4">
        <f>IF(OR(INDEX($V$2:$V$1001,MATCH(ROWS($U$2:U469),$U$2:$U$1001,0),1)&gt;=100000,INDEX($AB$1005:$AQ$1005,1,MATCH(COLUMNS($AB$1006:AH1006),$AB$1006:$AQ$1006,0))&gt;=100000), " ",IF(INDEX($AB$2:$AQ$1001,MATCH(ROWS($U$2:U469),$U$2:$U$1001,0),MATCH(COLUMNS($AB$1006:AH1006),$AB$1006:$AQ$1006,0)), HYPERLINK("#",""), HYPERLINK(CONCATENATE("#metadata!", ADDRESS(INDEX($W$2:$W$1001,MATCH(ROWS($U$2:U469),$U$2:$U$1001,0),0), INDEX($AB$1004:$AQ$1004,1,MATCH(COLUMNS($AB$1006:AH1006),$AB$1006:$AQ$1006,0)))),"Fix")))</f>
        <v>0</v>
      </c>
      <c r="I469" s="4">
        <f>IF(OR(INDEX($V$2:$V$1001,MATCH(ROWS($U$2:U469),$U$2:$U$1001,0),1)&gt;=100000,INDEX($AB$1005:$AQ$1005,1,MATCH(COLUMNS($AB$1006:AI1006),$AB$1006:$AQ$1006,0))&gt;=100000), " ",IF(INDEX($AB$2:$AQ$1001,MATCH(ROWS($U$2:U469),$U$2:$U$1001,0),MATCH(COLUMNS($AB$1006:AI1006),$AB$1006:$AQ$1006,0)), HYPERLINK("#",""), HYPERLINK(CONCATENATE("#metadata!", ADDRESS(INDEX($W$2:$W$1001,MATCH(ROWS($U$2:U469),$U$2:$U$1001,0),0), INDEX($AB$1004:$AQ$1004,1,MATCH(COLUMNS($AB$1006:AI1006),$AB$1006:$AQ$1006,0)))),"Fix")))</f>
        <v>0</v>
      </c>
      <c r="J469" s="4">
        <f>IF(OR(INDEX($V$2:$V$1001,MATCH(ROWS($U$2:U469),$U$2:$U$1001,0),1)&gt;=100000,INDEX($AB$1005:$AQ$1005,1,MATCH(COLUMNS($AB$1006:AJ1006),$AB$1006:$AQ$1006,0))&gt;=100000), " ",IF(INDEX($AB$2:$AQ$1001,MATCH(ROWS($U$2:U469),$U$2:$U$1001,0),MATCH(COLUMNS($AB$1006:AJ1006),$AB$1006:$AQ$1006,0)), HYPERLINK("#",""), HYPERLINK(CONCATENATE("#metadata!", ADDRESS(INDEX($W$2:$W$1001,MATCH(ROWS($U$2:U469),$U$2:$U$1001,0),0), INDEX($AB$1004:$AQ$1004,1,MATCH(COLUMNS($AB$1006:AJ1006),$AB$1006:$AQ$1006,0)))),"Fix")))</f>
        <v>0</v>
      </c>
      <c r="K469" s="4">
        <f>IF(OR(INDEX($V$2:$V$1001,MATCH(ROWS($U$2:U469),$U$2:$U$1001,0),1)&gt;=100000,INDEX($AB$1005:$AQ$1005,1,MATCH(COLUMNS($AB$1006:AK1006),$AB$1006:$AQ$1006,0))&gt;=100000), " ",IF(INDEX($AB$2:$AQ$1001,MATCH(ROWS($U$2:U469),$U$2:$U$1001,0),MATCH(COLUMNS($AB$1006:AK1006),$AB$1006:$AQ$1006,0)), HYPERLINK("#",""), HYPERLINK(CONCATENATE("#metadata!", ADDRESS(INDEX($W$2:$W$1001,MATCH(ROWS($U$2:U469),$U$2:$U$1001,0),0), INDEX($AB$1004:$AQ$1004,1,MATCH(COLUMNS($AB$1006:AK1006),$AB$1006:$AQ$1006,0)))),"Fix")))</f>
        <v>0</v>
      </c>
      <c r="L469" s="4">
        <f>IF(OR(INDEX($V$2:$V$1001,MATCH(ROWS($U$2:U469),$U$2:$U$1001,0),1)&gt;=100000,INDEX($AB$1005:$AQ$1005,1,MATCH(COLUMNS($AB$1006:AL1006),$AB$1006:$AQ$1006,0))&gt;=100000), " ",IF(INDEX($AB$2:$AQ$1001,MATCH(ROWS($U$2:U469),$U$2:$U$1001,0),MATCH(COLUMNS($AB$1006:AL1006),$AB$1006:$AQ$1006,0)), HYPERLINK("#",""), HYPERLINK(CONCATENATE("#metadata!", ADDRESS(INDEX($W$2:$W$1001,MATCH(ROWS($U$2:U469),$U$2:$U$1001,0),0), INDEX($AB$1004:$AQ$1004,1,MATCH(COLUMNS($AB$1006:AL1006),$AB$1006:$AQ$1006,0)))),"Fix")))</f>
        <v>0</v>
      </c>
      <c r="M469" s="4">
        <f>IF(OR(INDEX($V$2:$V$1001,MATCH(ROWS($U$2:U469),$U$2:$U$1001,0),1)&gt;=100000,INDEX($AB$1005:$AQ$1005,1,MATCH(COLUMNS($AB$1006:AM1006),$AB$1006:$AQ$1006,0))&gt;=100000), " ",IF(INDEX($AB$2:$AQ$1001,MATCH(ROWS($U$2:U469),$U$2:$U$1001,0),MATCH(COLUMNS($AB$1006:AM1006),$AB$1006:$AQ$1006,0)), HYPERLINK("#",""), HYPERLINK(CONCATENATE("#metadata!", ADDRESS(INDEX($W$2:$W$1001,MATCH(ROWS($U$2:U469),$U$2:$U$1001,0),0), INDEX($AB$1004:$AQ$1004,1,MATCH(COLUMNS($AB$1006:AM1006),$AB$1006:$AQ$1006,0)))),"Fix")))</f>
        <v>0</v>
      </c>
      <c r="N469" s="4">
        <f>IF(OR(INDEX($V$2:$V$1001,MATCH(ROWS($U$2:U469),$U$2:$U$1001,0),1)&gt;=100000,INDEX($AB$1005:$AQ$1005,1,MATCH(COLUMNS($AB$1006:AN1006),$AB$1006:$AQ$1006,0))&gt;=100000), " ",IF(INDEX($AB$2:$AQ$1001,MATCH(ROWS($U$2:U469),$U$2:$U$1001,0),MATCH(COLUMNS($AB$1006:AN1006),$AB$1006:$AQ$1006,0)), HYPERLINK("#",""), HYPERLINK(CONCATENATE("#metadata!", ADDRESS(INDEX($W$2:$W$1001,MATCH(ROWS($U$2:U469),$U$2:$U$1001,0),0), INDEX($AB$1004:$AQ$1004,1,MATCH(COLUMNS($AB$1006:AN1006),$AB$1006:$AQ$1006,0)))),"Fix")))</f>
        <v>0</v>
      </c>
      <c r="O469" s="4">
        <f>IF(OR(INDEX($V$2:$V$1001,MATCH(ROWS($U$2:U469),$U$2:$U$1001,0),1)&gt;=100000,INDEX($AB$1005:$AQ$1005,1,MATCH(COLUMNS($AB$1006:AO1006),$AB$1006:$AQ$1006,0))&gt;=100000), " ",IF(INDEX($AB$2:$AQ$1001,MATCH(ROWS($U$2:U469),$U$2:$U$1001,0),MATCH(COLUMNS($AB$1006:AO1006),$AB$1006:$AQ$1006,0)), HYPERLINK("#",""), HYPERLINK(CONCATENATE("#metadata!", ADDRESS(INDEX($W$2:$W$1001,MATCH(ROWS($U$2:U469),$U$2:$U$1001,0),0), INDEX($AB$1004:$AQ$1004,1,MATCH(COLUMNS($AB$1006:AO1006),$AB$1006:$AQ$1006,0)))),"Fix")))</f>
        <v>0</v>
      </c>
      <c r="P469" s="4">
        <f>IF(OR(INDEX($V$2:$V$1001,MATCH(ROWS($U$2:U469),$U$2:$U$1001,0),1)&gt;=100000,INDEX($AB$1005:$AQ$1005,1,MATCH(COLUMNS($AB$1006:AP1006),$AB$1006:$AQ$1006,0))&gt;=100000), " ",IF(INDEX($AB$2:$AQ$1001,MATCH(ROWS($U$2:U469),$U$2:$U$1001,0),MATCH(COLUMNS($AB$1006:AP1006),$AB$1006:$AQ$1006,0)), HYPERLINK("#",""), HYPERLINK(CONCATENATE("#metadata!", ADDRESS(INDEX($W$2:$W$1001,MATCH(ROWS($U$2:U469),$U$2:$U$1001,0),0), INDEX($AB$1004:$AQ$1004,1,MATCH(COLUMNS($AB$1006:AP1006),$AB$1006:$AQ$1006,0)))),"Fix")))</f>
        <v>0</v>
      </c>
      <c r="Q469" s="4">
        <f>IF(OR(INDEX($V$2:$V$1001,MATCH(ROWS($U$2:U469),$U$2:$U$1001,0),1)&gt;=100000,INDEX($AB$1005:$AQ$1005,1,MATCH(COLUMNS($AB$1006:AQ1006),$AB$1006:$AQ$1006,0))&gt;=100000), " ",IF(INDEX($AB$2:$AQ$1001,MATCH(ROWS($U$2:U469),$U$2:$U$1001,0),MATCH(COLUMNS($AB$1006:AQ1006),$AB$1006:$AQ$1006,0)), HYPERLINK("#",""), HYPERLINK(CONCATENATE("#metadata!", ADDRESS(INDEX($W$2:$W$1001,MATCH(ROWS($U$2:U469),$U$2:$U$1001,0),0), INDEX($AB$1004:$AQ$1004,1,MATCH(COLUMNS($AB$1006:AQ1006),$AB$1006:$AQ$1006,0)))),"Fix")))</f>
        <v>0</v>
      </c>
      <c r="U469">
        <v>0</v>
      </c>
      <c r="V469">
        <v>0</v>
      </c>
      <c r="W469">
        <v>0</v>
      </c>
      <c r="X469">
        <f>IF(Y469,TRUE,AND(AB469:AQ469))</f>
        <v>0</v>
      </c>
      <c r="Y469">
        <f>COUNTBLANK(metadata!B469:Q469)=COLUMNS(metadata!B469:Q469)</f>
        <v>0</v>
      </c>
      <c r="Z469">
        <v>0</v>
      </c>
      <c r="AB469">
        <f>AND(IF(metadata!B469="",FALSE,TRUE),COUNTIF(metadata!B:B, metadata!B469) = 1,NOT(ISERROR(SUMPRODUCT(SEARCH(MID(metadata!B469,ROW(INDIRECT("1:"&amp;LEN(metadata!B469))), 1),"0123456789abcdefghijklmnopqrstuvwxyzABCDEFGHIJKLMNOPQRSTUVWXYZ.")))))</f>
        <v>0</v>
      </c>
      <c r="AC469">
        <f>OR(AND(IF(metadata!C469="",FALSE,TRUE),OR(exact(metadata!C469,"missing: not collected"),exact(metadata!C469,"missing: not provided"),exact(metadata!C469,"missing: restricted access"))),AND(IF(metadata!C469="",FALSE,TRUE),AND(AND(IFERROR(INT(LEFT(metadata!C469,4))&gt;1900,FALSE),IFERROR(INT(LEFT(metadata!C469,4))&lt;=YEAR(NOW()),FALSE)), OR(MID(metadata!C469,5,1)="", AND(AND(MID(metadata!C469,5,1)="-",IFERROR(INT(MID(metadata!C469,6,1))&gt;=0,FALSE),IFERROR(INT(MID(metadata!C469,6,1))&lt;=1,FALSE),NOT(MID(metadata!C469,7,1)=""),IFERROR(INT(MID(metadata!C469,6,2))&gt;=1,FALSE),IFERROR(INT(MID(metadata!C469,6,2))&lt;=12,FALSE)), OR(MID(metadata!C469,8,1)="", AND(AND(MID(metadata!C469,8,1)="-",IFERROR(INT(MID(metadata!C469,9,1))&gt;=0,FALSE),IFERROR(INT(MID(metadata!C469,9,1))&lt;=3,FALSE),NOT(MID(metadata!C469,10,1)=""),IFERROR(INT(MID(metadata!C469,9,2))&gt;=1,FALSE),IFERROR(INT(MID(metadata!C469,9,2))&lt;=31,FALSE)), OR(MID(metadata!C469,11,1)="", AND(AND(MID(metadata!C469,11,1)=" ",IFERROR(INT(MID(metadata!C469,12,1))&gt;=0,FALSE),IFERROR(INT(MID(metadata!C469,12,1))&lt;=2,FALSE),NOT(MID(metadata!C469,13,1)=""),IFERROR(INT(MID(metadata!C469,12,2))&gt;=0,FALSE),IFERROR(INT(MID(metadata!C469,12,2))&lt;=23,FALSE)), OR(MID(metadata!C469,14,1)="", AND(AND(MID(metadata!C469,14,1)=":",IFERROR(INT(MID(metadata!C469,15,1))&gt;=0,FALSE),IFERROR(INT(MID(metadata!C469,15,1))&lt;=5,FALSE),NOT(MID(metadata!C469,16,1)=""),IFERROR(INT(MID(metadata!C469,15,2))&gt;=0,FALSE),IFERROR(INT(MID(metadata!C469,15,2))&lt;=59,FALSE)), OR(MID(metadata!C469,17,1)="", AND(AND(MID(metadata!C469,17,1)=":",IFERROR(INT(MID(metadata!C469,18,1))&gt;=0,FALSE),IFERROR(INT(MID(metadata!C469,18,1))&lt;=5,FALSE),NOT(MID(metadata!C469,19,1)=""),IFERROR(INT(MID(metadata!C469,18,2))&gt;=0,FALSE),IFERROR(INT(MID(metadata!C469,18,2))&lt;=59,FALSE)), LEN(metadata!C469)&lt;=19)))))))))))))</f>
        <v>0</v>
      </c>
      <c r="AD469">
        <f>IF(metadata!D469="",FALSE,TRUE)</f>
        <v>0</v>
      </c>
      <c r="AE469">
        <f>OR(AND(IF(metadata!E469="",FALSE,TRUE),OR(exact(metadata!E469,"missing: not collected"),exact(metadata!E469,"missing: not provided"))),AND(IF(metadata!E469="",FALSE,TRUE),OR(exact(metadata!E469,"TRUE"),exact(metadata!E469,"FALSE"))))</f>
        <v>0</v>
      </c>
      <c r="AF469">
        <f>IF(metadata!F469="",FALSE,TRUE)</f>
        <v>0</v>
      </c>
      <c r="AG469">
        <f>IF(metadata!G469="",FALSE,TRUE)</f>
        <v>0</v>
      </c>
      <c r="AH469">
        <f>IF(metadata!H469="",FALSE,TRUE)</f>
        <v>0</v>
      </c>
      <c r="AI469">
        <f>OR(AND(IF(metadata!I469="",FALSE,TRUE),OR(exact(metadata!I469,"missing: not collected"),exact(metadata!I469,"missing: not provided"),exact(metadata!I469,"missing: restricted access"))),AND(IF(metadata!I469="",FALSE,TRUE),OR(exact(metadata!I469,"air"),exact(metadata!I469,"built environment"),exact(metadata!I469,"host-associated"),exact(metadata!I469,"human-associated"),exact(metadata!I469,"human-skin"),exact(metadata!I469,"human-oral"),exact(metadata!I469,"human-gut"),exact(metadata!I469,"human-vaginal"),exact(metadata!I469,"microbial mat/biofilm"),exact(metadata!I469,"misc environment"),exact(metadata!I469,"plant-associated"),exact(metadata!I469,"sediment"),exact(metadata!I469,"soil"),exact(metadata!I469,"wastewater/sludge"),exact(metadata!I469,"water"))))</f>
        <v>0</v>
      </c>
      <c r="AJ469">
        <f>IF(metadata!J469="",FALSE,TRUE)</f>
        <v>0</v>
      </c>
      <c r="AK469">
        <f>OR(AND(IF(metadata!K469="",FALSE,TRUE),OR(exact(metadata!K469,"missing: not collected"),exact(metadata!K469,"missing: not provided"),exact(metadata!K469,"missing: restricted access"))),AND(IF(metadata!K469="",FALSE,ISNUMBER(VALUE(metadata!K469))),metadata!K469&gt;=-90.00,metadata!K469&lt;=90.00))</f>
        <v>0</v>
      </c>
      <c r="AL469">
        <f>OR(AND(IF(metadata!L469="",FALSE,TRUE),OR(exact(metadata!L469,"missing: not collected"),exact(metadata!L469,"missing: not provided"),exact(metadata!L469,"missing: restricted access"))),AND(IF(metadata!L469="",FALSE,ISNUMBER(VALUE(metadata!L469))),metadata!L469&gt;=-180.00,metadata!L469&lt;=180.00))</f>
        <v>0</v>
      </c>
      <c r="AM469">
        <f>IF(metadata!M469="",FALSE,TRUE)</f>
        <v>0</v>
      </c>
      <c r="AN469">
        <f>OR(AND(IF(metadata!N469="",FALSE,TRUE),OR(exact(metadata!N469,"missing: not collected"),exact(metadata!N469,"missing: not provided"),exact(metadata!N469,"missing: restricted access"))),AND(IF(metadata!N469="",FALSE,TRUE),OR(exact(metadata!N469,"TRUE"),exact(metadata!N469,"FALSE"))))</f>
        <v>0</v>
      </c>
      <c r="AO469">
        <f>IF(metadata!O469="",FALSE,TRUE)</f>
        <v>0</v>
      </c>
      <c r="AP469">
        <f>OR(AND(IF(metadata!P469="",FALSE,TRUE),OR(exact(metadata!P469,"missing: not collected"),exact(metadata!P469,"missing: not provided"))),AND(IF(metadata!P469="",FALSE,IF(ISERROR(INT(metadata!P469)),FALSE,INT(metadata!P469)=metadata!P469)),metadata!P469&gt;0))</f>
        <v>0</v>
      </c>
      <c r="AQ469">
        <f>IF(metadata!Q469="",FALSE,TRUE)</f>
        <v>0</v>
      </c>
    </row>
    <row r="470" spans="1:43">
      <c r="A470" s="5">
        <f>IF(B470=" "," ",HYPERLINK(CONCATENATE("#metadata!",ADDRESS(INDEX($W$2:$W$1001,MATCH(ROWS($U$2:U470),$U$2:$U$1001,0),0),1)),INDEX($Z$2:$Z$1001,MATCH(ROWS($U$2:U470),$U$2:$U$1001,0),0)))</f>
        <v>0</v>
      </c>
      <c r="B470" s="4">
        <f>IF(OR(INDEX($V$2:$V$1001,MATCH(ROWS($U$2:U470),$U$2:$U$1001,0),1)&gt;=100000,INDEX($AB$1005:$AQ$1005,1,MATCH(COLUMNS($AB$1006:AB1006),$AB$1006:$AQ$1006,0))&gt;=100000), " ",IF(INDEX($AB$2:$AQ$1001,MATCH(ROWS($U$2:U470),$U$2:$U$1001,0),MATCH(COLUMNS($AB$1006:AB1006),$AB$1006:$AQ$1006,0)), HYPERLINK("#",""), HYPERLINK(CONCATENATE("#metadata!", ADDRESS(INDEX($W$2:$W$1001,MATCH(ROWS($U$2:U470),$U$2:$U$1001,0),0), INDEX($AB$1004:$AQ$1004,1,MATCH(COLUMNS($AB$1006:AB1006),$AB$1006:$AQ$1006,0)))),"Fix")))</f>
        <v>0</v>
      </c>
      <c r="C470" s="4">
        <f>IF(OR(INDEX($V$2:$V$1001,MATCH(ROWS($U$2:U470),$U$2:$U$1001,0),1)&gt;=100000,INDEX($AB$1005:$AQ$1005,1,MATCH(COLUMNS($AB$1006:AC1006),$AB$1006:$AQ$1006,0))&gt;=100000), " ",IF(INDEX($AB$2:$AQ$1001,MATCH(ROWS($U$2:U470),$U$2:$U$1001,0),MATCH(COLUMNS($AB$1006:AC1006),$AB$1006:$AQ$1006,0)), HYPERLINK("#",""), HYPERLINK(CONCATENATE("#metadata!", ADDRESS(INDEX($W$2:$W$1001,MATCH(ROWS($U$2:U470),$U$2:$U$1001,0),0), INDEX($AB$1004:$AQ$1004,1,MATCH(COLUMNS($AB$1006:AC1006),$AB$1006:$AQ$1006,0)))),"Fix")))</f>
        <v>0</v>
      </c>
      <c r="D470" s="4">
        <f>IF(OR(INDEX($V$2:$V$1001,MATCH(ROWS($U$2:U470),$U$2:$U$1001,0),1)&gt;=100000,INDEX($AB$1005:$AQ$1005,1,MATCH(COLUMNS($AB$1006:AD1006),$AB$1006:$AQ$1006,0))&gt;=100000), " ",IF(INDEX($AB$2:$AQ$1001,MATCH(ROWS($U$2:U470),$U$2:$U$1001,0),MATCH(COLUMNS($AB$1006:AD1006),$AB$1006:$AQ$1006,0)), HYPERLINK("#",""), HYPERLINK(CONCATENATE("#metadata!", ADDRESS(INDEX($W$2:$W$1001,MATCH(ROWS($U$2:U470),$U$2:$U$1001,0),0), INDEX($AB$1004:$AQ$1004,1,MATCH(COLUMNS($AB$1006:AD1006),$AB$1006:$AQ$1006,0)))),"Fix")))</f>
        <v>0</v>
      </c>
      <c r="E470" s="4">
        <f>IF(OR(INDEX($V$2:$V$1001,MATCH(ROWS($U$2:U470),$U$2:$U$1001,0),1)&gt;=100000,INDEX($AB$1005:$AQ$1005,1,MATCH(COLUMNS($AB$1006:AE1006),$AB$1006:$AQ$1006,0))&gt;=100000), " ",IF(INDEX($AB$2:$AQ$1001,MATCH(ROWS($U$2:U470),$U$2:$U$1001,0),MATCH(COLUMNS($AB$1006:AE1006),$AB$1006:$AQ$1006,0)), HYPERLINK("#",""), HYPERLINK(CONCATENATE("#metadata!", ADDRESS(INDEX($W$2:$W$1001,MATCH(ROWS($U$2:U470),$U$2:$U$1001,0),0), INDEX($AB$1004:$AQ$1004,1,MATCH(COLUMNS($AB$1006:AE1006),$AB$1006:$AQ$1006,0)))),"Fix")))</f>
        <v>0</v>
      </c>
      <c r="F470" s="4">
        <f>IF(OR(INDEX($V$2:$V$1001,MATCH(ROWS($U$2:U470),$U$2:$U$1001,0),1)&gt;=100000,INDEX($AB$1005:$AQ$1005,1,MATCH(COLUMNS($AB$1006:AF1006),$AB$1006:$AQ$1006,0))&gt;=100000), " ",IF(INDEX($AB$2:$AQ$1001,MATCH(ROWS($U$2:U470),$U$2:$U$1001,0),MATCH(COLUMNS($AB$1006:AF1006),$AB$1006:$AQ$1006,0)), HYPERLINK("#",""), HYPERLINK(CONCATENATE("#metadata!", ADDRESS(INDEX($W$2:$W$1001,MATCH(ROWS($U$2:U470),$U$2:$U$1001,0),0), INDEX($AB$1004:$AQ$1004,1,MATCH(COLUMNS($AB$1006:AF1006),$AB$1006:$AQ$1006,0)))),"Fix")))</f>
        <v>0</v>
      </c>
      <c r="G470" s="4">
        <f>IF(OR(INDEX($V$2:$V$1001,MATCH(ROWS($U$2:U470),$U$2:$U$1001,0),1)&gt;=100000,INDEX($AB$1005:$AQ$1005,1,MATCH(COLUMNS($AB$1006:AG1006),$AB$1006:$AQ$1006,0))&gt;=100000), " ",IF(INDEX($AB$2:$AQ$1001,MATCH(ROWS($U$2:U470),$U$2:$U$1001,0),MATCH(COLUMNS($AB$1006:AG1006),$AB$1006:$AQ$1006,0)), HYPERLINK("#",""), HYPERLINK(CONCATENATE("#metadata!", ADDRESS(INDEX($W$2:$W$1001,MATCH(ROWS($U$2:U470),$U$2:$U$1001,0),0), INDEX($AB$1004:$AQ$1004,1,MATCH(COLUMNS($AB$1006:AG1006),$AB$1006:$AQ$1006,0)))),"Fix")))</f>
        <v>0</v>
      </c>
      <c r="H470" s="4">
        <f>IF(OR(INDEX($V$2:$V$1001,MATCH(ROWS($U$2:U470),$U$2:$U$1001,0),1)&gt;=100000,INDEX($AB$1005:$AQ$1005,1,MATCH(COLUMNS($AB$1006:AH1006),$AB$1006:$AQ$1006,0))&gt;=100000), " ",IF(INDEX($AB$2:$AQ$1001,MATCH(ROWS($U$2:U470),$U$2:$U$1001,0),MATCH(COLUMNS($AB$1006:AH1006),$AB$1006:$AQ$1006,0)), HYPERLINK("#",""), HYPERLINK(CONCATENATE("#metadata!", ADDRESS(INDEX($W$2:$W$1001,MATCH(ROWS($U$2:U470),$U$2:$U$1001,0),0), INDEX($AB$1004:$AQ$1004,1,MATCH(COLUMNS($AB$1006:AH1006),$AB$1006:$AQ$1006,0)))),"Fix")))</f>
        <v>0</v>
      </c>
      <c r="I470" s="4">
        <f>IF(OR(INDEX($V$2:$V$1001,MATCH(ROWS($U$2:U470),$U$2:$U$1001,0),1)&gt;=100000,INDEX($AB$1005:$AQ$1005,1,MATCH(COLUMNS($AB$1006:AI1006),$AB$1006:$AQ$1006,0))&gt;=100000), " ",IF(INDEX($AB$2:$AQ$1001,MATCH(ROWS($U$2:U470),$U$2:$U$1001,0),MATCH(COLUMNS($AB$1006:AI1006),$AB$1006:$AQ$1006,0)), HYPERLINK("#",""), HYPERLINK(CONCATENATE("#metadata!", ADDRESS(INDEX($W$2:$W$1001,MATCH(ROWS($U$2:U470),$U$2:$U$1001,0),0), INDEX($AB$1004:$AQ$1004,1,MATCH(COLUMNS($AB$1006:AI1006),$AB$1006:$AQ$1006,0)))),"Fix")))</f>
        <v>0</v>
      </c>
      <c r="J470" s="4">
        <f>IF(OR(INDEX($V$2:$V$1001,MATCH(ROWS($U$2:U470),$U$2:$U$1001,0),1)&gt;=100000,INDEX($AB$1005:$AQ$1005,1,MATCH(COLUMNS($AB$1006:AJ1006),$AB$1006:$AQ$1006,0))&gt;=100000), " ",IF(INDEX($AB$2:$AQ$1001,MATCH(ROWS($U$2:U470),$U$2:$U$1001,0),MATCH(COLUMNS($AB$1006:AJ1006),$AB$1006:$AQ$1006,0)), HYPERLINK("#",""), HYPERLINK(CONCATENATE("#metadata!", ADDRESS(INDEX($W$2:$W$1001,MATCH(ROWS($U$2:U470),$U$2:$U$1001,0),0), INDEX($AB$1004:$AQ$1004,1,MATCH(COLUMNS($AB$1006:AJ1006),$AB$1006:$AQ$1006,0)))),"Fix")))</f>
        <v>0</v>
      </c>
      <c r="K470" s="4">
        <f>IF(OR(INDEX($V$2:$V$1001,MATCH(ROWS($U$2:U470),$U$2:$U$1001,0),1)&gt;=100000,INDEX($AB$1005:$AQ$1005,1,MATCH(COLUMNS($AB$1006:AK1006),$AB$1006:$AQ$1006,0))&gt;=100000), " ",IF(INDEX($AB$2:$AQ$1001,MATCH(ROWS($U$2:U470),$U$2:$U$1001,0),MATCH(COLUMNS($AB$1006:AK1006),$AB$1006:$AQ$1006,0)), HYPERLINK("#",""), HYPERLINK(CONCATENATE("#metadata!", ADDRESS(INDEX($W$2:$W$1001,MATCH(ROWS($U$2:U470),$U$2:$U$1001,0),0), INDEX($AB$1004:$AQ$1004,1,MATCH(COLUMNS($AB$1006:AK1006),$AB$1006:$AQ$1006,0)))),"Fix")))</f>
        <v>0</v>
      </c>
      <c r="L470" s="4">
        <f>IF(OR(INDEX($V$2:$V$1001,MATCH(ROWS($U$2:U470),$U$2:$U$1001,0),1)&gt;=100000,INDEX($AB$1005:$AQ$1005,1,MATCH(COLUMNS($AB$1006:AL1006),$AB$1006:$AQ$1006,0))&gt;=100000), " ",IF(INDEX($AB$2:$AQ$1001,MATCH(ROWS($U$2:U470),$U$2:$U$1001,0),MATCH(COLUMNS($AB$1006:AL1006),$AB$1006:$AQ$1006,0)), HYPERLINK("#",""), HYPERLINK(CONCATENATE("#metadata!", ADDRESS(INDEX($W$2:$W$1001,MATCH(ROWS($U$2:U470),$U$2:$U$1001,0),0), INDEX($AB$1004:$AQ$1004,1,MATCH(COLUMNS($AB$1006:AL1006),$AB$1006:$AQ$1006,0)))),"Fix")))</f>
        <v>0</v>
      </c>
      <c r="M470" s="4">
        <f>IF(OR(INDEX($V$2:$V$1001,MATCH(ROWS($U$2:U470),$U$2:$U$1001,0),1)&gt;=100000,INDEX($AB$1005:$AQ$1005,1,MATCH(COLUMNS($AB$1006:AM1006),$AB$1006:$AQ$1006,0))&gt;=100000), " ",IF(INDEX($AB$2:$AQ$1001,MATCH(ROWS($U$2:U470),$U$2:$U$1001,0),MATCH(COLUMNS($AB$1006:AM1006),$AB$1006:$AQ$1006,0)), HYPERLINK("#",""), HYPERLINK(CONCATENATE("#metadata!", ADDRESS(INDEX($W$2:$W$1001,MATCH(ROWS($U$2:U470),$U$2:$U$1001,0),0), INDEX($AB$1004:$AQ$1004,1,MATCH(COLUMNS($AB$1006:AM1006),$AB$1006:$AQ$1006,0)))),"Fix")))</f>
        <v>0</v>
      </c>
      <c r="N470" s="4">
        <f>IF(OR(INDEX($V$2:$V$1001,MATCH(ROWS($U$2:U470),$U$2:$U$1001,0),1)&gt;=100000,INDEX($AB$1005:$AQ$1005,1,MATCH(COLUMNS($AB$1006:AN1006),$AB$1006:$AQ$1006,0))&gt;=100000), " ",IF(INDEX($AB$2:$AQ$1001,MATCH(ROWS($U$2:U470),$U$2:$U$1001,0),MATCH(COLUMNS($AB$1006:AN1006),$AB$1006:$AQ$1006,0)), HYPERLINK("#",""), HYPERLINK(CONCATENATE("#metadata!", ADDRESS(INDEX($W$2:$W$1001,MATCH(ROWS($U$2:U470),$U$2:$U$1001,0),0), INDEX($AB$1004:$AQ$1004,1,MATCH(COLUMNS($AB$1006:AN1006),$AB$1006:$AQ$1006,0)))),"Fix")))</f>
        <v>0</v>
      </c>
      <c r="O470" s="4">
        <f>IF(OR(INDEX($V$2:$V$1001,MATCH(ROWS($U$2:U470),$U$2:$U$1001,0),1)&gt;=100000,INDEX($AB$1005:$AQ$1005,1,MATCH(COLUMNS($AB$1006:AO1006),$AB$1006:$AQ$1006,0))&gt;=100000), " ",IF(INDEX($AB$2:$AQ$1001,MATCH(ROWS($U$2:U470),$U$2:$U$1001,0),MATCH(COLUMNS($AB$1006:AO1006),$AB$1006:$AQ$1006,0)), HYPERLINK("#",""), HYPERLINK(CONCATENATE("#metadata!", ADDRESS(INDEX($W$2:$W$1001,MATCH(ROWS($U$2:U470),$U$2:$U$1001,0),0), INDEX($AB$1004:$AQ$1004,1,MATCH(COLUMNS($AB$1006:AO1006),$AB$1006:$AQ$1006,0)))),"Fix")))</f>
        <v>0</v>
      </c>
      <c r="P470" s="4">
        <f>IF(OR(INDEX($V$2:$V$1001,MATCH(ROWS($U$2:U470),$U$2:$U$1001,0),1)&gt;=100000,INDEX($AB$1005:$AQ$1005,1,MATCH(COLUMNS($AB$1006:AP1006),$AB$1006:$AQ$1006,0))&gt;=100000), " ",IF(INDEX($AB$2:$AQ$1001,MATCH(ROWS($U$2:U470),$U$2:$U$1001,0),MATCH(COLUMNS($AB$1006:AP1006),$AB$1006:$AQ$1006,0)), HYPERLINK("#",""), HYPERLINK(CONCATENATE("#metadata!", ADDRESS(INDEX($W$2:$W$1001,MATCH(ROWS($U$2:U470),$U$2:$U$1001,0),0), INDEX($AB$1004:$AQ$1004,1,MATCH(COLUMNS($AB$1006:AP1006),$AB$1006:$AQ$1006,0)))),"Fix")))</f>
        <v>0</v>
      </c>
      <c r="Q470" s="4">
        <f>IF(OR(INDEX($V$2:$V$1001,MATCH(ROWS($U$2:U470),$U$2:$U$1001,0),1)&gt;=100000,INDEX($AB$1005:$AQ$1005,1,MATCH(COLUMNS($AB$1006:AQ1006),$AB$1006:$AQ$1006,0))&gt;=100000), " ",IF(INDEX($AB$2:$AQ$1001,MATCH(ROWS($U$2:U470),$U$2:$U$1001,0),MATCH(COLUMNS($AB$1006:AQ1006),$AB$1006:$AQ$1006,0)), HYPERLINK("#",""), HYPERLINK(CONCATENATE("#metadata!", ADDRESS(INDEX($W$2:$W$1001,MATCH(ROWS($U$2:U470),$U$2:$U$1001,0),0), INDEX($AB$1004:$AQ$1004,1,MATCH(COLUMNS($AB$1006:AQ1006),$AB$1006:$AQ$1006,0)))),"Fix")))</f>
        <v>0</v>
      </c>
      <c r="U470">
        <v>0</v>
      </c>
      <c r="V470">
        <v>0</v>
      </c>
      <c r="W470">
        <v>0</v>
      </c>
      <c r="X470">
        <f>IF(Y470,TRUE,AND(AB470:AQ470))</f>
        <v>0</v>
      </c>
      <c r="Y470">
        <f>COUNTBLANK(metadata!B470:Q470)=COLUMNS(metadata!B470:Q470)</f>
        <v>0</v>
      </c>
      <c r="Z470">
        <v>0</v>
      </c>
      <c r="AB470">
        <f>AND(IF(metadata!B470="",FALSE,TRUE),COUNTIF(metadata!B:B, metadata!B470) = 1,NOT(ISERROR(SUMPRODUCT(SEARCH(MID(metadata!B470,ROW(INDIRECT("1:"&amp;LEN(metadata!B470))), 1),"0123456789abcdefghijklmnopqrstuvwxyzABCDEFGHIJKLMNOPQRSTUVWXYZ.")))))</f>
        <v>0</v>
      </c>
      <c r="AC470">
        <f>OR(AND(IF(metadata!C470="",FALSE,TRUE),OR(exact(metadata!C470,"missing: not collected"),exact(metadata!C470,"missing: not provided"),exact(metadata!C470,"missing: restricted access"))),AND(IF(metadata!C470="",FALSE,TRUE),AND(AND(IFERROR(INT(LEFT(metadata!C470,4))&gt;1900,FALSE),IFERROR(INT(LEFT(metadata!C470,4))&lt;=YEAR(NOW()),FALSE)), OR(MID(metadata!C470,5,1)="", AND(AND(MID(metadata!C470,5,1)="-",IFERROR(INT(MID(metadata!C470,6,1))&gt;=0,FALSE),IFERROR(INT(MID(metadata!C470,6,1))&lt;=1,FALSE),NOT(MID(metadata!C470,7,1)=""),IFERROR(INT(MID(metadata!C470,6,2))&gt;=1,FALSE),IFERROR(INT(MID(metadata!C470,6,2))&lt;=12,FALSE)), OR(MID(metadata!C470,8,1)="", AND(AND(MID(metadata!C470,8,1)="-",IFERROR(INT(MID(metadata!C470,9,1))&gt;=0,FALSE),IFERROR(INT(MID(metadata!C470,9,1))&lt;=3,FALSE),NOT(MID(metadata!C470,10,1)=""),IFERROR(INT(MID(metadata!C470,9,2))&gt;=1,FALSE),IFERROR(INT(MID(metadata!C470,9,2))&lt;=31,FALSE)), OR(MID(metadata!C470,11,1)="", AND(AND(MID(metadata!C470,11,1)=" ",IFERROR(INT(MID(metadata!C470,12,1))&gt;=0,FALSE),IFERROR(INT(MID(metadata!C470,12,1))&lt;=2,FALSE),NOT(MID(metadata!C470,13,1)=""),IFERROR(INT(MID(metadata!C470,12,2))&gt;=0,FALSE),IFERROR(INT(MID(metadata!C470,12,2))&lt;=23,FALSE)), OR(MID(metadata!C470,14,1)="", AND(AND(MID(metadata!C470,14,1)=":",IFERROR(INT(MID(metadata!C470,15,1))&gt;=0,FALSE),IFERROR(INT(MID(metadata!C470,15,1))&lt;=5,FALSE),NOT(MID(metadata!C470,16,1)=""),IFERROR(INT(MID(metadata!C470,15,2))&gt;=0,FALSE),IFERROR(INT(MID(metadata!C470,15,2))&lt;=59,FALSE)), OR(MID(metadata!C470,17,1)="", AND(AND(MID(metadata!C470,17,1)=":",IFERROR(INT(MID(metadata!C470,18,1))&gt;=0,FALSE),IFERROR(INT(MID(metadata!C470,18,1))&lt;=5,FALSE),NOT(MID(metadata!C470,19,1)=""),IFERROR(INT(MID(metadata!C470,18,2))&gt;=0,FALSE),IFERROR(INT(MID(metadata!C470,18,2))&lt;=59,FALSE)), LEN(metadata!C470)&lt;=19)))))))))))))</f>
        <v>0</v>
      </c>
      <c r="AD470">
        <f>IF(metadata!D470="",FALSE,TRUE)</f>
        <v>0</v>
      </c>
      <c r="AE470">
        <f>OR(AND(IF(metadata!E470="",FALSE,TRUE),OR(exact(metadata!E470,"missing: not collected"),exact(metadata!E470,"missing: not provided"))),AND(IF(metadata!E470="",FALSE,TRUE),OR(exact(metadata!E470,"TRUE"),exact(metadata!E470,"FALSE"))))</f>
        <v>0</v>
      </c>
      <c r="AF470">
        <f>IF(metadata!F470="",FALSE,TRUE)</f>
        <v>0</v>
      </c>
      <c r="AG470">
        <f>IF(metadata!G470="",FALSE,TRUE)</f>
        <v>0</v>
      </c>
      <c r="AH470">
        <f>IF(metadata!H470="",FALSE,TRUE)</f>
        <v>0</v>
      </c>
      <c r="AI470">
        <f>OR(AND(IF(metadata!I470="",FALSE,TRUE),OR(exact(metadata!I470,"missing: not collected"),exact(metadata!I470,"missing: not provided"),exact(metadata!I470,"missing: restricted access"))),AND(IF(metadata!I470="",FALSE,TRUE),OR(exact(metadata!I470,"air"),exact(metadata!I470,"built environment"),exact(metadata!I470,"host-associated"),exact(metadata!I470,"human-associated"),exact(metadata!I470,"human-skin"),exact(metadata!I470,"human-oral"),exact(metadata!I470,"human-gut"),exact(metadata!I470,"human-vaginal"),exact(metadata!I470,"microbial mat/biofilm"),exact(metadata!I470,"misc environment"),exact(metadata!I470,"plant-associated"),exact(metadata!I470,"sediment"),exact(metadata!I470,"soil"),exact(metadata!I470,"wastewater/sludge"),exact(metadata!I470,"water"))))</f>
        <v>0</v>
      </c>
      <c r="AJ470">
        <f>IF(metadata!J470="",FALSE,TRUE)</f>
        <v>0</v>
      </c>
      <c r="AK470">
        <f>OR(AND(IF(metadata!K470="",FALSE,TRUE),OR(exact(metadata!K470,"missing: not collected"),exact(metadata!K470,"missing: not provided"),exact(metadata!K470,"missing: restricted access"))),AND(IF(metadata!K470="",FALSE,ISNUMBER(VALUE(metadata!K470))),metadata!K470&gt;=-90.00,metadata!K470&lt;=90.00))</f>
        <v>0</v>
      </c>
      <c r="AL470">
        <f>OR(AND(IF(metadata!L470="",FALSE,TRUE),OR(exact(metadata!L470,"missing: not collected"),exact(metadata!L470,"missing: not provided"),exact(metadata!L470,"missing: restricted access"))),AND(IF(metadata!L470="",FALSE,ISNUMBER(VALUE(metadata!L470))),metadata!L470&gt;=-180.00,metadata!L470&lt;=180.00))</f>
        <v>0</v>
      </c>
      <c r="AM470">
        <f>IF(metadata!M470="",FALSE,TRUE)</f>
        <v>0</v>
      </c>
      <c r="AN470">
        <f>OR(AND(IF(metadata!N470="",FALSE,TRUE),OR(exact(metadata!N470,"missing: not collected"),exact(metadata!N470,"missing: not provided"),exact(metadata!N470,"missing: restricted access"))),AND(IF(metadata!N470="",FALSE,TRUE),OR(exact(metadata!N470,"TRUE"),exact(metadata!N470,"FALSE"))))</f>
        <v>0</v>
      </c>
      <c r="AO470">
        <f>IF(metadata!O470="",FALSE,TRUE)</f>
        <v>0</v>
      </c>
      <c r="AP470">
        <f>OR(AND(IF(metadata!P470="",FALSE,TRUE),OR(exact(metadata!P470,"missing: not collected"),exact(metadata!P470,"missing: not provided"))),AND(IF(metadata!P470="",FALSE,IF(ISERROR(INT(metadata!P470)),FALSE,INT(metadata!P470)=metadata!P470)),metadata!P470&gt;0))</f>
        <v>0</v>
      </c>
      <c r="AQ470">
        <f>IF(metadata!Q470="",FALSE,TRUE)</f>
        <v>0</v>
      </c>
    </row>
    <row r="471" spans="1:43">
      <c r="A471" s="5">
        <f>IF(B471=" "," ",HYPERLINK(CONCATENATE("#metadata!",ADDRESS(INDEX($W$2:$W$1001,MATCH(ROWS($U$2:U471),$U$2:$U$1001,0),0),1)),INDEX($Z$2:$Z$1001,MATCH(ROWS($U$2:U471),$U$2:$U$1001,0),0)))</f>
        <v>0</v>
      </c>
      <c r="B471" s="4">
        <f>IF(OR(INDEX($V$2:$V$1001,MATCH(ROWS($U$2:U471),$U$2:$U$1001,0),1)&gt;=100000,INDEX($AB$1005:$AQ$1005,1,MATCH(COLUMNS($AB$1006:AB1006),$AB$1006:$AQ$1006,0))&gt;=100000), " ",IF(INDEX($AB$2:$AQ$1001,MATCH(ROWS($U$2:U471),$U$2:$U$1001,0),MATCH(COLUMNS($AB$1006:AB1006),$AB$1006:$AQ$1006,0)), HYPERLINK("#",""), HYPERLINK(CONCATENATE("#metadata!", ADDRESS(INDEX($W$2:$W$1001,MATCH(ROWS($U$2:U471),$U$2:$U$1001,0),0), INDEX($AB$1004:$AQ$1004,1,MATCH(COLUMNS($AB$1006:AB1006),$AB$1006:$AQ$1006,0)))),"Fix")))</f>
        <v>0</v>
      </c>
      <c r="C471" s="4">
        <f>IF(OR(INDEX($V$2:$V$1001,MATCH(ROWS($U$2:U471),$U$2:$U$1001,0),1)&gt;=100000,INDEX($AB$1005:$AQ$1005,1,MATCH(COLUMNS($AB$1006:AC1006),$AB$1006:$AQ$1006,0))&gt;=100000), " ",IF(INDEX($AB$2:$AQ$1001,MATCH(ROWS($U$2:U471),$U$2:$U$1001,0),MATCH(COLUMNS($AB$1006:AC1006),$AB$1006:$AQ$1006,0)), HYPERLINK("#",""), HYPERLINK(CONCATENATE("#metadata!", ADDRESS(INDEX($W$2:$W$1001,MATCH(ROWS($U$2:U471),$U$2:$U$1001,0),0), INDEX($AB$1004:$AQ$1004,1,MATCH(COLUMNS($AB$1006:AC1006),$AB$1006:$AQ$1006,0)))),"Fix")))</f>
        <v>0</v>
      </c>
      <c r="D471" s="4">
        <f>IF(OR(INDEX($V$2:$V$1001,MATCH(ROWS($U$2:U471),$U$2:$U$1001,0),1)&gt;=100000,INDEX($AB$1005:$AQ$1005,1,MATCH(COLUMNS($AB$1006:AD1006),$AB$1006:$AQ$1006,0))&gt;=100000), " ",IF(INDEX($AB$2:$AQ$1001,MATCH(ROWS($U$2:U471),$U$2:$U$1001,0),MATCH(COLUMNS($AB$1006:AD1006),$AB$1006:$AQ$1006,0)), HYPERLINK("#",""), HYPERLINK(CONCATENATE("#metadata!", ADDRESS(INDEX($W$2:$W$1001,MATCH(ROWS($U$2:U471),$U$2:$U$1001,0),0), INDEX($AB$1004:$AQ$1004,1,MATCH(COLUMNS($AB$1006:AD1006),$AB$1006:$AQ$1006,0)))),"Fix")))</f>
        <v>0</v>
      </c>
      <c r="E471" s="4">
        <f>IF(OR(INDEX($V$2:$V$1001,MATCH(ROWS($U$2:U471),$U$2:$U$1001,0),1)&gt;=100000,INDEX($AB$1005:$AQ$1005,1,MATCH(COLUMNS($AB$1006:AE1006),$AB$1006:$AQ$1006,0))&gt;=100000), " ",IF(INDEX($AB$2:$AQ$1001,MATCH(ROWS($U$2:U471),$U$2:$U$1001,0),MATCH(COLUMNS($AB$1006:AE1006),$AB$1006:$AQ$1006,0)), HYPERLINK("#",""), HYPERLINK(CONCATENATE("#metadata!", ADDRESS(INDEX($W$2:$W$1001,MATCH(ROWS($U$2:U471),$U$2:$U$1001,0),0), INDEX($AB$1004:$AQ$1004,1,MATCH(COLUMNS($AB$1006:AE1006),$AB$1006:$AQ$1006,0)))),"Fix")))</f>
        <v>0</v>
      </c>
      <c r="F471" s="4">
        <f>IF(OR(INDEX($V$2:$V$1001,MATCH(ROWS($U$2:U471),$U$2:$U$1001,0),1)&gt;=100000,INDEX($AB$1005:$AQ$1005,1,MATCH(COLUMNS($AB$1006:AF1006),$AB$1006:$AQ$1006,0))&gt;=100000), " ",IF(INDEX($AB$2:$AQ$1001,MATCH(ROWS($U$2:U471),$U$2:$U$1001,0),MATCH(COLUMNS($AB$1006:AF1006),$AB$1006:$AQ$1006,0)), HYPERLINK("#",""), HYPERLINK(CONCATENATE("#metadata!", ADDRESS(INDEX($W$2:$W$1001,MATCH(ROWS($U$2:U471),$U$2:$U$1001,0),0), INDEX($AB$1004:$AQ$1004,1,MATCH(COLUMNS($AB$1006:AF1006),$AB$1006:$AQ$1006,0)))),"Fix")))</f>
        <v>0</v>
      </c>
      <c r="G471" s="4">
        <f>IF(OR(INDEX($V$2:$V$1001,MATCH(ROWS($U$2:U471),$U$2:$U$1001,0),1)&gt;=100000,INDEX($AB$1005:$AQ$1005,1,MATCH(COLUMNS($AB$1006:AG1006),$AB$1006:$AQ$1006,0))&gt;=100000), " ",IF(INDEX($AB$2:$AQ$1001,MATCH(ROWS($U$2:U471),$U$2:$U$1001,0),MATCH(COLUMNS($AB$1006:AG1006),$AB$1006:$AQ$1006,0)), HYPERLINK("#",""), HYPERLINK(CONCATENATE("#metadata!", ADDRESS(INDEX($W$2:$W$1001,MATCH(ROWS($U$2:U471),$U$2:$U$1001,0),0), INDEX($AB$1004:$AQ$1004,1,MATCH(COLUMNS($AB$1006:AG1006),$AB$1006:$AQ$1006,0)))),"Fix")))</f>
        <v>0</v>
      </c>
      <c r="H471" s="4">
        <f>IF(OR(INDEX($V$2:$V$1001,MATCH(ROWS($U$2:U471),$U$2:$U$1001,0),1)&gt;=100000,INDEX($AB$1005:$AQ$1005,1,MATCH(COLUMNS($AB$1006:AH1006),$AB$1006:$AQ$1006,0))&gt;=100000), " ",IF(INDEX($AB$2:$AQ$1001,MATCH(ROWS($U$2:U471),$U$2:$U$1001,0),MATCH(COLUMNS($AB$1006:AH1006),$AB$1006:$AQ$1006,0)), HYPERLINK("#",""), HYPERLINK(CONCATENATE("#metadata!", ADDRESS(INDEX($W$2:$W$1001,MATCH(ROWS($U$2:U471),$U$2:$U$1001,0),0), INDEX($AB$1004:$AQ$1004,1,MATCH(COLUMNS($AB$1006:AH1006),$AB$1006:$AQ$1006,0)))),"Fix")))</f>
        <v>0</v>
      </c>
      <c r="I471" s="4">
        <f>IF(OR(INDEX($V$2:$V$1001,MATCH(ROWS($U$2:U471),$U$2:$U$1001,0),1)&gt;=100000,INDEX($AB$1005:$AQ$1005,1,MATCH(COLUMNS($AB$1006:AI1006),$AB$1006:$AQ$1006,0))&gt;=100000), " ",IF(INDEX($AB$2:$AQ$1001,MATCH(ROWS($U$2:U471),$U$2:$U$1001,0),MATCH(COLUMNS($AB$1006:AI1006),$AB$1006:$AQ$1006,0)), HYPERLINK("#",""), HYPERLINK(CONCATENATE("#metadata!", ADDRESS(INDEX($W$2:$W$1001,MATCH(ROWS($U$2:U471),$U$2:$U$1001,0),0), INDEX($AB$1004:$AQ$1004,1,MATCH(COLUMNS($AB$1006:AI1006),$AB$1006:$AQ$1006,0)))),"Fix")))</f>
        <v>0</v>
      </c>
      <c r="J471" s="4">
        <f>IF(OR(INDEX($V$2:$V$1001,MATCH(ROWS($U$2:U471),$U$2:$U$1001,0),1)&gt;=100000,INDEX($AB$1005:$AQ$1005,1,MATCH(COLUMNS($AB$1006:AJ1006),$AB$1006:$AQ$1006,0))&gt;=100000), " ",IF(INDEX($AB$2:$AQ$1001,MATCH(ROWS($U$2:U471),$U$2:$U$1001,0),MATCH(COLUMNS($AB$1006:AJ1006),$AB$1006:$AQ$1006,0)), HYPERLINK("#",""), HYPERLINK(CONCATENATE("#metadata!", ADDRESS(INDEX($W$2:$W$1001,MATCH(ROWS($U$2:U471),$U$2:$U$1001,0),0), INDEX($AB$1004:$AQ$1004,1,MATCH(COLUMNS($AB$1006:AJ1006),$AB$1006:$AQ$1006,0)))),"Fix")))</f>
        <v>0</v>
      </c>
      <c r="K471" s="4">
        <f>IF(OR(INDEX($V$2:$V$1001,MATCH(ROWS($U$2:U471),$U$2:$U$1001,0),1)&gt;=100000,INDEX($AB$1005:$AQ$1005,1,MATCH(COLUMNS($AB$1006:AK1006),$AB$1006:$AQ$1006,0))&gt;=100000), " ",IF(INDEX($AB$2:$AQ$1001,MATCH(ROWS($U$2:U471),$U$2:$U$1001,0),MATCH(COLUMNS($AB$1006:AK1006),$AB$1006:$AQ$1006,0)), HYPERLINK("#",""), HYPERLINK(CONCATENATE("#metadata!", ADDRESS(INDEX($W$2:$W$1001,MATCH(ROWS($U$2:U471),$U$2:$U$1001,0),0), INDEX($AB$1004:$AQ$1004,1,MATCH(COLUMNS($AB$1006:AK1006),$AB$1006:$AQ$1006,0)))),"Fix")))</f>
        <v>0</v>
      </c>
      <c r="L471" s="4">
        <f>IF(OR(INDEX($V$2:$V$1001,MATCH(ROWS($U$2:U471),$U$2:$U$1001,0),1)&gt;=100000,INDEX($AB$1005:$AQ$1005,1,MATCH(COLUMNS($AB$1006:AL1006),$AB$1006:$AQ$1006,0))&gt;=100000), " ",IF(INDEX($AB$2:$AQ$1001,MATCH(ROWS($U$2:U471),$U$2:$U$1001,0),MATCH(COLUMNS($AB$1006:AL1006),$AB$1006:$AQ$1006,0)), HYPERLINK("#",""), HYPERLINK(CONCATENATE("#metadata!", ADDRESS(INDEX($W$2:$W$1001,MATCH(ROWS($U$2:U471),$U$2:$U$1001,0),0), INDEX($AB$1004:$AQ$1004,1,MATCH(COLUMNS($AB$1006:AL1006),$AB$1006:$AQ$1006,0)))),"Fix")))</f>
        <v>0</v>
      </c>
      <c r="M471" s="4">
        <f>IF(OR(INDEX($V$2:$V$1001,MATCH(ROWS($U$2:U471),$U$2:$U$1001,0),1)&gt;=100000,INDEX($AB$1005:$AQ$1005,1,MATCH(COLUMNS($AB$1006:AM1006),$AB$1006:$AQ$1006,0))&gt;=100000), " ",IF(INDEX($AB$2:$AQ$1001,MATCH(ROWS($U$2:U471),$U$2:$U$1001,0),MATCH(COLUMNS($AB$1006:AM1006),$AB$1006:$AQ$1006,0)), HYPERLINK("#",""), HYPERLINK(CONCATENATE("#metadata!", ADDRESS(INDEX($W$2:$W$1001,MATCH(ROWS($U$2:U471),$U$2:$U$1001,0),0), INDEX($AB$1004:$AQ$1004,1,MATCH(COLUMNS($AB$1006:AM1006),$AB$1006:$AQ$1006,0)))),"Fix")))</f>
        <v>0</v>
      </c>
      <c r="N471" s="4">
        <f>IF(OR(INDEX($V$2:$V$1001,MATCH(ROWS($U$2:U471),$U$2:$U$1001,0),1)&gt;=100000,INDEX($AB$1005:$AQ$1005,1,MATCH(COLUMNS($AB$1006:AN1006),$AB$1006:$AQ$1006,0))&gt;=100000), " ",IF(INDEX($AB$2:$AQ$1001,MATCH(ROWS($U$2:U471),$U$2:$U$1001,0),MATCH(COLUMNS($AB$1006:AN1006),$AB$1006:$AQ$1006,0)), HYPERLINK("#",""), HYPERLINK(CONCATENATE("#metadata!", ADDRESS(INDEX($W$2:$W$1001,MATCH(ROWS($U$2:U471),$U$2:$U$1001,0),0), INDEX($AB$1004:$AQ$1004,1,MATCH(COLUMNS($AB$1006:AN1006),$AB$1006:$AQ$1006,0)))),"Fix")))</f>
        <v>0</v>
      </c>
      <c r="O471" s="4">
        <f>IF(OR(INDEX($V$2:$V$1001,MATCH(ROWS($U$2:U471),$U$2:$U$1001,0),1)&gt;=100000,INDEX($AB$1005:$AQ$1005,1,MATCH(COLUMNS($AB$1006:AO1006),$AB$1006:$AQ$1006,0))&gt;=100000), " ",IF(INDEX($AB$2:$AQ$1001,MATCH(ROWS($U$2:U471),$U$2:$U$1001,0),MATCH(COLUMNS($AB$1006:AO1006),$AB$1006:$AQ$1006,0)), HYPERLINK("#",""), HYPERLINK(CONCATENATE("#metadata!", ADDRESS(INDEX($W$2:$W$1001,MATCH(ROWS($U$2:U471),$U$2:$U$1001,0),0), INDEX($AB$1004:$AQ$1004,1,MATCH(COLUMNS($AB$1006:AO1006),$AB$1006:$AQ$1006,0)))),"Fix")))</f>
        <v>0</v>
      </c>
      <c r="P471" s="4">
        <f>IF(OR(INDEX($V$2:$V$1001,MATCH(ROWS($U$2:U471),$U$2:$U$1001,0),1)&gt;=100000,INDEX($AB$1005:$AQ$1005,1,MATCH(COLUMNS($AB$1006:AP1006),$AB$1006:$AQ$1006,0))&gt;=100000), " ",IF(INDEX($AB$2:$AQ$1001,MATCH(ROWS($U$2:U471),$U$2:$U$1001,0),MATCH(COLUMNS($AB$1006:AP1006),$AB$1006:$AQ$1006,0)), HYPERLINK("#",""), HYPERLINK(CONCATENATE("#metadata!", ADDRESS(INDEX($W$2:$W$1001,MATCH(ROWS($U$2:U471),$U$2:$U$1001,0),0), INDEX($AB$1004:$AQ$1004,1,MATCH(COLUMNS($AB$1006:AP1006),$AB$1006:$AQ$1006,0)))),"Fix")))</f>
        <v>0</v>
      </c>
      <c r="Q471" s="4">
        <f>IF(OR(INDEX($V$2:$V$1001,MATCH(ROWS($U$2:U471),$U$2:$U$1001,0),1)&gt;=100000,INDEX($AB$1005:$AQ$1005,1,MATCH(COLUMNS($AB$1006:AQ1006),$AB$1006:$AQ$1006,0))&gt;=100000), " ",IF(INDEX($AB$2:$AQ$1001,MATCH(ROWS($U$2:U471),$U$2:$U$1001,0),MATCH(COLUMNS($AB$1006:AQ1006),$AB$1006:$AQ$1006,0)), HYPERLINK("#",""), HYPERLINK(CONCATENATE("#metadata!", ADDRESS(INDEX($W$2:$W$1001,MATCH(ROWS($U$2:U471),$U$2:$U$1001,0),0), INDEX($AB$1004:$AQ$1004,1,MATCH(COLUMNS($AB$1006:AQ1006),$AB$1006:$AQ$1006,0)))),"Fix")))</f>
        <v>0</v>
      </c>
      <c r="U471">
        <v>0</v>
      </c>
      <c r="V471">
        <v>0</v>
      </c>
      <c r="W471">
        <v>0</v>
      </c>
      <c r="X471">
        <f>IF(Y471,TRUE,AND(AB471:AQ471))</f>
        <v>0</v>
      </c>
      <c r="Y471">
        <f>COUNTBLANK(metadata!B471:Q471)=COLUMNS(metadata!B471:Q471)</f>
        <v>0</v>
      </c>
      <c r="Z471">
        <v>0</v>
      </c>
      <c r="AB471">
        <f>AND(IF(metadata!B471="",FALSE,TRUE),COUNTIF(metadata!B:B, metadata!B471) = 1,NOT(ISERROR(SUMPRODUCT(SEARCH(MID(metadata!B471,ROW(INDIRECT("1:"&amp;LEN(metadata!B471))), 1),"0123456789abcdefghijklmnopqrstuvwxyzABCDEFGHIJKLMNOPQRSTUVWXYZ.")))))</f>
        <v>0</v>
      </c>
      <c r="AC471">
        <f>OR(AND(IF(metadata!C471="",FALSE,TRUE),OR(exact(metadata!C471,"missing: not collected"),exact(metadata!C471,"missing: not provided"),exact(metadata!C471,"missing: restricted access"))),AND(IF(metadata!C471="",FALSE,TRUE),AND(AND(IFERROR(INT(LEFT(metadata!C471,4))&gt;1900,FALSE),IFERROR(INT(LEFT(metadata!C471,4))&lt;=YEAR(NOW()),FALSE)), OR(MID(metadata!C471,5,1)="", AND(AND(MID(metadata!C471,5,1)="-",IFERROR(INT(MID(metadata!C471,6,1))&gt;=0,FALSE),IFERROR(INT(MID(metadata!C471,6,1))&lt;=1,FALSE),NOT(MID(metadata!C471,7,1)=""),IFERROR(INT(MID(metadata!C471,6,2))&gt;=1,FALSE),IFERROR(INT(MID(metadata!C471,6,2))&lt;=12,FALSE)), OR(MID(metadata!C471,8,1)="", AND(AND(MID(metadata!C471,8,1)="-",IFERROR(INT(MID(metadata!C471,9,1))&gt;=0,FALSE),IFERROR(INT(MID(metadata!C471,9,1))&lt;=3,FALSE),NOT(MID(metadata!C471,10,1)=""),IFERROR(INT(MID(metadata!C471,9,2))&gt;=1,FALSE),IFERROR(INT(MID(metadata!C471,9,2))&lt;=31,FALSE)), OR(MID(metadata!C471,11,1)="", AND(AND(MID(metadata!C471,11,1)=" ",IFERROR(INT(MID(metadata!C471,12,1))&gt;=0,FALSE),IFERROR(INT(MID(metadata!C471,12,1))&lt;=2,FALSE),NOT(MID(metadata!C471,13,1)=""),IFERROR(INT(MID(metadata!C471,12,2))&gt;=0,FALSE),IFERROR(INT(MID(metadata!C471,12,2))&lt;=23,FALSE)), OR(MID(metadata!C471,14,1)="", AND(AND(MID(metadata!C471,14,1)=":",IFERROR(INT(MID(metadata!C471,15,1))&gt;=0,FALSE),IFERROR(INT(MID(metadata!C471,15,1))&lt;=5,FALSE),NOT(MID(metadata!C471,16,1)=""),IFERROR(INT(MID(metadata!C471,15,2))&gt;=0,FALSE),IFERROR(INT(MID(metadata!C471,15,2))&lt;=59,FALSE)), OR(MID(metadata!C471,17,1)="", AND(AND(MID(metadata!C471,17,1)=":",IFERROR(INT(MID(metadata!C471,18,1))&gt;=0,FALSE),IFERROR(INT(MID(metadata!C471,18,1))&lt;=5,FALSE),NOT(MID(metadata!C471,19,1)=""),IFERROR(INT(MID(metadata!C471,18,2))&gt;=0,FALSE),IFERROR(INT(MID(metadata!C471,18,2))&lt;=59,FALSE)), LEN(metadata!C471)&lt;=19)))))))))))))</f>
        <v>0</v>
      </c>
      <c r="AD471">
        <f>IF(metadata!D471="",FALSE,TRUE)</f>
        <v>0</v>
      </c>
      <c r="AE471">
        <f>OR(AND(IF(metadata!E471="",FALSE,TRUE),OR(exact(metadata!E471,"missing: not collected"),exact(metadata!E471,"missing: not provided"))),AND(IF(metadata!E471="",FALSE,TRUE),OR(exact(metadata!E471,"TRUE"),exact(metadata!E471,"FALSE"))))</f>
        <v>0</v>
      </c>
      <c r="AF471">
        <f>IF(metadata!F471="",FALSE,TRUE)</f>
        <v>0</v>
      </c>
      <c r="AG471">
        <f>IF(metadata!G471="",FALSE,TRUE)</f>
        <v>0</v>
      </c>
      <c r="AH471">
        <f>IF(metadata!H471="",FALSE,TRUE)</f>
        <v>0</v>
      </c>
      <c r="AI471">
        <f>OR(AND(IF(metadata!I471="",FALSE,TRUE),OR(exact(metadata!I471,"missing: not collected"),exact(metadata!I471,"missing: not provided"),exact(metadata!I471,"missing: restricted access"))),AND(IF(metadata!I471="",FALSE,TRUE),OR(exact(metadata!I471,"air"),exact(metadata!I471,"built environment"),exact(metadata!I471,"host-associated"),exact(metadata!I471,"human-associated"),exact(metadata!I471,"human-skin"),exact(metadata!I471,"human-oral"),exact(metadata!I471,"human-gut"),exact(metadata!I471,"human-vaginal"),exact(metadata!I471,"microbial mat/biofilm"),exact(metadata!I471,"misc environment"),exact(metadata!I471,"plant-associated"),exact(metadata!I471,"sediment"),exact(metadata!I471,"soil"),exact(metadata!I471,"wastewater/sludge"),exact(metadata!I471,"water"))))</f>
        <v>0</v>
      </c>
      <c r="AJ471">
        <f>IF(metadata!J471="",FALSE,TRUE)</f>
        <v>0</v>
      </c>
      <c r="AK471">
        <f>OR(AND(IF(metadata!K471="",FALSE,TRUE),OR(exact(metadata!K471,"missing: not collected"),exact(metadata!K471,"missing: not provided"),exact(metadata!K471,"missing: restricted access"))),AND(IF(metadata!K471="",FALSE,ISNUMBER(VALUE(metadata!K471))),metadata!K471&gt;=-90.00,metadata!K471&lt;=90.00))</f>
        <v>0</v>
      </c>
      <c r="AL471">
        <f>OR(AND(IF(metadata!L471="",FALSE,TRUE),OR(exact(metadata!L471,"missing: not collected"),exact(metadata!L471,"missing: not provided"),exact(metadata!L471,"missing: restricted access"))),AND(IF(metadata!L471="",FALSE,ISNUMBER(VALUE(metadata!L471))),metadata!L471&gt;=-180.00,metadata!L471&lt;=180.00))</f>
        <v>0</v>
      </c>
      <c r="AM471">
        <f>IF(metadata!M471="",FALSE,TRUE)</f>
        <v>0</v>
      </c>
      <c r="AN471">
        <f>OR(AND(IF(metadata!N471="",FALSE,TRUE),OR(exact(metadata!N471,"missing: not collected"),exact(metadata!N471,"missing: not provided"),exact(metadata!N471,"missing: restricted access"))),AND(IF(metadata!N471="",FALSE,TRUE),OR(exact(metadata!N471,"TRUE"),exact(metadata!N471,"FALSE"))))</f>
        <v>0</v>
      </c>
      <c r="AO471">
        <f>IF(metadata!O471="",FALSE,TRUE)</f>
        <v>0</v>
      </c>
      <c r="AP471">
        <f>OR(AND(IF(metadata!P471="",FALSE,TRUE),OR(exact(metadata!P471,"missing: not collected"),exact(metadata!P471,"missing: not provided"))),AND(IF(metadata!P471="",FALSE,IF(ISERROR(INT(metadata!P471)),FALSE,INT(metadata!P471)=metadata!P471)),metadata!P471&gt;0))</f>
        <v>0</v>
      </c>
      <c r="AQ471">
        <f>IF(metadata!Q471="",FALSE,TRUE)</f>
        <v>0</v>
      </c>
    </row>
    <row r="472" spans="1:43">
      <c r="A472" s="5">
        <f>IF(B472=" "," ",HYPERLINK(CONCATENATE("#metadata!",ADDRESS(INDEX($W$2:$W$1001,MATCH(ROWS($U$2:U472),$U$2:$U$1001,0),0),1)),INDEX($Z$2:$Z$1001,MATCH(ROWS($U$2:U472),$U$2:$U$1001,0),0)))</f>
        <v>0</v>
      </c>
      <c r="B472" s="4">
        <f>IF(OR(INDEX($V$2:$V$1001,MATCH(ROWS($U$2:U472),$U$2:$U$1001,0),1)&gt;=100000,INDEX($AB$1005:$AQ$1005,1,MATCH(COLUMNS($AB$1006:AB1006),$AB$1006:$AQ$1006,0))&gt;=100000), " ",IF(INDEX($AB$2:$AQ$1001,MATCH(ROWS($U$2:U472),$U$2:$U$1001,0),MATCH(COLUMNS($AB$1006:AB1006),$AB$1006:$AQ$1006,0)), HYPERLINK("#",""), HYPERLINK(CONCATENATE("#metadata!", ADDRESS(INDEX($W$2:$W$1001,MATCH(ROWS($U$2:U472),$U$2:$U$1001,0),0), INDEX($AB$1004:$AQ$1004,1,MATCH(COLUMNS($AB$1006:AB1006),$AB$1006:$AQ$1006,0)))),"Fix")))</f>
        <v>0</v>
      </c>
      <c r="C472" s="4">
        <f>IF(OR(INDEX($V$2:$V$1001,MATCH(ROWS($U$2:U472),$U$2:$U$1001,0),1)&gt;=100000,INDEX($AB$1005:$AQ$1005,1,MATCH(COLUMNS($AB$1006:AC1006),$AB$1006:$AQ$1006,0))&gt;=100000), " ",IF(INDEX($AB$2:$AQ$1001,MATCH(ROWS($U$2:U472),$U$2:$U$1001,0),MATCH(COLUMNS($AB$1006:AC1006),$AB$1006:$AQ$1006,0)), HYPERLINK("#",""), HYPERLINK(CONCATENATE("#metadata!", ADDRESS(INDEX($W$2:$W$1001,MATCH(ROWS($U$2:U472),$U$2:$U$1001,0),0), INDEX($AB$1004:$AQ$1004,1,MATCH(COLUMNS($AB$1006:AC1006),$AB$1006:$AQ$1006,0)))),"Fix")))</f>
        <v>0</v>
      </c>
      <c r="D472" s="4">
        <f>IF(OR(INDEX($V$2:$V$1001,MATCH(ROWS($U$2:U472),$U$2:$U$1001,0),1)&gt;=100000,INDEX($AB$1005:$AQ$1005,1,MATCH(COLUMNS($AB$1006:AD1006),$AB$1006:$AQ$1006,0))&gt;=100000), " ",IF(INDEX($AB$2:$AQ$1001,MATCH(ROWS($U$2:U472),$U$2:$U$1001,0),MATCH(COLUMNS($AB$1006:AD1006),$AB$1006:$AQ$1006,0)), HYPERLINK("#",""), HYPERLINK(CONCATENATE("#metadata!", ADDRESS(INDEX($W$2:$W$1001,MATCH(ROWS($U$2:U472),$U$2:$U$1001,0),0), INDEX($AB$1004:$AQ$1004,1,MATCH(COLUMNS($AB$1006:AD1006),$AB$1006:$AQ$1006,0)))),"Fix")))</f>
        <v>0</v>
      </c>
      <c r="E472" s="4">
        <f>IF(OR(INDEX($V$2:$V$1001,MATCH(ROWS($U$2:U472),$U$2:$U$1001,0),1)&gt;=100000,INDEX($AB$1005:$AQ$1005,1,MATCH(COLUMNS($AB$1006:AE1006),$AB$1006:$AQ$1006,0))&gt;=100000), " ",IF(INDEX($AB$2:$AQ$1001,MATCH(ROWS($U$2:U472),$U$2:$U$1001,0),MATCH(COLUMNS($AB$1006:AE1006),$AB$1006:$AQ$1006,0)), HYPERLINK("#",""), HYPERLINK(CONCATENATE("#metadata!", ADDRESS(INDEX($W$2:$W$1001,MATCH(ROWS($U$2:U472),$U$2:$U$1001,0),0), INDEX($AB$1004:$AQ$1004,1,MATCH(COLUMNS($AB$1006:AE1006),$AB$1006:$AQ$1006,0)))),"Fix")))</f>
        <v>0</v>
      </c>
      <c r="F472" s="4">
        <f>IF(OR(INDEX($V$2:$V$1001,MATCH(ROWS($U$2:U472),$U$2:$U$1001,0),1)&gt;=100000,INDEX($AB$1005:$AQ$1005,1,MATCH(COLUMNS($AB$1006:AF1006),$AB$1006:$AQ$1006,0))&gt;=100000), " ",IF(INDEX($AB$2:$AQ$1001,MATCH(ROWS($U$2:U472),$U$2:$U$1001,0),MATCH(COLUMNS($AB$1006:AF1006),$AB$1006:$AQ$1006,0)), HYPERLINK("#",""), HYPERLINK(CONCATENATE("#metadata!", ADDRESS(INDEX($W$2:$W$1001,MATCH(ROWS($U$2:U472),$U$2:$U$1001,0),0), INDEX($AB$1004:$AQ$1004,1,MATCH(COLUMNS($AB$1006:AF1006),$AB$1006:$AQ$1006,0)))),"Fix")))</f>
        <v>0</v>
      </c>
      <c r="G472" s="4">
        <f>IF(OR(INDEX($V$2:$V$1001,MATCH(ROWS($U$2:U472),$U$2:$U$1001,0),1)&gt;=100000,INDEX($AB$1005:$AQ$1005,1,MATCH(COLUMNS($AB$1006:AG1006),$AB$1006:$AQ$1006,0))&gt;=100000), " ",IF(INDEX($AB$2:$AQ$1001,MATCH(ROWS($U$2:U472),$U$2:$U$1001,0),MATCH(COLUMNS($AB$1006:AG1006),$AB$1006:$AQ$1006,0)), HYPERLINK("#",""), HYPERLINK(CONCATENATE("#metadata!", ADDRESS(INDEX($W$2:$W$1001,MATCH(ROWS($U$2:U472),$U$2:$U$1001,0),0), INDEX($AB$1004:$AQ$1004,1,MATCH(COLUMNS($AB$1006:AG1006),$AB$1006:$AQ$1006,0)))),"Fix")))</f>
        <v>0</v>
      </c>
      <c r="H472" s="4">
        <f>IF(OR(INDEX($V$2:$V$1001,MATCH(ROWS($U$2:U472),$U$2:$U$1001,0),1)&gt;=100000,INDEX($AB$1005:$AQ$1005,1,MATCH(COLUMNS($AB$1006:AH1006),$AB$1006:$AQ$1006,0))&gt;=100000), " ",IF(INDEX($AB$2:$AQ$1001,MATCH(ROWS($U$2:U472),$U$2:$U$1001,0),MATCH(COLUMNS($AB$1006:AH1006),$AB$1006:$AQ$1006,0)), HYPERLINK("#",""), HYPERLINK(CONCATENATE("#metadata!", ADDRESS(INDEX($W$2:$W$1001,MATCH(ROWS($U$2:U472),$U$2:$U$1001,0),0), INDEX($AB$1004:$AQ$1004,1,MATCH(COLUMNS($AB$1006:AH1006),$AB$1006:$AQ$1006,0)))),"Fix")))</f>
        <v>0</v>
      </c>
      <c r="I472" s="4">
        <f>IF(OR(INDEX($V$2:$V$1001,MATCH(ROWS($U$2:U472),$U$2:$U$1001,0),1)&gt;=100000,INDEX($AB$1005:$AQ$1005,1,MATCH(COLUMNS($AB$1006:AI1006),$AB$1006:$AQ$1006,0))&gt;=100000), " ",IF(INDEX($AB$2:$AQ$1001,MATCH(ROWS($U$2:U472),$U$2:$U$1001,0),MATCH(COLUMNS($AB$1006:AI1006),$AB$1006:$AQ$1006,0)), HYPERLINK("#",""), HYPERLINK(CONCATENATE("#metadata!", ADDRESS(INDEX($W$2:$W$1001,MATCH(ROWS($U$2:U472),$U$2:$U$1001,0),0), INDEX($AB$1004:$AQ$1004,1,MATCH(COLUMNS($AB$1006:AI1006),$AB$1006:$AQ$1006,0)))),"Fix")))</f>
        <v>0</v>
      </c>
      <c r="J472" s="4">
        <f>IF(OR(INDEX($V$2:$V$1001,MATCH(ROWS($U$2:U472),$U$2:$U$1001,0),1)&gt;=100000,INDEX($AB$1005:$AQ$1005,1,MATCH(COLUMNS($AB$1006:AJ1006),$AB$1006:$AQ$1006,0))&gt;=100000), " ",IF(INDEX($AB$2:$AQ$1001,MATCH(ROWS($U$2:U472),$U$2:$U$1001,0),MATCH(COLUMNS($AB$1006:AJ1006),$AB$1006:$AQ$1006,0)), HYPERLINK("#",""), HYPERLINK(CONCATENATE("#metadata!", ADDRESS(INDEX($W$2:$W$1001,MATCH(ROWS($U$2:U472),$U$2:$U$1001,0),0), INDEX($AB$1004:$AQ$1004,1,MATCH(COLUMNS($AB$1006:AJ1006),$AB$1006:$AQ$1006,0)))),"Fix")))</f>
        <v>0</v>
      </c>
      <c r="K472" s="4">
        <f>IF(OR(INDEX($V$2:$V$1001,MATCH(ROWS($U$2:U472),$U$2:$U$1001,0),1)&gt;=100000,INDEX($AB$1005:$AQ$1005,1,MATCH(COLUMNS($AB$1006:AK1006),$AB$1006:$AQ$1006,0))&gt;=100000), " ",IF(INDEX($AB$2:$AQ$1001,MATCH(ROWS($U$2:U472),$U$2:$U$1001,0),MATCH(COLUMNS($AB$1006:AK1006),$AB$1006:$AQ$1006,0)), HYPERLINK("#",""), HYPERLINK(CONCATENATE("#metadata!", ADDRESS(INDEX($W$2:$W$1001,MATCH(ROWS($U$2:U472),$U$2:$U$1001,0),0), INDEX($AB$1004:$AQ$1004,1,MATCH(COLUMNS($AB$1006:AK1006),$AB$1006:$AQ$1006,0)))),"Fix")))</f>
        <v>0</v>
      </c>
      <c r="L472" s="4">
        <f>IF(OR(INDEX($V$2:$V$1001,MATCH(ROWS($U$2:U472),$U$2:$U$1001,0),1)&gt;=100000,INDEX($AB$1005:$AQ$1005,1,MATCH(COLUMNS($AB$1006:AL1006),$AB$1006:$AQ$1006,0))&gt;=100000), " ",IF(INDEX($AB$2:$AQ$1001,MATCH(ROWS($U$2:U472),$U$2:$U$1001,0),MATCH(COLUMNS($AB$1006:AL1006),$AB$1006:$AQ$1006,0)), HYPERLINK("#",""), HYPERLINK(CONCATENATE("#metadata!", ADDRESS(INDEX($W$2:$W$1001,MATCH(ROWS($U$2:U472),$U$2:$U$1001,0),0), INDEX($AB$1004:$AQ$1004,1,MATCH(COLUMNS($AB$1006:AL1006),$AB$1006:$AQ$1006,0)))),"Fix")))</f>
        <v>0</v>
      </c>
      <c r="M472" s="4">
        <f>IF(OR(INDEX($V$2:$V$1001,MATCH(ROWS($U$2:U472),$U$2:$U$1001,0),1)&gt;=100000,INDEX($AB$1005:$AQ$1005,1,MATCH(COLUMNS($AB$1006:AM1006),$AB$1006:$AQ$1006,0))&gt;=100000), " ",IF(INDEX($AB$2:$AQ$1001,MATCH(ROWS($U$2:U472),$U$2:$U$1001,0),MATCH(COLUMNS($AB$1006:AM1006),$AB$1006:$AQ$1006,0)), HYPERLINK("#",""), HYPERLINK(CONCATENATE("#metadata!", ADDRESS(INDEX($W$2:$W$1001,MATCH(ROWS($U$2:U472),$U$2:$U$1001,0),0), INDEX($AB$1004:$AQ$1004,1,MATCH(COLUMNS($AB$1006:AM1006),$AB$1006:$AQ$1006,0)))),"Fix")))</f>
        <v>0</v>
      </c>
      <c r="N472" s="4">
        <f>IF(OR(INDEX($V$2:$V$1001,MATCH(ROWS($U$2:U472),$U$2:$U$1001,0),1)&gt;=100000,INDEX($AB$1005:$AQ$1005,1,MATCH(COLUMNS($AB$1006:AN1006),$AB$1006:$AQ$1006,0))&gt;=100000), " ",IF(INDEX($AB$2:$AQ$1001,MATCH(ROWS($U$2:U472),$U$2:$U$1001,0),MATCH(COLUMNS($AB$1006:AN1006),$AB$1006:$AQ$1006,0)), HYPERLINK("#",""), HYPERLINK(CONCATENATE("#metadata!", ADDRESS(INDEX($W$2:$W$1001,MATCH(ROWS($U$2:U472),$U$2:$U$1001,0),0), INDEX($AB$1004:$AQ$1004,1,MATCH(COLUMNS($AB$1006:AN1006),$AB$1006:$AQ$1006,0)))),"Fix")))</f>
        <v>0</v>
      </c>
      <c r="O472" s="4">
        <f>IF(OR(INDEX($V$2:$V$1001,MATCH(ROWS($U$2:U472),$U$2:$U$1001,0),1)&gt;=100000,INDEX($AB$1005:$AQ$1005,1,MATCH(COLUMNS($AB$1006:AO1006),$AB$1006:$AQ$1006,0))&gt;=100000), " ",IF(INDEX($AB$2:$AQ$1001,MATCH(ROWS($U$2:U472),$U$2:$U$1001,0),MATCH(COLUMNS($AB$1006:AO1006),$AB$1006:$AQ$1006,0)), HYPERLINK("#",""), HYPERLINK(CONCATENATE("#metadata!", ADDRESS(INDEX($W$2:$W$1001,MATCH(ROWS($U$2:U472),$U$2:$U$1001,0),0), INDEX($AB$1004:$AQ$1004,1,MATCH(COLUMNS($AB$1006:AO1006),$AB$1006:$AQ$1006,0)))),"Fix")))</f>
        <v>0</v>
      </c>
      <c r="P472" s="4">
        <f>IF(OR(INDEX($V$2:$V$1001,MATCH(ROWS($U$2:U472),$U$2:$U$1001,0),1)&gt;=100000,INDEX($AB$1005:$AQ$1005,1,MATCH(COLUMNS($AB$1006:AP1006),$AB$1006:$AQ$1006,0))&gt;=100000), " ",IF(INDEX($AB$2:$AQ$1001,MATCH(ROWS($U$2:U472),$U$2:$U$1001,0),MATCH(COLUMNS($AB$1006:AP1006),$AB$1006:$AQ$1006,0)), HYPERLINK("#",""), HYPERLINK(CONCATENATE("#metadata!", ADDRESS(INDEX($W$2:$W$1001,MATCH(ROWS($U$2:U472),$U$2:$U$1001,0),0), INDEX($AB$1004:$AQ$1004,1,MATCH(COLUMNS($AB$1006:AP1006),$AB$1006:$AQ$1006,0)))),"Fix")))</f>
        <v>0</v>
      </c>
      <c r="Q472" s="4">
        <f>IF(OR(INDEX($V$2:$V$1001,MATCH(ROWS($U$2:U472),$U$2:$U$1001,0),1)&gt;=100000,INDEX($AB$1005:$AQ$1005,1,MATCH(COLUMNS($AB$1006:AQ1006),$AB$1006:$AQ$1006,0))&gt;=100000), " ",IF(INDEX($AB$2:$AQ$1001,MATCH(ROWS($U$2:U472),$U$2:$U$1001,0),MATCH(COLUMNS($AB$1006:AQ1006),$AB$1006:$AQ$1006,0)), HYPERLINK("#",""), HYPERLINK(CONCATENATE("#metadata!", ADDRESS(INDEX($W$2:$W$1001,MATCH(ROWS($U$2:U472),$U$2:$U$1001,0),0), INDEX($AB$1004:$AQ$1004,1,MATCH(COLUMNS($AB$1006:AQ1006),$AB$1006:$AQ$1006,0)))),"Fix")))</f>
        <v>0</v>
      </c>
      <c r="U472">
        <v>0</v>
      </c>
      <c r="V472">
        <v>0</v>
      </c>
      <c r="W472">
        <v>0</v>
      </c>
      <c r="X472">
        <f>IF(Y472,TRUE,AND(AB472:AQ472))</f>
        <v>0</v>
      </c>
      <c r="Y472">
        <f>COUNTBLANK(metadata!B472:Q472)=COLUMNS(metadata!B472:Q472)</f>
        <v>0</v>
      </c>
      <c r="Z472">
        <v>0</v>
      </c>
      <c r="AB472">
        <f>AND(IF(metadata!B472="",FALSE,TRUE),COUNTIF(metadata!B:B, metadata!B472) = 1,NOT(ISERROR(SUMPRODUCT(SEARCH(MID(metadata!B472,ROW(INDIRECT("1:"&amp;LEN(metadata!B472))), 1),"0123456789abcdefghijklmnopqrstuvwxyzABCDEFGHIJKLMNOPQRSTUVWXYZ.")))))</f>
        <v>0</v>
      </c>
      <c r="AC472">
        <f>OR(AND(IF(metadata!C472="",FALSE,TRUE),OR(exact(metadata!C472,"missing: not collected"),exact(metadata!C472,"missing: not provided"),exact(metadata!C472,"missing: restricted access"))),AND(IF(metadata!C472="",FALSE,TRUE),AND(AND(IFERROR(INT(LEFT(metadata!C472,4))&gt;1900,FALSE),IFERROR(INT(LEFT(metadata!C472,4))&lt;=YEAR(NOW()),FALSE)), OR(MID(metadata!C472,5,1)="", AND(AND(MID(metadata!C472,5,1)="-",IFERROR(INT(MID(metadata!C472,6,1))&gt;=0,FALSE),IFERROR(INT(MID(metadata!C472,6,1))&lt;=1,FALSE),NOT(MID(metadata!C472,7,1)=""),IFERROR(INT(MID(metadata!C472,6,2))&gt;=1,FALSE),IFERROR(INT(MID(metadata!C472,6,2))&lt;=12,FALSE)), OR(MID(metadata!C472,8,1)="", AND(AND(MID(metadata!C472,8,1)="-",IFERROR(INT(MID(metadata!C472,9,1))&gt;=0,FALSE),IFERROR(INT(MID(metadata!C472,9,1))&lt;=3,FALSE),NOT(MID(metadata!C472,10,1)=""),IFERROR(INT(MID(metadata!C472,9,2))&gt;=1,FALSE),IFERROR(INT(MID(metadata!C472,9,2))&lt;=31,FALSE)), OR(MID(metadata!C472,11,1)="", AND(AND(MID(metadata!C472,11,1)=" ",IFERROR(INT(MID(metadata!C472,12,1))&gt;=0,FALSE),IFERROR(INT(MID(metadata!C472,12,1))&lt;=2,FALSE),NOT(MID(metadata!C472,13,1)=""),IFERROR(INT(MID(metadata!C472,12,2))&gt;=0,FALSE),IFERROR(INT(MID(metadata!C472,12,2))&lt;=23,FALSE)), OR(MID(metadata!C472,14,1)="", AND(AND(MID(metadata!C472,14,1)=":",IFERROR(INT(MID(metadata!C472,15,1))&gt;=0,FALSE),IFERROR(INT(MID(metadata!C472,15,1))&lt;=5,FALSE),NOT(MID(metadata!C472,16,1)=""),IFERROR(INT(MID(metadata!C472,15,2))&gt;=0,FALSE),IFERROR(INT(MID(metadata!C472,15,2))&lt;=59,FALSE)), OR(MID(metadata!C472,17,1)="", AND(AND(MID(metadata!C472,17,1)=":",IFERROR(INT(MID(metadata!C472,18,1))&gt;=0,FALSE),IFERROR(INT(MID(metadata!C472,18,1))&lt;=5,FALSE),NOT(MID(metadata!C472,19,1)=""),IFERROR(INT(MID(metadata!C472,18,2))&gt;=0,FALSE),IFERROR(INT(MID(metadata!C472,18,2))&lt;=59,FALSE)), LEN(metadata!C472)&lt;=19)))))))))))))</f>
        <v>0</v>
      </c>
      <c r="AD472">
        <f>IF(metadata!D472="",FALSE,TRUE)</f>
        <v>0</v>
      </c>
      <c r="AE472">
        <f>OR(AND(IF(metadata!E472="",FALSE,TRUE),OR(exact(metadata!E472,"missing: not collected"),exact(metadata!E472,"missing: not provided"))),AND(IF(metadata!E472="",FALSE,TRUE),OR(exact(metadata!E472,"TRUE"),exact(metadata!E472,"FALSE"))))</f>
        <v>0</v>
      </c>
      <c r="AF472">
        <f>IF(metadata!F472="",FALSE,TRUE)</f>
        <v>0</v>
      </c>
      <c r="AG472">
        <f>IF(metadata!G472="",FALSE,TRUE)</f>
        <v>0</v>
      </c>
      <c r="AH472">
        <f>IF(metadata!H472="",FALSE,TRUE)</f>
        <v>0</v>
      </c>
      <c r="AI472">
        <f>OR(AND(IF(metadata!I472="",FALSE,TRUE),OR(exact(metadata!I472,"missing: not collected"),exact(metadata!I472,"missing: not provided"),exact(metadata!I472,"missing: restricted access"))),AND(IF(metadata!I472="",FALSE,TRUE),OR(exact(metadata!I472,"air"),exact(metadata!I472,"built environment"),exact(metadata!I472,"host-associated"),exact(metadata!I472,"human-associated"),exact(metadata!I472,"human-skin"),exact(metadata!I472,"human-oral"),exact(metadata!I472,"human-gut"),exact(metadata!I472,"human-vaginal"),exact(metadata!I472,"microbial mat/biofilm"),exact(metadata!I472,"misc environment"),exact(metadata!I472,"plant-associated"),exact(metadata!I472,"sediment"),exact(metadata!I472,"soil"),exact(metadata!I472,"wastewater/sludge"),exact(metadata!I472,"water"))))</f>
        <v>0</v>
      </c>
      <c r="AJ472">
        <f>IF(metadata!J472="",FALSE,TRUE)</f>
        <v>0</v>
      </c>
      <c r="AK472">
        <f>OR(AND(IF(metadata!K472="",FALSE,TRUE),OR(exact(metadata!K472,"missing: not collected"),exact(metadata!K472,"missing: not provided"),exact(metadata!K472,"missing: restricted access"))),AND(IF(metadata!K472="",FALSE,ISNUMBER(VALUE(metadata!K472))),metadata!K472&gt;=-90.00,metadata!K472&lt;=90.00))</f>
        <v>0</v>
      </c>
      <c r="AL472">
        <f>OR(AND(IF(metadata!L472="",FALSE,TRUE),OR(exact(metadata!L472,"missing: not collected"),exact(metadata!L472,"missing: not provided"),exact(metadata!L472,"missing: restricted access"))),AND(IF(metadata!L472="",FALSE,ISNUMBER(VALUE(metadata!L472))),metadata!L472&gt;=-180.00,metadata!L472&lt;=180.00))</f>
        <v>0</v>
      </c>
      <c r="AM472">
        <f>IF(metadata!M472="",FALSE,TRUE)</f>
        <v>0</v>
      </c>
      <c r="AN472">
        <f>OR(AND(IF(metadata!N472="",FALSE,TRUE),OR(exact(metadata!N472,"missing: not collected"),exact(metadata!N472,"missing: not provided"),exact(metadata!N472,"missing: restricted access"))),AND(IF(metadata!N472="",FALSE,TRUE),OR(exact(metadata!N472,"TRUE"),exact(metadata!N472,"FALSE"))))</f>
        <v>0</v>
      </c>
      <c r="AO472">
        <f>IF(metadata!O472="",FALSE,TRUE)</f>
        <v>0</v>
      </c>
      <c r="AP472">
        <f>OR(AND(IF(metadata!P472="",FALSE,TRUE),OR(exact(metadata!P472,"missing: not collected"),exact(metadata!P472,"missing: not provided"))),AND(IF(metadata!P472="",FALSE,IF(ISERROR(INT(metadata!P472)),FALSE,INT(metadata!P472)=metadata!P472)),metadata!P472&gt;0))</f>
        <v>0</v>
      </c>
      <c r="AQ472">
        <f>IF(metadata!Q472="",FALSE,TRUE)</f>
        <v>0</v>
      </c>
    </row>
    <row r="473" spans="1:43">
      <c r="A473" s="5">
        <f>IF(B473=" "," ",HYPERLINK(CONCATENATE("#metadata!",ADDRESS(INDEX($W$2:$W$1001,MATCH(ROWS($U$2:U473),$U$2:$U$1001,0),0),1)),INDEX($Z$2:$Z$1001,MATCH(ROWS($U$2:U473),$U$2:$U$1001,0),0)))</f>
        <v>0</v>
      </c>
      <c r="B473" s="4">
        <f>IF(OR(INDEX($V$2:$V$1001,MATCH(ROWS($U$2:U473),$U$2:$U$1001,0),1)&gt;=100000,INDEX($AB$1005:$AQ$1005,1,MATCH(COLUMNS($AB$1006:AB1006),$AB$1006:$AQ$1006,0))&gt;=100000), " ",IF(INDEX($AB$2:$AQ$1001,MATCH(ROWS($U$2:U473),$U$2:$U$1001,0),MATCH(COLUMNS($AB$1006:AB1006),$AB$1006:$AQ$1006,0)), HYPERLINK("#",""), HYPERLINK(CONCATENATE("#metadata!", ADDRESS(INDEX($W$2:$W$1001,MATCH(ROWS($U$2:U473),$U$2:$U$1001,0),0), INDEX($AB$1004:$AQ$1004,1,MATCH(COLUMNS($AB$1006:AB1006),$AB$1006:$AQ$1006,0)))),"Fix")))</f>
        <v>0</v>
      </c>
      <c r="C473" s="4">
        <f>IF(OR(INDEX($V$2:$V$1001,MATCH(ROWS($U$2:U473),$U$2:$U$1001,0),1)&gt;=100000,INDEX($AB$1005:$AQ$1005,1,MATCH(COLUMNS($AB$1006:AC1006),$AB$1006:$AQ$1006,0))&gt;=100000), " ",IF(INDEX($AB$2:$AQ$1001,MATCH(ROWS($U$2:U473),$U$2:$U$1001,0),MATCH(COLUMNS($AB$1006:AC1006),$AB$1006:$AQ$1006,0)), HYPERLINK("#",""), HYPERLINK(CONCATENATE("#metadata!", ADDRESS(INDEX($W$2:$W$1001,MATCH(ROWS($U$2:U473),$U$2:$U$1001,0),0), INDEX($AB$1004:$AQ$1004,1,MATCH(COLUMNS($AB$1006:AC1006),$AB$1006:$AQ$1006,0)))),"Fix")))</f>
        <v>0</v>
      </c>
      <c r="D473" s="4">
        <f>IF(OR(INDEX($V$2:$V$1001,MATCH(ROWS($U$2:U473),$U$2:$U$1001,0),1)&gt;=100000,INDEX($AB$1005:$AQ$1005,1,MATCH(COLUMNS($AB$1006:AD1006),$AB$1006:$AQ$1006,0))&gt;=100000), " ",IF(INDEX($AB$2:$AQ$1001,MATCH(ROWS($U$2:U473),$U$2:$U$1001,0),MATCH(COLUMNS($AB$1006:AD1006),$AB$1006:$AQ$1006,0)), HYPERLINK("#",""), HYPERLINK(CONCATENATE("#metadata!", ADDRESS(INDEX($W$2:$W$1001,MATCH(ROWS($U$2:U473),$U$2:$U$1001,0),0), INDEX($AB$1004:$AQ$1004,1,MATCH(COLUMNS($AB$1006:AD1006),$AB$1006:$AQ$1006,0)))),"Fix")))</f>
        <v>0</v>
      </c>
      <c r="E473" s="4">
        <f>IF(OR(INDEX($V$2:$V$1001,MATCH(ROWS($U$2:U473),$U$2:$U$1001,0),1)&gt;=100000,INDEX($AB$1005:$AQ$1005,1,MATCH(COLUMNS($AB$1006:AE1006),$AB$1006:$AQ$1006,0))&gt;=100000), " ",IF(INDEX($AB$2:$AQ$1001,MATCH(ROWS($U$2:U473),$U$2:$U$1001,0),MATCH(COLUMNS($AB$1006:AE1006),$AB$1006:$AQ$1006,0)), HYPERLINK("#",""), HYPERLINK(CONCATENATE("#metadata!", ADDRESS(INDEX($W$2:$W$1001,MATCH(ROWS($U$2:U473),$U$2:$U$1001,0),0), INDEX($AB$1004:$AQ$1004,1,MATCH(COLUMNS($AB$1006:AE1006),$AB$1006:$AQ$1006,0)))),"Fix")))</f>
        <v>0</v>
      </c>
      <c r="F473" s="4">
        <f>IF(OR(INDEX($V$2:$V$1001,MATCH(ROWS($U$2:U473),$U$2:$U$1001,0),1)&gt;=100000,INDEX($AB$1005:$AQ$1005,1,MATCH(COLUMNS($AB$1006:AF1006),$AB$1006:$AQ$1006,0))&gt;=100000), " ",IF(INDEX($AB$2:$AQ$1001,MATCH(ROWS($U$2:U473),$U$2:$U$1001,0),MATCH(COLUMNS($AB$1006:AF1006),$AB$1006:$AQ$1006,0)), HYPERLINK("#",""), HYPERLINK(CONCATENATE("#metadata!", ADDRESS(INDEX($W$2:$W$1001,MATCH(ROWS($U$2:U473),$U$2:$U$1001,0),0), INDEX($AB$1004:$AQ$1004,1,MATCH(COLUMNS($AB$1006:AF1006),$AB$1006:$AQ$1006,0)))),"Fix")))</f>
        <v>0</v>
      </c>
      <c r="G473" s="4">
        <f>IF(OR(INDEX($V$2:$V$1001,MATCH(ROWS($U$2:U473),$U$2:$U$1001,0),1)&gt;=100000,INDEX($AB$1005:$AQ$1005,1,MATCH(COLUMNS($AB$1006:AG1006),$AB$1006:$AQ$1006,0))&gt;=100000), " ",IF(INDEX($AB$2:$AQ$1001,MATCH(ROWS($U$2:U473),$U$2:$U$1001,0),MATCH(COLUMNS($AB$1006:AG1006),$AB$1006:$AQ$1006,0)), HYPERLINK("#",""), HYPERLINK(CONCATENATE("#metadata!", ADDRESS(INDEX($W$2:$W$1001,MATCH(ROWS($U$2:U473),$U$2:$U$1001,0),0), INDEX($AB$1004:$AQ$1004,1,MATCH(COLUMNS($AB$1006:AG1006),$AB$1006:$AQ$1006,0)))),"Fix")))</f>
        <v>0</v>
      </c>
      <c r="H473" s="4">
        <f>IF(OR(INDEX($V$2:$V$1001,MATCH(ROWS($U$2:U473),$U$2:$U$1001,0),1)&gt;=100000,INDEX($AB$1005:$AQ$1005,1,MATCH(COLUMNS($AB$1006:AH1006),$AB$1006:$AQ$1006,0))&gt;=100000), " ",IF(INDEX($AB$2:$AQ$1001,MATCH(ROWS($U$2:U473),$U$2:$U$1001,0),MATCH(COLUMNS($AB$1006:AH1006),$AB$1006:$AQ$1006,0)), HYPERLINK("#",""), HYPERLINK(CONCATENATE("#metadata!", ADDRESS(INDEX($W$2:$W$1001,MATCH(ROWS($U$2:U473),$U$2:$U$1001,0),0), INDEX($AB$1004:$AQ$1004,1,MATCH(COLUMNS($AB$1006:AH1006),$AB$1006:$AQ$1006,0)))),"Fix")))</f>
        <v>0</v>
      </c>
      <c r="I473" s="4">
        <f>IF(OR(INDEX($V$2:$V$1001,MATCH(ROWS($U$2:U473),$U$2:$U$1001,0),1)&gt;=100000,INDEX($AB$1005:$AQ$1005,1,MATCH(COLUMNS($AB$1006:AI1006),$AB$1006:$AQ$1006,0))&gt;=100000), " ",IF(INDEX($AB$2:$AQ$1001,MATCH(ROWS($U$2:U473),$U$2:$U$1001,0),MATCH(COLUMNS($AB$1006:AI1006),$AB$1006:$AQ$1006,0)), HYPERLINK("#",""), HYPERLINK(CONCATENATE("#metadata!", ADDRESS(INDEX($W$2:$W$1001,MATCH(ROWS($U$2:U473),$U$2:$U$1001,0),0), INDEX($AB$1004:$AQ$1004,1,MATCH(COLUMNS($AB$1006:AI1006),$AB$1006:$AQ$1006,0)))),"Fix")))</f>
        <v>0</v>
      </c>
      <c r="J473" s="4">
        <f>IF(OR(INDEX($V$2:$V$1001,MATCH(ROWS($U$2:U473),$U$2:$U$1001,0),1)&gt;=100000,INDEX($AB$1005:$AQ$1005,1,MATCH(COLUMNS($AB$1006:AJ1006),$AB$1006:$AQ$1006,0))&gt;=100000), " ",IF(INDEX($AB$2:$AQ$1001,MATCH(ROWS($U$2:U473),$U$2:$U$1001,0),MATCH(COLUMNS($AB$1006:AJ1006),$AB$1006:$AQ$1006,0)), HYPERLINK("#",""), HYPERLINK(CONCATENATE("#metadata!", ADDRESS(INDEX($W$2:$W$1001,MATCH(ROWS($U$2:U473),$U$2:$U$1001,0),0), INDEX($AB$1004:$AQ$1004,1,MATCH(COLUMNS($AB$1006:AJ1006),$AB$1006:$AQ$1006,0)))),"Fix")))</f>
        <v>0</v>
      </c>
      <c r="K473" s="4">
        <f>IF(OR(INDEX($V$2:$V$1001,MATCH(ROWS($U$2:U473),$U$2:$U$1001,0),1)&gt;=100000,INDEX($AB$1005:$AQ$1005,1,MATCH(COLUMNS($AB$1006:AK1006),$AB$1006:$AQ$1006,0))&gt;=100000), " ",IF(INDEX($AB$2:$AQ$1001,MATCH(ROWS($U$2:U473),$U$2:$U$1001,0),MATCH(COLUMNS($AB$1006:AK1006),$AB$1006:$AQ$1006,0)), HYPERLINK("#",""), HYPERLINK(CONCATENATE("#metadata!", ADDRESS(INDEX($W$2:$W$1001,MATCH(ROWS($U$2:U473),$U$2:$U$1001,0),0), INDEX($AB$1004:$AQ$1004,1,MATCH(COLUMNS($AB$1006:AK1006),$AB$1006:$AQ$1006,0)))),"Fix")))</f>
        <v>0</v>
      </c>
      <c r="L473" s="4">
        <f>IF(OR(INDEX($V$2:$V$1001,MATCH(ROWS($U$2:U473),$U$2:$U$1001,0),1)&gt;=100000,INDEX($AB$1005:$AQ$1005,1,MATCH(COLUMNS($AB$1006:AL1006),$AB$1006:$AQ$1006,0))&gt;=100000), " ",IF(INDEX($AB$2:$AQ$1001,MATCH(ROWS($U$2:U473),$U$2:$U$1001,0),MATCH(COLUMNS($AB$1006:AL1006),$AB$1006:$AQ$1006,0)), HYPERLINK("#",""), HYPERLINK(CONCATENATE("#metadata!", ADDRESS(INDEX($W$2:$W$1001,MATCH(ROWS($U$2:U473),$U$2:$U$1001,0),0), INDEX($AB$1004:$AQ$1004,1,MATCH(COLUMNS($AB$1006:AL1006),$AB$1006:$AQ$1006,0)))),"Fix")))</f>
        <v>0</v>
      </c>
      <c r="M473" s="4">
        <f>IF(OR(INDEX($V$2:$V$1001,MATCH(ROWS($U$2:U473),$U$2:$U$1001,0),1)&gt;=100000,INDEX($AB$1005:$AQ$1005,1,MATCH(COLUMNS($AB$1006:AM1006),$AB$1006:$AQ$1006,0))&gt;=100000), " ",IF(INDEX($AB$2:$AQ$1001,MATCH(ROWS($U$2:U473),$U$2:$U$1001,0),MATCH(COLUMNS($AB$1006:AM1006),$AB$1006:$AQ$1006,0)), HYPERLINK("#",""), HYPERLINK(CONCATENATE("#metadata!", ADDRESS(INDEX($W$2:$W$1001,MATCH(ROWS($U$2:U473),$U$2:$U$1001,0),0), INDEX($AB$1004:$AQ$1004,1,MATCH(COLUMNS($AB$1006:AM1006),$AB$1006:$AQ$1006,0)))),"Fix")))</f>
        <v>0</v>
      </c>
      <c r="N473" s="4">
        <f>IF(OR(INDEX($V$2:$V$1001,MATCH(ROWS($U$2:U473),$U$2:$U$1001,0),1)&gt;=100000,INDEX($AB$1005:$AQ$1005,1,MATCH(COLUMNS($AB$1006:AN1006),$AB$1006:$AQ$1006,0))&gt;=100000), " ",IF(INDEX($AB$2:$AQ$1001,MATCH(ROWS($U$2:U473),$U$2:$U$1001,0),MATCH(COLUMNS($AB$1006:AN1006),$AB$1006:$AQ$1006,0)), HYPERLINK("#",""), HYPERLINK(CONCATENATE("#metadata!", ADDRESS(INDEX($W$2:$W$1001,MATCH(ROWS($U$2:U473),$U$2:$U$1001,0),0), INDEX($AB$1004:$AQ$1004,1,MATCH(COLUMNS($AB$1006:AN1006),$AB$1006:$AQ$1006,0)))),"Fix")))</f>
        <v>0</v>
      </c>
      <c r="O473" s="4">
        <f>IF(OR(INDEX($V$2:$V$1001,MATCH(ROWS($U$2:U473),$U$2:$U$1001,0),1)&gt;=100000,INDEX($AB$1005:$AQ$1005,1,MATCH(COLUMNS($AB$1006:AO1006),$AB$1006:$AQ$1006,0))&gt;=100000), " ",IF(INDEX($AB$2:$AQ$1001,MATCH(ROWS($U$2:U473),$U$2:$U$1001,0),MATCH(COLUMNS($AB$1006:AO1006),$AB$1006:$AQ$1006,0)), HYPERLINK("#",""), HYPERLINK(CONCATENATE("#metadata!", ADDRESS(INDEX($W$2:$W$1001,MATCH(ROWS($U$2:U473),$U$2:$U$1001,0),0), INDEX($AB$1004:$AQ$1004,1,MATCH(COLUMNS($AB$1006:AO1006),$AB$1006:$AQ$1006,0)))),"Fix")))</f>
        <v>0</v>
      </c>
      <c r="P473" s="4">
        <f>IF(OR(INDEX($V$2:$V$1001,MATCH(ROWS($U$2:U473),$U$2:$U$1001,0),1)&gt;=100000,INDEX($AB$1005:$AQ$1005,1,MATCH(COLUMNS($AB$1006:AP1006),$AB$1006:$AQ$1006,0))&gt;=100000), " ",IF(INDEX($AB$2:$AQ$1001,MATCH(ROWS($U$2:U473),$U$2:$U$1001,0),MATCH(COLUMNS($AB$1006:AP1006),$AB$1006:$AQ$1006,0)), HYPERLINK("#",""), HYPERLINK(CONCATENATE("#metadata!", ADDRESS(INDEX($W$2:$W$1001,MATCH(ROWS($U$2:U473),$U$2:$U$1001,0),0), INDEX($AB$1004:$AQ$1004,1,MATCH(COLUMNS($AB$1006:AP1006),$AB$1006:$AQ$1006,0)))),"Fix")))</f>
        <v>0</v>
      </c>
      <c r="Q473" s="4">
        <f>IF(OR(INDEX($V$2:$V$1001,MATCH(ROWS($U$2:U473),$U$2:$U$1001,0),1)&gt;=100000,INDEX($AB$1005:$AQ$1005,1,MATCH(COLUMNS($AB$1006:AQ1006),$AB$1006:$AQ$1006,0))&gt;=100000), " ",IF(INDEX($AB$2:$AQ$1001,MATCH(ROWS($U$2:U473),$U$2:$U$1001,0),MATCH(COLUMNS($AB$1006:AQ1006),$AB$1006:$AQ$1006,0)), HYPERLINK("#",""), HYPERLINK(CONCATENATE("#metadata!", ADDRESS(INDEX($W$2:$W$1001,MATCH(ROWS($U$2:U473),$U$2:$U$1001,0),0), INDEX($AB$1004:$AQ$1004,1,MATCH(COLUMNS($AB$1006:AQ1006),$AB$1006:$AQ$1006,0)))),"Fix")))</f>
        <v>0</v>
      </c>
      <c r="U473">
        <v>0</v>
      </c>
      <c r="V473">
        <v>0</v>
      </c>
      <c r="W473">
        <v>0</v>
      </c>
      <c r="X473">
        <f>IF(Y473,TRUE,AND(AB473:AQ473))</f>
        <v>0</v>
      </c>
      <c r="Y473">
        <f>COUNTBLANK(metadata!B473:Q473)=COLUMNS(metadata!B473:Q473)</f>
        <v>0</v>
      </c>
      <c r="Z473">
        <v>0</v>
      </c>
      <c r="AB473">
        <f>AND(IF(metadata!B473="",FALSE,TRUE),COUNTIF(metadata!B:B, metadata!B473) = 1,NOT(ISERROR(SUMPRODUCT(SEARCH(MID(metadata!B473,ROW(INDIRECT("1:"&amp;LEN(metadata!B473))), 1),"0123456789abcdefghijklmnopqrstuvwxyzABCDEFGHIJKLMNOPQRSTUVWXYZ.")))))</f>
        <v>0</v>
      </c>
      <c r="AC473">
        <f>OR(AND(IF(metadata!C473="",FALSE,TRUE),OR(exact(metadata!C473,"missing: not collected"),exact(metadata!C473,"missing: not provided"),exact(metadata!C473,"missing: restricted access"))),AND(IF(metadata!C473="",FALSE,TRUE),AND(AND(IFERROR(INT(LEFT(metadata!C473,4))&gt;1900,FALSE),IFERROR(INT(LEFT(metadata!C473,4))&lt;=YEAR(NOW()),FALSE)), OR(MID(metadata!C473,5,1)="", AND(AND(MID(metadata!C473,5,1)="-",IFERROR(INT(MID(metadata!C473,6,1))&gt;=0,FALSE),IFERROR(INT(MID(metadata!C473,6,1))&lt;=1,FALSE),NOT(MID(metadata!C473,7,1)=""),IFERROR(INT(MID(metadata!C473,6,2))&gt;=1,FALSE),IFERROR(INT(MID(metadata!C473,6,2))&lt;=12,FALSE)), OR(MID(metadata!C473,8,1)="", AND(AND(MID(metadata!C473,8,1)="-",IFERROR(INT(MID(metadata!C473,9,1))&gt;=0,FALSE),IFERROR(INT(MID(metadata!C473,9,1))&lt;=3,FALSE),NOT(MID(metadata!C473,10,1)=""),IFERROR(INT(MID(metadata!C473,9,2))&gt;=1,FALSE),IFERROR(INT(MID(metadata!C473,9,2))&lt;=31,FALSE)), OR(MID(metadata!C473,11,1)="", AND(AND(MID(metadata!C473,11,1)=" ",IFERROR(INT(MID(metadata!C473,12,1))&gt;=0,FALSE),IFERROR(INT(MID(metadata!C473,12,1))&lt;=2,FALSE),NOT(MID(metadata!C473,13,1)=""),IFERROR(INT(MID(metadata!C473,12,2))&gt;=0,FALSE),IFERROR(INT(MID(metadata!C473,12,2))&lt;=23,FALSE)), OR(MID(metadata!C473,14,1)="", AND(AND(MID(metadata!C473,14,1)=":",IFERROR(INT(MID(metadata!C473,15,1))&gt;=0,FALSE),IFERROR(INT(MID(metadata!C473,15,1))&lt;=5,FALSE),NOT(MID(metadata!C473,16,1)=""),IFERROR(INT(MID(metadata!C473,15,2))&gt;=0,FALSE),IFERROR(INT(MID(metadata!C473,15,2))&lt;=59,FALSE)), OR(MID(metadata!C473,17,1)="", AND(AND(MID(metadata!C473,17,1)=":",IFERROR(INT(MID(metadata!C473,18,1))&gt;=0,FALSE),IFERROR(INT(MID(metadata!C473,18,1))&lt;=5,FALSE),NOT(MID(metadata!C473,19,1)=""),IFERROR(INT(MID(metadata!C473,18,2))&gt;=0,FALSE),IFERROR(INT(MID(metadata!C473,18,2))&lt;=59,FALSE)), LEN(metadata!C473)&lt;=19)))))))))))))</f>
        <v>0</v>
      </c>
      <c r="AD473">
        <f>IF(metadata!D473="",FALSE,TRUE)</f>
        <v>0</v>
      </c>
      <c r="AE473">
        <f>OR(AND(IF(metadata!E473="",FALSE,TRUE),OR(exact(metadata!E473,"missing: not collected"),exact(metadata!E473,"missing: not provided"))),AND(IF(metadata!E473="",FALSE,TRUE),OR(exact(metadata!E473,"TRUE"),exact(metadata!E473,"FALSE"))))</f>
        <v>0</v>
      </c>
      <c r="AF473">
        <f>IF(metadata!F473="",FALSE,TRUE)</f>
        <v>0</v>
      </c>
      <c r="AG473">
        <f>IF(metadata!G473="",FALSE,TRUE)</f>
        <v>0</v>
      </c>
      <c r="AH473">
        <f>IF(metadata!H473="",FALSE,TRUE)</f>
        <v>0</v>
      </c>
      <c r="AI473">
        <f>OR(AND(IF(metadata!I473="",FALSE,TRUE),OR(exact(metadata!I473,"missing: not collected"),exact(metadata!I473,"missing: not provided"),exact(metadata!I473,"missing: restricted access"))),AND(IF(metadata!I473="",FALSE,TRUE),OR(exact(metadata!I473,"air"),exact(metadata!I473,"built environment"),exact(metadata!I473,"host-associated"),exact(metadata!I473,"human-associated"),exact(metadata!I473,"human-skin"),exact(metadata!I473,"human-oral"),exact(metadata!I473,"human-gut"),exact(metadata!I473,"human-vaginal"),exact(metadata!I473,"microbial mat/biofilm"),exact(metadata!I473,"misc environment"),exact(metadata!I473,"plant-associated"),exact(metadata!I473,"sediment"),exact(metadata!I473,"soil"),exact(metadata!I473,"wastewater/sludge"),exact(metadata!I473,"water"))))</f>
        <v>0</v>
      </c>
      <c r="AJ473">
        <f>IF(metadata!J473="",FALSE,TRUE)</f>
        <v>0</v>
      </c>
      <c r="AK473">
        <f>OR(AND(IF(metadata!K473="",FALSE,TRUE),OR(exact(metadata!K473,"missing: not collected"),exact(metadata!K473,"missing: not provided"),exact(metadata!K473,"missing: restricted access"))),AND(IF(metadata!K473="",FALSE,ISNUMBER(VALUE(metadata!K473))),metadata!K473&gt;=-90.00,metadata!K473&lt;=90.00))</f>
        <v>0</v>
      </c>
      <c r="AL473">
        <f>OR(AND(IF(metadata!L473="",FALSE,TRUE),OR(exact(metadata!L473,"missing: not collected"),exact(metadata!L473,"missing: not provided"),exact(metadata!L473,"missing: restricted access"))),AND(IF(metadata!L473="",FALSE,ISNUMBER(VALUE(metadata!L473))),metadata!L473&gt;=-180.00,metadata!L473&lt;=180.00))</f>
        <v>0</v>
      </c>
      <c r="AM473">
        <f>IF(metadata!M473="",FALSE,TRUE)</f>
        <v>0</v>
      </c>
      <c r="AN473">
        <f>OR(AND(IF(metadata!N473="",FALSE,TRUE),OR(exact(metadata!N473,"missing: not collected"),exact(metadata!N473,"missing: not provided"),exact(metadata!N473,"missing: restricted access"))),AND(IF(metadata!N473="",FALSE,TRUE),OR(exact(metadata!N473,"TRUE"),exact(metadata!N473,"FALSE"))))</f>
        <v>0</v>
      </c>
      <c r="AO473">
        <f>IF(metadata!O473="",FALSE,TRUE)</f>
        <v>0</v>
      </c>
      <c r="AP473">
        <f>OR(AND(IF(metadata!P473="",FALSE,TRUE),OR(exact(metadata!P473,"missing: not collected"),exact(metadata!P473,"missing: not provided"))),AND(IF(metadata!P473="",FALSE,IF(ISERROR(INT(metadata!P473)),FALSE,INT(metadata!P473)=metadata!P473)),metadata!P473&gt;0))</f>
        <v>0</v>
      </c>
      <c r="AQ473">
        <f>IF(metadata!Q473="",FALSE,TRUE)</f>
        <v>0</v>
      </c>
    </row>
    <row r="474" spans="1:43">
      <c r="A474" s="5">
        <f>IF(B474=" "," ",HYPERLINK(CONCATENATE("#metadata!",ADDRESS(INDEX($W$2:$W$1001,MATCH(ROWS($U$2:U474),$U$2:$U$1001,0),0),1)),INDEX($Z$2:$Z$1001,MATCH(ROWS($U$2:U474),$U$2:$U$1001,0),0)))</f>
        <v>0</v>
      </c>
      <c r="B474" s="4">
        <f>IF(OR(INDEX($V$2:$V$1001,MATCH(ROWS($U$2:U474),$U$2:$U$1001,0),1)&gt;=100000,INDEX($AB$1005:$AQ$1005,1,MATCH(COLUMNS($AB$1006:AB1006),$AB$1006:$AQ$1006,0))&gt;=100000), " ",IF(INDEX($AB$2:$AQ$1001,MATCH(ROWS($U$2:U474),$U$2:$U$1001,0),MATCH(COLUMNS($AB$1006:AB1006),$AB$1006:$AQ$1006,0)), HYPERLINK("#",""), HYPERLINK(CONCATENATE("#metadata!", ADDRESS(INDEX($W$2:$W$1001,MATCH(ROWS($U$2:U474),$U$2:$U$1001,0),0), INDEX($AB$1004:$AQ$1004,1,MATCH(COLUMNS($AB$1006:AB1006),$AB$1006:$AQ$1006,0)))),"Fix")))</f>
        <v>0</v>
      </c>
      <c r="C474" s="4">
        <f>IF(OR(INDEX($V$2:$V$1001,MATCH(ROWS($U$2:U474),$U$2:$U$1001,0),1)&gt;=100000,INDEX($AB$1005:$AQ$1005,1,MATCH(COLUMNS($AB$1006:AC1006),$AB$1006:$AQ$1006,0))&gt;=100000), " ",IF(INDEX($AB$2:$AQ$1001,MATCH(ROWS($U$2:U474),$U$2:$U$1001,0),MATCH(COLUMNS($AB$1006:AC1006),$AB$1006:$AQ$1006,0)), HYPERLINK("#",""), HYPERLINK(CONCATENATE("#metadata!", ADDRESS(INDEX($W$2:$W$1001,MATCH(ROWS($U$2:U474),$U$2:$U$1001,0),0), INDEX($AB$1004:$AQ$1004,1,MATCH(COLUMNS($AB$1006:AC1006),$AB$1006:$AQ$1006,0)))),"Fix")))</f>
        <v>0</v>
      </c>
      <c r="D474" s="4">
        <f>IF(OR(INDEX($V$2:$V$1001,MATCH(ROWS($U$2:U474),$U$2:$U$1001,0),1)&gt;=100000,INDEX($AB$1005:$AQ$1005,1,MATCH(COLUMNS($AB$1006:AD1006),$AB$1006:$AQ$1006,0))&gt;=100000), " ",IF(INDEX($AB$2:$AQ$1001,MATCH(ROWS($U$2:U474),$U$2:$U$1001,0),MATCH(COLUMNS($AB$1006:AD1006),$AB$1006:$AQ$1006,0)), HYPERLINK("#",""), HYPERLINK(CONCATENATE("#metadata!", ADDRESS(INDEX($W$2:$W$1001,MATCH(ROWS($U$2:U474),$U$2:$U$1001,0),0), INDEX($AB$1004:$AQ$1004,1,MATCH(COLUMNS($AB$1006:AD1006),$AB$1006:$AQ$1006,0)))),"Fix")))</f>
        <v>0</v>
      </c>
      <c r="E474" s="4">
        <f>IF(OR(INDEX($V$2:$V$1001,MATCH(ROWS($U$2:U474),$U$2:$U$1001,0),1)&gt;=100000,INDEX($AB$1005:$AQ$1005,1,MATCH(COLUMNS($AB$1006:AE1006),$AB$1006:$AQ$1006,0))&gt;=100000), " ",IF(INDEX($AB$2:$AQ$1001,MATCH(ROWS($U$2:U474),$U$2:$U$1001,0),MATCH(COLUMNS($AB$1006:AE1006),$AB$1006:$AQ$1006,0)), HYPERLINK("#",""), HYPERLINK(CONCATENATE("#metadata!", ADDRESS(INDEX($W$2:$W$1001,MATCH(ROWS($U$2:U474),$U$2:$U$1001,0),0), INDEX($AB$1004:$AQ$1004,1,MATCH(COLUMNS($AB$1006:AE1006),$AB$1006:$AQ$1006,0)))),"Fix")))</f>
        <v>0</v>
      </c>
      <c r="F474" s="4">
        <f>IF(OR(INDEX($V$2:$V$1001,MATCH(ROWS($U$2:U474),$U$2:$U$1001,0),1)&gt;=100000,INDEX($AB$1005:$AQ$1005,1,MATCH(COLUMNS($AB$1006:AF1006),$AB$1006:$AQ$1006,0))&gt;=100000), " ",IF(INDEX($AB$2:$AQ$1001,MATCH(ROWS($U$2:U474),$U$2:$U$1001,0),MATCH(COLUMNS($AB$1006:AF1006),$AB$1006:$AQ$1006,0)), HYPERLINK("#",""), HYPERLINK(CONCATENATE("#metadata!", ADDRESS(INDEX($W$2:$W$1001,MATCH(ROWS($U$2:U474),$U$2:$U$1001,0),0), INDEX($AB$1004:$AQ$1004,1,MATCH(COLUMNS($AB$1006:AF1006),$AB$1006:$AQ$1006,0)))),"Fix")))</f>
        <v>0</v>
      </c>
      <c r="G474" s="4">
        <f>IF(OR(INDEX($V$2:$V$1001,MATCH(ROWS($U$2:U474),$U$2:$U$1001,0),1)&gt;=100000,INDEX($AB$1005:$AQ$1005,1,MATCH(COLUMNS($AB$1006:AG1006),$AB$1006:$AQ$1006,0))&gt;=100000), " ",IF(INDEX($AB$2:$AQ$1001,MATCH(ROWS($U$2:U474),$U$2:$U$1001,0),MATCH(COLUMNS($AB$1006:AG1006),$AB$1006:$AQ$1006,0)), HYPERLINK("#",""), HYPERLINK(CONCATENATE("#metadata!", ADDRESS(INDEX($W$2:$W$1001,MATCH(ROWS($U$2:U474),$U$2:$U$1001,0),0), INDEX($AB$1004:$AQ$1004,1,MATCH(COLUMNS($AB$1006:AG1006),$AB$1006:$AQ$1006,0)))),"Fix")))</f>
        <v>0</v>
      </c>
      <c r="H474" s="4">
        <f>IF(OR(INDEX($V$2:$V$1001,MATCH(ROWS($U$2:U474),$U$2:$U$1001,0),1)&gt;=100000,INDEX($AB$1005:$AQ$1005,1,MATCH(COLUMNS($AB$1006:AH1006),$AB$1006:$AQ$1006,0))&gt;=100000), " ",IF(INDEX($AB$2:$AQ$1001,MATCH(ROWS($U$2:U474),$U$2:$U$1001,0),MATCH(COLUMNS($AB$1006:AH1006),$AB$1006:$AQ$1006,0)), HYPERLINK("#",""), HYPERLINK(CONCATENATE("#metadata!", ADDRESS(INDEX($W$2:$W$1001,MATCH(ROWS($U$2:U474),$U$2:$U$1001,0),0), INDEX($AB$1004:$AQ$1004,1,MATCH(COLUMNS($AB$1006:AH1006),$AB$1006:$AQ$1006,0)))),"Fix")))</f>
        <v>0</v>
      </c>
      <c r="I474" s="4">
        <f>IF(OR(INDEX($V$2:$V$1001,MATCH(ROWS($U$2:U474),$U$2:$U$1001,0),1)&gt;=100000,INDEX($AB$1005:$AQ$1005,1,MATCH(COLUMNS($AB$1006:AI1006),$AB$1006:$AQ$1006,0))&gt;=100000), " ",IF(INDEX($AB$2:$AQ$1001,MATCH(ROWS($U$2:U474),$U$2:$U$1001,0),MATCH(COLUMNS($AB$1006:AI1006),$AB$1006:$AQ$1006,0)), HYPERLINK("#",""), HYPERLINK(CONCATENATE("#metadata!", ADDRESS(INDEX($W$2:$W$1001,MATCH(ROWS($U$2:U474),$U$2:$U$1001,0),0), INDEX($AB$1004:$AQ$1004,1,MATCH(COLUMNS($AB$1006:AI1006),$AB$1006:$AQ$1006,0)))),"Fix")))</f>
        <v>0</v>
      </c>
      <c r="J474" s="4">
        <f>IF(OR(INDEX($V$2:$V$1001,MATCH(ROWS($U$2:U474),$U$2:$U$1001,0),1)&gt;=100000,INDEX($AB$1005:$AQ$1005,1,MATCH(COLUMNS($AB$1006:AJ1006),$AB$1006:$AQ$1006,0))&gt;=100000), " ",IF(INDEX($AB$2:$AQ$1001,MATCH(ROWS($U$2:U474),$U$2:$U$1001,0),MATCH(COLUMNS($AB$1006:AJ1006),$AB$1006:$AQ$1006,0)), HYPERLINK("#",""), HYPERLINK(CONCATENATE("#metadata!", ADDRESS(INDEX($W$2:$W$1001,MATCH(ROWS($U$2:U474),$U$2:$U$1001,0),0), INDEX($AB$1004:$AQ$1004,1,MATCH(COLUMNS($AB$1006:AJ1006),$AB$1006:$AQ$1006,0)))),"Fix")))</f>
        <v>0</v>
      </c>
      <c r="K474" s="4">
        <f>IF(OR(INDEX($V$2:$V$1001,MATCH(ROWS($U$2:U474),$U$2:$U$1001,0),1)&gt;=100000,INDEX($AB$1005:$AQ$1005,1,MATCH(COLUMNS($AB$1006:AK1006),$AB$1006:$AQ$1006,0))&gt;=100000), " ",IF(INDEX($AB$2:$AQ$1001,MATCH(ROWS($U$2:U474),$U$2:$U$1001,0),MATCH(COLUMNS($AB$1006:AK1006),$AB$1006:$AQ$1006,0)), HYPERLINK("#",""), HYPERLINK(CONCATENATE("#metadata!", ADDRESS(INDEX($W$2:$W$1001,MATCH(ROWS($U$2:U474),$U$2:$U$1001,0),0), INDEX($AB$1004:$AQ$1004,1,MATCH(COLUMNS($AB$1006:AK1006),$AB$1006:$AQ$1006,0)))),"Fix")))</f>
        <v>0</v>
      </c>
      <c r="L474" s="4">
        <f>IF(OR(INDEX($V$2:$V$1001,MATCH(ROWS($U$2:U474),$U$2:$U$1001,0),1)&gt;=100000,INDEX($AB$1005:$AQ$1005,1,MATCH(COLUMNS($AB$1006:AL1006),$AB$1006:$AQ$1006,0))&gt;=100000), " ",IF(INDEX($AB$2:$AQ$1001,MATCH(ROWS($U$2:U474),$U$2:$U$1001,0),MATCH(COLUMNS($AB$1006:AL1006),$AB$1006:$AQ$1006,0)), HYPERLINK("#",""), HYPERLINK(CONCATENATE("#metadata!", ADDRESS(INDEX($W$2:$W$1001,MATCH(ROWS($U$2:U474),$U$2:$U$1001,0),0), INDEX($AB$1004:$AQ$1004,1,MATCH(COLUMNS($AB$1006:AL1006),$AB$1006:$AQ$1006,0)))),"Fix")))</f>
        <v>0</v>
      </c>
      <c r="M474" s="4">
        <f>IF(OR(INDEX($V$2:$V$1001,MATCH(ROWS($U$2:U474),$U$2:$U$1001,0),1)&gt;=100000,INDEX($AB$1005:$AQ$1005,1,MATCH(COLUMNS($AB$1006:AM1006),$AB$1006:$AQ$1006,0))&gt;=100000), " ",IF(INDEX($AB$2:$AQ$1001,MATCH(ROWS($U$2:U474),$U$2:$U$1001,0),MATCH(COLUMNS($AB$1006:AM1006),$AB$1006:$AQ$1006,0)), HYPERLINK("#",""), HYPERLINK(CONCATENATE("#metadata!", ADDRESS(INDEX($W$2:$W$1001,MATCH(ROWS($U$2:U474),$U$2:$U$1001,0),0), INDEX($AB$1004:$AQ$1004,1,MATCH(COLUMNS($AB$1006:AM1006),$AB$1006:$AQ$1006,0)))),"Fix")))</f>
        <v>0</v>
      </c>
      <c r="N474" s="4">
        <f>IF(OR(INDEX($V$2:$V$1001,MATCH(ROWS($U$2:U474),$U$2:$U$1001,0),1)&gt;=100000,INDEX($AB$1005:$AQ$1005,1,MATCH(COLUMNS($AB$1006:AN1006),$AB$1006:$AQ$1006,0))&gt;=100000), " ",IF(INDEX($AB$2:$AQ$1001,MATCH(ROWS($U$2:U474),$U$2:$U$1001,0),MATCH(COLUMNS($AB$1006:AN1006),$AB$1006:$AQ$1006,0)), HYPERLINK("#",""), HYPERLINK(CONCATENATE("#metadata!", ADDRESS(INDEX($W$2:$W$1001,MATCH(ROWS($U$2:U474),$U$2:$U$1001,0),0), INDEX($AB$1004:$AQ$1004,1,MATCH(COLUMNS($AB$1006:AN1006),$AB$1006:$AQ$1006,0)))),"Fix")))</f>
        <v>0</v>
      </c>
      <c r="O474" s="4">
        <f>IF(OR(INDEX($V$2:$V$1001,MATCH(ROWS($U$2:U474),$U$2:$U$1001,0),1)&gt;=100000,INDEX($AB$1005:$AQ$1005,1,MATCH(COLUMNS($AB$1006:AO1006),$AB$1006:$AQ$1006,0))&gt;=100000), " ",IF(INDEX($AB$2:$AQ$1001,MATCH(ROWS($U$2:U474),$U$2:$U$1001,0),MATCH(COLUMNS($AB$1006:AO1006),$AB$1006:$AQ$1006,0)), HYPERLINK("#",""), HYPERLINK(CONCATENATE("#metadata!", ADDRESS(INDEX($W$2:$W$1001,MATCH(ROWS($U$2:U474),$U$2:$U$1001,0),0), INDEX($AB$1004:$AQ$1004,1,MATCH(COLUMNS($AB$1006:AO1006),$AB$1006:$AQ$1006,0)))),"Fix")))</f>
        <v>0</v>
      </c>
      <c r="P474" s="4">
        <f>IF(OR(INDEX($V$2:$V$1001,MATCH(ROWS($U$2:U474),$U$2:$U$1001,0),1)&gt;=100000,INDEX($AB$1005:$AQ$1005,1,MATCH(COLUMNS($AB$1006:AP1006),$AB$1006:$AQ$1006,0))&gt;=100000), " ",IF(INDEX($AB$2:$AQ$1001,MATCH(ROWS($U$2:U474),$U$2:$U$1001,0),MATCH(COLUMNS($AB$1006:AP1006),$AB$1006:$AQ$1006,0)), HYPERLINK("#",""), HYPERLINK(CONCATENATE("#metadata!", ADDRESS(INDEX($W$2:$W$1001,MATCH(ROWS($U$2:U474),$U$2:$U$1001,0),0), INDEX($AB$1004:$AQ$1004,1,MATCH(COLUMNS($AB$1006:AP1006),$AB$1006:$AQ$1006,0)))),"Fix")))</f>
        <v>0</v>
      </c>
      <c r="Q474" s="4">
        <f>IF(OR(INDEX($V$2:$V$1001,MATCH(ROWS($U$2:U474),$U$2:$U$1001,0),1)&gt;=100000,INDEX($AB$1005:$AQ$1005,1,MATCH(COLUMNS($AB$1006:AQ1006),$AB$1006:$AQ$1006,0))&gt;=100000), " ",IF(INDEX($AB$2:$AQ$1001,MATCH(ROWS($U$2:U474),$U$2:$U$1001,0),MATCH(COLUMNS($AB$1006:AQ1006),$AB$1006:$AQ$1006,0)), HYPERLINK("#",""), HYPERLINK(CONCATENATE("#metadata!", ADDRESS(INDEX($W$2:$W$1001,MATCH(ROWS($U$2:U474),$U$2:$U$1001,0),0), INDEX($AB$1004:$AQ$1004,1,MATCH(COLUMNS($AB$1006:AQ1006),$AB$1006:$AQ$1006,0)))),"Fix")))</f>
        <v>0</v>
      </c>
      <c r="U474">
        <v>0</v>
      </c>
      <c r="V474">
        <v>0</v>
      </c>
      <c r="W474">
        <v>0</v>
      </c>
      <c r="X474">
        <f>IF(Y474,TRUE,AND(AB474:AQ474))</f>
        <v>0</v>
      </c>
      <c r="Y474">
        <f>COUNTBLANK(metadata!B474:Q474)=COLUMNS(metadata!B474:Q474)</f>
        <v>0</v>
      </c>
      <c r="Z474">
        <v>0</v>
      </c>
      <c r="AB474">
        <f>AND(IF(metadata!B474="",FALSE,TRUE),COUNTIF(metadata!B:B, metadata!B474) = 1,NOT(ISERROR(SUMPRODUCT(SEARCH(MID(metadata!B474,ROW(INDIRECT("1:"&amp;LEN(metadata!B474))), 1),"0123456789abcdefghijklmnopqrstuvwxyzABCDEFGHIJKLMNOPQRSTUVWXYZ.")))))</f>
        <v>0</v>
      </c>
      <c r="AC474">
        <f>OR(AND(IF(metadata!C474="",FALSE,TRUE),OR(exact(metadata!C474,"missing: not collected"),exact(metadata!C474,"missing: not provided"),exact(metadata!C474,"missing: restricted access"))),AND(IF(metadata!C474="",FALSE,TRUE),AND(AND(IFERROR(INT(LEFT(metadata!C474,4))&gt;1900,FALSE),IFERROR(INT(LEFT(metadata!C474,4))&lt;=YEAR(NOW()),FALSE)), OR(MID(metadata!C474,5,1)="", AND(AND(MID(metadata!C474,5,1)="-",IFERROR(INT(MID(metadata!C474,6,1))&gt;=0,FALSE),IFERROR(INT(MID(metadata!C474,6,1))&lt;=1,FALSE),NOT(MID(metadata!C474,7,1)=""),IFERROR(INT(MID(metadata!C474,6,2))&gt;=1,FALSE),IFERROR(INT(MID(metadata!C474,6,2))&lt;=12,FALSE)), OR(MID(metadata!C474,8,1)="", AND(AND(MID(metadata!C474,8,1)="-",IFERROR(INT(MID(metadata!C474,9,1))&gt;=0,FALSE),IFERROR(INT(MID(metadata!C474,9,1))&lt;=3,FALSE),NOT(MID(metadata!C474,10,1)=""),IFERROR(INT(MID(metadata!C474,9,2))&gt;=1,FALSE),IFERROR(INT(MID(metadata!C474,9,2))&lt;=31,FALSE)), OR(MID(metadata!C474,11,1)="", AND(AND(MID(metadata!C474,11,1)=" ",IFERROR(INT(MID(metadata!C474,12,1))&gt;=0,FALSE),IFERROR(INT(MID(metadata!C474,12,1))&lt;=2,FALSE),NOT(MID(metadata!C474,13,1)=""),IFERROR(INT(MID(metadata!C474,12,2))&gt;=0,FALSE),IFERROR(INT(MID(metadata!C474,12,2))&lt;=23,FALSE)), OR(MID(metadata!C474,14,1)="", AND(AND(MID(metadata!C474,14,1)=":",IFERROR(INT(MID(metadata!C474,15,1))&gt;=0,FALSE),IFERROR(INT(MID(metadata!C474,15,1))&lt;=5,FALSE),NOT(MID(metadata!C474,16,1)=""),IFERROR(INT(MID(metadata!C474,15,2))&gt;=0,FALSE),IFERROR(INT(MID(metadata!C474,15,2))&lt;=59,FALSE)), OR(MID(metadata!C474,17,1)="", AND(AND(MID(metadata!C474,17,1)=":",IFERROR(INT(MID(metadata!C474,18,1))&gt;=0,FALSE),IFERROR(INT(MID(metadata!C474,18,1))&lt;=5,FALSE),NOT(MID(metadata!C474,19,1)=""),IFERROR(INT(MID(metadata!C474,18,2))&gt;=0,FALSE),IFERROR(INT(MID(metadata!C474,18,2))&lt;=59,FALSE)), LEN(metadata!C474)&lt;=19)))))))))))))</f>
        <v>0</v>
      </c>
      <c r="AD474">
        <f>IF(metadata!D474="",FALSE,TRUE)</f>
        <v>0</v>
      </c>
      <c r="AE474">
        <f>OR(AND(IF(metadata!E474="",FALSE,TRUE),OR(exact(metadata!E474,"missing: not collected"),exact(metadata!E474,"missing: not provided"))),AND(IF(metadata!E474="",FALSE,TRUE),OR(exact(metadata!E474,"TRUE"),exact(metadata!E474,"FALSE"))))</f>
        <v>0</v>
      </c>
      <c r="AF474">
        <f>IF(metadata!F474="",FALSE,TRUE)</f>
        <v>0</v>
      </c>
      <c r="AG474">
        <f>IF(metadata!G474="",FALSE,TRUE)</f>
        <v>0</v>
      </c>
      <c r="AH474">
        <f>IF(metadata!H474="",FALSE,TRUE)</f>
        <v>0</v>
      </c>
      <c r="AI474">
        <f>OR(AND(IF(metadata!I474="",FALSE,TRUE),OR(exact(metadata!I474,"missing: not collected"),exact(metadata!I474,"missing: not provided"),exact(metadata!I474,"missing: restricted access"))),AND(IF(metadata!I474="",FALSE,TRUE),OR(exact(metadata!I474,"air"),exact(metadata!I474,"built environment"),exact(metadata!I474,"host-associated"),exact(metadata!I474,"human-associated"),exact(metadata!I474,"human-skin"),exact(metadata!I474,"human-oral"),exact(metadata!I474,"human-gut"),exact(metadata!I474,"human-vaginal"),exact(metadata!I474,"microbial mat/biofilm"),exact(metadata!I474,"misc environment"),exact(metadata!I474,"plant-associated"),exact(metadata!I474,"sediment"),exact(metadata!I474,"soil"),exact(metadata!I474,"wastewater/sludge"),exact(metadata!I474,"water"))))</f>
        <v>0</v>
      </c>
      <c r="AJ474">
        <f>IF(metadata!J474="",FALSE,TRUE)</f>
        <v>0</v>
      </c>
      <c r="AK474">
        <f>OR(AND(IF(metadata!K474="",FALSE,TRUE),OR(exact(metadata!K474,"missing: not collected"),exact(metadata!K474,"missing: not provided"),exact(metadata!K474,"missing: restricted access"))),AND(IF(metadata!K474="",FALSE,ISNUMBER(VALUE(metadata!K474))),metadata!K474&gt;=-90.00,metadata!K474&lt;=90.00))</f>
        <v>0</v>
      </c>
      <c r="AL474">
        <f>OR(AND(IF(metadata!L474="",FALSE,TRUE),OR(exact(metadata!L474,"missing: not collected"),exact(metadata!L474,"missing: not provided"),exact(metadata!L474,"missing: restricted access"))),AND(IF(metadata!L474="",FALSE,ISNUMBER(VALUE(metadata!L474))),metadata!L474&gt;=-180.00,metadata!L474&lt;=180.00))</f>
        <v>0</v>
      </c>
      <c r="AM474">
        <f>IF(metadata!M474="",FALSE,TRUE)</f>
        <v>0</v>
      </c>
      <c r="AN474">
        <f>OR(AND(IF(metadata!N474="",FALSE,TRUE),OR(exact(metadata!N474,"missing: not collected"),exact(metadata!N474,"missing: not provided"),exact(metadata!N474,"missing: restricted access"))),AND(IF(metadata!N474="",FALSE,TRUE),OR(exact(metadata!N474,"TRUE"),exact(metadata!N474,"FALSE"))))</f>
        <v>0</v>
      </c>
      <c r="AO474">
        <f>IF(metadata!O474="",FALSE,TRUE)</f>
        <v>0</v>
      </c>
      <c r="AP474">
        <f>OR(AND(IF(metadata!P474="",FALSE,TRUE),OR(exact(metadata!P474,"missing: not collected"),exact(metadata!P474,"missing: not provided"))),AND(IF(metadata!P474="",FALSE,IF(ISERROR(INT(metadata!P474)),FALSE,INT(metadata!P474)=metadata!P474)),metadata!P474&gt;0))</f>
        <v>0</v>
      </c>
      <c r="AQ474">
        <f>IF(metadata!Q474="",FALSE,TRUE)</f>
        <v>0</v>
      </c>
    </row>
    <row r="475" spans="1:43">
      <c r="A475" s="5">
        <f>IF(B475=" "," ",HYPERLINK(CONCATENATE("#metadata!",ADDRESS(INDEX($W$2:$W$1001,MATCH(ROWS($U$2:U475),$U$2:$U$1001,0),0),1)),INDEX($Z$2:$Z$1001,MATCH(ROWS($U$2:U475),$U$2:$U$1001,0),0)))</f>
        <v>0</v>
      </c>
      <c r="B475" s="4">
        <f>IF(OR(INDEX($V$2:$V$1001,MATCH(ROWS($U$2:U475),$U$2:$U$1001,0),1)&gt;=100000,INDEX($AB$1005:$AQ$1005,1,MATCH(COLUMNS($AB$1006:AB1006),$AB$1006:$AQ$1006,0))&gt;=100000), " ",IF(INDEX($AB$2:$AQ$1001,MATCH(ROWS($U$2:U475),$U$2:$U$1001,0),MATCH(COLUMNS($AB$1006:AB1006),$AB$1006:$AQ$1006,0)), HYPERLINK("#",""), HYPERLINK(CONCATENATE("#metadata!", ADDRESS(INDEX($W$2:$W$1001,MATCH(ROWS($U$2:U475),$U$2:$U$1001,0),0), INDEX($AB$1004:$AQ$1004,1,MATCH(COLUMNS($AB$1006:AB1006),$AB$1006:$AQ$1006,0)))),"Fix")))</f>
        <v>0</v>
      </c>
      <c r="C475" s="4">
        <f>IF(OR(INDEX($V$2:$V$1001,MATCH(ROWS($U$2:U475),$U$2:$U$1001,0),1)&gt;=100000,INDEX($AB$1005:$AQ$1005,1,MATCH(COLUMNS($AB$1006:AC1006),$AB$1006:$AQ$1006,0))&gt;=100000), " ",IF(INDEX($AB$2:$AQ$1001,MATCH(ROWS($U$2:U475),$U$2:$U$1001,0),MATCH(COLUMNS($AB$1006:AC1006),$AB$1006:$AQ$1006,0)), HYPERLINK("#",""), HYPERLINK(CONCATENATE("#metadata!", ADDRESS(INDEX($W$2:$W$1001,MATCH(ROWS($U$2:U475),$U$2:$U$1001,0),0), INDEX($AB$1004:$AQ$1004,1,MATCH(COLUMNS($AB$1006:AC1006),$AB$1006:$AQ$1006,0)))),"Fix")))</f>
        <v>0</v>
      </c>
      <c r="D475" s="4">
        <f>IF(OR(INDEX($V$2:$V$1001,MATCH(ROWS($U$2:U475),$U$2:$U$1001,0),1)&gt;=100000,INDEX($AB$1005:$AQ$1005,1,MATCH(COLUMNS($AB$1006:AD1006),$AB$1006:$AQ$1006,0))&gt;=100000), " ",IF(INDEX($AB$2:$AQ$1001,MATCH(ROWS($U$2:U475),$U$2:$U$1001,0),MATCH(COLUMNS($AB$1006:AD1006),$AB$1006:$AQ$1006,0)), HYPERLINK("#",""), HYPERLINK(CONCATENATE("#metadata!", ADDRESS(INDEX($W$2:$W$1001,MATCH(ROWS($U$2:U475),$U$2:$U$1001,0),0), INDEX($AB$1004:$AQ$1004,1,MATCH(COLUMNS($AB$1006:AD1006),$AB$1006:$AQ$1006,0)))),"Fix")))</f>
        <v>0</v>
      </c>
      <c r="E475" s="4">
        <f>IF(OR(INDEX($V$2:$V$1001,MATCH(ROWS($U$2:U475),$U$2:$U$1001,0),1)&gt;=100000,INDEX($AB$1005:$AQ$1005,1,MATCH(COLUMNS($AB$1006:AE1006),$AB$1006:$AQ$1006,0))&gt;=100000), " ",IF(INDEX($AB$2:$AQ$1001,MATCH(ROWS($U$2:U475),$U$2:$U$1001,0),MATCH(COLUMNS($AB$1006:AE1006),$AB$1006:$AQ$1006,0)), HYPERLINK("#",""), HYPERLINK(CONCATENATE("#metadata!", ADDRESS(INDEX($W$2:$W$1001,MATCH(ROWS($U$2:U475),$U$2:$U$1001,0),0), INDEX($AB$1004:$AQ$1004,1,MATCH(COLUMNS($AB$1006:AE1006),$AB$1006:$AQ$1006,0)))),"Fix")))</f>
        <v>0</v>
      </c>
      <c r="F475" s="4">
        <f>IF(OR(INDEX($V$2:$V$1001,MATCH(ROWS($U$2:U475),$U$2:$U$1001,0),1)&gt;=100000,INDEX($AB$1005:$AQ$1005,1,MATCH(COLUMNS($AB$1006:AF1006),$AB$1006:$AQ$1006,0))&gt;=100000), " ",IF(INDEX($AB$2:$AQ$1001,MATCH(ROWS($U$2:U475),$U$2:$U$1001,0),MATCH(COLUMNS($AB$1006:AF1006),$AB$1006:$AQ$1006,0)), HYPERLINK("#",""), HYPERLINK(CONCATENATE("#metadata!", ADDRESS(INDEX($W$2:$W$1001,MATCH(ROWS($U$2:U475),$U$2:$U$1001,0),0), INDEX($AB$1004:$AQ$1004,1,MATCH(COLUMNS($AB$1006:AF1006),$AB$1006:$AQ$1006,0)))),"Fix")))</f>
        <v>0</v>
      </c>
      <c r="G475" s="4">
        <f>IF(OR(INDEX($V$2:$V$1001,MATCH(ROWS($U$2:U475),$U$2:$U$1001,0),1)&gt;=100000,INDEX($AB$1005:$AQ$1005,1,MATCH(COLUMNS($AB$1006:AG1006),$AB$1006:$AQ$1006,0))&gt;=100000), " ",IF(INDEX($AB$2:$AQ$1001,MATCH(ROWS($U$2:U475),$U$2:$U$1001,0),MATCH(COLUMNS($AB$1006:AG1006),$AB$1006:$AQ$1006,0)), HYPERLINK("#",""), HYPERLINK(CONCATENATE("#metadata!", ADDRESS(INDEX($W$2:$W$1001,MATCH(ROWS($U$2:U475),$U$2:$U$1001,0),0), INDEX($AB$1004:$AQ$1004,1,MATCH(COLUMNS($AB$1006:AG1006),$AB$1006:$AQ$1006,0)))),"Fix")))</f>
        <v>0</v>
      </c>
      <c r="H475" s="4">
        <f>IF(OR(INDEX($V$2:$V$1001,MATCH(ROWS($U$2:U475),$U$2:$U$1001,0),1)&gt;=100000,INDEX($AB$1005:$AQ$1005,1,MATCH(COLUMNS($AB$1006:AH1006),$AB$1006:$AQ$1006,0))&gt;=100000), " ",IF(INDEX($AB$2:$AQ$1001,MATCH(ROWS($U$2:U475),$U$2:$U$1001,0),MATCH(COLUMNS($AB$1006:AH1006),$AB$1006:$AQ$1006,0)), HYPERLINK("#",""), HYPERLINK(CONCATENATE("#metadata!", ADDRESS(INDEX($W$2:$W$1001,MATCH(ROWS($U$2:U475),$U$2:$U$1001,0),0), INDEX($AB$1004:$AQ$1004,1,MATCH(COLUMNS($AB$1006:AH1006),$AB$1006:$AQ$1006,0)))),"Fix")))</f>
        <v>0</v>
      </c>
      <c r="I475" s="4">
        <f>IF(OR(INDEX($V$2:$V$1001,MATCH(ROWS($U$2:U475),$U$2:$U$1001,0),1)&gt;=100000,INDEX($AB$1005:$AQ$1005,1,MATCH(COLUMNS($AB$1006:AI1006),$AB$1006:$AQ$1006,0))&gt;=100000), " ",IF(INDEX($AB$2:$AQ$1001,MATCH(ROWS($U$2:U475),$U$2:$U$1001,0),MATCH(COLUMNS($AB$1006:AI1006),$AB$1006:$AQ$1006,0)), HYPERLINK("#",""), HYPERLINK(CONCATENATE("#metadata!", ADDRESS(INDEX($W$2:$W$1001,MATCH(ROWS($U$2:U475),$U$2:$U$1001,0),0), INDEX($AB$1004:$AQ$1004,1,MATCH(COLUMNS($AB$1006:AI1006),$AB$1006:$AQ$1006,0)))),"Fix")))</f>
        <v>0</v>
      </c>
      <c r="J475" s="4">
        <f>IF(OR(INDEX($V$2:$V$1001,MATCH(ROWS($U$2:U475),$U$2:$U$1001,0),1)&gt;=100000,INDEX($AB$1005:$AQ$1005,1,MATCH(COLUMNS($AB$1006:AJ1006),$AB$1006:$AQ$1006,0))&gt;=100000), " ",IF(INDEX($AB$2:$AQ$1001,MATCH(ROWS($U$2:U475),$U$2:$U$1001,0),MATCH(COLUMNS($AB$1006:AJ1006),$AB$1006:$AQ$1006,0)), HYPERLINK("#",""), HYPERLINK(CONCATENATE("#metadata!", ADDRESS(INDEX($W$2:$W$1001,MATCH(ROWS($U$2:U475),$U$2:$U$1001,0),0), INDEX($AB$1004:$AQ$1004,1,MATCH(COLUMNS($AB$1006:AJ1006),$AB$1006:$AQ$1006,0)))),"Fix")))</f>
        <v>0</v>
      </c>
      <c r="K475" s="4">
        <f>IF(OR(INDEX($V$2:$V$1001,MATCH(ROWS($U$2:U475),$U$2:$U$1001,0),1)&gt;=100000,INDEX($AB$1005:$AQ$1005,1,MATCH(COLUMNS($AB$1006:AK1006),$AB$1006:$AQ$1006,0))&gt;=100000), " ",IF(INDEX($AB$2:$AQ$1001,MATCH(ROWS($U$2:U475),$U$2:$U$1001,0),MATCH(COLUMNS($AB$1006:AK1006),$AB$1006:$AQ$1006,0)), HYPERLINK("#",""), HYPERLINK(CONCATENATE("#metadata!", ADDRESS(INDEX($W$2:$W$1001,MATCH(ROWS($U$2:U475),$U$2:$U$1001,0),0), INDEX($AB$1004:$AQ$1004,1,MATCH(COLUMNS($AB$1006:AK1006),$AB$1006:$AQ$1006,0)))),"Fix")))</f>
        <v>0</v>
      </c>
      <c r="L475" s="4">
        <f>IF(OR(INDEX($V$2:$V$1001,MATCH(ROWS($U$2:U475),$U$2:$U$1001,0),1)&gt;=100000,INDEX($AB$1005:$AQ$1005,1,MATCH(COLUMNS($AB$1006:AL1006),$AB$1006:$AQ$1006,0))&gt;=100000), " ",IF(INDEX($AB$2:$AQ$1001,MATCH(ROWS($U$2:U475),$U$2:$U$1001,0),MATCH(COLUMNS($AB$1006:AL1006),$AB$1006:$AQ$1006,0)), HYPERLINK("#",""), HYPERLINK(CONCATENATE("#metadata!", ADDRESS(INDEX($W$2:$W$1001,MATCH(ROWS($U$2:U475),$U$2:$U$1001,0),0), INDEX($AB$1004:$AQ$1004,1,MATCH(COLUMNS($AB$1006:AL1006),$AB$1006:$AQ$1006,0)))),"Fix")))</f>
        <v>0</v>
      </c>
      <c r="M475" s="4">
        <f>IF(OR(INDEX($V$2:$V$1001,MATCH(ROWS($U$2:U475),$U$2:$U$1001,0),1)&gt;=100000,INDEX($AB$1005:$AQ$1005,1,MATCH(COLUMNS($AB$1006:AM1006),$AB$1006:$AQ$1006,0))&gt;=100000), " ",IF(INDEX($AB$2:$AQ$1001,MATCH(ROWS($U$2:U475),$U$2:$U$1001,0),MATCH(COLUMNS($AB$1006:AM1006),$AB$1006:$AQ$1006,0)), HYPERLINK("#",""), HYPERLINK(CONCATENATE("#metadata!", ADDRESS(INDEX($W$2:$W$1001,MATCH(ROWS($U$2:U475),$U$2:$U$1001,0),0), INDEX($AB$1004:$AQ$1004,1,MATCH(COLUMNS($AB$1006:AM1006),$AB$1006:$AQ$1006,0)))),"Fix")))</f>
        <v>0</v>
      </c>
      <c r="N475" s="4">
        <f>IF(OR(INDEX($V$2:$V$1001,MATCH(ROWS($U$2:U475),$U$2:$U$1001,0),1)&gt;=100000,INDEX($AB$1005:$AQ$1005,1,MATCH(COLUMNS($AB$1006:AN1006),$AB$1006:$AQ$1006,0))&gt;=100000), " ",IF(INDEX($AB$2:$AQ$1001,MATCH(ROWS($U$2:U475),$U$2:$U$1001,0),MATCH(COLUMNS($AB$1006:AN1006),$AB$1006:$AQ$1006,0)), HYPERLINK("#",""), HYPERLINK(CONCATENATE("#metadata!", ADDRESS(INDEX($W$2:$W$1001,MATCH(ROWS($U$2:U475),$U$2:$U$1001,0),0), INDEX($AB$1004:$AQ$1004,1,MATCH(COLUMNS($AB$1006:AN1006),$AB$1006:$AQ$1006,0)))),"Fix")))</f>
        <v>0</v>
      </c>
      <c r="O475" s="4">
        <f>IF(OR(INDEX($V$2:$V$1001,MATCH(ROWS($U$2:U475),$U$2:$U$1001,0),1)&gt;=100000,INDEX($AB$1005:$AQ$1005,1,MATCH(COLUMNS($AB$1006:AO1006),$AB$1006:$AQ$1006,0))&gt;=100000), " ",IF(INDEX($AB$2:$AQ$1001,MATCH(ROWS($U$2:U475),$U$2:$U$1001,0),MATCH(COLUMNS($AB$1006:AO1006),$AB$1006:$AQ$1006,0)), HYPERLINK("#",""), HYPERLINK(CONCATENATE("#metadata!", ADDRESS(INDEX($W$2:$W$1001,MATCH(ROWS($U$2:U475),$U$2:$U$1001,0),0), INDEX($AB$1004:$AQ$1004,1,MATCH(COLUMNS($AB$1006:AO1006),$AB$1006:$AQ$1006,0)))),"Fix")))</f>
        <v>0</v>
      </c>
      <c r="P475" s="4">
        <f>IF(OR(INDEX($V$2:$V$1001,MATCH(ROWS($U$2:U475),$U$2:$U$1001,0),1)&gt;=100000,INDEX($AB$1005:$AQ$1005,1,MATCH(COLUMNS($AB$1006:AP1006),$AB$1006:$AQ$1006,0))&gt;=100000), " ",IF(INDEX($AB$2:$AQ$1001,MATCH(ROWS($U$2:U475),$U$2:$U$1001,0),MATCH(COLUMNS($AB$1006:AP1006),$AB$1006:$AQ$1006,0)), HYPERLINK("#",""), HYPERLINK(CONCATENATE("#metadata!", ADDRESS(INDEX($W$2:$W$1001,MATCH(ROWS($U$2:U475),$U$2:$U$1001,0),0), INDEX($AB$1004:$AQ$1004,1,MATCH(COLUMNS($AB$1006:AP1006),$AB$1006:$AQ$1006,0)))),"Fix")))</f>
        <v>0</v>
      </c>
      <c r="Q475" s="4">
        <f>IF(OR(INDEX($V$2:$V$1001,MATCH(ROWS($U$2:U475),$U$2:$U$1001,0),1)&gt;=100000,INDEX($AB$1005:$AQ$1005,1,MATCH(COLUMNS($AB$1006:AQ1006),$AB$1006:$AQ$1006,0))&gt;=100000), " ",IF(INDEX($AB$2:$AQ$1001,MATCH(ROWS($U$2:U475),$U$2:$U$1001,0),MATCH(COLUMNS($AB$1006:AQ1006),$AB$1006:$AQ$1006,0)), HYPERLINK("#",""), HYPERLINK(CONCATENATE("#metadata!", ADDRESS(INDEX($W$2:$W$1001,MATCH(ROWS($U$2:U475),$U$2:$U$1001,0),0), INDEX($AB$1004:$AQ$1004,1,MATCH(COLUMNS($AB$1006:AQ1006),$AB$1006:$AQ$1006,0)))),"Fix")))</f>
        <v>0</v>
      </c>
      <c r="U475">
        <v>0</v>
      </c>
      <c r="V475">
        <v>0</v>
      </c>
      <c r="W475">
        <v>0</v>
      </c>
      <c r="X475">
        <f>IF(Y475,TRUE,AND(AB475:AQ475))</f>
        <v>0</v>
      </c>
      <c r="Y475">
        <f>COUNTBLANK(metadata!B475:Q475)=COLUMNS(metadata!B475:Q475)</f>
        <v>0</v>
      </c>
      <c r="Z475">
        <v>0</v>
      </c>
      <c r="AB475">
        <f>AND(IF(metadata!B475="",FALSE,TRUE),COUNTIF(metadata!B:B, metadata!B475) = 1,NOT(ISERROR(SUMPRODUCT(SEARCH(MID(metadata!B475,ROW(INDIRECT("1:"&amp;LEN(metadata!B475))), 1),"0123456789abcdefghijklmnopqrstuvwxyzABCDEFGHIJKLMNOPQRSTUVWXYZ.")))))</f>
        <v>0</v>
      </c>
      <c r="AC475">
        <f>OR(AND(IF(metadata!C475="",FALSE,TRUE),OR(exact(metadata!C475,"missing: not collected"),exact(metadata!C475,"missing: not provided"),exact(metadata!C475,"missing: restricted access"))),AND(IF(metadata!C475="",FALSE,TRUE),AND(AND(IFERROR(INT(LEFT(metadata!C475,4))&gt;1900,FALSE),IFERROR(INT(LEFT(metadata!C475,4))&lt;=YEAR(NOW()),FALSE)), OR(MID(metadata!C475,5,1)="", AND(AND(MID(metadata!C475,5,1)="-",IFERROR(INT(MID(metadata!C475,6,1))&gt;=0,FALSE),IFERROR(INT(MID(metadata!C475,6,1))&lt;=1,FALSE),NOT(MID(metadata!C475,7,1)=""),IFERROR(INT(MID(metadata!C475,6,2))&gt;=1,FALSE),IFERROR(INT(MID(metadata!C475,6,2))&lt;=12,FALSE)), OR(MID(metadata!C475,8,1)="", AND(AND(MID(metadata!C475,8,1)="-",IFERROR(INT(MID(metadata!C475,9,1))&gt;=0,FALSE),IFERROR(INT(MID(metadata!C475,9,1))&lt;=3,FALSE),NOT(MID(metadata!C475,10,1)=""),IFERROR(INT(MID(metadata!C475,9,2))&gt;=1,FALSE),IFERROR(INT(MID(metadata!C475,9,2))&lt;=31,FALSE)), OR(MID(metadata!C475,11,1)="", AND(AND(MID(metadata!C475,11,1)=" ",IFERROR(INT(MID(metadata!C475,12,1))&gt;=0,FALSE),IFERROR(INT(MID(metadata!C475,12,1))&lt;=2,FALSE),NOT(MID(metadata!C475,13,1)=""),IFERROR(INT(MID(metadata!C475,12,2))&gt;=0,FALSE),IFERROR(INT(MID(metadata!C475,12,2))&lt;=23,FALSE)), OR(MID(metadata!C475,14,1)="", AND(AND(MID(metadata!C475,14,1)=":",IFERROR(INT(MID(metadata!C475,15,1))&gt;=0,FALSE),IFERROR(INT(MID(metadata!C475,15,1))&lt;=5,FALSE),NOT(MID(metadata!C475,16,1)=""),IFERROR(INT(MID(metadata!C475,15,2))&gt;=0,FALSE),IFERROR(INT(MID(metadata!C475,15,2))&lt;=59,FALSE)), OR(MID(metadata!C475,17,1)="", AND(AND(MID(metadata!C475,17,1)=":",IFERROR(INT(MID(metadata!C475,18,1))&gt;=0,FALSE),IFERROR(INT(MID(metadata!C475,18,1))&lt;=5,FALSE),NOT(MID(metadata!C475,19,1)=""),IFERROR(INT(MID(metadata!C475,18,2))&gt;=0,FALSE),IFERROR(INT(MID(metadata!C475,18,2))&lt;=59,FALSE)), LEN(metadata!C475)&lt;=19)))))))))))))</f>
        <v>0</v>
      </c>
      <c r="AD475">
        <f>IF(metadata!D475="",FALSE,TRUE)</f>
        <v>0</v>
      </c>
      <c r="AE475">
        <f>OR(AND(IF(metadata!E475="",FALSE,TRUE),OR(exact(metadata!E475,"missing: not collected"),exact(metadata!E475,"missing: not provided"))),AND(IF(metadata!E475="",FALSE,TRUE),OR(exact(metadata!E475,"TRUE"),exact(metadata!E475,"FALSE"))))</f>
        <v>0</v>
      </c>
      <c r="AF475">
        <f>IF(metadata!F475="",FALSE,TRUE)</f>
        <v>0</v>
      </c>
      <c r="AG475">
        <f>IF(metadata!G475="",FALSE,TRUE)</f>
        <v>0</v>
      </c>
      <c r="AH475">
        <f>IF(metadata!H475="",FALSE,TRUE)</f>
        <v>0</v>
      </c>
      <c r="AI475">
        <f>OR(AND(IF(metadata!I475="",FALSE,TRUE),OR(exact(metadata!I475,"missing: not collected"),exact(metadata!I475,"missing: not provided"),exact(metadata!I475,"missing: restricted access"))),AND(IF(metadata!I475="",FALSE,TRUE),OR(exact(metadata!I475,"air"),exact(metadata!I475,"built environment"),exact(metadata!I475,"host-associated"),exact(metadata!I475,"human-associated"),exact(metadata!I475,"human-skin"),exact(metadata!I475,"human-oral"),exact(metadata!I475,"human-gut"),exact(metadata!I475,"human-vaginal"),exact(metadata!I475,"microbial mat/biofilm"),exact(metadata!I475,"misc environment"),exact(metadata!I475,"plant-associated"),exact(metadata!I475,"sediment"),exact(metadata!I475,"soil"),exact(metadata!I475,"wastewater/sludge"),exact(metadata!I475,"water"))))</f>
        <v>0</v>
      </c>
      <c r="AJ475">
        <f>IF(metadata!J475="",FALSE,TRUE)</f>
        <v>0</v>
      </c>
      <c r="AK475">
        <f>OR(AND(IF(metadata!K475="",FALSE,TRUE),OR(exact(metadata!K475,"missing: not collected"),exact(metadata!K475,"missing: not provided"),exact(metadata!K475,"missing: restricted access"))),AND(IF(metadata!K475="",FALSE,ISNUMBER(VALUE(metadata!K475))),metadata!K475&gt;=-90.00,metadata!K475&lt;=90.00))</f>
        <v>0</v>
      </c>
      <c r="AL475">
        <f>OR(AND(IF(metadata!L475="",FALSE,TRUE),OR(exact(metadata!L475,"missing: not collected"),exact(metadata!L475,"missing: not provided"),exact(metadata!L475,"missing: restricted access"))),AND(IF(metadata!L475="",FALSE,ISNUMBER(VALUE(metadata!L475))),metadata!L475&gt;=-180.00,metadata!L475&lt;=180.00))</f>
        <v>0</v>
      </c>
      <c r="AM475">
        <f>IF(metadata!M475="",FALSE,TRUE)</f>
        <v>0</v>
      </c>
      <c r="AN475">
        <f>OR(AND(IF(metadata!N475="",FALSE,TRUE),OR(exact(metadata!N475,"missing: not collected"),exact(metadata!N475,"missing: not provided"),exact(metadata!N475,"missing: restricted access"))),AND(IF(metadata!N475="",FALSE,TRUE),OR(exact(metadata!N475,"TRUE"),exact(metadata!N475,"FALSE"))))</f>
        <v>0</v>
      </c>
      <c r="AO475">
        <f>IF(metadata!O475="",FALSE,TRUE)</f>
        <v>0</v>
      </c>
      <c r="AP475">
        <f>OR(AND(IF(metadata!P475="",FALSE,TRUE),OR(exact(metadata!P475,"missing: not collected"),exact(metadata!P475,"missing: not provided"))),AND(IF(metadata!P475="",FALSE,IF(ISERROR(INT(metadata!P475)),FALSE,INT(metadata!P475)=metadata!P475)),metadata!P475&gt;0))</f>
        <v>0</v>
      </c>
      <c r="AQ475">
        <f>IF(metadata!Q475="",FALSE,TRUE)</f>
        <v>0</v>
      </c>
    </row>
    <row r="476" spans="1:43">
      <c r="A476" s="5">
        <f>IF(B476=" "," ",HYPERLINK(CONCATENATE("#metadata!",ADDRESS(INDEX($W$2:$W$1001,MATCH(ROWS($U$2:U476),$U$2:$U$1001,0),0),1)),INDEX($Z$2:$Z$1001,MATCH(ROWS($U$2:U476),$U$2:$U$1001,0),0)))</f>
        <v>0</v>
      </c>
      <c r="B476" s="4">
        <f>IF(OR(INDEX($V$2:$V$1001,MATCH(ROWS($U$2:U476),$U$2:$U$1001,0),1)&gt;=100000,INDEX($AB$1005:$AQ$1005,1,MATCH(COLUMNS($AB$1006:AB1006),$AB$1006:$AQ$1006,0))&gt;=100000), " ",IF(INDEX($AB$2:$AQ$1001,MATCH(ROWS($U$2:U476),$U$2:$U$1001,0),MATCH(COLUMNS($AB$1006:AB1006),$AB$1006:$AQ$1006,0)), HYPERLINK("#",""), HYPERLINK(CONCATENATE("#metadata!", ADDRESS(INDEX($W$2:$W$1001,MATCH(ROWS($U$2:U476),$U$2:$U$1001,0),0), INDEX($AB$1004:$AQ$1004,1,MATCH(COLUMNS($AB$1006:AB1006),$AB$1006:$AQ$1006,0)))),"Fix")))</f>
        <v>0</v>
      </c>
      <c r="C476" s="4">
        <f>IF(OR(INDEX($V$2:$V$1001,MATCH(ROWS($U$2:U476),$U$2:$U$1001,0),1)&gt;=100000,INDEX($AB$1005:$AQ$1005,1,MATCH(COLUMNS($AB$1006:AC1006),$AB$1006:$AQ$1006,0))&gt;=100000), " ",IF(INDEX($AB$2:$AQ$1001,MATCH(ROWS($U$2:U476),$U$2:$U$1001,0),MATCH(COLUMNS($AB$1006:AC1006),$AB$1006:$AQ$1006,0)), HYPERLINK("#",""), HYPERLINK(CONCATENATE("#metadata!", ADDRESS(INDEX($W$2:$W$1001,MATCH(ROWS($U$2:U476),$U$2:$U$1001,0),0), INDEX($AB$1004:$AQ$1004,1,MATCH(COLUMNS($AB$1006:AC1006),$AB$1006:$AQ$1006,0)))),"Fix")))</f>
        <v>0</v>
      </c>
      <c r="D476" s="4">
        <f>IF(OR(INDEX($V$2:$V$1001,MATCH(ROWS($U$2:U476),$U$2:$U$1001,0),1)&gt;=100000,INDEX($AB$1005:$AQ$1005,1,MATCH(COLUMNS($AB$1006:AD1006),$AB$1006:$AQ$1006,0))&gt;=100000), " ",IF(INDEX($AB$2:$AQ$1001,MATCH(ROWS($U$2:U476),$U$2:$U$1001,0),MATCH(COLUMNS($AB$1006:AD1006),$AB$1006:$AQ$1006,0)), HYPERLINK("#",""), HYPERLINK(CONCATENATE("#metadata!", ADDRESS(INDEX($W$2:$W$1001,MATCH(ROWS($U$2:U476),$U$2:$U$1001,0),0), INDEX($AB$1004:$AQ$1004,1,MATCH(COLUMNS($AB$1006:AD1006),$AB$1006:$AQ$1006,0)))),"Fix")))</f>
        <v>0</v>
      </c>
      <c r="E476" s="4">
        <f>IF(OR(INDEX($V$2:$V$1001,MATCH(ROWS($U$2:U476),$U$2:$U$1001,0),1)&gt;=100000,INDEX($AB$1005:$AQ$1005,1,MATCH(COLUMNS($AB$1006:AE1006),$AB$1006:$AQ$1006,0))&gt;=100000), " ",IF(INDEX($AB$2:$AQ$1001,MATCH(ROWS($U$2:U476),$U$2:$U$1001,0),MATCH(COLUMNS($AB$1006:AE1006),$AB$1006:$AQ$1006,0)), HYPERLINK("#",""), HYPERLINK(CONCATENATE("#metadata!", ADDRESS(INDEX($W$2:$W$1001,MATCH(ROWS($U$2:U476),$U$2:$U$1001,0),0), INDEX($AB$1004:$AQ$1004,1,MATCH(COLUMNS($AB$1006:AE1006),$AB$1006:$AQ$1006,0)))),"Fix")))</f>
        <v>0</v>
      </c>
      <c r="F476" s="4">
        <f>IF(OR(INDEX($V$2:$V$1001,MATCH(ROWS($U$2:U476),$U$2:$U$1001,0),1)&gt;=100000,INDEX($AB$1005:$AQ$1005,1,MATCH(COLUMNS($AB$1006:AF1006),$AB$1006:$AQ$1006,0))&gt;=100000), " ",IF(INDEX($AB$2:$AQ$1001,MATCH(ROWS($U$2:U476),$U$2:$U$1001,0),MATCH(COLUMNS($AB$1006:AF1006),$AB$1006:$AQ$1006,0)), HYPERLINK("#",""), HYPERLINK(CONCATENATE("#metadata!", ADDRESS(INDEX($W$2:$W$1001,MATCH(ROWS($U$2:U476),$U$2:$U$1001,0),0), INDEX($AB$1004:$AQ$1004,1,MATCH(COLUMNS($AB$1006:AF1006),$AB$1006:$AQ$1006,0)))),"Fix")))</f>
        <v>0</v>
      </c>
      <c r="G476" s="4">
        <f>IF(OR(INDEX($V$2:$V$1001,MATCH(ROWS($U$2:U476),$U$2:$U$1001,0),1)&gt;=100000,INDEX($AB$1005:$AQ$1005,1,MATCH(COLUMNS($AB$1006:AG1006),$AB$1006:$AQ$1006,0))&gt;=100000), " ",IF(INDEX($AB$2:$AQ$1001,MATCH(ROWS($U$2:U476),$U$2:$U$1001,0),MATCH(COLUMNS($AB$1006:AG1006),$AB$1006:$AQ$1006,0)), HYPERLINK("#",""), HYPERLINK(CONCATENATE("#metadata!", ADDRESS(INDEX($W$2:$W$1001,MATCH(ROWS($U$2:U476),$U$2:$U$1001,0),0), INDEX($AB$1004:$AQ$1004,1,MATCH(COLUMNS($AB$1006:AG1006),$AB$1006:$AQ$1006,0)))),"Fix")))</f>
        <v>0</v>
      </c>
      <c r="H476" s="4">
        <f>IF(OR(INDEX($V$2:$V$1001,MATCH(ROWS($U$2:U476),$U$2:$U$1001,0),1)&gt;=100000,INDEX($AB$1005:$AQ$1005,1,MATCH(COLUMNS($AB$1006:AH1006),$AB$1006:$AQ$1006,0))&gt;=100000), " ",IF(INDEX($AB$2:$AQ$1001,MATCH(ROWS($U$2:U476),$U$2:$U$1001,0),MATCH(COLUMNS($AB$1006:AH1006),$AB$1006:$AQ$1006,0)), HYPERLINK("#",""), HYPERLINK(CONCATENATE("#metadata!", ADDRESS(INDEX($W$2:$W$1001,MATCH(ROWS($U$2:U476),$U$2:$U$1001,0),0), INDEX($AB$1004:$AQ$1004,1,MATCH(COLUMNS($AB$1006:AH1006),$AB$1006:$AQ$1006,0)))),"Fix")))</f>
        <v>0</v>
      </c>
      <c r="I476" s="4">
        <f>IF(OR(INDEX($V$2:$V$1001,MATCH(ROWS($U$2:U476),$U$2:$U$1001,0),1)&gt;=100000,INDEX($AB$1005:$AQ$1005,1,MATCH(COLUMNS($AB$1006:AI1006),$AB$1006:$AQ$1006,0))&gt;=100000), " ",IF(INDEX($AB$2:$AQ$1001,MATCH(ROWS($U$2:U476),$U$2:$U$1001,0),MATCH(COLUMNS($AB$1006:AI1006),$AB$1006:$AQ$1006,0)), HYPERLINK("#",""), HYPERLINK(CONCATENATE("#metadata!", ADDRESS(INDEX($W$2:$W$1001,MATCH(ROWS($U$2:U476),$U$2:$U$1001,0),0), INDEX($AB$1004:$AQ$1004,1,MATCH(COLUMNS($AB$1006:AI1006),$AB$1006:$AQ$1006,0)))),"Fix")))</f>
        <v>0</v>
      </c>
      <c r="J476" s="4">
        <f>IF(OR(INDEX($V$2:$V$1001,MATCH(ROWS($U$2:U476),$U$2:$U$1001,0),1)&gt;=100000,INDEX($AB$1005:$AQ$1005,1,MATCH(COLUMNS($AB$1006:AJ1006),$AB$1006:$AQ$1006,0))&gt;=100000), " ",IF(INDEX($AB$2:$AQ$1001,MATCH(ROWS($U$2:U476),$U$2:$U$1001,0),MATCH(COLUMNS($AB$1006:AJ1006),$AB$1006:$AQ$1006,0)), HYPERLINK("#",""), HYPERLINK(CONCATENATE("#metadata!", ADDRESS(INDEX($W$2:$W$1001,MATCH(ROWS($U$2:U476),$U$2:$U$1001,0),0), INDEX($AB$1004:$AQ$1004,1,MATCH(COLUMNS($AB$1006:AJ1006),$AB$1006:$AQ$1006,0)))),"Fix")))</f>
        <v>0</v>
      </c>
      <c r="K476" s="4">
        <f>IF(OR(INDEX($V$2:$V$1001,MATCH(ROWS($U$2:U476),$U$2:$U$1001,0),1)&gt;=100000,INDEX($AB$1005:$AQ$1005,1,MATCH(COLUMNS($AB$1006:AK1006),$AB$1006:$AQ$1006,0))&gt;=100000), " ",IF(INDEX($AB$2:$AQ$1001,MATCH(ROWS($U$2:U476),$U$2:$U$1001,0),MATCH(COLUMNS($AB$1006:AK1006),$AB$1006:$AQ$1006,0)), HYPERLINK("#",""), HYPERLINK(CONCATENATE("#metadata!", ADDRESS(INDEX($W$2:$W$1001,MATCH(ROWS($U$2:U476),$U$2:$U$1001,0),0), INDEX($AB$1004:$AQ$1004,1,MATCH(COLUMNS($AB$1006:AK1006),$AB$1006:$AQ$1006,0)))),"Fix")))</f>
        <v>0</v>
      </c>
      <c r="L476" s="4">
        <f>IF(OR(INDEX($V$2:$V$1001,MATCH(ROWS($U$2:U476),$U$2:$U$1001,0),1)&gt;=100000,INDEX($AB$1005:$AQ$1005,1,MATCH(COLUMNS($AB$1006:AL1006),$AB$1006:$AQ$1006,0))&gt;=100000), " ",IF(INDEX($AB$2:$AQ$1001,MATCH(ROWS($U$2:U476),$U$2:$U$1001,0),MATCH(COLUMNS($AB$1006:AL1006),$AB$1006:$AQ$1006,0)), HYPERLINK("#",""), HYPERLINK(CONCATENATE("#metadata!", ADDRESS(INDEX($W$2:$W$1001,MATCH(ROWS($U$2:U476),$U$2:$U$1001,0),0), INDEX($AB$1004:$AQ$1004,1,MATCH(COLUMNS($AB$1006:AL1006),$AB$1006:$AQ$1006,0)))),"Fix")))</f>
        <v>0</v>
      </c>
      <c r="M476" s="4">
        <f>IF(OR(INDEX($V$2:$V$1001,MATCH(ROWS($U$2:U476),$U$2:$U$1001,0),1)&gt;=100000,INDEX($AB$1005:$AQ$1005,1,MATCH(COLUMNS($AB$1006:AM1006),$AB$1006:$AQ$1006,0))&gt;=100000), " ",IF(INDEX($AB$2:$AQ$1001,MATCH(ROWS($U$2:U476),$U$2:$U$1001,0),MATCH(COLUMNS($AB$1006:AM1006),$AB$1006:$AQ$1006,0)), HYPERLINK("#",""), HYPERLINK(CONCATENATE("#metadata!", ADDRESS(INDEX($W$2:$W$1001,MATCH(ROWS($U$2:U476),$U$2:$U$1001,0),0), INDEX($AB$1004:$AQ$1004,1,MATCH(COLUMNS($AB$1006:AM1006),$AB$1006:$AQ$1006,0)))),"Fix")))</f>
        <v>0</v>
      </c>
      <c r="N476" s="4">
        <f>IF(OR(INDEX($V$2:$V$1001,MATCH(ROWS($U$2:U476),$U$2:$U$1001,0),1)&gt;=100000,INDEX($AB$1005:$AQ$1005,1,MATCH(COLUMNS($AB$1006:AN1006),$AB$1006:$AQ$1006,0))&gt;=100000), " ",IF(INDEX($AB$2:$AQ$1001,MATCH(ROWS($U$2:U476),$U$2:$U$1001,0),MATCH(COLUMNS($AB$1006:AN1006),$AB$1006:$AQ$1006,0)), HYPERLINK("#",""), HYPERLINK(CONCATENATE("#metadata!", ADDRESS(INDEX($W$2:$W$1001,MATCH(ROWS($U$2:U476),$U$2:$U$1001,0),0), INDEX($AB$1004:$AQ$1004,1,MATCH(COLUMNS($AB$1006:AN1006),$AB$1006:$AQ$1006,0)))),"Fix")))</f>
        <v>0</v>
      </c>
      <c r="O476" s="4">
        <f>IF(OR(INDEX($V$2:$V$1001,MATCH(ROWS($U$2:U476),$U$2:$U$1001,0),1)&gt;=100000,INDEX($AB$1005:$AQ$1005,1,MATCH(COLUMNS($AB$1006:AO1006),$AB$1006:$AQ$1006,0))&gt;=100000), " ",IF(INDEX($AB$2:$AQ$1001,MATCH(ROWS($U$2:U476),$U$2:$U$1001,0),MATCH(COLUMNS($AB$1006:AO1006),$AB$1006:$AQ$1006,0)), HYPERLINK("#",""), HYPERLINK(CONCATENATE("#metadata!", ADDRESS(INDEX($W$2:$W$1001,MATCH(ROWS($U$2:U476),$U$2:$U$1001,0),0), INDEX($AB$1004:$AQ$1004,1,MATCH(COLUMNS($AB$1006:AO1006),$AB$1006:$AQ$1006,0)))),"Fix")))</f>
        <v>0</v>
      </c>
      <c r="P476" s="4">
        <f>IF(OR(INDEX($V$2:$V$1001,MATCH(ROWS($U$2:U476),$U$2:$U$1001,0),1)&gt;=100000,INDEX($AB$1005:$AQ$1005,1,MATCH(COLUMNS($AB$1006:AP1006),$AB$1006:$AQ$1006,0))&gt;=100000), " ",IF(INDEX($AB$2:$AQ$1001,MATCH(ROWS($U$2:U476),$U$2:$U$1001,0),MATCH(COLUMNS($AB$1006:AP1006),$AB$1006:$AQ$1006,0)), HYPERLINK("#",""), HYPERLINK(CONCATENATE("#metadata!", ADDRESS(INDEX($W$2:$W$1001,MATCH(ROWS($U$2:U476),$U$2:$U$1001,0),0), INDEX($AB$1004:$AQ$1004,1,MATCH(COLUMNS($AB$1006:AP1006),$AB$1006:$AQ$1006,0)))),"Fix")))</f>
        <v>0</v>
      </c>
      <c r="Q476" s="4">
        <f>IF(OR(INDEX($V$2:$V$1001,MATCH(ROWS($U$2:U476),$U$2:$U$1001,0),1)&gt;=100000,INDEX($AB$1005:$AQ$1005,1,MATCH(COLUMNS($AB$1006:AQ1006),$AB$1006:$AQ$1006,0))&gt;=100000), " ",IF(INDEX($AB$2:$AQ$1001,MATCH(ROWS($U$2:U476),$U$2:$U$1001,0),MATCH(COLUMNS($AB$1006:AQ1006),$AB$1006:$AQ$1006,0)), HYPERLINK("#",""), HYPERLINK(CONCATENATE("#metadata!", ADDRESS(INDEX($W$2:$W$1001,MATCH(ROWS($U$2:U476),$U$2:$U$1001,0),0), INDEX($AB$1004:$AQ$1004,1,MATCH(COLUMNS($AB$1006:AQ1006),$AB$1006:$AQ$1006,0)))),"Fix")))</f>
        <v>0</v>
      </c>
      <c r="U476">
        <v>0</v>
      </c>
      <c r="V476">
        <v>0</v>
      </c>
      <c r="W476">
        <v>0</v>
      </c>
      <c r="X476">
        <f>IF(Y476,TRUE,AND(AB476:AQ476))</f>
        <v>0</v>
      </c>
      <c r="Y476">
        <f>COUNTBLANK(metadata!B476:Q476)=COLUMNS(metadata!B476:Q476)</f>
        <v>0</v>
      </c>
      <c r="Z476">
        <v>0</v>
      </c>
      <c r="AB476">
        <f>AND(IF(metadata!B476="",FALSE,TRUE),COUNTIF(metadata!B:B, metadata!B476) = 1,NOT(ISERROR(SUMPRODUCT(SEARCH(MID(metadata!B476,ROW(INDIRECT("1:"&amp;LEN(metadata!B476))), 1),"0123456789abcdefghijklmnopqrstuvwxyzABCDEFGHIJKLMNOPQRSTUVWXYZ.")))))</f>
        <v>0</v>
      </c>
      <c r="AC476">
        <f>OR(AND(IF(metadata!C476="",FALSE,TRUE),OR(exact(metadata!C476,"missing: not collected"),exact(metadata!C476,"missing: not provided"),exact(metadata!C476,"missing: restricted access"))),AND(IF(metadata!C476="",FALSE,TRUE),AND(AND(IFERROR(INT(LEFT(metadata!C476,4))&gt;1900,FALSE),IFERROR(INT(LEFT(metadata!C476,4))&lt;=YEAR(NOW()),FALSE)), OR(MID(metadata!C476,5,1)="", AND(AND(MID(metadata!C476,5,1)="-",IFERROR(INT(MID(metadata!C476,6,1))&gt;=0,FALSE),IFERROR(INT(MID(metadata!C476,6,1))&lt;=1,FALSE),NOT(MID(metadata!C476,7,1)=""),IFERROR(INT(MID(metadata!C476,6,2))&gt;=1,FALSE),IFERROR(INT(MID(metadata!C476,6,2))&lt;=12,FALSE)), OR(MID(metadata!C476,8,1)="", AND(AND(MID(metadata!C476,8,1)="-",IFERROR(INT(MID(metadata!C476,9,1))&gt;=0,FALSE),IFERROR(INT(MID(metadata!C476,9,1))&lt;=3,FALSE),NOT(MID(metadata!C476,10,1)=""),IFERROR(INT(MID(metadata!C476,9,2))&gt;=1,FALSE),IFERROR(INT(MID(metadata!C476,9,2))&lt;=31,FALSE)), OR(MID(metadata!C476,11,1)="", AND(AND(MID(metadata!C476,11,1)=" ",IFERROR(INT(MID(metadata!C476,12,1))&gt;=0,FALSE),IFERROR(INT(MID(metadata!C476,12,1))&lt;=2,FALSE),NOT(MID(metadata!C476,13,1)=""),IFERROR(INT(MID(metadata!C476,12,2))&gt;=0,FALSE),IFERROR(INT(MID(metadata!C476,12,2))&lt;=23,FALSE)), OR(MID(metadata!C476,14,1)="", AND(AND(MID(metadata!C476,14,1)=":",IFERROR(INT(MID(metadata!C476,15,1))&gt;=0,FALSE),IFERROR(INT(MID(metadata!C476,15,1))&lt;=5,FALSE),NOT(MID(metadata!C476,16,1)=""),IFERROR(INT(MID(metadata!C476,15,2))&gt;=0,FALSE),IFERROR(INT(MID(metadata!C476,15,2))&lt;=59,FALSE)), OR(MID(metadata!C476,17,1)="", AND(AND(MID(metadata!C476,17,1)=":",IFERROR(INT(MID(metadata!C476,18,1))&gt;=0,FALSE),IFERROR(INT(MID(metadata!C476,18,1))&lt;=5,FALSE),NOT(MID(metadata!C476,19,1)=""),IFERROR(INT(MID(metadata!C476,18,2))&gt;=0,FALSE),IFERROR(INT(MID(metadata!C476,18,2))&lt;=59,FALSE)), LEN(metadata!C476)&lt;=19)))))))))))))</f>
        <v>0</v>
      </c>
      <c r="AD476">
        <f>IF(metadata!D476="",FALSE,TRUE)</f>
        <v>0</v>
      </c>
      <c r="AE476">
        <f>OR(AND(IF(metadata!E476="",FALSE,TRUE),OR(exact(metadata!E476,"missing: not collected"),exact(metadata!E476,"missing: not provided"))),AND(IF(metadata!E476="",FALSE,TRUE),OR(exact(metadata!E476,"TRUE"),exact(metadata!E476,"FALSE"))))</f>
        <v>0</v>
      </c>
      <c r="AF476">
        <f>IF(metadata!F476="",FALSE,TRUE)</f>
        <v>0</v>
      </c>
      <c r="AG476">
        <f>IF(metadata!G476="",FALSE,TRUE)</f>
        <v>0</v>
      </c>
      <c r="AH476">
        <f>IF(metadata!H476="",FALSE,TRUE)</f>
        <v>0</v>
      </c>
      <c r="AI476">
        <f>OR(AND(IF(metadata!I476="",FALSE,TRUE),OR(exact(metadata!I476,"missing: not collected"),exact(metadata!I476,"missing: not provided"),exact(metadata!I476,"missing: restricted access"))),AND(IF(metadata!I476="",FALSE,TRUE),OR(exact(metadata!I476,"air"),exact(metadata!I476,"built environment"),exact(metadata!I476,"host-associated"),exact(metadata!I476,"human-associated"),exact(metadata!I476,"human-skin"),exact(metadata!I476,"human-oral"),exact(metadata!I476,"human-gut"),exact(metadata!I476,"human-vaginal"),exact(metadata!I476,"microbial mat/biofilm"),exact(metadata!I476,"misc environment"),exact(metadata!I476,"plant-associated"),exact(metadata!I476,"sediment"),exact(metadata!I476,"soil"),exact(metadata!I476,"wastewater/sludge"),exact(metadata!I476,"water"))))</f>
        <v>0</v>
      </c>
      <c r="AJ476">
        <f>IF(metadata!J476="",FALSE,TRUE)</f>
        <v>0</v>
      </c>
      <c r="AK476">
        <f>OR(AND(IF(metadata!K476="",FALSE,TRUE),OR(exact(metadata!K476,"missing: not collected"),exact(metadata!K476,"missing: not provided"),exact(metadata!K476,"missing: restricted access"))),AND(IF(metadata!K476="",FALSE,ISNUMBER(VALUE(metadata!K476))),metadata!K476&gt;=-90.00,metadata!K476&lt;=90.00))</f>
        <v>0</v>
      </c>
      <c r="AL476">
        <f>OR(AND(IF(metadata!L476="",FALSE,TRUE),OR(exact(metadata!L476,"missing: not collected"),exact(metadata!L476,"missing: not provided"),exact(metadata!L476,"missing: restricted access"))),AND(IF(metadata!L476="",FALSE,ISNUMBER(VALUE(metadata!L476))),metadata!L476&gt;=-180.00,metadata!L476&lt;=180.00))</f>
        <v>0</v>
      </c>
      <c r="AM476">
        <f>IF(metadata!M476="",FALSE,TRUE)</f>
        <v>0</v>
      </c>
      <c r="AN476">
        <f>OR(AND(IF(metadata!N476="",FALSE,TRUE),OR(exact(metadata!N476,"missing: not collected"),exact(metadata!N476,"missing: not provided"),exact(metadata!N476,"missing: restricted access"))),AND(IF(metadata!N476="",FALSE,TRUE),OR(exact(metadata!N476,"TRUE"),exact(metadata!N476,"FALSE"))))</f>
        <v>0</v>
      </c>
      <c r="AO476">
        <f>IF(metadata!O476="",FALSE,TRUE)</f>
        <v>0</v>
      </c>
      <c r="AP476">
        <f>OR(AND(IF(metadata!P476="",FALSE,TRUE),OR(exact(metadata!P476,"missing: not collected"),exact(metadata!P476,"missing: not provided"))),AND(IF(metadata!P476="",FALSE,IF(ISERROR(INT(metadata!P476)),FALSE,INT(metadata!P476)=metadata!P476)),metadata!P476&gt;0))</f>
        <v>0</v>
      </c>
      <c r="AQ476">
        <f>IF(metadata!Q476="",FALSE,TRUE)</f>
        <v>0</v>
      </c>
    </row>
    <row r="477" spans="1:43">
      <c r="A477" s="5">
        <f>IF(B477=" "," ",HYPERLINK(CONCATENATE("#metadata!",ADDRESS(INDEX($W$2:$W$1001,MATCH(ROWS($U$2:U477),$U$2:$U$1001,0),0),1)),INDEX($Z$2:$Z$1001,MATCH(ROWS($U$2:U477),$U$2:$U$1001,0),0)))</f>
        <v>0</v>
      </c>
      <c r="B477" s="4">
        <f>IF(OR(INDEX($V$2:$V$1001,MATCH(ROWS($U$2:U477),$U$2:$U$1001,0),1)&gt;=100000,INDEX($AB$1005:$AQ$1005,1,MATCH(COLUMNS($AB$1006:AB1006),$AB$1006:$AQ$1006,0))&gt;=100000), " ",IF(INDEX($AB$2:$AQ$1001,MATCH(ROWS($U$2:U477),$U$2:$U$1001,0),MATCH(COLUMNS($AB$1006:AB1006),$AB$1006:$AQ$1006,0)), HYPERLINK("#",""), HYPERLINK(CONCATENATE("#metadata!", ADDRESS(INDEX($W$2:$W$1001,MATCH(ROWS($U$2:U477),$U$2:$U$1001,0),0), INDEX($AB$1004:$AQ$1004,1,MATCH(COLUMNS($AB$1006:AB1006),$AB$1006:$AQ$1006,0)))),"Fix")))</f>
        <v>0</v>
      </c>
      <c r="C477" s="4">
        <f>IF(OR(INDEX($V$2:$V$1001,MATCH(ROWS($U$2:U477),$U$2:$U$1001,0),1)&gt;=100000,INDEX($AB$1005:$AQ$1005,1,MATCH(COLUMNS($AB$1006:AC1006),$AB$1006:$AQ$1006,0))&gt;=100000), " ",IF(INDEX($AB$2:$AQ$1001,MATCH(ROWS($U$2:U477),$U$2:$U$1001,0),MATCH(COLUMNS($AB$1006:AC1006),$AB$1006:$AQ$1006,0)), HYPERLINK("#",""), HYPERLINK(CONCATENATE("#metadata!", ADDRESS(INDEX($W$2:$W$1001,MATCH(ROWS($U$2:U477),$U$2:$U$1001,0),0), INDEX($AB$1004:$AQ$1004,1,MATCH(COLUMNS($AB$1006:AC1006),$AB$1006:$AQ$1006,0)))),"Fix")))</f>
        <v>0</v>
      </c>
      <c r="D477" s="4">
        <f>IF(OR(INDEX($V$2:$V$1001,MATCH(ROWS($U$2:U477),$U$2:$U$1001,0),1)&gt;=100000,INDEX($AB$1005:$AQ$1005,1,MATCH(COLUMNS($AB$1006:AD1006),$AB$1006:$AQ$1006,0))&gt;=100000), " ",IF(INDEX($AB$2:$AQ$1001,MATCH(ROWS($U$2:U477),$U$2:$U$1001,0),MATCH(COLUMNS($AB$1006:AD1006),$AB$1006:$AQ$1006,0)), HYPERLINK("#",""), HYPERLINK(CONCATENATE("#metadata!", ADDRESS(INDEX($W$2:$W$1001,MATCH(ROWS($U$2:U477),$U$2:$U$1001,0),0), INDEX($AB$1004:$AQ$1004,1,MATCH(COLUMNS($AB$1006:AD1006),$AB$1006:$AQ$1006,0)))),"Fix")))</f>
        <v>0</v>
      </c>
      <c r="E477" s="4">
        <f>IF(OR(INDEX($V$2:$V$1001,MATCH(ROWS($U$2:U477),$U$2:$U$1001,0),1)&gt;=100000,INDEX($AB$1005:$AQ$1005,1,MATCH(COLUMNS($AB$1006:AE1006),$AB$1006:$AQ$1006,0))&gt;=100000), " ",IF(INDEX($AB$2:$AQ$1001,MATCH(ROWS($U$2:U477),$U$2:$U$1001,0),MATCH(COLUMNS($AB$1006:AE1006),$AB$1006:$AQ$1006,0)), HYPERLINK("#",""), HYPERLINK(CONCATENATE("#metadata!", ADDRESS(INDEX($W$2:$W$1001,MATCH(ROWS($U$2:U477),$U$2:$U$1001,0),0), INDEX($AB$1004:$AQ$1004,1,MATCH(COLUMNS($AB$1006:AE1006),$AB$1006:$AQ$1006,0)))),"Fix")))</f>
        <v>0</v>
      </c>
      <c r="F477" s="4">
        <f>IF(OR(INDEX($V$2:$V$1001,MATCH(ROWS($U$2:U477),$U$2:$U$1001,0),1)&gt;=100000,INDEX($AB$1005:$AQ$1005,1,MATCH(COLUMNS($AB$1006:AF1006),$AB$1006:$AQ$1006,0))&gt;=100000), " ",IF(INDEX($AB$2:$AQ$1001,MATCH(ROWS($U$2:U477),$U$2:$U$1001,0),MATCH(COLUMNS($AB$1006:AF1006),$AB$1006:$AQ$1006,0)), HYPERLINK("#",""), HYPERLINK(CONCATENATE("#metadata!", ADDRESS(INDEX($W$2:$W$1001,MATCH(ROWS($U$2:U477),$U$2:$U$1001,0),0), INDEX($AB$1004:$AQ$1004,1,MATCH(COLUMNS($AB$1006:AF1006),$AB$1006:$AQ$1006,0)))),"Fix")))</f>
        <v>0</v>
      </c>
      <c r="G477" s="4">
        <f>IF(OR(INDEX($V$2:$V$1001,MATCH(ROWS($U$2:U477),$U$2:$U$1001,0),1)&gt;=100000,INDEX($AB$1005:$AQ$1005,1,MATCH(COLUMNS($AB$1006:AG1006),$AB$1006:$AQ$1006,0))&gt;=100000), " ",IF(INDEX($AB$2:$AQ$1001,MATCH(ROWS($U$2:U477),$U$2:$U$1001,0),MATCH(COLUMNS($AB$1006:AG1006),$AB$1006:$AQ$1006,0)), HYPERLINK("#",""), HYPERLINK(CONCATENATE("#metadata!", ADDRESS(INDEX($W$2:$W$1001,MATCH(ROWS($U$2:U477),$U$2:$U$1001,0),0), INDEX($AB$1004:$AQ$1004,1,MATCH(COLUMNS($AB$1006:AG1006),$AB$1006:$AQ$1006,0)))),"Fix")))</f>
        <v>0</v>
      </c>
      <c r="H477" s="4">
        <f>IF(OR(INDEX($V$2:$V$1001,MATCH(ROWS($U$2:U477),$U$2:$U$1001,0),1)&gt;=100000,INDEX($AB$1005:$AQ$1005,1,MATCH(COLUMNS($AB$1006:AH1006),$AB$1006:$AQ$1006,0))&gt;=100000), " ",IF(INDEX($AB$2:$AQ$1001,MATCH(ROWS($U$2:U477),$U$2:$U$1001,0),MATCH(COLUMNS($AB$1006:AH1006),$AB$1006:$AQ$1006,0)), HYPERLINK("#",""), HYPERLINK(CONCATENATE("#metadata!", ADDRESS(INDEX($W$2:$W$1001,MATCH(ROWS($U$2:U477),$U$2:$U$1001,0),0), INDEX($AB$1004:$AQ$1004,1,MATCH(COLUMNS($AB$1006:AH1006),$AB$1006:$AQ$1006,0)))),"Fix")))</f>
        <v>0</v>
      </c>
      <c r="I477" s="4">
        <f>IF(OR(INDEX($V$2:$V$1001,MATCH(ROWS($U$2:U477),$U$2:$U$1001,0),1)&gt;=100000,INDEX($AB$1005:$AQ$1005,1,MATCH(COLUMNS($AB$1006:AI1006),$AB$1006:$AQ$1006,0))&gt;=100000), " ",IF(INDEX($AB$2:$AQ$1001,MATCH(ROWS($U$2:U477),$U$2:$U$1001,0),MATCH(COLUMNS($AB$1006:AI1006),$AB$1006:$AQ$1006,0)), HYPERLINK("#",""), HYPERLINK(CONCATENATE("#metadata!", ADDRESS(INDEX($W$2:$W$1001,MATCH(ROWS($U$2:U477),$U$2:$U$1001,0),0), INDEX($AB$1004:$AQ$1004,1,MATCH(COLUMNS($AB$1006:AI1006),$AB$1006:$AQ$1006,0)))),"Fix")))</f>
        <v>0</v>
      </c>
      <c r="J477" s="4">
        <f>IF(OR(INDEX($V$2:$V$1001,MATCH(ROWS($U$2:U477),$U$2:$U$1001,0),1)&gt;=100000,INDEX($AB$1005:$AQ$1005,1,MATCH(COLUMNS($AB$1006:AJ1006),$AB$1006:$AQ$1006,0))&gt;=100000), " ",IF(INDEX($AB$2:$AQ$1001,MATCH(ROWS($U$2:U477),$U$2:$U$1001,0),MATCH(COLUMNS($AB$1006:AJ1006),$AB$1006:$AQ$1006,0)), HYPERLINK("#",""), HYPERLINK(CONCATENATE("#metadata!", ADDRESS(INDEX($W$2:$W$1001,MATCH(ROWS($U$2:U477),$U$2:$U$1001,0),0), INDEX($AB$1004:$AQ$1004,1,MATCH(COLUMNS($AB$1006:AJ1006),$AB$1006:$AQ$1006,0)))),"Fix")))</f>
        <v>0</v>
      </c>
      <c r="K477" s="4">
        <f>IF(OR(INDEX($V$2:$V$1001,MATCH(ROWS($U$2:U477),$U$2:$U$1001,0),1)&gt;=100000,INDEX($AB$1005:$AQ$1005,1,MATCH(COLUMNS($AB$1006:AK1006),$AB$1006:$AQ$1006,0))&gt;=100000), " ",IF(INDEX($AB$2:$AQ$1001,MATCH(ROWS($U$2:U477),$U$2:$U$1001,0),MATCH(COLUMNS($AB$1006:AK1006),$AB$1006:$AQ$1006,0)), HYPERLINK("#",""), HYPERLINK(CONCATENATE("#metadata!", ADDRESS(INDEX($W$2:$W$1001,MATCH(ROWS($U$2:U477),$U$2:$U$1001,0),0), INDEX($AB$1004:$AQ$1004,1,MATCH(COLUMNS($AB$1006:AK1006),$AB$1006:$AQ$1006,0)))),"Fix")))</f>
        <v>0</v>
      </c>
      <c r="L477" s="4">
        <f>IF(OR(INDEX($V$2:$V$1001,MATCH(ROWS($U$2:U477),$U$2:$U$1001,0),1)&gt;=100000,INDEX($AB$1005:$AQ$1005,1,MATCH(COLUMNS($AB$1006:AL1006),$AB$1006:$AQ$1006,0))&gt;=100000), " ",IF(INDEX($AB$2:$AQ$1001,MATCH(ROWS($U$2:U477),$U$2:$U$1001,0),MATCH(COLUMNS($AB$1006:AL1006),$AB$1006:$AQ$1006,0)), HYPERLINK("#",""), HYPERLINK(CONCATENATE("#metadata!", ADDRESS(INDEX($W$2:$W$1001,MATCH(ROWS($U$2:U477),$U$2:$U$1001,0),0), INDEX($AB$1004:$AQ$1004,1,MATCH(COLUMNS($AB$1006:AL1006),$AB$1006:$AQ$1006,0)))),"Fix")))</f>
        <v>0</v>
      </c>
      <c r="M477" s="4">
        <f>IF(OR(INDEX($V$2:$V$1001,MATCH(ROWS($U$2:U477),$U$2:$U$1001,0),1)&gt;=100000,INDEX($AB$1005:$AQ$1005,1,MATCH(COLUMNS($AB$1006:AM1006),$AB$1006:$AQ$1006,0))&gt;=100000), " ",IF(INDEX($AB$2:$AQ$1001,MATCH(ROWS($U$2:U477),$U$2:$U$1001,0),MATCH(COLUMNS($AB$1006:AM1006),$AB$1006:$AQ$1006,0)), HYPERLINK("#",""), HYPERLINK(CONCATENATE("#metadata!", ADDRESS(INDEX($W$2:$W$1001,MATCH(ROWS($U$2:U477),$U$2:$U$1001,0),0), INDEX($AB$1004:$AQ$1004,1,MATCH(COLUMNS($AB$1006:AM1006),$AB$1006:$AQ$1006,0)))),"Fix")))</f>
        <v>0</v>
      </c>
      <c r="N477" s="4">
        <f>IF(OR(INDEX($V$2:$V$1001,MATCH(ROWS($U$2:U477),$U$2:$U$1001,0),1)&gt;=100000,INDEX($AB$1005:$AQ$1005,1,MATCH(COLUMNS($AB$1006:AN1006),$AB$1006:$AQ$1006,0))&gt;=100000), " ",IF(INDEX($AB$2:$AQ$1001,MATCH(ROWS($U$2:U477),$U$2:$U$1001,0),MATCH(COLUMNS($AB$1006:AN1006),$AB$1006:$AQ$1006,0)), HYPERLINK("#",""), HYPERLINK(CONCATENATE("#metadata!", ADDRESS(INDEX($W$2:$W$1001,MATCH(ROWS($U$2:U477),$U$2:$U$1001,0),0), INDEX($AB$1004:$AQ$1004,1,MATCH(COLUMNS($AB$1006:AN1006),$AB$1006:$AQ$1006,0)))),"Fix")))</f>
        <v>0</v>
      </c>
      <c r="O477" s="4">
        <f>IF(OR(INDEX($V$2:$V$1001,MATCH(ROWS($U$2:U477),$U$2:$U$1001,0),1)&gt;=100000,INDEX($AB$1005:$AQ$1005,1,MATCH(COLUMNS($AB$1006:AO1006),$AB$1006:$AQ$1006,0))&gt;=100000), " ",IF(INDEX($AB$2:$AQ$1001,MATCH(ROWS($U$2:U477),$U$2:$U$1001,0),MATCH(COLUMNS($AB$1006:AO1006),$AB$1006:$AQ$1006,0)), HYPERLINK("#",""), HYPERLINK(CONCATENATE("#metadata!", ADDRESS(INDEX($W$2:$W$1001,MATCH(ROWS($U$2:U477),$U$2:$U$1001,0),0), INDEX($AB$1004:$AQ$1004,1,MATCH(COLUMNS($AB$1006:AO1006),$AB$1006:$AQ$1006,0)))),"Fix")))</f>
        <v>0</v>
      </c>
      <c r="P477" s="4">
        <f>IF(OR(INDEX($V$2:$V$1001,MATCH(ROWS($U$2:U477),$U$2:$U$1001,0),1)&gt;=100000,INDEX($AB$1005:$AQ$1005,1,MATCH(COLUMNS($AB$1006:AP1006),$AB$1006:$AQ$1006,0))&gt;=100000), " ",IF(INDEX($AB$2:$AQ$1001,MATCH(ROWS($U$2:U477),$U$2:$U$1001,0),MATCH(COLUMNS($AB$1006:AP1006),$AB$1006:$AQ$1006,0)), HYPERLINK("#",""), HYPERLINK(CONCATENATE("#metadata!", ADDRESS(INDEX($W$2:$W$1001,MATCH(ROWS($U$2:U477),$U$2:$U$1001,0),0), INDEX($AB$1004:$AQ$1004,1,MATCH(COLUMNS($AB$1006:AP1006),$AB$1006:$AQ$1006,0)))),"Fix")))</f>
        <v>0</v>
      </c>
      <c r="Q477" s="4">
        <f>IF(OR(INDEX($V$2:$V$1001,MATCH(ROWS($U$2:U477),$U$2:$U$1001,0),1)&gt;=100000,INDEX($AB$1005:$AQ$1005,1,MATCH(COLUMNS($AB$1006:AQ1006),$AB$1006:$AQ$1006,0))&gt;=100000), " ",IF(INDEX($AB$2:$AQ$1001,MATCH(ROWS($U$2:U477),$U$2:$U$1001,0),MATCH(COLUMNS($AB$1006:AQ1006),$AB$1006:$AQ$1006,0)), HYPERLINK("#",""), HYPERLINK(CONCATENATE("#metadata!", ADDRESS(INDEX($W$2:$W$1001,MATCH(ROWS($U$2:U477),$U$2:$U$1001,0),0), INDEX($AB$1004:$AQ$1004,1,MATCH(COLUMNS($AB$1006:AQ1006),$AB$1006:$AQ$1006,0)))),"Fix")))</f>
        <v>0</v>
      </c>
      <c r="U477">
        <v>0</v>
      </c>
      <c r="V477">
        <v>0</v>
      </c>
      <c r="W477">
        <v>0</v>
      </c>
      <c r="X477">
        <f>IF(Y477,TRUE,AND(AB477:AQ477))</f>
        <v>0</v>
      </c>
      <c r="Y477">
        <f>COUNTBLANK(metadata!B477:Q477)=COLUMNS(metadata!B477:Q477)</f>
        <v>0</v>
      </c>
      <c r="Z477">
        <v>0</v>
      </c>
      <c r="AB477">
        <f>AND(IF(metadata!B477="",FALSE,TRUE),COUNTIF(metadata!B:B, metadata!B477) = 1,NOT(ISERROR(SUMPRODUCT(SEARCH(MID(metadata!B477,ROW(INDIRECT("1:"&amp;LEN(metadata!B477))), 1),"0123456789abcdefghijklmnopqrstuvwxyzABCDEFGHIJKLMNOPQRSTUVWXYZ.")))))</f>
        <v>0</v>
      </c>
      <c r="AC477">
        <f>OR(AND(IF(metadata!C477="",FALSE,TRUE),OR(exact(metadata!C477,"missing: not collected"),exact(metadata!C477,"missing: not provided"),exact(metadata!C477,"missing: restricted access"))),AND(IF(metadata!C477="",FALSE,TRUE),AND(AND(IFERROR(INT(LEFT(metadata!C477,4))&gt;1900,FALSE),IFERROR(INT(LEFT(metadata!C477,4))&lt;=YEAR(NOW()),FALSE)), OR(MID(metadata!C477,5,1)="", AND(AND(MID(metadata!C477,5,1)="-",IFERROR(INT(MID(metadata!C477,6,1))&gt;=0,FALSE),IFERROR(INT(MID(metadata!C477,6,1))&lt;=1,FALSE),NOT(MID(metadata!C477,7,1)=""),IFERROR(INT(MID(metadata!C477,6,2))&gt;=1,FALSE),IFERROR(INT(MID(metadata!C477,6,2))&lt;=12,FALSE)), OR(MID(metadata!C477,8,1)="", AND(AND(MID(metadata!C477,8,1)="-",IFERROR(INT(MID(metadata!C477,9,1))&gt;=0,FALSE),IFERROR(INT(MID(metadata!C477,9,1))&lt;=3,FALSE),NOT(MID(metadata!C477,10,1)=""),IFERROR(INT(MID(metadata!C477,9,2))&gt;=1,FALSE),IFERROR(INT(MID(metadata!C477,9,2))&lt;=31,FALSE)), OR(MID(metadata!C477,11,1)="", AND(AND(MID(metadata!C477,11,1)=" ",IFERROR(INT(MID(metadata!C477,12,1))&gt;=0,FALSE),IFERROR(INT(MID(metadata!C477,12,1))&lt;=2,FALSE),NOT(MID(metadata!C477,13,1)=""),IFERROR(INT(MID(metadata!C477,12,2))&gt;=0,FALSE),IFERROR(INT(MID(metadata!C477,12,2))&lt;=23,FALSE)), OR(MID(metadata!C477,14,1)="", AND(AND(MID(metadata!C477,14,1)=":",IFERROR(INT(MID(metadata!C477,15,1))&gt;=0,FALSE),IFERROR(INT(MID(metadata!C477,15,1))&lt;=5,FALSE),NOT(MID(metadata!C477,16,1)=""),IFERROR(INT(MID(metadata!C477,15,2))&gt;=0,FALSE),IFERROR(INT(MID(metadata!C477,15,2))&lt;=59,FALSE)), OR(MID(metadata!C477,17,1)="", AND(AND(MID(metadata!C477,17,1)=":",IFERROR(INT(MID(metadata!C477,18,1))&gt;=0,FALSE),IFERROR(INT(MID(metadata!C477,18,1))&lt;=5,FALSE),NOT(MID(metadata!C477,19,1)=""),IFERROR(INT(MID(metadata!C477,18,2))&gt;=0,FALSE),IFERROR(INT(MID(metadata!C477,18,2))&lt;=59,FALSE)), LEN(metadata!C477)&lt;=19)))))))))))))</f>
        <v>0</v>
      </c>
      <c r="AD477">
        <f>IF(metadata!D477="",FALSE,TRUE)</f>
        <v>0</v>
      </c>
      <c r="AE477">
        <f>OR(AND(IF(metadata!E477="",FALSE,TRUE),OR(exact(metadata!E477,"missing: not collected"),exact(metadata!E477,"missing: not provided"))),AND(IF(metadata!E477="",FALSE,TRUE),OR(exact(metadata!E477,"TRUE"),exact(metadata!E477,"FALSE"))))</f>
        <v>0</v>
      </c>
      <c r="AF477">
        <f>IF(metadata!F477="",FALSE,TRUE)</f>
        <v>0</v>
      </c>
      <c r="AG477">
        <f>IF(metadata!G477="",FALSE,TRUE)</f>
        <v>0</v>
      </c>
      <c r="AH477">
        <f>IF(metadata!H477="",FALSE,TRUE)</f>
        <v>0</v>
      </c>
      <c r="AI477">
        <f>OR(AND(IF(metadata!I477="",FALSE,TRUE),OR(exact(metadata!I477,"missing: not collected"),exact(metadata!I477,"missing: not provided"),exact(metadata!I477,"missing: restricted access"))),AND(IF(metadata!I477="",FALSE,TRUE),OR(exact(metadata!I477,"air"),exact(metadata!I477,"built environment"),exact(metadata!I477,"host-associated"),exact(metadata!I477,"human-associated"),exact(metadata!I477,"human-skin"),exact(metadata!I477,"human-oral"),exact(metadata!I477,"human-gut"),exact(metadata!I477,"human-vaginal"),exact(metadata!I477,"microbial mat/biofilm"),exact(metadata!I477,"misc environment"),exact(metadata!I477,"plant-associated"),exact(metadata!I477,"sediment"),exact(metadata!I477,"soil"),exact(metadata!I477,"wastewater/sludge"),exact(metadata!I477,"water"))))</f>
        <v>0</v>
      </c>
      <c r="AJ477">
        <f>IF(metadata!J477="",FALSE,TRUE)</f>
        <v>0</v>
      </c>
      <c r="AK477">
        <f>OR(AND(IF(metadata!K477="",FALSE,TRUE),OR(exact(metadata!K477,"missing: not collected"),exact(metadata!K477,"missing: not provided"),exact(metadata!K477,"missing: restricted access"))),AND(IF(metadata!K477="",FALSE,ISNUMBER(VALUE(metadata!K477))),metadata!K477&gt;=-90.00,metadata!K477&lt;=90.00))</f>
        <v>0</v>
      </c>
      <c r="AL477">
        <f>OR(AND(IF(metadata!L477="",FALSE,TRUE),OR(exact(metadata!L477,"missing: not collected"),exact(metadata!L477,"missing: not provided"),exact(metadata!L477,"missing: restricted access"))),AND(IF(metadata!L477="",FALSE,ISNUMBER(VALUE(metadata!L477))),metadata!L477&gt;=-180.00,metadata!L477&lt;=180.00))</f>
        <v>0</v>
      </c>
      <c r="AM477">
        <f>IF(metadata!M477="",FALSE,TRUE)</f>
        <v>0</v>
      </c>
      <c r="AN477">
        <f>OR(AND(IF(metadata!N477="",FALSE,TRUE),OR(exact(metadata!N477,"missing: not collected"),exact(metadata!N477,"missing: not provided"),exact(metadata!N477,"missing: restricted access"))),AND(IF(metadata!N477="",FALSE,TRUE),OR(exact(metadata!N477,"TRUE"),exact(metadata!N477,"FALSE"))))</f>
        <v>0</v>
      </c>
      <c r="AO477">
        <f>IF(metadata!O477="",FALSE,TRUE)</f>
        <v>0</v>
      </c>
      <c r="AP477">
        <f>OR(AND(IF(metadata!P477="",FALSE,TRUE),OR(exact(metadata!P477,"missing: not collected"),exact(metadata!P477,"missing: not provided"))),AND(IF(metadata!P477="",FALSE,IF(ISERROR(INT(metadata!P477)),FALSE,INT(metadata!P477)=metadata!P477)),metadata!P477&gt;0))</f>
        <v>0</v>
      </c>
      <c r="AQ477">
        <f>IF(metadata!Q477="",FALSE,TRUE)</f>
        <v>0</v>
      </c>
    </row>
    <row r="478" spans="1:43">
      <c r="A478" s="5">
        <f>IF(B478=" "," ",HYPERLINK(CONCATENATE("#metadata!",ADDRESS(INDEX($W$2:$W$1001,MATCH(ROWS($U$2:U478),$U$2:$U$1001,0),0),1)),INDEX($Z$2:$Z$1001,MATCH(ROWS($U$2:U478),$U$2:$U$1001,0),0)))</f>
        <v>0</v>
      </c>
      <c r="B478" s="4">
        <f>IF(OR(INDEX($V$2:$V$1001,MATCH(ROWS($U$2:U478),$U$2:$U$1001,0),1)&gt;=100000,INDEX($AB$1005:$AQ$1005,1,MATCH(COLUMNS($AB$1006:AB1006),$AB$1006:$AQ$1006,0))&gt;=100000), " ",IF(INDEX($AB$2:$AQ$1001,MATCH(ROWS($U$2:U478),$U$2:$U$1001,0),MATCH(COLUMNS($AB$1006:AB1006),$AB$1006:$AQ$1006,0)), HYPERLINK("#",""), HYPERLINK(CONCATENATE("#metadata!", ADDRESS(INDEX($W$2:$W$1001,MATCH(ROWS($U$2:U478),$U$2:$U$1001,0),0), INDEX($AB$1004:$AQ$1004,1,MATCH(COLUMNS($AB$1006:AB1006),$AB$1006:$AQ$1006,0)))),"Fix")))</f>
        <v>0</v>
      </c>
      <c r="C478" s="4">
        <f>IF(OR(INDEX($V$2:$V$1001,MATCH(ROWS($U$2:U478),$U$2:$U$1001,0),1)&gt;=100000,INDEX($AB$1005:$AQ$1005,1,MATCH(COLUMNS($AB$1006:AC1006),$AB$1006:$AQ$1006,0))&gt;=100000), " ",IF(INDEX($AB$2:$AQ$1001,MATCH(ROWS($U$2:U478),$U$2:$U$1001,0),MATCH(COLUMNS($AB$1006:AC1006),$AB$1006:$AQ$1006,0)), HYPERLINK("#",""), HYPERLINK(CONCATENATE("#metadata!", ADDRESS(INDEX($W$2:$W$1001,MATCH(ROWS($U$2:U478),$U$2:$U$1001,0),0), INDEX($AB$1004:$AQ$1004,1,MATCH(COLUMNS($AB$1006:AC1006),$AB$1006:$AQ$1006,0)))),"Fix")))</f>
        <v>0</v>
      </c>
      <c r="D478" s="4">
        <f>IF(OR(INDEX($V$2:$V$1001,MATCH(ROWS($U$2:U478),$U$2:$U$1001,0),1)&gt;=100000,INDEX($AB$1005:$AQ$1005,1,MATCH(COLUMNS($AB$1006:AD1006),$AB$1006:$AQ$1006,0))&gt;=100000), " ",IF(INDEX($AB$2:$AQ$1001,MATCH(ROWS($U$2:U478),$U$2:$U$1001,0),MATCH(COLUMNS($AB$1006:AD1006),$AB$1006:$AQ$1006,0)), HYPERLINK("#",""), HYPERLINK(CONCATENATE("#metadata!", ADDRESS(INDEX($W$2:$W$1001,MATCH(ROWS($U$2:U478),$U$2:$U$1001,0),0), INDEX($AB$1004:$AQ$1004,1,MATCH(COLUMNS($AB$1006:AD1006),$AB$1006:$AQ$1006,0)))),"Fix")))</f>
        <v>0</v>
      </c>
      <c r="E478" s="4">
        <f>IF(OR(INDEX($V$2:$V$1001,MATCH(ROWS($U$2:U478),$U$2:$U$1001,0),1)&gt;=100000,INDEX($AB$1005:$AQ$1005,1,MATCH(COLUMNS($AB$1006:AE1006),$AB$1006:$AQ$1006,0))&gt;=100000), " ",IF(INDEX($AB$2:$AQ$1001,MATCH(ROWS($U$2:U478),$U$2:$U$1001,0),MATCH(COLUMNS($AB$1006:AE1006),$AB$1006:$AQ$1006,0)), HYPERLINK("#",""), HYPERLINK(CONCATENATE("#metadata!", ADDRESS(INDEX($W$2:$W$1001,MATCH(ROWS($U$2:U478),$U$2:$U$1001,0),0), INDEX($AB$1004:$AQ$1004,1,MATCH(COLUMNS($AB$1006:AE1006),$AB$1006:$AQ$1006,0)))),"Fix")))</f>
        <v>0</v>
      </c>
      <c r="F478" s="4">
        <f>IF(OR(INDEX($V$2:$V$1001,MATCH(ROWS($U$2:U478),$U$2:$U$1001,0),1)&gt;=100000,INDEX($AB$1005:$AQ$1005,1,MATCH(COLUMNS($AB$1006:AF1006),$AB$1006:$AQ$1006,0))&gt;=100000), " ",IF(INDEX($AB$2:$AQ$1001,MATCH(ROWS($U$2:U478),$U$2:$U$1001,0),MATCH(COLUMNS($AB$1006:AF1006),$AB$1006:$AQ$1006,0)), HYPERLINK("#",""), HYPERLINK(CONCATENATE("#metadata!", ADDRESS(INDEX($W$2:$W$1001,MATCH(ROWS($U$2:U478),$U$2:$U$1001,0),0), INDEX($AB$1004:$AQ$1004,1,MATCH(COLUMNS($AB$1006:AF1006),$AB$1006:$AQ$1006,0)))),"Fix")))</f>
        <v>0</v>
      </c>
      <c r="G478" s="4">
        <f>IF(OR(INDEX($V$2:$V$1001,MATCH(ROWS($U$2:U478),$U$2:$U$1001,0),1)&gt;=100000,INDEX($AB$1005:$AQ$1005,1,MATCH(COLUMNS($AB$1006:AG1006),$AB$1006:$AQ$1006,0))&gt;=100000), " ",IF(INDEX($AB$2:$AQ$1001,MATCH(ROWS($U$2:U478),$U$2:$U$1001,0),MATCH(COLUMNS($AB$1006:AG1006),$AB$1006:$AQ$1006,0)), HYPERLINK("#",""), HYPERLINK(CONCATENATE("#metadata!", ADDRESS(INDEX($W$2:$W$1001,MATCH(ROWS($U$2:U478),$U$2:$U$1001,0),0), INDEX($AB$1004:$AQ$1004,1,MATCH(COLUMNS($AB$1006:AG1006),$AB$1006:$AQ$1006,0)))),"Fix")))</f>
        <v>0</v>
      </c>
      <c r="H478" s="4">
        <f>IF(OR(INDEX($V$2:$V$1001,MATCH(ROWS($U$2:U478),$U$2:$U$1001,0),1)&gt;=100000,INDEX($AB$1005:$AQ$1005,1,MATCH(COLUMNS($AB$1006:AH1006),$AB$1006:$AQ$1006,0))&gt;=100000), " ",IF(INDEX($AB$2:$AQ$1001,MATCH(ROWS($U$2:U478),$U$2:$U$1001,0),MATCH(COLUMNS($AB$1006:AH1006),$AB$1006:$AQ$1006,0)), HYPERLINK("#",""), HYPERLINK(CONCATENATE("#metadata!", ADDRESS(INDEX($W$2:$W$1001,MATCH(ROWS($U$2:U478),$U$2:$U$1001,0),0), INDEX($AB$1004:$AQ$1004,1,MATCH(COLUMNS($AB$1006:AH1006),$AB$1006:$AQ$1006,0)))),"Fix")))</f>
        <v>0</v>
      </c>
      <c r="I478" s="4">
        <f>IF(OR(INDEX($V$2:$V$1001,MATCH(ROWS($U$2:U478),$U$2:$U$1001,0),1)&gt;=100000,INDEX($AB$1005:$AQ$1005,1,MATCH(COLUMNS($AB$1006:AI1006),$AB$1006:$AQ$1006,0))&gt;=100000), " ",IF(INDEX($AB$2:$AQ$1001,MATCH(ROWS($U$2:U478),$U$2:$U$1001,0),MATCH(COLUMNS($AB$1006:AI1006),$AB$1006:$AQ$1006,0)), HYPERLINK("#",""), HYPERLINK(CONCATENATE("#metadata!", ADDRESS(INDEX($W$2:$W$1001,MATCH(ROWS($U$2:U478),$U$2:$U$1001,0),0), INDEX($AB$1004:$AQ$1004,1,MATCH(COLUMNS($AB$1006:AI1006),$AB$1006:$AQ$1006,0)))),"Fix")))</f>
        <v>0</v>
      </c>
      <c r="J478" s="4">
        <f>IF(OR(INDEX($V$2:$V$1001,MATCH(ROWS($U$2:U478),$U$2:$U$1001,0),1)&gt;=100000,INDEX($AB$1005:$AQ$1005,1,MATCH(COLUMNS($AB$1006:AJ1006),$AB$1006:$AQ$1006,0))&gt;=100000), " ",IF(INDEX($AB$2:$AQ$1001,MATCH(ROWS($U$2:U478),$U$2:$U$1001,0),MATCH(COLUMNS($AB$1006:AJ1006),$AB$1006:$AQ$1006,0)), HYPERLINK("#",""), HYPERLINK(CONCATENATE("#metadata!", ADDRESS(INDEX($W$2:$W$1001,MATCH(ROWS($U$2:U478),$U$2:$U$1001,0),0), INDEX($AB$1004:$AQ$1004,1,MATCH(COLUMNS($AB$1006:AJ1006),$AB$1006:$AQ$1006,0)))),"Fix")))</f>
        <v>0</v>
      </c>
      <c r="K478" s="4">
        <f>IF(OR(INDEX($V$2:$V$1001,MATCH(ROWS($U$2:U478),$U$2:$U$1001,0),1)&gt;=100000,INDEX($AB$1005:$AQ$1005,1,MATCH(COLUMNS($AB$1006:AK1006),$AB$1006:$AQ$1006,0))&gt;=100000), " ",IF(INDEX($AB$2:$AQ$1001,MATCH(ROWS($U$2:U478),$U$2:$U$1001,0),MATCH(COLUMNS($AB$1006:AK1006),$AB$1006:$AQ$1006,0)), HYPERLINK("#",""), HYPERLINK(CONCATENATE("#metadata!", ADDRESS(INDEX($W$2:$W$1001,MATCH(ROWS($U$2:U478),$U$2:$U$1001,0),0), INDEX($AB$1004:$AQ$1004,1,MATCH(COLUMNS($AB$1006:AK1006),$AB$1006:$AQ$1006,0)))),"Fix")))</f>
        <v>0</v>
      </c>
      <c r="L478" s="4">
        <f>IF(OR(INDEX($V$2:$V$1001,MATCH(ROWS($U$2:U478),$U$2:$U$1001,0),1)&gt;=100000,INDEX($AB$1005:$AQ$1005,1,MATCH(COLUMNS($AB$1006:AL1006),$AB$1006:$AQ$1006,0))&gt;=100000), " ",IF(INDEX($AB$2:$AQ$1001,MATCH(ROWS($U$2:U478),$U$2:$U$1001,0),MATCH(COLUMNS($AB$1006:AL1006),$AB$1006:$AQ$1006,0)), HYPERLINK("#",""), HYPERLINK(CONCATENATE("#metadata!", ADDRESS(INDEX($W$2:$W$1001,MATCH(ROWS($U$2:U478),$U$2:$U$1001,0),0), INDEX($AB$1004:$AQ$1004,1,MATCH(COLUMNS($AB$1006:AL1006),$AB$1006:$AQ$1006,0)))),"Fix")))</f>
        <v>0</v>
      </c>
      <c r="M478" s="4">
        <f>IF(OR(INDEX($V$2:$V$1001,MATCH(ROWS($U$2:U478),$U$2:$U$1001,0),1)&gt;=100000,INDEX($AB$1005:$AQ$1005,1,MATCH(COLUMNS($AB$1006:AM1006),$AB$1006:$AQ$1006,0))&gt;=100000), " ",IF(INDEX($AB$2:$AQ$1001,MATCH(ROWS($U$2:U478),$U$2:$U$1001,0),MATCH(COLUMNS($AB$1006:AM1006),$AB$1006:$AQ$1006,0)), HYPERLINK("#",""), HYPERLINK(CONCATENATE("#metadata!", ADDRESS(INDEX($W$2:$W$1001,MATCH(ROWS($U$2:U478),$U$2:$U$1001,0),0), INDEX($AB$1004:$AQ$1004,1,MATCH(COLUMNS($AB$1006:AM1006),$AB$1006:$AQ$1006,0)))),"Fix")))</f>
        <v>0</v>
      </c>
      <c r="N478" s="4">
        <f>IF(OR(INDEX($V$2:$V$1001,MATCH(ROWS($U$2:U478),$U$2:$U$1001,0),1)&gt;=100000,INDEX($AB$1005:$AQ$1005,1,MATCH(COLUMNS($AB$1006:AN1006),$AB$1006:$AQ$1006,0))&gt;=100000), " ",IF(INDEX($AB$2:$AQ$1001,MATCH(ROWS($U$2:U478),$U$2:$U$1001,0),MATCH(COLUMNS($AB$1006:AN1006),$AB$1006:$AQ$1006,0)), HYPERLINK("#",""), HYPERLINK(CONCATENATE("#metadata!", ADDRESS(INDEX($W$2:$W$1001,MATCH(ROWS($U$2:U478),$U$2:$U$1001,0),0), INDEX($AB$1004:$AQ$1004,1,MATCH(COLUMNS($AB$1006:AN1006),$AB$1006:$AQ$1006,0)))),"Fix")))</f>
        <v>0</v>
      </c>
      <c r="O478" s="4">
        <f>IF(OR(INDEX($V$2:$V$1001,MATCH(ROWS($U$2:U478),$U$2:$U$1001,0),1)&gt;=100000,INDEX($AB$1005:$AQ$1005,1,MATCH(COLUMNS($AB$1006:AO1006),$AB$1006:$AQ$1006,0))&gt;=100000), " ",IF(INDEX($AB$2:$AQ$1001,MATCH(ROWS($U$2:U478),$U$2:$U$1001,0),MATCH(COLUMNS($AB$1006:AO1006),$AB$1006:$AQ$1006,0)), HYPERLINK("#",""), HYPERLINK(CONCATENATE("#metadata!", ADDRESS(INDEX($W$2:$W$1001,MATCH(ROWS($U$2:U478),$U$2:$U$1001,0),0), INDEX($AB$1004:$AQ$1004,1,MATCH(COLUMNS($AB$1006:AO1006),$AB$1006:$AQ$1006,0)))),"Fix")))</f>
        <v>0</v>
      </c>
      <c r="P478" s="4">
        <f>IF(OR(INDEX($V$2:$V$1001,MATCH(ROWS($U$2:U478),$U$2:$U$1001,0),1)&gt;=100000,INDEX($AB$1005:$AQ$1005,1,MATCH(COLUMNS($AB$1006:AP1006),$AB$1006:$AQ$1006,0))&gt;=100000), " ",IF(INDEX($AB$2:$AQ$1001,MATCH(ROWS($U$2:U478),$U$2:$U$1001,0),MATCH(COLUMNS($AB$1006:AP1006),$AB$1006:$AQ$1006,0)), HYPERLINK("#",""), HYPERLINK(CONCATENATE("#metadata!", ADDRESS(INDEX($W$2:$W$1001,MATCH(ROWS($U$2:U478),$U$2:$U$1001,0),0), INDEX($AB$1004:$AQ$1004,1,MATCH(COLUMNS($AB$1006:AP1006),$AB$1006:$AQ$1006,0)))),"Fix")))</f>
        <v>0</v>
      </c>
      <c r="Q478" s="4">
        <f>IF(OR(INDEX($V$2:$V$1001,MATCH(ROWS($U$2:U478),$U$2:$U$1001,0),1)&gt;=100000,INDEX($AB$1005:$AQ$1005,1,MATCH(COLUMNS($AB$1006:AQ1006),$AB$1006:$AQ$1006,0))&gt;=100000), " ",IF(INDEX($AB$2:$AQ$1001,MATCH(ROWS($U$2:U478),$U$2:$U$1001,0),MATCH(COLUMNS($AB$1006:AQ1006),$AB$1006:$AQ$1006,0)), HYPERLINK("#",""), HYPERLINK(CONCATENATE("#metadata!", ADDRESS(INDEX($W$2:$W$1001,MATCH(ROWS($U$2:U478),$U$2:$U$1001,0),0), INDEX($AB$1004:$AQ$1004,1,MATCH(COLUMNS($AB$1006:AQ1006),$AB$1006:$AQ$1006,0)))),"Fix")))</f>
        <v>0</v>
      </c>
      <c r="U478">
        <v>0</v>
      </c>
      <c r="V478">
        <v>0</v>
      </c>
      <c r="W478">
        <v>0</v>
      </c>
      <c r="X478">
        <f>IF(Y478,TRUE,AND(AB478:AQ478))</f>
        <v>0</v>
      </c>
      <c r="Y478">
        <f>COUNTBLANK(metadata!B478:Q478)=COLUMNS(metadata!B478:Q478)</f>
        <v>0</v>
      </c>
      <c r="Z478">
        <v>0</v>
      </c>
      <c r="AB478">
        <f>AND(IF(metadata!B478="",FALSE,TRUE),COUNTIF(metadata!B:B, metadata!B478) = 1,NOT(ISERROR(SUMPRODUCT(SEARCH(MID(metadata!B478,ROW(INDIRECT("1:"&amp;LEN(metadata!B478))), 1),"0123456789abcdefghijklmnopqrstuvwxyzABCDEFGHIJKLMNOPQRSTUVWXYZ.")))))</f>
        <v>0</v>
      </c>
      <c r="AC478">
        <f>OR(AND(IF(metadata!C478="",FALSE,TRUE),OR(exact(metadata!C478,"missing: not collected"),exact(metadata!C478,"missing: not provided"),exact(metadata!C478,"missing: restricted access"))),AND(IF(metadata!C478="",FALSE,TRUE),AND(AND(IFERROR(INT(LEFT(metadata!C478,4))&gt;1900,FALSE),IFERROR(INT(LEFT(metadata!C478,4))&lt;=YEAR(NOW()),FALSE)), OR(MID(metadata!C478,5,1)="", AND(AND(MID(metadata!C478,5,1)="-",IFERROR(INT(MID(metadata!C478,6,1))&gt;=0,FALSE),IFERROR(INT(MID(metadata!C478,6,1))&lt;=1,FALSE),NOT(MID(metadata!C478,7,1)=""),IFERROR(INT(MID(metadata!C478,6,2))&gt;=1,FALSE),IFERROR(INT(MID(metadata!C478,6,2))&lt;=12,FALSE)), OR(MID(metadata!C478,8,1)="", AND(AND(MID(metadata!C478,8,1)="-",IFERROR(INT(MID(metadata!C478,9,1))&gt;=0,FALSE),IFERROR(INT(MID(metadata!C478,9,1))&lt;=3,FALSE),NOT(MID(metadata!C478,10,1)=""),IFERROR(INT(MID(metadata!C478,9,2))&gt;=1,FALSE),IFERROR(INT(MID(metadata!C478,9,2))&lt;=31,FALSE)), OR(MID(metadata!C478,11,1)="", AND(AND(MID(metadata!C478,11,1)=" ",IFERROR(INT(MID(metadata!C478,12,1))&gt;=0,FALSE),IFERROR(INT(MID(metadata!C478,12,1))&lt;=2,FALSE),NOT(MID(metadata!C478,13,1)=""),IFERROR(INT(MID(metadata!C478,12,2))&gt;=0,FALSE),IFERROR(INT(MID(metadata!C478,12,2))&lt;=23,FALSE)), OR(MID(metadata!C478,14,1)="", AND(AND(MID(metadata!C478,14,1)=":",IFERROR(INT(MID(metadata!C478,15,1))&gt;=0,FALSE),IFERROR(INT(MID(metadata!C478,15,1))&lt;=5,FALSE),NOT(MID(metadata!C478,16,1)=""),IFERROR(INT(MID(metadata!C478,15,2))&gt;=0,FALSE),IFERROR(INT(MID(metadata!C478,15,2))&lt;=59,FALSE)), OR(MID(metadata!C478,17,1)="", AND(AND(MID(metadata!C478,17,1)=":",IFERROR(INT(MID(metadata!C478,18,1))&gt;=0,FALSE),IFERROR(INT(MID(metadata!C478,18,1))&lt;=5,FALSE),NOT(MID(metadata!C478,19,1)=""),IFERROR(INT(MID(metadata!C478,18,2))&gt;=0,FALSE),IFERROR(INT(MID(metadata!C478,18,2))&lt;=59,FALSE)), LEN(metadata!C478)&lt;=19)))))))))))))</f>
        <v>0</v>
      </c>
      <c r="AD478">
        <f>IF(metadata!D478="",FALSE,TRUE)</f>
        <v>0</v>
      </c>
      <c r="AE478">
        <f>OR(AND(IF(metadata!E478="",FALSE,TRUE),OR(exact(metadata!E478,"missing: not collected"),exact(metadata!E478,"missing: not provided"))),AND(IF(metadata!E478="",FALSE,TRUE),OR(exact(metadata!E478,"TRUE"),exact(metadata!E478,"FALSE"))))</f>
        <v>0</v>
      </c>
      <c r="AF478">
        <f>IF(metadata!F478="",FALSE,TRUE)</f>
        <v>0</v>
      </c>
      <c r="AG478">
        <f>IF(metadata!G478="",FALSE,TRUE)</f>
        <v>0</v>
      </c>
      <c r="AH478">
        <f>IF(metadata!H478="",FALSE,TRUE)</f>
        <v>0</v>
      </c>
      <c r="AI478">
        <f>OR(AND(IF(metadata!I478="",FALSE,TRUE),OR(exact(metadata!I478,"missing: not collected"),exact(metadata!I478,"missing: not provided"),exact(metadata!I478,"missing: restricted access"))),AND(IF(metadata!I478="",FALSE,TRUE),OR(exact(metadata!I478,"air"),exact(metadata!I478,"built environment"),exact(metadata!I478,"host-associated"),exact(metadata!I478,"human-associated"),exact(metadata!I478,"human-skin"),exact(metadata!I478,"human-oral"),exact(metadata!I478,"human-gut"),exact(metadata!I478,"human-vaginal"),exact(metadata!I478,"microbial mat/biofilm"),exact(metadata!I478,"misc environment"),exact(metadata!I478,"plant-associated"),exact(metadata!I478,"sediment"),exact(metadata!I478,"soil"),exact(metadata!I478,"wastewater/sludge"),exact(metadata!I478,"water"))))</f>
        <v>0</v>
      </c>
      <c r="AJ478">
        <f>IF(metadata!J478="",FALSE,TRUE)</f>
        <v>0</v>
      </c>
      <c r="AK478">
        <f>OR(AND(IF(metadata!K478="",FALSE,TRUE),OR(exact(metadata!K478,"missing: not collected"),exact(metadata!K478,"missing: not provided"),exact(metadata!K478,"missing: restricted access"))),AND(IF(metadata!K478="",FALSE,ISNUMBER(VALUE(metadata!K478))),metadata!K478&gt;=-90.00,metadata!K478&lt;=90.00))</f>
        <v>0</v>
      </c>
      <c r="AL478">
        <f>OR(AND(IF(metadata!L478="",FALSE,TRUE),OR(exact(metadata!L478,"missing: not collected"),exact(metadata!L478,"missing: not provided"),exact(metadata!L478,"missing: restricted access"))),AND(IF(metadata!L478="",FALSE,ISNUMBER(VALUE(metadata!L478))),metadata!L478&gt;=-180.00,metadata!L478&lt;=180.00))</f>
        <v>0</v>
      </c>
      <c r="AM478">
        <f>IF(metadata!M478="",FALSE,TRUE)</f>
        <v>0</v>
      </c>
      <c r="AN478">
        <f>OR(AND(IF(metadata!N478="",FALSE,TRUE),OR(exact(metadata!N478,"missing: not collected"),exact(metadata!N478,"missing: not provided"),exact(metadata!N478,"missing: restricted access"))),AND(IF(metadata!N478="",FALSE,TRUE),OR(exact(metadata!N478,"TRUE"),exact(metadata!N478,"FALSE"))))</f>
        <v>0</v>
      </c>
      <c r="AO478">
        <f>IF(metadata!O478="",FALSE,TRUE)</f>
        <v>0</v>
      </c>
      <c r="AP478">
        <f>OR(AND(IF(metadata!P478="",FALSE,TRUE),OR(exact(metadata!P478,"missing: not collected"),exact(metadata!P478,"missing: not provided"))),AND(IF(metadata!P478="",FALSE,IF(ISERROR(INT(metadata!P478)),FALSE,INT(metadata!P478)=metadata!P478)),metadata!P478&gt;0))</f>
        <v>0</v>
      </c>
      <c r="AQ478">
        <f>IF(metadata!Q478="",FALSE,TRUE)</f>
        <v>0</v>
      </c>
    </row>
    <row r="479" spans="1:43">
      <c r="A479" s="5">
        <f>IF(B479=" "," ",HYPERLINK(CONCATENATE("#metadata!",ADDRESS(INDEX($W$2:$W$1001,MATCH(ROWS($U$2:U479),$U$2:$U$1001,0),0),1)),INDEX($Z$2:$Z$1001,MATCH(ROWS($U$2:U479),$U$2:$U$1001,0),0)))</f>
        <v>0</v>
      </c>
      <c r="B479" s="4">
        <f>IF(OR(INDEX($V$2:$V$1001,MATCH(ROWS($U$2:U479),$U$2:$U$1001,0),1)&gt;=100000,INDEX($AB$1005:$AQ$1005,1,MATCH(COLUMNS($AB$1006:AB1006),$AB$1006:$AQ$1006,0))&gt;=100000), " ",IF(INDEX($AB$2:$AQ$1001,MATCH(ROWS($U$2:U479),$U$2:$U$1001,0),MATCH(COLUMNS($AB$1006:AB1006),$AB$1006:$AQ$1006,0)), HYPERLINK("#",""), HYPERLINK(CONCATENATE("#metadata!", ADDRESS(INDEX($W$2:$W$1001,MATCH(ROWS($U$2:U479),$U$2:$U$1001,0),0), INDEX($AB$1004:$AQ$1004,1,MATCH(COLUMNS($AB$1006:AB1006),$AB$1006:$AQ$1006,0)))),"Fix")))</f>
        <v>0</v>
      </c>
      <c r="C479" s="4">
        <f>IF(OR(INDEX($V$2:$V$1001,MATCH(ROWS($U$2:U479),$U$2:$U$1001,0),1)&gt;=100000,INDEX($AB$1005:$AQ$1005,1,MATCH(COLUMNS($AB$1006:AC1006),$AB$1006:$AQ$1006,0))&gt;=100000), " ",IF(INDEX($AB$2:$AQ$1001,MATCH(ROWS($U$2:U479),$U$2:$U$1001,0),MATCH(COLUMNS($AB$1006:AC1006),$AB$1006:$AQ$1006,0)), HYPERLINK("#",""), HYPERLINK(CONCATENATE("#metadata!", ADDRESS(INDEX($W$2:$W$1001,MATCH(ROWS($U$2:U479),$U$2:$U$1001,0),0), INDEX($AB$1004:$AQ$1004,1,MATCH(COLUMNS($AB$1006:AC1006),$AB$1006:$AQ$1006,0)))),"Fix")))</f>
        <v>0</v>
      </c>
      <c r="D479" s="4">
        <f>IF(OR(INDEX($V$2:$V$1001,MATCH(ROWS($U$2:U479),$U$2:$U$1001,0),1)&gt;=100000,INDEX($AB$1005:$AQ$1005,1,MATCH(COLUMNS($AB$1006:AD1006),$AB$1006:$AQ$1006,0))&gt;=100000), " ",IF(INDEX($AB$2:$AQ$1001,MATCH(ROWS($U$2:U479),$U$2:$U$1001,0),MATCH(COLUMNS($AB$1006:AD1006),$AB$1006:$AQ$1006,0)), HYPERLINK("#",""), HYPERLINK(CONCATENATE("#metadata!", ADDRESS(INDEX($W$2:$W$1001,MATCH(ROWS($U$2:U479),$U$2:$U$1001,0),0), INDEX($AB$1004:$AQ$1004,1,MATCH(COLUMNS($AB$1006:AD1006),$AB$1006:$AQ$1006,0)))),"Fix")))</f>
        <v>0</v>
      </c>
      <c r="E479" s="4">
        <f>IF(OR(INDEX($V$2:$V$1001,MATCH(ROWS($U$2:U479),$U$2:$U$1001,0),1)&gt;=100000,INDEX($AB$1005:$AQ$1005,1,MATCH(COLUMNS($AB$1006:AE1006),$AB$1006:$AQ$1006,0))&gt;=100000), " ",IF(INDEX($AB$2:$AQ$1001,MATCH(ROWS($U$2:U479),$U$2:$U$1001,0),MATCH(COLUMNS($AB$1006:AE1006),$AB$1006:$AQ$1006,0)), HYPERLINK("#",""), HYPERLINK(CONCATENATE("#metadata!", ADDRESS(INDEX($W$2:$W$1001,MATCH(ROWS($U$2:U479),$U$2:$U$1001,0),0), INDEX($AB$1004:$AQ$1004,1,MATCH(COLUMNS($AB$1006:AE1006),$AB$1006:$AQ$1006,0)))),"Fix")))</f>
        <v>0</v>
      </c>
      <c r="F479" s="4">
        <f>IF(OR(INDEX($V$2:$V$1001,MATCH(ROWS($U$2:U479),$U$2:$U$1001,0),1)&gt;=100000,INDEX($AB$1005:$AQ$1005,1,MATCH(COLUMNS($AB$1006:AF1006),$AB$1006:$AQ$1006,0))&gt;=100000), " ",IF(INDEX($AB$2:$AQ$1001,MATCH(ROWS($U$2:U479),$U$2:$U$1001,0),MATCH(COLUMNS($AB$1006:AF1006),$AB$1006:$AQ$1006,0)), HYPERLINK("#",""), HYPERLINK(CONCATENATE("#metadata!", ADDRESS(INDEX($W$2:$W$1001,MATCH(ROWS($U$2:U479),$U$2:$U$1001,0),0), INDEX($AB$1004:$AQ$1004,1,MATCH(COLUMNS($AB$1006:AF1006),$AB$1006:$AQ$1006,0)))),"Fix")))</f>
        <v>0</v>
      </c>
      <c r="G479" s="4">
        <f>IF(OR(INDEX($V$2:$V$1001,MATCH(ROWS($U$2:U479),$U$2:$U$1001,0),1)&gt;=100000,INDEX($AB$1005:$AQ$1005,1,MATCH(COLUMNS($AB$1006:AG1006),$AB$1006:$AQ$1006,0))&gt;=100000), " ",IF(INDEX($AB$2:$AQ$1001,MATCH(ROWS($U$2:U479),$U$2:$U$1001,0),MATCH(COLUMNS($AB$1006:AG1006),$AB$1006:$AQ$1006,0)), HYPERLINK("#",""), HYPERLINK(CONCATENATE("#metadata!", ADDRESS(INDEX($W$2:$W$1001,MATCH(ROWS($U$2:U479),$U$2:$U$1001,0),0), INDEX($AB$1004:$AQ$1004,1,MATCH(COLUMNS($AB$1006:AG1006),$AB$1006:$AQ$1006,0)))),"Fix")))</f>
        <v>0</v>
      </c>
      <c r="H479" s="4">
        <f>IF(OR(INDEX($V$2:$V$1001,MATCH(ROWS($U$2:U479),$U$2:$U$1001,0),1)&gt;=100000,INDEX($AB$1005:$AQ$1005,1,MATCH(COLUMNS($AB$1006:AH1006),$AB$1006:$AQ$1006,0))&gt;=100000), " ",IF(INDEX($AB$2:$AQ$1001,MATCH(ROWS($U$2:U479),$U$2:$U$1001,0),MATCH(COLUMNS($AB$1006:AH1006),$AB$1006:$AQ$1006,0)), HYPERLINK("#",""), HYPERLINK(CONCATENATE("#metadata!", ADDRESS(INDEX($W$2:$W$1001,MATCH(ROWS($U$2:U479),$U$2:$U$1001,0),0), INDEX($AB$1004:$AQ$1004,1,MATCH(COLUMNS($AB$1006:AH1006),$AB$1006:$AQ$1006,0)))),"Fix")))</f>
        <v>0</v>
      </c>
      <c r="I479" s="4">
        <f>IF(OR(INDEX($V$2:$V$1001,MATCH(ROWS($U$2:U479),$U$2:$U$1001,0),1)&gt;=100000,INDEX($AB$1005:$AQ$1005,1,MATCH(COLUMNS($AB$1006:AI1006),$AB$1006:$AQ$1006,0))&gt;=100000), " ",IF(INDEX($AB$2:$AQ$1001,MATCH(ROWS($U$2:U479),$U$2:$U$1001,0),MATCH(COLUMNS($AB$1006:AI1006),$AB$1006:$AQ$1006,0)), HYPERLINK("#",""), HYPERLINK(CONCATENATE("#metadata!", ADDRESS(INDEX($W$2:$W$1001,MATCH(ROWS($U$2:U479),$U$2:$U$1001,0),0), INDEX($AB$1004:$AQ$1004,1,MATCH(COLUMNS($AB$1006:AI1006),$AB$1006:$AQ$1006,0)))),"Fix")))</f>
        <v>0</v>
      </c>
      <c r="J479" s="4">
        <f>IF(OR(INDEX($V$2:$V$1001,MATCH(ROWS($U$2:U479),$U$2:$U$1001,0),1)&gt;=100000,INDEX($AB$1005:$AQ$1005,1,MATCH(COLUMNS($AB$1006:AJ1006),$AB$1006:$AQ$1006,0))&gt;=100000), " ",IF(INDEX($AB$2:$AQ$1001,MATCH(ROWS($U$2:U479),$U$2:$U$1001,0),MATCH(COLUMNS($AB$1006:AJ1006),$AB$1006:$AQ$1006,0)), HYPERLINK("#",""), HYPERLINK(CONCATENATE("#metadata!", ADDRESS(INDEX($W$2:$W$1001,MATCH(ROWS($U$2:U479),$U$2:$U$1001,0),0), INDEX($AB$1004:$AQ$1004,1,MATCH(COLUMNS($AB$1006:AJ1006),$AB$1006:$AQ$1006,0)))),"Fix")))</f>
        <v>0</v>
      </c>
      <c r="K479" s="4">
        <f>IF(OR(INDEX($V$2:$V$1001,MATCH(ROWS($U$2:U479),$U$2:$U$1001,0),1)&gt;=100000,INDEX($AB$1005:$AQ$1005,1,MATCH(COLUMNS($AB$1006:AK1006),$AB$1006:$AQ$1006,0))&gt;=100000), " ",IF(INDEX($AB$2:$AQ$1001,MATCH(ROWS($U$2:U479),$U$2:$U$1001,0),MATCH(COLUMNS($AB$1006:AK1006),$AB$1006:$AQ$1006,0)), HYPERLINK("#",""), HYPERLINK(CONCATENATE("#metadata!", ADDRESS(INDEX($W$2:$W$1001,MATCH(ROWS($U$2:U479),$U$2:$U$1001,0),0), INDEX($AB$1004:$AQ$1004,1,MATCH(COLUMNS($AB$1006:AK1006),$AB$1006:$AQ$1006,0)))),"Fix")))</f>
        <v>0</v>
      </c>
      <c r="L479" s="4">
        <f>IF(OR(INDEX($V$2:$V$1001,MATCH(ROWS($U$2:U479),$U$2:$U$1001,0),1)&gt;=100000,INDEX($AB$1005:$AQ$1005,1,MATCH(COLUMNS($AB$1006:AL1006),$AB$1006:$AQ$1006,0))&gt;=100000), " ",IF(INDEX($AB$2:$AQ$1001,MATCH(ROWS($U$2:U479),$U$2:$U$1001,0),MATCH(COLUMNS($AB$1006:AL1006),$AB$1006:$AQ$1006,0)), HYPERLINK("#",""), HYPERLINK(CONCATENATE("#metadata!", ADDRESS(INDEX($W$2:$W$1001,MATCH(ROWS($U$2:U479),$U$2:$U$1001,0),0), INDEX($AB$1004:$AQ$1004,1,MATCH(COLUMNS($AB$1006:AL1006),$AB$1006:$AQ$1006,0)))),"Fix")))</f>
        <v>0</v>
      </c>
      <c r="M479" s="4">
        <f>IF(OR(INDEX($V$2:$V$1001,MATCH(ROWS($U$2:U479),$U$2:$U$1001,0),1)&gt;=100000,INDEX($AB$1005:$AQ$1005,1,MATCH(COLUMNS($AB$1006:AM1006),$AB$1006:$AQ$1006,0))&gt;=100000), " ",IF(INDEX($AB$2:$AQ$1001,MATCH(ROWS($U$2:U479),$U$2:$U$1001,0),MATCH(COLUMNS($AB$1006:AM1006),$AB$1006:$AQ$1006,0)), HYPERLINK("#",""), HYPERLINK(CONCATENATE("#metadata!", ADDRESS(INDEX($W$2:$W$1001,MATCH(ROWS($U$2:U479),$U$2:$U$1001,0),0), INDEX($AB$1004:$AQ$1004,1,MATCH(COLUMNS($AB$1006:AM1006),$AB$1006:$AQ$1006,0)))),"Fix")))</f>
        <v>0</v>
      </c>
      <c r="N479" s="4">
        <f>IF(OR(INDEX($V$2:$V$1001,MATCH(ROWS($U$2:U479),$U$2:$U$1001,0),1)&gt;=100000,INDEX($AB$1005:$AQ$1005,1,MATCH(COLUMNS($AB$1006:AN1006),$AB$1006:$AQ$1006,0))&gt;=100000), " ",IF(INDEX($AB$2:$AQ$1001,MATCH(ROWS($U$2:U479),$U$2:$U$1001,0),MATCH(COLUMNS($AB$1006:AN1006),$AB$1006:$AQ$1006,0)), HYPERLINK("#",""), HYPERLINK(CONCATENATE("#metadata!", ADDRESS(INDEX($W$2:$W$1001,MATCH(ROWS($U$2:U479),$U$2:$U$1001,0),0), INDEX($AB$1004:$AQ$1004,1,MATCH(COLUMNS($AB$1006:AN1006),$AB$1006:$AQ$1006,0)))),"Fix")))</f>
        <v>0</v>
      </c>
      <c r="O479" s="4">
        <f>IF(OR(INDEX($V$2:$V$1001,MATCH(ROWS($U$2:U479),$U$2:$U$1001,0),1)&gt;=100000,INDEX($AB$1005:$AQ$1005,1,MATCH(COLUMNS($AB$1006:AO1006),$AB$1006:$AQ$1006,0))&gt;=100000), " ",IF(INDEX($AB$2:$AQ$1001,MATCH(ROWS($U$2:U479),$U$2:$U$1001,0),MATCH(COLUMNS($AB$1006:AO1006),$AB$1006:$AQ$1006,0)), HYPERLINK("#",""), HYPERLINK(CONCATENATE("#metadata!", ADDRESS(INDEX($W$2:$W$1001,MATCH(ROWS($U$2:U479),$U$2:$U$1001,0),0), INDEX($AB$1004:$AQ$1004,1,MATCH(COLUMNS($AB$1006:AO1006),$AB$1006:$AQ$1006,0)))),"Fix")))</f>
        <v>0</v>
      </c>
      <c r="P479" s="4">
        <f>IF(OR(INDEX($V$2:$V$1001,MATCH(ROWS($U$2:U479),$U$2:$U$1001,0),1)&gt;=100000,INDEX($AB$1005:$AQ$1005,1,MATCH(COLUMNS($AB$1006:AP1006),$AB$1006:$AQ$1006,0))&gt;=100000), " ",IF(INDEX($AB$2:$AQ$1001,MATCH(ROWS($U$2:U479),$U$2:$U$1001,0),MATCH(COLUMNS($AB$1006:AP1006),$AB$1006:$AQ$1006,0)), HYPERLINK("#",""), HYPERLINK(CONCATENATE("#metadata!", ADDRESS(INDEX($W$2:$W$1001,MATCH(ROWS($U$2:U479),$U$2:$U$1001,0),0), INDEX($AB$1004:$AQ$1004,1,MATCH(COLUMNS($AB$1006:AP1006),$AB$1006:$AQ$1006,0)))),"Fix")))</f>
        <v>0</v>
      </c>
      <c r="Q479" s="4">
        <f>IF(OR(INDEX($V$2:$V$1001,MATCH(ROWS($U$2:U479),$U$2:$U$1001,0),1)&gt;=100000,INDEX($AB$1005:$AQ$1005,1,MATCH(COLUMNS($AB$1006:AQ1006),$AB$1006:$AQ$1006,0))&gt;=100000), " ",IF(INDEX($AB$2:$AQ$1001,MATCH(ROWS($U$2:U479),$U$2:$U$1001,0),MATCH(COLUMNS($AB$1006:AQ1006),$AB$1006:$AQ$1006,0)), HYPERLINK("#",""), HYPERLINK(CONCATENATE("#metadata!", ADDRESS(INDEX($W$2:$W$1001,MATCH(ROWS($U$2:U479),$U$2:$U$1001,0),0), INDEX($AB$1004:$AQ$1004,1,MATCH(COLUMNS($AB$1006:AQ1006),$AB$1006:$AQ$1006,0)))),"Fix")))</f>
        <v>0</v>
      </c>
      <c r="U479">
        <v>0</v>
      </c>
      <c r="V479">
        <v>0</v>
      </c>
      <c r="W479">
        <v>0</v>
      </c>
      <c r="X479">
        <f>IF(Y479,TRUE,AND(AB479:AQ479))</f>
        <v>0</v>
      </c>
      <c r="Y479">
        <f>COUNTBLANK(metadata!B479:Q479)=COLUMNS(metadata!B479:Q479)</f>
        <v>0</v>
      </c>
      <c r="Z479">
        <v>0</v>
      </c>
      <c r="AB479">
        <f>AND(IF(metadata!B479="",FALSE,TRUE),COUNTIF(metadata!B:B, metadata!B479) = 1,NOT(ISERROR(SUMPRODUCT(SEARCH(MID(metadata!B479,ROW(INDIRECT("1:"&amp;LEN(metadata!B479))), 1),"0123456789abcdefghijklmnopqrstuvwxyzABCDEFGHIJKLMNOPQRSTUVWXYZ.")))))</f>
        <v>0</v>
      </c>
      <c r="AC479">
        <f>OR(AND(IF(metadata!C479="",FALSE,TRUE),OR(exact(metadata!C479,"missing: not collected"),exact(metadata!C479,"missing: not provided"),exact(metadata!C479,"missing: restricted access"))),AND(IF(metadata!C479="",FALSE,TRUE),AND(AND(IFERROR(INT(LEFT(metadata!C479,4))&gt;1900,FALSE),IFERROR(INT(LEFT(metadata!C479,4))&lt;=YEAR(NOW()),FALSE)), OR(MID(metadata!C479,5,1)="", AND(AND(MID(metadata!C479,5,1)="-",IFERROR(INT(MID(metadata!C479,6,1))&gt;=0,FALSE),IFERROR(INT(MID(metadata!C479,6,1))&lt;=1,FALSE),NOT(MID(metadata!C479,7,1)=""),IFERROR(INT(MID(metadata!C479,6,2))&gt;=1,FALSE),IFERROR(INT(MID(metadata!C479,6,2))&lt;=12,FALSE)), OR(MID(metadata!C479,8,1)="", AND(AND(MID(metadata!C479,8,1)="-",IFERROR(INT(MID(metadata!C479,9,1))&gt;=0,FALSE),IFERROR(INT(MID(metadata!C479,9,1))&lt;=3,FALSE),NOT(MID(metadata!C479,10,1)=""),IFERROR(INT(MID(metadata!C479,9,2))&gt;=1,FALSE),IFERROR(INT(MID(metadata!C479,9,2))&lt;=31,FALSE)), OR(MID(metadata!C479,11,1)="", AND(AND(MID(metadata!C479,11,1)=" ",IFERROR(INT(MID(metadata!C479,12,1))&gt;=0,FALSE),IFERROR(INT(MID(metadata!C479,12,1))&lt;=2,FALSE),NOT(MID(metadata!C479,13,1)=""),IFERROR(INT(MID(metadata!C479,12,2))&gt;=0,FALSE),IFERROR(INT(MID(metadata!C479,12,2))&lt;=23,FALSE)), OR(MID(metadata!C479,14,1)="", AND(AND(MID(metadata!C479,14,1)=":",IFERROR(INT(MID(metadata!C479,15,1))&gt;=0,FALSE),IFERROR(INT(MID(metadata!C479,15,1))&lt;=5,FALSE),NOT(MID(metadata!C479,16,1)=""),IFERROR(INT(MID(metadata!C479,15,2))&gt;=0,FALSE),IFERROR(INT(MID(metadata!C479,15,2))&lt;=59,FALSE)), OR(MID(metadata!C479,17,1)="", AND(AND(MID(metadata!C479,17,1)=":",IFERROR(INT(MID(metadata!C479,18,1))&gt;=0,FALSE),IFERROR(INT(MID(metadata!C479,18,1))&lt;=5,FALSE),NOT(MID(metadata!C479,19,1)=""),IFERROR(INT(MID(metadata!C479,18,2))&gt;=0,FALSE),IFERROR(INT(MID(metadata!C479,18,2))&lt;=59,FALSE)), LEN(metadata!C479)&lt;=19)))))))))))))</f>
        <v>0</v>
      </c>
      <c r="AD479">
        <f>IF(metadata!D479="",FALSE,TRUE)</f>
        <v>0</v>
      </c>
      <c r="AE479">
        <f>OR(AND(IF(metadata!E479="",FALSE,TRUE),OR(exact(metadata!E479,"missing: not collected"),exact(metadata!E479,"missing: not provided"))),AND(IF(metadata!E479="",FALSE,TRUE),OR(exact(metadata!E479,"TRUE"),exact(metadata!E479,"FALSE"))))</f>
        <v>0</v>
      </c>
      <c r="AF479">
        <f>IF(metadata!F479="",FALSE,TRUE)</f>
        <v>0</v>
      </c>
      <c r="AG479">
        <f>IF(metadata!G479="",FALSE,TRUE)</f>
        <v>0</v>
      </c>
      <c r="AH479">
        <f>IF(metadata!H479="",FALSE,TRUE)</f>
        <v>0</v>
      </c>
      <c r="AI479">
        <f>OR(AND(IF(metadata!I479="",FALSE,TRUE),OR(exact(metadata!I479,"missing: not collected"),exact(metadata!I479,"missing: not provided"),exact(metadata!I479,"missing: restricted access"))),AND(IF(metadata!I479="",FALSE,TRUE),OR(exact(metadata!I479,"air"),exact(metadata!I479,"built environment"),exact(metadata!I479,"host-associated"),exact(metadata!I479,"human-associated"),exact(metadata!I479,"human-skin"),exact(metadata!I479,"human-oral"),exact(metadata!I479,"human-gut"),exact(metadata!I479,"human-vaginal"),exact(metadata!I479,"microbial mat/biofilm"),exact(metadata!I479,"misc environment"),exact(metadata!I479,"plant-associated"),exact(metadata!I479,"sediment"),exact(metadata!I479,"soil"),exact(metadata!I479,"wastewater/sludge"),exact(metadata!I479,"water"))))</f>
        <v>0</v>
      </c>
      <c r="AJ479">
        <f>IF(metadata!J479="",FALSE,TRUE)</f>
        <v>0</v>
      </c>
      <c r="AK479">
        <f>OR(AND(IF(metadata!K479="",FALSE,TRUE),OR(exact(metadata!K479,"missing: not collected"),exact(metadata!K479,"missing: not provided"),exact(metadata!K479,"missing: restricted access"))),AND(IF(metadata!K479="",FALSE,ISNUMBER(VALUE(metadata!K479))),metadata!K479&gt;=-90.00,metadata!K479&lt;=90.00))</f>
        <v>0</v>
      </c>
      <c r="AL479">
        <f>OR(AND(IF(metadata!L479="",FALSE,TRUE),OR(exact(metadata!L479,"missing: not collected"),exact(metadata!L479,"missing: not provided"),exact(metadata!L479,"missing: restricted access"))),AND(IF(metadata!L479="",FALSE,ISNUMBER(VALUE(metadata!L479))),metadata!L479&gt;=-180.00,metadata!L479&lt;=180.00))</f>
        <v>0</v>
      </c>
      <c r="AM479">
        <f>IF(metadata!M479="",FALSE,TRUE)</f>
        <v>0</v>
      </c>
      <c r="AN479">
        <f>OR(AND(IF(metadata!N479="",FALSE,TRUE),OR(exact(metadata!N479,"missing: not collected"),exact(metadata!N479,"missing: not provided"),exact(metadata!N479,"missing: restricted access"))),AND(IF(metadata!N479="",FALSE,TRUE),OR(exact(metadata!N479,"TRUE"),exact(metadata!N479,"FALSE"))))</f>
        <v>0</v>
      </c>
      <c r="AO479">
        <f>IF(metadata!O479="",FALSE,TRUE)</f>
        <v>0</v>
      </c>
      <c r="AP479">
        <f>OR(AND(IF(metadata!P479="",FALSE,TRUE),OR(exact(metadata!P479,"missing: not collected"),exact(metadata!P479,"missing: not provided"))),AND(IF(metadata!P479="",FALSE,IF(ISERROR(INT(metadata!P479)),FALSE,INT(metadata!P479)=metadata!P479)),metadata!P479&gt;0))</f>
        <v>0</v>
      </c>
      <c r="AQ479">
        <f>IF(metadata!Q479="",FALSE,TRUE)</f>
        <v>0</v>
      </c>
    </row>
    <row r="480" spans="1:43">
      <c r="A480" s="5">
        <f>IF(B480=" "," ",HYPERLINK(CONCATENATE("#metadata!",ADDRESS(INDEX($W$2:$W$1001,MATCH(ROWS($U$2:U480),$U$2:$U$1001,0),0),1)),INDEX($Z$2:$Z$1001,MATCH(ROWS($U$2:U480),$U$2:$U$1001,0),0)))</f>
        <v>0</v>
      </c>
      <c r="B480" s="4">
        <f>IF(OR(INDEX($V$2:$V$1001,MATCH(ROWS($U$2:U480),$U$2:$U$1001,0),1)&gt;=100000,INDEX($AB$1005:$AQ$1005,1,MATCH(COLUMNS($AB$1006:AB1006),$AB$1006:$AQ$1006,0))&gt;=100000), " ",IF(INDEX($AB$2:$AQ$1001,MATCH(ROWS($U$2:U480),$U$2:$U$1001,0),MATCH(COLUMNS($AB$1006:AB1006),$AB$1006:$AQ$1006,0)), HYPERLINK("#",""), HYPERLINK(CONCATENATE("#metadata!", ADDRESS(INDEX($W$2:$W$1001,MATCH(ROWS($U$2:U480),$U$2:$U$1001,0),0), INDEX($AB$1004:$AQ$1004,1,MATCH(COLUMNS($AB$1006:AB1006),$AB$1006:$AQ$1006,0)))),"Fix")))</f>
        <v>0</v>
      </c>
      <c r="C480" s="4">
        <f>IF(OR(INDEX($V$2:$V$1001,MATCH(ROWS($U$2:U480),$U$2:$U$1001,0),1)&gt;=100000,INDEX($AB$1005:$AQ$1005,1,MATCH(COLUMNS($AB$1006:AC1006),$AB$1006:$AQ$1006,0))&gt;=100000), " ",IF(INDEX($AB$2:$AQ$1001,MATCH(ROWS($U$2:U480),$U$2:$U$1001,0),MATCH(COLUMNS($AB$1006:AC1006),$AB$1006:$AQ$1006,0)), HYPERLINK("#",""), HYPERLINK(CONCATENATE("#metadata!", ADDRESS(INDEX($W$2:$W$1001,MATCH(ROWS($U$2:U480),$U$2:$U$1001,0),0), INDEX($AB$1004:$AQ$1004,1,MATCH(COLUMNS($AB$1006:AC1006),$AB$1006:$AQ$1006,0)))),"Fix")))</f>
        <v>0</v>
      </c>
      <c r="D480" s="4">
        <f>IF(OR(INDEX($V$2:$V$1001,MATCH(ROWS($U$2:U480),$U$2:$U$1001,0),1)&gt;=100000,INDEX($AB$1005:$AQ$1005,1,MATCH(COLUMNS($AB$1006:AD1006),$AB$1006:$AQ$1006,0))&gt;=100000), " ",IF(INDEX($AB$2:$AQ$1001,MATCH(ROWS($U$2:U480),$U$2:$U$1001,0),MATCH(COLUMNS($AB$1006:AD1006),$AB$1006:$AQ$1006,0)), HYPERLINK("#",""), HYPERLINK(CONCATENATE("#metadata!", ADDRESS(INDEX($W$2:$W$1001,MATCH(ROWS($U$2:U480),$U$2:$U$1001,0),0), INDEX($AB$1004:$AQ$1004,1,MATCH(COLUMNS($AB$1006:AD1006),$AB$1006:$AQ$1006,0)))),"Fix")))</f>
        <v>0</v>
      </c>
      <c r="E480" s="4">
        <f>IF(OR(INDEX($V$2:$V$1001,MATCH(ROWS($U$2:U480),$U$2:$U$1001,0),1)&gt;=100000,INDEX($AB$1005:$AQ$1005,1,MATCH(COLUMNS($AB$1006:AE1006),$AB$1006:$AQ$1006,0))&gt;=100000), " ",IF(INDEX($AB$2:$AQ$1001,MATCH(ROWS($U$2:U480),$U$2:$U$1001,0),MATCH(COLUMNS($AB$1006:AE1006),$AB$1006:$AQ$1006,0)), HYPERLINK("#",""), HYPERLINK(CONCATENATE("#metadata!", ADDRESS(INDEX($W$2:$W$1001,MATCH(ROWS($U$2:U480),$U$2:$U$1001,0),0), INDEX($AB$1004:$AQ$1004,1,MATCH(COLUMNS($AB$1006:AE1006),$AB$1006:$AQ$1006,0)))),"Fix")))</f>
        <v>0</v>
      </c>
      <c r="F480" s="4">
        <f>IF(OR(INDEX($V$2:$V$1001,MATCH(ROWS($U$2:U480),$U$2:$U$1001,0),1)&gt;=100000,INDEX($AB$1005:$AQ$1005,1,MATCH(COLUMNS($AB$1006:AF1006),$AB$1006:$AQ$1006,0))&gt;=100000), " ",IF(INDEX($AB$2:$AQ$1001,MATCH(ROWS($U$2:U480),$U$2:$U$1001,0),MATCH(COLUMNS($AB$1006:AF1006),$AB$1006:$AQ$1006,0)), HYPERLINK("#",""), HYPERLINK(CONCATENATE("#metadata!", ADDRESS(INDEX($W$2:$W$1001,MATCH(ROWS($U$2:U480),$U$2:$U$1001,0),0), INDEX($AB$1004:$AQ$1004,1,MATCH(COLUMNS($AB$1006:AF1006),$AB$1006:$AQ$1006,0)))),"Fix")))</f>
        <v>0</v>
      </c>
      <c r="G480" s="4">
        <f>IF(OR(INDEX($V$2:$V$1001,MATCH(ROWS($U$2:U480),$U$2:$U$1001,0),1)&gt;=100000,INDEX($AB$1005:$AQ$1005,1,MATCH(COLUMNS($AB$1006:AG1006),$AB$1006:$AQ$1006,0))&gt;=100000), " ",IF(INDEX($AB$2:$AQ$1001,MATCH(ROWS($U$2:U480),$U$2:$U$1001,0),MATCH(COLUMNS($AB$1006:AG1006),$AB$1006:$AQ$1006,0)), HYPERLINK("#",""), HYPERLINK(CONCATENATE("#metadata!", ADDRESS(INDEX($W$2:$W$1001,MATCH(ROWS($U$2:U480),$U$2:$U$1001,0),0), INDEX($AB$1004:$AQ$1004,1,MATCH(COLUMNS($AB$1006:AG1006),$AB$1006:$AQ$1006,0)))),"Fix")))</f>
        <v>0</v>
      </c>
      <c r="H480" s="4">
        <f>IF(OR(INDEX($V$2:$V$1001,MATCH(ROWS($U$2:U480),$U$2:$U$1001,0),1)&gt;=100000,INDEX($AB$1005:$AQ$1005,1,MATCH(COLUMNS($AB$1006:AH1006),$AB$1006:$AQ$1006,0))&gt;=100000), " ",IF(INDEX($AB$2:$AQ$1001,MATCH(ROWS($U$2:U480),$U$2:$U$1001,0),MATCH(COLUMNS($AB$1006:AH1006),$AB$1006:$AQ$1006,0)), HYPERLINK("#",""), HYPERLINK(CONCATENATE("#metadata!", ADDRESS(INDEX($W$2:$W$1001,MATCH(ROWS($U$2:U480),$U$2:$U$1001,0),0), INDEX($AB$1004:$AQ$1004,1,MATCH(COLUMNS($AB$1006:AH1006),$AB$1006:$AQ$1006,0)))),"Fix")))</f>
        <v>0</v>
      </c>
      <c r="I480" s="4">
        <f>IF(OR(INDEX($V$2:$V$1001,MATCH(ROWS($U$2:U480),$U$2:$U$1001,0),1)&gt;=100000,INDEX($AB$1005:$AQ$1005,1,MATCH(COLUMNS($AB$1006:AI1006),$AB$1006:$AQ$1006,0))&gt;=100000), " ",IF(INDEX($AB$2:$AQ$1001,MATCH(ROWS($U$2:U480),$U$2:$U$1001,0),MATCH(COLUMNS($AB$1006:AI1006),$AB$1006:$AQ$1006,0)), HYPERLINK("#",""), HYPERLINK(CONCATENATE("#metadata!", ADDRESS(INDEX($W$2:$W$1001,MATCH(ROWS($U$2:U480),$U$2:$U$1001,0),0), INDEX($AB$1004:$AQ$1004,1,MATCH(COLUMNS($AB$1006:AI1006),$AB$1006:$AQ$1006,0)))),"Fix")))</f>
        <v>0</v>
      </c>
      <c r="J480" s="4">
        <f>IF(OR(INDEX($V$2:$V$1001,MATCH(ROWS($U$2:U480),$U$2:$U$1001,0),1)&gt;=100000,INDEX($AB$1005:$AQ$1005,1,MATCH(COLUMNS($AB$1006:AJ1006),$AB$1006:$AQ$1006,0))&gt;=100000), " ",IF(INDEX($AB$2:$AQ$1001,MATCH(ROWS($U$2:U480),$U$2:$U$1001,0),MATCH(COLUMNS($AB$1006:AJ1006),$AB$1006:$AQ$1006,0)), HYPERLINK("#",""), HYPERLINK(CONCATENATE("#metadata!", ADDRESS(INDEX($W$2:$W$1001,MATCH(ROWS($U$2:U480),$U$2:$U$1001,0),0), INDEX($AB$1004:$AQ$1004,1,MATCH(COLUMNS($AB$1006:AJ1006),$AB$1006:$AQ$1006,0)))),"Fix")))</f>
        <v>0</v>
      </c>
      <c r="K480" s="4">
        <f>IF(OR(INDEX($V$2:$V$1001,MATCH(ROWS($U$2:U480),$U$2:$U$1001,0),1)&gt;=100000,INDEX($AB$1005:$AQ$1005,1,MATCH(COLUMNS($AB$1006:AK1006),$AB$1006:$AQ$1006,0))&gt;=100000), " ",IF(INDEX($AB$2:$AQ$1001,MATCH(ROWS($U$2:U480),$U$2:$U$1001,0),MATCH(COLUMNS($AB$1006:AK1006),$AB$1006:$AQ$1006,0)), HYPERLINK("#",""), HYPERLINK(CONCATENATE("#metadata!", ADDRESS(INDEX($W$2:$W$1001,MATCH(ROWS($U$2:U480),$U$2:$U$1001,0),0), INDEX($AB$1004:$AQ$1004,1,MATCH(COLUMNS($AB$1006:AK1006),$AB$1006:$AQ$1006,0)))),"Fix")))</f>
        <v>0</v>
      </c>
      <c r="L480" s="4">
        <f>IF(OR(INDEX($V$2:$V$1001,MATCH(ROWS($U$2:U480),$U$2:$U$1001,0),1)&gt;=100000,INDEX($AB$1005:$AQ$1005,1,MATCH(COLUMNS($AB$1006:AL1006),$AB$1006:$AQ$1006,0))&gt;=100000), " ",IF(INDEX($AB$2:$AQ$1001,MATCH(ROWS($U$2:U480),$U$2:$U$1001,0),MATCH(COLUMNS($AB$1006:AL1006),$AB$1006:$AQ$1006,0)), HYPERLINK("#",""), HYPERLINK(CONCATENATE("#metadata!", ADDRESS(INDEX($W$2:$W$1001,MATCH(ROWS($U$2:U480),$U$2:$U$1001,0),0), INDEX($AB$1004:$AQ$1004,1,MATCH(COLUMNS($AB$1006:AL1006),$AB$1006:$AQ$1006,0)))),"Fix")))</f>
        <v>0</v>
      </c>
      <c r="M480" s="4">
        <f>IF(OR(INDEX($V$2:$V$1001,MATCH(ROWS($U$2:U480),$U$2:$U$1001,0),1)&gt;=100000,INDEX($AB$1005:$AQ$1005,1,MATCH(COLUMNS($AB$1006:AM1006),$AB$1006:$AQ$1006,0))&gt;=100000), " ",IF(INDEX($AB$2:$AQ$1001,MATCH(ROWS($U$2:U480),$U$2:$U$1001,0),MATCH(COLUMNS($AB$1006:AM1006),$AB$1006:$AQ$1006,0)), HYPERLINK("#",""), HYPERLINK(CONCATENATE("#metadata!", ADDRESS(INDEX($W$2:$W$1001,MATCH(ROWS($U$2:U480),$U$2:$U$1001,0),0), INDEX($AB$1004:$AQ$1004,1,MATCH(COLUMNS($AB$1006:AM1006),$AB$1006:$AQ$1006,0)))),"Fix")))</f>
        <v>0</v>
      </c>
      <c r="N480" s="4">
        <f>IF(OR(INDEX($V$2:$V$1001,MATCH(ROWS($U$2:U480),$U$2:$U$1001,0),1)&gt;=100000,INDEX($AB$1005:$AQ$1005,1,MATCH(COLUMNS($AB$1006:AN1006),$AB$1006:$AQ$1006,0))&gt;=100000), " ",IF(INDEX($AB$2:$AQ$1001,MATCH(ROWS($U$2:U480),$U$2:$U$1001,0),MATCH(COLUMNS($AB$1006:AN1006),$AB$1006:$AQ$1006,0)), HYPERLINK("#",""), HYPERLINK(CONCATENATE("#metadata!", ADDRESS(INDEX($W$2:$W$1001,MATCH(ROWS($U$2:U480),$U$2:$U$1001,0),0), INDEX($AB$1004:$AQ$1004,1,MATCH(COLUMNS($AB$1006:AN1006),$AB$1006:$AQ$1006,0)))),"Fix")))</f>
        <v>0</v>
      </c>
      <c r="O480" s="4">
        <f>IF(OR(INDEX($V$2:$V$1001,MATCH(ROWS($U$2:U480),$U$2:$U$1001,0),1)&gt;=100000,INDEX($AB$1005:$AQ$1005,1,MATCH(COLUMNS($AB$1006:AO1006),$AB$1006:$AQ$1006,0))&gt;=100000), " ",IF(INDEX($AB$2:$AQ$1001,MATCH(ROWS($U$2:U480),$U$2:$U$1001,0),MATCH(COLUMNS($AB$1006:AO1006),$AB$1006:$AQ$1006,0)), HYPERLINK("#",""), HYPERLINK(CONCATENATE("#metadata!", ADDRESS(INDEX($W$2:$W$1001,MATCH(ROWS($U$2:U480),$U$2:$U$1001,0),0), INDEX($AB$1004:$AQ$1004,1,MATCH(COLUMNS($AB$1006:AO1006),$AB$1006:$AQ$1006,0)))),"Fix")))</f>
        <v>0</v>
      </c>
      <c r="P480" s="4">
        <f>IF(OR(INDEX($V$2:$V$1001,MATCH(ROWS($U$2:U480),$U$2:$U$1001,0),1)&gt;=100000,INDEX($AB$1005:$AQ$1005,1,MATCH(COLUMNS($AB$1006:AP1006),$AB$1006:$AQ$1006,0))&gt;=100000), " ",IF(INDEX($AB$2:$AQ$1001,MATCH(ROWS($U$2:U480),$U$2:$U$1001,0),MATCH(COLUMNS($AB$1006:AP1006),$AB$1006:$AQ$1006,0)), HYPERLINK("#",""), HYPERLINK(CONCATENATE("#metadata!", ADDRESS(INDEX($W$2:$W$1001,MATCH(ROWS($U$2:U480),$U$2:$U$1001,0),0), INDEX($AB$1004:$AQ$1004,1,MATCH(COLUMNS($AB$1006:AP1006),$AB$1006:$AQ$1006,0)))),"Fix")))</f>
        <v>0</v>
      </c>
      <c r="Q480" s="4">
        <f>IF(OR(INDEX($V$2:$V$1001,MATCH(ROWS($U$2:U480),$U$2:$U$1001,0),1)&gt;=100000,INDEX($AB$1005:$AQ$1005,1,MATCH(COLUMNS($AB$1006:AQ1006),$AB$1006:$AQ$1006,0))&gt;=100000), " ",IF(INDEX($AB$2:$AQ$1001,MATCH(ROWS($U$2:U480),$U$2:$U$1001,0),MATCH(COLUMNS($AB$1006:AQ1006),$AB$1006:$AQ$1006,0)), HYPERLINK("#",""), HYPERLINK(CONCATENATE("#metadata!", ADDRESS(INDEX($W$2:$W$1001,MATCH(ROWS($U$2:U480),$U$2:$U$1001,0),0), INDEX($AB$1004:$AQ$1004,1,MATCH(COLUMNS($AB$1006:AQ1006),$AB$1006:$AQ$1006,0)))),"Fix")))</f>
        <v>0</v>
      </c>
      <c r="U480">
        <v>0</v>
      </c>
      <c r="V480">
        <v>0</v>
      </c>
      <c r="W480">
        <v>0</v>
      </c>
      <c r="X480">
        <f>IF(Y480,TRUE,AND(AB480:AQ480))</f>
        <v>0</v>
      </c>
      <c r="Y480">
        <f>COUNTBLANK(metadata!B480:Q480)=COLUMNS(metadata!B480:Q480)</f>
        <v>0</v>
      </c>
      <c r="Z480">
        <v>0</v>
      </c>
      <c r="AB480">
        <f>AND(IF(metadata!B480="",FALSE,TRUE),COUNTIF(metadata!B:B, metadata!B480) = 1,NOT(ISERROR(SUMPRODUCT(SEARCH(MID(metadata!B480,ROW(INDIRECT("1:"&amp;LEN(metadata!B480))), 1),"0123456789abcdefghijklmnopqrstuvwxyzABCDEFGHIJKLMNOPQRSTUVWXYZ.")))))</f>
        <v>0</v>
      </c>
      <c r="AC480">
        <f>OR(AND(IF(metadata!C480="",FALSE,TRUE),OR(exact(metadata!C480,"missing: not collected"),exact(metadata!C480,"missing: not provided"),exact(metadata!C480,"missing: restricted access"))),AND(IF(metadata!C480="",FALSE,TRUE),AND(AND(IFERROR(INT(LEFT(metadata!C480,4))&gt;1900,FALSE),IFERROR(INT(LEFT(metadata!C480,4))&lt;=YEAR(NOW()),FALSE)), OR(MID(metadata!C480,5,1)="", AND(AND(MID(metadata!C480,5,1)="-",IFERROR(INT(MID(metadata!C480,6,1))&gt;=0,FALSE),IFERROR(INT(MID(metadata!C480,6,1))&lt;=1,FALSE),NOT(MID(metadata!C480,7,1)=""),IFERROR(INT(MID(metadata!C480,6,2))&gt;=1,FALSE),IFERROR(INT(MID(metadata!C480,6,2))&lt;=12,FALSE)), OR(MID(metadata!C480,8,1)="", AND(AND(MID(metadata!C480,8,1)="-",IFERROR(INT(MID(metadata!C480,9,1))&gt;=0,FALSE),IFERROR(INT(MID(metadata!C480,9,1))&lt;=3,FALSE),NOT(MID(metadata!C480,10,1)=""),IFERROR(INT(MID(metadata!C480,9,2))&gt;=1,FALSE),IFERROR(INT(MID(metadata!C480,9,2))&lt;=31,FALSE)), OR(MID(metadata!C480,11,1)="", AND(AND(MID(metadata!C480,11,1)=" ",IFERROR(INT(MID(metadata!C480,12,1))&gt;=0,FALSE),IFERROR(INT(MID(metadata!C480,12,1))&lt;=2,FALSE),NOT(MID(metadata!C480,13,1)=""),IFERROR(INT(MID(metadata!C480,12,2))&gt;=0,FALSE),IFERROR(INT(MID(metadata!C480,12,2))&lt;=23,FALSE)), OR(MID(metadata!C480,14,1)="", AND(AND(MID(metadata!C480,14,1)=":",IFERROR(INT(MID(metadata!C480,15,1))&gt;=0,FALSE),IFERROR(INT(MID(metadata!C480,15,1))&lt;=5,FALSE),NOT(MID(metadata!C480,16,1)=""),IFERROR(INT(MID(metadata!C480,15,2))&gt;=0,FALSE),IFERROR(INT(MID(metadata!C480,15,2))&lt;=59,FALSE)), OR(MID(metadata!C480,17,1)="", AND(AND(MID(metadata!C480,17,1)=":",IFERROR(INT(MID(metadata!C480,18,1))&gt;=0,FALSE),IFERROR(INT(MID(metadata!C480,18,1))&lt;=5,FALSE),NOT(MID(metadata!C480,19,1)=""),IFERROR(INT(MID(metadata!C480,18,2))&gt;=0,FALSE),IFERROR(INT(MID(metadata!C480,18,2))&lt;=59,FALSE)), LEN(metadata!C480)&lt;=19)))))))))))))</f>
        <v>0</v>
      </c>
      <c r="AD480">
        <f>IF(metadata!D480="",FALSE,TRUE)</f>
        <v>0</v>
      </c>
      <c r="AE480">
        <f>OR(AND(IF(metadata!E480="",FALSE,TRUE),OR(exact(metadata!E480,"missing: not collected"),exact(metadata!E480,"missing: not provided"))),AND(IF(metadata!E480="",FALSE,TRUE),OR(exact(metadata!E480,"TRUE"),exact(metadata!E480,"FALSE"))))</f>
        <v>0</v>
      </c>
      <c r="AF480">
        <f>IF(metadata!F480="",FALSE,TRUE)</f>
        <v>0</v>
      </c>
      <c r="AG480">
        <f>IF(metadata!G480="",FALSE,TRUE)</f>
        <v>0</v>
      </c>
      <c r="AH480">
        <f>IF(metadata!H480="",FALSE,TRUE)</f>
        <v>0</v>
      </c>
      <c r="AI480">
        <f>OR(AND(IF(metadata!I480="",FALSE,TRUE),OR(exact(metadata!I480,"missing: not collected"),exact(metadata!I480,"missing: not provided"),exact(metadata!I480,"missing: restricted access"))),AND(IF(metadata!I480="",FALSE,TRUE),OR(exact(metadata!I480,"air"),exact(metadata!I480,"built environment"),exact(metadata!I480,"host-associated"),exact(metadata!I480,"human-associated"),exact(metadata!I480,"human-skin"),exact(metadata!I480,"human-oral"),exact(metadata!I480,"human-gut"),exact(metadata!I480,"human-vaginal"),exact(metadata!I480,"microbial mat/biofilm"),exact(metadata!I480,"misc environment"),exact(metadata!I480,"plant-associated"),exact(metadata!I480,"sediment"),exact(metadata!I480,"soil"),exact(metadata!I480,"wastewater/sludge"),exact(metadata!I480,"water"))))</f>
        <v>0</v>
      </c>
      <c r="AJ480">
        <f>IF(metadata!J480="",FALSE,TRUE)</f>
        <v>0</v>
      </c>
      <c r="AK480">
        <f>OR(AND(IF(metadata!K480="",FALSE,TRUE),OR(exact(metadata!K480,"missing: not collected"),exact(metadata!K480,"missing: not provided"),exact(metadata!K480,"missing: restricted access"))),AND(IF(metadata!K480="",FALSE,ISNUMBER(VALUE(metadata!K480))),metadata!K480&gt;=-90.00,metadata!K480&lt;=90.00))</f>
        <v>0</v>
      </c>
      <c r="AL480">
        <f>OR(AND(IF(metadata!L480="",FALSE,TRUE),OR(exact(metadata!L480,"missing: not collected"),exact(metadata!L480,"missing: not provided"),exact(metadata!L480,"missing: restricted access"))),AND(IF(metadata!L480="",FALSE,ISNUMBER(VALUE(metadata!L480))),metadata!L480&gt;=-180.00,metadata!L480&lt;=180.00))</f>
        <v>0</v>
      </c>
      <c r="AM480">
        <f>IF(metadata!M480="",FALSE,TRUE)</f>
        <v>0</v>
      </c>
      <c r="AN480">
        <f>OR(AND(IF(metadata!N480="",FALSE,TRUE),OR(exact(metadata!N480,"missing: not collected"),exact(metadata!N480,"missing: not provided"),exact(metadata!N480,"missing: restricted access"))),AND(IF(metadata!N480="",FALSE,TRUE),OR(exact(metadata!N480,"TRUE"),exact(metadata!N480,"FALSE"))))</f>
        <v>0</v>
      </c>
      <c r="AO480">
        <f>IF(metadata!O480="",FALSE,TRUE)</f>
        <v>0</v>
      </c>
      <c r="AP480">
        <f>OR(AND(IF(metadata!P480="",FALSE,TRUE),OR(exact(metadata!P480,"missing: not collected"),exact(metadata!P480,"missing: not provided"))),AND(IF(metadata!P480="",FALSE,IF(ISERROR(INT(metadata!P480)),FALSE,INT(metadata!P480)=metadata!P480)),metadata!P480&gt;0))</f>
        <v>0</v>
      </c>
      <c r="AQ480">
        <f>IF(metadata!Q480="",FALSE,TRUE)</f>
        <v>0</v>
      </c>
    </row>
    <row r="481" spans="1:43">
      <c r="A481" s="5">
        <f>IF(B481=" "," ",HYPERLINK(CONCATENATE("#metadata!",ADDRESS(INDEX($W$2:$W$1001,MATCH(ROWS($U$2:U481),$U$2:$U$1001,0),0),1)),INDEX($Z$2:$Z$1001,MATCH(ROWS($U$2:U481),$U$2:$U$1001,0),0)))</f>
        <v>0</v>
      </c>
      <c r="B481" s="4">
        <f>IF(OR(INDEX($V$2:$V$1001,MATCH(ROWS($U$2:U481),$U$2:$U$1001,0),1)&gt;=100000,INDEX($AB$1005:$AQ$1005,1,MATCH(COLUMNS($AB$1006:AB1006),$AB$1006:$AQ$1006,0))&gt;=100000), " ",IF(INDEX($AB$2:$AQ$1001,MATCH(ROWS($U$2:U481),$U$2:$U$1001,0),MATCH(COLUMNS($AB$1006:AB1006),$AB$1006:$AQ$1006,0)), HYPERLINK("#",""), HYPERLINK(CONCATENATE("#metadata!", ADDRESS(INDEX($W$2:$W$1001,MATCH(ROWS($U$2:U481),$U$2:$U$1001,0),0), INDEX($AB$1004:$AQ$1004,1,MATCH(COLUMNS($AB$1006:AB1006),$AB$1006:$AQ$1006,0)))),"Fix")))</f>
        <v>0</v>
      </c>
      <c r="C481" s="4">
        <f>IF(OR(INDEX($V$2:$V$1001,MATCH(ROWS($U$2:U481),$U$2:$U$1001,0),1)&gt;=100000,INDEX($AB$1005:$AQ$1005,1,MATCH(COLUMNS($AB$1006:AC1006),$AB$1006:$AQ$1006,0))&gt;=100000), " ",IF(INDEX($AB$2:$AQ$1001,MATCH(ROWS($U$2:U481),$U$2:$U$1001,0),MATCH(COLUMNS($AB$1006:AC1006),$AB$1006:$AQ$1006,0)), HYPERLINK("#",""), HYPERLINK(CONCATENATE("#metadata!", ADDRESS(INDEX($W$2:$W$1001,MATCH(ROWS($U$2:U481),$U$2:$U$1001,0),0), INDEX($AB$1004:$AQ$1004,1,MATCH(COLUMNS($AB$1006:AC1006),$AB$1006:$AQ$1006,0)))),"Fix")))</f>
        <v>0</v>
      </c>
      <c r="D481" s="4">
        <f>IF(OR(INDEX($V$2:$V$1001,MATCH(ROWS($U$2:U481),$U$2:$U$1001,0),1)&gt;=100000,INDEX($AB$1005:$AQ$1005,1,MATCH(COLUMNS($AB$1006:AD1006),$AB$1006:$AQ$1006,0))&gt;=100000), " ",IF(INDEX($AB$2:$AQ$1001,MATCH(ROWS($U$2:U481),$U$2:$U$1001,0),MATCH(COLUMNS($AB$1006:AD1006),$AB$1006:$AQ$1006,0)), HYPERLINK("#",""), HYPERLINK(CONCATENATE("#metadata!", ADDRESS(INDEX($W$2:$W$1001,MATCH(ROWS($U$2:U481),$U$2:$U$1001,0),0), INDEX($AB$1004:$AQ$1004,1,MATCH(COLUMNS($AB$1006:AD1006),$AB$1006:$AQ$1006,0)))),"Fix")))</f>
        <v>0</v>
      </c>
      <c r="E481" s="4">
        <f>IF(OR(INDEX($V$2:$V$1001,MATCH(ROWS($U$2:U481),$U$2:$U$1001,0),1)&gt;=100000,INDEX($AB$1005:$AQ$1005,1,MATCH(COLUMNS($AB$1006:AE1006),$AB$1006:$AQ$1006,0))&gt;=100000), " ",IF(INDEX($AB$2:$AQ$1001,MATCH(ROWS($U$2:U481),$U$2:$U$1001,0),MATCH(COLUMNS($AB$1006:AE1006),$AB$1006:$AQ$1006,0)), HYPERLINK("#",""), HYPERLINK(CONCATENATE("#metadata!", ADDRESS(INDEX($W$2:$W$1001,MATCH(ROWS($U$2:U481),$U$2:$U$1001,0),0), INDEX($AB$1004:$AQ$1004,1,MATCH(COLUMNS($AB$1006:AE1006),$AB$1006:$AQ$1006,0)))),"Fix")))</f>
        <v>0</v>
      </c>
      <c r="F481" s="4">
        <f>IF(OR(INDEX($V$2:$V$1001,MATCH(ROWS($U$2:U481),$U$2:$U$1001,0),1)&gt;=100000,INDEX($AB$1005:$AQ$1005,1,MATCH(COLUMNS($AB$1006:AF1006),$AB$1006:$AQ$1006,0))&gt;=100000), " ",IF(INDEX($AB$2:$AQ$1001,MATCH(ROWS($U$2:U481),$U$2:$U$1001,0),MATCH(COLUMNS($AB$1006:AF1006),$AB$1006:$AQ$1006,0)), HYPERLINK("#",""), HYPERLINK(CONCATENATE("#metadata!", ADDRESS(INDEX($W$2:$W$1001,MATCH(ROWS($U$2:U481),$U$2:$U$1001,0),0), INDEX($AB$1004:$AQ$1004,1,MATCH(COLUMNS($AB$1006:AF1006),$AB$1006:$AQ$1006,0)))),"Fix")))</f>
        <v>0</v>
      </c>
      <c r="G481" s="4">
        <f>IF(OR(INDEX($V$2:$V$1001,MATCH(ROWS($U$2:U481),$U$2:$U$1001,0),1)&gt;=100000,INDEX($AB$1005:$AQ$1005,1,MATCH(COLUMNS($AB$1006:AG1006),$AB$1006:$AQ$1006,0))&gt;=100000), " ",IF(INDEX($AB$2:$AQ$1001,MATCH(ROWS($U$2:U481),$U$2:$U$1001,0),MATCH(COLUMNS($AB$1006:AG1006),$AB$1006:$AQ$1006,0)), HYPERLINK("#",""), HYPERLINK(CONCATENATE("#metadata!", ADDRESS(INDEX($W$2:$W$1001,MATCH(ROWS($U$2:U481),$U$2:$U$1001,0),0), INDEX($AB$1004:$AQ$1004,1,MATCH(COLUMNS($AB$1006:AG1006),$AB$1006:$AQ$1006,0)))),"Fix")))</f>
        <v>0</v>
      </c>
      <c r="H481" s="4">
        <f>IF(OR(INDEX($V$2:$V$1001,MATCH(ROWS($U$2:U481),$U$2:$U$1001,0),1)&gt;=100000,INDEX($AB$1005:$AQ$1005,1,MATCH(COLUMNS($AB$1006:AH1006),$AB$1006:$AQ$1006,0))&gt;=100000), " ",IF(INDEX($AB$2:$AQ$1001,MATCH(ROWS($U$2:U481),$U$2:$U$1001,0),MATCH(COLUMNS($AB$1006:AH1006),$AB$1006:$AQ$1006,0)), HYPERLINK("#",""), HYPERLINK(CONCATENATE("#metadata!", ADDRESS(INDEX($W$2:$W$1001,MATCH(ROWS($U$2:U481),$U$2:$U$1001,0),0), INDEX($AB$1004:$AQ$1004,1,MATCH(COLUMNS($AB$1006:AH1006),$AB$1006:$AQ$1006,0)))),"Fix")))</f>
        <v>0</v>
      </c>
      <c r="I481" s="4">
        <f>IF(OR(INDEX($V$2:$V$1001,MATCH(ROWS($U$2:U481),$U$2:$U$1001,0),1)&gt;=100000,INDEX($AB$1005:$AQ$1005,1,MATCH(COLUMNS($AB$1006:AI1006),$AB$1006:$AQ$1006,0))&gt;=100000), " ",IF(INDEX($AB$2:$AQ$1001,MATCH(ROWS($U$2:U481),$U$2:$U$1001,0),MATCH(COLUMNS($AB$1006:AI1006),$AB$1006:$AQ$1006,0)), HYPERLINK("#",""), HYPERLINK(CONCATENATE("#metadata!", ADDRESS(INDEX($W$2:$W$1001,MATCH(ROWS($U$2:U481),$U$2:$U$1001,0),0), INDEX($AB$1004:$AQ$1004,1,MATCH(COLUMNS($AB$1006:AI1006),$AB$1006:$AQ$1006,0)))),"Fix")))</f>
        <v>0</v>
      </c>
      <c r="J481" s="4">
        <f>IF(OR(INDEX($V$2:$V$1001,MATCH(ROWS($U$2:U481),$U$2:$U$1001,0),1)&gt;=100000,INDEX($AB$1005:$AQ$1005,1,MATCH(COLUMNS($AB$1006:AJ1006),$AB$1006:$AQ$1006,0))&gt;=100000), " ",IF(INDEX($AB$2:$AQ$1001,MATCH(ROWS($U$2:U481),$U$2:$U$1001,0),MATCH(COLUMNS($AB$1006:AJ1006),$AB$1006:$AQ$1006,0)), HYPERLINK("#",""), HYPERLINK(CONCATENATE("#metadata!", ADDRESS(INDEX($W$2:$W$1001,MATCH(ROWS($U$2:U481),$U$2:$U$1001,0),0), INDEX($AB$1004:$AQ$1004,1,MATCH(COLUMNS($AB$1006:AJ1006),$AB$1006:$AQ$1006,0)))),"Fix")))</f>
        <v>0</v>
      </c>
      <c r="K481" s="4">
        <f>IF(OR(INDEX($V$2:$V$1001,MATCH(ROWS($U$2:U481),$U$2:$U$1001,0),1)&gt;=100000,INDEX($AB$1005:$AQ$1005,1,MATCH(COLUMNS($AB$1006:AK1006),$AB$1006:$AQ$1006,0))&gt;=100000), " ",IF(INDEX($AB$2:$AQ$1001,MATCH(ROWS($U$2:U481),$U$2:$U$1001,0),MATCH(COLUMNS($AB$1006:AK1006),$AB$1006:$AQ$1006,0)), HYPERLINK("#",""), HYPERLINK(CONCATENATE("#metadata!", ADDRESS(INDEX($W$2:$W$1001,MATCH(ROWS($U$2:U481),$U$2:$U$1001,0),0), INDEX($AB$1004:$AQ$1004,1,MATCH(COLUMNS($AB$1006:AK1006),$AB$1006:$AQ$1006,0)))),"Fix")))</f>
        <v>0</v>
      </c>
      <c r="L481" s="4">
        <f>IF(OR(INDEX($V$2:$V$1001,MATCH(ROWS($U$2:U481),$U$2:$U$1001,0),1)&gt;=100000,INDEX($AB$1005:$AQ$1005,1,MATCH(COLUMNS($AB$1006:AL1006),$AB$1006:$AQ$1006,0))&gt;=100000), " ",IF(INDEX($AB$2:$AQ$1001,MATCH(ROWS($U$2:U481),$U$2:$U$1001,0),MATCH(COLUMNS($AB$1006:AL1006),$AB$1006:$AQ$1006,0)), HYPERLINK("#",""), HYPERLINK(CONCATENATE("#metadata!", ADDRESS(INDEX($W$2:$W$1001,MATCH(ROWS($U$2:U481),$U$2:$U$1001,0),0), INDEX($AB$1004:$AQ$1004,1,MATCH(COLUMNS($AB$1006:AL1006),$AB$1006:$AQ$1006,0)))),"Fix")))</f>
        <v>0</v>
      </c>
      <c r="M481" s="4">
        <f>IF(OR(INDEX($V$2:$V$1001,MATCH(ROWS($U$2:U481),$U$2:$U$1001,0),1)&gt;=100000,INDEX($AB$1005:$AQ$1005,1,MATCH(COLUMNS($AB$1006:AM1006),$AB$1006:$AQ$1006,0))&gt;=100000), " ",IF(INDEX($AB$2:$AQ$1001,MATCH(ROWS($U$2:U481),$U$2:$U$1001,0),MATCH(COLUMNS($AB$1006:AM1006),$AB$1006:$AQ$1006,0)), HYPERLINK("#",""), HYPERLINK(CONCATENATE("#metadata!", ADDRESS(INDEX($W$2:$W$1001,MATCH(ROWS($U$2:U481),$U$2:$U$1001,0),0), INDEX($AB$1004:$AQ$1004,1,MATCH(COLUMNS($AB$1006:AM1006),$AB$1006:$AQ$1006,0)))),"Fix")))</f>
        <v>0</v>
      </c>
      <c r="N481" s="4">
        <f>IF(OR(INDEX($V$2:$V$1001,MATCH(ROWS($U$2:U481),$U$2:$U$1001,0),1)&gt;=100000,INDEX($AB$1005:$AQ$1005,1,MATCH(COLUMNS($AB$1006:AN1006),$AB$1006:$AQ$1006,0))&gt;=100000), " ",IF(INDEX($AB$2:$AQ$1001,MATCH(ROWS($U$2:U481),$U$2:$U$1001,0),MATCH(COLUMNS($AB$1006:AN1006),$AB$1006:$AQ$1006,0)), HYPERLINK("#",""), HYPERLINK(CONCATENATE("#metadata!", ADDRESS(INDEX($W$2:$W$1001,MATCH(ROWS($U$2:U481),$U$2:$U$1001,0),0), INDEX($AB$1004:$AQ$1004,1,MATCH(COLUMNS($AB$1006:AN1006),$AB$1006:$AQ$1006,0)))),"Fix")))</f>
        <v>0</v>
      </c>
      <c r="O481" s="4">
        <f>IF(OR(INDEX($V$2:$V$1001,MATCH(ROWS($U$2:U481),$U$2:$U$1001,0),1)&gt;=100000,INDEX($AB$1005:$AQ$1005,1,MATCH(COLUMNS($AB$1006:AO1006),$AB$1006:$AQ$1006,0))&gt;=100000), " ",IF(INDEX($AB$2:$AQ$1001,MATCH(ROWS($U$2:U481),$U$2:$U$1001,0),MATCH(COLUMNS($AB$1006:AO1006),$AB$1006:$AQ$1006,0)), HYPERLINK("#",""), HYPERLINK(CONCATENATE("#metadata!", ADDRESS(INDEX($W$2:$W$1001,MATCH(ROWS($U$2:U481),$U$2:$U$1001,0),0), INDEX($AB$1004:$AQ$1004,1,MATCH(COLUMNS($AB$1006:AO1006),$AB$1006:$AQ$1006,0)))),"Fix")))</f>
        <v>0</v>
      </c>
      <c r="P481" s="4">
        <f>IF(OR(INDEX($V$2:$V$1001,MATCH(ROWS($U$2:U481),$U$2:$U$1001,0),1)&gt;=100000,INDEX($AB$1005:$AQ$1005,1,MATCH(COLUMNS($AB$1006:AP1006),$AB$1006:$AQ$1006,0))&gt;=100000), " ",IF(INDEX($AB$2:$AQ$1001,MATCH(ROWS($U$2:U481),$U$2:$U$1001,0),MATCH(COLUMNS($AB$1006:AP1006),$AB$1006:$AQ$1006,0)), HYPERLINK("#",""), HYPERLINK(CONCATENATE("#metadata!", ADDRESS(INDEX($W$2:$W$1001,MATCH(ROWS($U$2:U481),$U$2:$U$1001,0),0), INDEX($AB$1004:$AQ$1004,1,MATCH(COLUMNS($AB$1006:AP1006),$AB$1006:$AQ$1006,0)))),"Fix")))</f>
        <v>0</v>
      </c>
      <c r="Q481" s="4">
        <f>IF(OR(INDEX($V$2:$V$1001,MATCH(ROWS($U$2:U481),$U$2:$U$1001,0),1)&gt;=100000,INDEX($AB$1005:$AQ$1005,1,MATCH(COLUMNS($AB$1006:AQ1006),$AB$1006:$AQ$1006,0))&gt;=100000), " ",IF(INDEX($AB$2:$AQ$1001,MATCH(ROWS($U$2:U481),$U$2:$U$1001,0),MATCH(COLUMNS($AB$1006:AQ1006),$AB$1006:$AQ$1006,0)), HYPERLINK("#",""), HYPERLINK(CONCATENATE("#metadata!", ADDRESS(INDEX($W$2:$W$1001,MATCH(ROWS($U$2:U481),$U$2:$U$1001,0),0), INDEX($AB$1004:$AQ$1004,1,MATCH(COLUMNS($AB$1006:AQ1006),$AB$1006:$AQ$1006,0)))),"Fix")))</f>
        <v>0</v>
      </c>
      <c r="U481">
        <v>0</v>
      </c>
      <c r="V481">
        <v>0</v>
      </c>
      <c r="W481">
        <v>0</v>
      </c>
      <c r="X481">
        <f>IF(Y481,TRUE,AND(AB481:AQ481))</f>
        <v>0</v>
      </c>
      <c r="Y481">
        <f>COUNTBLANK(metadata!B481:Q481)=COLUMNS(metadata!B481:Q481)</f>
        <v>0</v>
      </c>
      <c r="Z481">
        <v>0</v>
      </c>
      <c r="AB481">
        <f>AND(IF(metadata!B481="",FALSE,TRUE),COUNTIF(metadata!B:B, metadata!B481) = 1,NOT(ISERROR(SUMPRODUCT(SEARCH(MID(metadata!B481,ROW(INDIRECT("1:"&amp;LEN(metadata!B481))), 1),"0123456789abcdefghijklmnopqrstuvwxyzABCDEFGHIJKLMNOPQRSTUVWXYZ.")))))</f>
        <v>0</v>
      </c>
      <c r="AC481">
        <f>OR(AND(IF(metadata!C481="",FALSE,TRUE),OR(exact(metadata!C481,"missing: not collected"),exact(metadata!C481,"missing: not provided"),exact(metadata!C481,"missing: restricted access"))),AND(IF(metadata!C481="",FALSE,TRUE),AND(AND(IFERROR(INT(LEFT(metadata!C481,4))&gt;1900,FALSE),IFERROR(INT(LEFT(metadata!C481,4))&lt;=YEAR(NOW()),FALSE)), OR(MID(metadata!C481,5,1)="", AND(AND(MID(metadata!C481,5,1)="-",IFERROR(INT(MID(metadata!C481,6,1))&gt;=0,FALSE),IFERROR(INT(MID(metadata!C481,6,1))&lt;=1,FALSE),NOT(MID(metadata!C481,7,1)=""),IFERROR(INT(MID(metadata!C481,6,2))&gt;=1,FALSE),IFERROR(INT(MID(metadata!C481,6,2))&lt;=12,FALSE)), OR(MID(metadata!C481,8,1)="", AND(AND(MID(metadata!C481,8,1)="-",IFERROR(INT(MID(metadata!C481,9,1))&gt;=0,FALSE),IFERROR(INT(MID(metadata!C481,9,1))&lt;=3,FALSE),NOT(MID(metadata!C481,10,1)=""),IFERROR(INT(MID(metadata!C481,9,2))&gt;=1,FALSE),IFERROR(INT(MID(metadata!C481,9,2))&lt;=31,FALSE)), OR(MID(metadata!C481,11,1)="", AND(AND(MID(metadata!C481,11,1)=" ",IFERROR(INT(MID(metadata!C481,12,1))&gt;=0,FALSE),IFERROR(INT(MID(metadata!C481,12,1))&lt;=2,FALSE),NOT(MID(metadata!C481,13,1)=""),IFERROR(INT(MID(metadata!C481,12,2))&gt;=0,FALSE),IFERROR(INT(MID(metadata!C481,12,2))&lt;=23,FALSE)), OR(MID(metadata!C481,14,1)="", AND(AND(MID(metadata!C481,14,1)=":",IFERROR(INT(MID(metadata!C481,15,1))&gt;=0,FALSE),IFERROR(INT(MID(metadata!C481,15,1))&lt;=5,FALSE),NOT(MID(metadata!C481,16,1)=""),IFERROR(INT(MID(metadata!C481,15,2))&gt;=0,FALSE),IFERROR(INT(MID(metadata!C481,15,2))&lt;=59,FALSE)), OR(MID(metadata!C481,17,1)="", AND(AND(MID(metadata!C481,17,1)=":",IFERROR(INT(MID(metadata!C481,18,1))&gt;=0,FALSE),IFERROR(INT(MID(metadata!C481,18,1))&lt;=5,FALSE),NOT(MID(metadata!C481,19,1)=""),IFERROR(INT(MID(metadata!C481,18,2))&gt;=0,FALSE),IFERROR(INT(MID(metadata!C481,18,2))&lt;=59,FALSE)), LEN(metadata!C481)&lt;=19)))))))))))))</f>
        <v>0</v>
      </c>
      <c r="AD481">
        <f>IF(metadata!D481="",FALSE,TRUE)</f>
        <v>0</v>
      </c>
      <c r="AE481">
        <f>OR(AND(IF(metadata!E481="",FALSE,TRUE),OR(exact(metadata!E481,"missing: not collected"),exact(metadata!E481,"missing: not provided"))),AND(IF(metadata!E481="",FALSE,TRUE),OR(exact(metadata!E481,"TRUE"),exact(metadata!E481,"FALSE"))))</f>
        <v>0</v>
      </c>
      <c r="AF481">
        <f>IF(metadata!F481="",FALSE,TRUE)</f>
        <v>0</v>
      </c>
      <c r="AG481">
        <f>IF(metadata!G481="",FALSE,TRUE)</f>
        <v>0</v>
      </c>
      <c r="AH481">
        <f>IF(metadata!H481="",FALSE,TRUE)</f>
        <v>0</v>
      </c>
      <c r="AI481">
        <f>OR(AND(IF(metadata!I481="",FALSE,TRUE),OR(exact(metadata!I481,"missing: not collected"),exact(metadata!I481,"missing: not provided"),exact(metadata!I481,"missing: restricted access"))),AND(IF(metadata!I481="",FALSE,TRUE),OR(exact(metadata!I481,"air"),exact(metadata!I481,"built environment"),exact(metadata!I481,"host-associated"),exact(metadata!I481,"human-associated"),exact(metadata!I481,"human-skin"),exact(metadata!I481,"human-oral"),exact(metadata!I481,"human-gut"),exact(metadata!I481,"human-vaginal"),exact(metadata!I481,"microbial mat/biofilm"),exact(metadata!I481,"misc environment"),exact(metadata!I481,"plant-associated"),exact(metadata!I481,"sediment"),exact(metadata!I481,"soil"),exact(metadata!I481,"wastewater/sludge"),exact(metadata!I481,"water"))))</f>
        <v>0</v>
      </c>
      <c r="AJ481">
        <f>IF(metadata!J481="",FALSE,TRUE)</f>
        <v>0</v>
      </c>
      <c r="AK481">
        <f>OR(AND(IF(metadata!K481="",FALSE,TRUE),OR(exact(metadata!K481,"missing: not collected"),exact(metadata!K481,"missing: not provided"),exact(metadata!K481,"missing: restricted access"))),AND(IF(metadata!K481="",FALSE,ISNUMBER(VALUE(metadata!K481))),metadata!K481&gt;=-90.00,metadata!K481&lt;=90.00))</f>
        <v>0</v>
      </c>
      <c r="AL481">
        <f>OR(AND(IF(metadata!L481="",FALSE,TRUE),OR(exact(metadata!L481,"missing: not collected"),exact(metadata!L481,"missing: not provided"),exact(metadata!L481,"missing: restricted access"))),AND(IF(metadata!L481="",FALSE,ISNUMBER(VALUE(metadata!L481))),metadata!L481&gt;=-180.00,metadata!L481&lt;=180.00))</f>
        <v>0</v>
      </c>
      <c r="AM481">
        <f>IF(metadata!M481="",FALSE,TRUE)</f>
        <v>0</v>
      </c>
      <c r="AN481">
        <f>OR(AND(IF(metadata!N481="",FALSE,TRUE),OR(exact(metadata!N481,"missing: not collected"),exact(metadata!N481,"missing: not provided"),exact(metadata!N481,"missing: restricted access"))),AND(IF(metadata!N481="",FALSE,TRUE),OR(exact(metadata!N481,"TRUE"),exact(metadata!N481,"FALSE"))))</f>
        <v>0</v>
      </c>
      <c r="AO481">
        <f>IF(metadata!O481="",FALSE,TRUE)</f>
        <v>0</v>
      </c>
      <c r="AP481">
        <f>OR(AND(IF(metadata!P481="",FALSE,TRUE),OR(exact(metadata!P481,"missing: not collected"),exact(metadata!P481,"missing: not provided"))),AND(IF(metadata!P481="",FALSE,IF(ISERROR(INT(metadata!P481)),FALSE,INT(metadata!P481)=metadata!P481)),metadata!P481&gt;0))</f>
        <v>0</v>
      </c>
      <c r="AQ481">
        <f>IF(metadata!Q481="",FALSE,TRUE)</f>
        <v>0</v>
      </c>
    </row>
    <row r="482" spans="1:43">
      <c r="A482" s="5">
        <f>IF(B482=" "," ",HYPERLINK(CONCATENATE("#metadata!",ADDRESS(INDEX($W$2:$W$1001,MATCH(ROWS($U$2:U482),$U$2:$U$1001,0),0),1)),INDEX($Z$2:$Z$1001,MATCH(ROWS($U$2:U482),$U$2:$U$1001,0),0)))</f>
        <v>0</v>
      </c>
      <c r="B482" s="4">
        <f>IF(OR(INDEX($V$2:$V$1001,MATCH(ROWS($U$2:U482),$U$2:$U$1001,0),1)&gt;=100000,INDEX($AB$1005:$AQ$1005,1,MATCH(COLUMNS($AB$1006:AB1006),$AB$1006:$AQ$1006,0))&gt;=100000), " ",IF(INDEX($AB$2:$AQ$1001,MATCH(ROWS($U$2:U482),$U$2:$U$1001,0),MATCH(COLUMNS($AB$1006:AB1006),$AB$1006:$AQ$1006,0)), HYPERLINK("#",""), HYPERLINK(CONCATENATE("#metadata!", ADDRESS(INDEX($W$2:$W$1001,MATCH(ROWS($U$2:U482),$U$2:$U$1001,0),0), INDEX($AB$1004:$AQ$1004,1,MATCH(COLUMNS($AB$1006:AB1006),$AB$1006:$AQ$1006,0)))),"Fix")))</f>
        <v>0</v>
      </c>
      <c r="C482" s="4">
        <f>IF(OR(INDEX($V$2:$V$1001,MATCH(ROWS($U$2:U482),$U$2:$U$1001,0),1)&gt;=100000,INDEX($AB$1005:$AQ$1005,1,MATCH(COLUMNS($AB$1006:AC1006),$AB$1006:$AQ$1006,0))&gt;=100000), " ",IF(INDEX($AB$2:$AQ$1001,MATCH(ROWS($U$2:U482),$U$2:$U$1001,0),MATCH(COLUMNS($AB$1006:AC1006),$AB$1006:$AQ$1006,0)), HYPERLINK("#",""), HYPERLINK(CONCATENATE("#metadata!", ADDRESS(INDEX($W$2:$W$1001,MATCH(ROWS($U$2:U482),$U$2:$U$1001,0),0), INDEX($AB$1004:$AQ$1004,1,MATCH(COLUMNS($AB$1006:AC1006),$AB$1006:$AQ$1006,0)))),"Fix")))</f>
        <v>0</v>
      </c>
      <c r="D482" s="4">
        <f>IF(OR(INDEX($V$2:$V$1001,MATCH(ROWS($U$2:U482),$U$2:$U$1001,0),1)&gt;=100000,INDEX($AB$1005:$AQ$1005,1,MATCH(COLUMNS($AB$1006:AD1006),$AB$1006:$AQ$1006,0))&gt;=100000), " ",IF(INDEX($AB$2:$AQ$1001,MATCH(ROWS($U$2:U482),$U$2:$U$1001,0),MATCH(COLUMNS($AB$1006:AD1006),$AB$1006:$AQ$1006,0)), HYPERLINK("#",""), HYPERLINK(CONCATENATE("#metadata!", ADDRESS(INDEX($W$2:$W$1001,MATCH(ROWS($U$2:U482),$U$2:$U$1001,0),0), INDEX($AB$1004:$AQ$1004,1,MATCH(COLUMNS($AB$1006:AD1006),$AB$1006:$AQ$1006,0)))),"Fix")))</f>
        <v>0</v>
      </c>
      <c r="E482" s="4">
        <f>IF(OR(INDEX($V$2:$V$1001,MATCH(ROWS($U$2:U482),$U$2:$U$1001,0),1)&gt;=100000,INDEX($AB$1005:$AQ$1005,1,MATCH(COLUMNS($AB$1006:AE1006),$AB$1006:$AQ$1006,0))&gt;=100000), " ",IF(INDEX($AB$2:$AQ$1001,MATCH(ROWS($U$2:U482),$U$2:$U$1001,0),MATCH(COLUMNS($AB$1006:AE1006),$AB$1006:$AQ$1006,0)), HYPERLINK("#",""), HYPERLINK(CONCATENATE("#metadata!", ADDRESS(INDEX($W$2:$W$1001,MATCH(ROWS($U$2:U482),$U$2:$U$1001,0),0), INDEX($AB$1004:$AQ$1004,1,MATCH(COLUMNS($AB$1006:AE1006),$AB$1006:$AQ$1006,0)))),"Fix")))</f>
        <v>0</v>
      </c>
      <c r="F482" s="4">
        <f>IF(OR(INDEX($V$2:$V$1001,MATCH(ROWS($U$2:U482),$U$2:$U$1001,0),1)&gt;=100000,INDEX($AB$1005:$AQ$1005,1,MATCH(COLUMNS($AB$1006:AF1006),$AB$1006:$AQ$1006,0))&gt;=100000), " ",IF(INDEX($AB$2:$AQ$1001,MATCH(ROWS($U$2:U482),$U$2:$U$1001,0),MATCH(COLUMNS($AB$1006:AF1006),$AB$1006:$AQ$1006,0)), HYPERLINK("#",""), HYPERLINK(CONCATENATE("#metadata!", ADDRESS(INDEX($W$2:$W$1001,MATCH(ROWS($U$2:U482),$U$2:$U$1001,0),0), INDEX($AB$1004:$AQ$1004,1,MATCH(COLUMNS($AB$1006:AF1006),$AB$1006:$AQ$1006,0)))),"Fix")))</f>
        <v>0</v>
      </c>
      <c r="G482" s="4">
        <f>IF(OR(INDEX($V$2:$V$1001,MATCH(ROWS($U$2:U482),$U$2:$U$1001,0),1)&gt;=100000,INDEX($AB$1005:$AQ$1005,1,MATCH(COLUMNS($AB$1006:AG1006),$AB$1006:$AQ$1006,0))&gt;=100000), " ",IF(INDEX($AB$2:$AQ$1001,MATCH(ROWS($U$2:U482),$U$2:$U$1001,0),MATCH(COLUMNS($AB$1006:AG1006),$AB$1006:$AQ$1006,0)), HYPERLINK("#",""), HYPERLINK(CONCATENATE("#metadata!", ADDRESS(INDEX($W$2:$W$1001,MATCH(ROWS($U$2:U482),$U$2:$U$1001,0),0), INDEX($AB$1004:$AQ$1004,1,MATCH(COLUMNS($AB$1006:AG1006),$AB$1006:$AQ$1006,0)))),"Fix")))</f>
        <v>0</v>
      </c>
      <c r="H482" s="4">
        <f>IF(OR(INDEX($V$2:$V$1001,MATCH(ROWS($U$2:U482),$U$2:$U$1001,0),1)&gt;=100000,INDEX($AB$1005:$AQ$1005,1,MATCH(COLUMNS($AB$1006:AH1006),$AB$1006:$AQ$1006,0))&gt;=100000), " ",IF(INDEX($AB$2:$AQ$1001,MATCH(ROWS($U$2:U482),$U$2:$U$1001,0),MATCH(COLUMNS($AB$1006:AH1006),$AB$1006:$AQ$1006,0)), HYPERLINK("#",""), HYPERLINK(CONCATENATE("#metadata!", ADDRESS(INDEX($W$2:$W$1001,MATCH(ROWS($U$2:U482),$U$2:$U$1001,0),0), INDEX($AB$1004:$AQ$1004,1,MATCH(COLUMNS($AB$1006:AH1006),$AB$1006:$AQ$1006,0)))),"Fix")))</f>
        <v>0</v>
      </c>
      <c r="I482" s="4">
        <f>IF(OR(INDEX($V$2:$V$1001,MATCH(ROWS($U$2:U482),$U$2:$U$1001,0),1)&gt;=100000,INDEX($AB$1005:$AQ$1005,1,MATCH(COLUMNS($AB$1006:AI1006),$AB$1006:$AQ$1006,0))&gt;=100000), " ",IF(INDEX($AB$2:$AQ$1001,MATCH(ROWS($U$2:U482),$U$2:$U$1001,0),MATCH(COLUMNS($AB$1006:AI1006),$AB$1006:$AQ$1006,0)), HYPERLINK("#",""), HYPERLINK(CONCATENATE("#metadata!", ADDRESS(INDEX($W$2:$W$1001,MATCH(ROWS($U$2:U482),$U$2:$U$1001,0),0), INDEX($AB$1004:$AQ$1004,1,MATCH(COLUMNS($AB$1006:AI1006),$AB$1006:$AQ$1006,0)))),"Fix")))</f>
        <v>0</v>
      </c>
      <c r="J482" s="4">
        <f>IF(OR(INDEX($V$2:$V$1001,MATCH(ROWS($U$2:U482),$U$2:$U$1001,0),1)&gt;=100000,INDEX($AB$1005:$AQ$1005,1,MATCH(COLUMNS($AB$1006:AJ1006),$AB$1006:$AQ$1006,0))&gt;=100000), " ",IF(INDEX($AB$2:$AQ$1001,MATCH(ROWS($U$2:U482),$U$2:$U$1001,0),MATCH(COLUMNS($AB$1006:AJ1006),$AB$1006:$AQ$1006,0)), HYPERLINK("#",""), HYPERLINK(CONCATENATE("#metadata!", ADDRESS(INDEX($W$2:$W$1001,MATCH(ROWS($U$2:U482),$U$2:$U$1001,0),0), INDEX($AB$1004:$AQ$1004,1,MATCH(COLUMNS($AB$1006:AJ1006),$AB$1006:$AQ$1006,0)))),"Fix")))</f>
        <v>0</v>
      </c>
      <c r="K482" s="4">
        <f>IF(OR(INDEX($V$2:$V$1001,MATCH(ROWS($U$2:U482),$U$2:$U$1001,0),1)&gt;=100000,INDEX($AB$1005:$AQ$1005,1,MATCH(COLUMNS($AB$1006:AK1006),$AB$1006:$AQ$1006,0))&gt;=100000), " ",IF(INDEX($AB$2:$AQ$1001,MATCH(ROWS($U$2:U482),$U$2:$U$1001,0),MATCH(COLUMNS($AB$1006:AK1006),$AB$1006:$AQ$1006,0)), HYPERLINK("#",""), HYPERLINK(CONCATENATE("#metadata!", ADDRESS(INDEX($W$2:$W$1001,MATCH(ROWS($U$2:U482),$U$2:$U$1001,0),0), INDEX($AB$1004:$AQ$1004,1,MATCH(COLUMNS($AB$1006:AK1006),$AB$1006:$AQ$1006,0)))),"Fix")))</f>
        <v>0</v>
      </c>
      <c r="L482" s="4">
        <f>IF(OR(INDEX($V$2:$V$1001,MATCH(ROWS($U$2:U482),$U$2:$U$1001,0),1)&gt;=100000,INDEX($AB$1005:$AQ$1005,1,MATCH(COLUMNS($AB$1006:AL1006),$AB$1006:$AQ$1006,0))&gt;=100000), " ",IF(INDEX($AB$2:$AQ$1001,MATCH(ROWS($U$2:U482),$U$2:$U$1001,0),MATCH(COLUMNS($AB$1006:AL1006),$AB$1006:$AQ$1006,0)), HYPERLINK("#",""), HYPERLINK(CONCATENATE("#metadata!", ADDRESS(INDEX($W$2:$W$1001,MATCH(ROWS($U$2:U482),$U$2:$U$1001,0),0), INDEX($AB$1004:$AQ$1004,1,MATCH(COLUMNS($AB$1006:AL1006),$AB$1006:$AQ$1006,0)))),"Fix")))</f>
        <v>0</v>
      </c>
      <c r="M482" s="4">
        <f>IF(OR(INDEX($V$2:$V$1001,MATCH(ROWS($U$2:U482),$U$2:$U$1001,0),1)&gt;=100000,INDEX($AB$1005:$AQ$1005,1,MATCH(COLUMNS($AB$1006:AM1006),$AB$1006:$AQ$1006,0))&gt;=100000), " ",IF(INDEX($AB$2:$AQ$1001,MATCH(ROWS($U$2:U482),$U$2:$U$1001,0),MATCH(COLUMNS($AB$1006:AM1006),$AB$1006:$AQ$1006,0)), HYPERLINK("#",""), HYPERLINK(CONCATENATE("#metadata!", ADDRESS(INDEX($W$2:$W$1001,MATCH(ROWS($U$2:U482),$U$2:$U$1001,0),0), INDEX($AB$1004:$AQ$1004,1,MATCH(COLUMNS($AB$1006:AM1006),$AB$1006:$AQ$1006,0)))),"Fix")))</f>
        <v>0</v>
      </c>
      <c r="N482" s="4">
        <f>IF(OR(INDEX($V$2:$V$1001,MATCH(ROWS($U$2:U482),$U$2:$U$1001,0),1)&gt;=100000,INDEX($AB$1005:$AQ$1005,1,MATCH(COLUMNS($AB$1006:AN1006),$AB$1006:$AQ$1006,0))&gt;=100000), " ",IF(INDEX($AB$2:$AQ$1001,MATCH(ROWS($U$2:U482),$U$2:$U$1001,0),MATCH(COLUMNS($AB$1006:AN1006),$AB$1006:$AQ$1006,0)), HYPERLINK("#",""), HYPERLINK(CONCATENATE("#metadata!", ADDRESS(INDEX($W$2:$W$1001,MATCH(ROWS($U$2:U482),$U$2:$U$1001,0),0), INDEX($AB$1004:$AQ$1004,1,MATCH(COLUMNS($AB$1006:AN1006),$AB$1006:$AQ$1006,0)))),"Fix")))</f>
        <v>0</v>
      </c>
      <c r="O482" s="4">
        <f>IF(OR(INDEX($V$2:$V$1001,MATCH(ROWS($U$2:U482),$U$2:$U$1001,0),1)&gt;=100000,INDEX($AB$1005:$AQ$1005,1,MATCH(COLUMNS($AB$1006:AO1006),$AB$1006:$AQ$1006,0))&gt;=100000), " ",IF(INDEX($AB$2:$AQ$1001,MATCH(ROWS($U$2:U482),$U$2:$U$1001,0),MATCH(COLUMNS($AB$1006:AO1006),$AB$1006:$AQ$1006,0)), HYPERLINK("#",""), HYPERLINK(CONCATENATE("#metadata!", ADDRESS(INDEX($W$2:$W$1001,MATCH(ROWS($U$2:U482),$U$2:$U$1001,0),0), INDEX($AB$1004:$AQ$1004,1,MATCH(COLUMNS($AB$1006:AO1006),$AB$1006:$AQ$1006,0)))),"Fix")))</f>
        <v>0</v>
      </c>
      <c r="P482" s="4">
        <f>IF(OR(INDEX($V$2:$V$1001,MATCH(ROWS($U$2:U482),$U$2:$U$1001,0),1)&gt;=100000,INDEX($AB$1005:$AQ$1005,1,MATCH(COLUMNS($AB$1006:AP1006),$AB$1006:$AQ$1006,0))&gt;=100000), " ",IF(INDEX($AB$2:$AQ$1001,MATCH(ROWS($U$2:U482),$U$2:$U$1001,0),MATCH(COLUMNS($AB$1006:AP1006),$AB$1006:$AQ$1006,0)), HYPERLINK("#",""), HYPERLINK(CONCATENATE("#metadata!", ADDRESS(INDEX($W$2:$W$1001,MATCH(ROWS($U$2:U482),$U$2:$U$1001,0),0), INDEX($AB$1004:$AQ$1004,1,MATCH(COLUMNS($AB$1006:AP1006),$AB$1006:$AQ$1006,0)))),"Fix")))</f>
        <v>0</v>
      </c>
      <c r="Q482" s="4">
        <f>IF(OR(INDEX($V$2:$V$1001,MATCH(ROWS($U$2:U482),$U$2:$U$1001,0),1)&gt;=100000,INDEX($AB$1005:$AQ$1005,1,MATCH(COLUMNS($AB$1006:AQ1006),$AB$1006:$AQ$1006,0))&gt;=100000), " ",IF(INDEX($AB$2:$AQ$1001,MATCH(ROWS($U$2:U482),$U$2:$U$1001,0),MATCH(COLUMNS($AB$1006:AQ1006),$AB$1006:$AQ$1006,0)), HYPERLINK("#",""), HYPERLINK(CONCATENATE("#metadata!", ADDRESS(INDEX($W$2:$W$1001,MATCH(ROWS($U$2:U482),$U$2:$U$1001,0),0), INDEX($AB$1004:$AQ$1004,1,MATCH(COLUMNS($AB$1006:AQ1006),$AB$1006:$AQ$1006,0)))),"Fix")))</f>
        <v>0</v>
      </c>
      <c r="U482">
        <v>0</v>
      </c>
      <c r="V482">
        <v>0</v>
      </c>
      <c r="W482">
        <v>0</v>
      </c>
      <c r="X482">
        <f>IF(Y482,TRUE,AND(AB482:AQ482))</f>
        <v>0</v>
      </c>
      <c r="Y482">
        <f>COUNTBLANK(metadata!B482:Q482)=COLUMNS(metadata!B482:Q482)</f>
        <v>0</v>
      </c>
      <c r="Z482">
        <v>0</v>
      </c>
      <c r="AB482">
        <f>AND(IF(metadata!B482="",FALSE,TRUE),COUNTIF(metadata!B:B, metadata!B482) = 1,NOT(ISERROR(SUMPRODUCT(SEARCH(MID(metadata!B482,ROW(INDIRECT("1:"&amp;LEN(metadata!B482))), 1),"0123456789abcdefghijklmnopqrstuvwxyzABCDEFGHIJKLMNOPQRSTUVWXYZ.")))))</f>
        <v>0</v>
      </c>
      <c r="AC482">
        <f>OR(AND(IF(metadata!C482="",FALSE,TRUE),OR(exact(metadata!C482,"missing: not collected"),exact(metadata!C482,"missing: not provided"),exact(metadata!C482,"missing: restricted access"))),AND(IF(metadata!C482="",FALSE,TRUE),AND(AND(IFERROR(INT(LEFT(metadata!C482,4))&gt;1900,FALSE),IFERROR(INT(LEFT(metadata!C482,4))&lt;=YEAR(NOW()),FALSE)), OR(MID(metadata!C482,5,1)="", AND(AND(MID(metadata!C482,5,1)="-",IFERROR(INT(MID(metadata!C482,6,1))&gt;=0,FALSE),IFERROR(INT(MID(metadata!C482,6,1))&lt;=1,FALSE),NOT(MID(metadata!C482,7,1)=""),IFERROR(INT(MID(metadata!C482,6,2))&gt;=1,FALSE),IFERROR(INT(MID(metadata!C482,6,2))&lt;=12,FALSE)), OR(MID(metadata!C482,8,1)="", AND(AND(MID(metadata!C482,8,1)="-",IFERROR(INT(MID(metadata!C482,9,1))&gt;=0,FALSE),IFERROR(INT(MID(metadata!C482,9,1))&lt;=3,FALSE),NOT(MID(metadata!C482,10,1)=""),IFERROR(INT(MID(metadata!C482,9,2))&gt;=1,FALSE),IFERROR(INT(MID(metadata!C482,9,2))&lt;=31,FALSE)), OR(MID(metadata!C482,11,1)="", AND(AND(MID(metadata!C482,11,1)=" ",IFERROR(INT(MID(metadata!C482,12,1))&gt;=0,FALSE),IFERROR(INT(MID(metadata!C482,12,1))&lt;=2,FALSE),NOT(MID(metadata!C482,13,1)=""),IFERROR(INT(MID(metadata!C482,12,2))&gt;=0,FALSE),IFERROR(INT(MID(metadata!C482,12,2))&lt;=23,FALSE)), OR(MID(metadata!C482,14,1)="", AND(AND(MID(metadata!C482,14,1)=":",IFERROR(INT(MID(metadata!C482,15,1))&gt;=0,FALSE),IFERROR(INT(MID(metadata!C482,15,1))&lt;=5,FALSE),NOT(MID(metadata!C482,16,1)=""),IFERROR(INT(MID(metadata!C482,15,2))&gt;=0,FALSE),IFERROR(INT(MID(metadata!C482,15,2))&lt;=59,FALSE)), OR(MID(metadata!C482,17,1)="", AND(AND(MID(metadata!C482,17,1)=":",IFERROR(INT(MID(metadata!C482,18,1))&gt;=0,FALSE),IFERROR(INT(MID(metadata!C482,18,1))&lt;=5,FALSE),NOT(MID(metadata!C482,19,1)=""),IFERROR(INT(MID(metadata!C482,18,2))&gt;=0,FALSE),IFERROR(INT(MID(metadata!C482,18,2))&lt;=59,FALSE)), LEN(metadata!C482)&lt;=19)))))))))))))</f>
        <v>0</v>
      </c>
      <c r="AD482">
        <f>IF(metadata!D482="",FALSE,TRUE)</f>
        <v>0</v>
      </c>
      <c r="AE482">
        <f>OR(AND(IF(metadata!E482="",FALSE,TRUE),OR(exact(metadata!E482,"missing: not collected"),exact(metadata!E482,"missing: not provided"))),AND(IF(metadata!E482="",FALSE,TRUE),OR(exact(metadata!E482,"TRUE"),exact(metadata!E482,"FALSE"))))</f>
        <v>0</v>
      </c>
      <c r="AF482">
        <f>IF(metadata!F482="",FALSE,TRUE)</f>
        <v>0</v>
      </c>
      <c r="AG482">
        <f>IF(metadata!G482="",FALSE,TRUE)</f>
        <v>0</v>
      </c>
      <c r="AH482">
        <f>IF(metadata!H482="",FALSE,TRUE)</f>
        <v>0</v>
      </c>
      <c r="AI482">
        <f>OR(AND(IF(metadata!I482="",FALSE,TRUE),OR(exact(metadata!I482,"missing: not collected"),exact(metadata!I482,"missing: not provided"),exact(metadata!I482,"missing: restricted access"))),AND(IF(metadata!I482="",FALSE,TRUE),OR(exact(metadata!I482,"air"),exact(metadata!I482,"built environment"),exact(metadata!I482,"host-associated"),exact(metadata!I482,"human-associated"),exact(metadata!I482,"human-skin"),exact(metadata!I482,"human-oral"),exact(metadata!I482,"human-gut"),exact(metadata!I482,"human-vaginal"),exact(metadata!I482,"microbial mat/biofilm"),exact(metadata!I482,"misc environment"),exact(metadata!I482,"plant-associated"),exact(metadata!I482,"sediment"),exact(metadata!I482,"soil"),exact(metadata!I482,"wastewater/sludge"),exact(metadata!I482,"water"))))</f>
        <v>0</v>
      </c>
      <c r="AJ482">
        <f>IF(metadata!J482="",FALSE,TRUE)</f>
        <v>0</v>
      </c>
      <c r="AK482">
        <f>OR(AND(IF(metadata!K482="",FALSE,TRUE),OR(exact(metadata!K482,"missing: not collected"),exact(metadata!K482,"missing: not provided"),exact(metadata!K482,"missing: restricted access"))),AND(IF(metadata!K482="",FALSE,ISNUMBER(VALUE(metadata!K482))),metadata!K482&gt;=-90.00,metadata!K482&lt;=90.00))</f>
        <v>0</v>
      </c>
      <c r="AL482">
        <f>OR(AND(IF(metadata!L482="",FALSE,TRUE),OR(exact(metadata!L482,"missing: not collected"),exact(metadata!L482,"missing: not provided"),exact(metadata!L482,"missing: restricted access"))),AND(IF(metadata!L482="",FALSE,ISNUMBER(VALUE(metadata!L482))),metadata!L482&gt;=-180.00,metadata!L482&lt;=180.00))</f>
        <v>0</v>
      </c>
      <c r="AM482">
        <f>IF(metadata!M482="",FALSE,TRUE)</f>
        <v>0</v>
      </c>
      <c r="AN482">
        <f>OR(AND(IF(metadata!N482="",FALSE,TRUE),OR(exact(metadata!N482,"missing: not collected"),exact(metadata!N482,"missing: not provided"),exact(metadata!N482,"missing: restricted access"))),AND(IF(metadata!N482="",FALSE,TRUE),OR(exact(metadata!N482,"TRUE"),exact(metadata!N482,"FALSE"))))</f>
        <v>0</v>
      </c>
      <c r="AO482">
        <f>IF(metadata!O482="",FALSE,TRUE)</f>
        <v>0</v>
      </c>
      <c r="AP482">
        <f>OR(AND(IF(metadata!P482="",FALSE,TRUE),OR(exact(metadata!P482,"missing: not collected"),exact(metadata!P482,"missing: not provided"))),AND(IF(metadata!P482="",FALSE,IF(ISERROR(INT(metadata!P482)),FALSE,INT(metadata!P482)=metadata!P482)),metadata!P482&gt;0))</f>
        <v>0</v>
      </c>
      <c r="AQ482">
        <f>IF(metadata!Q482="",FALSE,TRUE)</f>
        <v>0</v>
      </c>
    </row>
    <row r="483" spans="1:43">
      <c r="A483" s="5">
        <f>IF(B483=" "," ",HYPERLINK(CONCATENATE("#metadata!",ADDRESS(INDEX($W$2:$W$1001,MATCH(ROWS($U$2:U483),$U$2:$U$1001,0),0),1)),INDEX($Z$2:$Z$1001,MATCH(ROWS($U$2:U483),$U$2:$U$1001,0),0)))</f>
        <v>0</v>
      </c>
      <c r="B483" s="4">
        <f>IF(OR(INDEX($V$2:$V$1001,MATCH(ROWS($U$2:U483),$U$2:$U$1001,0),1)&gt;=100000,INDEX($AB$1005:$AQ$1005,1,MATCH(COLUMNS($AB$1006:AB1006),$AB$1006:$AQ$1006,0))&gt;=100000), " ",IF(INDEX($AB$2:$AQ$1001,MATCH(ROWS($U$2:U483),$U$2:$U$1001,0),MATCH(COLUMNS($AB$1006:AB1006),$AB$1006:$AQ$1006,0)), HYPERLINK("#",""), HYPERLINK(CONCATENATE("#metadata!", ADDRESS(INDEX($W$2:$W$1001,MATCH(ROWS($U$2:U483),$U$2:$U$1001,0),0), INDEX($AB$1004:$AQ$1004,1,MATCH(COLUMNS($AB$1006:AB1006),$AB$1006:$AQ$1006,0)))),"Fix")))</f>
        <v>0</v>
      </c>
      <c r="C483" s="4">
        <f>IF(OR(INDEX($V$2:$V$1001,MATCH(ROWS($U$2:U483),$U$2:$U$1001,0),1)&gt;=100000,INDEX($AB$1005:$AQ$1005,1,MATCH(COLUMNS($AB$1006:AC1006),$AB$1006:$AQ$1006,0))&gt;=100000), " ",IF(INDEX($AB$2:$AQ$1001,MATCH(ROWS($U$2:U483),$U$2:$U$1001,0),MATCH(COLUMNS($AB$1006:AC1006),$AB$1006:$AQ$1006,0)), HYPERLINK("#",""), HYPERLINK(CONCATENATE("#metadata!", ADDRESS(INDEX($W$2:$W$1001,MATCH(ROWS($U$2:U483),$U$2:$U$1001,0),0), INDEX($AB$1004:$AQ$1004,1,MATCH(COLUMNS($AB$1006:AC1006),$AB$1006:$AQ$1006,0)))),"Fix")))</f>
        <v>0</v>
      </c>
      <c r="D483" s="4">
        <f>IF(OR(INDEX($V$2:$V$1001,MATCH(ROWS($U$2:U483),$U$2:$U$1001,0),1)&gt;=100000,INDEX($AB$1005:$AQ$1005,1,MATCH(COLUMNS($AB$1006:AD1006),$AB$1006:$AQ$1006,0))&gt;=100000), " ",IF(INDEX($AB$2:$AQ$1001,MATCH(ROWS($U$2:U483),$U$2:$U$1001,0),MATCH(COLUMNS($AB$1006:AD1006),$AB$1006:$AQ$1006,0)), HYPERLINK("#",""), HYPERLINK(CONCATENATE("#metadata!", ADDRESS(INDEX($W$2:$W$1001,MATCH(ROWS($U$2:U483),$U$2:$U$1001,0),0), INDEX($AB$1004:$AQ$1004,1,MATCH(COLUMNS($AB$1006:AD1006),$AB$1006:$AQ$1006,0)))),"Fix")))</f>
        <v>0</v>
      </c>
      <c r="E483" s="4">
        <f>IF(OR(INDEX($V$2:$V$1001,MATCH(ROWS($U$2:U483),$U$2:$U$1001,0),1)&gt;=100000,INDEX($AB$1005:$AQ$1005,1,MATCH(COLUMNS($AB$1006:AE1006),$AB$1006:$AQ$1006,0))&gt;=100000), " ",IF(INDEX($AB$2:$AQ$1001,MATCH(ROWS($U$2:U483),$U$2:$U$1001,0),MATCH(COLUMNS($AB$1006:AE1006),$AB$1006:$AQ$1006,0)), HYPERLINK("#",""), HYPERLINK(CONCATENATE("#metadata!", ADDRESS(INDEX($W$2:$W$1001,MATCH(ROWS($U$2:U483),$U$2:$U$1001,0),0), INDEX($AB$1004:$AQ$1004,1,MATCH(COLUMNS($AB$1006:AE1006),$AB$1006:$AQ$1006,0)))),"Fix")))</f>
        <v>0</v>
      </c>
      <c r="F483" s="4">
        <f>IF(OR(INDEX($V$2:$V$1001,MATCH(ROWS($U$2:U483),$U$2:$U$1001,0),1)&gt;=100000,INDEX($AB$1005:$AQ$1005,1,MATCH(COLUMNS($AB$1006:AF1006),$AB$1006:$AQ$1006,0))&gt;=100000), " ",IF(INDEX($AB$2:$AQ$1001,MATCH(ROWS($U$2:U483),$U$2:$U$1001,0),MATCH(COLUMNS($AB$1006:AF1006),$AB$1006:$AQ$1006,0)), HYPERLINK("#",""), HYPERLINK(CONCATENATE("#metadata!", ADDRESS(INDEX($W$2:$W$1001,MATCH(ROWS($U$2:U483),$U$2:$U$1001,0),0), INDEX($AB$1004:$AQ$1004,1,MATCH(COLUMNS($AB$1006:AF1006),$AB$1006:$AQ$1006,0)))),"Fix")))</f>
        <v>0</v>
      </c>
      <c r="G483" s="4">
        <f>IF(OR(INDEX($V$2:$V$1001,MATCH(ROWS($U$2:U483),$U$2:$U$1001,0),1)&gt;=100000,INDEX($AB$1005:$AQ$1005,1,MATCH(COLUMNS($AB$1006:AG1006),$AB$1006:$AQ$1006,0))&gt;=100000), " ",IF(INDEX($AB$2:$AQ$1001,MATCH(ROWS($U$2:U483),$U$2:$U$1001,0),MATCH(COLUMNS($AB$1006:AG1006),$AB$1006:$AQ$1006,0)), HYPERLINK("#",""), HYPERLINK(CONCATENATE("#metadata!", ADDRESS(INDEX($W$2:$W$1001,MATCH(ROWS($U$2:U483),$U$2:$U$1001,0),0), INDEX($AB$1004:$AQ$1004,1,MATCH(COLUMNS($AB$1006:AG1006),$AB$1006:$AQ$1006,0)))),"Fix")))</f>
        <v>0</v>
      </c>
      <c r="H483" s="4">
        <f>IF(OR(INDEX($V$2:$V$1001,MATCH(ROWS($U$2:U483),$U$2:$U$1001,0),1)&gt;=100000,INDEX($AB$1005:$AQ$1005,1,MATCH(COLUMNS($AB$1006:AH1006),$AB$1006:$AQ$1006,0))&gt;=100000), " ",IF(INDEX($AB$2:$AQ$1001,MATCH(ROWS($U$2:U483),$U$2:$U$1001,0),MATCH(COLUMNS($AB$1006:AH1006),$AB$1006:$AQ$1006,0)), HYPERLINK("#",""), HYPERLINK(CONCATENATE("#metadata!", ADDRESS(INDEX($W$2:$W$1001,MATCH(ROWS($U$2:U483),$U$2:$U$1001,0),0), INDEX($AB$1004:$AQ$1004,1,MATCH(COLUMNS($AB$1006:AH1006),$AB$1006:$AQ$1006,0)))),"Fix")))</f>
        <v>0</v>
      </c>
      <c r="I483" s="4">
        <f>IF(OR(INDEX($V$2:$V$1001,MATCH(ROWS($U$2:U483),$U$2:$U$1001,0),1)&gt;=100000,INDEX($AB$1005:$AQ$1005,1,MATCH(COLUMNS($AB$1006:AI1006),$AB$1006:$AQ$1006,0))&gt;=100000), " ",IF(INDEX($AB$2:$AQ$1001,MATCH(ROWS($U$2:U483),$U$2:$U$1001,0),MATCH(COLUMNS($AB$1006:AI1006),$AB$1006:$AQ$1006,0)), HYPERLINK("#",""), HYPERLINK(CONCATENATE("#metadata!", ADDRESS(INDEX($W$2:$W$1001,MATCH(ROWS($U$2:U483),$U$2:$U$1001,0),0), INDEX($AB$1004:$AQ$1004,1,MATCH(COLUMNS($AB$1006:AI1006),$AB$1006:$AQ$1006,0)))),"Fix")))</f>
        <v>0</v>
      </c>
      <c r="J483" s="4">
        <f>IF(OR(INDEX($V$2:$V$1001,MATCH(ROWS($U$2:U483),$U$2:$U$1001,0),1)&gt;=100000,INDEX($AB$1005:$AQ$1005,1,MATCH(COLUMNS($AB$1006:AJ1006),$AB$1006:$AQ$1006,0))&gt;=100000), " ",IF(INDEX($AB$2:$AQ$1001,MATCH(ROWS($U$2:U483),$U$2:$U$1001,0),MATCH(COLUMNS($AB$1006:AJ1006),$AB$1006:$AQ$1006,0)), HYPERLINK("#",""), HYPERLINK(CONCATENATE("#metadata!", ADDRESS(INDEX($W$2:$W$1001,MATCH(ROWS($U$2:U483),$U$2:$U$1001,0),0), INDEX($AB$1004:$AQ$1004,1,MATCH(COLUMNS($AB$1006:AJ1006),$AB$1006:$AQ$1006,0)))),"Fix")))</f>
        <v>0</v>
      </c>
      <c r="K483" s="4">
        <f>IF(OR(INDEX($V$2:$V$1001,MATCH(ROWS($U$2:U483),$U$2:$U$1001,0),1)&gt;=100000,INDEX($AB$1005:$AQ$1005,1,MATCH(COLUMNS($AB$1006:AK1006),$AB$1006:$AQ$1006,0))&gt;=100000), " ",IF(INDEX($AB$2:$AQ$1001,MATCH(ROWS($U$2:U483),$U$2:$U$1001,0),MATCH(COLUMNS($AB$1006:AK1006),$AB$1006:$AQ$1006,0)), HYPERLINK("#",""), HYPERLINK(CONCATENATE("#metadata!", ADDRESS(INDEX($W$2:$W$1001,MATCH(ROWS($U$2:U483),$U$2:$U$1001,0),0), INDEX($AB$1004:$AQ$1004,1,MATCH(COLUMNS($AB$1006:AK1006),$AB$1006:$AQ$1006,0)))),"Fix")))</f>
        <v>0</v>
      </c>
      <c r="L483" s="4">
        <f>IF(OR(INDEX($V$2:$V$1001,MATCH(ROWS($U$2:U483),$U$2:$U$1001,0),1)&gt;=100000,INDEX($AB$1005:$AQ$1005,1,MATCH(COLUMNS($AB$1006:AL1006),$AB$1006:$AQ$1006,0))&gt;=100000), " ",IF(INDEX($AB$2:$AQ$1001,MATCH(ROWS($U$2:U483),$U$2:$U$1001,0),MATCH(COLUMNS($AB$1006:AL1006),$AB$1006:$AQ$1006,0)), HYPERLINK("#",""), HYPERLINK(CONCATENATE("#metadata!", ADDRESS(INDEX($W$2:$W$1001,MATCH(ROWS($U$2:U483),$U$2:$U$1001,0),0), INDEX($AB$1004:$AQ$1004,1,MATCH(COLUMNS($AB$1006:AL1006),$AB$1006:$AQ$1006,0)))),"Fix")))</f>
        <v>0</v>
      </c>
      <c r="M483" s="4">
        <f>IF(OR(INDEX($V$2:$V$1001,MATCH(ROWS($U$2:U483),$U$2:$U$1001,0),1)&gt;=100000,INDEX($AB$1005:$AQ$1005,1,MATCH(COLUMNS($AB$1006:AM1006),$AB$1006:$AQ$1006,0))&gt;=100000), " ",IF(INDEX($AB$2:$AQ$1001,MATCH(ROWS($U$2:U483),$U$2:$U$1001,0),MATCH(COLUMNS($AB$1006:AM1006),$AB$1006:$AQ$1006,0)), HYPERLINK("#",""), HYPERLINK(CONCATENATE("#metadata!", ADDRESS(INDEX($W$2:$W$1001,MATCH(ROWS($U$2:U483),$U$2:$U$1001,0),0), INDEX($AB$1004:$AQ$1004,1,MATCH(COLUMNS($AB$1006:AM1006),$AB$1006:$AQ$1006,0)))),"Fix")))</f>
        <v>0</v>
      </c>
      <c r="N483" s="4">
        <f>IF(OR(INDEX($V$2:$V$1001,MATCH(ROWS($U$2:U483),$U$2:$U$1001,0),1)&gt;=100000,INDEX($AB$1005:$AQ$1005,1,MATCH(COLUMNS($AB$1006:AN1006),$AB$1006:$AQ$1006,0))&gt;=100000), " ",IF(INDEX($AB$2:$AQ$1001,MATCH(ROWS($U$2:U483),$U$2:$U$1001,0),MATCH(COLUMNS($AB$1006:AN1006),$AB$1006:$AQ$1006,0)), HYPERLINK("#",""), HYPERLINK(CONCATENATE("#metadata!", ADDRESS(INDEX($W$2:$W$1001,MATCH(ROWS($U$2:U483),$U$2:$U$1001,0),0), INDEX($AB$1004:$AQ$1004,1,MATCH(COLUMNS($AB$1006:AN1006),$AB$1006:$AQ$1006,0)))),"Fix")))</f>
        <v>0</v>
      </c>
      <c r="O483" s="4">
        <f>IF(OR(INDEX($V$2:$V$1001,MATCH(ROWS($U$2:U483),$U$2:$U$1001,0),1)&gt;=100000,INDEX($AB$1005:$AQ$1005,1,MATCH(COLUMNS($AB$1006:AO1006),$AB$1006:$AQ$1006,0))&gt;=100000), " ",IF(INDEX($AB$2:$AQ$1001,MATCH(ROWS($U$2:U483),$U$2:$U$1001,0),MATCH(COLUMNS($AB$1006:AO1006),$AB$1006:$AQ$1006,0)), HYPERLINK("#",""), HYPERLINK(CONCATENATE("#metadata!", ADDRESS(INDEX($W$2:$W$1001,MATCH(ROWS($U$2:U483),$U$2:$U$1001,0),0), INDEX($AB$1004:$AQ$1004,1,MATCH(COLUMNS($AB$1006:AO1006),$AB$1006:$AQ$1006,0)))),"Fix")))</f>
        <v>0</v>
      </c>
      <c r="P483" s="4">
        <f>IF(OR(INDEX($V$2:$V$1001,MATCH(ROWS($U$2:U483),$U$2:$U$1001,0),1)&gt;=100000,INDEX($AB$1005:$AQ$1005,1,MATCH(COLUMNS($AB$1006:AP1006),$AB$1006:$AQ$1006,0))&gt;=100000), " ",IF(INDEX($AB$2:$AQ$1001,MATCH(ROWS($U$2:U483),$U$2:$U$1001,0),MATCH(COLUMNS($AB$1006:AP1006),$AB$1006:$AQ$1006,0)), HYPERLINK("#",""), HYPERLINK(CONCATENATE("#metadata!", ADDRESS(INDEX($W$2:$W$1001,MATCH(ROWS($U$2:U483),$U$2:$U$1001,0),0), INDEX($AB$1004:$AQ$1004,1,MATCH(COLUMNS($AB$1006:AP1006),$AB$1006:$AQ$1006,0)))),"Fix")))</f>
        <v>0</v>
      </c>
      <c r="Q483" s="4">
        <f>IF(OR(INDEX($V$2:$V$1001,MATCH(ROWS($U$2:U483),$U$2:$U$1001,0),1)&gt;=100000,INDEX($AB$1005:$AQ$1005,1,MATCH(COLUMNS($AB$1006:AQ1006),$AB$1006:$AQ$1006,0))&gt;=100000), " ",IF(INDEX($AB$2:$AQ$1001,MATCH(ROWS($U$2:U483),$U$2:$U$1001,0),MATCH(COLUMNS($AB$1006:AQ1006),$AB$1006:$AQ$1006,0)), HYPERLINK("#",""), HYPERLINK(CONCATENATE("#metadata!", ADDRESS(INDEX($W$2:$W$1001,MATCH(ROWS($U$2:U483),$U$2:$U$1001,0),0), INDEX($AB$1004:$AQ$1004,1,MATCH(COLUMNS($AB$1006:AQ1006),$AB$1006:$AQ$1006,0)))),"Fix")))</f>
        <v>0</v>
      </c>
      <c r="U483">
        <v>0</v>
      </c>
      <c r="V483">
        <v>0</v>
      </c>
      <c r="W483">
        <v>0</v>
      </c>
      <c r="X483">
        <f>IF(Y483,TRUE,AND(AB483:AQ483))</f>
        <v>0</v>
      </c>
      <c r="Y483">
        <f>COUNTBLANK(metadata!B483:Q483)=COLUMNS(metadata!B483:Q483)</f>
        <v>0</v>
      </c>
      <c r="Z483">
        <v>0</v>
      </c>
      <c r="AB483">
        <f>AND(IF(metadata!B483="",FALSE,TRUE),COUNTIF(metadata!B:B, metadata!B483) = 1,NOT(ISERROR(SUMPRODUCT(SEARCH(MID(metadata!B483,ROW(INDIRECT("1:"&amp;LEN(metadata!B483))), 1),"0123456789abcdefghijklmnopqrstuvwxyzABCDEFGHIJKLMNOPQRSTUVWXYZ.")))))</f>
        <v>0</v>
      </c>
      <c r="AC483">
        <f>OR(AND(IF(metadata!C483="",FALSE,TRUE),OR(exact(metadata!C483,"missing: not collected"),exact(metadata!C483,"missing: not provided"),exact(metadata!C483,"missing: restricted access"))),AND(IF(metadata!C483="",FALSE,TRUE),AND(AND(IFERROR(INT(LEFT(metadata!C483,4))&gt;1900,FALSE),IFERROR(INT(LEFT(metadata!C483,4))&lt;=YEAR(NOW()),FALSE)), OR(MID(metadata!C483,5,1)="", AND(AND(MID(metadata!C483,5,1)="-",IFERROR(INT(MID(metadata!C483,6,1))&gt;=0,FALSE),IFERROR(INT(MID(metadata!C483,6,1))&lt;=1,FALSE),NOT(MID(metadata!C483,7,1)=""),IFERROR(INT(MID(metadata!C483,6,2))&gt;=1,FALSE),IFERROR(INT(MID(metadata!C483,6,2))&lt;=12,FALSE)), OR(MID(metadata!C483,8,1)="", AND(AND(MID(metadata!C483,8,1)="-",IFERROR(INT(MID(metadata!C483,9,1))&gt;=0,FALSE),IFERROR(INT(MID(metadata!C483,9,1))&lt;=3,FALSE),NOT(MID(metadata!C483,10,1)=""),IFERROR(INT(MID(metadata!C483,9,2))&gt;=1,FALSE),IFERROR(INT(MID(metadata!C483,9,2))&lt;=31,FALSE)), OR(MID(metadata!C483,11,1)="", AND(AND(MID(metadata!C483,11,1)=" ",IFERROR(INT(MID(metadata!C483,12,1))&gt;=0,FALSE),IFERROR(INT(MID(metadata!C483,12,1))&lt;=2,FALSE),NOT(MID(metadata!C483,13,1)=""),IFERROR(INT(MID(metadata!C483,12,2))&gt;=0,FALSE),IFERROR(INT(MID(metadata!C483,12,2))&lt;=23,FALSE)), OR(MID(metadata!C483,14,1)="", AND(AND(MID(metadata!C483,14,1)=":",IFERROR(INT(MID(metadata!C483,15,1))&gt;=0,FALSE),IFERROR(INT(MID(metadata!C483,15,1))&lt;=5,FALSE),NOT(MID(metadata!C483,16,1)=""),IFERROR(INT(MID(metadata!C483,15,2))&gt;=0,FALSE),IFERROR(INT(MID(metadata!C483,15,2))&lt;=59,FALSE)), OR(MID(metadata!C483,17,1)="", AND(AND(MID(metadata!C483,17,1)=":",IFERROR(INT(MID(metadata!C483,18,1))&gt;=0,FALSE),IFERROR(INT(MID(metadata!C483,18,1))&lt;=5,FALSE),NOT(MID(metadata!C483,19,1)=""),IFERROR(INT(MID(metadata!C483,18,2))&gt;=0,FALSE),IFERROR(INT(MID(metadata!C483,18,2))&lt;=59,FALSE)), LEN(metadata!C483)&lt;=19)))))))))))))</f>
        <v>0</v>
      </c>
      <c r="AD483">
        <f>IF(metadata!D483="",FALSE,TRUE)</f>
        <v>0</v>
      </c>
      <c r="AE483">
        <f>OR(AND(IF(metadata!E483="",FALSE,TRUE),OR(exact(metadata!E483,"missing: not collected"),exact(metadata!E483,"missing: not provided"))),AND(IF(metadata!E483="",FALSE,TRUE),OR(exact(metadata!E483,"TRUE"),exact(metadata!E483,"FALSE"))))</f>
        <v>0</v>
      </c>
      <c r="AF483">
        <f>IF(metadata!F483="",FALSE,TRUE)</f>
        <v>0</v>
      </c>
      <c r="AG483">
        <f>IF(metadata!G483="",FALSE,TRUE)</f>
        <v>0</v>
      </c>
      <c r="AH483">
        <f>IF(metadata!H483="",FALSE,TRUE)</f>
        <v>0</v>
      </c>
      <c r="AI483">
        <f>OR(AND(IF(metadata!I483="",FALSE,TRUE),OR(exact(metadata!I483,"missing: not collected"),exact(metadata!I483,"missing: not provided"),exact(metadata!I483,"missing: restricted access"))),AND(IF(metadata!I483="",FALSE,TRUE),OR(exact(metadata!I483,"air"),exact(metadata!I483,"built environment"),exact(metadata!I483,"host-associated"),exact(metadata!I483,"human-associated"),exact(metadata!I483,"human-skin"),exact(metadata!I483,"human-oral"),exact(metadata!I483,"human-gut"),exact(metadata!I483,"human-vaginal"),exact(metadata!I483,"microbial mat/biofilm"),exact(metadata!I483,"misc environment"),exact(metadata!I483,"plant-associated"),exact(metadata!I483,"sediment"),exact(metadata!I483,"soil"),exact(metadata!I483,"wastewater/sludge"),exact(metadata!I483,"water"))))</f>
        <v>0</v>
      </c>
      <c r="AJ483">
        <f>IF(metadata!J483="",FALSE,TRUE)</f>
        <v>0</v>
      </c>
      <c r="AK483">
        <f>OR(AND(IF(metadata!K483="",FALSE,TRUE),OR(exact(metadata!K483,"missing: not collected"),exact(metadata!K483,"missing: not provided"),exact(metadata!K483,"missing: restricted access"))),AND(IF(metadata!K483="",FALSE,ISNUMBER(VALUE(metadata!K483))),metadata!K483&gt;=-90.00,metadata!K483&lt;=90.00))</f>
        <v>0</v>
      </c>
      <c r="AL483">
        <f>OR(AND(IF(metadata!L483="",FALSE,TRUE),OR(exact(metadata!L483,"missing: not collected"),exact(metadata!L483,"missing: not provided"),exact(metadata!L483,"missing: restricted access"))),AND(IF(metadata!L483="",FALSE,ISNUMBER(VALUE(metadata!L483))),metadata!L483&gt;=-180.00,metadata!L483&lt;=180.00))</f>
        <v>0</v>
      </c>
      <c r="AM483">
        <f>IF(metadata!M483="",FALSE,TRUE)</f>
        <v>0</v>
      </c>
      <c r="AN483">
        <f>OR(AND(IF(metadata!N483="",FALSE,TRUE),OR(exact(metadata!N483,"missing: not collected"),exact(metadata!N483,"missing: not provided"),exact(metadata!N483,"missing: restricted access"))),AND(IF(metadata!N483="",FALSE,TRUE),OR(exact(metadata!N483,"TRUE"),exact(metadata!N483,"FALSE"))))</f>
        <v>0</v>
      </c>
      <c r="AO483">
        <f>IF(metadata!O483="",FALSE,TRUE)</f>
        <v>0</v>
      </c>
      <c r="AP483">
        <f>OR(AND(IF(metadata!P483="",FALSE,TRUE),OR(exact(metadata!P483,"missing: not collected"),exact(metadata!P483,"missing: not provided"))),AND(IF(metadata!P483="",FALSE,IF(ISERROR(INT(metadata!P483)),FALSE,INT(metadata!P483)=metadata!P483)),metadata!P483&gt;0))</f>
        <v>0</v>
      </c>
      <c r="AQ483">
        <f>IF(metadata!Q483="",FALSE,TRUE)</f>
        <v>0</v>
      </c>
    </row>
    <row r="484" spans="1:43">
      <c r="A484" s="5">
        <f>IF(B484=" "," ",HYPERLINK(CONCATENATE("#metadata!",ADDRESS(INDEX($W$2:$W$1001,MATCH(ROWS($U$2:U484),$U$2:$U$1001,0),0),1)),INDEX($Z$2:$Z$1001,MATCH(ROWS($U$2:U484),$U$2:$U$1001,0),0)))</f>
        <v>0</v>
      </c>
      <c r="B484" s="4">
        <f>IF(OR(INDEX($V$2:$V$1001,MATCH(ROWS($U$2:U484),$U$2:$U$1001,0),1)&gt;=100000,INDEX($AB$1005:$AQ$1005,1,MATCH(COLUMNS($AB$1006:AB1006),$AB$1006:$AQ$1006,0))&gt;=100000), " ",IF(INDEX($AB$2:$AQ$1001,MATCH(ROWS($U$2:U484),$U$2:$U$1001,0),MATCH(COLUMNS($AB$1006:AB1006),$AB$1006:$AQ$1006,0)), HYPERLINK("#",""), HYPERLINK(CONCATENATE("#metadata!", ADDRESS(INDEX($W$2:$W$1001,MATCH(ROWS($U$2:U484),$U$2:$U$1001,0),0), INDEX($AB$1004:$AQ$1004,1,MATCH(COLUMNS($AB$1006:AB1006),$AB$1006:$AQ$1006,0)))),"Fix")))</f>
        <v>0</v>
      </c>
      <c r="C484" s="4">
        <f>IF(OR(INDEX($V$2:$V$1001,MATCH(ROWS($U$2:U484),$U$2:$U$1001,0),1)&gt;=100000,INDEX($AB$1005:$AQ$1005,1,MATCH(COLUMNS($AB$1006:AC1006),$AB$1006:$AQ$1006,0))&gt;=100000), " ",IF(INDEX($AB$2:$AQ$1001,MATCH(ROWS($U$2:U484),$U$2:$U$1001,0),MATCH(COLUMNS($AB$1006:AC1006),$AB$1006:$AQ$1006,0)), HYPERLINK("#",""), HYPERLINK(CONCATENATE("#metadata!", ADDRESS(INDEX($W$2:$W$1001,MATCH(ROWS($U$2:U484),$U$2:$U$1001,0),0), INDEX($AB$1004:$AQ$1004,1,MATCH(COLUMNS($AB$1006:AC1006),$AB$1006:$AQ$1006,0)))),"Fix")))</f>
        <v>0</v>
      </c>
      <c r="D484" s="4">
        <f>IF(OR(INDEX($V$2:$V$1001,MATCH(ROWS($U$2:U484),$U$2:$U$1001,0),1)&gt;=100000,INDEX($AB$1005:$AQ$1005,1,MATCH(COLUMNS($AB$1006:AD1006),$AB$1006:$AQ$1006,0))&gt;=100000), " ",IF(INDEX($AB$2:$AQ$1001,MATCH(ROWS($U$2:U484),$U$2:$U$1001,0),MATCH(COLUMNS($AB$1006:AD1006),$AB$1006:$AQ$1006,0)), HYPERLINK("#",""), HYPERLINK(CONCATENATE("#metadata!", ADDRESS(INDEX($W$2:$W$1001,MATCH(ROWS($U$2:U484),$U$2:$U$1001,0),0), INDEX($AB$1004:$AQ$1004,1,MATCH(COLUMNS($AB$1006:AD1006),$AB$1006:$AQ$1006,0)))),"Fix")))</f>
        <v>0</v>
      </c>
      <c r="E484" s="4">
        <f>IF(OR(INDEX($V$2:$V$1001,MATCH(ROWS($U$2:U484),$U$2:$U$1001,0),1)&gt;=100000,INDEX($AB$1005:$AQ$1005,1,MATCH(COLUMNS($AB$1006:AE1006),$AB$1006:$AQ$1006,0))&gt;=100000), " ",IF(INDEX($AB$2:$AQ$1001,MATCH(ROWS($U$2:U484),$U$2:$U$1001,0),MATCH(COLUMNS($AB$1006:AE1006),$AB$1006:$AQ$1006,0)), HYPERLINK("#",""), HYPERLINK(CONCATENATE("#metadata!", ADDRESS(INDEX($W$2:$W$1001,MATCH(ROWS($U$2:U484),$U$2:$U$1001,0),0), INDEX($AB$1004:$AQ$1004,1,MATCH(COLUMNS($AB$1006:AE1006),$AB$1006:$AQ$1006,0)))),"Fix")))</f>
        <v>0</v>
      </c>
      <c r="F484" s="4">
        <f>IF(OR(INDEX($V$2:$V$1001,MATCH(ROWS($U$2:U484),$U$2:$U$1001,0),1)&gt;=100000,INDEX($AB$1005:$AQ$1005,1,MATCH(COLUMNS($AB$1006:AF1006),$AB$1006:$AQ$1006,0))&gt;=100000), " ",IF(INDEX($AB$2:$AQ$1001,MATCH(ROWS($U$2:U484),$U$2:$U$1001,0),MATCH(COLUMNS($AB$1006:AF1006),$AB$1006:$AQ$1006,0)), HYPERLINK("#",""), HYPERLINK(CONCATENATE("#metadata!", ADDRESS(INDEX($W$2:$W$1001,MATCH(ROWS($U$2:U484),$U$2:$U$1001,0),0), INDEX($AB$1004:$AQ$1004,1,MATCH(COLUMNS($AB$1006:AF1006),$AB$1006:$AQ$1006,0)))),"Fix")))</f>
        <v>0</v>
      </c>
      <c r="G484" s="4">
        <f>IF(OR(INDEX($V$2:$V$1001,MATCH(ROWS($U$2:U484),$U$2:$U$1001,0),1)&gt;=100000,INDEX($AB$1005:$AQ$1005,1,MATCH(COLUMNS($AB$1006:AG1006),$AB$1006:$AQ$1006,0))&gt;=100000), " ",IF(INDEX($AB$2:$AQ$1001,MATCH(ROWS($U$2:U484),$U$2:$U$1001,0),MATCH(COLUMNS($AB$1006:AG1006),$AB$1006:$AQ$1006,0)), HYPERLINK("#",""), HYPERLINK(CONCATENATE("#metadata!", ADDRESS(INDEX($W$2:$W$1001,MATCH(ROWS($U$2:U484),$U$2:$U$1001,0),0), INDEX($AB$1004:$AQ$1004,1,MATCH(COLUMNS($AB$1006:AG1006),$AB$1006:$AQ$1006,0)))),"Fix")))</f>
        <v>0</v>
      </c>
      <c r="H484" s="4">
        <f>IF(OR(INDEX($V$2:$V$1001,MATCH(ROWS($U$2:U484),$U$2:$U$1001,0),1)&gt;=100000,INDEX($AB$1005:$AQ$1005,1,MATCH(COLUMNS($AB$1006:AH1006),$AB$1006:$AQ$1006,0))&gt;=100000), " ",IF(INDEX($AB$2:$AQ$1001,MATCH(ROWS($U$2:U484),$U$2:$U$1001,0),MATCH(COLUMNS($AB$1006:AH1006),$AB$1006:$AQ$1006,0)), HYPERLINK("#",""), HYPERLINK(CONCATENATE("#metadata!", ADDRESS(INDEX($W$2:$W$1001,MATCH(ROWS($U$2:U484),$U$2:$U$1001,0),0), INDEX($AB$1004:$AQ$1004,1,MATCH(COLUMNS($AB$1006:AH1006),$AB$1006:$AQ$1006,0)))),"Fix")))</f>
        <v>0</v>
      </c>
      <c r="I484" s="4">
        <f>IF(OR(INDEX($V$2:$V$1001,MATCH(ROWS($U$2:U484),$U$2:$U$1001,0),1)&gt;=100000,INDEX($AB$1005:$AQ$1005,1,MATCH(COLUMNS($AB$1006:AI1006),$AB$1006:$AQ$1006,0))&gt;=100000), " ",IF(INDEX($AB$2:$AQ$1001,MATCH(ROWS($U$2:U484),$U$2:$U$1001,0),MATCH(COLUMNS($AB$1006:AI1006),$AB$1006:$AQ$1006,0)), HYPERLINK("#",""), HYPERLINK(CONCATENATE("#metadata!", ADDRESS(INDEX($W$2:$W$1001,MATCH(ROWS($U$2:U484),$U$2:$U$1001,0),0), INDEX($AB$1004:$AQ$1004,1,MATCH(COLUMNS($AB$1006:AI1006),$AB$1006:$AQ$1006,0)))),"Fix")))</f>
        <v>0</v>
      </c>
      <c r="J484" s="4">
        <f>IF(OR(INDEX($V$2:$V$1001,MATCH(ROWS($U$2:U484),$U$2:$U$1001,0),1)&gt;=100000,INDEX($AB$1005:$AQ$1005,1,MATCH(COLUMNS($AB$1006:AJ1006),$AB$1006:$AQ$1006,0))&gt;=100000), " ",IF(INDEX($AB$2:$AQ$1001,MATCH(ROWS($U$2:U484),$U$2:$U$1001,0),MATCH(COLUMNS($AB$1006:AJ1006),$AB$1006:$AQ$1006,0)), HYPERLINK("#",""), HYPERLINK(CONCATENATE("#metadata!", ADDRESS(INDEX($W$2:$W$1001,MATCH(ROWS($U$2:U484),$U$2:$U$1001,0),0), INDEX($AB$1004:$AQ$1004,1,MATCH(COLUMNS($AB$1006:AJ1006),$AB$1006:$AQ$1006,0)))),"Fix")))</f>
        <v>0</v>
      </c>
      <c r="K484" s="4">
        <f>IF(OR(INDEX($V$2:$V$1001,MATCH(ROWS($U$2:U484),$U$2:$U$1001,0),1)&gt;=100000,INDEX($AB$1005:$AQ$1005,1,MATCH(COLUMNS($AB$1006:AK1006),$AB$1006:$AQ$1006,0))&gt;=100000), " ",IF(INDEX($AB$2:$AQ$1001,MATCH(ROWS($U$2:U484),$U$2:$U$1001,0),MATCH(COLUMNS($AB$1006:AK1006),$AB$1006:$AQ$1006,0)), HYPERLINK("#",""), HYPERLINK(CONCATENATE("#metadata!", ADDRESS(INDEX($W$2:$W$1001,MATCH(ROWS($U$2:U484),$U$2:$U$1001,0),0), INDEX($AB$1004:$AQ$1004,1,MATCH(COLUMNS($AB$1006:AK1006),$AB$1006:$AQ$1006,0)))),"Fix")))</f>
        <v>0</v>
      </c>
      <c r="L484" s="4">
        <f>IF(OR(INDEX($V$2:$V$1001,MATCH(ROWS($U$2:U484),$U$2:$U$1001,0),1)&gt;=100000,INDEX($AB$1005:$AQ$1005,1,MATCH(COLUMNS($AB$1006:AL1006),$AB$1006:$AQ$1006,0))&gt;=100000), " ",IF(INDEX($AB$2:$AQ$1001,MATCH(ROWS($U$2:U484),$U$2:$U$1001,0),MATCH(COLUMNS($AB$1006:AL1006),$AB$1006:$AQ$1006,0)), HYPERLINK("#",""), HYPERLINK(CONCATENATE("#metadata!", ADDRESS(INDEX($W$2:$W$1001,MATCH(ROWS($U$2:U484),$U$2:$U$1001,0),0), INDEX($AB$1004:$AQ$1004,1,MATCH(COLUMNS($AB$1006:AL1006),$AB$1006:$AQ$1006,0)))),"Fix")))</f>
        <v>0</v>
      </c>
      <c r="M484" s="4">
        <f>IF(OR(INDEX($V$2:$V$1001,MATCH(ROWS($U$2:U484),$U$2:$U$1001,0),1)&gt;=100000,INDEX($AB$1005:$AQ$1005,1,MATCH(COLUMNS($AB$1006:AM1006),$AB$1006:$AQ$1006,0))&gt;=100000), " ",IF(INDEX($AB$2:$AQ$1001,MATCH(ROWS($U$2:U484),$U$2:$U$1001,0),MATCH(COLUMNS($AB$1006:AM1006),$AB$1006:$AQ$1006,0)), HYPERLINK("#",""), HYPERLINK(CONCATENATE("#metadata!", ADDRESS(INDEX($W$2:$W$1001,MATCH(ROWS($U$2:U484),$U$2:$U$1001,0),0), INDEX($AB$1004:$AQ$1004,1,MATCH(COLUMNS($AB$1006:AM1006),$AB$1006:$AQ$1006,0)))),"Fix")))</f>
        <v>0</v>
      </c>
      <c r="N484" s="4">
        <f>IF(OR(INDEX($V$2:$V$1001,MATCH(ROWS($U$2:U484),$U$2:$U$1001,0),1)&gt;=100000,INDEX($AB$1005:$AQ$1005,1,MATCH(COLUMNS($AB$1006:AN1006),$AB$1006:$AQ$1006,0))&gt;=100000), " ",IF(INDEX($AB$2:$AQ$1001,MATCH(ROWS($U$2:U484),$U$2:$U$1001,0),MATCH(COLUMNS($AB$1006:AN1006),$AB$1006:$AQ$1006,0)), HYPERLINK("#",""), HYPERLINK(CONCATENATE("#metadata!", ADDRESS(INDEX($W$2:$W$1001,MATCH(ROWS($U$2:U484),$U$2:$U$1001,0),0), INDEX($AB$1004:$AQ$1004,1,MATCH(COLUMNS($AB$1006:AN1006),$AB$1006:$AQ$1006,0)))),"Fix")))</f>
        <v>0</v>
      </c>
      <c r="O484" s="4">
        <f>IF(OR(INDEX($V$2:$V$1001,MATCH(ROWS($U$2:U484),$U$2:$U$1001,0),1)&gt;=100000,INDEX($AB$1005:$AQ$1005,1,MATCH(COLUMNS($AB$1006:AO1006),$AB$1006:$AQ$1006,0))&gt;=100000), " ",IF(INDEX($AB$2:$AQ$1001,MATCH(ROWS($U$2:U484),$U$2:$U$1001,0),MATCH(COLUMNS($AB$1006:AO1006),$AB$1006:$AQ$1006,0)), HYPERLINK("#",""), HYPERLINK(CONCATENATE("#metadata!", ADDRESS(INDEX($W$2:$W$1001,MATCH(ROWS($U$2:U484),$U$2:$U$1001,0),0), INDEX($AB$1004:$AQ$1004,1,MATCH(COLUMNS($AB$1006:AO1006),$AB$1006:$AQ$1006,0)))),"Fix")))</f>
        <v>0</v>
      </c>
      <c r="P484" s="4">
        <f>IF(OR(INDEX($V$2:$V$1001,MATCH(ROWS($U$2:U484),$U$2:$U$1001,0),1)&gt;=100000,INDEX($AB$1005:$AQ$1005,1,MATCH(COLUMNS($AB$1006:AP1006),$AB$1006:$AQ$1006,0))&gt;=100000), " ",IF(INDEX($AB$2:$AQ$1001,MATCH(ROWS($U$2:U484),$U$2:$U$1001,0),MATCH(COLUMNS($AB$1006:AP1006),$AB$1006:$AQ$1006,0)), HYPERLINK("#",""), HYPERLINK(CONCATENATE("#metadata!", ADDRESS(INDEX($W$2:$W$1001,MATCH(ROWS($U$2:U484),$U$2:$U$1001,0),0), INDEX($AB$1004:$AQ$1004,1,MATCH(COLUMNS($AB$1006:AP1006),$AB$1006:$AQ$1006,0)))),"Fix")))</f>
        <v>0</v>
      </c>
      <c r="Q484" s="4">
        <f>IF(OR(INDEX($V$2:$V$1001,MATCH(ROWS($U$2:U484),$U$2:$U$1001,0),1)&gt;=100000,INDEX($AB$1005:$AQ$1005,1,MATCH(COLUMNS($AB$1006:AQ1006),$AB$1006:$AQ$1006,0))&gt;=100000), " ",IF(INDEX($AB$2:$AQ$1001,MATCH(ROWS($U$2:U484),$U$2:$U$1001,0),MATCH(COLUMNS($AB$1006:AQ1006),$AB$1006:$AQ$1006,0)), HYPERLINK("#",""), HYPERLINK(CONCATENATE("#metadata!", ADDRESS(INDEX($W$2:$W$1001,MATCH(ROWS($U$2:U484),$U$2:$U$1001,0),0), INDEX($AB$1004:$AQ$1004,1,MATCH(COLUMNS($AB$1006:AQ1006),$AB$1006:$AQ$1006,0)))),"Fix")))</f>
        <v>0</v>
      </c>
      <c r="U484">
        <v>0</v>
      </c>
      <c r="V484">
        <v>0</v>
      </c>
      <c r="W484">
        <v>0</v>
      </c>
      <c r="X484">
        <f>IF(Y484,TRUE,AND(AB484:AQ484))</f>
        <v>0</v>
      </c>
      <c r="Y484">
        <f>COUNTBLANK(metadata!B484:Q484)=COLUMNS(metadata!B484:Q484)</f>
        <v>0</v>
      </c>
      <c r="Z484">
        <v>0</v>
      </c>
      <c r="AB484">
        <f>AND(IF(metadata!B484="",FALSE,TRUE),COUNTIF(metadata!B:B, metadata!B484) = 1,NOT(ISERROR(SUMPRODUCT(SEARCH(MID(metadata!B484,ROW(INDIRECT("1:"&amp;LEN(metadata!B484))), 1),"0123456789abcdefghijklmnopqrstuvwxyzABCDEFGHIJKLMNOPQRSTUVWXYZ.")))))</f>
        <v>0</v>
      </c>
      <c r="AC484">
        <f>OR(AND(IF(metadata!C484="",FALSE,TRUE),OR(exact(metadata!C484,"missing: not collected"),exact(metadata!C484,"missing: not provided"),exact(metadata!C484,"missing: restricted access"))),AND(IF(metadata!C484="",FALSE,TRUE),AND(AND(IFERROR(INT(LEFT(metadata!C484,4))&gt;1900,FALSE),IFERROR(INT(LEFT(metadata!C484,4))&lt;=YEAR(NOW()),FALSE)), OR(MID(metadata!C484,5,1)="", AND(AND(MID(metadata!C484,5,1)="-",IFERROR(INT(MID(metadata!C484,6,1))&gt;=0,FALSE),IFERROR(INT(MID(metadata!C484,6,1))&lt;=1,FALSE),NOT(MID(metadata!C484,7,1)=""),IFERROR(INT(MID(metadata!C484,6,2))&gt;=1,FALSE),IFERROR(INT(MID(metadata!C484,6,2))&lt;=12,FALSE)), OR(MID(metadata!C484,8,1)="", AND(AND(MID(metadata!C484,8,1)="-",IFERROR(INT(MID(metadata!C484,9,1))&gt;=0,FALSE),IFERROR(INT(MID(metadata!C484,9,1))&lt;=3,FALSE),NOT(MID(metadata!C484,10,1)=""),IFERROR(INT(MID(metadata!C484,9,2))&gt;=1,FALSE),IFERROR(INT(MID(metadata!C484,9,2))&lt;=31,FALSE)), OR(MID(metadata!C484,11,1)="", AND(AND(MID(metadata!C484,11,1)=" ",IFERROR(INT(MID(metadata!C484,12,1))&gt;=0,FALSE),IFERROR(INT(MID(metadata!C484,12,1))&lt;=2,FALSE),NOT(MID(metadata!C484,13,1)=""),IFERROR(INT(MID(metadata!C484,12,2))&gt;=0,FALSE),IFERROR(INT(MID(metadata!C484,12,2))&lt;=23,FALSE)), OR(MID(metadata!C484,14,1)="", AND(AND(MID(metadata!C484,14,1)=":",IFERROR(INT(MID(metadata!C484,15,1))&gt;=0,FALSE),IFERROR(INT(MID(metadata!C484,15,1))&lt;=5,FALSE),NOT(MID(metadata!C484,16,1)=""),IFERROR(INT(MID(metadata!C484,15,2))&gt;=0,FALSE),IFERROR(INT(MID(metadata!C484,15,2))&lt;=59,FALSE)), OR(MID(metadata!C484,17,1)="", AND(AND(MID(metadata!C484,17,1)=":",IFERROR(INT(MID(metadata!C484,18,1))&gt;=0,FALSE),IFERROR(INT(MID(metadata!C484,18,1))&lt;=5,FALSE),NOT(MID(metadata!C484,19,1)=""),IFERROR(INT(MID(metadata!C484,18,2))&gt;=0,FALSE),IFERROR(INT(MID(metadata!C484,18,2))&lt;=59,FALSE)), LEN(metadata!C484)&lt;=19)))))))))))))</f>
        <v>0</v>
      </c>
      <c r="AD484">
        <f>IF(metadata!D484="",FALSE,TRUE)</f>
        <v>0</v>
      </c>
      <c r="AE484">
        <f>OR(AND(IF(metadata!E484="",FALSE,TRUE),OR(exact(metadata!E484,"missing: not collected"),exact(metadata!E484,"missing: not provided"))),AND(IF(metadata!E484="",FALSE,TRUE),OR(exact(metadata!E484,"TRUE"),exact(metadata!E484,"FALSE"))))</f>
        <v>0</v>
      </c>
      <c r="AF484">
        <f>IF(metadata!F484="",FALSE,TRUE)</f>
        <v>0</v>
      </c>
      <c r="AG484">
        <f>IF(metadata!G484="",FALSE,TRUE)</f>
        <v>0</v>
      </c>
      <c r="AH484">
        <f>IF(metadata!H484="",FALSE,TRUE)</f>
        <v>0</v>
      </c>
      <c r="AI484">
        <f>OR(AND(IF(metadata!I484="",FALSE,TRUE),OR(exact(metadata!I484,"missing: not collected"),exact(metadata!I484,"missing: not provided"),exact(metadata!I484,"missing: restricted access"))),AND(IF(metadata!I484="",FALSE,TRUE),OR(exact(metadata!I484,"air"),exact(metadata!I484,"built environment"),exact(metadata!I484,"host-associated"),exact(metadata!I484,"human-associated"),exact(metadata!I484,"human-skin"),exact(metadata!I484,"human-oral"),exact(metadata!I484,"human-gut"),exact(metadata!I484,"human-vaginal"),exact(metadata!I484,"microbial mat/biofilm"),exact(metadata!I484,"misc environment"),exact(metadata!I484,"plant-associated"),exact(metadata!I484,"sediment"),exact(metadata!I484,"soil"),exact(metadata!I484,"wastewater/sludge"),exact(metadata!I484,"water"))))</f>
        <v>0</v>
      </c>
      <c r="AJ484">
        <f>IF(metadata!J484="",FALSE,TRUE)</f>
        <v>0</v>
      </c>
      <c r="AK484">
        <f>OR(AND(IF(metadata!K484="",FALSE,TRUE),OR(exact(metadata!K484,"missing: not collected"),exact(metadata!K484,"missing: not provided"),exact(metadata!K484,"missing: restricted access"))),AND(IF(metadata!K484="",FALSE,ISNUMBER(VALUE(metadata!K484))),metadata!K484&gt;=-90.00,metadata!K484&lt;=90.00))</f>
        <v>0</v>
      </c>
      <c r="AL484">
        <f>OR(AND(IF(metadata!L484="",FALSE,TRUE),OR(exact(metadata!L484,"missing: not collected"),exact(metadata!L484,"missing: not provided"),exact(metadata!L484,"missing: restricted access"))),AND(IF(metadata!L484="",FALSE,ISNUMBER(VALUE(metadata!L484))),metadata!L484&gt;=-180.00,metadata!L484&lt;=180.00))</f>
        <v>0</v>
      </c>
      <c r="AM484">
        <f>IF(metadata!M484="",FALSE,TRUE)</f>
        <v>0</v>
      </c>
      <c r="AN484">
        <f>OR(AND(IF(metadata!N484="",FALSE,TRUE),OR(exact(metadata!N484,"missing: not collected"),exact(metadata!N484,"missing: not provided"),exact(metadata!N484,"missing: restricted access"))),AND(IF(metadata!N484="",FALSE,TRUE),OR(exact(metadata!N484,"TRUE"),exact(metadata!N484,"FALSE"))))</f>
        <v>0</v>
      </c>
      <c r="AO484">
        <f>IF(metadata!O484="",FALSE,TRUE)</f>
        <v>0</v>
      </c>
      <c r="AP484">
        <f>OR(AND(IF(metadata!P484="",FALSE,TRUE),OR(exact(metadata!P484,"missing: not collected"),exact(metadata!P484,"missing: not provided"))),AND(IF(metadata!P484="",FALSE,IF(ISERROR(INT(metadata!P484)),FALSE,INT(metadata!P484)=metadata!P484)),metadata!P484&gt;0))</f>
        <v>0</v>
      </c>
      <c r="AQ484">
        <f>IF(metadata!Q484="",FALSE,TRUE)</f>
        <v>0</v>
      </c>
    </row>
    <row r="485" spans="1:43">
      <c r="A485" s="5">
        <f>IF(B485=" "," ",HYPERLINK(CONCATENATE("#metadata!",ADDRESS(INDEX($W$2:$W$1001,MATCH(ROWS($U$2:U485),$U$2:$U$1001,0),0),1)),INDEX($Z$2:$Z$1001,MATCH(ROWS($U$2:U485),$U$2:$U$1001,0),0)))</f>
        <v>0</v>
      </c>
      <c r="B485" s="4">
        <f>IF(OR(INDEX($V$2:$V$1001,MATCH(ROWS($U$2:U485),$U$2:$U$1001,0),1)&gt;=100000,INDEX($AB$1005:$AQ$1005,1,MATCH(COLUMNS($AB$1006:AB1006),$AB$1006:$AQ$1006,0))&gt;=100000), " ",IF(INDEX($AB$2:$AQ$1001,MATCH(ROWS($U$2:U485),$U$2:$U$1001,0),MATCH(COLUMNS($AB$1006:AB1006),$AB$1006:$AQ$1006,0)), HYPERLINK("#",""), HYPERLINK(CONCATENATE("#metadata!", ADDRESS(INDEX($W$2:$W$1001,MATCH(ROWS($U$2:U485),$U$2:$U$1001,0),0), INDEX($AB$1004:$AQ$1004,1,MATCH(COLUMNS($AB$1006:AB1006),$AB$1006:$AQ$1006,0)))),"Fix")))</f>
        <v>0</v>
      </c>
      <c r="C485" s="4">
        <f>IF(OR(INDEX($V$2:$V$1001,MATCH(ROWS($U$2:U485),$U$2:$U$1001,0),1)&gt;=100000,INDEX($AB$1005:$AQ$1005,1,MATCH(COLUMNS($AB$1006:AC1006),$AB$1006:$AQ$1006,0))&gt;=100000), " ",IF(INDEX($AB$2:$AQ$1001,MATCH(ROWS($U$2:U485),$U$2:$U$1001,0),MATCH(COLUMNS($AB$1006:AC1006),$AB$1006:$AQ$1006,0)), HYPERLINK("#",""), HYPERLINK(CONCATENATE("#metadata!", ADDRESS(INDEX($W$2:$W$1001,MATCH(ROWS($U$2:U485),$U$2:$U$1001,0),0), INDEX($AB$1004:$AQ$1004,1,MATCH(COLUMNS($AB$1006:AC1006),$AB$1006:$AQ$1006,0)))),"Fix")))</f>
        <v>0</v>
      </c>
      <c r="D485" s="4">
        <f>IF(OR(INDEX($V$2:$V$1001,MATCH(ROWS($U$2:U485),$U$2:$U$1001,0),1)&gt;=100000,INDEX($AB$1005:$AQ$1005,1,MATCH(COLUMNS($AB$1006:AD1006),$AB$1006:$AQ$1006,0))&gt;=100000), " ",IF(INDEX($AB$2:$AQ$1001,MATCH(ROWS($U$2:U485),$U$2:$U$1001,0),MATCH(COLUMNS($AB$1006:AD1006),$AB$1006:$AQ$1006,0)), HYPERLINK("#",""), HYPERLINK(CONCATENATE("#metadata!", ADDRESS(INDEX($W$2:$W$1001,MATCH(ROWS($U$2:U485),$U$2:$U$1001,0),0), INDEX($AB$1004:$AQ$1004,1,MATCH(COLUMNS($AB$1006:AD1006),$AB$1006:$AQ$1006,0)))),"Fix")))</f>
        <v>0</v>
      </c>
      <c r="E485" s="4">
        <f>IF(OR(INDEX($V$2:$V$1001,MATCH(ROWS($U$2:U485),$U$2:$U$1001,0),1)&gt;=100000,INDEX($AB$1005:$AQ$1005,1,MATCH(COLUMNS($AB$1006:AE1006),$AB$1006:$AQ$1006,0))&gt;=100000), " ",IF(INDEX($AB$2:$AQ$1001,MATCH(ROWS($U$2:U485),$U$2:$U$1001,0),MATCH(COLUMNS($AB$1006:AE1006),$AB$1006:$AQ$1006,0)), HYPERLINK("#",""), HYPERLINK(CONCATENATE("#metadata!", ADDRESS(INDEX($W$2:$W$1001,MATCH(ROWS($U$2:U485),$U$2:$U$1001,0),0), INDEX($AB$1004:$AQ$1004,1,MATCH(COLUMNS($AB$1006:AE1006),$AB$1006:$AQ$1006,0)))),"Fix")))</f>
        <v>0</v>
      </c>
      <c r="F485" s="4">
        <f>IF(OR(INDEX($V$2:$V$1001,MATCH(ROWS($U$2:U485),$U$2:$U$1001,0),1)&gt;=100000,INDEX($AB$1005:$AQ$1005,1,MATCH(COLUMNS($AB$1006:AF1006),$AB$1006:$AQ$1006,0))&gt;=100000), " ",IF(INDEX($AB$2:$AQ$1001,MATCH(ROWS($U$2:U485),$U$2:$U$1001,0),MATCH(COLUMNS($AB$1006:AF1006),$AB$1006:$AQ$1006,0)), HYPERLINK("#",""), HYPERLINK(CONCATENATE("#metadata!", ADDRESS(INDEX($W$2:$W$1001,MATCH(ROWS($U$2:U485),$U$2:$U$1001,0),0), INDEX($AB$1004:$AQ$1004,1,MATCH(COLUMNS($AB$1006:AF1006),$AB$1006:$AQ$1006,0)))),"Fix")))</f>
        <v>0</v>
      </c>
      <c r="G485" s="4">
        <f>IF(OR(INDEX($V$2:$V$1001,MATCH(ROWS($U$2:U485),$U$2:$U$1001,0),1)&gt;=100000,INDEX($AB$1005:$AQ$1005,1,MATCH(COLUMNS($AB$1006:AG1006),$AB$1006:$AQ$1006,0))&gt;=100000), " ",IF(INDEX($AB$2:$AQ$1001,MATCH(ROWS($U$2:U485),$U$2:$U$1001,0),MATCH(COLUMNS($AB$1006:AG1006),$AB$1006:$AQ$1006,0)), HYPERLINK("#",""), HYPERLINK(CONCATENATE("#metadata!", ADDRESS(INDEX($W$2:$W$1001,MATCH(ROWS($U$2:U485),$U$2:$U$1001,0),0), INDEX($AB$1004:$AQ$1004,1,MATCH(COLUMNS($AB$1006:AG1006),$AB$1006:$AQ$1006,0)))),"Fix")))</f>
        <v>0</v>
      </c>
      <c r="H485" s="4">
        <f>IF(OR(INDEX($V$2:$V$1001,MATCH(ROWS($U$2:U485),$U$2:$U$1001,0),1)&gt;=100000,INDEX($AB$1005:$AQ$1005,1,MATCH(COLUMNS($AB$1006:AH1006),$AB$1006:$AQ$1006,0))&gt;=100000), " ",IF(INDEX($AB$2:$AQ$1001,MATCH(ROWS($U$2:U485),$U$2:$U$1001,0),MATCH(COLUMNS($AB$1006:AH1006),$AB$1006:$AQ$1006,0)), HYPERLINK("#",""), HYPERLINK(CONCATENATE("#metadata!", ADDRESS(INDEX($W$2:$W$1001,MATCH(ROWS($U$2:U485),$U$2:$U$1001,0),0), INDEX($AB$1004:$AQ$1004,1,MATCH(COLUMNS($AB$1006:AH1006),$AB$1006:$AQ$1006,0)))),"Fix")))</f>
        <v>0</v>
      </c>
      <c r="I485" s="4">
        <f>IF(OR(INDEX($V$2:$V$1001,MATCH(ROWS($U$2:U485),$U$2:$U$1001,0),1)&gt;=100000,INDEX($AB$1005:$AQ$1005,1,MATCH(COLUMNS($AB$1006:AI1006),$AB$1006:$AQ$1006,0))&gt;=100000), " ",IF(INDEX($AB$2:$AQ$1001,MATCH(ROWS($U$2:U485),$U$2:$U$1001,0),MATCH(COLUMNS($AB$1006:AI1006),$AB$1006:$AQ$1006,0)), HYPERLINK("#",""), HYPERLINK(CONCATENATE("#metadata!", ADDRESS(INDEX($W$2:$W$1001,MATCH(ROWS($U$2:U485),$U$2:$U$1001,0),0), INDEX($AB$1004:$AQ$1004,1,MATCH(COLUMNS($AB$1006:AI1006),$AB$1006:$AQ$1006,0)))),"Fix")))</f>
        <v>0</v>
      </c>
      <c r="J485" s="4">
        <f>IF(OR(INDEX($V$2:$V$1001,MATCH(ROWS($U$2:U485),$U$2:$U$1001,0),1)&gt;=100000,INDEX($AB$1005:$AQ$1005,1,MATCH(COLUMNS($AB$1006:AJ1006),$AB$1006:$AQ$1006,0))&gt;=100000), " ",IF(INDEX($AB$2:$AQ$1001,MATCH(ROWS($U$2:U485),$U$2:$U$1001,0),MATCH(COLUMNS($AB$1006:AJ1006),$AB$1006:$AQ$1006,0)), HYPERLINK("#",""), HYPERLINK(CONCATENATE("#metadata!", ADDRESS(INDEX($W$2:$W$1001,MATCH(ROWS($U$2:U485),$U$2:$U$1001,0),0), INDEX($AB$1004:$AQ$1004,1,MATCH(COLUMNS($AB$1006:AJ1006),$AB$1006:$AQ$1006,0)))),"Fix")))</f>
        <v>0</v>
      </c>
      <c r="K485" s="4">
        <f>IF(OR(INDEX($V$2:$V$1001,MATCH(ROWS($U$2:U485),$U$2:$U$1001,0),1)&gt;=100000,INDEX($AB$1005:$AQ$1005,1,MATCH(COLUMNS($AB$1006:AK1006),$AB$1006:$AQ$1006,0))&gt;=100000), " ",IF(INDEX($AB$2:$AQ$1001,MATCH(ROWS($U$2:U485),$U$2:$U$1001,0),MATCH(COLUMNS($AB$1006:AK1006),$AB$1006:$AQ$1006,0)), HYPERLINK("#",""), HYPERLINK(CONCATENATE("#metadata!", ADDRESS(INDEX($W$2:$W$1001,MATCH(ROWS($U$2:U485),$U$2:$U$1001,0),0), INDEX($AB$1004:$AQ$1004,1,MATCH(COLUMNS($AB$1006:AK1006),$AB$1006:$AQ$1006,0)))),"Fix")))</f>
        <v>0</v>
      </c>
      <c r="L485" s="4">
        <f>IF(OR(INDEX($V$2:$V$1001,MATCH(ROWS($U$2:U485),$U$2:$U$1001,0),1)&gt;=100000,INDEX($AB$1005:$AQ$1005,1,MATCH(COLUMNS($AB$1006:AL1006),$AB$1006:$AQ$1006,0))&gt;=100000), " ",IF(INDEX($AB$2:$AQ$1001,MATCH(ROWS($U$2:U485),$U$2:$U$1001,0),MATCH(COLUMNS($AB$1006:AL1006),$AB$1006:$AQ$1006,0)), HYPERLINK("#",""), HYPERLINK(CONCATENATE("#metadata!", ADDRESS(INDEX($W$2:$W$1001,MATCH(ROWS($U$2:U485),$U$2:$U$1001,0),0), INDEX($AB$1004:$AQ$1004,1,MATCH(COLUMNS($AB$1006:AL1006),$AB$1006:$AQ$1006,0)))),"Fix")))</f>
        <v>0</v>
      </c>
      <c r="M485" s="4">
        <f>IF(OR(INDEX($V$2:$V$1001,MATCH(ROWS($U$2:U485),$U$2:$U$1001,0),1)&gt;=100000,INDEX($AB$1005:$AQ$1005,1,MATCH(COLUMNS($AB$1006:AM1006),$AB$1006:$AQ$1006,0))&gt;=100000), " ",IF(INDEX($AB$2:$AQ$1001,MATCH(ROWS($U$2:U485),$U$2:$U$1001,0),MATCH(COLUMNS($AB$1006:AM1006),$AB$1006:$AQ$1006,0)), HYPERLINK("#",""), HYPERLINK(CONCATENATE("#metadata!", ADDRESS(INDEX($W$2:$W$1001,MATCH(ROWS($U$2:U485),$U$2:$U$1001,0),0), INDEX($AB$1004:$AQ$1004,1,MATCH(COLUMNS($AB$1006:AM1006),$AB$1006:$AQ$1006,0)))),"Fix")))</f>
        <v>0</v>
      </c>
      <c r="N485" s="4">
        <f>IF(OR(INDEX($V$2:$V$1001,MATCH(ROWS($U$2:U485),$U$2:$U$1001,0),1)&gt;=100000,INDEX($AB$1005:$AQ$1005,1,MATCH(COLUMNS($AB$1006:AN1006),$AB$1006:$AQ$1006,0))&gt;=100000), " ",IF(INDEX($AB$2:$AQ$1001,MATCH(ROWS($U$2:U485),$U$2:$U$1001,0),MATCH(COLUMNS($AB$1006:AN1006),$AB$1006:$AQ$1006,0)), HYPERLINK("#",""), HYPERLINK(CONCATENATE("#metadata!", ADDRESS(INDEX($W$2:$W$1001,MATCH(ROWS($U$2:U485),$U$2:$U$1001,0),0), INDEX($AB$1004:$AQ$1004,1,MATCH(COLUMNS($AB$1006:AN1006),$AB$1006:$AQ$1006,0)))),"Fix")))</f>
        <v>0</v>
      </c>
      <c r="O485" s="4">
        <f>IF(OR(INDEX($V$2:$V$1001,MATCH(ROWS($U$2:U485),$U$2:$U$1001,0),1)&gt;=100000,INDEX($AB$1005:$AQ$1005,1,MATCH(COLUMNS($AB$1006:AO1006),$AB$1006:$AQ$1006,0))&gt;=100000), " ",IF(INDEX($AB$2:$AQ$1001,MATCH(ROWS($U$2:U485),$U$2:$U$1001,0),MATCH(COLUMNS($AB$1006:AO1006),$AB$1006:$AQ$1006,0)), HYPERLINK("#",""), HYPERLINK(CONCATENATE("#metadata!", ADDRESS(INDEX($W$2:$W$1001,MATCH(ROWS($U$2:U485),$U$2:$U$1001,0),0), INDEX($AB$1004:$AQ$1004,1,MATCH(COLUMNS($AB$1006:AO1006),$AB$1006:$AQ$1006,0)))),"Fix")))</f>
        <v>0</v>
      </c>
      <c r="P485" s="4">
        <f>IF(OR(INDEX($V$2:$V$1001,MATCH(ROWS($U$2:U485),$U$2:$U$1001,0),1)&gt;=100000,INDEX($AB$1005:$AQ$1005,1,MATCH(COLUMNS($AB$1006:AP1006),$AB$1006:$AQ$1006,0))&gt;=100000), " ",IF(INDEX($AB$2:$AQ$1001,MATCH(ROWS($U$2:U485),$U$2:$U$1001,0),MATCH(COLUMNS($AB$1006:AP1006),$AB$1006:$AQ$1006,0)), HYPERLINK("#",""), HYPERLINK(CONCATENATE("#metadata!", ADDRESS(INDEX($W$2:$W$1001,MATCH(ROWS($U$2:U485),$U$2:$U$1001,0),0), INDEX($AB$1004:$AQ$1004,1,MATCH(COLUMNS($AB$1006:AP1006),$AB$1006:$AQ$1006,0)))),"Fix")))</f>
        <v>0</v>
      </c>
      <c r="Q485" s="4">
        <f>IF(OR(INDEX($V$2:$V$1001,MATCH(ROWS($U$2:U485),$U$2:$U$1001,0),1)&gt;=100000,INDEX($AB$1005:$AQ$1005,1,MATCH(COLUMNS($AB$1006:AQ1006),$AB$1006:$AQ$1006,0))&gt;=100000), " ",IF(INDEX($AB$2:$AQ$1001,MATCH(ROWS($U$2:U485),$U$2:$U$1001,0),MATCH(COLUMNS($AB$1006:AQ1006),$AB$1006:$AQ$1006,0)), HYPERLINK("#",""), HYPERLINK(CONCATENATE("#metadata!", ADDRESS(INDEX($W$2:$W$1001,MATCH(ROWS($U$2:U485),$U$2:$U$1001,0),0), INDEX($AB$1004:$AQ$1004,1,MATCH(COLUMNS($AB$1006:AQ1006),$AB$1006:$AQ$1006,0)))),"Fix")))</f>
        <v>0</v>
      </c>
      <c r="U485">
        <v>0</v>
      </c>
      <c r="V485">
        <v>0</v>
      </c>
      <c r="W485">
        <v>0</v>
      </c>
      <c r="X485">
        <f>IF(Y485,TRUE,AND(AB485:AQ485))</f>
        <v>0</v>
      </c>
      <c r="Y485">
        <f>COUNTBLANK(metadata!B485:Q485)=COLUMNS(metadata!B485:Q485)</f>
        <v>0</v>
      </c>
      <c r="Z485">
        <v>0</v>
      </c>
      <c r="AB485">
        <f>AND(IF(metadata!B485="",FALSE,TRUE),COUNTIF(metadata!B:B, metadata!B485) = 1,NOT(ISERROR(SUMPRODUCT(SEARCH(MID(metadata!B485,ROW(INDIRECT("1:"&amp;LEN(metadata!B485))), 1),"0123456789abcdefghijklmnopqrstuvwxyzABCDEFGHIJKLMNOPQRSTUVWXYZ.")))))</f>
        <v>0</v>
      </c>
      <c r="AC485">
        <f>OR(AND(IF(metadata!C485="",FALSE,TRUE),OR(exact(metadata!C485,"missing: not collected"),exact(metadata!C485,"missing: not provided"),exact(metadata!C485,"missing: restricted access"))),AND(IF(metadata!C485="",FALSE,TRUE),AND(AND(IFERROR(INT(LEFT(metadata!C485,4))&gt;1900,FALSE),IFERROR(INT(LEFT(metadata!C485,4))&lt;=YEAR(NOW()),FALSE)), OR(MID(metadata!C485,5,1)="", AND(AND(MID(metadata!C485,5,1)="-",IFERROR(INT(MID(metadata!C485,6,1))&gt;=0,FALSE),IFERROR(INT(MID(metadata!C485,6,1))&lt;=1,FALSE),NOT(MID(metadata!C485,7,1)=""),IFERROR(INT(MID(metadata!C485,6,2))&gt;=1,FALSE),IFERROR(INT(MID(metadata!C485,6,2))&lt;=12,FALSE)), OR(MID(metadata!C485,8,1)="", AND(AND(MID(metadata!C485,8,1)="-",IFERROR(INT(MID(metadata!C485,9,1))&gt;=0,FALSE),IFERROR(INT(MID(metadata!C485,9,1))&lt;=3,FALSE),NOT(MID(metadata!C485,10,1)=""),IFERROR(INT(MID(metadata!C485,9,2))&gt;=1,FALSE),IFERROR(INT(MID(metadata!C485,9,2))&lt;=31,FALSE)), OR(MID(metadata!C485,11,1)="", AND(AND(MID(metadata!C485,11,1)=" ",IFERROR(INT(MID(metadata!C485,12,1))&gt;=0,FALSE),IFERROR(INT(MID(metadata!C485,12,1))&lt;=2,FALSE),NOT(MID(metadata!C485,13,1)=""),IFERROR(INT(MID(metadata!C485,12,2))&gt;=0,FALSE),IFERROR(INT(MID(metadata!C485,12,2))&lt;=23,FALSE)), OR(MID(metadata!C485,14,1)="", AND(AND(MID(metadata!C485,14,1)=":",IFERROR(INT(MID(metadata!C485,15,1))&gt;=0,FALSE),IFERROR(INT(MID(metadata!C485,15,1))&lt;=5,FALSE),NOT(MID(metadata!C485,16,1)=""),IFERROR(INT(MID(metadata!C485,15,2))&gt;=0,FALSE),IFERROR(INT(MID(metadata!C485,15,2))&lt;=59,FALSE)), OR(MID(metadata!C485,17,1)="", AND(AND(MID(metadata!C485,17,1)=":",IFERROR(INT(MID(metadata!C485,18,1))&gt;=0,FALSE),IFERROR(INT(MID(metadata!C485,18,1))&lt;=5,FALSE),NOT(MID(metadata!C485,19,1)=""),IFERROR(INT(MID(metadata!C485,18,2))&gt;=0,FALSE),IFERROR(INT(MID(metadata!C485,18,2))&lt;=59,FALSE)), LEN(metadata!C485)&lt;=19)))))))))))))</f>
        <v>0</v>
      </c>
      <c r="AD485">
        <f>IF(metadata!D485="",FALSE,TRUE)</f>
        <v>0</v>
      </c>
      <c r="AE485">
        <f>OR(AND(IF(metadata!E485="",FALSE,TRUE),OR(exact(metadata!E485,"missing: not collected"),exact(metadata!E485,"missing: not provided"))),AND(IF(metadata!E485="",FALSE,TRUE),OR(exact(metadata!E485,"TRUE"),exact(metadata!E485,"FALSE"))))</f>
        <v>0</v>
      </c>
      <c r="AF485">
        <f>IF(metadata!F485="",FALSE,TRUE)</f>
        <v>0</v>
      </c>
      <c r="AG485">
        <f>IF(metadata!G485="",FALSE,TRUE)</f>
        <v>0</v>
      </c>
      <c r="AH485">
        <f>IF(metadata!H485="",FALSE,TRUE)</f>
        <v>0</v>
      </c>
      <c r="AI485">
        <f>OR(AND(IF(metadata!I485="",FALSE,TRUE),OR(exact(metadata!I485,"missing: not collected"),exact(metadata!I485,"missing: not provided"),exact(metadata!I485,"missing: restricted access"))),AND(IF(metadata!I485="",FALSE,TRUE),OR(exact(metadata!I485,"air"),exact(metadata!I485,"built environment"),exact(metadata!I485,"host-associated"),exact(metadata!I485,"human-associated"),exact(metadata!I485,"human-skin"),exact(metadata!I485,"human-oral"),exact(metadata!I485,"human-gut"),exact(metadata!I485,"human-vaginal"),exact(metadata!I485,"microbial mat/biofilm"),exact(metadata!I485,"misc environment"),exact(metadata!I485,"plant-associated"),exact(metadata!I485,"sediment"),exact(metadata!I485,"soil"),exact(metadata!I485,"wastewater/sludge"),exact(metadata!I485,"water"))))</f>
        <v>0</v>
      </c>
      <c r="AJ485">
        <f>IF(metadata!J485="",FALSE,TRUE)</f>
        <v>0</v>
      </c>
      <c r="AK485">
        <f>OR(AND(IF(metadata!K485="",FALSE,TRUE),OR(exact(metadata!K485,"missing: not collected"),exact(metadata!K485,"missing: not provided"),exact(metadata!K485,"missing: restricted access"))),AND(IF(metadata!K485="",FALSE,ISNUMBER(VALUE(metadata!K485))),metadata!K485&gt;=-90.00,metadata!K485&lt;=90.00))</f>
        <v>0</v>
      </c>
      <c r="AL485">
        <f>OR(AND(IF(metadata!L485="",FALSE,TRUE),OR(exact(metadata!L485,"missing: not collected"),exact(metadata!L485,"missing: not provided"),exact(metadata!L485,"missing: restricted access"))),AND(IF(metadata!L485="",FALSE,ISNUMBER(VALUE(metadata!L485))),metadata!L485&gt;=-180.00,metadata!L485&lt;=180.00))</f>
        <v>0</v>
      </c>
      <c r="AM485">
        <f>IF(metadata!M485="",FALSE,TRUE)</f>
        <v>0</v>
      </c>
      <c r="AN485">
        <f>OR(AND(IF(metadata!N485="",FALSE,TRUE),OR(exact(metadata!N485,"missing: not collected"),exact(metadata!N485,"missing: not provided"),exact(metadata!N485,"missing: restricted access"))),AND(IF(metadata!N485="",FALSE,TRUE),OR(exact(metadata!N485,"TRUE"),exact(metadata!N485,"FALSE"))))</f>
        <v>0</v>
      </c>
      <c r="AO485">
        <f>IF(metadata!O485="",FALSE,TRUE)</f>
        <v>0</v>
      </c>
      <c r="AP485">
        <f>OR(AND(IF(metadata!P485="",FALSE,TRUE),OR(exact(metadata!P485,"missing: not collected"),exact(metadata!P485,"missing: not provided"))),AND(IF(metadata!P485="",FALSE,IF(ISERROR(INT(metadata!P485)),FALSE,INT(metadata!P485)=metadata!P485)),metadata!P485&gt;0))</f>
        <v>0</v>
      </c>
      <c r="AQ485">
        <f>IF(metadata!Q485="",FALSE,TRUE)</f>
        <v>0</v>
      </c>
    </row>
    <row r="486" spans="1:43">
      <c r="A486" s="5">
        <f>IF(B486=" "," ",HYPERLINK(CONCATENATE("#metadata!",ADDRESS(INDEX($W$2:$W$1001,MATCH(ROWS($U$2:U486),$U$2:$U$1001,0),0),1)),INDEX($Z$2:$Z$1001,MATCH(ROWS($U$2:U486),$U$2:$U$1001,0),0)))</f>
        <v>0</v>
      </c>
      <c r="B486" s="4">
        <f>IF(OR(INDEX($V$2:$V$1001,MATCH(ROWS($U$2:U486),$U$2:$U$1001,0),1)&gt;=100000,INDEX($AB$1005:$AQ$1005,1,MATCH(COLUMNS($AB$1006:AB1006),$AB$1006:$AQ$1006,0))&gt;=100000), " ",IF(INDEX($AB$2:$AQ$1001,MATCH(ROWS($U$2:U486),$U$2:$U$1001,0),MATCH(COLUMNS($AB$1006:AB1006),$AB$1006:$AQ$1006,0)), HYPERLINK("#",""), HYPERLINK(CONCATENATE("#metadata!", ADDRESS(INDEX($W$2:$W$1001,MATCH(ROWS($U$2:U486),$U$2:$U$1001,0),0), INDEX($AB$1004:$AQ$1004,1,MATCH(COLUMNS($AB$1006:AB1006),$AB$1006:$AQ$1006,0)))),"Fix")))</f>
        <v>0</v>
      </c>
      <c r="C486" s="4">
        <f>IF(OR(INDEX($V$2:$V$1001,MATCH(ROWS($U$2:U486),$U$2:$U$1001,0),1)&gt;=100000,INDEX($AB$1005:$AQ$1005,1,MATCH(COLUMNS($AB$1006:AC1006),$AB$1006:$AQ$1006,0))&gt;=100000), " ",IF(INDEX($AB$2:$AQ$1001,MATCH(ROWS($U$2:U486),$U$2:$U$1001,0),MATCH(COLUMNS($AB$1006:AC1006),$AB$1006:$AQ$1006,0)), HYPERLINK("#",""), HYPERLINK(CONCATENATE("#metadata!", ADDRESS(INDEX($W$2:$W$1001,MATCH(ROWS($U$2:U486),$U$2:$U$1001,0),0), INDEX($AB$1004:$AQ$1004,1,MATCH(COLUMNS($AB$1006:AC1006),$AB$1006:$AQ$1006,0)))),"Fix")))</f>
        <v>0</v>
      </c>
      <c r="D486" s="4">
        <f>IF(OR(INDEX($V$2:$V$1001,MATCH(ROWS($U$2:U486),$U$2:$U$1001,0),1)&gt;=100000,INDEX($AB$1005:$AQ$1005,1,MATCH(COLUMNS($AB$1006:AD1006),$AB$1006:$AQ$1006,0))&gt;=100000), " ",IF(INDEX($AB$2:$AQ$1001,MATCH(ROWS($U$2:U486),$U$2:$U$1001,0),MATCH(COLUMNS($AB$1006:AD1006),$AB$1006:$AQ$1006,0)), HYPERLINK("#",""), HYPERLINK(CONCATENATE("#metadata!", ADDRESS(INDEX($W$2:$W$1001,MATCH(ROWS($U$2:U486),$U$2:$U$1001,0),0), INDEX($AB$1004:$AQ$1004,1,MATCH(COLUMNS($AB$1006:AD1006),$AB$1006:$AQ$1006,0)))),"Fix")))</f>
        <v>0</v>
      </c>
      <c r="E486" s="4">
        <f>IF(OR(INDEX($V$2:$V$1001,MATCH(ROWS($U$2:U486),$U$2:$U$1001,0),1)&gt;=100000,INDEX($AB$1005:$AQ$1005,1,MATCH(COLUMNS($AB$1006:AE1006),$AB$1006:$AQ$1006,0))&gt;=100000), " ",IF(INDEX($AB$2:$AQ$1001,MATCH(ROWS($U$2:U486),$U$2:$U$1001,0),MATCH(COLUMNS($AB$1006:AE1006),$AB$1006:$AQ$1006,0)), HYPERLINK("#",""), HYPERLINK(CONCATENATE("#metadata!", ADDRESS(INDEX($W$2:$W$1001,MATCH(ROWS($U$2:U486),$U$2:$U$1001,0),0), INDEX($AB$1004:$AQ$1004,1,MATCH(COLUMNS($AB$1006:AE1006),$AB$1006:$AQ$1006,0)))),"Fix")))</f>
        <v>0</v>
      </c>
      <c r="F486" s="4">
        <f>IF(OR(INDEX($V$2:$V$1001,MATCH(ROWS($U$2:U486),$U$2:$U$1001,0),1)&gt;=100000,INDEX($AB$1005:$AQ$1005,1,MATCH(COLUMNS($AB$1006:AF1006),$AB$1006:$AQ$1006,0))&gt;=100000), " ",IF(INDEX($AB$2:$AQ$1001,MATCH(ROWS($U$2:U486),$U$2:$U$1001,0),MATCH(COLUMNS($AB$1006:AF1006),$AB$1006:$AQ$1006,0)), HYPERLINK("#",""), HYPERLINK(CONCATENATE("#metadata!", ADDRESS(INDEX($W$2:$W$1001,MATCH(ROWS($U$2:U486),$U$2:$U$1001,0),0), INDEX($AB$1004:$AQ$1004,1,MATCH(COLUMNS($AB$1006:AF1006),$AB$1006:$AQ$1006,0)))),"Fix")))</f>
        <v>0</v>
      </c>
      <c r="G486" s="4">
        <f>IF(OR(INDEX($V$2:$V$1001,MATCH(ROWS($U$2:U486),$U$2:$U$1001,0),1)&gt;=100000,INDEX($AB$1005:$AQ$1005,1,MATCH(COLUMNS($AB$1006:AG1006),$AB$1006:$AQ$1006,0))&gt;=100000), " ",IF(INDEX($AB$2:$AQ$1001,MATCH(ROWS($U$2:U486),$U$2:$U$1001,0),MATCH(COLUMNS($AB$1006:AG1006),$AB$1006:$AQ$1006,0)), HYPERLINK("#",""), HYPERLINK(CONCATENATE("#metadata!", ADDRESS(INDEX($W$2:$W$1001,MATCH(ROWS($U$2:U486),$U$2:$U$1001,0),0), INDEX($AB$1004:$AQ$1004,1,MATCH(COLUMNS($AB$1006:AG1006),$AB$1006:$AQ$1006,0)))),"Fix")))</f>
        <v>0</v>
      </c>
      <c r="H486" s="4">
        <f>IF(OR(INDEX($V$2:$V$1001,MATCH(ROWS($U$2:U486),$U$2:$U$1001,0),1)&gt;=100000,INDEX($AB$1005:$AQ$1005,1,MATCH(COLUMNS($AB$1006:AH1006),$AB$1006:$AQ$1006,0))&gt;=100000), " ",IF(INDEX($AB$2:$AQ$1001,MATCH(ROWS($U$2:U486),$U$2:$U$1001,0),MATCH(COLUMNS($AB$1006:AH1006),$AB$1006:$AQ$1006,0)), HYPERLINK("#",""), HYPERLINK(CONCATENATE("#metadata!", ADDRESS(INDEX($W$2:$W$1001,MATCH(ROWS($U$2:U486),$U$2:$U$1001,0),0), INDEX($AB$1004:$AQ$1004,1,MATCH(COLUMNS($AB$1006:AH1006),$AB$1006:$AQ$1006,0)))),"Fix")))</f>
        <v>0</v>
      </c>
      <c r="I486" s="4">
        <f>IF(OR(INDEX($V$2:$V$1001,MATCH(ROWS($U$2:U486),$U$2:$U$1001,0),1)&gt;=100000,INDEX($AB$1005:$AQ$1005,1,MATCH(COLUMNS($AB$1006:AI1006),$AB$1006:$AQ$1006,0))&gt;=100000), " ",IF(INDEX($AB$2:$AQ$1001,MATCH(ROWS($U$2:U486),$U$2:$U$1001,0),MATCH(COLUMNS($AB$1006:AI1006),$AB$1006:$AQ$1006,0)), HYPERLINK("#",""), HYPERLINK(CONCATENATE("#metadata!", ADDRESS(INDEX($W$2:$W$1001,MATCH(ROWS($U$2:U486),$U$2:$U$1001,0),0), INDEX($AB$1004:$AQ$1004,1,MATCH(COLUMNS($AB$1006:AI1006),$AB$1006:$AQ$1006,0)))),"Fix")))</f>
        <v>0</v>
      </c>
      <c r="J486" s="4">
        <f>IF(OR(INDEX($V$2:$V$1001,MATCH(ROWS($U$2:U486),$U$2:$U$1001,0),1)&gt;=100000,INDEX($AB$1005:$AQ$1005,1,MATCH(COLUMNS($AB$1006:AJ1006),$AB$1006:$AQ$1006,0))&gt;=100000), " ",IF(INDEX($AB$2:$AQ$1001,MATCH(ROWS($U$2:U486),$U$2:$U$1001,0),MATCH(COLUMNS($AB$1006:AJ1006),$AB$1006:$AQ$1006,0)), HYPERLINK("#",""), HYPERLINK(CONCATENATE("#metadata!", ADDRESS(INDEX($W$2:$W$1001,MATCH(ROWS($U$2:U486),$U$2:$U$1001,0),0), INDEX($AB$1004:$AQ$1004,1,MATCH(COLUMNS($AB$1006:AJ1006),$AB$1006:$AQ$1006,0)))),"Fix")))</f>
        <v>0</v>
      </c>
      <c r="K486" s="4">
        <f>IF(OR(INDEX($V$2:$V$1001,MATCH(ROWS($U$2:U486),$U$2:$U$1001,0),1)&gt;=100000,INDEX($AB$1005:$AQ$1005,1,MATCH(COLUMNS($AB$1006:AK1006),$AB$1006:$AQ$1006,0))&gt;=100000), " ",IF(INDEX($AB$2:$AQ$1001,MATCH(ROWS($U$2:U486),$U$2:$U$1001,0),MATCH(COLUMNS($AB$1006:AK1006),$AB$1006:$AQ$1006,0)), HYPERLINK("#",""), HYPERLINK(CONCATENATE("#metadata!", ADDRESS(INDEX($W$2:$W$1001,MATCH(ROWS($U$2:U486),$U$2:$U$1001,0),0), INDEX($AB$1004:$AQ$1004,1,MATCH(COLUMNS($AB$1006:AK1006),$AB$1006:$AQ$1006,0)))),"Fix")))</f>
        <v>0</v>
      </c>
      <c r="L486" s="4">
        <f>IF(OR(INDEX($V$2:$V$1001,MATCH(ROWS($U$2:U486),$U$2:$U$1001,0),1)&gt;=100000,INDEX($AB$1005:$AQ$1005,1,MATCH(COLUMNS($AB$1006:AL1006),$AB$1006:$AQ$1006,0))&gt;=100000), " ",IF(INDEX($AB$2:$AQ$1001,MATCH(ROWS($U$2:U486),$U$2:$U$1001,0),MATCH(COLUMNS($AB$1006:AL1006),$AB$1006:$AQ$1006,0)), HYPERLINK("#",""), HYPERLINK(CONCATENATE("#metadata!", ADDRESS(INDEX($W$2:$W$1001,MATCH(ROWS($U$2:U486),$U$2:$U$1001,0),0), INDEX($AB$1004:$AQ$1004,1,MATCH(COLUMNS($AB$1006:AL1006),$AB$1006:$AQ$1006,0)))),"Fix")))</f>
        <v>0</v>
      </c>
      <c r="M486" s="4">
        <f>IF(OR(INDEX($V$2:$V$1001,MATCH(ROWS($U$2:U486),$U$2:$U$1001,0),1)&gt;=100000,INDEX($AB$1005:$AQ$1005,1,MATCH(COLUMNS($AB$1006:AM1006),$AB$1006:$AQ$1006,0))&gt;=100000), " ",IF(INDEX($AB$2:$AQ$1001,MATCH(ROWS($U$2:U486),$U$2:$U$1001,0),MATCH(COLUMNS($AB$1006:AM1006),$AB$1006:$AQ$1006,0)), HYPERLINK("#",""), HYPERLINK(CONCATENATE("#metadata!", ADDRESS(INDEX($W$2:$W$1001,MATCH(ROWS($U$2:U486),$U$2:$U$1001,0),0), INDEX($AB$1004:$AQ$1004,1,MATCH(COLUMNS($AB$1006:AM1006),$AB$1006:$AQ$1006,0)))),"Fix")))</f>
        <v>0</v>
      </c>
      <c r="N486" s="4">
        <f>IF(OR(INDEX($V$2:$V$1001,MATCH(ROWS($U$2:U486),$U$2:$U$1001,0),1)&gt;=100000,INDEX($AB$1005:$AQ$1005,1,MATCH(COLUMNS($AB$1006:AN1006),$AB$1006:$AQ$1006,0))&gt;=100000), " ",IF(INDEX($AB$2:$AQ$1001,MATCH(ROWS($U$2:U486),$U$2:$U$1001,0),MATCH(COLUMNS($AB$1006:AN1006),$AB$1006:$AQ$1006,0)), HYPERLINK("#",""), HYPERLINK(CONCATENATE("#metadata!", ADDRESS(INDEX($W$2:$W$1001,MATCH(ROWS($U$2:U486),$U$2:$U$1001,0),0), INDEX($AB$1004:$AQ$1004,1,MATCH(COLUMNS($AB$1006:AN1006),$AB$1006:$AQ$1006,0)))),"Fix")))</f>
        <v>0</v>
      </c>
      <c r="O486" s="4">
        <f>IF(OR(INDEX($V$2:$V$1001,MATCH(ROWS($U$2:U486),$U$2:$U$1001,0),1)&gt;=100000,INDEX($AB$1005:$AQ$1005,1,MATCH(COLUMNS($AB$1006:AO1006),$AB$1006:$AQ$1006,0))&gt;=100000), " ",IF(INDEX($AB$2:$AQ$1001,MATCH(ROWS($U$2:U486),$U$2:$U$1001,0),MATCH(COLUMNS($AB$1006:AO1006),$AB$1006:$AQ$1006,0)), HYPERLINK("#",""), HYPERLINK(CONCATENATE("#metadata!", ADDRESS(INDEX($W$2:$W$1001,MATCH(ROWS($U$2:U486),$U$2:$U$1001,0),0), INDEX($AB$1004:$AQ$1004,1,MATCH(COLUMNS($AB$1006:AO1006),$AB$1006:$AQ$1006,0)))),"Fix")))</f>
        <v>0</v>
      </c>
      <c r="P486" s="4">
        <f>IF(OR(INDEX($V$2:$V$1001,MATCH(ROWS($U$2:U486),$U$2:$U$1001,0),1)&gt;=100000,INDEX($AB$1005:$AQ$1005,1,MATCH(COLUMNS($AB$1006:AP1006),$AB$1006:$AQ$1006,0))&gt;=100000), " ",IF(INDEX($AB$2:$AQ$1001,MATCH(ROWS($U$2:U486),$U$2:$U$1001,0),MATCH(COLUMNS($AB$1006:AP1006),$AB$1006:$AQ$1006,0)), HYPERLINK("#",""), HYPERLINK(CONCATENATE("#metadata!", ADDRESS(INDEX($W$2:$W$1001,MATCH(ROWS($U$2:U486),$U$2:$U$1001,0),0), INDEX($AB$1004:$AQ$1004,1,MATCH(COLUMNS($AB$1006:AP1006),$AB$1006:$AQ$1006,0)))),"Fix")))</f>
        <v>0</v>
      </c>
      <c r="Q486" s="4">
        <f>IF(OR(INDEX($V$2:$V$1001,MATCH(ROWS($U$2:U486),$U$2:$U$1001,0),1)&gt;=100000,INDEX($AB$1005:$AQ$1005,1,MATCH(COLUMNS($AB$1006:AQ1006),$AB$1006:$AQ$1006,0))&gt;=100000), " ",IF(INDEX($AB$2:$AQ$1001,MATCH(ROWS($U$2:U486),$U$2:$U$1001,0),MATCH(COLUMNS($AB$1006:AQ1006),$AB$1006:$AQ$1006,0)), HYPERLINK("#",""), HYPERLINK(CONCATENATE("#metadata!", ADDRESS(INDEX($W$2:$W$1001,MATCH(ROWS($U$2:U486),$U$2:$U$1001,0),0), INDEX($AB$1004:$AQ$1004,1,MATCH(COLUMNS($AB$1006:AQ1006),$AB$1006:$AQ$1006,0)))),"Fix")))</f>
        <v>0</v>
      </c>
      <c r="U486">
        <v>0</v>
      </c>
      <c r="V486">
        <v>0</v>
      </c>
      <c r="W486">
        <v>0</v>
      </c>
      <c r="X486">
        <f>IF(Y486,TRUE,AND(AB486:AQ486))</f>
        <v>0</v>
      </c>
      <c r="Y486">
        <f>COUNTBLANK(metadata!B486:Q486)=COLUMNS(metadata!B486:Q486)</f>
        <v>0</v>
      </c>
      <c r="Z486">
        <v>0</v>
      </c>
      <c r="AB486">
        <f>AND(IF(metadata!B486="",FALSE,TRUE),COUNTIF(metadata!B:B, metadata!B486) = 1,NOT(ISERROR(SUMPRODUCT(SEARCH(MID(metadata!B486,ROW(INDIRECT("1:"&amp;LEN(metadata!B486))), 1),"0123456789abcdefghijklmnopqrstuvwxyzABCDEFGHIJKLMNOPQRSTUVWXYZ.")))))</f>
        <v>0</v>
      </c>
      <c r="AC486">
        <f>OR(AND(IF(metadata!C486="",FALSE,TRUE),OR(exact(metadata!C486,"missing: not collected"),exact(metadata!C486,"missing: not provided"),exact(metadata!C486,"missing: restricted access"))),AND(IF(metadata!C486="",FALSE,TRUE),AND(AND(IFERROR(INT(LEFT(metadata!C486,4))&gt;1900,FALSE),IFERROR(INT(LEFT(metadata!C486,4))&lt;=YEAR(NOW()),FALSE)), OR(MID(metadata!C486,5,1)="", AND(AND(MID(metadata!C486,5,1)="-",IFERROR(INT(MID(metadata!C486,6,1))&gt;=0,FALSE),IFERROR(INT(MID(metadata!C486,6,1))&lt;=1,FALSE),NOT(MID(metadata!C486,7,1)=""),IFERROR(INT(MID(metadata!C486,6,2))&gt;=1,FALSE),IFERROR(INT(MID(metadata!C486,6,2))&lt;=12,FALSE)), OR(MID(metadata!C486,8,1)="", AND(AND(MID(metadata!C486,8,1)="-",IFERROR(INT(MID(metadata!C486,9,1))&gt;=0,FALSE),IFERROR(INT(MID(metadata!C486,9,1))&lt;=3,FALSE),NOT(MID(metadata!C486,10,1)=""),IFERROR(INT(MID(metadata!C486,9,2))&gt;=1,FALSE),IFERROR(INT(MID(metadata!C486,9,2))&lt;=31,FALSE)), OR(MID(metadata!C486,11,1)="", AND(AND(MID(metadata!C486,11,1)=" ",IFERROR(INT(MID(metadata!C486,12,1))&gt;=0,FALSE),IFERROR(INT(MID(metadata!C486,12,1))&lt;=2,FALSE),NOT(MID(metadata!C486,13,1)=""),IFERROR(INT(MID(metadata!C486,12,2))&gt;=0,FALSE),IFERROR(INT(MID(metadata!C486,12,2))&lt;=23,FALSE)), OR(MID(metadata!C486,14,1)="", AND(AND(MID(metadata!C486,14,1)=":",IFERROR(INT(MID(metadata!C486,15,1))&gt;=0,FALSE),IFERROR(INT(MID(metadata!C486,15,1))&lt;=5,FALSE),NOT(MID(metadata!C486,16,1)=""),IFERROR(INT(MID(metadata!C486,15,2))&gt;=0,FALSE),IFERROR(INT(MID(metadata!C486,15,2))&lt;=59,FALSE)), OR(MID(metadata!C486,17,1)="", AND(AND(MID(metadata!C486,17,1)=":",IFERROR(INT(MID(metadata!C486,18,1))&gt;=0,FALSE),IFERROR(INT(MID(metadata!C486,18,1))&lt;=5,FALSE),NOT(MID(metadata!C486,19,1)=""),IFERROR(INT(MID(metadata!C486,18,2))&gt;=0,FALSE),IFERROR(INT(MID(metadata!C486,18,2))&lt;=59,FALSE)), LEN(metadata!C486)&lt;=19)))))))))))))</f>
        <v>0</v>
      </c>
      <c r="AD486">
        <f>IF(metadata!D486="",FALSE,TRUE)</f>
        <v>0</v>
      </c>
      <c r="AE486">
        <f>OR(AND(IF(metadata!E486="",FALSE,TRUE),OR(exact(metadata!E486,"missing: not collected"),exact(metadata!E486,"missing: not provided"))),AND(IF(metadata!E486="",FALSE,TRUE),OR(exact(metadata!E486,"TRUE"),exact(metadata!E486,"FALSE"))))</f>
        <v>0</v>
      </c>
      <c r="AF486">
        <f>IF(metadata!F486="",FALSE,TRUE)</f>
        <v>0</v>
      </c>
      <c r="AG486">
        <f>IF(metadata!G486="",FALSE,TRUE)</f>
        <v>0</v>
      </c>
      <c r="AH486">
        <f>IF(metadata!H486="",FALSE,TRUE)</f>
        <v>0</v>
      </c>
      <c r="AI486">
        <f>OR(AND(IF(metadata!I486="",FALSE,TRUE),OR(exact(metadata!I486,"missing: not collected"),exact(metadata!I486,"missing: not provided"),exact(metadata!I486,"missing: restricted access"))),AND(IF(metadata!I486="",FALSE,TRUE),OR(exact(metadata!I486,"air"),exact(metadata!I486,"built environment"),exact(metadata!I486,"host-associated"),exact(metadata!I486,"human-associated"),exact(metadata!I486,"human-skin"),exact(metadata!I486,"human-oral"),exact(metadata!I486,"human-gut"),exact(metadata!I486,"human-vaginal"),exact(metadata!I486,"microbial mat/biofilm"),exact(metadata!I486,"misc environment"),exact(metadata!I486,"plant-associated"),exact(metadata!I486,"sediment"),exact(metadata!I486,"soil"),exact(metadata!I486,"wastewater/sludge"),exact(metadata!I486,"water"))))</f>
        <v>0</v>
      </c>
      <c r="AJ486">
        <f>IF(metadata!J486="",FALSE,TRUE)</f>
        <v>0</v>
      </c>
      <c r="AK486">
        <f>OR(AND(IF(metadata!K486="",FALSE,TRUE),OR(exact(metadata!K486,"missing: not collected"),exact(metadata!K486,"missing: not provided"),exact(metadata!K486,"missing: restricted access"))),AND(IF(metadata!K486="",FALSE,ISNUMBER(VALUE(metadata!K486))),metadata!K486&gt;=-90.00,metadata!K486&lt;=90.00))</f>
        <v>0</v>
      </c>
      <c r="AL486">
        <f>OR(AND(IF(metadata!L486="",FALSE,TRUE),OR(exact(metadata!L486,"missing: not collected"),exact(metadata!L486,"missing: not provided"),exact(metadata!L486,"missing: restricted access"))),AND(IF(metadata!L486="",FALSE,ISNUMBER(VALUE(metadata!L486))),metadata!L486&gt;=-180.00,metadata!L486&lt;=180.00))</f>
        <v>0</v>
      </c>
      <c r="AM486">
        <f>IF(metadata!M486="",FALSE,TRUE)</f>
        <v>0</v>
      </c>
      <c r="AN486">
        <f>OR(AND(IF(metadata!N486="",FALSE,TRUE),OR(exact(metadata!N486,"missing: not collected"),exact(metadata!N486,"missing: not provided"),exact(metadata!N486,"missing: restricted access"))),AND(IF(metadata!N486="",FALSE,TRUE),OR(exact(metadata!N486,"TRUE"),exact(metadata!N486,"FALSE"))))</f>
        <v>0</v>
      </c>
      <c r="AO486">
        <f>IF(metadata!O486="",FALSE,TRUE)</f>
        <v>0</v>
      </c>
      <c r="AP486">
        <f>OR(AND(IF(metadata!P486="",FALSE,TRUE),OR(exact(metadata!P486,"missing: not collected"),exact(metadata!P486,"missing: not provided"))),AND(IF(metadata!P486="",FALSE,IF(ISERROR(INT(metadata!P486)),FALSE,INT(metadata!P486)=metadata!P486)),metadata!P486&gt;0))</f>
        <v>0</v>
      </c>
      <c r="AQ486">
        <f>IF(metadata!Q486="",FALSE,TRUE)</f>
        <v>0</v>
      </c>
    </row>
    <row r="487" spans="1:43">
      <c r="A487" s="5">
        <f>IF(B487=" "," ",HYPERLINK(CONCATENATE("#metadata!",ADDRESS(INDEX($W$2:$W$1001,MATCH(ROWS($U$2:U487),$U$2:$U$1001,0),0),1)),INDEX($Z$2:$Z$1001,MATCH(ROWS($U$2:U487),$U$2:$U$1001,0),0)))</f>
        <v>0</v>
      </c>
      <c r="B487" s="4">
        <f>IF(OR(INDEX($V$2:$V$1001,MATCH(ROWS($U$2:U487),$U$2:$U$1001,0),1)&gt;=100000,INDEX($AB$1005:$AQ$1005,1,MATCH(COLUMNS($AB$1006:AB1006),$AB$1006:$AQ$1006,0))&gt;=100000), " ",IF(INDEX($AB$2:$AQ$1001,MATCH(ROWS($U$2:U487),$U$2:$U$1001,0),MATCH(COLUMNS($AB$1006:AB1006),$AB$1006:$AQ$1006,0)), HYPERLINK("#",""), HYPERLINK(CONCATENATE("#metadata!", ADDRESS(INDEX($W$2:$W$1001,MATCH(ROWS($U$2:U487),$U$2:$U$1001,0),0), INDEX($AB$1004:$AQ$1004,1,MATCH(COLUMNS($AB$1006:AB1006),$AB$1006:$AQ$1006,0)))),"Fix")))</f>
        <v>0</v>
      </c>
      <c r="C487" s="4">
        <f>IF(OR(INDEX($V$2:$V$1001,MATCH(ROWS($U$2:U487),$U$2:$U$1001,0),1)&gt;=100000,INDEX($AB$1005:$AQ$1005,1,MATCH(COLUMNS($AB$1006:AC1006),$AB$1006:$AQ$1006,0))&gt;=100000), " ",IF(INDEX($AB$2:$AQ$1001,MATCH(ROWS($U$2:U487),$U$2:$U$1001,0),MATCH(COLUMNS($AB$1006:AC1006),$AB$1006:$AQ$1006,0)), HYPERLINK("#",""), HYPERLINK(CONCATENATE("#metadata!", ADDRESS(INDEX($W$2:$W$1001,MATCH(ROWS($U$2:U487),$U$2:$U$1001,0),0), INDEX($AB$1004:$AQ$1004,1,MATCH(COLUMNS($AB$1006:AC1006),$AB$1006:$AQ$1006,0)))),"Fix")))</f>
        <v>0</v>
      </c>
      <c r="D487" s="4">
        <f>IF(OR(INDEX($V$2:$V$1001,MATCH(ROWS($U$2:U487),$U$2:$U$1001,0),1)&gt;=100000,INDEX($AB$1005:$AQ$1005,1,MATCH(COLUMNS($AB$1006:AD1006),$AB$1006:$AQ$1006,0))&gt;=100000), " ",IF(INDEX($AB$2:$AQ$1001,MATCH(ROWS($U$2:U487),$U$2:$U$1001,0),MATCH(COLUMNS($AB$1006:AD1006),$AB$1006:$AQ$1006,0)), HYPERLINK("#",""), HYPERLINK(CONCATENATE("#metadata!", ADDRESS(INDEX($W$2:$W$1001,MATCH(ROWS($U$2:U487),$U$2:$U$1001,0),0), INDEX($AB$1004:$AQ$1004,1,MATCH(COLUMNS($AB$1006:AD1006),$AB$1006:$AQ$1006,0)))),"Fix")))</f>
        <v>0</v>
      </c>
      <c r="E487" s="4">
        <f>IF(OR(INDEX($V$2:$V$1001,MATCH(ROWS($U$2:U487),$U$2:$U$1001,0),1)&gt;=100000,INDEX($AB$1005:$AQ$1005,1,MATCH(COLUMNS($AB$1006:AE1006),$AB$1006:$AQ$1006,0))&gt;=100000), " ",IF(INDEX($AB$2:$AQ$1001,MATCH(ROWS($U$2:U487),$U$2:$U$1001,0),MATCH(COLUMNS($AB$1006:AE1006),$AB$1006:$AQ$1006,0)), HYPERLINK("#",""), HYPERLINK(CONCATENATE("#metadata!", ADDRESS(INDEX($W$2:$W$1001,MATCH(ROWS($U$2:U487),$U$2:$U$1001,0),0), INDEX($AB$1004:$AQ$1004,1,MATCH(COLUMNS($AB$1006:AE1006),$AB$1006:$AQ$1006,0)))),"Fix")))</f>
        <v>0</v>
      </c>
      <c r="F487" s="4">
        <f>IF(OR(INDEX($V$2:$V$1001,MATCH(ROWS($U$2:U487),$U$2:$U$1001,0),1)&gt;=100000,INDEX($AB$1005:$AQ$1005,1,MATCH(COLUMNS($AB$1006:AF1006),$AB$1006:$AQ$1006,0))&gt;=100000), " ",IF(INDEX($AB$2:$AQ$1001,MATCH(ROWS($U$2:U487),$U$2:$U$1001,0),MATCH(COLUMNS($AB$1006:AF1006),$AB$1006:$AQ$1006,0)), HYPERLINK("#",""), HYPERLINK(CONCATENATE("#metadata!", ADDRESS(INDEX($W$2:$W$1001,MATCH(ROWS($U$2:U487),$U$2:$U$1001,0),0), INDEX($AB$1004:$AQ$1004,1,MATCH(COLUMNS($AB$1006:AF1006),$AB$1006:$AQ$1006,0)))),"Fix")))</f>
        <v>0</v>
      </c>
      <c r="G487" s="4">
        <f>IF(OR(INDEX($V$2:$V$1001,MATCH(ROWS($U$2:U487),$U$2:$U$1001,0),1)&gt;=100000,INDEX($AB$1005:$AQ$1005,1,MATCH(COLUMNS($AB$1006:AG1006),$AB$1006:$AQ$1006,0))&gt;=100000), " ",IF(INDEX($AB$2:$AQ$1001,MATCH(ROWS($U$2:U487),$U$2:$U$1001,0),MATCH(COLUMNS($AB$1006:AG1006),$AB$1006:$AQ$1006,0)), HYPERLINK("#",""), HYPERLINK(CONCATENATE("#metadata!", ADDRESS(INDEX($W$2:$W$1001,MATCH(ROWS($U$2:U487),$U$2:$U$1001,0),0), INDEX($AB$1004:$AQ$1004,1,MATCH(COLUMNS($AB$1006:AG1006),$AB$1006:$AQ$1006,0)))),"Fix")))</f>
        <v>0</v>
      </c>
      <c r="H487" s="4">
        <f>IF(OR(INDEX($V$2:$V$1001,MATCH(ROWS($U$2:U487),$U$2:$U$1001,0),1)&gt;=100000,INDEX($AB$1005:$AQ$1005,1,MATCH(COLUMNS($AB$1006:AH1006),$AB$1006:$AQ$1006,0))&gt;=100000), " ",IF(INDEX($AB$2:$AQ$1001,MATCH(ROWS($U$2:U487),$U$2:$U$1001,0),MATCH(COLUMNS($AB$1006:AH1006),$AB$1006:$AQ$1006,0)), HYPERLINK("#",""), HYPERLINK(CONCATENATE("#metadata!", ADDRESS(INDEX($W$2:$W$1001,MATCH(ROWS($U$2:U487),$U$2:$U$1001,0),0), INDEX($AB$1004:$AQ$1004,1,MATCH(COLUMNS($AB$1006:AH1006),$AB$1006:$AQ$1006,0)))),"Fix")))</f>
        <v>0</v>
      </c>
      <c r="I487" s="4">
        <f>IF(OR(INDEX($V$2:$V$1001,MATCH(ROWS($U$2:U487),$U$2:$U$1001,0),1)&gt;=100000,INDEX($AB$1005:$AQ$1005,1,MATCH(COLUMNS($AB$1006:AI1006),$AB$1006:$AQ$1006,0))&gt;=100000), " ",IF(INDEX($AB$2:$AQ$1001,MATCH(ROWS($U$2:U487),$U$2:$U$1001,0),MATCH(COLUMNS($AB$1006:AI1006),$AB$1006:$AQ$1006,0)), HYPERLINK("#",""), HYPERLINK(CONCATENATE("#metadata!", ADDRESS(INDEX($W$2:$W$1001,MATCH(ROWS($U$2:U487),$U$2:$U$1001,0),0), INDEX($AB$1004:$AQ$1004,1,MATCH(COLUMNS($AB$1006:AI1006),$AB$1006:$AQ$1006,0)))),"Fix")))</f>
        <v>0</v>
      </c>
      <c r="J487" s="4">
        <f>IF(OR(INDEX($V$2:$V$1001,MATCH(ROWS($U$2:U487),$U$2:$U$1001,0),1)&gt;=100000,INDEX($AB$1005:$AQ$1005,1,MATCH(COLUMNS($AB$1006:AJ1006),$AB$1006:$AQ$1006,0))&gt;=100000), " ",IF(INDEX($AB$2:$AQ$1001,MATCH(ROWS($U$2:U487),$U$2:$U$1001,0),MATCH(COLUMNS($AB$1006:AJ1006),$AB$1006:$AQ$1006,0)), HYPERLINK("#",""), HYPERLINK(CONCATENATE("#metadata!", ADDRESS(INDEX($W$2:$W$1001,MATCH(ROWS($U$2:U487),$U$2:$U$1001,0),0), INDEX($AB$1004:$AQ$1004,1,MATCH(COLUMNS($AB$1006:AJ1006),$AB$1006:$AQ$1006,0)))),"Fix")))</f>
        <v>0</v>
      </c>
      <c r="K487" s="4">
        <f>IF(OR(INDEX($V$2:$V$1001,MATCH(ROWS($U$2:U487),$U$2:$U$1001,0),1)&gt;=100000,INDEX($AB$1005:$AQ$1005,1,MATCH(COLUMNS($AB$1006:AK1006),$AB$1006:$AQ$1006,0))&gt;=100000), " ",IF(INDEX($AB$2:$AQ$1001,MATCH(ROWS($U$2:U487),$U$2:$U$1001,0),MATCH(COLUMNS($AB$1006:AK1006),$AB$1006:$AQ$1006,0)), HYPERLINK("#",""), HYPERLINK(CONCATENATE("#metadata!", ADDRESS(INDEX($W$2:$W$1001,MATCH(ROWS($U$2:U487),$U$2:$U$1001,0),0), INDEX($AB$1004:$AQ$1004,1,MATCH(COLUMNS($AB$1006:AK1006),$AB$1006:$AQ$1006,0)))),"Fix")))</f>
        <v>0</v>
      </c>
      <c r="L487" s="4">
        <f>IF(OR(INDEX($V$2:$V$1001,MATCH(ROWS($U$2:U487),$U$2:$U$1001,0),1)&gt;=100000,INDEX($AB$1005:$AQ$1005,1,MATCH(COLUMNS($AB$1006:AL1006),$AB$1006:$AQ$1006,0))&gt;=100000), " ",IF(INDEX($AB$2:$AQ$1001,MATCH(ROWS($U$2:U487),$U$2:$U$1001,0),MATCH(COLUMNS($AB$1006:AL1006),$AB$1006:$AQ$1006,0)), HYPERLINK("#",""), HYPERLINK(CONCATENATE("#metadata!", ADDRESS(INDEX($W$2:$W$1001,MATCH(ROWS($U$2:U487),$U$2:$U$1001,0),0), INDEX($AB$1004:$AQ$1004,1,MATCH(COLUMNS($AB$1006:AL1006),$AB$1006:$AQ$1006,0)))),"Fix")))</f>
        <v>0</v>
      </c>
      <c r="M487" s="4">
        <f>IF(OR(INDEX($V$2:$V$1001,MATCH(ROWS($U$2:U487),$U$2:$U$1001,0),1)&gt;=100000,INDEX($AB$1005:$AQ$1005,1,MATCH(COLUMNS($AB$1006:AM1006),$AB$1006:$AQ$1006,0))&gt;=100000), " ",IF(INDEX($AB$2:$AQ$1001,MATCH(ROWS($U$2:U487),$U$2:$U$1001,0),MATCH(COLUMNS($AB$1006:AM1006),$AB$1006:$AQ$1006,0)), HYPERLINK("#",""), HYPERLINK(CONCATENATE("#metadata!", ADDRESS(INDEX($W$2:$W$1001,MATCH(ROWS($U$2:U487),$U$2:$U$1001,0),0), INDEX($AB$1004:$AQ$1004,1,MATCH(COLUMNS($AB$1006:AM1006),$AB$1006:$AQ$1006,0)))),"Fix")))</f>
        <v>0</v>
      </c>
      <c r="N487" s="4">
        <f>IF(OR(INDEX($V$2:$V$1001,MATCH(ROWS($U$2:U487),$U$2:$U$1001,0),1)&gt;=100000,INDEX($AB$1005:$AQ$1005,1,MATCH(COLUMNS($AB$1006:AN1006),$AB$1006:$AQ$1006,0))&gt;=100000), " ",IF(INDEX($AB$2:$AQ$1001,MATCH(ROWS($U$2:U487),$U$2:$U$1001,0),MATCH(COLUMNS($AB$1006:AN1006),$AB$1006:$AQ$1006,0)), HYPERLINK("#",""), HYPERLINK(CONCATENATE("#metadata!", ADDRESS(INDEX($W$2:$W$1001,MATCH(ROWS($U$2:U487),$U$2:$U$1001,0),0), INDEX($AB$1004:$AQ$1004,1,MATCH(COLUMNS($AB$1006:AN1006),$AB$1006:$AQ$1006,0)))),"Fix")))</f>
        <v>0</v>
      </c>
      <c r="O487" s="4">
        <f>IF(OR(INDEX($V$2:$V$1001,MATCH(ROWS($U$2:U487),$U$2:$U$1001,0),1)&gt;=100000,INDEX($AB$1005:$AQ$1005,1,MATCH(COLUMNS($AB$1006:AO1006),$AB$1006:$AQ$1006,0))&gt;=100000), " ",IF(INDEX($AB$2:$AQ$1001,MATCH(ROWS($U$2:U487),$U$2:$U$1001,0),MATCH(COLUMNS($AB$1006:AO1006),$AB$1006:$AQ$1006,0)), HYPERLINK("#",""), HYPERLINK(CONCATENATE("#metadata!", ADDRESS(INDEX($W$2:$W$1001,MATCH(ROWS($U$2:U487),$U$2:$U$1001,0),0), INDEX($AB$1004:$AQ$1004,1,MATCH(COLUMNS($AB$1006:AO1006),$AB$1006:$AQ$1006,0)))),"Fix")))</f>
        <v>0</v>
      </c>
      <c r="P487" s="4">
        <f>IF(OR(INDEX($V$2:$V$1001,MATCH(ROWS($U$2:U487),$U$2:$U$1001,0),1)&gt;=100000,INDEX($AB$1005:$AQ$1005,1,MATCH(COLUMNS($AB$1006:AP1006),$AB$1006:$AQ$1006,0))&gt;=100000), " ",IF(INDEX($AB$2:$AQ$1001,MATCH(ROWS($U$2:U487),$U$2:$U$1001,0),MATCH(COLUMNS($AB$1006:AP1006),$AB$1006:$AQ$1006,0)), HYPERLINK("#",""), HYPERLINK(CONCATENATE("#metadata!", ADDRESS(INDEX($W$2:$W$1001,MATCH(ROWS($U$2:U487),$U$2:$U$1001,0),0), INDEX($AB$1004:$AQ$1004,1,MATCH(COLUMNS($AB$1006:AP1006),$AB$1006:$AQ$1006,0)))),"Fix")))</f>
        <v>0</v>
      </c>
      <c r="Q487" s="4">
        <f>IF(OR(INDEX($V$2:$V$1001,MATCH(ROWS($U$2:U487),$U$2:$U$1001,0),1)&gt;=100000,INDEX($AB$1005:$AQ$1005,1,MATCH(COLUMNS($AB$1006:AQ1006),$AB$1006:$AQ$1006,0))&gt;=100000), " ",IF(INDEX($AB$2:$AQ$1001,MATCH(ROWS($U$2:U487),$U$2:$U$1001,0),MATCH(COLUMNS($AB$1006:AQ1006),$AB$1006:$AQ$1006,0)), HYPERLINK("#",""), HYPERLINK(CONCATENATE("#metadata!", ADDRESS(INDEX($W$2:$W$1001,MATCH(ROWS($U$2:U487),$U$2:$U$1001,0),0), INDEX($AB$1004:$AQ$1004,1,MATCH(COLUMNS($AB$1006:AQ1006),$AB$1006:$AQ$1006,0)))),"Fix")))</f>
        <v>0</v>
      </c>
      <c r="U487">
        <v>0</v>
      </c>
      <c r="V487">
        <v>0</v>
      </c>
      <c r="W487">
        <v>0</v>
      </c>
      <c r="X487">
        <f>IF(Y487,TRUE,AND(AB487:AQ487))</f>
        <v>0</v>
      </c>
      <c r="Y487">
        <f>COUNTBLANK(metadata!B487:Q487)=COLUMNS(metadata!B487:Q487)</f>
        <v>0</v>
      </c>
      <c r="Z487">
        <v>0</v>
      </c>
      <c r="AB487">
        <f>AND(IF(metadata!B487="",FALSE,TRUE),COUNTIF(metadata!B:B, metadata!B487) = 1,NOT(ISERROR(SUMPRODUCT(SEARCH(MID(metadata!B487,ROW(INDIRECT("1:"&amp;LEN(metadata!B487))), 1),"0123456789abcdefghijklmnopqrstuvwxyzABCDEFGHIJKLMNOPQRSTUVWXYZ.")))))</f>
        <v>0</v>
      </c>
      <c r="AC487">
        <f>OR(AND(IF(metadata!C487="",FALSE,TRUE),OR(exact(metadata!C487,"missing: not collected"),exact(metadata!C487,"missing: not provided"),exact(metadata!C487,"missing: restricted access"))),AND(IF(metadata!C487="",FALSE,TRUE),AND(AND(IFERROR(INT(LEFT(metadata!C487,4))&gt;1900,FALSE),IFERROR(INT(LEFT(metadata!C487,4))&lt;=YEAR(NOW()),FALSE)), OR(MID(metadata!C487,5,1)="", AND(AND(MID(metadata!C487,5,1)="-",IFERROR(INT(MID(metadata!C487,6,1))&gt;=0,FALSE),IFERROR(INT(MID(metadata!C487,6,1))&lt;=1,FALSE),NOT(MID(metadata!C487,7,1)=""),IFERROR(INT(MID(metadata!C487,6,2))&gt;=1,FALSE),IFERROR(INT(MID(metadata!C487,6,2))&lt;=12,FALSE)), OR(MID(metadata!C487,8,1)="", AND(AND(MID(metadata!C487,8,1)="-",IFERROR(INT(MID(metadata!C487,9,1))&gt;=0,FALSE),IFERROR(INT(MID(metadata!C487,9,1))&lt;=3,FALSE),NOT(MID(metadata!C487,10,1)=""),IFERROR(INT(MID(metadata!C487,9,2))&gt;=1,FALSE),IFERROR(INT(MID(metadata!C487,9,2))&lt;=31,FALSE)), OR(MID(metadata!C487,11,1)="", AND(AND(MID(metadata!C487,11,1)=" ",IFERROR(INT(MID(metadata!C487,12,1))&gt;=0,FALSE),IFERROR(INT(MID(metadata!C487,12,1))&lt;=2,FALSE),NOT(MID(metadata!C487,13,1)=""),IFERROR(INT(MID(metadata!C487,12,2))&gt;=0,FALSE),IFERROR(INT(MID(metadata!C487,12,2))&lt;=23,FALSE)), OR(MID(metadata!C487,14,1)="", AND(AND(MID(metadata!C487,14,1)=":",IFERROR(INT(MID(metadata!C487,15,1))&gt;=0,FALSE),IFERROR(INT(MID(metadata!C487,15,1))&lt;=5,FALSE),NOT(MID(metadata!C487,16,1)=""),IFERROR(INT(MID(metadata!C487,15,2))&gt;=0,FALSE),IFERROR(INT(MID(metadata!C487,15,2))&lt;=59,FALSE)), OR(MID(metadata!C487,17,1)="", AND(AND(MID(metadata!C487,17,1)=":",IFERROR(INT(MID(metadata!C487,18,1))&gt;=0,FALSE),IFERROR(INT(MID(metadata!C487,18,1))&lt;=5,FALSE),NOT(MID(metadata!C487,19,1)=""),IFERROR(INT(MID(metadata!C487,18,2))&gt;=0,FALSE),IFERROR(INT(MID(metadata!C487,18,2))&lt;=59,FALSE)), LEN(metadata!C487)&lt;=19)))))))))))))</f>
        <v>0</v>
      </c>
      <c r="AD487">
        <f>IF(metadata!D487="",FALSE,TRUE)</f>
        <v>0</v>
      </c>
      <c r="AE487">
        <f>OR(AND(IF(metadata!E487="",FALSE,TRUE),OR(exact(metadata!E487,"missing: not collected"),exact(metadata!E487,"missing: not provided"))),AND(IF(metadata!E487="",FALSE,TRUE),OR(exact(metadata!E487,"TRUE"),exact(metadata!E487,"FALSE"))))</f>
        <v>0</v>
      </c>
      <c r="AF487">
        <f>IF(metadata!F487="",FALSE,TRUE)</f>
        <v>0</v>
      </c>
      <c r="AG487">
        <f>IF(metadata!G487="",FALSE,TRUE)</f>
        <v>0</v>
      </c>
      <c r="AH487">
        <f>IF(metadata!H487="",FALSE,TRUE)</f>
        <v>0</v>
      </c>
      <c r="AI487">
        <f>OR(AND(IF(metadata!I487="",FALSE,TRUE),OR(exact(metadata!I487,"missing: not collected"),exact(metadata!I487,"missing: not provided"),exact(metadata!I487,"missing: restricted access"))),AND(IF(metadata!I487="",FALSE,TRUE),OR(exact(metadata!I487,"air"),exact(metadata!I487,"built environment"),exact(metadata!I487,"host-associated"),exact(metadata!I487,"human-associated"),exact(metadata!I487,"human-skin"),exact(metadata!I487,"human-oral"),exact(metadata!I487,"human-gut"),exact(metadata!I487,"human-vaginal"),exact(metadata!I487,"microbial mat/biofilm"),exact(metadata!I487,"misc environment"),exact(metadata!I487,"plant-associated"),exact(metadata!I487,"sediment"),exact(metadata!I487,"soil"),exact(metadata!I487,"wastewater/sludge"),exact(metadata!I487,"water"))))</f>
        <v>0</v>
      </c>
      <c r="AJ487">
        <f>IF(metadata!J487="",FALSE,TRUE)</f>
        <v>0</v>
      </c>
      <c r="AK487">
        <f>OR(AND(IF(metadata!K487="",FALSE,TRUE),OR(exact(metadata!K487,"missing: not collected"),exact(metadata!K487,"missing: not provided"),exact(metadata!K487,"missing: restricted access"))),AND(IF(metadata!K487="",FALSE,ISNUMBER(VALUE(metadata!K487))),metadata!K487&gt;=-90.00,metadata!K487&lt;=90.00))</f>
        <v>0</v>
      </c>
      <c r="AL487">
        <f>OR(AND(IF(metadata!L487="",FALSE,TRUE),OR(exact(metadata!L487,"missing: not collected"),exact(metadata!L487,"missing: not provided"),exact(metadata!L487,"missing: restricted access"))),AND(IF(metadata!L487="",FALSE,ISNUMBER(VALUE(metadata!L487))),metadata!L487&gt;=-180.00,metadata!L487&lt;=180.00))</f>
        <v>0</v>
      </c>
      <c r="AM487">
        <f>IF(metadata!M487="",FALSE,TRUE)</f>
        <v>0</v>
      </c>
      <c r="AN487">
        <f>OR(AND(IF(metadata!N487="",FALSE,TRUE),OR(exact(metadata!N487,"missing: not collected"),exact(metadata!N487,"missing: not provided"),exact(metadata!N487,"missing: restricted access"))),AND(IF(metadata!N487="",FALSE,TRUE),OR(exact(metadata!N487,"TRUE"),exact(metadata!N487,"FALSE"))))</f>
        <v>0</v>
      </c>
      <c r="AO487">
        <f>IF(metadata!O487="",FALSE,TRUE)</f>
        <v>0</v>
      </c>
      <c r="AP487">
        <f>OR(AND(IF(metadata!P487="",FALSE,TRUE),OR(exact(metadata!P487,"missing: not collected"),exact(metadata!P487,"missing: not provided"))),AND(IF(metadata!P487="",FALSE,IF(ISERROR(INT(metadata!P487)),FALSE,INT(metadata!P487)=metadata!P487)),metadata!P487&gt;0))</f>
        <v>0</v>
      </c>
      <c r="AQ487">
        <f>IF(metadata!Q487="",FALSE,TRUE)</f>
        <v>0</v>
      </c>
    </row>
    <row r="488" spans="1:43">
      <c r="A488" s="5">
        <f>IF(B488=" "," ",HYPERLINK(CONCATENATE("#metadata!",ADDRESS(INDEX($W$2:$W$1001,MATCH(ROWS($U$2:U488),$U$2:$U$1001,0),0),1)),INDEX($Z$2:$Z$1001,MATCH(ROWS($U$2:U488),$U$2:$U$1001,0),0)))</f>
        <v>0</v>
      </c>
      <c r="B488" s="4">
        <f>IF(OR(INDEX($V$2:$V$1001,MATCH(ROWS($U$2:U488),$U$2:$U$1001,0),1)&gt;=100000,INDEX($AB$1005:$AQ$1005,1,MATCH(COLUMNS($AB$1006:AB1006),$AB$1006:$AQ$1006,0))&gt;=100000), " ",IF(INDEX($AB$2:$AQ$1001,MATCH(ROWS($U$2:U488),$U$2:$U$1001,0),MATCH(COLUMNS($AB$1006:AB1006),$AB$1006:$AQ$1006,0)), HYPERLINK("#",""), HYPERLINK(CONCATENATE("#metadata!", ADDRESS(INDEX($W$2:$W$1001,MATCH(ROWS($U$2:U488),$U$2:$U$1001,0),0), INDEX($AB$1004:$AQ$1004,1,MATCH(COLUMNS($AB$1006:AB1006),$AB$1006:$AQ$1006,0)))),"Fix")))</f>
        <v>0</v>
      </c>
      <c r="C488" s="4">
        <f>IF(OR(INDEX($V$2:$V$1001,MATCH(ROWS($U$2:U488),$U$2:$U$1001,0),1)&gt;=100000,INDEX($AB$1005:$AQ$1005,1,MATCH(COLUMNS($AB$1006:AC1006),$AB$1006:$AQ$1006,0))&gt;=100000), " ",IF(INDEX($AB$2:$AQ$1001,MATCH(ROWS($U$2:U488),$U$2:$U$1001,0),MATCH(COLUMNS($AB$1006:AC1006),$AB$1006:$AQ$1006,0)), HYPERLINK("#",""), HYPERLINK(CONCATENATE("#metadata!", ADDRESS(INDEX($W$2:$W$1001,MATCH(ROWS($U$2:U488),$U$2:$U$1001,0),0), INDEX($AB$1004:$AQ$1004,1,MATCH(COLUMNS($AB$1006:AC1006),$AB$1006:$AQ$1006,0)))),"Fix")))</f>
        <v>0</v>
      </c>
      <c r="D488" s="4">
        <f>IF(OR(INDEX($V$2:$V$1001,MATCH(ROWS($U$2:U488),$U$2:$U$1001,0),1)&gt;=100000,INDEX($AB$1005:$AQ$1005,1,MATCH(COLUMNS($AB$1006:AD1006),$AB$1006:$AQ$1006,0))&gt;=100000), " ",IF(INDEX($AB$2:$AQ$1001,MATCH(ROWS($U$2:U488),$U$2:$U$1001,0),MATCH(COLUMNS($AB$1006:AD1006),$AB$1006:$AQ$1006,0)), HYPERLINK("#",""), HYPERLINK(CONCATENATE("#metadata!", ADDRESS(INDEX($W$2:$W$1001,MATCH(ROWS($U$2:U488),$U$2:$U$1001,0),0), INDEX($AB$1004:$AQ$1004,1,MATCH(COLUMNS($AB$1006:AD1006),$AB$1006:$AQ$1006,0)))),"Fix")))</f>
        <v>0</v>
      </c>
      <c r="E488" s="4">
        <f>IF(OR(INDEX($V$2:$V$1001,MATCH(ROWS($U$2:U488),$U$2:$U$1001,0),1)&gt;=100000,INDEX($AB$1005:$AQ$1005,1,MATCH(COLUMNS($AB$1006:AE1006),$AB$1006:$AQ$1006,0))&gt;=100000), " ",IF(INDEX($AB$2:$AQ$1001,MATCH(ROWS($U$2:U488),$U$2:$U$1001,0),MATCH(COLUMNS($AB$1006:AE1006),$AB$1006:$AQ$1006,0)), HYPERLINK("#",""), HYPERLINK(CONCATENATE("#metadata!", ADDRESS(INDEX($W$2:$W$1001,MATCH(ROWS($U$2:U488),$U$2:$U$1001,0),0), INDEX($AB$1004:$AQ$1004,1,MATCH(COLUMNS($AB$1006:AE1006),$AB$1006:$AQ$1006,0)))),"Fix")))</f>
        <v>0</v>
      </c>
      <c r="F488" s="4">
        <f>IF(OR(INDEX($V$2:$V$1001,MATCH(ROWS($U$2:U488),$U$2:$U$1001,0),1)&gt;=100000,INDEX($AB$1005:$AQ$1005,1,MATCH(COLUMNS($AB$1006:AF1006),$AB$1006:$AQ$1006,0))&gt;=100000), " ",IF(INDEX($AB$2:$AQ$1001,MATCH(ROWS($U$2:U488),$U$2:$U$1001,0),MATCH(COLUMNS($AB$1006:AF1006),$AB$1006:$AQ$1006,0)), HYPERLINK("#",""), HYPERLINK(CONCATENATE("#metadata!", ADDRESS(INDEX($W$2:$W$1001,MATCH(ROWS($U$2:U488),$U$2:$U$1001,0),0), INDEX($AB$1004:$AQ$1004,1,MATCH(COLUMNS($AB$1006:AF1006),$AB$1006:$AQ$1006,0)))),"Fix")))</f>
        <v>0</v>
      </c>
      <c r="G488" s="4">
        <f>IF(OR(INDEX($V$2:$V$1001,MATCH(ROWS($U$2:U488),$U$2:$U$1001,0),1)&gt;=100000,INDEX($AB$1005:$AQ$1005,1,MATCH(COLUMNS($AB$1006:AG1006),$AB$1006:$AQ$1006,0))&gt;=100000), " ",IF(INDEX($AB$2:$AQ$1001,MATCH(ROWS($U$2:U488),$U$2:$U$1001,0),MATCH(COLUMNS($AB$1006:AG1006),$AB$1006:$AQ$1006,0)), HYPERLINK("#",""), HYPERLINK(CONCATENATE("#metadata!", ADDRESS(INDEX($W$2:$W$1001,MATCH(ROWS($U$2:U488),$U$2:$U$1001,0),0), INDEX($AB$1004:$AQ$1004,1,MATCH(COLUMNS($AB$1006:AG1006),$AB$1006:$AQ$1006,0)))),"Fix")))</f>
        <v>0</v>
      </c>
      <c r="H488" s="4">
        <f>IF(OR(INDEX($V$2:$V$1001,MATCH(ROWS($U$2:U488),$U$2:$U$1001,0),1)&gt;=100000,INDEX($AB$1005:$AQ$1005,1,MATCH(COLUMNS($AB$1006:AH1006),$AB$1006:$AQ$1006,0))&gt;=100000), " ",IF(INDEX($AB$2:$AQ$1001,MATCH(ROWS($U$2:U488),$U$2:$U$1001,0),MATCH(COLUMNS($AB$1006:AH1006),$AB$1006:$AQ$1006,0)), HYPERLINK("#",""), HYPERLINK(CONCATENATE("#metadata!", ADDRESS(INDEX($W$2:$W$1001,MATCH(ROWS($U$2:U488),$U$2:$U$1001,0),0), INDEX($AB$1004:$AQ$1004,1,MATCH(COLUMNS($AB$1006:AH1006),$AB$1006:$AQ$1006,0)))),"Fix")))</f>
        <v>0</v>
      </c>
      <c r="I488" s="4">
        <f>IF(OR(INDEX($V$2:$V$1001,MATCH(ROWS($U$2:U488),$U$2:$U$1001,0),1)&gt;=100000,INDEX($AB$1005:$AQ$1005,1,MATCH(COLUMNS($AB$1006:AI1006),$AB$1006:$AQ$1006,0))&gt;=100000), " ",IF(INDEX($AB$2:$AQ$1001,MATCH(ROWS($U$2:U488),$U$2:$U$1001,0),MATCH(COLUMNS($AB$1006:AI1006),$AB$1006:$AQ$1006,0)), HYPERLINK("#",""), HYPERLINK(CONCATENATE("#metadata!", ADDRESS(INDEX($W$2:$W$1001,MATCH(ROWS($U$2:U488),$U$2:$U$1001,0),0), INDEX($AB$1004:$AQ$1004,1,MATCH(COLUMNS($AB$1006:AI1006),$AB$1006:$AQ$1006,0)))),"Fix")))</f>
        <v>0</v>
      </c>
      <c r="J488" s="4">
        <f>IF(OR(INDEX($V$2:$V$1001,MATCH(ROWS($U$2:U488),$U$2:$U$1001,0),1)&gt;=100000,INDEX($AB$1005:$AQ$1005,1,MATCH(COLUMNS($AB$1006:AJ1006),$AB$1006:$AQ$1006,0))&gt;=100000), " ",IF(INDEX($AB$2:$AQ$1001,MATCH(ROWS($U$2:U488),$U$2:$U$1001,0),MATCH(COLUMNS($AB$1006:AJ1006),$AB$1006:$AQ$1006,0)), HYPERLINK("#",""), HYPERLINK(CONCATENATE("#metadata!", ADDRESS(INDEX($W$2:$W$1001,MATCH(ROWS($U$2:U488),$U$2:$U$1001,0),0), INDEX($AB$1004:$AQ$1004,1,MATCH(COLUMNS($AB$1006:AJ1006),$AB$1006:$AQ$1006,0)))),"Fix")))</f>
        <v>0</v>
      </c>
      <c r="K488" s="4">
        <f>IF(OR(INDEX($V$2:$V$1001,MATCH(ROWS($U$2:U488),$U$2:$U$1001,0),1)&gt;=100000,INDEX($AB$1005:$AQ$1005,1,MATCH(COLUMNS($AB$1006:AK1006),$AB$1006:$AQ$1006,0))&gt;=100000), " ",IF(INDEX($AB$2:$AQ$1001,MATCH(ROWS($U$2:U488),$U$2:$U$1001,0),MATCH(COLUMNS($AB$1006:AK1006),$AB$1006:$AQ$1006,0)), HYPERLINK("#",""), HYPERLINK(CONCATENATE("#metadata!", ADDRESS(INDEX($W$2:$W$1001,MATCH(ROWS($U$2:U488),$U$2:$U$1001,0),0), INDEX($AB$1004:$AQ$1004,1,MATCH(COLUMNS($AB$1006:AK1006),$AB$1006:$AQ$1006,0)))),"Fix")))</f>
        <v>0</v>
      </c>
      <c r="L488" s="4">
        <f>IF(OR(INDEX($V$2:$V$1001,MATCH(ROWS($U$2:U488),$U$2:$U$1001,0),1)&gt;=100000,INDEX($AB$1005:$AQ$1005,1,MATCH(COLUMNS($AB$1006:AL1006),$AB$1006:$AQ$1006,0))&gt;=100000), " ",IF(INDEX($AB$2:$AQ$1001,MATCH(ROWS($U$2:U488),$U$2:$U$1001,0),MATCH(COLUMNS($AB$1006:AL1006),$AB$1006:$AQ$1006,0)), HYPERLINK("#",""), HYPERLINK(CONCATENATE("#metadata!", ADDRESS(INDEX($W$2:$W$1001,MATCH(ROWS($U$2:U488),$U$2:$U$1001,0),0), INDEX($AB$1004:$AQ$1004,1,MATCH(COLUMNS($AB$1006:AL1006),$AB$1006:$AQ$1006,0)))),"Fix")))</f>
        <v>0</v>
      </c>
      <c r="M488" s="4">
        <f>IF(OR(INDEX($V$2:$V$1001,MATCH(ROWS($U$2:U488),$U$2:$U$1001,0),1)&gt;=100000,INDEX($AB$1005:$AQ$1005,1,MATCH(COLUMNS($AB$1006:AM1006),$AB$1006:$AQ$1006,0))&gt;=100000), " ",IF(INDEX($AB$2:$AQ$1001,MATCH(ROWS($U$2:U488),$U$2:$U$1001,0),MATCH(COLUMNS($AB$1006:AM1006),$AB$1006:$AQ$1006,0)), HYPERLINK("#",""), HYPERLINK(CONCATENATE("#metadata!", ADDRESS(INDEX($W$2:$W$1001,MATCH(ROWS($U$2:U488),$U$2:$U$1001,0),0), INDEX($AB$1004:$AQ$1004,1,MATCH(COLUMNS($AB$1006:AM1006),$AB$1006:$AQ$1006,0)))),"Fix")))</f>
        <v>0</v>
      </c>
      <c r="N488" s="4">
        <f>IF(OR(INDEX($V$2:$V$1001,MATCH(ROWS($U$2:U488),$U$2:$U$1001,0),1)&gt;=100000,INDEX($AB$1005:$AQ$1005,1,MATCH(COLUMNS($AB$1006:AN1006),$AB$1006:$AQ$1006,0))&gt;=100000), " ",IF(INDEX($AB$2:$AQ$1001,MATCH(ROWS($U$2:U488),$U$2:$U$1001,0),MATCH(COLUMNS($AB$1006:AN1006),$AB$1006:$AQ$1006,0)), HYPERLINK("#",""), HYPERLINK(CONCATENATE("#metadata!", ADDRESS(INDEX($W$2:$W$1001,MATCH(ROWS($U$2:U488),$U$2:$U$1001,0),0), INDEX($AB$1004:$AQ$1004,1,MATCH(COLUMNS($AB$1006:AN1006),$AB$1006:$AQ$1006,0)))),"Fix")))</f>
        <v>0</v>
      </c>
      <c r="O488" s="4">
        <f>IF(OR(INDEX($V$2:$V$1001,MATCH(ROWS($U$2:U488),$U$2:$U$1001,0),1)&gt;=100000,INDEX($AB$1005:$AQ$1005,1,MATCH(COLUMNS($AB$1006:AO1006),$AB$1006:$AQ$1006,0))&gt;=100000), " ",IF(INDEX($AB$2:$AQ$1001,MATCH(ROWS($U$2:U488),$U$2:$U$1001,0),MATCH(COLUMNS($AB$1006:AO1006),$AB$1006:$AQ$1006,0)), HYPERLINK("#",""), HYPERLINK(CONCATENATE("#metadata!", ADDRESS(INDEX($W$2:$W$1001,MATCH(ROWS($U$2:U488),$U$2:$U$1001,0),0), INDEX($AB$1004:$AQ$1004,1,MATCH(COLUMNS($AB$1006:AO1006),$AB$1006:$AQ$1006,0)))),"Fix")))</f>
        <v>0</v>
      </c>
      <c r="P488" s="4">
        <f>IF(OR(INDEX($V$2:$V$1001,MATCH(ROWS($U$2:U488),$U$2:$U$1001,0),1)&gt;=100000,INDEX($AB$1005:$AQ$1005,1,MATCH(COLUMNS($AB$1006:AP1006),$AB$1006:$AQ$1006,0))&gt;=100000), " ",IF(INDEX($AB$2:$AQ$1001,MATCH(ROWS($U$2:U488),$U$2:$U$1001,0),MATCH(COLUMNS($AB$1006:AP1006),$AB$1006:$AQ$1006,0)), HYPERLINK("#",""), HYPERLINK(CONCATENATE("#metadata!", ADDRESS(INDEX($W$2:$W$1001,MATCH(ROWS($U$2:U488),$U$2:$U$1001,0),0), INDEX($AB$1004:$AQ$1004,1,MATCH(COLUMNS($AB$1006:AP1006),$AB$1006:$AQ$1006,0)))),"Fix")))</f>
        <v>0</v>
      </c>
      <c r="Q488" s="4">
        <f>IF(OR(INDEX($V$2:$V$1001,MATCH(ROWS($U$2:U488),$U$2:$U$1001,0),1)&gt;=100000,INDEX($AB$1005:$AQ$1005,1,MATCH(COLUMNS($AB$1006:AQ1006),$AB$1006:$AQ$1006,0))&gt;=100000), " ",IF(INDEX($AB$2:$AQ$1001,MATCH(ROWS($U$2:U488),$U$2:$U$1001,0),MATCH(COLUMNS($AB$1006:AQ1006),$AB$1006:$AQ$1006,0)), HYPERLINK("#",""), HYPERLINK(CONCATENATE("#metadata!", ADDRESS(INDEX($W$2:$W$1001,MATCH(ROWS($U$2:U488),$U$2:$U$1001,0),0), INDEX($AB$1004:$AQ$1004,1,MATCH(COLUMNS($AB$1006:AQ1006),$AB$1006:$AQ$1006,0)))),"Fix")))</f>
        <v>0</v>
      </c>
      <c r="U488">
        <v>0</v>
      </c>
      <c r="V488">
        <v>0</v>
      </c>
      <c r="W488">
        <v>0</v>
      </c>
      <c r="X488">
        <f>IF(Y488,TRUE,AND(AB488:AQ488))</f>
        <v>0</v>
      </c>
      <c r="Y488">
        <f>COUNTBLANK(metadata!B488:Q488)=COLUMNS(metadata!B488:Q488)</f>
        <v>0</v>
      </c>
      <c r="Z488">
        <v>0</v>
      </c>
      <c r="AB488">
        <f>AND(IF(metadata!B488="",FALSE,TRUE),COUNTIF(metadata!B:B, metadata!B488) = 1,NOT(ISERROR(SUMPRODUCT(SEARCH(MID(metadata!B488,ROW(INDIRECT("1:"&amp;LEN(metadata!B488))), 1),"0123456789abcdefghijklmnopqrstuvwxyzABCDEFGHIJKLMNOPQRSTUVWXYZ.")))))</f>
        <v>0</v>
      </c>
      <c r="AC488">
        <f>OR(AND(IF(metadata!C488="",FALSE,TRUE),OR(exact(metadata!C488,"missing: not collected"),exact(metadata!C488,"missing: not provided"),exact(metadata!C488,"missing: restricted access"))),AND(IF(metadata!C488="",FALSE,TRUE),AND(AND(IFERROR(INT(LEFT(metadata!C488,4))&gt;1900,FALSE),IFERROR(INT(LEFT(metadata!C488,4))&lt;=YEAR(NOW()),FALSE)), OR(MID(metadata!C488,5,1)="", AND(AND(MID(metadata!C488,5,1)="-",IFERROR(INT(MID(metadata!C488,6,1))&gt;=0,FALSE),IFERROR(INT(MID(metadata!C488,6,1))&lt;=1,FALSE),NOT(MID(metadata!C488,7,1)=""),IFERROR(INT(MID(metadata!C488,6,2))&gt;=1,FALSE),IFERROR(INT(MID(metadata!C488,6,2))&lt;=12,FALSE)), OR(MID(metadata!C488,8,1)="", AND(AND(MID(metadata!C488,8,1)="-",IFERROR(INT(MID(metadata!C488,9,1))&gt;=0,FALSE),IFERROR(INT(MID(metadata!C488,9,1))&lt;=3,FALSE),NOT(MID(metadata!C488,10,1)=""),IFERROR(INT(MID(metadata!C488,9,2))&gt;=1,FALSE),IFERROR(INT(MID(metadata!C488,9,2))&lt;=31,FALSE)), OR(MID(metadata!C488,11,1)="", AND(AND(MID(metadata!C488,11,1)=" ",IFERROR(INT(MID(metadata!C488,12,1))&gt;=0,FALSE),IFERROR(INT(MID(metadata!C488,12,1))&lt;=2,FALSE),NOT(MID(metadata!C488,13,1)=""),IFERROR(INT(MID(metadata!C488,12,2))&gt;=0,FALSE),IFERROR(INT(MID(metadata!C488,12,2))&lt;=23,FALSE)), OR(MID(metadata!C488,14,1)="", AND(AND(MID(metadata!C488,14,1)=":",IFERROR(INT(MID(metadata!C488,15,1))&gt;=0,FALSE),IFERROR(INT(MID(metadata!C488,15,1))&lt;=5,FALSE),NOT(MID(metadata!C488,16,1)=""),IFERROR(INT(MID(metadata!C488,15,2))&gt;=0,FALSE),IFERROR(INT(MID(metadata!C488,15,2))&lt;=59,FALSE)), OR(MID(metadata!C488,17,1)="", AND(AND(MID(metadata!C488,17,1)=":",IFERROR(INT(MID(metadata!C488,18,1))&gt;=0,FALSE),IFERROR(INT(MID(metadata!C488,18,1))&lt;=5,FALSE),NOT(MID(metadata!C488,19,1)=""),IFERROR(INT(MID(metadata!C488,18,2))&gt;=0,FALSE),IFERROR(INT(MID(metadata!C488,18,2))&lt;=59,FALSE)), LEN(metadata!C488)&lt;=19)))))))))))))</f>
        <v>0</v>
      </c>
      <c r="AD488">
        <f>IF(metadata!D488="",FALSE,TRUE)</f>
        <v>0</v>
      </c>
      <c r="AE488">
        <f>OR(AND(IF(metadata!E488="",FALSE,TRUE),OR(exact(metadata!E488,"missing: not collected"),exact(metadata!E488,"missing: not provided"))),AND(IF(metadata!E488="",FALSE,TRUE),OR(exact(metadata!E488,"TRUE"),exact(metadata!E488,"FALSE"))))</f>
        <v>0</v>
      </c>
      <c r="AF488">
        <f>IF(metadata!F488="",FALSE,TRUE)</f>
        <v>0</v>
      </c>
      <c r="AG488">
        <f>IF(metadata!G488="",FALSE,TRUE)</f>
        <v>0</v>
      </c>
      <c r="AH488">
        <f>IF(metadata!H488="",FALSE,TRUE)</f>
        <v>0</v>
      </c>
      <c r="AI488">
        <f>OR(AND(IF(metadata!I488="",FALSE,TRUE),OR(exact(metadata!I488,"missing: not collected"),exact(metadata!I488,"missing: not provided"),exact(metadata!I488,"missing: restricted access"))),AND(IF(metadata!I488="",FALSE,TRUE),OR(exact(metadata!I488,"air"),exact(metadata!I488,"built environment"),exact(metadata!I488,"host-associated"),exact(metadata!I488,"human-associated"),exact(metadata!I488,"human-skin"),exact(metadata!I488,"human-oral"),exact(metadata!I488,"human-gut"),exact(metadata!I488,"human-vaginal"),exact(metadata!I488,"microbial mat/biofilm"),exact(metadata!I488,"misc environment"),exact(metadata!I488,"plant-associated"),exact(metadata!I488,"sediment"),exact(metadata!I488,"soil"),exact(metadata!I488,"wastewater/sludge"),exact(metadata!I488,"water"))))</f>
        <v>0</v>
      </c>
      <c r="AJ488">
        <f>IF(metadata!J488="",FALSE,TRUE)</f>
        <v>0</v>
      </c>
      <c r="AK488">
        <f>OR(AND(IF(metadata!K488="",FALSE,TRUE),OR(exact(metadata!K488,"missing: not collected"),exact(metadata!K488,"missing: not provided"),exact(metadata!K488,"missing: restricted access"))),AND(IF(metadata!K488="",FALSE,ISNUMBER(VALUE(metadata!K488))),metadata!K488&gt;=-90.00,metadata!K488&lt;=90.00))</f>
        <v>0</v>
      </c>
      <c r="AL488">
        <f>OR(AND(IF(metadata!L488="",FALSE,TRUE),OR(exact(metadata!L488,"missing: not collected"),exact(metadata!L488,"missing: not provided"),exact(metadata!L488,"missing: restricted access"))),AND(IF(metadata!L488="",FALSE,ISNUMBER(VALUE(metadata!L488))),metadata!L488&gt;=-180.00,metadata!L488&lt;=180.00))</f>
        <v>0</v>
      </c>
      <c r="AM488">
        <f>IF(metadata!M488="",FALSE,TRUE)</f>
        <v>0</v>
      </c>
      <c r="AN488">
        <f>OR(AND(IF(metadata!N488="",FALSE,TRUE),OR(exact(metadata!N488,"missing: not collected"),exact(metadata!N488,"missing: not provided"),exact(metadata!N488,"missing: restricted access"))),AND(IF(metadata!N488="",FALSE,TRUE),OR(exact(metadata!N488,"TRUE"),exact(metadata!N488,"FALSE"))))</f>
        <v>0</v>
      </c>
      <c r="AO488">
        <f>IF(metadata!O488="",FALSE,TRUE)</f>
        <v>0</v>
      </c>
      <c r="AP488">
        <f>OR(AND(IF(metadata!P488="",FALSE,TRUE),OR(exact(metadata!P488,"missing: not collected"),exact(metadata!P488,"missing: not provided"))),AND(IF(metadata!P488="",FALSE,IF(ISERROR(INT(metadata!P488)),FALSE,INT(metadata!P488)=metadata!P488)),metadata!P488&gt;0))</f>
        <v>0</v>
      </c>
      <c r="AQ488">
        <f>IF(metadata!Q488="",FALSE,TRUE)</f>
        <v>0</v>
      </c>
    </row>
    <row r="489" spans="1:43">
      <c r="A489" s="5">
        <f>IF(B489=" "," ",HYPERLINK(CONCATENATE("#metadata!",ADDRESS(INDEX($W$2:$W$1001,MATCH(ROWS($U$2:U489),$U$2:$U$1001,0),0),1)),INDEX($Z$2:$Z$1001,MATCH(ROWS($U$2:U489),$U$2:$U$1001,0),0)))</f>
        <v>0</v>
      </c>
      <c r="B489" s="4">
        <f>IF(OR(INDEX($V$2:$V$1001,MATCH(ROWS($U$2:U489),$U$2:$U$1001,0),1)&gt;=100000,INDEX($AB$1005:$AQ$1005,1,MATCH(COLUMNS($AB$1006:AB1006),$AB$1006:$AQ$1006,0))&gt;=100000), " ",IF(INDEX($AB$2:$AQ$1001,MATCH(ROWS($U$2:U489),$U$2:$U$1001,0),MATCH(COLUMNS($AB$1006:AB1006),$AB$1006:$AQ$1006,0)), HYPERLINK("#",""), HYPERLINK(CONCATENATE("#metadata!", ADDRESS(INDEX($W$2:$W$1001,MATCH(ROWS($U$2:U489),$U$2:$U$1001,0),0), INDEX($AB$1004:$AQ$1004,1,MATCH(COLUMNS($AB$1006:AB1006),$AB$1006:$AQ$1006,0)))),"Fix")))</f>
        <v>0</v>
      </c>
      <c r="C489" s="4">
        <f>IF(OR(INDEX($V$2:$V$1001,MATCH(ROWS($U$2:U489),$U$2:$U$1001,0),1)&gt;=100000,INDEX($AB$1005:$AQ$1005,1,MATCH(COLUMNS($AB$1006:AC1006),$AB$1006:$AQ$1006,0))&gt;=100000), " ",IF(INDEX($AB$2:$AQ$1001,MATCH(ROWS($U$2:U489),$U$2:$U$1001,0),MATCH(COLUMNS($AB$1006:AC1006),$AB$1006:$AQ$1006,0)), HYPERLINK("#",""), HYPERLINK(CONCATENATE("#metadata!", ADDRESS(INDEX($W$2:$W$1001,MATCH(ROWS($U$2:U489),$U$2:$U$1001,0),0), INDEX($AB$1004:$AQ$1004,1,MATCH(COLUMNS($AB$1006:AC1006),$AB$1006:$AQ$1006,0)))),"Fix")))</f>
        <v>0</v>
      </c>
      <c r="D489" s="4">
        <f>IF(OR(INDEX($V$2:$V$1001,MATCH(ROWS($U$2:U489),$U$2:$U$1001,0),1)&gt;=100000,INDEX($AB$1005:$AQ$1005,1,MATCH(COLUMNS($AB$1006:AD1006),$AB$1006:$AQ$1006,0))&gt;=100000), " ",IF(INDEX($AB$2:$AQ$1001,MATCH(ROWS($U$2:U489),$U$2:$U$1001,0),MATCH(COLUMNS($AB$1006:AD1006),$AB$1006:$AQ$1006,0)), HYPERLINK("#",""), HYPERLINK(CONCATENATE("#metadata!", ADDRESS(INDEX($W$2:$W$1001,MATCH(ROWS($U$2:U489),$U$2:$U$1001,0),0), INDEX($AB$1004:$AQ$1004,1,MATCH(COLUMNS($AB$1006:AD1006),$AB$1006:$AQ$1006,0)))),"Fix")))</f>
        <v>0</v>
      </c>
      <c r="E489" s="4">
        <f>IF(OR(INDEX($V$2:$V$1001,MATCH(ROWS($U$2:U489),$U$2:$U$1001,0),1)&gt;=100000,INDEX($AB$1005:$AQ$1005,1,MATCH(COLUMNS($AB$1006:AE1006),$AB$1006:$AQ$1006,0))&gt;=100000), " ",IF(INDEX($AB$2:$AQ$1001,MATCH(ROWS($U$2:U489),$U$2:$U$1001,0),MATCH(COLUMNS($AB$1006:AE1006),$AB$1006:$AQ$1006,0)), HYPERLINK("#",""), HYPERLINK(CONCATENATE("#metadata!", ADDRESS(INDEX($W$2:$W$1001,MATCH(ROWS($U$2:U489),$U$2:$U$1001,0),0), INDEX($AB$1004:$AQ$1004,1,MATCH(COLUMNS($AB$1006:AE1006),$AB$1006:$AQ$1006,0)))),"Fix")))</f>
        <v>0</v>
      </c>
      <c r="F489" s="4">
        <f>IF(OR(INDEX($V$2:$V$1001,MATCH(ROWS($U$2:U489),$U$2:$U$1001,0),1)&gt;=100000,INDEX($AB$1005:$AQ$1005,1,MATCH(COLUMNS($AB$1006:AF1006),$AB$1006:$AQ$1006,0))&gt;=100000), " ",IF(INDEX($AB$2:$AQ$1001,MATCH(ROWS($U$2:U489),$U$2:$U$1001,0),MATCH(COLUMNS($AB$1006:AF1006),$AB$1006:$AQ$1006,0)), HYPERLINK("#",""), HYPERLINK(CONCATENATE("#metadata!", ADDRESS(INDEX($W$2:$W$1001,MATCH(ROWS($U$2:U489),$U$2:$U$1001,0),0), INDEX($AB$1004:$AQ$1004,1,MATCH(COLUMNS($AB$1006:AF1006),$AB$1006:$AQ$1006,0)))),"Fix")))</f>
        <v>0</v>
      </c>
      <c r="G489" s="4">
        <f>IF(OR(INDEX($V$2:$V$1001,MATCH(ROWS($U$2:U489),$U$2:$U$1001,0),1)&gt;=100000,INDEX($AB$1005:$AQ$1005,1,MATCH(COLUMNS($AB$1006:AG1006),$AB$1006:$AQ$1006,0))&gt;=100000), " ",IF(INDEX($AB$2:$AQ$1001,MATCH(ROWS($U$2:U489),$U$2:$U$1001,0),MATCH(COLUMNS($AB$1006:AG1006),$AB$1006:$AQ$1006,0)), HYPERLINK("#",""), HYPERLINK(CONCATENATE("#metadata!", ADDRESS(INDEX($W$2:$W$1001,MATCH(ROWS($U$2:U489),$U$2:$U$1001,0),0), INDEX($AB$1004:$AQ$1004,1,MATCH(COLUMNS($AB$1006:AG1006),$AB$1006:$AQ$1006,0)))),"Fix")))</f>
        <v>0</v>
      </c>
      <c r="H489" s="4">
        <f>IF(OR(INDEX($V$2:$V$1001,MATCH(ROWS($U$2:U489),$U$2:$U$1001,0),1)&gt;=100000,INDEX($AB$1005:$AQ$1005,1,MATCH(COLUMNS($AB$1006:AH1006),$AB$1006:$AQ$1006,0))&gt;=100000), " ",IF(INDEX($AB$2:$AQ$1001,MATCH(ROWS($U$2:U489),$U$2:$U$1001,0),MATCH(COLUMNS($AB$1006:AH1006),$AB$1006:$AQ$1006,0)), HYPERLINK("#",""), HYPERLINK(CONCATENATE("#metadata!", ADDRESS(INDEX($W$2:$W$1001,MATCH(ROWS($U$2:U489),$U$2:$U$1001,0),0), INDEX($AB$1004:$AQ$1004,1,MATCH(COLUMNS($AB$1006:AH1006),$AB$1006:$AQ$1006,0)))),"Fix")))</f>
        <v>0</v>
      </c>
      <c r="I489" s="4">
        <f>IF(OR(INDEX($V$2:$V$1001,MATCH(ROWS($U$2:U489),$U$2:$U$1001,0),1)&gt;=100000,INDEX($AB$1005:$AQ$1005,1,MATCH(COLUMNS($AB$1006:AI1006),$AB$1006:$AQ$1006,0))&gt;=100000), " ",IF(INDEX($AB$2:$AQ$1001,MATCH(ROWS($U$2:U489),$U$2:$U$1001,0),MATCH(COLUMNS($AB$1006:AI1006),$AB$1006:$AQ$1006,0)), HYPERLINK("#",""), HYPERLINK(CONCATENATE("#metadata!", ADDRESS(INDEX($W$2:$W$1001,MATCH(ROWS($U$2:U489),$U$2:$U$1001,0),0), INDEX($AB$1004:$AQ$1004,1,MATCH(COLUMNS($AB$1006:AI1006),$AB$1006:$AQ$1006,0)))),"Fix")))</f>
        <v>0</v>
      </c>
      <c r="J489" s="4">
        <f>IF(OR(INDEX($V$2:$V$1001,MATCH(ROWS($U$2:U489),$U$2:$U$1001,0),1)&gt;=100000,INDEX($AB$1005:$AQ$1005,1,MATCH(COLUMNS($AB$1006:AJ1006),$AB$1006:$AQ$1006,0))&gt;=100000), " ",IF(INDEX($AB$2:$AQ$1001,MATCH(ROWS($U$2:U489),$U$2:$U$1001,0),MATCH(COLUMNS($AB$1006:AJ1006),$AB$1006:$AQ$1006,0)), HYPERLINK("#",""), HYPERLINK(CONCATENATE("#metadata!", ADDRESS(INDEX($W$2:$W$1001,MATCH(ROWS($U$2:U489),$U$2:$U$1001,0),0), INDEX($AB$1004:$AQ$1004,1,MATCH(COLUMNS($AB$1006:AJ1006),$AB$1006:$AQ$1006,0)))),"Fix")))</f>
        <v>0</v>
      </c>
      <c r="K489" s="4">
        <f>IF(OR(INDEX($V$2:$V$1001,MATCH(ROWS($U$2:U489),$U$2:$U$1001,0),1)&gt;=100000,INDEX($AB$1005:$AQ$1005,1,MATCH(COLUMNS($AB$1006:AK1006),$AB$1006:$AQ$1006,0))&gt;=100000), " ",IF(INDEX($AB$2:$AQ$1001,MATCH(ROWS($U$2:U489),$U$2:$U$1001,0),MATCH(COLUMNS($AB$1006:AK1006),$AB$1006:$AQ$1006,0)), HYPERLINK("#",""), HYPERLINK(CONCATENATE("#metadata!", ADDRESS(INDEX($W$2:$W$1001,MATCH(ROWS($U$2:U489),$U$2:$U$1001,0),0), INDEX($AB$1004:$AQ$1004,1,MATCH(COLUMNS($AB$1006:AK1006),$AB$1006:$AQ$1006,0)))),"Fix")))</f>
        <v>0</v>
      </c>
      <c r="L489" s="4">
        <f>IF(OR(INDEX($V$2:$V$1001,MATCH(ROWS($U$2:U489),$U$2:$U$1001,0),1)&gt;=100000,INDEX($AB$1005:$AQ$1005,1,MATCH(COLUMNS($AB$1006:AL1006),$AB$1006:$AQ$1006,0))&gt;=100000), " ",IF(INDEX($AB$2:$AQ$1001,MATCH(ROWS($U$2:U489),$U$2:$U$1001,0),MATCH(COLUMNS($AB$1006:AL1006),$AB$1006:$AQ$1006,0)), HYPERLINK("#",""), HYPERLINK(CONCATENATE("#metadata!", ADDRESS(INDEX($W$2:$W$1001,MATCH(ROWS($U$2:U489),$U$2:$U$1001,0),0), INDEX($AB$1004:$AQ$1004,1,MATCH(COLUMNS($AB$1006:AL1006),$AB$1006:$AQ$1006,0)))),"Fix")))</f>
        <v>0</v>
      </c>
      <c r="M489" s="4">
        <f>IF(OR(INDEX($V$2:$V$1001,MATCH(ROWS($U$2:U489),$U$2:$U$1001,0),1)&gt;=100000,INDEX($AB$1005:$AQ$1005,1,MATCH(COLUMNS($AB$1006:AM1006),$AB$1006:$AQ$1006,0))&gt;=100000), " ",IF(INDEX($AB$2:$AQ$1001,MATCH(ROWS($U$2:U489),$U$2:$U$1001,0),MATCH(COLUMNS($AB$1006:AM1006),$AB$1006:$AQ$1006,0)), HYPERLINK("#",""), HYPERLINK(CONCATENATE("#metadata!", ADDRESS(INDEX($W$2:$W$1001,MATCH(ROWS($U$2:U489),$U$2:$U$1001,0),0), INDEX($AB$1004:$AQ$1004,1,MATCH(COLUMNS($AB$1006:AM1006),$AB$1006:$AQ$1006,0)))),"Fix")))</f>
        <v>0</v>
      </c>
      <c r="N489" s="4">
        <f>IF(OR(INDEX($V$2:$V$1001,MATCH(ROWS($U$2:U489),$U$2:$U$1001,0),1)&gt;=100000,INDEX($AB$1005:$AQ$1005,1,MATCH(COLUMNS($AB$1006:AN1006),$AB$1006:$AQ$1006,0))&gt;=100000), " ",IF(INDEX($AB$2:$AQ$1001,MATCH(ROWS($U$2:U489),$U$2:$U$1001,0),MATCH(COLUMNS($AB$1006:AN1006),$AB$1006:$AQ$1006,0)), HYPERLINK("#",""), HYPERLINK(CONCATENATE("#metadata!", ADDRESS(INDEX($W$2:$W$1001,MATCH(ROWS($U$2:U489),$U$2:$U$1001,0),0), INDEX($AB$1004:$AQ$1004,1,MATCH(COLUMNS($AB$1006:AN1006),$AB$1006:$AQ$1006,0)))),"Fix")))</f>
        <v>0</v>
      </c>
      <c r="O489" s="4">
        <f>IF(OR(INDEX($V$2:$V$1001,MATCH(ROWS($U$2:U489),$U$2:$U$1001,0),1)&gt;=100000,INDEX($AB$1005:$AQ$1005,1,MATCH(COLUMNS($AB$1006:AO1006),$AB$1006:$AQ$1006,0))&gt;=100000), " ",IF(INDEX($AB$2:$AQ$1001,MATCH(ROWS($U$2:U489),$U$2:$U$1001,0),MATCH(COLUMNS($AB$1006:AO1006),$AB$1006:$AQ$1006,0)), HYPERLINK("#",""), HYPERLINK(CONCATENATE("#metadata!", ADDRESS(INDEX($W$2:$W$1001,MATCH(ROWS($U$2:U489),$U$2:$U$1001,0),0), INDEX($AB$1004:$AQ$1004,1,MATCH(COLUMNS($AB$1006:AO1006),$AB$1006:$AQ$1006,0)))),"Fix")))</f>
        <v>0</v>
      </c>
      <c r="P489" s="4">
        <f>IF(OR(INDEX($V$2:$V$1001,MATCH(ROWS($U$2:U489),$U$2:$U$1001,0),1)&gt;=100000,INDEX($AB$1005:$AQ$1005,1,MATCH(COLUMNS($AB$1006:AP1006),$AB$1006:$AQ$1006,0))&gt;=100000), " ",IF(INDEX($AB$2:$AQ$1001,MATCH(ROWS($U$2:U489),$U$2:$U$1001,0),MATCH(COLUMNS($AB$1006:AP1006),$AB$1006:$AQ$1006,0)), HYPERLINK("#",""), HYPERLINK(CONCATENATE("#metadata!", ADDRESS(INDEX($W$2:$W$1001,MATCH(ROWS($U$2:U489),$U$2:$U$1001,0),0), INDEX($AB$1004:$AQ$1004,1,MATCH(COLUMNS($AB$1006:AP1006),$AB$1006:$AQ$1006,0)))),"Fix")))</f>
        <v>0</v>
      </c>
      <c r="Q489" s="4">
        <f>IF(OR(INDEX($V$2:$V$1001,MATCH(ROWS($U$2:U489),$U$2:$U$1001,0),1)&gt;=100000,INDEX($AB$1005:$AQ$1005,1,MATCH(COLUMNS($AB$1006:AQ1006),$AB$1006:$AQ$1006,0))&gt;=100000), " ",IF(INDEX($AB$2:$AQ$1001,MATCH(ROWS($U$2:U489),$U$2:$U$1001,0),MATCH(COLUMNS($AB$1006:AQ1006),$AB$1006:$AQ$1006,0)), HYPERLINK("#",""), HYPERLINK(CONCATENATE("#metadata!", ADDRESS(INDEX($W$2:$W$1001,MATCH(ROWS($U$2:U489),$U$2:$U$1001,0),0), INDEX($AB$1004:$AQ$1004,1,MATCH(COLUMNS($AB$1006:AQ1006),$AB$1006:$AQ$1006,0)))),"Fix")))</f>
        <v>0</v>
      </c>
      <c r="U489">
        <v>0</v>
      </c>
      <c r="V489">
        <v>0</v>
      </c>
      <c r="W489">
        <v>0</v>
      </c>
      <c r="X489">
        <f>IF(Y489,TRUE,AND(AB489:AQ489))</f>
        <v>0</v>
      </c>
      <c r="Y489">
        <f>COUNTBLANK(metadata!B489:Q489)=COLUMNS(metadata!B489:Q489)</f>
        <v>0</v>
      </c>
      <c r="Z489">
        <v>0</v>
      </c>
      <c r="AB489">
        <f>AND(IF(metadata!B489="",FALSE,TRUE),COUNTIF(metadata!B:B, metadata!B489) = 1,NOT(ISERROR(SUMPRODUCT(SEARCH(MID(metadata!B489,ROW(INDIRECT("1:"&amp;LEN(metadata!B489))), 1),"0123456789abcdefghijklmnopqrstuvwxyzABCDEFGHIJKLMNOPQRSTUVWXYZ.")))))</f>
        <v>0</v>
      </c>
      <c r="AC489">
        <f>OR(AND(IF(metadata!C489="",FALSE,TRUE),OR(exact(metadata!C489,"missing: not collected"),exact(metadata!C489,"missing: not provided"),exact(metadata!C489,"missing: restricted access"))),AND(IF(metadata!C489="",FALSE,TRUE),AND(AND(IFERROR(INT(LEFT(metadata!C489,4))&gt;1900,FALSE),IFERROR(INT(LEFT(metadata!C489,4))&lt;=YEAR(NOW()),FALSE)), OR(MID(metadata!C489,5,1)="", AND(AND(MID(metadata!C489,5,1)="-",IFERROR(INT(MID(metadata!C489,6,1))&gt;=0,FALSE),IFERROR(INT(MID(metadata!C489,6,1))&lt;=1,FALSE),NOT(MID(metadata!C489,7,1)=""),IFERROR(INT(MID(metadata!C489,6,2))&gt;=1,FALSE),IFERROR(INT(MID(metadata!C489,6,2))&lt;=12,FALSE)), OR(MID(metadata!C489,8,1)="", AND(AND(MID(metadata!C489,8,1)="-",IFERROR(INT(MID(metadata!C489,9,1))&gt;=0,FALSE),IFERROR(INT(MID(metadata!C489,9,1))&lt;=3,FALSE),NOT(MID(metadata!C489,10,1)=""),IFERROR(INT(MID(metadata!C489,9,2))&gt;=1,FALSE),IFERROR(INT(MID(metadata!C489,9,2))&lt;=31,FALSE)), OR(MID(metadata!C489,11,1)="", AND(AND(MID(metadata!C489,11,1)=" ",IFERROR(INT(MID(metadata!C489,12,1))&gt;=0,FALSE),IFERROR(INT(MID(metadata!C489,12,1))&lt;=2,FALSE),NOT(MID(metadata!C489,13,1)=""),IFERROR(INT(MID(metadata!C489,12,2))&gt;=0,FALSE),IFERROR(INT(MID(metadata!C489,12,2))&lt;=23,FALSE)), OR(MID(metadata!C489,14,1)="", AND(AND(MID(metadata!C489,14,1)=":",IFERROR(INT(MID(metadata!C489,15,1))&gt;=0,FALSE),IFERROR(INT(MID(metadata!C489,15,1))&lt;=5,FALSE),NOT(MID(metadata!C489,16,1)=""),IFERROR(INT(MID(metadata!C489,15,2))&gt;=0,FALSE),IFERROR(INT(MID(metadata!C489,15,2))&lt;=59,FALSE)), OR(MID(metadata!C489,17,1)="", AND(AND(MID(metadata!C489,17,1)=":",IFERROR(INT(MID(metadata!C489,18,1))&gt;=0,FALSE),IFERROR(INT(MID(metadata!C489,18,1))&lt;=5,FALSE),NOT(MID(metadata!C489,19,1)=""),IFERROR(INT(MID(metadata!C489,18,2))&gt;=0,FALSE),IFERROR(INT(MID(metadata!C489,18,2))&lt;=59,FALSE)), LEN(metadata!C489)&lt;=19)))))))))))))</f>
        <v>0</v>
      </c>
      <c r="AD489">
        <f>IF(metadata!D489="",FALSE,TRUE)</f>
        <v>0</v>
      </c>
      <c r="AE489">
        <f>OR(AND(IF(metadata!E489="",FALSE,TRUE),OR(exact(metadata!E489,"missing: not collected"),exact(metadata!E489,"missing: not provided"))),AND(IF(metadata!E489="",FALSE,TRUE),OR(exact(metadata!E489,"TRUE"),exact(metadata!E489,"FALSE"))))</f>
        <v>0</v>
      </c>
      <c r="AF489">
        <f>IF(metadata!F489="",FALSE,TRUE)</f>
        <v>0</v>
      </c>
      <c r="AG489">
        <f>IF(metadata!G489="",FALSE,TRUE)</f>
        <v>0</v>
      </c>
      <c r="AH489">
        <f>IF(metadata!H489="",FALSE,TRUE)</f>
        <v>0</v>
      </c>
      <c r="AI489">
        <f>OR(AND(IF(metadata!I489="",FALSE,TRUE),OR(exact(metadata!I489,"missing: not collected"),exact(metadata!I489,"missing: not provided"),exact(metadata!I489,"missing: restricted access"))),AND(IF(metadata!I489="",FALSE,TRUE),OR(exact(metadata!I489,"air"),exact(metadata!I489,"built environment"),exact(metadata!I489,"host-associated"),exact(metadata!I489,"human-associated"),exact(metadata!I489,"human-skin"),exact(metadata!I489,"human-oral"),exact(metadata!I489,"human-gut"),exact(metadata!I489,"human-vaginal"),exact(metadata!I489,"microbial mat/biofilm"),exact(metadata!I489,"misc environment"),exact(metadata!I489,"plant-associated"),exact(metadata!I489,"sediment"),exact(metadata!I489,"soil"),exact(metadata!I489,"wastewater/sludge"),exact(metadata!I489,"water"))))</f>
        <v>0</v>
      </c>
      <c r="AJ489">
        <f>IF(metadata!J489="",FALSE,TRUE)</f>
        <v>0</v>
      </c>
      <c r="AK489">
        <f>OR(AND(IF(metadata!K489="",FALSE,TRUE),OR(exact(metadata!K489,"missing: not collected"),exact(metadata!K489,"missing: not provided"),exact(metadata!K489,"missing: restricted access"))),AND(IF(metadata!K489="",FALSE,ISNUMBER(VALUE(metadata!K489))),metadata!K489&gt;=-90.00,metadata!K489&lt;=90.00))</f>
        <v>0</v>
      </c>
      <c r="AL489">
        <f>OR(AND(IF(metadata!L489="",FALSE,TRUE),OR(exact(metadata!L489,"missing: not collected"),exact(metadata!L489,"missing: not provided"),exact(metadata!L489,"missing: restricted access"))),AND(IF(metadata!L489="",FALSE,ISNUMBER(VALUE(metadata!L489))),metadata!L489&gt;=-180.00,metadata!L489&lt;=180.00))</f>
        <v>0</v>
      </c>
      <c r="AM489">
        <f>IF(metadata!M489="",FALSE,TRUE)</f>
        <v>0</v>
      </c>
      <c r="AN489">
        <f>OR(AND(IF(metadata!N489="",FALSE,TRUE),OR(exact(metadata!N489,"missing: not collected"),exact(metadata!N489,"missing: not provided"),exact(metadata!N489,"missing: restricted access"))),AND(IF(metadata!N489="",FALSE,TRUE),OR(exact(metadata!N489,"TRUE"),exact(metadata!N489,"FALSE"))))</f>
        <v>0</v>
      </c>
      <c r="AO489">
        <f>IF(metadata!O489="",FALSE,TRUE)</f>
        <v>0</v>
      </c>
      <c r="AP489">
        <f>OR(AND(IF(metadata!P489="",FALSE,TRUE),OR(exact(metadata!P489,"missing: not collected"),exact(metadata!P489,"missing: not provided"))),AND(IF(metadata!P489="",FALSE,IF(ISERROR(INT(metadata!P489)),FALSE,INT(metadata!P489)=metadata!P489)),metadata!P489&gt;0))</f>
        <v>0</v>
      </c>
      <c r="AQ489">
        <f>IF(metadata!Q489="",FALSE,TRUE)</f>
        <v>0</v>
      </c>
    </row>
    <row r="490" spans="1:43">
      <c r="A490" s="5">
        <f>IF(B490=" "," ",HYPERLINK(CONCATENATE("#metadata!",ADDRESS(INDEX($W$2:$W$1001,MATCH(ROWS($U$2:U490),$U$2:$U$1001,0),0),1)),INDEX($Z$2:$Z$1001,MATCH(ROWS($U$2:U490),$U$2:$U$1001,0),0)))</f>
        <v>0</v>
      </c>
      <c r="B490" s="4">
        <f>IF(OR(INDEX($V$2:$V$1001,MATCH(ROWS($U$2:U490),$U$2:$U$1001,0),1)&gt;=100000,INDEX($AB$1005:$AQ$1005,1,MATCH(COLUMNS($AB$1006:AB1006),$AB$1006:$AQ$1006,0))&gt;=100000), " ",IF(INDEX($AB$2:$AQ$1001,MATCH(ROWS($U$2:U490),$U$2:$U$1001,0),MATCH(COLUMNS($AB$1006:AB1006),$AB$1006:$AQ$1006,0)), HYPERLINK("#",""), HYPERLINK(CONCATENATE("#metadata!", ADDRESS(INDEX($W$2:$W$1001,MATCH(ROWS($U$2:U490),$U$2:$U$1001,0),0), INDEX($AB$1004:$AQ$1004,1,MATCH(COLUMNS($AB$1006:AB1006),$AB$1006:$AQ$1006,0)))),"Fix")))</f>
        <v>0</v>
      </c>
      <c r="C490" s="4">
        <f>IF(OR(INDEX($V$2:$V$1001,MATCH(ROWS($U$2:U490),$U$2:$U$1001,0),1)&gt;=100000,INDEX($AB$1005:$AQ$1005,1,MATCH(COLUMNS($AB$1006:AC1006),$AB$1006:$AQ$1006,0))&gt;=100000), " ",IF(INDEX($AB$2:$AQ$1001,MATCH(ROWS($U$2:U490),$U$2:$U$1001,0),MATCH(COLUMNS($AB$1006:AC1006),$AB$1006:$AQ$1006,0)), HYPERLINK("#",""), HYPERLINK(CONCATENATE("#metadata!", ADDRESS(INDEX($W$2:$W$1001,MATCH(ROWS($U$2:U490),$U$2:$U$1001,0),0), INDEX($AB$1004:$AQ$1004,1,MATCH(COLUMNS($AB$1006:AC1006),$AB$1006:$AQ$1006,0)))),"Fix")))</f>
        <v>0</v>
      </c>
      <c r="D490" s="4">
        <f>IF(OR(INDEX($V$2:$V$1001,MATCH(ROWS($U$2:U490),$U$2:$U$1001,0),1)&gt;=100000,INDEX($AB$1005:$AQ$1005,1,MATCH(COLUMNS($AB$1006:AD1006),$AB$1006:$AQ$1006,0))&gt;=100000), " ",IF(INDEX($AB$2:$AQ$1001,MATCH(ROWS($U$2:U490),$U$2:$U$1001,0),MATCH(COLUMNS($AB$1006:AD1006),$AB$1006:$AQ$1006,0)), HYPERLINK("#",""), HYPERLINK(CONCATENATE("#metadata!", ADDRESS(INDEX($W$2:$W$1001,MATCH(ROWS($U$2:U490),$U$2:$U$1001,0),0), INDEX($AB$1004:$AQ$1004,1,MATCH(COLUMNS($AB$1006:AD1006),$AB$1006:$AQ$1006,0)))),"Fix")))</f>
        <v>0</v>
      </c>
      <c r="E490" s="4">
        <f>IF(OR(INDEX($V$2:$V$1001,MATCH(ROWS($U$2:U490),$U$2:$U$1001,0),1)&gt;=100000,INDEX($AB$1005:$AQ$1005,1,MATCH(COLUMNS($AB$1006:AE1006),$AB$1006:$AQ$1006,0))&gt;=100000), " ",IF(INDEX($AB$2:$AQ$1001,MATCH(ROWS($U$2:U490),$U$2:$U$1001,0),MATCH(COLUMNS($AB$1006:AE1006),$AB$1006:$AQ$1006,0)), HYPERLINK("#",""), HYPERLINK(CONCATENATE("#metadata!", ADDRESS(INDEX($W$2:$W$1001,MATCH(ROWS($U$2:U490),$U$2:$U$1001,0),0), INDEX($AB$1004:$AQ$1004,1,MATCH(COLUMNS($AB$1006:AE1006),$AB$1006:$AQ$1006,0)))),"Fix")))</f>
        <v>0</v>
      </c>
      <c r="F490" s="4">
        <f>IF(OR(INDEX($V$2:$V$1001,MATCH(ROWS($U$2:U490),$U$2:$U$1001,0),1)&gt;=100000,INDEX($AB$1005:$AQ$1005,1,MATCH(COLUMNS($AB$1006:AF1006),$AB$1006:$AQ$1006,0))&gt;=100000), " ",IF(INDEX($AB$2:$AQ$1001,MATCH(ROWS($U$2:U490),$U$2:$U$1001,0),MATCH(COLUMNS($AB$1006:AF1006),$AB$1006:$AQ$1006,0)), HYPERLINK("#",""), HYPERLINK(CONCATENATE("#metadata!", ADDRESS(INDEX($W$2:$W$1001,MATCH(ROWS($U$2:U490),$U$2:$U$1001,0),0), INDEX($AB$1004:$AQ$1004,1,MATCH(COLUMNS($AB$1006:AF1006),$AB$1006:$AQ$1006,0)))),"Fix")))</f>
        <v>0</v>
      </c>
      <c r="G490" s="4">
        <f>IF(OR(INDEX($V$2:$V$1001,MATCH(ROWS($U$2:U490),$U$2:$U$1001,0),1)&gt;=100000,INDEX($AB$1005:$AQ$1005,1,MATCH(COLUMNS($AB$1006:AG1006),$AB$1006:$AQ$1006,0))&gt;=100000), " ",IF(INDEX($AB$2:$AQ$1001,MATCH(ROWS($U$2:U490),$U$2:$U$1001,0),MATCH(COLUMNS($AB$1006:AG1006),$AB$1006:$AQ$1006,0)), HYPERLINK("#",""), HYPERLINK(CONCATENATE("#metadata!", ADDRESS(INDEX($W$2:$W$1001,MATCH(ROWS($U$2:U490),$U$2:$U$1001,0),0), INDEX($AB$1004:$AQ$1004,1,MATCH(COLUMNS($AB$1006:AG1006),$AB$1006:$AQ$1006,0)))),"Fix")))</f>
        <v>0</v>
      </c>
      <c r="H490" s="4">
        <f>IF(OR(INDEX($V$2:$V$1001,MATCH(ROWS($U$2:U490),$U$2:$U$1001,0),1)&gt;=100000,INDEX($AB$1005:$AQ$1005,1,MATCH(COLUMNS($AB$1006:AH1006),$AB$1006:$AQ$1006,0))&gt;=100000), " ",IF(INDEX($AB$2:$AQ$1001,MATCH(ROWS($U$2:U490),$U$2:$U$1001,0),MATCH(COLUMNS($AB$1006:AH1006),$AB$1006:$AQ$1006,0)), HYPERLINK("#",""), HYPERLINK(CONCATENATE("#metadata!", ADDRESS(INDEX($W$2:$W$1001,MATCH(ROWS($U$2:U490),$U$2:$U$1001,0),0), INDEX($AB$1004:$AQ$1004,1,MATCH(COLUMNS($AB$1006:AH1006),$AB$1006:$AQ$1006,0)))),"Fix")))</f>
        <v>0</v>
      </c>
      <c r="I490" s="4">
        <f>IF(OR(INDEX($V$2:$V$1001,MATCH(ROWS($U$2:U490),$U$2:$U$1001,0),1)&gt;=100000,INDEX($AB$1005:$AQ$1005,1,MATCH(COLUMNS($AB$1006:AI1006),$AB$1006:$AQ$1006,0))&gt;=100000), " ",IF(INDEX($AB$2:$AQ$1001,MATCH(ROWS($U$2:U490),$U$2:$U$1001,0),MATCH(COLUMNS($AB$1006:AI1006),$AB$1006:$AQ$1006,0)), HYPERLINK("#",""), HYPERLINK(CONCATENATE("#metadata!", ADDRESS(INDEX($W$2:$W$1001,MATCH(ROWS($U$2:U490),$U$2:$U$1001,0),0), INDEX($AB$1004:$AQ$1004,1,MATCH(COLUMNS($AB$1006:AI1006),$AB$1006:$AQ$1006,0)))),"Fix")))</f>
        <v>0</v>
      </c>
      <c r="J490" s="4">
        <f>IF(OR(INDEX($V$2:$V$1001,MATCH(ROWS($U$2:U490),$U$2:$U$1001,0),1)&gt;=100000,INDEX($AB$1005:$AQ$1005,1,MATCH(COLUMNS($AB$1006:AJ1006),$AB$1006:$AQ$1006,0))&gt;=100000), " ",IF(INDEX($AB$2:$AQ$1001,MATCH(ROWS($U$2:U490),$U$2:$U$1001,0),MATCH(COLUMNS($AB$1006:AJ1006),$AB$1006:$AQ$1006,0)), HYPERLINK("#",""), HYPERLINK(CONCATENATE("#metadata!", ADDRESS(INDEX($W$2:$W$1001,MATCH(ROWS($U$2:U490),$U$2:$U$1001,0),0), INDEX($AB$1004:$AQ$1004,1,MATCH(COLUMNS($AB$1006:AJ1006),$AB$1006:$AQ$1006,0)))),"Fix")))</f>
        <v>0</v>
      </c>
      <c r="K490" s="4">
        <f>IF(OR(INDEX($V$2:$V$1001,MATCH(ROWS($U$2:U490),$U$2:$U$1001,0),1)&gt;=100000,INDEX($AB$1005:$AQ$1005,1,MATCH(COLUMNS($AB$1006:AK1006),$AB$1006:$AQ$1006,0))&gt;=100000), " ",IF(INDEX($AB$2:$AQ$1001,MATCH(ROWS($U$2:U490),$U$2:$U$1001,0),MATCH(COLUMNS($AB$1006:AK1006),$AB$1006:$AQ$1006,0)), HYPERLINK("#",""), HYPERLINK(CONCATENATE("#metadata!", ADDRESS(INDEX($W$2:$W$1001,MATCH(ROWS($U$2:U490),$U$2:$U$1001,0),0), INDEX($AB$1004:$AQ$1004,1,MATCH(COLUMNS($AB$1006:AK1006),$AB$1006:$AQ$1006,0)))),"Fix")))</f>
        <v>0</v>
      </c>
      <c r="L490" s="4">
        <f>IF(OR(INDEX($V$2:$V$1001,MATCH(ROWS($U$2:U490),$U$2:$U$1001,0),1)&gt;=100000,INDEX($AB$1005:$AQ$1005,1,MATCH(COLUMNS($AB$1006:AL1006),$AB$1006:$AQ$1006,0))&gt;=100000), " ",IF(INDEX($AB$2:$AQ$1001,MATCH(ROWS($U$2:U490),$U$2:$U$1001,0),MATCH(COLUMNS($AB$1006:AL1006),$AB$1006:$AQ$1006,0)), HYPERLINK("#",""), HYPERLINK(CONCATENATE("#metadata!", ADDRESS(INDEX($W$2:$W$1001,MATCH(ROWS($U$2:U490),$U$2:$U$1001,0),0), INDEX($AB$1004:$AQ$1004,1,MATCH(COLUMNS($AB$1006:AL1006),$AB$1006:$AQ$1006,0)))),"Fix")))</f>
        <v>0</v>
      </c>
      <c r="M490" s="4">
        <f>IF(OR(INDEX($V$2:$V$1001,MATCH(ROWS($U$2:U490),$U$2:$U$1001,0),1)&gt;=100000,INDEX($AB$1005:$AQ$1005,1,MATCH(COLUMNS($AB$1006:AM1006),$AB$1006:$AQ$1006,0))&gt;=100000), " ",IF(INDEX($AB$2:$AQ$1001,MATCH(ROWS($U$2:U490),$U$2:$U$1001,0),MATCH(COLUMNS($AB$1006:AM1006),$AB$1006:$AQ$1006,0)), HYPERLINK("#",""), HYPERLINK(CONCATENATE("#metadata!", ADDRESS(INDEX($W$2:$W$1001,MATCH(ROWS($U$2:U490),$U$2:$U$1001,0),0), INDEX($AB$1004:$AQ$1004,1,MATCH(COLUMNS($AB$1006:AM1006),$AB$1006:$AQ$1006,0)))),"Fix")))</f>
        <v>0</v>
      </c>
      <c r="N490" s="4">
        <f>IF(OR(INDEX($V$2:$V$1001,MATCH(ROWS($U$2:U490),$U$2:$U$1001,0),1)&gt;=100000,INDEX($AB$1005:$AQ$1005,1,MATCH(COLUMNS($AB$1006:AN1006),$AB$1006:$AQ$1006,0))&gt;=100000), " ",IF(INDEX($AB$2:$AQ$1001,MATCH(ROWS($U$2:U490),$U$2:$U$1001,0),MATCH(COLUMNS($AB$1006:AN1006),$AB$1006:$AQ$1006,0)), HYPERLINK("#",""), HYPERLINK(CONCATENATE("#metadata!", ADDRESS(INDEX($W$2:$W$1001,MATCH(ROWS($U$2:U490),$U$2:$U$1001,0),0), INDEX($AB$1004:$AQ$1004,1,MATCH(COLUMNS($AB$1006:AN1006),$AB$1006:$AQ$1006,0)))),"Fix")))</f>
        <v>0</v>
      </c>
      <c r="O490" s="4">
        <f>IF(OR(INDEX($V$2:$V$1001,MATCH(ROWS($U$2:U490),$U$2:$U$1001,0),1)&gt;=100000,INDEX($AB$1005:$AQ$1005,1,MATCH(COLUMNS($AB$1006:AO1006),$AB$1006:$AQ$1006,0))&gt;=100000), " ",IF(INDEX($AB$2:$AQ$1001,MATCH(ROWS($U$2:U490),$U$2:$U$1001,0),MATCH(COLUMNS($AB$1006:AO1006),$AB$1006:$AQ$1006,0)), HYPERLINK("#",""), HYPERLINK(CONCATENATE("#metadata!", ADDRESS(INDEX($W$2:$W$1001,MATCH(ROWS($U$2:U490),$U$2:$U$1001,0),0), INDEX($AB$1004:$AQ$1004,1,MATCH(COLUMNS($AB$1006:AO1006),$AB$1006:$AQ$1006,0)))),"Fix")))</f>
        <v>0</v>
      </c>
      <c r="P490" s="4">
        <f>IF(OR(INDEX($V$2:$V$1001,MATCH(ROWS($U$2:U490),$U$2:$U$1001,0),1)&gt;=100000,INDEX($AB$1005:$AQ$1005,1,MATCH(COLUMNS($AB$1006:AP1006),$AB$1006:$AQ$1006,0))&gt;=100000), " ",IF(INDEX($AB$2:$AQ$1001,MATCH(ROWS($U$2:U490),$U$2:$U$1001,0),MATCH(COLUMNS($AB$1006:AP1006),$AB$1006:$AQ$1006,0)), HYPERLINK("#",""), HYPERLINK(CONCATENATE("#metadata!", ADDRESS(INDEX($W$2:$W$1001,MATCH(ROWS($U$2:U490),$U$2:$U$1001,0),0), INDEX($AB$1004:$AQ$1004,1,MATCH(COLUMNS($AB$1006:AP1006),$AB$1006:$AQ$1006,0)))),"Fix")))</f>
        <v>0</v>
      </c>
      <c r="Q490" s="4">
        <f>IF(OR(INDEX($V$2:$V$1001,MATCH(ROWS($U$2:U490),$U$2:$U$1001,0),1)&gt;=100000,INDEX($AB$1005:$AQ$1005,1,MATCH(COLUMNS($AB$1006:AQ1006),$AB$1006:$AQ$1006,0))&gt;=100000), " ",IF(INDEX($AB$2:$AQ$1001,MATCH(ROWS($U$2:U490),$U$2:$U$1001,0),MATCH(COLUMNS($AB$1006:AQ1006),$AB$1006:$AQ$1006,0)), HYPERLINK("#",""), HYPERLINK(CONCATENATE("#metadata!", ADDRESS(INDEX($W$2:$W$1001,MATCH(ROWS($U$2:U490),$U$2:$U$1001,0),0), INDEX($AB$1004:$AQ$1004,1,MATCH(COLUMNS($AB$1006:AQ1006),$AB$1006:$AQ$1006,0)))),"Fix")))</f>
        <v>0</v>
      </c>
      <c r="U490">
        <v>0</v>
      </c>
      <c r="V490">
        <v>0</v>
      </c>
      <c r="W490">
        <v>0</v>
      </c>
      <c r="X490">
        <f>IF(Y490,TRUE,AND(AB490:AQ490))</f>
        <v>0</v>
      </c>
      <c r="Y490">
        <f>COUNTBLANK(metadata!B490:Q490)=COLUMNS(metadata!B490:Q490)</f>
        <v>0</v>
      </c>
      <c r="Z490">
        <v>0</v>
      </c>
      <c r="AB490">
        <f>AND(IF(metadata!B490="",FALSE,TRUE),COUNTIF(metadata!B:B, metadata!B490) = 1,NOT(ISERROR(SUMPRODUCT(SEARCH(MID(metadata!B490,ROW(INDIRECT("1:"&amp;LEN(metadata!B490))), 1),"0123456789abcdefghijklmnopqrstuvwxyzABCDEFGHIJKLMNOPQRSTUVWXYZ.")))))</f>
        <v>0</v>
      </c>
      <c r="AC490">
        <f>OR(AND(IF(metadata!C490="",FALSE,TRUE),OR(exact(metadata!C490,"missing: not collected"),exact(metadata!C490,"missing: not provided"),exact(metadata!C490,"missing: restricted access"))),AND(IF(metadata!C490="",FALSE,TRUE),AND(AND(IFERROR(INT(LEFT(metadata!C490,4))&gt;1900,FALSE),IFERROR(INT(LEFT(metadata!C490,4))&lt;=YEAR(NOW()),FALSE)), OR(MID(metadata!C490,5,1)="", AND(AND(MID(metadata!C490,5,1)="-",IFERROR(INT(MID(metadata!C490,6,1))&gt;=0,FALSE),IFERROR(INT(MID(metadata!C490,6,1))&lt;=1,FALSE),NOT(MID(metadata!C490,7,1)=""),IFERROR(INT(MID(metadata!C490,6,2))&gt;=1,FALSE),IFERROR(INT(MID(metadata!C490,6,2))&lt;=12,FALSE)), OR(MID(metadata!C490,8,1)="", AND(AND(MID(metadata!C490,8,1)="-",IFERROR(INT(MID(metadata!C490,9,1))&gt;=0,FALSE),IFERROR(INT(MID(metadata!C490,9,1))&lt;=3,FALSE),NOT(MID(metadata!C490,10,1)=""),IFERROR(INT(MID(metadata!C490,9,2))&gt;=1,FALSE),IFERROR(INT(MID(metadata!C490,9,2))&lt;=31,FALSE)), OR(MID(metadata!C490,11,1)="", AND(AND(MID(metadata!C490,11,1)=" ",IFERROR(INT(MID(metadata!C490,12,1))&gt;=0,FALSE),IFERROR(INT(MID(metadata!C490,12,1))&lt;=2,FALSE),NOT(MID(metadata!C490,13,1)=""),IFERROR(INT(MID(metadata!C490,12,2))&gt;=0,FALSE),IFERROR(INT(MID(metadata!C490,12,2))&lt;=23,FALSE)), OR(MID(metadata!C490,14,1)="", AND(AND(MID(metadata!C490,14,1)=":",IFERROR(INT(MID(metadata!C490,15,1))&gt;=0,FALSE),IFERROR(INT(MID(metadata!C490,15,1))&lt;=5,FALSE),NOT(MID(metadata!C490,16,1)=""),IFERROR(INT(MID(metadata!C490,15,2))&gt;=0,FALSE),IFERROR(INT(MID(metadata!C490,15,2))&lt;=59,FALSE)), OR(MID(metadata!C490,17,1)="", AND(AND(MID(metadata!C490,17,1)=":",IFERROR(INT(MID(metadata!C490,18,1))&gt;=0,FALSE),IFERROR(INT(MID(metadata!C490,18,1))&lt;=5,FALSE),NOT(MID(metadata!C490,19,1)=""),IFERROR(INT(MID(metadata!C490,18,2))&gt;=0,FALSE),IFERROR(INT(MID(metadata!C490,18,2))&lt;=59,FALSE)), LEN(metadata!C490)&lt;=19)))))))))))))</f>
        <v>0</v>
      </c>
      <c r="AD490">
        <f>IF(metadata!D490="",FALSE,TRUE)</f>
        <v>0</v>
      </c>
      <c r="AE490">
        <f>OR(AND(IF(metadata!E490="",FALSE,TRUE),OR(exact(metadata!E490,"missing: not collected"),exact(metadata!E490,"missing: not provided"))),AND(IF(metadata!E490="",FALSE,TRUE),OR(exact(metadata!E490,"TRUE"),exact(metadata!E490,"FALSE"))))</f>
        <v>0</v>
      </c>
      <c r="AF490">
        <f>IF(metadata!F490="",FALSE,TRUE)</f>
        <v>0</v>
      </c>
      <c r="AG490">
        <f>IF(metadata!G490="",FALSE,TRUE)</f>
        <v>0</v>
      </c>
      <c r="AH490">
        <f>IF(metadata!H490="",FALSE,TRUE)</f>
        <v>0</v>
      </c>
      <c r="AI490">
        <f>OR(AND(IF(metadata!I490="",FALSE,TRUE),OR(exact(metadata!I490,"missing: not collected"),exact(metadata!I490,"missing: not provided"),exact(metadata!I490,"missing: restricted access"))),AND(IF(metadata!I490="",FALSE,TRUE),OR(exact(metadata!I490,"air"),exact(metadata!I490,"built environment"),exact(metadata!I490,"host-associated"),exact(metadata!I490,"human-associated"),exact(metadata!I490,"human-skin"),exact(metadata!I490,"human-oral"),exact(metadata!I490,"human-gut"),exact(metadata!I490,"human-vaginal"),exact(metadata!I490,"microbial mat/biofilm"),exact(metadata!I490,"misc environment"),exact(metadata!I490,"plant-associated"),exact(metadata!I490,"sediment"),exact(metadata!I490,"soil"),exact(metadata!I490,"wastewater/sludge"),exact(metadata!I490,"water"))))</f>
        <v>0</v>
      </c>
      <c r="AJ490">
        <f>IF(metadata!J490="",FALSE,TRUE)</f>
        <v>0</v>
      </c>
      <c r="AK490">
        <f>OR(AND(IF(metadata!K490="",FALSE,TRUE),OR(exact(metadata!K490,"missing: not collected"),exact(metadata!K490,"missing: not provided"),exact(metadata!K490,"missing: restricted access"))),AND(IF(metadata!K490="",FALSE,ISNUMBER(VALUE(metadata!K490))),metadata!K490&gt;=-90.00,metadata!K490&lt;=90.00))</f>
        <v>0</v>
      </c>
      <c r="AL490">
        <f>OR(AND(IF(metadata!L490="",FALSE,TRUE),OR(exact(metadata!L490,"missing: not collected"),exact(metadata!L490,"missing: not provided"),exact(metadata!L490,"missing: restricted access"))),AND(IF(metadata!L490="",FALSE,ISNUMBER(VALUE(metadata!L490))),metadata!L490&gt;=-180.00,metadata!L490&lt;=180.00))</f>
        <v>0</v>
      </c>
      <c r="AM490">
        <f>IF(metadata!M490="",FALSE,TRUE)</f>
        <v>0</v>
      </c>
      <c r="AN490">
        <f>OR(AND(IF(metadata!N490="",FALSE,TRUE),OR(exact(metadata!N490,"missing: not collected"),exact(metadata!N490,"missing: not provided"),exact(metadata!N490,"missing: restricted access"))),AND(IF(metadata!N490="",FALSE,TRUE),OR(exact(metadata!N490,"TRUE"),exact(metadata!N490,"FALSE"))))</f>
        <v>0</v>
      </c>
      <c r="AO490">
        <f>IF(metadata!O490="",FALSE,TRUE)</f>
        <v>0</v>
      </c>
      <c r="AP490">
        <f>OR(AND(IF(metadata!P490="",FALSE,TRUE),OR(exact(metadata!P490,"missing: not collected"),exact(metadata!P490,"missing: not provided"))),AND(IF(metadata!P490="",FALSE,IF(ISERROR(INT(metadata!P490)),FALSE,INT(metadata!P490)=metadata!P490)),metadata!P490&gt;0))</f>
        <v>0</v>
      </c>
      <c r="AQ490">
        <f>IF(metadata!Q490="",FALSE,TRUE)</f>
        <v>0</v>
      </c>
    </row>
    <row r="491" spans="1:43">
      <c r="A491" s="5">
        <f>IF(B491=" "," ",HYPERLINK(CONCATENATE("#metadata!",ADDRESS(INDEX($W$2:$W$1001,MATCH(ROWS($U$2:U491),$U$2:$U$1001,0),0),1)),INDEX($Z$2:$Z$1001,MATCH(ROWS($U$2:U491),$U$2:$U$1001,0),0)))</f>
        <v>0</v>
      </c>
      <c r="B491" s="4">
        <f>IF(OR(INDEX($V$2:$V$1001,MATCH(ROWS($U$2:U491),$U$2:$U$1001,0),1)&gt;=100000,INDEX($AB$1005:$AQ$1005,1,MATCH(COLUMNS($AB$1006:AB1006),$AB$1006:$AQ$1006,0))&gt;=100000), " ",IF(INDEX($AB$2:$AQ$1001,MATCH(ROWS($U$2:U491),$U$2:$U$1001,0),MATCH(COLUMNS($AB$1006:AB1006),$AB$1006:$AQ$1006,0)), HYPERLINK("#",""), HYPERLINK(CONCATENATE("#metadata!", ADDRESS(INDEX($W$2:$W$1001,MATCH(ROWS($U$2:U491),$U$2:$U$1001,0),0), INDEX($AB$1004:$AQ$1004,1,MATCH(COLUMNS($AB$1006:AB1006),$AB$1006:$AQ$1006,0)))),"Fix")))</f>
        <v>0</v>
      </c>
      <c r="C491" s="4">
        <f>IF(OR(INDEX($V$2:$V$1001,MATCH(ROWS($U$2:U491),$U$2:$U$1001,0),1)&gt;=100000,INDEX($AB$1005:$AQ$1005,1,MATCH(COLUMNS($AB$1006:AC1006),$AB$1006:$AQ$1006,0))&gt;=100000), " ",IF(INDEX($AB$2:$AQ$1001,MATCH(ROWS($U$2:U491),$U$2:$U$1001,0),MATCH(COLUMNS($AB$1006:AC1006),$AB$1006:$AQ$1006,0)), HYPERLINK("#",""), HYPERLINK(CONCATENATE("#metadata!", ADDRESS(INDEX($W$2:$W$1001,MATCH(ROWS($U$2:U491),$U$2:$U$1001,0),0), INDEX($AB$1004:$AQ$1004,1,MATCH(COLUMNS($AB$1006:AC1006),$AB$1006:$AQ$1006,0)))),"Fix")))</f>
        <v>0</v>
      </c>
      <c r="D491" s="4">
        <f>IF(OR(INDEX($V$2:$V$1001,MATCH(ROWS($U$2:U491),$U$2:$U$1001,0),1)&gt;=100000,INDEX($AB$1005:$AQ$1005,1,MATCH(COLUMNS($AB$1006:AD1006),$AB$1006:$AQ$1006,0))&gt;=100000), " ",IF(INDEX($AB$2:$AQ$1001,MATCH(ROWS($U$2:U491),$U$2:$U$1001,0),MATCH(COLUMNS($AB$1006:AD1006),$AB$1006:$AQ$1006,0)), HYPERLINK("#",""), HYPERLINK(CONCATENATE("#metadata!", ADDRESS(INDEX($W$2:$W$1001,MATCH(ROWS($U$2:U491),$U$2:$U$1001,0),0), INDEX($AB$1004:$AQ$1004,1,MATCH(COLUMNS($AB$1006:AD1006),$AB$1006:$AQ$1006,0)))),"Fix")))</f>
        <v>0</v>
      </c>
      <c r="E491" s="4">
        <f>IF(OR(INDEX($V$2:$V$1001,MATCH(ROWS($U$2:U491),$U$2:$U$1001,0),1)&gt;=100000,INDEX($AB$1005:$AQ$1005,1,MATCH(COLUMNS($AB$1006:AE1006),$AB$1006:$AQ$1006,0))&gt;=100000), " ",IF(INDEX($AB$2:$AQ$1001,MATCH(ROWS($U$2:U491),$U$2:$U$1001,0),MATCH(COLUMNS($AB$1006:AE1006),$AB$1006:$AQ$1006,0)), HYPERLINK("#",""), HYPERLINK(CONCATENATE("#metadata!", ADDRESS(INDEX($W$2:$W$1001,MATCH(ROWS($U$2:U491),$U$2:$U$1001,0),0), INDEX($AB$1004:$AQ$1004,1,MATCH(COLUMNS($AB$1006:AE1006),$AB$1006:$AQ$1006,0)))),"Fix")))</f>
        <v>0</v>
      </c>
      <c r="F491" s="4">
        <f>IF(OR(INDEX($V$2:$V$1001,MATCH(ROWS($U$2:U491),$U$2:$U$1001,0),1)&gt;=100000,INDEX($AB$1005:$AQ$1005,1,MATCH(COLUMNS($AB$1006:AF1006),$AB$1006:$AQ$1006,0))&gt;=100000), " ",IF(INDEX($AB$2:$AQ$1001,MATCH(ROWS($U$2:U491),$U$2:$U$1001,0),MATCH(COLUMNS($AB$1006:AF1006),$AB$1006:$AQ$1006,0)), HYPERLINK("#",""), HYPERLINK(CONCATENATE("#metadata!", ADDRESS(INDEX($W$2:$W$1001,MATCH(ROWS($U$2:U491),$U$2:$U$1001,0),0), INDEX($AB$1004:$AQ$1004,1,MATCH(COLUMNS($AB$1006:AF1006),$AB$1006:$AQ$1006,0)))),"Fix")))</f>
        <v>0</v>
      </c>
      <c r="G491" s="4">
        <f>IF(OR(INDEX($V$2:$V$1001,MATCH(ROWS($U$2:U491),$U$2:$U$1001,0),1)&gt;=100000,INDEX($AB$1005:$AQ$1005,1,MATCH(COLUMNS($AB$1006:AG1006),$AB$1006:$AQ$1006,0))&gt;=100000), " ",IF(INDEX($AB$2:$AQ$1001,MATCH(ROWS($U$2:U491),$U$2:$U$1001,0),MATCH(COLUMNS($AB$1006:AG1006),$AB$1006:$AQ$1006,0)), HYPERLINK("#",""), HYPERLINK(CONCATENATE("#metadata!", ADDRESS(INDEX($W$2:$W$1001,MATCH(ROWS($U$2:U491),$U$2:$U$1001,0),0), INDEX($AB$1004:$AQ$1004,1,MATCH(COLUMNS($AB$1006:AG1006),$AB$1006:$AQ$1006,0)))),"Fix")))</f>
        <v>0</v>
      </c>
      <c r="H491" s="4">
        <f>IF(OR(INDEX($V$2:$V$1001,MATCH(ROWS($U$2:U491),$U$2:$U$1001,0),1)&gt;=100000,INDEX($AB$1005:$AQ$1005,1,MATCH(COLUMNS($AB$1006:AH1006),$AB$1006:$AQ$1006,0))&gt;=100000), " ",IF(INDEX($AB$2:$AQ$1001,MATCH(ROWS($U$2:U491),$U$2:$U$1001,0),MATCH(COLUMNS($AB$1006:AH1006),$AB$1006:$AQ$1006,0)), HYPERLINK("#",""), HYPERLINK(CONCATENATE("#metadata!", ADDRESS(INDEX($W$2:$W$1001,MATCH(ROWS($U$2:U491),$U$2:$U$1001,0),0), INDEX($AB$1004:$AQ$1004,1,MATCH(COLUMNS($AB$1006:AH1006),$AB$1006:$AQ$1006,0)))),"Fix")))</f>
        <v>0</v>
      </c>
      <c r="I491" s="4">
        <f>IF(OR(INDEX($V$2:$V$1001,MATCH(ROWS($U$2:U491),$U$2:$U$1001,0),1)&gt;=100000,INDEX($AB$1005:$AQ$1005,1,MATCH(COLUMNS($AB$1006:AI1006),$AB$1006:$AQ$1006,0))&gt;=100000), " ",IF(INDEX($AB$2:$AQ$1001,MATCH(ROWS($U$2:U491),$U$2:$U$1001,0),MATCH(COLUMNS($AB$1006:AI1006),$AB$1006:$AQ$1006,0)), HYPERLINK("#",""), HYPERLINK(CONCATENATE("#metadata!", ADDRESS(INDEX($W$2:$W$1001,MATCH(ROWS($U$2:U491),$U$2:$U$1001,0),0), INDEX($AB$1004:$AQ$1004,1,MATCH(COLUMNS($AB$1006:AI1006),$AB$1006:$AQ$1006,0)))),"Fix")))</f>
        <v>0</v>
      </c>
      <c r="J491" s="4">
        <f>IF(OR(INDEX($V$2:$V$1001,MATCH(ROWS($U$2:U491),$U$2:$U$1001,0),1)&gt;=100000,INDEX($AB$1005:$AQ$1005,1,MATCH(COLUMNS($AB$1006:AJ1006),$AB$1006:$AQ$1006,0))&gt;=100000), " ",IF(INDEX($AB$2:$AQ$1001,MATCH(ROWS($U$2:U491),$U$2:$U$1001,0),MATCH(COLUMNS($AB$1006:AJ1006),$AB$1006:$AQ$1006,0)), HYPERLINK("#",""), HYPERLINK(CONCATENATE("#metadata!", ADDRESS(INDEX($W$2:$W$1001,MATCH(ROWS($U$2:U491),$U$2:$U$1001,0),0), INDEX($AB$1004:$AQ$1004,1,MATCH(COLUMNS($AB$1006:AJ1006),$AB$1006:$AQ$1006,0)))),"Fix")))</f>
        <v>0</v>
      </c>
      <c r="K491" s="4">
        <f>IF(OR(INDEX($V$2:$V$1001,MATCH(ROWS($U$2:U491),$U$2:$U$1001,0),1)&gt;=100000,INDEX($AB$1005:$AQ$1005,1,MATCH(COLUMNS($AB$1006:AK1006),$AB$1006:$AQ$1006,0))&gt;=100000), " ",IF(INDEX($AB$2:$AQ$1001,MATCH(ROWS($U$2:U491),$U$2:$U$1001,0),MATCH(COLUMNS($AB$1006:AK1006),$AB$1006:$AQ$1006,0)), HYPERLINK("#",""), HYPERLINK(CONCATENATE("#metadata!", ADDRESS(INDEX($W$2:$W$1001,MATCH(ROWS($U$2:U491),$U$2:$U$1001,0),0), INDEX($AB$1004:$AQ$1004,1,MATCH(COLUMNS($AB$1006:AK1006),$AB$1006:$AQ$1006,0)))),"Fix")))</f>
        <v>0</v>
      </c>
      <c r="L491" s="4">
        <f>IF(OR(INDEX($V$2:$V$1001,MATCH(ROWS($U$2:U491),$U$2:$U$1001,0),1)&gt;=100000,INDEX($AB$1005:$AQ$1005,1,MATCH(COLUMNS($AB$1006:AL1006),$AB$1006:$AQ$1006,0))&gt;=100000), " ",IF(INDEX($AB$2:$AQ$1001,MATCH(ROWS($U$2:U491),$U$2:$U$1001,0),MATCH(COLUMNS($AB$1006:AL1006),$AB$1006:$AQ$1006,0)), HYPERLINK("#",""), HYPERLINK(CONCATENATE("#metadata!", ADDRESS(INDEX($W$2:$W$1001,MATCH(ROWS($U$2:U491),$U$2:$U$1001,0),0), INDEX($AB$1004:$AQ$1004,1,MATCH(COLUMNS($AB$1006:AL1006),$AB$1006:$AQ$1006,0)))),"Fix")))</f>
        <v>0</v>
      </c>
      <c r="M491" s="4">
        <f>IF(OR(INDEX($V$2:$V$1001,MATCH(ROWS($U$2:U491),$U$2:$U$1001,0),1)&gt;=100000,INDEX($AB$1005:$AQ$1005,1,MATCH(COLUMNS($AB$1006:AM1006),$AB$1006:$AQ$1006,0))&gt;=100000), " ",IF(INDEX($AB$2:$AQ$1001,MATCH(ROWS($U$2:U491),$U$2:$U$1001,0),MATCH(COLUMNS($AB$1006:AM1006),$AB$1006:$AQ$1006,0)), HYPERLINK("#",""), HYPERLINK(CONCATENATE("#metadata!", ADDRESS(INDEX($W$2:$W$1001,MATCH(ROWS($U$2:U491),$U$2:$U$1001,0),0), INDEX($AB$1004:$AQ$1004,1,MATCH(COLUMNS($AB$1006:AM1006),$AB$1006:$AQ$1006,0)))),"Fix")))</f>
        <v>0</v>
      </c>
      <c r="N491" s="4">
        <f>IF(OR(INDEX($V$2:$V$1001,MATCH(ROWS($U$2:U491),$U$2:$U$1001,0),1)&gt;=100000,INDEX($AB$1005:$AQ$1005,1,MATCH(COLUMNS($AB$1006:AN1006),$AB$1006:$AQ$1006,0))&gt;=100000), " ",IF(INDEX($AB$2:$AQ$1001,MATCH(ROWS($U$2:U491),$U$2:$U$1001,0),MATCH(COLUMNS($AB$1006:AN1006),$AB$1006:$AQ$1006,0)), HYPERLINK("#",""), HYPERLINK(CONCATENATE("#metadata!", ADDRESS(INDEX($W$2:$W$1001,MATCH(ROWS($U$2:U491),$U$2:$U$1001,0),0), INDEX($AB$1004:$AQ$1004,1,MATCH(COLUMNS($AB$1006:AN1006),$AB$1006:$AQ$1006,0)))),"Fix")))</f>
        <v>0</v>
      </c>
      <c r="O491" s="4">
        <f>IF(OR(INDEX($V$2:$V$1001,MATCH(ROWS($U$2:U491),$U$2:$U$1001,0),1)&gt;=100000,INDEX($AB$1005:$AQ$1005,1,MATCH(COLUMNS($AB$1006:AO1006),$AB$1006:$AQ$1006,0))&gt;=100000), " ",IF(INDEX($AB$2:$AQ$1001,MATCH(ROWS($U$2:U491),$U$2:$U$1001,0),MATCH(COLUMNS($AB$1006:AO1006),$AB$1006:$AQ$1006,0)), HYPERLINK("#",""), HYPERLINK(CONCATENATE("#metadata!", ADDRESS(INDEX($W$2:$W$1001,MATCH(ROWS($U$2:U491),$U$2:$U$1001,0),0), INDEX($AB$1004:$AQ$1004,1,MATCH(COLUMNS($AB$1006:AO1006),$AB$1006:$AQ$1006,0)))),"Fix")))</f>
        <v>0</v>
      </c>
      <c r="P491" s="4">
        <f>IF(OR(INDEX($V$2:$V$1001,MATCH(ROWS($U$2:U491),$U$2:$U$1001,0),1)&gt;=100000,INDEX($AB$1005:$AQ$1005,1,MATCH(COLUMNS($AB$1006:AP1006),$AB$1006:$AQ$1006,0))&gt;=100000), " ",IF(INDEX($AB$2:$AQ$1001,MATCH(ROWS($U$2:U491),$U$2:$U$1001,0),MATCH(COLUMNS($AB$1006:AP1006),$AB$1006:$AQ$1006,0)), HYPERLINK("#",""), HYPERLINK(CONCATENATE("#metadata!", ADDRESS(INDEX($W$2:$W$1001,MATCH(ROWS($U$2:U491),$U$2:$U$1001,0),0), INDEX($AB$1004:$AQ$1004,1,MATCH(COLUMNS($AB$1006:AP1006),$AB$1006:$AQ$1006,0)))),"Fix")))</f>
        <v>0</v>
      </c>
      <c r="Q491" s="4">
        <f>IF(OR(INDEX($V$2:$V$1001,MATCH(ROWS($U$2:U491),$U$2:$U$1001,0),1)&gt;=100000,INDEX($AB$1005:$AQ$1005,1,MATCH(COLUMNS($AB$1006:AQ1006),$AB$1006:$AQ$1006,0))&gt;=100000), " ",IF(INDEX($AB$2:$AQ$1001,MATCH(ROWS($U$2:U491),$U$2:$U$1001,0),MATCH(COLUMNS($AB$1006:AQ1006),$AB$1006:$AQ$1006,0)), HYPERLINK("#",""), HYPERLINK(CONCATENATE("#metadata!", ADDRESS(INDEX($W$2:$W$1001,MATCH(ROWS($U$2:U491),$U$2:$U$1001,0),0), INDEX($AB$1004:$AQ$1004,1,MATCH(COLUMNS($AB$1006:AQ1006),$AB$1006:$AQ$1006,0)))),"Fix")))</f>
        <v>0</v>
      </c>
      <c r="U491">
        <v>0</v>
      </c>
      <c r="V491">
        <v>0</v>
      </c>
      <c r="W491">
        <v>0</v>
      </c>
      <c r="X491">
        <f>IF(Y491,TRUE,AND(AB491:AQ491))</f>
        <v>0</v>
      </c>
      <c r="Y491">
        <f>COUNTBLANK(metadata!B491:Q491)=COLUMNS(metadata!B491:Q491)</f>
        <v>0</v>
      </c>
      <c r="Z491">
        <v>0</v>
      </c>
      <c r="AB491">
        <f>AND(IF(metadata!B491="",FALSE,TRUE),COUNTIF(metadata!B:B, metadata!B491) = 1,NOT(ISERROR(SUMPRODUCT(SEARCH(MID(metadata!B491,ROW(INDIRECT("1:"&amp;LEN(metadata!B491))), 1),"0123456789abcdefghijklmnopqrstuvwxyzABCDEFGHIJKLMNOPQRSTUVWXYZ.")))))</f>
        <v>0</v>
      </c>
      <c r="AC491">
        <f>OR(AND(IF(metadata!C491="",FALSE,TRUE),OR(exact(metadata!C491,"missing: not collected"),exact(metadata!C491,"missing: not provided"),exact(metadata!C491,"missing: restricted access"))),AND(IF(metadata!C491="",FALSE,TRUE),AND(AND(IFERROR(INT(LEFT(metadata!C491,4))&gt;1900,FALSE),IFERROR(INT(LEFT(metadata!C491,4))&lt;=YEAR(NOW()),FALSE)), OR(MID(metadata!C491,5,1)="", AND(AND(MID(metadata!C491,5,1)="-",IFERROR(INT(MID(metadata!C491,6,1))&gt;=0,FALSE),IFERROR(INT(MID(metadata!C491,6,1))&lt;=1,FALSE),NOT(MID(metadata!C491,7,1)=""),IFERROR(INT(MID(metadata!C491,6,2))&gt;=1,FALSE),IFERROR(INT(MID(metadata!C491,6,2))&lt;=12,FALSE)), OR(MID(metadata!C491,8,1)="", AND(AND(MID(metadata!C491,8,1)="-",IFERROR(INT(MID(metadata!C491,9,1))&gt;=0,FALSE),IFERROR(INT(MID(metadata!C491,9,1))&lt;=3,FALSE),NOT(MID(metadata!C491,10,1)=""),IFERROR(INT(MID(metadata!C491,9,2))&gt;=1,FALSE),IFERROR(INT(MID(metadata!C491,9,2))&lt;=31,FALSE)), OR(MID(metadata!C491,11,1)="", AND(AND(MID(metadata!C491,11,1)=" ",IFERROR(INT(MID(metadata!C491,12,1))&gt;=0,FALSE),IFERROR(INT(MID(metadata!C491,12,1))&lt;=2,FALSE),NOT(MID(metadata!C491,13,1)=""),IFERROR(INT(MID(metadata!C491,12,2))&gt;=0,FALSE),IFERROR(INT(MID(metadata!C491,12,2))&lt;=23,FALSE)), OR(MID(metadata!C491,14,1)="", AND(AND(MID(metadata!C491,14,1)=":",IFERROR(INT(MID(metadata!C491,15,1))&gt;=0,FALSE),IFERROR(INT(MID(metadata!C491,15,1))&lt;=5,FALSE),NOT(MID(metadata!C491,16,1)=""),IFERROR(INT(MID(metadata!C491,15,2))&gt;=0,FALSE),IFERROR(INT(MID(metadata!C491,15,2))&lt;=59,FALSE)), OR(MID(metadata!C491,17,1)="", AND(AND(MID(metadata!C491,17,1)=":",IFERROR(INT(MID(metadata!C491,18,1))&gt;=0,FALSE),IFERROR(INT(MID(metadata!C491,18,1))&lt;=5,FALSE),NOT(MID(metadata!C491,19,1)=""),IFERROR(INT(MID(metadata!C491,18,2))&gt;=0,FALSE),IFERROR(INT(MID(metadata!C491,18,2))&lt;=59,FALSE)), LEN(metadata!C491)&lt;=19)))))))))))))</f>
        <v>0</v>
      </c>
      <c r="AD491">
        <f>IF(metadata!D491="",FALSE,TRUE)</f>
        <v>0</v>
      </c>
      <c r="AE491">
        <f>OR(AND(IF(metadata!E491="",FALSE,TRUE),OR(exact(metadata!E491,"missing: not collected"),exact(metadata!E491,"missing: not provided"))),AND(IF(metadata!E491="",FALSE,TRUE),OR(exact(metadata!E491,"TRUE"),exact(metadata!E491,"FALSE"))))</f>
        <v>0</v>
      </c>
      <c r="AF491">
        <f>IF(metadata!F491="",FALSE,TRUE)</f>
        <v>0</v>
      </c>
      <c r="AG491">
        <f>IF(metadata!G491="",FALSE,TRUE)</f>
        <v>0</v>
      </c>
      <c r="AH491">
        <f>IF(metadata!H491="",FALSE,TRUE)</f>
        <v>0</v>
      </c>
      <c r="AI491">
        <f>OR(AND(IF(metadata!I491="",FALSE,TRUE),OR(exact(metadata!I491,"missing: not collected"),exact(metadata!I491,"missing: not provided"),exact(metadata!I491,"missing: restricted access"))),AND(IF(metadata!I491="",FALSE,TRUE),OR(exact(metadata!I491,"air"),exact(metadata!I491,"built environment"),exact(metadata!I491,"host-associated"),exact(metadata!I491,"human-associated"),exact(metadata!I491,"human-skin"),exact(metadata!I491,"human-oral"),exact(metadata!I491,"human-gut"),exact(metadata!I491,"human-vaginal"),exact(metadata!I491,"microbial mat/biofilm"),exact(metadata!I491,"misc environment"),exact(metadata!I491,"plant-associated"),exact(metadata!I491,"sediment"),exact(metadata!I491,"soil"),exact(metadata!I491,"wastewater/sludge"),exact(metadata!I491,"water"))))</f>
        <v>0</v>
      </c>
      <c r="AJ491">
        <f>IF(metadata!J491="",FALSE,TRUE)</f>
        <v>0</v>
      </c>
      <c r="AK491">
        <f>OR(AND(IF(metadata!K491="",FALSE,TRUE),OR(exact(metadata!K491,"missing: not collected"),exact(metadata!K491,"missing: not provided"),exact(metadata!K491,"missing: restricted access"))),AND(IF(metadata!K491="",FALSE,ISNUMBER(VALUE(metadata!K491))),metadata!K491&gt;=-90.00,metadata!K491&lt;=90.00))</f>
        <v>0</v>
      </c>
      <c r="AL491">
        <f>OR(AND(IF(metadata!L491="",FALSE,TRUE),OR(exact(metadata!L491,"missing: not collected"),exact(metadata!L491,"missing: not provided"),exact(metadata!L491,"missing: restricted access"))),AND(IF(metadata!L491="",FALSE,ISNUMBER(VALUE(metadata!L491))),metadata!L491&gt;=-180.00,metadata!L491&lt;=180.00))</f>
        <v>0</v>
      </c>
      <c r="AM491">
        <f>IF(metadata!M491="",FALSE,TRUE)</f>
        <v>0</v>
      </c>
      <c r="AN491">
        <f>OR(AND(IF(metadata!N491="",FALSE,TRUE),OR(exact(metadata!N491,"missing: not collected"),exact(metadata!N491,"missing: not provided"),exact(metadata!N491,"missing: restricted access"))),AND(IF(metadata!N491="",FALSE,TRUE),OR(exact(metadata!N491,"TRUE"),exact(metadata!N491,"FALSE"))))</f>
        <v>0</v>
      </c>
      <c r="AO491">
        <f>IF(metadata!O491="",FALSE,TRUE)</f>
        <v>0</v>
      </c>
      <c r="AP491">
        <f>OR(AND(IF(metadata!P491="",FALSE,TRUE),OR(exact(metadata!P491,"missing: not collected"),exact(metadata!P491,"missing: not provided"))),AND(IF(metadata!P491="",FALSE,IF(ISERROR(INT(metadata!P491)),FALSE,INT(metadata!P491)=metadata!P491)),metadata!P491&gt;0))</f>
        <v>0</v>
      </c>
      <c r="AQ491">
        <f>IF(metadata!Q491="",FALSE,TRUE)</f>
        <v>0</v>
      </c>
    </row>
    <row r="492" spans="1:43">
      <c r="A492" s="5">
        <f>IF(B492=" "," ",HYPERLINK(CONCATENATE("#metadata!",ADDRESS(INDEX($W$2:$W$1001,MATCH(ROWS($U$2:U492),$U$2:$U$1001,0),0),1)),INDEX($Z$2:$Z$1001,MATCH(ROWS($U$2:U492),$U$2:$U$1001,0),0)))</f>
        <v>0</v>
      </c>
      <c r="B492" s="4">
        <f>IF(OR(INDEX($V$2:$V$1001,MATCH(ROWS($U$2:U492),$U$2:$U$1001,0),1)&gt;=100000,INDEX($AB$1005:$AQ$1005,1,MATCH(COLUMNS($AB$1006:AB1006),$AB$1006:$AQ$1006,0))&gt;=100000), " ",IF(INDEX($AB$2:$AQ$1001,MATCH(ROWS($U$2:U492),$U$2:$U$1001,0),MATCH(COLUMNS($AB$1006:AB1006),$AB$1006:$AQ$1006,0)), HYPERLINK("#",""), HYPERLINK(CONCATENATE("#metadata!", ADDRESS(INDEX($W$2:$W$1001,MATCH(ROWS($U$2:U492),$U$2:$U$1001,0),0), INDEX($AB$1004:$AQ$1004,1,MATCH(COLUMNS($AB$1006:AB1006),$AB$1006:$AQ$1006,0)))),"Fix")))</f>
        <v>0</v>
      </c>
      <c r="C492" s="4">
        <f>IF(OR(INDEX($V$2:$V$1001,MATCH(ROWS($U$2:U492),$U$2:$U$1001,0),1)&gt;=100000,INDEX($AB$1005:$AQ$1005,1,MATCH(COLUMNS($AB$1006:AC1006),$AB$1006:$AQ$1006,0))&gt;=100000), " ",IF(INDEX($AB$2:$AQ$1001,MATCH(ROWS($U$2:U492),$U$2:$U$1001,0),MATCH(COLUMNS($AB$1006:AC1006),$AB$1006:$AQ$1006,0)), HYPERLINK("#",""), HYPERLINK(CONCATENATE("#metadata!", ADDRESS(INDEX($W$2:$W$1001,MATCH(ROWS($U$2:U492),$U$2:$U$1001,0),0), INDEX($AB$1004:$AQ$1004,1,MATCH(COLUMNS($AB$1006:AC1006),$AB$1006:$AQ$1006,0)))),"Fix")))</f>
        <v>0</v>
      </c>
      <c r="D492" s="4">
        <f>IF(OR(INDEX($V$2:$V$1001,MATCH(ROWS($U$2:U492),$U$2:$U$1001,0),1)&gt;=100000,INDEX($AB$1005:$AQ$1005,1,MATCH(COLUMNS($AB$1006:AD1006),$AB$1006:$AQ$1006,0))&gt;=100000), " ",IF(INDEX($AB$2:$AQ$1001,MATCH(ROWS($U$2:U492),$U$2:$U$1001,0),MATCH(COLUMNS($AB$1006:AD1006),$AB$1006:$AQ$1006,0)), HYPERLINK("#",""), HYPERLINK(CONCATENATE("#metadata!", ADDRESS(INDEX($W$2:$W$1001,MATCH(ROWS($U$2:U492),$U$2:$U$1001,0),0), INDEX($AB$1004:$AQ$1004,1,MATCH(COLUMNS($AB$1006:AD1006),$AB$1006:$AQ$1006,0)))),"Fix")))</f>
        <v>0</v>
      </c>
      <c r="E492" s="4">
        <f>IF(OR(INDEX($V$2:$V$1001,MATCH(ROWS($U$2:U492),$U$2:$U$1001,0),1)&gt;=100000,INDEX($AB$1005:$AQ$1005,1,MATCH(COLUMNS($AB$1006:AE1006),$AB$1006:$AQ$1006,0))&gt;=100000), " ",IF(INDEX($AB$2:$AQ$1001,MATCH(ROWS($U$2:U492),$U$2:$U$1001,0),MATCH(COLUMNS($AB$1006:AE1006),$AB$1006:$AQ$1006,0)), HYPERLINK("#",""), HYPERLINK(CONCATENATE("#metadata!", ADDRESS(INDEX($W$2:$W$1001,MATCH(ROWS($U$2:U492),$U$2:$U$1001,0),0), INDEX($AB$1004:$AQ$1004,1,MATCH(COLUMNS($AB$1006:AE1006),$AB$1006:$AQ$1006,0)))),"Fix")))</f>
        <v>0</v>
      </c>
      <c r="F492" s="4">
        <f>IF(OR(INDEX($V$2:$V$1001,MATCH(ROWS($U$2:U492),$U$2:$U$1001,0),1)&gt;=100000,INDEX($AB$1005:$AQ$1005,1,MATCH(COLUMNS($AB$1006:AF1006),$AB$1006:$AQ$1006,0))&gt;=100000), " ",IF(INDEX($AB$2:$AQ$1001,MATCH(ROWS($U$2:U492),$U$2:$U$1001,0),MATCH(COLUMNS($AB$1006:AF1006),$AB$1006:$AQ$1006,0)), HYPERLINK("#",""), HYPERLINK(CONCATENATE("#metadata!", ADDRESS(INDEX($W$2:$W$1001,MATCH(ROWS($U$2:U492),$U$2:$U$1001,0),0), INDEX($AB$1004:$AQ$1004,1,MATCH(COLUMNS($AB$1006:AF1006),$AB$1006:$AQ$1006,0)))),"Fix")))</f>
        <v>0</v>
      </c>
      <c r="G492" s="4">
        <f>IF(OR(INDEX($V$2:$V$1001,MATCH(ROWS($U$2:U492),$U$2:$U$1001,0),1)&gt;=100000,INDEX($AB$1005:$AQ$1005,1,MATCH(COLUMNS($AB$1006:AG1006),$AB$1006:$AQ$1006,0))&gt;=100000), " ",IF(INDEX($AB$2:$AQ$1001,MATCH(ROWS($U$2:U492),$U$2:$U$1001,0),MATCH(COLUMNS($AB$1006:AG1006),$AB$1006:$AQ$1006,0)), HYPERLINK("#",""), HYPERLINK(CONCATENATE("#metadata!", ADDRESS(INDEX($W$2:$W$1001,MATCH(ROWS($U$2:U492),$U$2:$U$1001,0),0), INDEX($AB$1004:$AQ$1004,1,MATCH(COLUMNS($AB$1006:AG1006),$AB$1006:$AQ$1006,0)))),"Fix")))</f>
        <v>0</v>
      </c>
      <c r="H492" s="4">
        <f>IF(OR(INDEX($V$2:$V$1001,MATCH(ROWS($U$2:U492),$U$2:$U$1001,0),1)&gt;=100000,INDEX($AB$1005:$AQ$1005,1,MATCH(COLUMNS($AB$1006:AH1006),$AB$1006:$AQ$1006,0))&gt;=100000), " ",IF(INDEX($AB$2:$AQ$1001,MATCH(ROWS($U$2:U492),$U$2:$U$1001,0),MATCH(COLUMNS($AB$1006:AH1006),$AB$1006:$AQ$1006,0)), HYPERLINK("#",""), HYPERLINK(CONCATENATE("#metadata!", ADDRESS(INDEX($W$2:$W$1001,MATCH(ROWS($U$2:U492),$U$2:$U$1001,0),0), INDEX($AB$1004:$AQ$1004,1,MATCH(COLUMNS($AB$1006:AH1006),$AB$1006:$AQ$1006,0)))),"Fix")))</f>
        <v>0</v>
      </c>
      <c r="I492" s="4">
        <f>IF(OR(INDEX($V$2:$V$1001,MATCH(ROWS($U$2:U492),$U$2:$U$1001,0),1)&gt;=100000,INDEX($AB$1005:$AQ$1005,1,MATCH(COLUMNS($AB$1006:AI1006),$AB$1006:$AQ$1006,0))&gt;=100000), " ",IF(INDEX($AB$2:$AQ$1001,MATCH(ROWS($U$2:U492),$U$2:$U$1001,0),MATCH(COLUMNS($AB$1006:AI1006),$AB$1006:$AQ$1006,0)), HYPERLINK("#",""), HYPERLINK(CONCATENATE("#metadata!", ADDRESS(INDEX($W$2:$W$1001,MATCH(ROWS($U$2:U492),$U$2:$U$1001,0),0), INDEX($AB$1004:$AQ$1004,1,MATCH(COLUMNS($AB$1006:AI1006),$AB$1006:$AQ$1006,0)))),"Fix")))</f>
        <v>0</v>
      </c>
      <c r="J492" s="4">
        <f>IF(OR(INDEX($V$2:$V$1001,MATCH(ROWS($U$2:U492),$U$2:$U$1001,0),1)&gt;=100000,INDEX($AB$1005:$AQ$1005,1,MATCH(COLUMNS($AB$1006:AJ1006),$AB$1006:$AQ$1006,0))&gt;=100000), " ",IF(INDEX($AB$2:$AQ$1001,MATCH(ROWS($U$2:U492),$U$2:$U$1001,0),MATCH(COLUMNS($AB$1006:AJ1006),$AB$1006:$AQ$1006,0)), HYPERLINK("#",""), HYPERLINK(CONCATENATE("#metadata!", ADDRESS(INDEX($W$2:$W$1001,MATCH(ROWS($U$2:U492),$U$2:$U$1001,0),0), INDEX($AB$1004:$AQ$1004,1,MATCH(COLUMNS($AB$1006:AJ1006),$AB$1006:$AQ$1006,0)))),"Fix")))</f>
        <v>0</v>
      </c>
      <c r="K492" s="4">
        <f>IF(OR(INDEX($V$2:$V$1001,MATCH(ROWS($U$2:U492),$U$2:$U$1001,0),1)&gt;=100000,INDEX($AB$1005:$AQ$1005,1,MATCH(COLUMNS($AB$1006:AK1006),$AB$1006:$AQ$1006,0))&gt;=100000), " ",IF(INDEX($AB$2:$AQ$1001,MATCH(ROWS($U$2:U492),$U$2:$U$1001,0),MATCH(COLUMNS($AB$1006:AK1006),$AB$1006:$AQ$1006,0)), HYPERLINK("#",""), HYPERLINK(CONCATENATE("#metadata!", ADDRESS(INDEX($W$2:$W$1001,MATCH(ROWS($U$2:U492),$U$2:$U$1001,0),0), INDEX($AB$1004:$AQ$1004,1,MATCH(COLUMNS($AB$1006:AK1006),$AB$1006:$AQ$1006,0)))),"Fix")))</f>
        <v>0</v>
      </c>
      <c r="L492" s="4">
        <f>IF(OR(INDEX($V$2:$V$1001,MATCH(ROWS($U$2:U492),$U$2:$U$1001,0),1)&gt;=100000,INDEX($AB$1005:$AQ$1005,1,MATCH(COLUMNS($AB$1006:AL1006),$AB$1006:$AQ$1006,0))&gt;=100000), " ",IF(INDEX($AB$2:$AQ$1001,MATCH(ROWS($U$2:U492),$U$2:$U$1001,0),MATCH(COLUMNS($AB$1006:AL1006),$AB$1006:$AQ$1006,0)), HYPERLINK("#",""), HYPERLINK(CONCATENATE("#metadata!", ADDRESS(INDEX($W$2:$W$1001,MATCH(ROWS($U$2:U492),$U$2:$U$1001,0),0), INDEX($AB$1004:$AQ$1004,1,MATCH(COLUMNS($AB$1006:AL1006),$AB$1006:$AQ$1006,0)))),"Fix")))</f>
        <v>0</v>
      </c>
      <c r="M492" s="4">
        <f>IF(OR(INDEX($V$2:$V$1001,MATCH(ROWS($U$2:U492),$U$2:$U$1001,0),1)&gt;=100000,INDEX($AB$1005:$AQ$1005,1,MATCH(COLUMNS($AB$1006:AM1006),$AB$1006:$AQ$1006,0))&gt;=100000), " ",IF(INDEX($AB$2:$AQ$1001,MATCH(ROWS($U$2:U492),$U$2:$U$1001,0),MATCH(COLUMNS($AB$1006:AM1006),$AB$1006:$AQ$1006,0)), HYPERLINK("#",""), HYPERLINK(CONCATENATE("#metadata!", ADDRESS(INDEX($W$2:$W$1001,MATCH(ROWS($U$2:U492),$U$2:$U$1001,0),0), INDEX($AB$1004:$AQ$1004,1,MATCH(COLUMNS($AB$1006:AM1006),$AB$1006:$AQ$1006,0)))),"Fix")))</f>
        <v>0</v>
      </c>
      <c r="N492" s="4">
        <f>IF(OR(INDEX($V$2:$V$1001,MATCH(ROWS($U$2:U492),$U$2:$U$1001,0),1)&gt;=100000,INDEX($AB$1005:$AQ$1005,1,MATCH(COLUMNS($AB$1006:AN1006),$AB$1006:$AQ$1006,0))&gt;=100000), " ",IF(INDEX($AB$2:$AQ$1001,MATCH(ROWS($U$2:U492),$U$2:$U$1001,0),MATCH(COLUMNS($AB$1006:AN1006),$AB$1006:$AQ$1006,0)), HYPERLINK("#",""), HYPERLINK(CONCATENATE("#metadata!", ADDRESS(INDEX($W$2:$W$1001,MATCH(ROWS($U$2:U492),$U$2:$U$1001,0),0), INDEX($AB$1004:$AQ$1004,1,MATCH(COLUMNS($AB$1006:AN1006),$AB$1006:$AQ$1006,0)))),"Fix")))</f>
        <v>0</v>
      </c>
      <c r="O492" s="4">
        <f>IF(OR(INDEX($V$2:$V$1001,MATCH(ROWS($U$2:U492),$U$2:$U$1001,0),1)&gt;=100000,INDEX($AB$1005:$AQ$1005,1,MATCH(COLUMNS($AB$1006:AO1006),$AB$1006:$AQ$1006,0))&gt;=100000), " ",IF(INDEX($AB$2:$AQ$1001,MATCH(ROWS($U$2:U492),$U$2:$U$1001,0),MATCH(COLUMNS($AB$1006:AO1006),$AB$1006:$AQ$1006,0)), HYPERLINK("#",""), HYPERLINK(CONCATENATE("#metadata!", ADDRESS(INDEX($W$2:$W$1001,MATCH(ROWS($U$2:U492),$U$2:$U$1001,0),0), INDEX($AB$1004:$AQ$1004,1,MATCH(COLUMNS($AB$1006:AO1006),$AB$1006:$AQ$1006,0)))),"Fix")))</f>
        <v>0</v>
      </c>
      <c r="P492" s="4">
        <f>IF(OR(INDEX($V$2:$V$1001,MATCH(ROWS($U$2:U492),$U$2:$U$1001,0),1)&gt;=100000,INDEX($AB$1005:$AQ$1005,1,MATCH(COLUMNS($AB$1006:AP1006),$AB$1006:$AQ$1006,0))&gt;=100000), " ",IF(INDEX($AB$2:$AQ$1001,MATCH(ROWS($U$2:U492),$U$2:$U$1001,0),MATCH(COLUMNS($AB$1006:AP1006),$AB$1006:$AQ$1006,0)), HYPERLINK("#",""), HYPERLINK(CONCATENATE("#metadata!", ADDRESS(INDEX($W$2:$W$1001,MATCH(ROWS($U$2:U492),$U$2:$U$1001,0),0), INDEX($AB$1004:$AQ$1004,1,MATCH(COLUMNS($AB$1006:AP1006),$AB$1006:$AQ$1006,0)))),"Fix")))</f>
        <v>0</v>
      </c>
      <c r="Q492" s="4">
        <f>IF(OR(INDEX($V$2:$V$1001,MATCH(ROWS($U$2:U492),$U$2:$U$1001,0),1)&gt;=100000,INDEX($AB$1005:$AQ$1005,1,MATCH(COLUMNS($AB$1006:AQ1006),$AB$1006:$AQ$1006,0))&gt;=100000), " ",IF(INDEX($AB$2:$AQ$1001,MATCH(ROWS($U$2:U492),$U$2:$U$1001,0),MATCH(COLUMNS($AB$1006:AQ1006),$AB$1006:$AQ$1006,0)), HYPERLINK("#",""), HYPERLINK(CONCATENATE("#metadata!", ADDRESS(INDEX($W$2:$W$1001,MATCH(ROWS($U$2:U492),$U$2:$U$1001,0),0), INDEX($AB$1004:$AQ$1004,1,MATCH(COLUMNS($AB$1006:AQ1006),$AB$1006:$AQ$1006,0)))),"Fix")))</f>
        <v>0</v>
      </c>
      <c r="U492">
        <v>0</v>
      </c>
      <c r="V492">
        <v>0</v>
      </c>
      <c r="W492">
        <v>0</v>
      </c>
      <c r="X492">
        <f>IF(Y492,TRUE,AND(AB492:AQ492))</f>
        <v>0</v>
      </c>
      <c r="Y492">
        <f>COUNTBLANK(metadata!B492:Q492)=COLUMNS(metadata!B492:Q492)</f>
        <v>0</v>
      </c>
      <c r="Z492">
        <v>0</v>
      </c>
      <c r="AB492">
        <f>AND(IF(metadata!B492="",FALSE,TRUE),COUNTIF(metadata!B:B, metadata!B492) = 1,NOT(ISERROR(SUMPRODUCT(SEARCH(MID(metadata!B492,ROW(INDIRECT("1:"&amp;LEN(metadata!B492))), 1),"0123456789abcdefghijklmnopqrstuvwxyzABCDEFGHIJKLMNOPQRSTUVWXYZ.")))))</f>
        <v>0</v>
      </c>
      <c r="AC492">
        <f>OR(AND(IF(metadata!C492="",FALSE,TRUE),OR(exact(metadata!C492,"missing: not collected"),exact(metadata!C492,"missing: not provided"),exact(metadata!C492,"missing: restricted access"))),AND(IF(metadata!C492="",FALSE,TRUE),AND(AND(IFERROR(INT(LEFT(metadata!C492,4))&gt;1900,FALSE),IFERROR(INT(LEFT(metadata!C492,4))&lt;=YEAR(NOW()),FALSE)), OR(MID(metadata!C492,5,1)="", AND(AND(MID(metadata!C492,5,1)="-",IFERROR(INT(MID(metadata!C492,6,1))&gt;=0,FALSE),IFERROR(INT(MID(metadata!C492,6,1))&lt;=1,FALSE),NOT(MID(metadata!C492,7,1)=""),IFERROR(INT(MID(metadata!C492,6,2))&gt;=1,FALSE),IFERROR(INT(MID(metadata!C492,6,2))&lt;=12,FALSE)), OR(MID(metadata!C492,8,1)="", AND(AND(MID(metadata!C492,8,1)="-",IFERROR(INT(MID(metadata!C492,9,1))&gt;=0,FALSE),IFERROR(INT(MID(metadata!C492,9,1))&lt;=3,FALSE),NOT(MID(metadata!C492,10,1)=""),IFERROR(INT(MID(metadata!C492,9,2))&gt;=1,FALSE),IFERROR(INT(MID(metadata!C492,9,2))&lt;=31,FALSE)), OR(MID(metadata!C492,11,1)="", AND(AND(MID(metadata!C492,11,1)=" ",IFERROR(INT(MID(metadata!C492,12,1))&gt;=0,FALSE),IFERROR(INT(MID(metadata!C492,12,1))&lt;=2,FALSE),NOT(MID(metadata!C492,13,1)=""),IFERROR(INT(MID(metadata!C492,12,2))&gt;=0,FALSE),IFERROR(INT(MID(metadata!C492,12,2))&lt;=23,FALSE)), OR(MID(metadata!C492,14,1)="", AND(AND(MID(metadata!C492,14,1)=":",IFERROR(INT(MID(metadata!C492,15,1))&gt;=0,FALSE),IFERROR(INT(MID(metadata!C492,15,1))&lt;=5,FALSE),NOT(MID(metadata!C492,16,1)=""),IFERROR(INT(MID(metadata!C492,15,2))&gt;=0,FALSE),IFERROR(INT(MID(metadata!C492,15,2))&lt;=59,FALSE)), OR(MID(metadata!C492,17,1)="", AND(AND(MID(metadata!C492,17,1)=":",IFERROR(INT(MID(metadata!C492,18,1))&gt;=0,FALSE),IFERROR(INT(MID(metadata!C492,18,1))&lt;=5,FALSE),NOT(MID(metadata!C492,19,1)=""),IFERROR(INT(MID(metadata!C492,18,2))&gt;=0,FALSE),IFERROR(INT(MID(metadata!C492,18,2))&lt;=59,FALSE)), LEN(metadata!C492)&lt;=19)))))))))))))</f>
        <v>0</v>
      </c>
      <c r="AD492">
        <f>IF(metadata!D492="",FALSE,TRUE)</f>
        <v>0</v>
      </c>
      <c r="AE492">
        <f>OR(AND(IF(metadata!E492="",FALSE,TRUE),OR(exact(metadata!E492,"missing: not collected"),exact(metadata!E492,"missing: not provided"))),AND(IF(metadata!E492="",FALSE,TRUE),OR(exact(metadata!E492,"TRUE"),exact(metadata!E492,"FALSE"))))</f>
        <v>0</v>
      </c>
      <c r="AF492">
        <f>IF(metadata!F492="",FALSE,TRUE)</f>
        <v>0</v>
      </c>
      <c r="AG492">
        <f>IF(metadata!G492="",FALSE,TRUE)</f>
        <v>0</v>
      </c>
      <c r="AH492">
        <f>IF(metadata!H492="",FALSE,TRUE)</f>
        <v>0</v>
      </c>
      <c r="AI492">
        <f>OR(AND(IF(metadata!I492="",FALSE,TRUE),OR(exact(metadata!I492,"missing: not collected"),exact(metadata!I492,"missing: not provided"),exact(metadata!I492,"missing: restricted access"))),AND(IF(metadata!I492="",FALSE,TRUE),OR(exact(metadata!I492,"air"),exact(metadata!I492,"built environment"),exact(metadata!I492,"host-associated"),exact(metadata!I492,"human-associated"),exact(metadata!I492,"human-skin"),exact(metadata!I492,"human-oral"),exact(metadata!I492,"human-gut"),exact(metadata!I492,"human-vaginal"),exact(metadata!I492,"microbial mat/biofilm"),exact(metadata!I492,"misc environment"),exact(metadata!I492,"plant-associated"),exact(metadata!I492,"sediment"),exact(metadata!I492,"soil"),exact(metadata!I492,"wastewater/sludge"),exact(metadata!I492,"water"))))</f>
        <v>0</v>
      </c>
      <c r="AJ492">
        <f>IF(metadata!J492="",FALSE,TRUE)</f>
        <v>0</v>
      </c>
      <c r="AK492">
        <f>OR(AND(IF(metadata!K492="",FALSE,TRUE),OR(exact(metadata!K492,"missing: not collected"),exact(metadata!K492,"missing: not provided"),exact(metadata!K492,"missing: restricted access"))),AND(IF(metadata!K492="",FALSE,ISNUMBER(VALUE(metadata!K492))),metadata!K492&gt;=-90.00,metadata!K492&lt;=90.00))</f>
        <v>0</v>
      </c>
      <c r="AL492">
        <f>OR(AND(IF(metadata!L492="",FALSE,TRUE),OR(exact(metadata!L492,"missing: not collected"),exact(metadata!L492,"missing: not provided"),exact(metadata!L492,"missing: restricted access"))),AND(IF(metadata!L492="",FALSE,ISNUMBER(VALUE(metadata!L492))),metadata!L492&gt;=-180.00,metadata!L492&lt;=180.00))</f>
        <v>0</v>
      </c>
      <c r="AM492">
        <f>IF(metadata!M492="",FALSE,TRUE)</f>
        <v>0</v>
      </c>
      <c r="AN492">
        <f>OR(AND(IF(metadata!N492="",FALSE,TRUE),OR(exact(metadata!N492,"missing: not collected"),exact(metadata!N492,"missing: not provided"),exact(metadata!N492,"missing: restricted access"))),AND(IF(metadata!N492="",FALSE,TRUE),OR(exact(metadata!N492,"TRUE"),exact(metadata!N492,"FALSE"))))</f>
        <v>0</v>
      </c>
      <c r="AO492">
        <f>IF(metadata!O492="",FALSE,TRUE)</f>
        <v>0</v>
      </c>
      <c r="AP492">
        <f>OR(AND(IF(metadata!P492="",FALSE,TRUE),OR(exact(metadata!P492,"missing: not collected"),exact(metadata!P492,"missing: not provided"))),AND(IF(metadata!P492="",FALSE,IF(ISERROR(INT(metadata!P492)),FALSE,INT(metadata!P492)=metadata!P492)),metadata!P492&gt;0))</f>
        <v>0</v>
      </c>
      <c r="AQ492">
        <f>IF(metadata!Q492="",FALSE,TRUE)</f>
        <v>0</v>
      </c>
    </row>
    <row r="493" spans="1:43">
      <c r="A493" s="5">
        <f>IF(B493=" "," ",HYPERLINK(CONCATENATE("#metadata!",ADDRESS(INDEX($W$2:$W$1001,MATCH(ROWS($U$2:U493),$U$2:$U$1001,0),0),1)),INDEX($Z$2:$Z$1001,MATCH(ROWS($U$2:U493),$U$2:$U$1001,0),0)))</f>
        <v>0</v>
      </c>
      <c r="B493" s="4">
        <f>IF(OR(INDEX($V$2:$V$1001,MATCH(ROWS($U$2:U493),$U$2:$U$1001,0),1)&gt;=100000,INDEX($AB$1005:$AQ$1005,1,MATCH(COLUMNS($AB$1006:AB1006),$AB$1006:$AQ$1006,0))&gt;=100000), " ",IF(INDEX($AB$2:$AQ$1001,MATCH(ROWS($U$2:U493),$U$2:$U$1001,0),MATCH(COLUMNS($AB$1006:AB1006),$AB$1006:$AQ$1006,0)), HYPERLINK("#",""), HYPERLINK(CONCATENATE("#metadata!", ADDRESS(INDEX($W$2:$W$1001,MATCH(ROWS($U$2:U493),$U$2:$U$1001,0),0), INDEX($AB$1004:$AQ$1004,1,MATCH(COLUMNS($AB$1006:AB1006),$AB$1006:$AQ$1006,0)))),"Fix")))</f>
        <v>0</v>
      </c>
      <c r="C493" s="4">
        <f>IF(OR(INDEX($V$2:$V$1001,MATCH(ROWS($U$2:U493),$U$2:$U$1001,0),1)&gt;=100000,INDEX($AB$1005:$AQ$1005,1,MATCH(COLUMNS($AB$1006:AC1006),$AB$1006:$AQ$1006,0))&gt;=100000), " ",IF(INDEX($AB$2:$AQ$1001,MATCH(ROWS($U$2:U493),$U$2:$U$1001,0),MATCH(COLUMNS($AB$1006:AC1006),$AB$1006:$AQ$1006,0)), HYPERLINK("#",""), HYPERLINK(CONCATENATE("#metadata!", ADDRESS(INDEX($W$2:$W$1001,MATCH(ROWS($U$2:U493),$U$2:$U$1001,0),0), INDEX($AB$1004:$AQ$1004,1,MATCH(COLUMNS($AB$1006:AC1006),$AB$1006:$AQ$1006,0)))),"Fix")))</f>
        <v>0</v>
      </c>
      <c r="D493" s="4">
        <f>IF(OR(INDEX($V$2:$V$1001,MATCH(ROWS($U$2:U493),$U$2:$U$1001,0),1)&gt;=100000,INDEX($AB$1005:$AQ$1005,1,MATCH(COLUMNS($AB$1006:AD1006),$AB$1006:$AQ$1006,0))&gt;=100000), " ",IF(INDEX($AB$2:$AQ$1001,MATCH(ROWS($U$2:U493),$U$2:$U$1001,0),MATCH(COLUMNS($AB$1006:AD1006),$AB$1006:$AQ$1006,0)), HYPERLINK("#",""), HYPERLINK(CONCATENATE("#metadata!", ADDRESS(INDEX($W$2:$W$1001,MATCH(ROWS($U$2:U493),$U$2:$U$1001,0),0), INDEX($AB$1004:$AQ$1004,1,MATCH(COLUMNS($AB$1006:AD1006),$AB$1006:$AQ$1006,0)))),"Fix")))</f>
        <v>0</v>
      </c>
      <c r="E493" s="4">
        <f>IF(OR(INDEX($V$2:$V$1001,MATCH(ROWS($U$2:U493),$U$2:$U$1001,0),1)&gt;=100000,INDEX($AB$1005:$AQ$1005,1,MATCH(COLUMNS($AB$1006:AE1006),$AB$1006:$AQ$1006,0))&gt;=100000), " ",IF(INDEX($AB$2:$AQ$1001,MATCH(ROWS($U$2:U493),$U$2:$U$1001,0),MATCH(COLUMNS($AB$1006:AE1006),$AB$1006:$AQ$1006,0)), HYPERLINK("#",""), HYPERLINK(CONCATENATE("#metadata!", ADDRESS(INDEX($W$2:$W$1001,MATCH(ROWS($U$2:U493),$U$2:$U$1001,0),0), INDEX($AB$1004:$AQ$1004,1,MATCH(COLUMNS($AB$1006:AE1006),$AB$1006:$AQ$1006,0)))),"Fix")))</f>
        <v>0</v>
      </c>
      <c r="F493" s="4">
        <f>IF(OR(INDEX($V$2:$V$1001,MATCH(ROWS($U$2:U493),$U$2:$U$1001,0),1)&gt;=100000,INDEX($AB$1005:$AQ$1005,1,MATCH(COLUMNS($AB$1006:AF1006),$AB$1006:$AQ$1006,0))&gt;=100000), " ",IF(INDEX($AB$2:$AQ$1001,MATCH(ROWS($U$2:U493),$U$2:$U$1001,0),MATCH(COLUMNS($AB$1006:AF1006),$AB$1006:$AQ$1006,0)), HYPERLINK("#",""), HYPERLINK(CONCATENATE("#metadata!", ADDRESS(INDEX($W$2:$W$1001,MATCH(ROWS($U$2:U493),$U$2:$U$1001,0),0), INDEX($AB$1004:$AQ$1004,1,MATCH(COLUMNS($AB$1006:AF1006),$AB$1006:$AQ$1006,0)))),"Fix")))</f>
        <v>0</v>
      </c>
      <c r="G493" s="4">
        <f>IF(OR(INDEX($V$2:$V$1001,MATCH(ROWS($U$2:U493),$U$2:$U$1001,0),1)&gt;=100000,INDEX($AB$1005:$AQ$1005,1,MATCH(COLUMNS($AB$1006:AG1006),$AB$1006:$AQ$1006,0))&gt;=100000), " ",IF(INDEX($AB$2:$AQ$1001,MATCH(ROWS($U$2:U493),$U$2:$U$1001,0),MATCH(COLUMNS($AB$1006:AG1006),$AB$1006:$AQ$1006,0)), HYPERLINK("#",""), HYPERLINK(CONCATENATE("#metadata!", ADDRESS(INDEX($W$2:$W$1001,MATCH(ROWS($U$2:U493),$U$2:$U$1001,0),0), INDEX($AB$1004:$AQ$1004,1,MATCH(COLUMNS($AB$1006:AG1006),$AB$1006:$AQ$1006,0)))),"Fix")))</f>
        <v>0</v>
      </c>
      <c r="H493" s="4">
        <f>IF(OR(INDEX($V$2:$V$1001,MATCH(ROWS($U$2:U493),$U$2:$U$1001,0),1)&gt;=100000,INDEX($AB$1005:$AQ$1005,1,MATCH(COLUMNS($AB$1006:AH1006),$AB$1006:$AQ$1006,0))&gt;=100000), " ",IF(INDEX($AB$2:$AQ$1001,MATCH(ROWS($U$2:U493),$U$2:$U$1001,0),MATCH(COLUMNS($AB$1006:AH1006),$AB$1006:$AQ$1006,0)), HYPERLINK("#",""), HYPERLINK(CONCATENATE("#metadata!", ADDRESS(INDEX($W$2:$W$1001,MATCH(ROWS($U$2:U493),$U$2:$U$1001,0),0), INDEX($AB$1004:$AQ$1004,1,MATCH(COLUMNS($AB$1006:AH1006),$AB$1006:$AQ$1006,0)))),"Fix")))</f>
        <v>0</v>
      </c>
      <c r="I493" s="4">
        <f>IF(OR(INDEX($V$2:$V$1001,MATCH(ROWS($U$2:U493),$U$2:$U$1001,0),1)&gt;=100000,INDEX($AB$1005:$AQ$1005,1,MATCH(COLUMNS($AB$1006:AI1006),$AB$1006:$AQ$1006,0))&gt;=100000), " ",IF(INDEX($AB$2:$AQ$1001,MATCH(ROWS($U$2:U493),$U$2:$U$1001,0),MATCH(COLUMNS($AB$1006:AI1006),$AB$1006:$AQ$1006,0)), HYPERLINK("#",""), HYPERLINK(CONCATENATE("#metadata!", ADDRESS(INDEX($W$2:$W$1001,MATCH(ROWS($U$2:U493),$U$2:$U$1001,0),0), INDEX($AB$1004:$AQ$1004,1,MATCH(COLUMNS($AB$1006:AI1006),$AB$1006:$AQ$1006,0)))),"Fix")))</f>
        <v>0</v>
      </c>
      <c r="J493" s="4">
        <f>IF(OR(INDEX($V$2:$V$1001,MATCH(ROWS($U$2:U493),$U$2:$U$1001,0),1)&gt;=100000,INDEX($AB$1005:$AQ$1005,1,MATCH(COLUMNS($AB$1006:AJ1006),$AB$1006:$AQ$1006,0))&gt;=100000), " ",IF(INDEX($AB$2:$AQ$1001,MATCH(ROWS($U$2:U493),$U$2:$U$1001,0),MATCH(COLUMNS($AB$1006:AJ1006),$AB$1006:$AQ$1006,0)), HYPERLINK("#",""), HYPERLINK(CONCATENATE("#metadata!", ADDRESS(INDEX($W$2:$W$1001,MATCH(ROWS($U$2:U493),$U$2:$U$1001,0),0), INDEX($AB$1004:$AQ$1004,1,MATCH(COLUMNS($AB$1006:AJ1006),$AB$1006:$AQ$1006,0)))),"Fix")))</f>
        <v>0</v>
      </c>
      <c r="K493" s="4">
        <f>IF(OR(INDEX($V$2:$V$1001,MATCH(ROWS($U$2:U493),$U$2:$U$1001,0),1)&gt;=100000,INDEX($AB$1005:$AQ$1005,1,MATCH(COLUMNS($AB$1006:AK1006),$AB$1006:$AQ$1006,0))&gt;=100000), " ",IF(INDEX($AB$2:$AQ$1001,MATCH(ROWS($U$2:U493),$U$2:$U$1001,0),MATCH(COLUMNS($AB$1006:AK1006),$AB$1006:$AQ$1006,0)), HYPERLINK("#",""), HYPERLINK(CONCATENATE("#metadata!", ADDRESS(INDEX($W$2:$W$1001,MATCH(ROWS($U$2:U493),$U$2:$U$1001,0),0), INDEX($AB$1004:$AQ$1004,1,MATCH(COLUMNS($AB$1006:AK1006),$AB$1006:$AQ$1006,0)))),"Fix")))</f>
        <v>0</v>
      </c>
      <c r="L493" s="4">
        <f>IF(OR(INDEX($V$2:$V$1001,MATCH(ROWS($U$2:U493),$U$2:$U$1001,0),1)&gt;=100000,INDEX($AB$1005:$AQ$1005,1,MATCH(COLUMNS($AB$1006:AL1006),$AB$1006:$AQ$1006,0))&gt;=100000), " ",IF(INDEX($AB$2:$AQ$1001,MATCH(ROWS($U$2:U493),$U$2:$U$1001,0),MATCH(COLUMNS($AB$1006:AL1006),$AB$1006:$AQ$1006,0)), HYPERLINK("#",""), HYPERLINK(CONCATENATE("#metadata!", ADDRESS(INDEX($W$2:$W$1001,MATCH(ROWS($U$2:U493),$U$2:$U$1001,0),0), INDEX($AB$1004:$AQ$1004,1,MATCH(COLUMNS($AB$1006:AL1006),$AB$1006:$AQ$1006,0)))),"Fix")))</f>
        <v>0</v>
      </c>
      <c r="M493" s="4">
        <f>IF(OR(INDEX($V$2:$V$1001,MATCH(ROWS($U$2:U493),$U$2:$U$1001,0),1)&gt;=100000,INDEX($AB$1005:$AQ$1005,1,MATCH(COLUMNS($AB$1006:AM1006),$AB$1006:$AQ$1006,0))&gt;=100000), " ",IF(INDEX($AB$2:$AQ$1001,MATCH(ROWS($U$2:U493),$U$2:$U$1001,0),MATCH(COLUMNS($AB$1006:AM1006),$AB$1006:$AQ$1006,0)), HYPERLINK("#",""), HYPERLINK(CONCATENATE("#metadata!", ADDRESS(INDEX($W$2:$W$1001,MATCH(ROWS($U$2:U493),$U$2:$U$1001,0),0), INDEX($AB$1004:$AQ$1004,1,MATCH(COLUMNS($AB$1006:AM1006),$AB$1006:$AQ$1006,0)))),"Fix")))</f>
        <v>0</v>
      </c>
      <c r="N493" s="4">
        <f>IF(OR(INDEX($V$2:$V$1001,MATCH(ROWS($U$2:U493),$U$2:$U$1001,0),1)&gt;=100000,INDEX($AB$1005:$AQ$1005,1,MATCH(COLUMNS($AB$1006:AN1006),$AB$1006:$AQ$1006,0))&gt;=100000), " ",IF(INDEX($AB$2:$AQ$1001,MATCH(ROWS($U$2:U493),$U$2:$U$1001,0),MATCH(COLUMNS($AB$1006:AN1006),$AB$1006:$AQ$1006,0)), HYPERLINK("#",""), HYPERLINK(CONCATENATE("#metadata!", ADDRESS(INDEX($W$2:$W$1001,MATCH(ROWS($U$2:U493),$U$2:$U$1001,0),0), INDEX($AB$1004:$AQ$1004,1,MATCH(COLUMNS($AB$1006:AN1006),$AB$1006:$AQ$1006,0)))),"Fix")))</f>
        <v>0</v>
      </c>
      <c r="O493" s="4">
        <f>IF(OR(INDEX($V$2:$V$1001,MATCH(ROWS($U$2:U493),$U$2:$U$1001,0),1)&gt;=100000,INDEX($AB$1005:$AQ$1005,1,MATCH(COLUMNS($AB$1006:AO1006),$AB$1006:$AQ$1006,0))&gt;=100000), " ",IF(INDEX($AB$2:$AQ$1001,MATCH(ROWS($U$2:U493),$U$2:$U$1001,0),MATCH(COLUMNS($AB$1006:AO1006),$AB$1006:$AQ$1006,0)), HYPERLINK("#",""), HYPERLINK(CONCATENATE("#metadata!", ADDRESS(INDEX($W$2:$W$1001,MATCH(ROWS($U$2:U493),$U$2:$U$1001,0),0), INDEX($AB$1004:$AQ$1004,1,MATCH(COLUMNS($AB$1006:AO1006),$AB$1006:$AQ$1006,0)))),"Fix")))</f>
        <v>0</v>
      </c>
      <c r="P493" s="4">
        <f>IF(OR(INDEX($V$2:$V$1001,MATCH(ROWS($U$2:U493),$U$2:$U$1001,0),1)&gt;=100000,INDEX($AB$1005:$AQ$1005,1,MATCH(COLUMNS($AB$1006:AP1006),$AB$1006:$AQ$1006,0))&gt;=100000), " ",IF(INDEX($AB$2:$AQ$1001,MATCH(ROWS($U$2:U493),$U$2:$U$1001,0),MATCH(COLUMNS($AB$1006:AP1006),$AB$1006:$AQ$1006,0)), HYPERLINK("#",""), HYPERLINK(CONCATENATE("#metadata!", ADDRESS(INDEX($W$2:$W$1001,MATCH(ROWS($U$2:U493),$U$2:$U$1001,0),0), INDEX($AB$1004:$AQ$1004,1,MATCH(COLUMNS($AB$1006:AP1006),$AB$1006:$AQ$1006,0)))),"Fix")))</f>
        <v>0</v>
      </c>
      <c r="Q493" s="4">
        <f>IF(OR(INDEX($V$2:$V$1001,MATCH(ROWS($U$2:U493),$U$2:$U$1001,0),1)&gt;=100000,INDEX($AB$1005:$AQ$1005,1,MATCH(COLUMNS($AB$1006:AQ1006),$AB$1006:$AQ$1006,0))&gt;=100000), " ",IF(INDEX($AB$2:$AQ$1001,MATCH(ROWS($U$2:U493),$U$2:$U$1001,0),MATCH(COLUMNS($AB$1006:AQ1006),$AB$1006:$AQ$1006,0)), HYPERLINK("#",""), HYPERLINK(CONCATENATE("#metadata!", ADDRESS(INDEX($W$2:$W$1001,MATCH(ROWS($U$2:U493),$U$2:$U$1001,0),0), INDEX($AB$1004:$AQ$1004,1,MATCH(COLUMNS($AB$1006:AQ1006),$AB$1006:$AQ$1006,0)))),"Fix")))</f>
        <v>0</v>
      </c>
      <c r="U493">
        <v>0</v>
      </c>
      <c r="V493">
        <v>0</v>
      </c>
      <c r="W493">
        <v>0</v>
      </c>
      <c r="X493">
        <f>IF(Y493,TRUE,AND(AB493:AQ493))</f>
        <v>0</v>
      </c>
      <c r="Y493">
        <f>COUNTBLANK(metadata!B493:Q493)=COLUMNS(metadata!B493:Q493)</f>
        <v>0</v>
      </c>
      <c r="Z493">
        <v>0</v>
      </c>
      <c r="AB493">
        <f>AND(IF(metadata!B493="",FALSE,TRUE),COUNTIF(metadata!B:B, metadata!B493) = 1,NOT(ISERROR(SUMPRODUCT(SEARCH(MID(metadata!B493,ROW(INDIRECT("1:"&amp;LEN(metadata!B493))), 1),"0123456789abcdefghijklmnopqrstuvwxyzABCDEFGHIJKLMNOPQRSTUVWXYZ.")))))</f>
        <v>0</v>
      </c>
      <c r="AC493">
        <f>OR(AND(IF(metadata!C493="",FALSE,TRUE),OR(exact(metadata!C493,"missing: not collected"),exact(metadata!C493,"missing: not provided"),exact(metadata!C493,"missing: restricted access"))),AND(IF(metadata!C493="",FALSE,TRUE),AND(AND(IFERROR(INT(LEFT(metadata!C493,4))&gt;1900,FALSE),IFERROR(INT(LEFT(metadata!C493,4))&lt;=YEAR(NOW()),FALSE)), OR(MID(metadata!C493,5,1)="", AND(AND(MID(metadata!C493,5,1)="-",IFERROR(INT(MID(metadata!C493,6,1))&gt;=0,FALSE),IFERROR(INT(MID(metadata!C493,6,1))&lt;=1,FALSE),NOT(MID(metadata!C493,7,1)=""),IFERROR(INT(MID(metadata!C493,6,2))&gt;=1,FALSE),IFERROR(INT(MID(metadata!C493,6,2))&lt;=12,FALSE)), OR(MID(metadata!C493,8,1)="", AND(AND(MID(metadata!C493,8,1)="-",IFERROR(INT(MID(metadata!C493,9,1))&gt;=0,FALSE),IFERROR(INT(MID(metadata!C493,9,1))&lt;=3,FALSE),NOT(MID(metadata!C493,10,1)=""),IFERROR(INT(MID(metadata!C493,9,2))&gt;=1,FALSE),IFERROR(INT(MID(metadata!C493,9,2))&lt;=31,FALSE)), OR(MID(metadata!C493,11,1)="", AND(AND(MID(metadata!C493,11,1)=" ",IFERROR(INT(MID(metadata!C493,12,1))&gt;=0,FALSE),IFERROR(INT(MID(metadata!C493,12,1))&lt;=2,FALSE),NOT(MID(metadata!C493,13,1)=""),IFERROR(INT(MID(metadata!C493,12,2))&gt;=0,FALSE),IFERROR(INT(MID(metadata!C493,12,2))&lt;=23,FALSE)), OR(MID(metadata!C493,14,1)="", AND(AND(MID(metadata!C493,14,1)=":",IFERROR(INT(MID(metadata!C493,15,1))&gt;=0,FALSE),IFERROR(INT(MID(metadata!C493,15,1))&lt;=5,FALSE),NOT(MID(metadata!C493,16,1)=""),IFERROR(INT(MID(metadata!C493,15,2))&gt;=0,FALSE),IFERROR(INT(MID(metadata!C493,15,2))&lt;=59,FALSE)), OR(MID(metadata!C493,17,1)="", AND(AND(MID(metadata!C493,17,1)=":",IFERROR(INT(MID(metadata!C493,18,1))&gt;=0,FALSE),IFERROR(INT(MID(metadata!C493,18,1))&lt;=5,FALSE),NOT(MID(metadata!C493,19,1)=""),IFERROR(INT(MID(metadata!C493,18,2))&gt;=0,FALSE),IFERROR(INT(MID(metadata!C493,18,2))&lt;=59,FALSE)), LEN(metadata!C493)&lt;=19)))))))))))))</f>
        <v>0</v>
      </c>
      <c r="AD493">
        <f>IF(metadata!D493="",FALSE,TRUE)</f>
        <v>0</v>
      </c>
      <c r="AE493">
        <f>OR(AND(IF(metadata!E493="",FALSE,TRUE),OR(exact(metadata!E493,"missing: not collected"),exact(metadata!E493,"missing: not provided"))),AND(IF(metadata!E493="",FALSE,TRUE),OR(exact(metadata!E493,"TRUE"),exact(metadata!E493,"FALSE"))))</f>
        <v>0</v>
      </c>
      <c r="AF493">
        <f>IF(metadata!F493="",FALSE,TRUE)</f>
        <v>0</v>
      </c>
      <c r="AG493">
        <f>IF(metadata!G493="",FALSE,TRUE)</f>
        <v>0</v>
      </c>
      <c r="AH493">
        <f>IF(metadata!H493="",FALSE,TRUE)</f>
        <v>0</v>
      </c>
      <c r="AI493">
        <f>OR(AND(IF(metadata!I493="",FALSE,TRUE),OR(exact(metadata!I493,"missing: not collected"),exact(metadata!I493,"missing: not provided"),exact(metadata!I493,"missing: restricted access"))),AND(IF(metadata!I493="",FALSE,TRUE),OR(exact(metadata!I493,"air"),exact(metadata!I493,"built environment"),exact(metadata!I493,"host-associated"),exact(metadata!I493,"human-associated"),exact(metadata!I493,"human-skin"),exact(metadata!I493,"human-oral"),exact(metadata!I493,"human-gut"),exact(metadata!I493,"human-vaginal"),exact(metadata!I493,"microbial mat/biofilm"),exact(metadata!I493,"misc environment"),exact(metadata!I493,"plant-associated"),exact(metadata!I493,"sediment"),exact(metadata!I493,"soil"),exact(metadata!I493,"wastewater/sludge"),exact(metadata!I493,"water"))))</f>
        <v>0</v>
      </c>
      <c r="AJ493">
        <f>IF(metadata!J493="",FALSE,TRUE)</f>
        <v>0</v>
      </c>
      <c r="AK493">
        <f>OR(AND(IF(metadata!K493="",FALSE,TRUE),OR(exact(metadata!K493,"missing: not collected"),exact(metadata!K493,"missing: not provided"),exact(metadata!K493,"missing: restricted access"))),AND(IF(metadata!K493="",FALSE,ISNUMBER(VALUE(metadata!K493))),metadata!K493&gt;=-90.00,metadata!K493&lt;=90.00))</f>
        <v>0</v>
      </c>
      <c r="AL493">
        <f>OR(AND(IF(metadata!L493="",FALSE,TRUE),OR(exact(metadata!L493,"missing: not collected"),exact(metadata!L493,"missing: not provided"),exact(metadata!L493,"missing: restricted access"))),AND(IF(metadata!L493="",FALSE,ISNUMBER(VALUE(metadata!L493))),metadata!L493&gt;=-180.00,metadata!L493&lt;=180.00))</f>
        <v>0</v>
      </c>
      <c r="AM493">
        <f>IF(metadata!M493="",FALSE,TRUE)</f>
        <v>0</v>
      </c>
      <c r="AN493">
        <f>OR(AND(IF(metadata!N493="",FALSE,TRUE),OR(exact(metadata!N493,"missing: not collected"),exact(metadata!N493,"missing: not provided"),exact(metadata!N493,"missing: restricted access"))),AND(IF(metadata!N493="",FALSE,TRUE),OR(exact(metadata!N493,"TRUE"),exact(metadata!N493,"FALSE"))))</f>
        <v>0</v>
      </c>
      <c r="AO493">
        <f>IF(metadata!O493="",FALSE,TRUE)</f>
        <v>0</v>
      </c>
      <c r="AP493">
        <f>OR(AND(IF(metadata!P493="",FALSE,TRUE),OR(exact(metadata!P493,"missing: not collected"),exact(metadata!P493,"missing: not provided"))),AND(IF(metadata!P493="",FALSE,IF(ISERROR(INT(metadata!P493)),FALSE,INT(metadata!P493)=metadata!P493)),metadata!P493&gt;0))</f>
        <v>0</v>
      </c>
      <c r="AQ493">
        <f>IF(metadata!Q493="",FALSE,TRUE)</f>
        <v>0</v>
      </c>
    </row>
    <row r="494" spans="1:43">
      <c r="A494" s="5">
        <f>IF(B494=" "," ",HYPERLINK(CONCATENATE("#metadata!",ADDRESS(INDEX($W$2:$W$1001,MATCH(ROWS($U$2:U494),$U$2:$U$1001,0),0),1)),INDEX($Z$2:$Z$1001,MATCH(ROWS($U$2:U494),$U$2:$U$1001,0),0)))</f>
        <v>0</v>
      </c>
      <c r="B494" s="4">
        <f>IF(OR(INDEX($V$2:$V$1001,MATCH(ROWS($U$2:U494),$U$2:$U$1001,0),1)&gt;=100000,INDEX($AB$1005:$AQ$1005,1,MATCH(COLUMNS($AB$1006:AB1006),$AB$1006:$AQ$1006,0))&gt;=100000), " ",IF(INDEX($AB$2:$AQ$1001,MATCH(ROWS($U$2:U494),$U$2:$U$1001,0),MATCH(COLUMNS($AB$1006:AB1006),$AB$1006:$AQ$1006,0)), HYPERLINK("#",""), HYPERLINK(CONCATENATE("#metadata!", ADDRESS(INDEX($W$2:$W$1001,MATCH(ROWS($U$2:U494),$U$2:$U$1001,0),0), INDEX($AB$1004:$AQ$1004,1,MATCH(COLUMNS($AB$1006:AB1006),$AB$1006:$AQ$1006,0)))),"Fix")))</f>
        <v>0</v>
      </c>
      <c r="C494" s="4">
        <f>IF(OR(INDEX($V$2:$V$1001,MATCH(ROWS($U$2:U494),$U$2:$U$1001,0),1)&gt;=100000,INDEX($AB$1005:$AQ$1005,1,MATCH(COLUMNS($AB$1006:AC1006),$AB$1006:$AQ$1006,0))&gt;=100000), " ",IF(INDEX($AB$2:$AQ$1001,MATCH(ROWS($U$2:U494),$U$2:$U$1001,0),MATCH(COLUMNS($AB$1006:AC1006),$AB$1006:$AQ$1006,0)), HYPERLINK("#",""), HYPERLINK(CONCATENATE("#metadata!", ADDRESS(INDEX($W$2:$W$1001,MATCH(ROWS($U$2:U494),$U$2:$U$1001,0),0), INDEX($AB$1004:$AQ$1004,1,MATCH(COLUMNS($AB$1006:AC1006),$AB$1006:$AQ$1006,0)))),"Fix")))</f>
        <v>0</v>
      </c>
      <c r="D494" s="4">
        <f>IF(OR(INDEX($V$2:$V$1001,MATCH(ROWS($U$2:U494),$U$2:$U$1001,0),1)&gt;=100000,INDEX($AB$1005:$AQ$1005,1,MATCH(COLUMNS($AB$1006:AD1006),$AB$1006:$AQ$1006,0))&gt;=100000), " ",IF(INDEX($AB$2:$AQ$1001,MATCH(ROWS($U$2:U494),$U$2:$U$1001,0),MATCH(COLUMNS($AB$1006:AD1006),$AB$1006:$AQ$1006,0)), HYPERLINK("#",""), HYPERLINK(CONCATENATE("#metadata!", ADDRESS(INDEX($W$2:$W$1001,MATCH(ROWS($U$2:U494),$U$2:$U$1001,0),0), INDEX($AB$1004:$AQ$1004,1,MATCH(COLUMNS($AB$1006:AD1006),$AB$1006:$AQ$1006,0)))),"Fix")))</f>
        <v>0</v>
      </c>
      <c r="E494" s="4">
        <f>IF(OR(INDEX($V$2:$V$1001,MATCH(ROWS($U$2:U494),$U$2:$U$1001,0),1)&gt;=100000,INDEX($AB$1005:$AQ$1005,1,MATCH(COLUMNS($AB$1006:AE1006),$AB$1006:$AQ$1006,0))&gt;=100000), " ",IF(INDEX($AB$2:$AQ$1001,MATCH(ROWS($U$2:U494),$U$2:$U$1001,0),MATCH(COLUMNS($AB$1006:AE1006),$AB$1006:$AQ$1006,0)), HYPERLINK("#",""), HYPERLINK(CONCATENATE("#metadata!", ADDRESS(INDEX($W$2:$W$1001,MATCH(ROWS($U$2:U494),$U$2:$U$1001,0),0), INDEX($AB$1004:$AQ$1004,1,MATCH(COLUMNS($AB$1006:AE1006),$AB$1006:$AQ$1006,0)))),"Fix")))</f>
        <v>0</v>
      </c>
      <c r="F494" s="4">
        <f>IF(OR(INDEX($V$2:$V$1001,MATCH(ROWS($U$2:U494),$U$2:$U$1001,0),1)&gt;=100000,INDEX($AB$1005:$AQ$1005,1,MATCH(COLUMNS($AB$1006:AF1006),$AB$1006:$AQ$1006,0))&gt;=100000), " ",IF(INDEX($AB$2:$AQ$1001,MATCH(ROWS($U$2:U494),$U$2:$U$1001,0),MATCH(COLUMNS($AB$1006:AF1006),$AB$1006:$AQ$1006,0)), HYPERLINK("#",""), HYPERLINK(CONCATENATE("#metadata!", ADDRESS(INDEX($W$2:$W$1001,MATCH(ROWS($U$2:U494),$U$2:$U$1001,0),0), INDEX($AB$1004:$AQ$1004,1,MATCH(COLUMNS($AB$1006:AF1006),$AB$1006:$AQ$1006,0)))),"Fix")))</f>
        <v>0</v>
      </c>
      <c r="G494" s="4">
        <f>IF(OR(INDEX($V$2:$V$1001,MATCH(ROWS($U$2:U494),$U$2:$U$1001,0),1)&gt;=100000,INDEX($AB$1005:$AQ$1005,1,MATCH(COLUMNS($AB$1006:AG1006),$AB$1006:$AQ$1006,0))&gt;=100000), " ",IF(INDEX($AB$2:$AQ$1001,MATCH(ROWS($U$2:U494),$U$2:$U$1001,0),MATCH(COLUMNS($AB$1006:AG1006),$AB$1006:$AQ$1006,0)), HYPERLINK("#",""), HYPERLINK(CONCATENATE("#metadata!", ADDRESS(INDEX($W$2:$W$1001,MATCH(ROWS($U$2:U494),$U$2:$U$1001,0),0), INDEX($AB$1004:$AQ$1004,1,MATCH(COLUMNS($AB$1006:AG1006),$AB$1006:$AQ$1006,0)))),"Fix")))</f>
        <v>0</v>
      </c>
      <c r="H494" s="4">
        <f>IF(OR(INDEX($V$2:$V$1001,MATCH(ROWS($U$2:U494),$U$2:$U$1001,0),1)&gt;=100000,INDEX($AB$1005:$AQ$1005,1,MATCH(COLUMNS($AB$1006:AH1006),$AB$1006:$AQ$1006,0))&gt;=100000), " ",IF(INDEX($AB$2:$AQ$1001,MATCH(ROWS($U$2:U494),$U$2:$U$1001,0),MATCH(COLUMNS($AB$1006:AH1006),$AB$1006:$AQ$1006,0)), HYPERLINK("#",""), HYPERLINK(CONCATENATE("#metadata!", ADDRESS(INDEX($W$2:$W$1001,MATCH(ROWS($U$2:U494),$U$2:$U$1001,0),0), INDEX($AB$1004:$AQ$1004,1,MATCH(COLUMNS($AB$1006:AH1006),$AB$1006:$AQ$1006,0)))),"Fix")))</f>
        <v>0</v>
      </c>
      <c r="I494" s="4">
        <f>IF(OR(INDEX($V$2:$V$1001,MATCH(ROWS($U$2:U494),$U$2:$U$1001,0),1)&gt;=100000,INDEX($AB$1005:$AQ$1005,1,MATCH(COLUMNS($AB$1006:AI1006),$AB$1006:$AQ$1006,0))&gt;=100000), " ",IF(INDEX($AB$2:$AQ$1001,MATCH(ROWS($U$2:U494),$U$2:$U$1001,0),MATCH(COLUMNS($AB$1006:AI1006),$AB$1006:$AQ$1006,0)), HYPERLINK("#",""), HYPERLINK(CONCATENATE("#metadata!", ADDRESS(INDEX($W$2:$W$1001,MATCH(ROWS($U$2:U494),$U$2:$U$1001,0),0), INDEX($AB$1004:$AQ$1004,1,MATCH(COLUMNS($AB$1006:AI1006),$AB$1006:$AQ$1006,0)))),"Fix")))</f>
        <v>0</v>
      </c>
      <c r="J494" s="4">
        <f>IF(OR(INDEX($V$2:$V$1001,MATCH(ROWS($U$2:U494),$U$2:$U$1001,0),1)&gt;=100000,INDEX($AB$1005:$AQ$1005,1,MATCH(COLUMNS($AB$1006:AJ1006),$AB$1006:$AQ$1006,0))&gt;=100000), " ",IF(INDEX($AB$2:$AQ$1001,MATCH(ROWS($U$2:U494),$U$2:$U$1001,0),MATCH(COLUMNS($AB$1006:AJ1006),$AB$1006:$AQ$1006,0)), HYPERLINK("#",""), HYPERLINK(CONCATENATE("#metadata!", ADDRESS(INDEX($W$2:$W$1001,MATCH(ROWS($U$2:U494),$U$2:$U$1001,0),0), INDEX($AB$1004:$AQ$1004,1,MATCH(COLUMNS($AB$1006:AJ1006),$AB$1006:$AQ$1006,0)))),"Fix")))</f>
        <v>0</v>
      </c>
      <c r="K494" s="4">
        <f>IF(OR(INDEX($V$2:$V$1001,MATCH(ROWS($U$2:U494),$U$2:$U$1001,0),1)&gt;=100000,INDEX($AB$1005:$AQ$1005,1,MATCH(COLUMNS($AB$1006:AK1006),$AB$1006:$AQ$1006,0))&gt;=100000), " ",IF(INDEX($AB$2:$AQ$1001,MATCH(ROWS($U$2:U494),$U$2:$U$1001,0),MATCH(COLUMNS($AB$1006:AK1006),$AB$1006:$AQ$1006,0)), HYPERLINK("#",""), HYPERLINK(CONCATENATE("#metadata!", ADDRESS(INDEX($W$2:$W$1001,MATCH(ROWS($U$2:U494),$U$2:$U$1001,0),0), INDEX($AB$1004:$AQ$1004,1,MATCH(COLUMNS($AB$1006:AK1006),$AB$1006:$AQ$1006,0)))),"Fix")))</f>
        <v>0</v>
      </c>
      <c r="L494" s="4">
        <f>IF(OR(INDEX($V$2:$V$1001,MATCH(ROWS($U$2:U494),$U$2:$U$1001,0),1)&gt;=100000,INDEX($AB$1005:$AQ$1005,1,MATCH(COLUMNS($AB$1006:AL1006),$AB$1006:$AQ$1006,0))&gt;=100000), " ",IF(INDEX($AB$2:$AQ$1001,MATCH(ROWS($U$2:U494),$U$2:$U$1001,0),MATCH(COLUMNS($AB$1006:AL1006),$AB$1006:$AQ$1006,0)), HYPERLINK("#",""), HYPERLINK(CONCATENATE("#metadata!", ADDRESS(INDEX($W$2:$W$1001,MATCH(ROWS($U$2:U494),$U$2:$U$1001,0),0), INDEX($AB$1004:$AQ$1004,1,MATCH(COLUMNS($AB$1006:AL1006),$AB$1006:$AQ$1006,0)))),"Fix")))</f>
        <v>0</v>
      </c>
      <c r="M494" s="4">
        <f>IF(OR(INDEX($V$2:$V$1001,MATCH(ROWS($U$2:U494),$U$2:$U$1001,0),1)&gt;=100000,INDEX($AB$1005:$AQ$1005,1,MATCH(COLUMNS($AB$1006:AM1006),$AB$1006:$AQ$1006,0))&gt;=100000), " ",IF(INDEX($AB$2:$AQ$1001,MATCH(ROWS($U$2:U494),$U$2:$U$1001,0),MATCH(COLUMNS($AB$1006:AM1006),$AB$1006:$AQ$1006,0)), HYPERLINK("#",""), HYPERLINK(CONCATENATE("#metadata!", ADDRESS(INDEX($W$2:$W$1001,MATCH(ROWS($U$2:U494),$U$2:$U$1001,0),0), INDEX($AB$1004:$AQ$1004,1,MATCH(COLUMNS($AB$1006:AM1006),$AB$1006:$AQ$1006,0)))),"Fix")))</f>
        <v>0</v>
      </c>
      <c r="N494" s="4">
        <f>IF(OR(INDEX($V$2:$V$1001,MATCH(ROWS($U$2:U494),$U$2:$U$1001,0),1)&gt;=100000,INDEX($AB$1005:$AQ$1005,1,MATCH(COLUMNS($AB$1006:AN1006),$AB$1006:$AQ$1006,0))&gt;=100000), " ",IF(INDEX($AB$2:$AQ$1001,MATCH(ROWS($U$2:U494),$U$2:$U$1001,0),MATCH(COLUMNS($AB$1006:AN1006),$AB$1006:$AQ$1006,0)), HYPERLINK("#",""), HYPERLINK(CONCATENATE("#metadata!", ADDRESS(INDEX($W$2:$W$1001,MATCH(ROWS($U$2:U494),$U$2:$U$1001,0),0), INDEX($AB$1004:$AQ$1004,1,MATCH(COLUMNS($AB$1006:AN1006),$AB$1006:$AQ$1006,0)))),"Fix")))</f>
        <v>0</v>
      </c>
      <c r="O494" s="4">
        <f>IF(OR(INDEX($V$2:$V$1001,MATCH(ROWS($U$2:U494),$U$2:$U$1001,0),1)&gt;=100000,INDEX($AB$1005:$AQ$1005,1,MATCH(COLUMNS($AB$1006:AO1006),$AB$1006:$AQ$1006,0))&gt;=100000), " ",IF(INDEX($AB$2:$AQ$1001,MATCH(ROWS($U$2:U494),$U$2:$U$1001,0),MATCH(COLUMNS($AB$1006:AO1006),$AB$1006:$AQ$1006,0)), HYPERLINK("#",""), HYPERLINK(CONCATENATE("#metadata!", ADDRESS(INDEX($W$2:$W$1001,MATCH(ROWS($U$2:U494),$U$2:$U$1001,0),0), INDEX($AB$1004:$AQ$1004,1,MATCH(COLUMNS($AB$1006:AO1006),$AB$1006:$AQ$1006,0)))),"Fix")))</f>
        <v>0</v>
      </c>
      <c r="P494" s="4">
        <f>IF(OR(INDEX($V$2:$V$1001,MATCH(ROWS($U$2:U494),$U$2:$U$1001,0),1)&gt;=100000,INDEX($AB$1005:$AQ$1005,1,MATCH(COLUMNS($AB$1006:AP1006),$AB$1006:$AQ$1006,0))&gt;=100000), " ",IF(INDEX($AB$2:$AQ$1001,MATCH(ROWS($U$2:U494),$U$2:$U$1001,0),MATCH(COLUMNS($AB$1006:AP1006),$AB$1006:$AQ$1006,0)), HYPERLINK("#",""), HYPERLINK(CONCATENATE("#metadata!", ADDRESS(INDEX($W$2:$W$1001,MATCH(ROWS($U$2:U494),$U$2:$U$1001,0),0), INDEX($AB$1004:$AQ$1004,1,MATCH(COLUMNS($AB$1006:AP1006),$AB$1006:$AQ$1006,0)))),"Fix")))</f>
        <v>0</v>
      </c>
      <c r="Q494" s="4">
        <f>IF(OR(INDEX($V$2:$V$1001,MATCH(ROWS($U$2:U494),$U$2:$U$1001,0),1)&gt;=100000,INDEX($AB$1005:$AQ$1005,1,MATCH(COLUMNS($AB$1006:AQ1006),$AB$1006:$AQ$1006,0))&gt;=100000), " ",IF(INDEX($AB$2:$AQ$1001,MATCH(ROWS($U$2:U494),$U$2:$U$1001,0),MATCH(COLUMNS($AB$1006:AQ1006),$AB$1006:$AQ$1006,0)), HYPERLINK("#",""), HYPERLINK(CONCATENATE("#metadata!", ADDRESS(INDEX($W$2:$W$1001,MATCH(ROWS($U$2:U494),$U$2:$U$1001,0),0), INDEX($AB$1004:$AQ$1004,1,MATCH(COLUMNS($AB$1006:AQ1006),$AB$1006:$AQ$1006,0)))),"Fix")))</f>
        <v>0</v>
      </c>
      <c r="U494">
        <v>0</v>
      </c>
      <c r="V494">
        <v>0</v>
      </c>
      <c r="W494">
        <v>0</v>
      </c>
      <c r="X494">
        <f>IF(Y494,TRUE,AND(AB494:AQ494))</f>
        <v>0</v>
      </c>
      <c r="Y494">
        <f>COUNTBLANK(metadata!B494:Q494)=COLUMNS(metadata!B494:Q494)</f>
        <v>0</v>
      </c>
      <c r="Z494">
        <v>0</v>
      </c>
      <c r="AB494">
        <f>AND(IF(metadata!B494="",FALSE,TRUE),COUNTIF(metadata!B:B, metadata!B494) = 1,NOT(ISERROR(SUMPRODUCT(SEARCH(MID(metadata!B494,ROW(INDIRECT("1:"&amp;LEN(metadata!B494))), 1),"0123456789abcdefghijklmnopqrstuvwxyzABCDEFGHIJKLMNOPQRSTUVWXYZ.")))))</f>
        <v>0</v>
      </c>
      <c r="AC494">
        <f>OR(AND(IF(metadata!C494="",FALSE,TRUE),OR(exact(metadata!C494,"missing: not collected"),exact(metadata!C494,"missing: not provided"),exact(metadata!C494,"missing: restricted access"))),AND(IF(metadata!C494="",FALSE,TRUE),AND(AND(IFERROR(INT(LEFT(metadata!C494,4))&gt;1900,FALSE),IFERROR(INT(LEFT(metadata!C494,4))&lt;=YEAR(NOW()),FALSE)), OR(MID(metadata!C494,5,1)="", AND(AND(MID(metadata!C494,5,1)="-",IFERROR(INT(MID(metadata!C494,6,1))&gt;=0,FALSE),IFERROR(INT(MID(metadata!C494,6,1))&lt;=1,FALSE),NOT(MID(metadata!C494,7,1)=""),IFERROR(INT(MID(metadata!C494,6,2))&gt;=1,FALSE),IFERROR(INT(MID(metadata!C494,6,2))&lt;=12,FALSE)), OR(MID(metadata!C494,8,1)="", AND(AND(MID(metadata!C494,8,1)="-",IFERROR(INT(MID(metadata!C494,9,1))&gt;=0,FALSE),IFERROR(INT(MID(metadata!C494,9,1))&lt;=3,FALSE),NOT(MID(metadata!C494,10,1)=""),IFERROR(INT(MID(metadata!C494,9,2))&gt;=1,FALSE),IFERROR(INT(MID(metadata!C494,9,2))&lt;=31,FALSE)), OR(MID(metadata!C494,11,1)="", AND(AND(MID(metadata!C494,11,1)=" ",IFERROR(INT(MID(metadata!C494,12,1))&gt;=0,FALSE),IFERROR(INT(MID(metadata!C494,12,1))&lt;=2,FALSE),NOT(MID(metadata!C494,13,1)=""),IFERROR(INT(MID(metadata!C494,12,2))&gt;=0,FALSE),IFERROR(INT(MID(metadata!C494,12,2))&lt;=23,FALSE)), OR(MID(metadata!C494,14,1)="", AND(AND(MID(metadata!C494,14,1)=":",IFERROR(INT(MID(metadata!C494,15,1))&gt;=0,FALSE),IFERROR(INT(MID(metadata!C494,15,1))&lt;=5,FALSE),NOT(MID(metadata!C494,16,1)=""),IFERROR(INT(MID(metadata!C494,15,2))&gt;=0,FALSE),IFERROR(INT(MID(metadata!C494,15,2))&lt;=59,FALSE)), OR(MID(metadata!C494,17,1)="", AND(AND(MID(metadata!C494,17,1)=":",IFERROR(INT(MID(metadata!C494,18,1))&gt;=0,FALSE),IFERROR(INT(MID(metadata!C494,18,1))&lt;=5,FALSE),NOT(MID(metadata!C494,19,1)=""),IFERROR(INT(MID(metadata!C494,18,2))&gt;=0,FALSE),IFERROR(INT(MID(metadata!C494,18,2))&lt;=59,FALSE)), LEN(metadata!C494)&lt;=19)))))))))))))</f>
        <v>0</v>
      </c>
      <c r="AD494">
        <f>IF(metadata!D494="",FALSE,TRUE)</f>
        <v>0</v>
      </c>
      <c r="AE494">
        <f>OR(AND(IF(metadata!E494="",FALSE,TRUE),OR(exact(metadata!E494,"missing: not collected"),exact(metadata!E494,"missing: not provided"))),AND(IF(metadata!E494="",FALSE,TRUE),OR(exact(metadata!E494,"TRUE"),exact(metadata!E494,"FALSE"))))</f>
        <v>0</v>
      </c>
      <c r="AF494">
        <f>IF(metadata!F494="",FALSE,TRUE)</f>
        <v>0</v>
      </c>
      <c r="AG494">
        <f>IF(metadata!G494="",FALSE,TRUE)</f>
        <v>0</v>
      </c>
      <c r="AH494">
        <f>IF(metadata!H494="",FALSE,TRUE)</f>
        <v>0</v>
      </c>
      <c r="AI494">
        <f>OR(AND(IF(metadata!I494="",FALSE,TRUE),OR(exact(metadata!I494,"missing: not collected"),exact(metadata!I494,"missing: not provided"),exact(metadata!I494,"missing: restricted access"))),AND(IF(metadata!I494="",FALSE,TRUE),OR(exact(metadata!I494,"air"),exact(metadata!I494,"built environment"),exact(metadata!I494,"host-associated"),exact(metadata!I494,"human-associated"),exact(metadata!I494,"human-skin"),exact(metadata!I494,"human-oral"),exact(metadata!I494,"human-gut"),exact(metadata!I494,"human-vaginal"),exact(metadata!I494,"microbial mat/biofilm"),exact(metadata!I494,"misc environment"),exact(metadata!I494,"plant-associated"),exact(metadata!I494,"sediment"),exact(metadata!I494,"soil"),exact(metadata!I494,"wastewater/sludge"),exact(metadata!I494,"water"))))</f>
        <v>0</v>
      </c>
      <c r="AJ494">
        <f>IF(metadata!J494="",FALSE,TRUE)</f>
        <v>0</v>
      </c>
      <c r="AK494">
        <f>OR(AND(IF(metadata!K494="",FALSE,TRUE),OR(exact(metadata!K494,"missing: not collected"),exact(metadata!K494,"missing: not provided"),exact(metadata!K494,"missing: restricted access"))),AND(IF(metadata!K494="",FALSE,ISNUMBER(VALUE(metadata!K494))),metadata!K494&gt;=-90.00,metadata!K494&lt;=90.00))</f>
        <v>0</v>
      </c>
      <c r="AL494">
        <f>OR(AND(IF(metadata!L494="",FALSE,TRUE),OR(exact(metadata!L494,"missing: not collected"),exact(metadata!L494,"missing: not provided"),exact(metadata!L494,"missing: restricted access"))),AND(IF(metadata!L494="",FALSE,ISNUMBER(VALUE(metadata!L494))),metadata!L494&gt;=-180.00,metadata!L494&lt;=180.00))</f>
        <v>0</v>
      </c>
      <c r="AM494">
        <f>IF(metadata!M494="",FALSE,TRUE)</f>
        <v>0</v>
      </c>
      <c r="AN494">
        <f>OR(AND(IF(metadata!N494="",FALSE,TRUE),OR(exact(metadata!N494,"missing: not collected"),exact(metadata!N494,"missing: not provided"),exact(metadata!N494,"missing: restricted access"))),AND(IF(metadata!N494="",FALSE,TRUE),OR(exact(metadata!N494,"TRUE"),exact(metadata!N494,"FALSE"))))</f>
        <v>0</v>
      </c>
      <c r="AO494">
        <f>IF(metadata!O494="",FALSE,TRUE)</f>
        <v>0</v>
      </c>
      <c r="AP494">
        <f>OR(AND(IF(metadata!P494="",FALSE,TRUE),OR(exact(metadata!P494,"missing: not collected"),exact(metadata!P494,"missing: not provided"))),AND(IF(metadata!P494="",FALSE,IF(ISERROR(INT(metadata!P494)),FALSE,INT(metadata!P494)=metadata!P494)),metadata!P494&gt;0))</f>
        <v>0</v>
      </c>
      <c r="AQ494">
        <f>IF(metadata!Q494="",FALSE,TRUE)</f>
        <v>0</v>
      </c>
    </row>
    <row r="495" spans="1:43">
      <c r="A495" s="5">
        <f>IF(B495=" "," ",HYPERLINK(CONCATENATE("#metadata!",ADDRESS(INDEX($W$2:$W$1001,MATCH(ROWS($U$2:U495),$U$2:$U$1001,0),0),1)),INDEX($Z$2:$Z$1001,MATCH(ROWS($U$2:U495),$U$2:$U$1001,0),0)))</f>
        <v>0</v>
      </c>
      <c r="B495" s="4">
        <f>IF(OR(INDEX($V$2:$V$1001,MATCH(ROWS($U$2:U495),$U$2:$U$1001,0),1)&gt;=100000,INDEX($AB$1005:$AQ$1005,1,MATCH(COLUMNS($AB$1006:AB1006),$AB$1006:$AQ$1006,0))&gt;=100000), " ",IF(INDEX($AB$2:$AQ$1001,MATCH(ROWS($U$2:U495),$U$2:$U$1001,0),MATCH(COLUMNS($AB$1006:AB1006),$AB$1006:$AQ$1006,0)), HYPERLINK("#",""), HYPERLINK(CONCATENATE("#metadata!", ADDRESS(INDEX($W$2:$W$1001,MATCH(ROWS($U$2:U495),$U$2:$U$1001,0),0), INDEX($AB$1004:$AQ$1004,1,MATCH(COLUMNS($AB$1006:AB1006),$AB$1006:$AQ$1006,0)))),"Fix")))</f>
        <v>0</v>
      </c>
      <c r="C495" s="4">
        <f>IF(OR(INDEX($V$2:$V$1001,MATCH(ROWS($U$2:U495),$U$2:$U$1001,0),1)&gt;=100000,INDEX($AB$1005:$AQ$1005,1,MATCH(COLUMNS($AB$1006:AC1006),$AB$1006:$AQ$1006,0))&gt;=100000), " ",IF(INDEX($AB$2:$AQ$1001,MATCH(ROWS($U$2:U495),$U$2:$U$1001,0),MATCH(COLUMNS($AB$1006:AC1006),$AB$1006:$AQ$1006,0)), HYPERLINK("#",""), HYPERLINK(CONCATENATE("#metadata!", ADDRESS(INDEX($W$2:$W$1001,MATCH(ROWS($U$2:U495),$U$2:$U$1001,0),0), INDEX($AB$1004:$AQ$1004,1,MATCH(COLUMNS($AB$1006:AC1006),$AB$1006:$AQ$1006,0)))),"Fix")))</f>
        <v>0</v>
      </c>
      <c r="D495" s="4">
        <f>IF(OR(INDEX($V$2:$V$1001,MATCH(ROWS($U$2:U495),$U$2:$U$1001,0),1)&gt;=100000,INDEX($AB$1005:$AQ$1005,1,MATCH(COLUMNS($AB$1006:AD1006),$AB$1006:$AQ$1006,0))&gt;=100000), " ",IF(INDEX($AB$2:$AQ$1001,MATCH(ROWS($U$2:U495),$U$2:$U$1001,0),MATCH(COLUMNS($AB$1006:AD1006),$AB$1006:$AQ$1006,0)), HYPERLINK("#",""), HYPERLINK(CONCATENATE("#metadata!", ADDRESS(INDEX($W$2:$W$1001,MATCH(ROWS($U$2:U495),$U$2:$U$1001,0),0), INDEX($AB$1004:$AQ$1004,1,MATCH(COLUMNS($AB$1006:AD1006),$AB$1006:$AQ$1006,0)))),"Fix")))</f>
        <v>0</v>
      </c>
      <c r="E495" s="4">
        <f>IF(OR(INDEX($V$2:$V$1001,MATCH(ROWS($U$2:U495),$U$2:$U$1001,0),1)&gt;=100000,INDEX($AB$1005:$AQ$1005,1,MATCH(COLUMNS($AB$1006:AE1006),$AB$1006:$AQ$1006,0))&gt;=100000), " ",IF(INDEX($AB$2:$AQ$1001,MATCH(ROWS($U$2:U495),$U$2:$U$1001,0),MATCH(COLUMNS($AB$1006:AE1006),$AB$1006:$AQ$1006,0)), HYPERLINK("#",""), HYPERLINK(CONCATENATE("#metadata!", ADDRESS(INDEX($W$2:$W$1001,MATCH(ROWS($U$2:U495),$U$2:$U$1001,0),0), INDEX($AB$1004:$AQ$1004,1,MATCH(COLUMNS($AB$1006:AE1006),$AB$1006:$AQ$1006,0)))),"Fix")))</f>
        <v>0</v>
      </c>
      <c r="F495" s="4">
        <f>IF(OR(INDEX($V$2:$V$1001,MATCH(ROWS($U$2:U495),$U$2:$U$1001,0),1)&gt;=100000,INDEX($AB$1005:$AQ$1005,1,MATCH(COLUMNS($AB$1006:AF1006),$AB$1006:$AQ$1006,0))&gt;=100000), " ",IF(INDEX($AB$2:$AQ$1001,MATCH(ROWS($U$2:U495),$U$2:$U$1001,0),MATCH(COLUMNS($AB$1006:AF1006),$AB$1006:$AQ$1006,0)), HYPERLINK("#",""), HYPERLINK(CONCATENATE("#metadata!", ADDRESS(INDEX($W$2:$W$1001,MATCH(ROWS($U$2:U495),$U$2:$U$1001,0),0), INDEX($AB$1004:$AQ$1004,1,MATCH(COLUMNS($AB$1006:AF1006),$AB$1006:$AQ$1006,0)))),"Fix")))</f>
        <v>0</v>
      </c>
      <c r="G495" s="4">
        <f>IF(OR(INDEX($V$2:$V$1001,MATCH(ROWS($U$2:U495),$U$2:$U$1001,0),1)&gt;=100000,INDEX($AB$1005:$AQ$1005,1,MATCH(COLUMNS($AB$1006:AG1006),$AB$1006:$AQ$1006,0))&gt;=100000), " ",IF(INDEX($AB$2:$AQ$1001,MATCH(ROWS($U$2:U495),$U$2:$U$1001,0),MATCH(COLUMNS($AB$1006:AG1006),$AB$1006:$AQ$1006,0)), HYPERLINK("#",""), HYPERLINK(CONCATENATE("#metadata!", ADDRESS(INDEX($W$2:$W$1001,MATCH(ROWS($U$2:U495),$U$2:$U$1001,0),0), INDEX($AB$1004:$AQ$1004,1,MATCH(COLUMNS($AB$1006:AG1006),$AB$1006:$AQ$1006,0)))),"Fix")))</f>
        <v>0</v>
      </c>
      <c r="H495" s="4">
        <f>IF(OR(INDEX($V$2:$V$1001,MATCH(ROWS($U$2:U495),$U$2:$U$1001,0),1)&gt;=100000,INDEX($AB$1005:$AQ$1005,1,MATCH(COLUMNS($AB$1006:AH1006),$AB$1006:$AQ$1006,0))&gt;=100000), " ",IF(INDEX($AB$2:$AQ$1001,MATCH(ROWS($U$2:U495),$U$2:$U$1001,0),MATCH(COLUMNS($AB$1006:AH1006),$AB$1006:$AQ$1006,0)), HYPERLINK("#",""), HYPERLINK(CONCATENATE("#metadata!", ADDRESS(INDEX($W$2:$W$1001,MATCH(ROWS($U$2:U495),$U$2:$U$1001,0),0), INDEX($AB$1004:$AQ$1004,1,MATCH(COLUMNS($AB$1006:AH1006),$AB$1006:$AQ$1006,0)))),"Fix")))</f>
        <v>0</v>
      </c>
      <c r="I495" s="4">
        <f>IF(OR(INDEX($V$2:$V$1001,MATCH(ROWS($U$2:U495),$U$2:$U$1001,0),1)&gt;=100000,INDEX($AB$1005:$AQ$1005,1,MATCH(COLUMNS($AB$1006:AI1006),$AB$1006:$AQ$1006,0))&gt;=100000), " ",IF(INDEX($AB$2:$AQ$1001,MATCH(ROWS($U$2:U495),$U$2:$U$1001,0),MATCH(COLUMNS($AB$1006:AI1006),$AB$1006:$AQ$1006,0)), HYPERLINK("#",""), HYPERLINK(CONCATENATE("#metadata!", ADDRESS(INDEX($W$2:$W$1001,MATCH(ROWS($U$2:U495),$U$2:$U$1001,0),0), INDEX($AB$1004:$AQ$1004,1,MATCH(COLUMNS($AB$1006:AI1006),$AB$1006:$AQ$1006,0)))),"Fix")))</f>
        <v>0</v>
      </c>
      <c r="J495" s="4">
        <f>IF(OR(INDEX($V$2:$V$1001,MATCH(ROWS($U$2:U495),$U$2:$U$1001,0),1)&gt;=100000,INDEX($AB$1005:$AQ$1005,1,MATCH(COLUMNS($AB$1006:AJ1006),$AB$1006:$AQ$1006,0))&gt;=100000), " ",IF(INDEX($AB$2:$AQ$1001,MATCH(ROWS($U$2:U495),$U$2:$U$1001,0),MATCH(COLUMNS($AB$1006:AJ1006),$AB$1006:$AQ$1006,0)), HYPERLINK("#",""), HYPERLINK(CONCATENATE("#metadata!", ADDRESS(INDEX($W$2:$W$1001,MATCH(ROWS($U$2:U495),$U$2:$U$1001,0),0), INDEX($AB$1004:$AQ$1004,1,MATCH(COLUMNS($AB$1006:AJ1006),$AB$1006:$AQ$1006,0)))),"Fix")))</f>
        <v>0</v>
      </c>
      <c r="K495" s="4">
        <f>IF(OR(INDEX($V$2:$V$1001,MATCH(ROWS($U$2:U495),$U$2:$U$1001,0),1)&gt;=100000,INDEX($AB$1005:$AQ$1005,1,MATCH(COLUMNS($AB$1006:AK1006),$AB$1006:$AQ$1006,0))&gt;=100000), " ",IF(INDEX($AB$2:$AQ$1001,MATCH(ROWS($U$2:U495),$U$2:$U$1001,0),MATCH(COLUMNS($AB$1006:AK1006),$AB$1006:$AQ$1006,0)), HYPERLINK("#",""), HYPERLINK(CONCATENATE("#metadata!", ADDRESS(INDEX($W$2:$W$1001,MATCH(ROWS($U$2:U495),$U$2:$U$1001,0),0), INDEX($AB$1004:$AQ$1004,1,MATCH(COLUMNS($AB$1006:AK1006),$AB$1006:$AQ$1006,0)))),"Fix")))</f>
        <v>0</v>
      </c>
      <c r="L495" s="4">
        <f>IF(OR(INDEX($V$2:$V$1001,MATCH(ROWS($U$2:U495),$U$2:$U$1001,0),1)&gt;=100000,INDEX($AB$1005:$AQ$1005,1,MATCH(COLUMNS($AB$1006:AL1006),$AB$1006:$AQ$1006,0))&gt;=100000), " ",IF(INDEX($AB$2:$AQ$1001,MATCH(ROWS($U$2:U495),$U$2:$U$1001,0),MATCH(COLUMNS($AB$1006:AL1006),$AB$1006:$AQ$1006,0)), HYPERLINK("#",""), HYPERLINK(CONCATENATE("#metadata!", ADDRESS(INDEX($W$2:$W$1001,MATCH(ROWS($U$2:U495),$U$2:$U$1001,0),0), INDEX($AB$1004:$AQ$1004,1,MATCH(COLUMNS($AB$1006:AL1006),$AB$1006:$AQ$1006,0)))),"Fix")))</f>
        <v>0</v>
      </c>
      <c r="M495" s="4">
        <f>IF(OR(INDEX($V$2:$V$1001,MATCH(ROWS($U$2:U495),$U$2:$U$1001,0),1)&gt;=100000,INDEX($AB$1005:$AQ$1005,1,MATCH(COLUMNS($AB$1006:AM1006),$AB$1006:$AQ$1006,0))&gt;=100000), " ",IF(INDEX($AB$2:$AQ$1001,MATCH(ROWS($U$2:U495),$U$2:$U$1001,0),MATCH(COLUMNS($AB$1006:AM1006),$AB$1006:$AQ$1006,0)), HYPERLINK("#",""), HYPERLINK(CONCATENATE("#metadata!", ADDRESS(INDEX($W$2:$W$1001,MATCH(ROWS($U$2:U495),$U$2:$U$1001,0),0), INDEX($AB$1004:$AQ$1004,1,MATCH(COLUMNS($AB$1006:AM1006),$AB$1006:$AQ$1006,0)))),"Fix")))</f>
        <v>0</v>
      </c>
      <c r="N495" s="4">
        <f>IF(OR(INDEX($V$2:$V$1001,MATCH(ROWS($U$2:U495),$U$2:$U$1001,0),1)&gt;=100000,INDEX($AB$1005:$AQ$1005,1,MATCH(COLUMNS($AB$1006:AN1006),$AB$1006:$AQ$1006,0))&gt;=100000), " ",IF(INDEX($AB$2:$AQ$1001,MATCH(ROWS($U$2:U495),$U$2:$U$1001,0),MATCH(COLUMNS($AB$1006:AN1006),$AB$1006:$AQ$1006,0)), HYPERLINK("#",""), HYPERLINK(CONCATENATE("#metadata!", ADDRESS(INDEX($W$2:$W$1001,MATCH(ROWS($U$2:U495),$U$2:$U$1001,0),0), INDEX($AB$1004:$AQ$1004,1,MATCH(COLUMNS($AB$1006:AN1006),$AB$1006:$AQ$1006,0)))),"Fix")))</f>
        <v>0</v>
      </c>
      <c r="O495" s="4">
        <f>IF(OR(INDEX($V$2:$V$1001,MATCH(ROWS($U$2:U495),$U$2:$U$1001,0),1)&gt;=100000,INDEX($AB$1005:$AQ$1005,1,MATCH(COLUMNS($AB$1006:AO1006),$AB$1006:$AQ$1006,0))&gt;=100000), " ",IF(INDEX($AB$2:$AQ$1001,MATCH(ROWS($U$2:U495),$U$2:$U$1001,0),MATCH(COLUMNS($AB$1006:AO1006),$AB$1006:$AQ$1006,0)), HYPERLINK("#",""), HYPERLINK(CONCATENATE("#metadata!", ADDRESS(INDEX($W$2:$W$1001,MATCH(ROWS($U$2:U495),$U$2:$U$1001,0),0), INDEX($AB$1004:$AQ$1004,1,MATCH(COLUMNS($AB$1006:AO1006),$AB$1006:$AQ$1006,0)))),"Fix")))</f>
        <v>0</v>
      </c>
      <c r="P495" s="4">
        <f>IF(OR(INDEX($V$2:$V$1001,MATCH(ROWS($U$2:U495),$U$2:$U$1001,0),1)&gt;=100000,INDEX($AB$1005:$AQ$1005,1,MATCH(COLUMNS($AB$1006:AP1006),$AB$1006:$AQ$1006,0))&gt;=100000), " ",IF(INDEX($AB$2:$AQ$1001,MATCH(ROWS($U$2:U495),$U$2:$U$1001,0),MATCH(COLUMNS($AB$1006:AP1006),$AB$1006:$AQ$1006,0)), HYPERLINK("#",""), HYPERLINK(CONCATENATE("#metadata!", ADDRESS(INDEX($W$2:$W$1001,MATCH(ROWS($U$2:U495),$U$2:$U$1001,0),0), INDEX($AB$1004:$AQ$1004,1,MATCH(COLUMNS($AB$1006:AP1006),$AB$1006:$AQ$1006,0)))),"Fix")))</f>
        <v>0</v>
      </c>
      <c r="Q495" s="4">
        <f>IF(OR(INDEX($V$2:$V$1001,MATCH(ROWS($U$2:U495),$U$2:$U$1001,0),1)&gt;=100000,INDEX($AB$1005:$AQ$1005,1,MATCH(COLUMNS($AB$1006:AQ1006),$AB$1006:$AQ$1006,0))&gt;=100000), " ",IF(INDEX($AB$2:$AQ$1001,MATCH(ROWS($U$2:U495),$U$2:$U$1001,0),MATCH(COLUMNS($AB$1006:AQ1006),$AB$1006:$AQ$1006,0)), HYPERLINK("#",""), HYPERLINK(CONCATENATE("#metadata!", ADDRESS(INDEX($W$2:$W$1001,MATCH(ROWS($U$2:U495),$U$2:$U$1001,0),0), INDEX($AB$1004:$AQ$1004,1,MATCH(COLUMNS($AB$1006:AQ1006),$AB$1006:$AQ$1006,0)))),"Fix")))</f>
        <v>0</v>
      </c>
      <c r="U495">
        <v>0</v>
      </c>
      <c r="V495">
        <v>0</v>
      </c>
      <c r="W495">
        <v>0</v>
      </c>
      <c r="X495">
        <f>IF(Y495,TRUE,AND(AB495:AQ495))</f>
        <v>0</v>
      </c>
      <c r="Y495">
        <f>COUNTBLANK(metadata!B495:Q495)=COLUMNS(metadata!B495:Q495)</f>
        <v>0</v>
      </c>
      <c r="Z495">
        <v>0</v>
      </c>
      <c r="AB495">
        <f>AND(IF(metadata!B495="",FALSE,TRUE),COUNTIF(metadata!B:B, metadata!B495) = 1,NOT(ISERROR(SUMPRODUCT(SEARCH(MID(metadata!B495,ROW(INDIRECT("1:"&amp;LEN(metadata!B495))), 1),"0123456789abcdefghijklmnopqrstuvwxyzABCDEFGHIJKLMNOPQRSTUVWXYZ.")))))</f>
        <v>0</v>
      </c>
      <c r="AC495">
        <f>OR(AND(IF(metadata!C495="",FALSE,TRUE),OR(exact(metadata!C495,"missing: not collected"),exact(metadata!C495,"missing: not provided"),exact(metadata!C495,"missing: restricted access"))),AND(IF(metadata!C495="",FALSE,TRUE),AND(AND(IFERROR(INT(LEFT(metadata!C495,4))&gt;1900,FALSE),IFERROR(INT(LEFT(metadata!C495,4))&lt;=YEAR(NOW()),FALSE)), OR(MID(metadata!C495,5,1)="", AND(AND(MID(metadata!C495,5,1)="-",IFERROR(INT(MID(metadata!C495,6,1))&gt;=0,FALSE),IFERROR(INT(MID(metadata!C495,6,1))&lt;=1,FALSE),NOT(MID(metadata!C495,7,1)=""),IFERROR(INT(MID(metadata!C495,6,2))&gt;=1,FALSE),IFERROR(INT(MID(metadata!C495,6,2))&lt;=12,FALSE)), OR(MID(metadata!C495,8,1)="", AND(AND(MID(metadata!C495,8,1)="-",IFERROR(INT(MID(metadata!C495,9,1))&gt;=0,FALSE),IFERROR(INT(MID(metadata!C495,9,1))&lt;=3,FALSE),NOT(MID(metadata!C495,10,1)=""),IFERROR(INT(MID(metadata!C495,9,2))&gt;=1,FALSE),IFERROR(INT(MID(metadata!C495,9,2))&lt;=31,FALSE)), OR(MID(metadata!C495,11,1)="", AND(AND(MID(metadata!C495,11,1)=" ",IFERROR(INT(MID(metadata!C495,12,1))&gt;=0,FALSE),IFERROR(INT(MID(metadata!C495,12,1))&lt;=2,FALSE),NOT(MID(metadata!C495,13,1)=""),IFERROR(INT(MID(metadata!C495,12,2))&gt;=0,FALSE),IFERROR(INT(MID(metadata!C495,12,2))&lt;=23,FALSE)), OR(MID(metadata!C495,14,1)="", AND(AND(MID(metadata!C495,14,1)=":",IFERROR(INT(MID(metadata!C495,15,1))&gt;=0,FALSE),IFERROR(INT(MID(metadata!C495,15,1))&lt;=5,FALSE),NOT(MID(metadata!C495,16,1)=""),IFERROR(INT(MID(metadata!C495,15,2))&gt;=0,FALSE),IFERROR(INT(MID(metadata!C495,15,2))&lt;=59,FALSE)), OR(MID(metadata!C495,17,1)="", AND(AND(MID(metadata!C495,17,1)=":",IFERROR(INT(MID(metadata!C495,18,1))&gt;=0,FALSE),IFERROR(INT(MID(metadata!C495,18,1))&lt;=5,FALSE),NOT(MID(metadata!C495,19,1)=""),IFERROR(INT(MID(metadata!C495,18,2))&gt;=0,FALSE),IFERROR(INT(MID(metadata!C495,18,2))&lt;=59,FALSE)), LEN(metadata!C495)&lt;=19)))))))))))))</f>
        <v>0</v>
      </c>
      <c r="AD495">
        <f>IF(metadata!D495="",FALSE,TRUE)</f>
        <v>0</v>
      </c>
      <c r="AE495">
        <f>OR(AND(IF(metadata!E495="",FALSE,TRUE),OR(exact(metadata!E495,"missing: not collected"),exact(metadata!E495,"missing: not provided"))),AND(IF(metadata!E495="",FALSE,TRUE),OR(exact(metadata!E495,"TRUE"),exact(metadata!E495,"FALSE"))))</f>
        <v>0</v>
      </c>
      <c r="AF495">
        <f>IF(metadata!F495="",FALSE,TRUE)</f>
        <v>0</v>
      </c>
      <c r="AG495">
        <f>IF(metadata!G495="",FALSE,TRUE)</f>
        <v>0</v>
      </c>
      <c r="AH495">
        <f>IF(metadata!H495="",FALSE,TRUE)</f>
        <v>0</v>
      </c>
      <c r="AI495">
        <f>OR(AND(IF(metadata!I495="",FALSE,TRUE),OR(exact(metadata!I495,"missing: not collected"),exact(metadata!I495,"missing: not provided"),exact(metadata!I495,"missing: restricted access"))),AND(IF(metadata!I495="",FALSE,TRUE),OR(exact(metadata!I495,"air"),exact(metadata!I495,"built environment"),exact(metadata!I495,"host-associated"),exact(metadata!I495,"human-associated"),exact(metadata!I495,"human-skin"),exact(metadata!I495,"human-oral"),exact(metadata!I495,"human-gut"),exact(metadata!I495,"human-vaginal"),exact(metadata!I495,"microbial mat/biofilm"),exact(metadata!I495,"misc environment"),exact(metadata!I495,"plant-associated"),exact(metadata!I495,"sediment"),exact(metadata!I495,"soil"),exact(metadata!I495,"wastewater/sludge"),exact(metadata!I495,"water"))))</f>
        <v>0</v>
      </c>
      <c r="AJ495">
        <f>IF(metadata!J495="",FALSE,TRUE)</f>
        <v>0</v>
      </c>
      <c r="AK495">
        <f>OR(AND(IF(metadata!K495="",FALSE,TRUE),OR(exact(metadata!K495,"missing: not collected"),exact(metadata!K495,"missing: not provided"),exact(metadata!K495,"missing: restricted access"))),AND(IF(metadata!K495="",FALSE,ISNUMBER(VALUE(metadata!K495))),metadata!K495&gt;=-90.00,metadata!K495&lt;=90.00))</f>
        <v>0</v>
      </c>
      <c r="AL495">
        <f>OR(AND(IF(metadata!L495="",FALSE,TRUE),OR(exact(metadata!L495,"missing: not collected"),exact(metadata!L495,"missing: not provided"),exact(metadata!L495,"missing: restricted access"))),AND(IF(metadata!L495="",FALSE,ISNUMBER(VALUE(metadata!L495))),metadata!L495&gt;=-180.00,metadata!L495&lt;=180.00))</f>
        <v>0</v>
      </c>
      <c r="AM495">
        <f>IF(metadata!M495="",FALSE,TRUE)</f>
        <v>0</v>
      </c>
      <c r="AN495">
        <f>OR(AND(IF(metadata!N495="",FALSE,TRUE),OR(exact(metadata!N495,"missing: not collected"),exact(metadata!N495,"missing: not provided"),exact(metadata!N495,"missing: restricted access"))),AND(IF(metadata!N495="",FALSE,TRUE),OR(exact(metadata!N495,"TRUE"),exact(metadata!N495,"FALSE"))))</f>
        <v>0</v>
      </c>
      <c r="AO495">
        <f>IF(metadata!O495="",FALSE,TRUE)</f>
        <v>0</v>
      </c>
      <c r="AP495">
        <f>OR(AND(IF(metadata!P495="",FALSE,TRUE),OR(exact(metadata!P495,"missing: not collected"),exact(metadata!P495,"missing: not provided"))),AND(IF(metadata!P495="",FALSE,IF(ISERROR(INT(metadata!P495)),FALSE,INT(metadata!P495)=metadata!P495)),metadata!P495&gt;0))</f>
        <v>0</v>
      </c>
      <c r="AQ495">
        <f>IF(metadata!Q495="",FALSE,TRUE)</f>
        <v>0</v>
      </c>
    </row>
    <row r="496" spans="1:43">
      <c r="A496" s="5">
        <f>IF(B496=" "," ",HYPERLINK(CONCATENATE("#metadata!",ADDRESS(INDEX($W$2:$W$1001,MATCH(ROWS($U$2:U496),$U$2:$U$1001,0),0),1)),INDEX($Z$2:$Z$1001,MATCH(ROWS($U$2:U496),$U$2:$U$1001,0),0)))</f>
        <v>0</v>
      </c>
      <c r="B496" s="4">
        <f>IF(OR(INDEX($V$2:$V$1001,MATCH(ROWS($U$2:U496),$U$2:$U$1001,0),1)&gt;=100000,INDEX($AB$1005:$AQ$1005,1,MATCH(COLUMNS($AB$1006:AB1006),$AB$1006:$AQ$1006,0))&gt;=100000), " ",IF(INDEX($AB$2:$AQ$1001,MATCH(ROWS($U$2:U496),$U$2:$U$1001,0),MATCH(COLUMNS($AB$1006:AB1006),$AB$1006:$AQ$1006,0)), HYPERLINK("#",""), HYPERLINK(CONCATENATE("#metadata!", ADDRESS(INDEX($W$2:$W$1001,MATCH(ROWS($U$2:U496),$U$2:$U$1001,0),0), INDEX($AB$1004:$AQ$1004,1,MATCH(COLUMNS($AB$1006:AB1006),$AB$1006:$AQ$1006,0)))),"Fix")))</f>
        <v>0</v>
      </c>
      <c r="C496" s="4">
        <f>IF(OR(INDEX($V$2:$V$1001,MATCH(ROWS($U$2:U496),$U$2:$U$1001,0),1)&gt;=100000,INDEX($AB$1005:$AQ$1005,1,MATCH(COLUMNS($AB$1006:AC1006),$AB$1006:$AQ$1006,0))&gt;=100000), " ",IF(INDEX($AB$2:$AQ$1001,MATCH(ROWS($U$2:U496),$U$2:$U$1001,0),MATCH(COLUMNS($AB$1006:AC1006),$AB$1006:$AQ$1006,0)), HYPERLINK("#",""), HYPERLINK(CONCATENATE("#metadata!", ADDRESS(INDEX($W$2:$W$1001,MATCH(ROWS($U$2:U496),$U$2:$U$1001,0),0), INDEX($AB$1004:$AQ$1004,1,MATCH(COLUMNS($AB$1006:AC1006),$AB$1006:$AQ$1006,0)))),"Fix")))</f>
        <v>0</v>
      </c>
      <c r="D496" s="4">
        <f>IF(OR(INDEX($V$2:$V$1001,MATCH(ROWS($U$2:U496),$U$2:$U$1001,0),1)&gt;=100000,INDEX($AB$1005:$AQ$1005,1,MATCH(COLUMNS($AB$1006:AD1006),$AB$1006:$AQ$1006,0))&gt;=100000), " ",IF(INDEX($AB$2:$AQ$1001,MATCH(ROWS($U$2:U496),$U$2:$U$1001,0),MATCH(COLUMNS($AB$1006:AD1006),$AB$1006:$AQ$1006,0)), HYPERLINK("#",""), HYPERLINK(CONCATENATE("#metadata!", ADDRESS(INDEX($W$2:$W$1001,MATCH(ROWS($U$2:U496),$U$2:$U$1001,0),0), INDEX($AB$1004:$AQ$1004,1,MATCH(COLUMNS($AB$1006:AD1006),$AB$1006:$AQ$1006,0)))),"Fix")))</f>
        <v>0</v>
      </c>
      <c r="E496" s="4">
        <f>IF(OR(INDEX($V$2:$V$1001,MATCH(ROWS($U$2:U496),$U$2:$U$1001,0),1)&gt;=100000,INDEX($AB$1005:$AQ$1005,1,MATCH(COLUMNS($AB$1006:AE1006),$AB$1006:$AQ$1006,0))&gt;=100000), " ",IF(INDEX($AB$2:$AQ$1001,MATCH(ROWS($U$2:U496),$U$2:$U$1001,0),MATCH(COLUMNS($AB$1006:AE1006),$AB$1006:$AQ$1006,0)), HYPERLINK("#",""), HYPERLINK(CONCATENATE("#metadata!", ADDRESS(INDEX($W$2:$W$1001,MATCH(ROWS($U$2:U496),$U$2:$U$1001,0),0), INDEX($AB$1004:$AQ$1004,1,MATCH(COLUMNS($AB$1006:AE1006),$AB$1006:$AQ$1006,0)))),"Fix")))</f>
        <v>0</v>
      </c>
      <c r="F496" s="4">
        <f>IF(OR(INDEX($V$2:$V$1001,MATCH(ROWS($U$2:U496),$U$2:$U$1001,0),1)&gt;=100000,INDEX($AB$1005:$AQ$1005,1,MATCH(COLUMNS($AB$1006:AF1006),$AB$1006:$AQ$1006,0))&gt;=100000), " ",IF(INDEX($AB$2:$AQ$1001,MATCH(ROWS($U$2:U496),$U$2:$U$1001,0),MATCH(COLUMNS($AB$1006:AF1006),$AB$1006:$AQ$1006,0)), HYPERLINK("#",""), HYPERLINK(CONCATENATE("#metadata!", ADDRESS(INDEX($W$2:$W$1001,MATCH(ROWS($U$2:U496),$U$2:$U$1001,0),0), INDEX($AB$1004:$AQ$1004,1,MATCH(COLUMNS($AB$1006:AF1006),$AB$1006:$AQ$1006,0)))),"Fix")))</f>
        <v>0</v>
      </c>
      <c r="G496" s="4">
        <f>IF(OR(INDEX($V$2:$V$1001,MATCH(ROWS($U$2:U496),$U$2:$U$1001,0),1)&gt;=100000,INDEX($AB$1005:$AQ$1005,1,MATCH(COLUMNS($AB$1006:AG1006),$AB$1006:$AQ$1006,0))&gt;=100000), " ",IF(INDEX($AB$2:$AQ$1001,MATCH(ROWS($U$2:U496),$U$2:$U$1001,0),MATCH(COLUMNS($AB$1006:AG1006),$AB$1006:$AQ$1006,0)), HYPERLINK("#",""), HYPERLINK(CONCATENATE("#metadata!", ADDRESS(INDEX($W$2:$W$1001,MATCH(ROWS($U$2:U496),$U$2:$U$1001,0),0), INDEX($AB$1004:$AQ$1004,1,MATCH(COLUMNS($AB$1006:AG1006),$AB$1006:$AQ$1006,0)))),"Fix")))</f>
        <v>0</v>
      </c>
      <c r="H496" s="4">
        <f>IF(OR(INDEX($V$2:$V$1001,MATCH(ROWS($U$2:U496),$U$2:$U$1001,0),1)&gt;=100000,INDEX($AB$1005:$AQ$1005,1,MATCH(COLUMNS($AB$1006:AH1006),$AB$1006:$AQ$1006,0))&gt;=100000), " ",IF(INDEX($AB$2:$AQ$1001,MATCH(ROWS($U$2:U496),$U$2:$U$1001,0),MATCH(COLUMNS($AB$1006:AH1006),$AB$1006:$AQ$1006,0)), HYPERLINK("#",""), HYPERLINK(CONCATENATE("#metadata!", ADDRESS(INDEX($W$2:$W$1001,MATCH(ROWS($U$2:U496),$U$2:$U$1001,0),0), INDEX($AB$1004:$AQ$1004,1,MATCH(COLUMNS($AB$1006:AH1006),$AB$1006:$AQ$1006,0)))),"Fix")))</f>
        <v>0</v>
      </c>
      <c r="I496" s="4">
        <f>IF(OR(INDEX($V$2:$V$1001,MATCH(ROWS($U$2:U496),$U$2:$U$1001,0),1)&gt;=100000,INDEX($AB$1005:$AQ$1005,1,MATCH(COLUMNS($AB$1006:AI1006),$AB$1006:$AQ$1006,0))&gt;=100000), " ",IF(INDEX($AB$2:$AQ$1001,MATCH(ROWS($U$2:U496),$U$2:$U$1001,0),MATCH(COLUMNS($AB$1006:AI1006),$AB$1006:$AQ$1006,0)), HYPERLINK("#",""), HYPERLINK(CONCATENATE("#metadata!", ADDRESS(INDEX($W$2:$W$1001,MATCH(ROWS($U$2:U496),$U$2:$U$1001,0),0), INDEX($AB$1004:$AQ$1004,1,MATCH(COLUMNS($AB$1006:AI1006),$AB$1006:$AQ$1006,0)))),"Fix")))</f>
        <v>0</v>
      </c>
      <c r="J496" s="4">
        <f>IF(OR(INDEX($V$2:$V$1001,MATCH(ROWS($U$2:U496),$U$2:$U$1001,0),1)&gt;=100000,INDEX($AB$1005:$AQ$1005,1,MATCH(COLUMNS($AB$1006:AJ1006),$AB$1006:$AQ$1006,0))&gt;=100000), " ",IF(INDEX($AB$2:$AQ$1001,MATCH(ROWS($U$2:U496),$U$2:$U$1001,0),MATCH(COLUMNS($AB$1006:AJ1006),$AB$1006:$AQ$1006,0)), HYPERLINK("#",""), HYPERLINK(CONCATENATE("#metadata!", ADDRESS(INDEX($W$2:$W$1001,MATCH(ROWS($U$2:U496),$U$2:$U$1001,0),0), INDEX($AB$1004:$AQ$1004,1,MATCH(COLUMNS($AB$1006:AJ1006),$AB$1006:$AQ$1006,0)))),"Fix")))</f>
        <v>0</v>
      </c>
      <c r="K496" s="4">
        <f>IF(OR(INDEX($V$2:$V$1001,MATCH(ROWS($U$2:U496),$U$2:$U$1001,0),1)&gt;=100000,INDEX($AB$1005:$AQ$1005,1,MATCH(COLUMNS($AB$1006:AK1006),$AB$1006:$AQ$1006,0))&gt;=100000), " ",IF(INDEX($AB$2:$AQ$1001,MATCH(ROWS($U$2:U496),$U$2:$U$1001,0),MATCH(COLUMNS($AB$1006:AK1006),$AB$1006:$AQ$1006,0)), HYPERLINK("#",""), HYPERLINK(CONCATENATE("#metadata!", ADDRESS(INDEX($W$2:$W$1001,MATCH(ROWS($U$2:U496),$U$2:$U$1001,0),0), INDEX($AB$1004:$AQ$1004,1,MATCH(COLUMNS($AB$1006:AK1006),$AB$1006:$AQ$1006,0)))),"Fix")))</f>
        <v>0</v>
      </c>
      <c r="L496" s="4">
        <f>IF(OR(INDEX($V$2:$V$1001,MATCH(ROWS($U$2:U496),$U$2:$U$1001,0),1)&gt;=100000,INDEX($AB$1005:$AQ$1005,1,MATCH(COLUMNS($AB$1006:AL1006),$AB$1006:$AQ$1006,0))&gt;=100000), " ",IF(INDEX($AB$2:$AQ$1001,MATCH(ROWS($U$2:U496),$U$2:$U$1001,0),MATCH(COLUMNS($AB$1006:AL1006),$AB$1006:$AQ$1006,0)), HYPERLINK("#",""), HYPERLINK(CONCATENATE("#metadata!", ADDRESS(INDEX($W$2:$W$1001,MATCH(ROWS($U$2:U496),$U$2:$U$1001,0),0), INDEX($AB$1004:$AQ$1004,1,MATCH(COLUMNS($AB$1006:AL1006),$AB$1006:$AQ$1006,0)))),"Fix")))</f>
        <v>0</v>
      </c>
      <c r="M496" s="4">
        <f>IF(OR(INDEX($V$2:$V$1001,MATCH(ROWS($U$2:U496),$U$2:$U$1001,0),1)&gt;=100000,INDEX($AB$1005:$AQ$1005,1,MATCH(COLUMNS($AB$1006:AM1006),$AB$1006:$AQ$1006,0))&gt;=100000), " ",IF(INDEX($AB$2:$AQ$1001,MATCH(ROWS($U$2:U496),$U$2:$U$1001,0),MATCH(COLUMNS($AB$1006:AM1006),$AB$1006:$AQ$1006,0)), HYPERLINK("#",""), HYPERLINK(CONCATENATE("#metadata!", ADDRESS(INDEX($W$2:$W$1001,MATCH(ROWS($U$2:U496),$U$2:$U$1001,0),0), INDEX($AB$1004:$AQ$1004,1,MATCH(COLUMNS($AB$1006:AM1006),$AB$1006:$AQ$1006,0)))),"Fix")))</f>
        <v>0</v>
      </c>
      <c r="N496" s="4">
        <f>IF(OR(INDEX($V$2:$V$1001,MATCH(ROWS($U$2:U496),$U$2:$U$1001,0),1)&gt;=100000,INDEX($AB$1005:$AQ$1005,1,MATCH(COLUMNS($AB$1006:AN1006),$AB$1006:$AQ$1006,0))&gt;=100000), " ",IF(INDEX($AB$2:$AQ$1001,MATCH(ROWS($U$2:U496),$U$2:$U$1001,0),MATCH(COLUMNS($AB$1006:AN1006),$AB$1006:$AQ$1006,0)), HYPERLINK("#",""), HYPERLINK(CONCATENATE("#metadata!", ADDRESS(INDEX($W$2:$W$1001,MATCH(ROWS($U$2:U496),$U$2:$U$1001,0),0), INDEX($AB$1004:$AQ$1004,1,MATCH(COLUMNS($AB$1006:AN1006),$AB$1006:$AQ$1006,0)))),"Fix")))</f>
        <v>0</v>
      </c>
      <c r="O496" s="4">
        <f>IF(OR(INDEX($V$2:$V$1001,MATCH(ROWS($U$2:U496),$U$2:$U$1001,0),1)&gt;=100000,INDEX($AB$1005:$AQ$1005,1,MATCH(COLUMNS($AB$1006:AO1006),$AB$1006:$AQ$1006,0))&gt;=100000), " ",IF(INDEX($AB$2:$AQ$1001,MATCH(ROWS($U$2:U496),$U$2:$U$1001,0),MATCH(COLUMNS($AB$1006:AO1006),$AB$1006:$AQ$1006,0)), HYPERLINK("#",""), HYPERLINK(CONCATENATE("#metadata!", ADDRESS(INDEX($W$2:$W$1001,MATCH(ROWS($U$2:U496),$U$2:$U$1001,0),0), INDEX($AB$1004:$AQ$1004,1,MATCH(COLUMNS($AB$1006:AO1006),$AB$1006:$AQ$1006,0)))),"Fix")))</f>
        <v>0</v>
      </c>
      <c r="P496" s="4">
        <f>IF(OR(INDEX($V$2:$V$1001,MATCH(ROWS($U$2:U496),$U$2:$U$1001,0),1)&gt;=100000,INDEX($AB$1005:$AQ$1005,1,MATCH(COLUMNS($AB$1006:AP1006),$AB$1006:$AQ$1006,0))&gt;=100000), " ",IF(INDEX($AB$2:$AQ$1001,MATCH(ROWS($U$2:U496),$U$2:$U$1001,0),MATCH(COLUMNS($AB$1006:AP1006),$AB$1006:$AQ$1006,0)), HYPERLINK("#",""), HYPERLINK(CONCATENATE("#metadata!", ADDRESS(INDEX($W$2:$W$1001,MATCH(ROWS($U$2:U496),$U$2:$U$1001,0),0), INDEX($AB$1004:$AQ$1004,1,MATCH(COLUMNS($AB$1006:AP1006),$AB$1006:$AQ$1006,0)))),"Fix")))</f>
        <v>0</v>
      </c>
      <c r="Q496" s="4">
        <f>IF(OR(INDEX($V$2:$V$1001,MATCH(ROWS($U$2:U496),$U$2:$U$1001,0),1)&gt;=100000,INDEX($AB$1005:$AQ$1005,1,MATCH(COLUMNS($AB$1006:AQ1006),$AB$1006:$AQ$1006,0))&gt;=100000), " ",IF(INDEX($AB$2:$AQ$1001,MATCH(ROWS($U$2:U496),$U$2:$U$1001,0),MATCH(COLUMNS($AB$1006:AQ1006),$AB$1006:$AQ$1006,0)), HYPERLINK("#",""), HYPERLINK(CONCATENATE("#metadata!", ADDRESS(INDEX($W$2:$W$1001,MATCH(ROWS($U$2:U496),$U$2:$U$1001,0),0), INDEX($AB$1004:$AQ$1004,1,MATCH(COLUMNS($AB$1006:AQ1006),$AB$1006:$AQ$1006,0)))),"Fix")))</f>
        <v>0</v>
      </c>
      <c r="U496">
        <v>0</v>
      </c>
      <c r="V496">
        <v>0</v>
      </c>
      <c r="W496">
        <v>0</v>
      </c>
      <c r="X496">
        <f>IF(Y496,TRUE,AND(AB496:AQ496))</f>
        <v>0</v>
      </c>
      <c r="Y496">
        <f>COUNTBLANK(metadata!B496:Q496)=COLUMNS(metadata!B496:Q496)</f>
        <v>0</v>
      </c>
      <c r="Z496">
        <v>0</v>
      </c>
      <c r="AB496">
        <f>AND(IF(metadata!B496="",FALSE,TRUE),COUNTIF(metadata!B:B, metadata!B496) = 1,NOT(ISERROR(SUMPRODUCT(SEARCH(MID(metadata!B496,ROW(INDIRECT("1:"&amp;LEN(metadata!B496))), 1),"0123456789abcdefghijklmnopqrstuvwxyzABCDEFGHIJKLMNOPQRSTUVWXYZ.")))))</f>
        <v>0</v>
      </c>
      <c r="AC496">
        <f>OR(AND(IF(metadata!C496="",FALSE,TRUE),OR(exact(metadata!C496,"missing: not collected"),exact(metadata!C496,"missing: not provided"),exact(metadata!C496,"missing: restricted access"))),AND(IF(metadata!C496="",FALSE,TRUE),AND(AND(IFERROR(INT(LEFT(metadata!C496,4))&gt;1900,FALSE),IFERROR(INT(LEFT(metadata!C496,4))&lt;=YEAR(NOW()),FALSE)), OR(MID(metadata!C496,5,1)="", AND(AND(MID(metadata!C496,5,1)="-",IFERROR(INT(MID(metadata!C496,6,1))&gt;=0,FALSE),IFERROR(INT(MID(metadata!C496,6,1))&lt;=1,FALSE),NOT(MID(metadata!C496,7,1)=""),IFERROR(INT(MID(metadata!C496,6,2))&gt;=1,FALSE),IFERROR(INT(MID(metadata!C496,6,2))&lt;=12,FALSE)), OR(MID(metadata!C496,8,1)="", AND(AND(MID(metadata!C496,8,1)="-",IFERROR(INT(MID(metadata!C496,9,1))&gt;=0,FALSE),IFERROR(INT(MID(metadata!C496,9,1))&lt;=3,FALSE),NOT(MID(metadata!C496,10,1)=""),IFERROR(INT(MID(metadata!C496,9,2))&gt;=1,FALSE),IFERROR(INT(MID(metadata!C496,9,2))&lt;=31,FALSE)), OR(MID(metadata!C496,11,1)="", AND(AND(MID(metadata!C496,11,1)=" ",IFERROR(INT(MID(metadata!C496,12,1))&gt;=0,FALSE),IFERROR(INT(MID(metadata!C496,12,1))&lt;=2,FALSE),NOT(MID(metadata!C496,13,1)=""),IFERROR(INT(MID(metadata!C496,12,2))&gt;=0,FALSE),IFERROR(INT(MID(metadata!C496,12,2))&lt;=23,FALSE)), OR(MID(metadata!C496,14,1)="", AND(AND(MID(metadata!C496,14,1)=":",IFERROR(INT(MID(metadata!C496,15,1))&gt;=0,FALSE),IFERROR(INT(MID(metadata!C496,15,1))&lt;=5,FALSE),NOT(MID(metadata!C496,16,1)=""),IFERROR(INT(MID(metadata!C496,15,2))&gt;=0,FALSE),IFERROR(INT(MID(metadata!C496,15,2))&lt;=59,FALSE)), OR(MID(metadata!C496,17,1)="", AND(AND(MID(metadata!C496,17,1)=":",IFERROR(INT(MID(metadata!C496,18,1))&gt;=0,FALSE),IFERROR(INT(MID(metadata!C496,18,1))&lt;=5,FALSE),NOT(MID(metadata!C496,19,1)=""),IFERROR(INT(MID(metadata!C496,18,2))&gt;=0,FALSE),IFERROR(INT(MID(metadata!C496,18,2))&lt;=59,FALSE)), LEN(metadata!C496)&lt;=19)))))))))))))</f>
        <v>0</v>
      </c>
      <c r="AD496">
        <f>IF(metadata!D496="",FALSE,TRUE)</f>
        <v>0</v>
      </c>
      <c r="AE496">
        <f>OR(AND(IF(metadata!E496="",FALSE,TRUE),OR(exact(metadata!E496,"missing: not collected"),exact(metadata!E496,"missing: not provided"))),AND(IF(metadata!E496="",FALSE,TRUE),OR(exact(metadata!E496,"TRUE"),exact(metadata!E496,"FALSE"))))</f>
        <v>0</v>
      </c>
      <c r="AF496">
        <f>IF(metadata!F496="",FALSE,TRUE)</f>
        <v>0</v>
      </c>
      <c r="AG496">
        <f>IF(metadata!G496="",FALSE,TRUE)</f>
        <v>0</v>
      </c>
      <c r="AH496">
        <f>IF(metadata!H496="",FALSE,TRUE)</f>
        <v>0</v>
      </c>
      <c r="AI496">
        <f>OR(AND(IF(metadata!I496="",FALSE,TRUE),OR(exact(metadata!I496,"missing: not collected"),exact(metadata!I496,"missing: not provided"),exact(metadata!I496,"missing: restricted access"))),AND(IF(metadata!I496="",FALSE,TRUE),OR(exact(metadata!I496,"air"),exact(metadata!I496,"built environment"),exact(metadata!I496,"host-associated"),exact(metadata!I496,"human-associated"),exact(metadata!I496,"human-skin"),exact(metadata!I496,"human-oral"),exact(metadata!I496,"human-gut"),exact(metadata!I496,"human-vaginal"),exact(metadata!I496,"microbial mat/biofilm"),exact(metadata!I496,"misc environment"),exact(metadata!I496,"plant-associated"),exact(metadata!I496,"sediment"),exact(metadata!I496,"soil"),exact(metadata!I496,"wastewater/sludge"),exact(metadata!I496,"water"))))</f>
        <v>0</v>
      </c>
      <c r="AJ496">
        <f>IF(metadata!J496="",FALSE,TRUE)</f>
        <v>0</v>
      </c>
      <c r="AK496">
        <f>OR(AND(IF(metadata!K496="",FALSE,TRUE),OR(exact(metadata!K496,"missing: not collected"),exact(metadata!K496,"missing: not provided"),exact(metadata!K496,"missing: restricted access"))),AND(IF(metadata!K496="",FALSE,ISNUMBER(VALUE(metadata!K496))),metadata!K496&gt;=-90.00,metadata!K496&lt;=90.00))</f>
        <v>0</v>
      </c>
      <c r="AL496">
        <f>OR(AND(IF(metadata!L496="",FALSE,TRUE),OR(exact(metadata!L496,"missing: not collected"),exact(metadata!L496,"missing: not provided"),exact(metadata!L496,"missing: restricted access"))),AND(IF(metadata!L496="",FALSE,ISNUMBER(VALUE(metadata!L496))),metadata!L496&gt;=-180.00,metadata!L496&lt;=180.00))</f>
        <v>0</v>
      </c>
      <c r="AM496">
        <f>IF(metadata!M496="",FALSE,TRUE)</f>
        <v>0</v>
      </c>
      <c r="AN496">
        <f>OR(AND(IF(metadata!N496="",FALSE,TRUE),OR(exact(metadata!N496,"missing: not collected"),exact(metadata!N496,"missing: not provided"),exact(metadata!N496,"missing: restricted access"))),AND(IF(metadata!N496="",FALSE,TRUE),OR(exact(metadata!N496,"TRUE"),exact(metadata!N496,"FALSE"))))</f>
        <v>0</v>
      </c>
      <c r="AO496">
        <f>IF(metadata!O496="",FALSE,TRUE)</f>
        <v>0</v>
      </c>
      <c r="AP496">
        <f>OR(AND(IF(metadata!P496="",FALSE,TRUE),OR(exact(metadata!P496,"missing: not collected"),exact(metadata!P496,"missing: not provided"))),AND(IF(metadata!P496="",FALSE,IF(ISERROR(INT(metadata!P496)),FALSE,INT(metadata!P496)=metadata!P496)),metadata!P496&gt;0))</f>
        <v>0</v>
      </c>
      <c r="AQ496">
        <f>IF(metadata!Q496="",FALSE,TRUE)</f>
        <v>0</v>
      </c>
    </row>
    <row r="497" spans="1:43">
      <c r="A497" s="5">
        <f>IF(B497=" "," ",HYPERLINK(CONCATENATE("#metadata!",ADDRESS(INDEX($W$2:$W$1001,MATCH(ROWS($U$2:U497),$U$2:$U$1001,0),0),1)),INDEX($Z$2:$Z$1001,MATCH(ROWS($U$2:U497),$U$2:$U$1001,0),0)))</f>
        <v>0</v>
      </c>
      <c r="B497" s="4">
        <f>IF(OR(INDEX($V$2:$V$1001,MATCH(ROWS($U$2:U497),$U$2:$U$1001,0),1)&gt;=100000,INDEX($AB$1005:$AQ$1005,1,MATCH(COLUMNS($AB$1006:AB1006),$AB$1006:$AQ$1006,0))&gt;=100000), " ",IF(INDEX($AB$2:$AQ$1001,MATCH(ROWS($U$2:U497),$U$2:$U$1001,0),MATCH(COLUMNS($AB$1006:AB1006),$AB$1006:$AQ$1006,0)), HYPERLINK("#",""), HYPERLINK(CONCATENATE("#metadata!", ADDRESS(INDEX($W$2:$W$1001,MATCH(ROWS($U$2:U497),$U$2:$U$1001,0),0), INDEX($AB$1004:$AQ$1004,1,MATCH(COLUMNS($AB$1006:AB1006),$AB$1006:$AQ$1006,0)))),"Fix")))</f>
        <v>0</v>
      </c>
      <c r="C497" s="4">
        <f>IF(OR(INDEX($V$2:$V$1001,MATCH(ROWS($U$2:U497),$U$2:$U$1001,0),1)&gt;=100000,INDEX($AB$1005:$AQ$1005,1,MATCH(COLUMNS($AB$1006:AC1006),$AB$1006:$AQ$1006,0))&gt;=100000), " ",IF(INDEX($AB$2:$AQ$1001,MATCH(ROWS($U$2:U497),$U$2:$U$1001,0),MATCH(COLUMNS($AB$1006:AC1006),$AB$1006:$AQ$1006,0)), HYPERLINK("#",""), HYPERLINK(CONCATENATE("#metadata!", ADDRESS(INDEX($W$2:$W$1001,MATCH(ROWS($U$2:U497),$U$2:$U$1001,0),0), INDEX($AB$1004:$AQ$1004,1,MATCH(COLUMNS($AB$1006:AC1006),$AB$1006:$AQ$1006,0)))),"Fix")))</f>
        <v>0</v>
      </c>
      <c r="D497" s="4">
        <f>IF(OR(INDEX($V$2:$V$1001,MATCH(ROWS($U$2:U497),$U$2:$U$1001,0),1)&gt;=100000,INDEX($AB$1005:$AQ$1005,1,MATCH(COLUMNS($AB$1006:AD1006),$AB$1006:$AQ$1006,0))&gt;=100000), " ",IF(INDEX($AB$2:$AQ$1001,MATCH(ROWS($U$2:U497),$U$2:$U$1001,0),MATCH(COLUMNS($AB$1006:AD1006),$AB$1006:$AQ$1006,0)), HYPERLINK("#",""), HYPERLINK(CONCATENATE("#metadata!", ADDRESS(INDEX($W$2:$W$1001,MATCH(ROWS($U$2:U497),$U$2:$U$1001,0),0), INDEX($AB$1004:$AQ$1004,1,MATCH(COLUMNS($AB$1006:AD1006),$AB$1006:$AQ$1006,0)))),"Fix")))</f>
        <v>0</v>
      </c>
      <c r="E497" s="4">
        <f>IF(OR(INDEX($V$2:$V$1001,MATCH(ROWS($U$2:U497),$U$2:$U$1001,0),1)&gt;=100000,INDEX($AB$1005:$AQ$1005,1,MATCH(COLUMNS($AB$1006:AE1006),$AB$1006:$AQ$1006,0))&gt;=100000), " ",IF(INDEX($AB$2:$AQ$1001,MATCH(ROWS($U$2:U497),$U$2:$U$1001,0),MATCH(COLUMNS($AB$1006:AE1006),$AB$1006:$AQ$1006,0)), HYPERLINK("#",""), HYPERLINK(CONCATENATE("#metadata!", ADDRESS(INDEX($W$2:$W$1001,MATCH(ROWS($U$2:U497),$U$2:$U$1001,0),0), INDEX($AB$1004:$AQ$1004,1,MATCH(COLUMNS($AB$1006:AE1006),$AB$1006:$AQ$1006,0)))),"Fix")))</f>
        <v>0</v>
      </c>
      <c r="F497" s="4">
        <f>IF(OR(INDEX($V$2:$V$1001,MATCH(ROWS($U$2:U497),$U$2:$U$1001,0),1)&gt;=100000,INDEX($AB$1005:$AQ$1005,1,MATCH(COLUMNS($AB$1006:AF1006),$AB$1006:$AQ$1006,0))&gt;=100000), " ",IF(INDEX($AB$2:$AQ$1001,MATCH(ROWS($U$2:U497),$U$2:$U$1001,0),MATCH(COLUMNS($AB$1006:AF1006),$AB$1006:$AQ$1006,0)), HYPERLINK("#",""), HYPERLINK(CONCATENATE("#metadata!", ADDRESS(INDEX($W$2:$W$1001,MATCH(ROWS($U$2:U497),$U$2:$U$1001,0),0), INDEX($AB$1004:$AQ$1004,1,MATCH(COLUMNS($AB$1006:AF1006),$AB$1006:$AQ$1006,0)))),"Fix")))</f>
        <v>0</v>
      </c>
      <c r="G497" s="4">
        <f>IF(OR(INDEX($V$2:$V$1001,MATCH(ROWS($U$2:U497),$U$2:$U$1001,0),1)&gt;=100000,INDEX($AB$1005:$AQ$1005,1,MATCH(COLUMNS($AB$1006:AG1006),$AB$1006:$AQ$1006,0))&gt;=100000), " ",IF(INDEX($AB$2:$AQ$1001,MATCH(ROWS($U$2:U497),$U$2:$U$1001,0),MATCH(COLUMNS($AB$1006:AG1006),$AB$1006:$AQ$1006,0)), HYPERLINK("#",""), HYPERLINK(CONCATENATE("#metadata!", ADDRESS(INDEX($W$2:$W$1001,MATCH(ROWS($U$2:U497),$U$2:$U$1001,0),0), INDEX($AB$1004:$AQ$1004,1,MATCH(COLUMNS($AB$1006:AG1006),$AB$1006:$AQ$1006,0)))),"Fix")))</f>
        <v>0</v>
      </c>
      <c r="H497" s="4">
        <f>IF(OR(INDEX($V$2:$V$1001,MATCH(ROWS($U$2:U497),$U$2:$U$1001,0),1)&gt;=100000,INDEX($AB$1005:$AQ$1005,1,MATCH(COLUMNS($AB$1006:AH1006),$AB$1006:$AQ$1006,0))&gt;=100000), " ",IF(INDEX($AB$2:$AQ$1001,MATCH(ROWS($U$2:U497),$U$2:$U$1001,0),MATCH(COLUMNS($AB$1006:AH1006),$AB$1006:$AQ$1006,0)), HYPERLINK("#",""), HYPERLINK(CONCATENATE("#metadata!", ADDRESS(INDEX($W$2:$W$1001,MATCH(ROWS($U$2:U497),$U$2:$U$1001,0),0), INDEX($AB$1004:$AQ$1004,1,MATCH(COLUMNS($AB$1006:AH1006),$AB$1006:$AQ$1006,0)))),"Fix")))</f>
        <v>0</v>
      </c>
      <c r="I497" s="4">
        <f>IF(OR(INDEX($V$2:$V$1001,MATCH(ROWS($U$2:U497),$U$2:$U$1001,0),1)&gt;=100000,INDEX($AB$1005:$AQ$1005,1,MATCH(COLUMNS($AB$1006:AI1006),$AB$1006:$AQ$1006,0))&gt;=100000), " ",IF(INDEX($AB$2:$AQ$1001,MATCH(ROWS($U$2:U497),$U$2:$U$1001,0),MATCH(COLUMNS($AB$1006:AI1006),$AB$1006:$AQ$1006,0)), HYPERLINK("#",""), HYPERLINK(CONCATENATE("#metadata!", ADDRESS(INDEX($W$2:$W$1001,MATCH(ROWS($U$2:U497),$U$2:$U$1001,0),0), INDEX($AB$1004:$AQ$1004,1,MATCH(COLUMNS($AB$1006:AI1006),$AB$1006:$AQ$1006,0)))),"Fix")))</f>
        <v>0</v>
      </c>
      <c r="J497" s="4">
        <f>IF(OR(INDEX($V$2:$V$1001,MATCH(ROWS($U$2:U497),$U$2:$U$1001,0),1)&gt;=100000,INDEX($AB$1005:$AQ$1005,1,MATCH(COLUMNS($AB$1006:AJ1006),$AB$1006:$AQ$1006,0))&gt;=100000), " ",IF(INDEX($AB$2:$AQ$1001,MATCH(ROWS($U$2:U497),$U$2:$U$1001,0),MATCH(COLUMNS($AB$1006:AJ1006),$AB$1006:$AQ$1006,0)), HYPERLINK("#",""), HYPERLINK(CONCATENATE("#metadata!", ADDRESS(INDEX($W$2:$W$1001,MATCH(ROWS($U$2:U497),$U$2:$U$1001,0),0), INDEX($AB$1004:$AQ$1004,1,MATCH(COLUMNS($AB$1006:AJ1006),$AB$1006:$AQ$1006,0)))),"Fix")))</f>
        <v>0</v>
      </c>
      <c r="K497" s="4">
        <f>IF(OR(INDEX($V$2:$V$1001,MATCH(ROWS($U$2:U497),$U$2:$U$1001,0),1)&gt;=100000,INDEX($AB$1005:$AQ$1005,1,MATCH(COLUMNS($AB$1006:AK1006),$AB$1006:$AQ$1006,0))&gt;=100000), " ",IF(INDEX($AB$2:$AQ$1001,MATCH(ROWS($U$2:U497),$U$2:$U$1001,0),MATCH(COLUMNS($AB$1006:AK1006),$AB$1006:$AQ$1006,0)), HYPERLINK("#",""), HYPERLINK(CONCATENATE("#metadata!", ADDRESS(INDEX($W$2:$W$1001,MATCH(ROWS($U$2:U497),$U$2:$U$1001,0),0), INDEX($AB$1004:$AQ$1004,1,MATCH(COLUMNS($AB$1006:AK1006),$AB$1006:$AQ$1006,0)))),"Fix")))</f>
        <v>0</v>
      </c>
      <c r="L497" s="4">
        <f>IF(OR(INDEX($V$2:$V$1001,MATCH(ROWS($U$2:U497),$U$2:$U$1001,0),1)&gt;=100000,INDEX($AB$1005:$AQ$1005,1,MATCH(COLUMNS($AB$1006:AL1006),$AB$1006:$AQ$1006,0))&gt;=100000), " ",IF(INDEX($AB$2:$AQ$1001,MATCH(ROWS($U$2:U497),$U$2:$U$1001,0),MATCH(COLUMNS($AB$1006:AL1006),$AB$1006:$AQ$1006,0)), HYPERLINK("#",""), HYPERLINK(CONCATENATE("#metadata!", ADDRESS(INDEX($W$2:$W$1001,MATCH(ROWS($U$2:U497),$U$2:$U$1001,0),0), INDEX($AB$1004:$AQ$1004,1,MATCH(COLUMNS($AB$1006:AL1006),$AB$1006:$AQ$1006,0)))),"Fix")))</f>
        <v>0</v>
      </c>
      <c r="M497" s="4">
        <f>IF(OR(INDEX($V$2:$V$1001,MATCH(ROWS($U$2:U497),$U$2:$U$1001,0),1)&gt;=100000,INDEX($AB$1005:$AQ$1005,1,MATCH(COLUMNS($AB$1006:AM1006),$AB$1006:$AQ$1006,0))&gt;=100000), " ",IF(INDEX($AB$2:$AQ$1001,MATCH(ROWS($U$2:U497),$U$2:$U$1001,0),MATCH(COLUMNS($AB$1006:AM1006),$AB$1006:$AQ$1006,0)), HYPERLINK("#",""), HYPERLINK(CONCATENATE("#metadata!", ADDRESS(INDEX($W$2:$W$1001,MATCH(ROWS($U$2:U497),$U$2:$U$1001,0),0), INDEX($AB$1004:$AQ$1004,1,MATCH(COLUMNS($AB$1006:AM1006),$AB$1006:$AQ$1006,0)))),"Fix")))</f>
        <v>0</v>
      </c>
      <c r="N497" s="4">
        <f>IF(OR(INDEX($V$2:$V$1001,MATCH(ROWS($U$2:U497),$U$2:$U$1001,0),1)&gt;=100000,INDEX($AB$1005:$AQ$1005,1,MATCH(COLUMNS($AB$1006:AN1006),$AB$1006:$AQ$1006,0))&gt;=100000), " ",IF(INDEX($AB$2:$AQ$1001,MATCH(ROWS($U$2:U497),$U$2:$U$1001,0),MATCH(COLUMNS($AB$1006:AN1006),$AB$1006:$AQ$1006,0)), HYPERLINK("#",""), HYPERLINK(CONCATENATE("#metadata!", ADDRESS(INDEX($W$2:$W$1001,MATCH(ROWS($U$2:U497),$U$2:$U$1001,0),0), INDEX($AB$1004:$AQ$1004,1,MATCH(COLUMNS($AB$1006:AN1006),$AB$1006:$AQ$1006,0)))),"Fix")))</f>
        <v>0</v>
      </c>
      <c r="O497" s="4">
        <f>IF(OR(INDEX($V$2:$V$1001,MATCH(ROWS($U$2:U497),$U$2:$U$1001,0),1)&gt;=100000,INDEX($AB$1005:$AQ$1005,1,MATCH(COLUMNS($AB$1006:AO1006),$AB$1006:$AQ$1006,0))&gt;=100000), " ",IF(INDEX($AB$2:$AQ$1001,MATCH(ROWS($U$2:U497),$U$2:$U$1001,0),MATCH(COLUMNS($AB$1006:AO1006),$AB$1006:$AQ$1006,0)), HYPERLINK("#",""), HYPERLINK(CONCATENATE("#metadata!", ADDRESS(INDEX($W$2:$W$1001,MATCH(ROWS($U$2:U497),$U$2:$U$1001,0),0), INDEX($AB$1004:$AQ$1004,1,MATCH(COLUMNS($AB$1006:AO1006),$AB$1006:$AQ$1006,0)))),"Fix")))</f>
        <v>0</v>
      </c>
      <c r="P497" s="4">
        <f>IF(OR(INDEX($V$2:$V$1001,MATCH(ROWS($U$2:U497),$U$2:$U$1001,0),1)&gt;=100000,INDEX($AB$1005:$AQ$1005,1,MATCH(COLUMNS($AB$1006:AP1006),$AB$1006:$AQ$1006,0))&gt;=100000), " ",IF(INDEX($AB$2:$AQ$1001,MATCH(ROWS($U$2:U497),$U$2:$U$1001,0),MATCH(COLUMNS($AB$1006:AP1006),$AB$1006:$AQ$1006,0)), HYPERLINK("#",""), HYPERLINK(CONCATENATE("#metadata!", ADDRESS(INDEX($W$2:$W$1001,MATCH(ROWS($U$2:U497),$U$2:$U$1001,0),0), INDEX($AB$1004:$AQ$1004,1,MATCH(COLUMNS($AB$1006:AP1006),$AB$1006:$AQ$1006,0)))),"Fix")))</f>
        <v>0</v>
      </c>
      <c r="Q497" s="4">
        <f>IF(OR(INDEX($V$2:$V$1001,MATCH(ROWS($U$2:U497),$U$2:$U$1001,0),1)&gt;=100000,INDEX($AB$1005:$AQ$1005,1,MATCH(COLUMNS($AB$1006:AQ1006),$AB$1006:$AQ$1006,0))&gt;=100000), " ",IF(INDEX($AB$2:$AQ$1001,MATCH(ROWS($U$2:U497),$U$2:$U$1001,0),MATCH(COLUMNS($AB$1006:AQ1006),$AB$1006:$AQ$1006,0)), HYPERLINK("#",""), HYPERLINK(CONCATENATE("#metadata!", ADDRESS(INDEX($W$2:$W$1001,MATCH(ROWS($U$2:U497),$U$2:$U$1001,0),0), INDEX($AB$1004:$AQ$1004,1,MATCH(COLUMNS($AB$1006:AQ1006),$AB$1006:$AQ$1006,0)))),"Fix")))</f>
        <v>0</v>
      </c>
      <c r="U497">
        <v>0</v>
      </c>
      <c r="V497">
        <v>0</v>
      </c>
      <c r="W497">
        <v>0</v>
      </c>
      <c r="X497">
        <f>IF(Y497,TRUE,AND(AB497:AQ497))</f>
        <v>0</v>
      </c>
      <c r="Y497">
        <f>COUNTBLANK(metadata!B497:Q497)=COLUMNS(metadata!B497:Q497)</f>
        <v>0</v>
      </c>
      <c r="Z497">
        <v>0</v>
      </c>
      <c r="AB497">
        <f>AND(IF(metadata!B497="",FALSE,TRUE),COUNTIF(metadata!B:B, metadata!B497) = 1,NOT(ISERROR(SUMPRODUCT(SEARCH(MID(metadata!B497,ROW(INDIRECT("1:"&amp;LEN(metadata!B497))), 1),"0123456789abcdefghijklmnopqrstuvwxyzABCDEFGHIJKLMNOPQRSTUVWXYZ.")))))</f>
        <v>0</v>
      </c>
      <c r="AC497">
        <f>OR(AND(IF(metadata!C497="",FALSE,TRUE),OR(exact(metadata!C497,"missing: not collected"),exact(metadata!C497,"missing: not provided"),exact(metadata!C497,"missing: restricted access"))),AND(IF(metadata!C497="",FALSE,TRUE),AND(AND(IFERROR(INT(LEFT(metadata!C497,4))&gt;1900,FALSE),IFERROR(INT(LEFT(metadata!C497,4))&lt;=YEAR(NOW()),FALSE)), OR(MID(metadata!C497,5,1)="", AND(AND(MID(metadata!C497,5,1)="-",IFERROR(INT(MID(metadata!C497,6,1))&gt;=0,FALSE),IFERROR(INT(MID(metadata!C497,6,1))&lt;=1,FALSE),NOT(MID(metadata!C497,7,1)=""),IFERROR(INT(MID(metadata!C497,6,2))&gt;=1,FALSE),IFERROR(INT(MID(metadata!C497,6,2))&lt;=12,FALSE)), OR(MID(metadata!C497,8,1)="", AND(AND(MID(metadata!C497,8,1)="-",IFERROR(INT(MID(metadata!C497,9,1))&gt;=0,FALSE),IFERROR(INT(MID(metadata!C497,9,1))&lt;=3,FALSE),NOT(MID(metadata!C497,10,1)=""),IFERROR(INT(MID(metadata!C497,9,2))&gt;=1,FALSE),IFERROR(INT(MID(metadata!C497,9,2))&lt;=31,FALSE)), OR(MID(metadata!C497,11,1)="", AND(AND(MID(metadata!C497,11,1)=" ",IFERROR(INT(MID(metadata!C497,12,1))&gt;=0,FALSE),IFERROR(INT(MID(metadata!C497,12,1))&lt;=2,FALSE),NOT(MID(metadata!C497,13,1)=""),IFERROR(INT(MID(metadata!C497,12,2))&gt;=0,FALSE),IFERROR(INT(MID(metadata!C497,12,2))&lt;=23,FALSE)), OR(MID(metadata!C497,14,1)="", AND(AND(MID(metadata!C497,14,1)=":",IFERROR(INT(MID(metadata!C497,15,1))&gt;=0,FALSE),IFERROR(INT(MID(metadata!C497,15,1))&lt;=5,FALSE),NOT(MID(metadata!C497,16,1)=""),IFERROR(INT(MID(metadata!C497,15,2))&gt;=0,FALSE),IFERROR(INT(MID(metadata!C497,15,2))&lt;=59,FALSE)), OR(MID(metadata!C497,17,1)="", AND(AND(MID(metadata!C497,17,1)=":",IFERROR(INT(MID(metadata!C497,18,1))&gt;=0,FALSE),IFERROR(INT(MID(metadata!C497,18,1))&lt;=5,FALSE),NOT(MID(metadata!C497,19,1)=""),IFERROR(INT(MID(metadata!C497,18,2))&gt;=0,FALSE),IFERROR(INT(MID(metadata!C497,18,2))&lt;=59,FALSE)), LEN(metadata!C497)&lt;=19)))))))))))))</f>
        <v>0</v>
      </c>
      <c r="AD497">
        <f>IF(metadata!D497="",FALSE,TRUE)</f>
        <v>0</v>
      </c>
      <c r="AE497">
        <f>OR(AND(IF(metadata!E497="",FALSE,TRUE),OR(exact(metadata!E497,"missing: not collected"),exact(metadata!E497,"missing: not provided"))),AND(IF(metadata!E497="",FALSE,TRUE),OR(exact(metadata!E497,"TRUE"),exact(metadata!E497,"FALSE"))))</f>
        <v>0</v>
      </c>
      <c r="AF497">
        <f>IF(metadata!F497="",FALSE,TRUE)</f>
        <v>0</v>
      </c>
      <c r="AG497">
        <f>IF(metadata!G497="",FALSE,TRUE)</f>
        <v>0</v>
      </c>
      <c r="AH497">
        <f>IF(metadata!H497="",FALSE,TRUE)</f>
        <v>0</v>
      </c>
      <c r="AI497">
        <f>OR(AND(IF(metadata!I497="",FALSE,TRUE),OR(exact(metadata!I497,"missing: not collected"),exact(metadata!I497,"missing: not provided"),exact(metadata!I497,"missing: restricted access"))),AND(IF(metadata!I497="",FALSE,TRUE),OR(exact(metadata!I497,"air"),exact(metadata!I497,"built environment"),exact(metadata!I497,"host-associated"),exact(metadata!I497,"human-associated"),exact(metadata!I497,"human-skin"),exact(metadata!I497,"human-oral"),exact(metadata!I497,"human-gut"),exact(metadata!I497,"human-vaginal"),exact(metadata!I497,"microbial mat/biofilm"),exact(metadata!I497,"misc environment"),exact(metadata!I497,"plant-associated"),exact(metadata!I497,"sediment"),exact(metadata!I497,"soil"),exact(metadata!I497,"wastewater/sludge"),exact(metadata!I497,"water"))))</f>
        <v>0</v>
      </c>
      <c r="AJ497">
        <f>IF(metadata!J497="",FALSE,TRUE)</f>
        <v>0</v>
      </c>
      <c r="AK497">
        <f>OR(AND(IF(metadata!K497="",FALSE,TRUE),OR(exact(metadata!K497,"missing: not collected"),exact(metadata!K497,"missing: not provided"),exact(metadata!K497,"missing: restricted access"))),AND(IF(metadata!K497="",FALSE,ISNUMBER(VALUE(metadata!K497))),metadata!K497&gt;=-90.00,metadata!K497&lt;=90.00))</f>
        <v>0</v>
      </c>
      <c r="AL497">
        <f>OR(AND(IF(metadata!L497="",FALSE,TRUE),OR(exact(metadata!L497,"missing: not collected"),exact(metadata!L497,"missing: not provided"),exact(metadata!L497,"missing: restricted access"))),AND(IF(metadata!L497="",FALSE,ISNUMBER(VALUE(metadata!L497))),metadata!L497&gt;=-180.00,metadata!L497&lt;=180.00))</f>
        <v>0</v>
      </c>
      <c r="AM497">
        <f>IF(metadata!M497="",FALSE,TRUE)</f>
        <v>0</v>
      </c>
      <c r="AN497">
        <f>OR(AND(IF(metadata!N497="",FALSE,TRUE),OR(exact(metadata!N497,"missing: not collected"),exact(metadata!N497,"missing: not provided"),exact(metadata!N497,"missing: restricted access"))),AND(IF(metadata!N497="",FALSE,TRUE),OR(exact(metadata!N497,"TRUE"),exact(metadata!N497,"FALSE"))))</f>
        <v>0</v>
      </c>
      <c r="AO497">
        <f>IF(metadata!O497="",FALSE,TRUE)</f>
        <v>0</v>
      </c>
      <c r="AP497">
        <f>OR(AND(IF(metadata!P497="",FALSE,TRUE),OR(exact(metadata!P497,"missing: not collected"),exact(metadata!P497,"missing: not provided"))),AND(IF(metadata!P497="",FALSE,IF(ISERROR(INT(metadata!P497)),FALSE,INT(metadata!P497)=metadata!P497)),metadata!P497&gt;0))</f>
        <v>0</v>
      </c>
      <c r="AQ497">
        <f>IF(metadata!Q497="",FALSE,TRUE)</f>
        <v>0</v>
      </c>
    </row>
    <row r="498" spans="1:43">
      <c r="A498" s="5">
        <f>IF(B498=" "," ",HYPERLINK(CONCATENATE("#metadata!",ADDRESS(INDEX($W$2:$W$1001,MATCH(ROWS($U$2:U498),$U$2:$U$1001,0),0),1)),INDEX($Z$2:$Z$1001,MATCH(ROWS($U$2:U498),$U$2:$U$1001,0),0)))</f>
        <v>0</v>
      </c>
      <c r="B498" s="4">
        <f>IF(OR(INDEX($V$2:$V$1001,MATCH(ROWS($U$2:U498),$U$2:$U$1001,0),1)&gt;=100000,INDEX($AB$1005:$AQ$1005,1,MATCH(COLUMNS($AB$1006:AB1006),$AB$1006:$AQ$1006,0))&gt;=100000), " ",IF(INDEX($AB$2:$AQ$1001,MATCH(ROWS($U$2:U498),$U$2:$U$1001,0),MATCH(COLUMNS($AB$1006:AB1006),$AB$1006:$AQ$1006,0)), HYPERLINK("#",""), HYPERLINK(CONCATENATE("#metadata!", ADDRESS(INDEX($W$2:$W$1001,MATCH(ROWS($U$2:U498),$U$2:$U$1001,0),0), INDEX($AB$1004:$AQ$1004,1,MATCH(COLUMNS($AB$1006:AB1006),$AB$1006:$AQ$1006,0)))),"Fix")))</f>
        <v>0</v>
      </c>
      <c r="C498" s="4">
        <f>IF(OR(INDEX($V$2:$V$1001,MATCH(ROWS($U$2:U498),$U$2:$U$1001,0),1)&gt;=100000,INDEX($AB$1005:$AQ$1005,1,MATCH(COLUMNS($AB$1006:AC1006),$AB$1006:$AQ$1006,0))&gt;=100000), " ",IF(INDEX($AB$2:$AQ$1001,MATCH(ROWS($U$2:U498),$U$2:$U$1001,0),MATCH(COLUMNS($AB$1006:AC1006),$AB$1006:$AQ$1006,0)), HYPERLINK("#",""), HYPERLINK(CONCATENATE("#metadata!", ADDRESS(INDEX($W$2:$W$1001,MATCH(ROWS($U$2:U498),$U$2:$U$1001,0),0), INDEX($AB$1004:$AQ$1004,1,MATCH(COLUMNS($AB$1006:AC1006),$AB$1006:$AQ$1006,0)))),"Fix")))</f>
        <v>0</v>
      </c>
      <c r="D498" s="4">
        <f>IF(OR(INDEX($V$2:$V$1001,MATCH(ROWS($U$2:U498),$U$2:$U$1001,0),1)&gt;=100000,INDEX($AB$1005:$AQ$1005,1,MATCH(COLUMNS($AB$1006:AD1006),$AB$1006:$AQ$1006,0))&gt;=100000), " ",IF(INDEX($AB$2:$AQ$1001,MATCH(ROWS($U$2:U498),$U$2:$U$1001,0),MATCH(COLUMNS($AB$1006:AD1006),$AB$1006:$AQ$1006,0)), HYPERLINK("#",""), HYPERLINK(CONCATENATE("#metadata!", ADDRESS(INDEX($W$2:$W$1001,MATCH(ROWS($U$2:U498),$U$2:$U$1001,0),0), INDEX($AB$1004:$AQ$1004,1,MATCH(COLUMNS($AB$1006:AD1006),$AB$1006:$AQ$1006,0)))),"Fix")))</f>
        <v>0</v>
      </c>
      <c r="E498" s="4">
        <f>IF(OR(INDEX($V$2:$V$1001,MATCH(ROWS($U$2:U498),$U$2:$U$1001,0),1)&gt;=100000,INDEX($AB$1005:$AQ$1005,1,MATCH(COLUMNS($AB$1006:AE1006),$AB$1006:$AQ$1006,0))&gt;=100000), " ",IF(INDEX($AB$2:$AQ$1001,MATCH(ROWS($U$2:U498),$U$2:$U$1001,0),MATCH(COLUMNS($AB$1006:AE1006),$AB$1006:$AQ$1006,0)), HYPERLINK("#",""), HYPERLINK(CONCATENATE("#metadata!", ADDRESS(INDEX($W$2:$W$1001,MATCH(ROWS($U$2:U498),$U$2:$U$1001,0),0), INDEX($AB$1004:$AQ$1004,1,MATCH(COLUMNS($AB$1006:AE1006),$AB$1006:$AQ$1006,0)))),"Fix")))</f>
        <v>0</v>
      </c>
      <c r="F498" s="4">
        <f>IF(OR(INDEX($V$2:$V$1001,MATCH(ROWS($U$2:U498),$U$2:$U$1001,0),1)&gt;=100000,INDEX($AB$1005:$AQ$1005,1,MATCH(COLUMNS($AB$1006:AF1006),$AB$1006:$AQ$1006,0))&gt;=100000), " ",IF(INDEX($AB$2:$AQ$1001,MATCH(ROWS($U$2:U498),$U$2:$U$1001,0),MATCH(COLUMNS($AB$1006:AF1006),$AB$1006:$AQ$1006,0)), HYPERLINK("#",""), HYPERLINK(CONCATENATE("#metadata!", ADDRESS(INDEX($W$2:$W$1001,MATCH(ROWS($U$2:U498),$U$2:$U$1001,0),0), INDEX($AB$1004:$AQ$1004,1,MATCH(COLUMNS($AB$1006:AF1006),$AB$1006:$AQ$1006,0)))),"Fix")))</f>
        <v>0</v>
      </c>
      <c r="G498" s="4">
        <f>IF(OR(INDEX($V$2:$V$1001,MATCH(ROWS($U$2:U498),$U$2:$U$1001,0),1)&gt;=100000,INDEX($AB$1005:$AQ$1005,1,MATCH(COLUMNS($AB$1006:AG1006),$AB$1006:$AQ$1006,0))&gt;=100000), " ",IF(INDEX($AB$2:$AQ$1001,MATCH(ROWS($U$2:U498),$U$2:$U$1001,0),MATCH(COLUMNS($AB$1006:AG1006),$AB$1006:$AQ$1006,0)), HYPERLINK("#",""), HYPERLINK(CONCATENATE("#metadata!", ADDRESS(INDEX($W$2:$W$1001,MATCH(ROWS($U$2:U498),$U$2:$U$1001,0),0), INDEX($AB$1004:$AQ$1004,1,MATCH(COLUMNS($AB$1006:AG1006),$AB$1006:$AQ$1006,0)))),"Fix")))</f>
        <v>0</v>
      </c>
      <c r="H498" s="4">
        <f>IF(OR(INDEX($V$2:$V$1001,MATCH(ROWS($U$2:U498),$U$2:$U$1001,0),1)&gt;=100000,INDEX($AB$1005:$AQ$1005,1,MATCH(COLUMNS($AB$1006:AH1006),$AB$1006:$AQ$1006,0))&gt;=100000), " ",IF(INDEX($AB$2:$AQ$1001,MATCH(ROWS($U$2:U498),$U$2:$U$1001,0),MATCH(COLUMNS($AB$1006:AH1006),$AB$1006:$AQ$1006,0)), HYPERLINK("#",""), HYPERLINK(CONCATENATE("#metadata!", ADDRESS(INDEX($W$2:$W$1001,MATCH(ROWS($U$2:U498),$U$2:$U$1001,0),0), INDEX($AB$1004:$AQ$1004,1,MATCH(COLUMNS($AB$1006:AH1006),$AB$1006:$AQ$1006,0)))),"Fix")))</f>
        <v>0</v>
      </c>
      <c r="I498" s="4">
        <f>IF(OR(INDEX($V$2:$V$1001,MATCH(ROWS($U$2:U498),$U$2:$U$1001,0),1)&gt;=100000,INDEX($AB$1005:$AQ$1005,1,MATCH(COLUMNS($AB$1006:AI1006),$AB$1006:$AQ$1006,0))&gt;=100000), " ",IF(INDEX($AB$2:$AQ$1001,MATCH(ROWS($U$2:U498),$U$2:$U$1001,0),MATCH(COLUMNS($AB$1006:AI1006),$AB$1006:$AQ$1006,0)), HYPERLINK("#",""), HYPERLINK(CONCATENATE("#metadata!", ADDRESS(INDEX($W$2:$W$1001,MATCH(ROWS($U$2:U498),$U$2:$U$1001,0),0), INDEX($AB$1004:$AQ$1004,1,MATCH(COLUMNS($AB$1006:AI1006),$AB$1006:$AQ$1006,0)))),"Fix")))</f>
        <v>0</v>
      </c>
      <c r="J498" s="4">
        <f>IF(OR(INDEX($V$2:$V$1001,MATCH(ROWS($U$2:U498),$U$2:$U$1001,0),1)&gt;=100000,INDEX($AB$1005:$AQ$1005,1,MATCH(COLUMNS($AB$1006:AJ1006),$AB$1006:$AQ$1006,0))&gt;=100000), " ",IF(INDEX($AB$2:$AQ$1001,MATCH(ROWS($U$2:U498),$U$2:$U$1001,0),MATCH(COLUMNS($AB$1006:AJ1006),$AB$1006:$AQ$1006,0)), HYPERLINK("#",""), HYPERLINK(CONCATENATE("#metadata!", ADDRESS(INDEX($W$2:$W$1001,MATCH(ROWS($U$2:U498),$U$2:$U$1001,0),0), INDEX($AB$1004:$AQ$1004,1,MATCH(COLUMNS($AB$1006:AJ1006),$AB$1006:$AQ$1006,0)))),"Fix")))</f>
        <v>0</v>
      </c>
      <c r="K498" s="4">
        <f>IF(OR(INDEX($V$2:$V$1001,MATCH(ROWS($U$2:U498),$U$2:$U$1001,0),1)&gt;=100000,INDEX($AB$1005:$AQ$1005,1,MATCH(COLUMNS($AB$1006:AK1006),$AB$1006:$AQ$1006,0))&gt;=100000), " ",IF(INDEX($AB$2:$AQ$1001,MATCH(ROWS($U$2:U498),$U$2:$U$1001,0),MATCH(COLUMNS($AB$1006:AK1006),$AB$1006:$AQ$1006,0)), HYPERLINK("#",""), HYPERLINK(CONCATENATE("#metadata!", ADDRESS(INDEX($W$2:$W$1001,MATCH(ROWS($U$2:U498),$U$2:$U$1001,0),0), INDEX($AB$1004:$AQ$1004,1,MATCH(COLUMNS($AB$1006:AK1006),$AB$1006:$AQ$1006,0)))),"Fix")))</f>
        <v>0</v>
      </c>
      <c r="L498" s="4">
        <f>IF(OR(INDEX($V$2:$V$1001,MATCH(ROWS($U$2:U498),$U$2:$U$1001,0),1)&gt;=100000,INDEX($AB$1005:$AQ$1005,1,MATCH(COLUMNS($AB$1006:AL1006),$AB$1006:$AQ$1006,0))&gt;=100000), " ",IF(INDEX($AB$2:$AQ$1001,MATCH(ROWS($U$2:U498),$U$2:$U$1001,0),MATCH(COLUMNS($AB$1006:AL1006),$AB$1006:$AQ$1006,0)), HYPERLINK("#",""), HYPERLINK(CONCATENATE("#metadata!", ADDRESS(INDEX($W$2:$W$1001,MATCH(ROWS($U$2:U498),$U$2:$U$1001,0),0), INDEX($AB$1004:$AQ$1004,1,MATCH(COLUMNS($AB$1006:AL1006),$AB$1006:$AQ$1006,0)))),"Fix")))</f>
        <v>0</v>
      </c>
      <c r="M498" s="4">
        <f>IF(OR(INDEX($V$2:$V$1001,MATCH(ROWS($U$2:U498),$U$2:$U$1001,0),1)&gt;=100000,INDEX($AB$1005:$AQ$1005,1,MATCH(COLUMNS($AB$1006:AM1006),$AB$1006:$AQ$1006,0))&gt;=100000), " ",IF(INDEX($AB$2:$AQ$1001,MATCH(ROWS($U$2:U498),$U$2:$U$1001,0),MATCH(COLUMNS($AB$1006:AM1006),$AB$1006:$AQ$1006,0)), HYPERLINK("#",""), HYPERLINK(CONCATENATE("#metadata!", ADDRESS(INDEX($W$2:$W$1001,MATCH(ROWS($U$2:U498),$U$2:$U$1001,0),0), INDEX($AB$1004:$AQ$1004,1,MATCH(COLUMNS($AB$1006:AM1006),$AB$1006:$AQ$1006,0)))),"Fix")))</f>
        <v>0</v>
      </c>
      <c r="N498" s="4">
        <f>IF(OR(INDEX($V$2:$V$1001,MATCH(ROWS($U$2:U498),$U$2:$U$1001,0),1)&gt;=100000,INDEX($AB$1005:$AQ$1005,1,MATCH(COLUMNS($AB$1006:AN1006),$AB$1006:$AQ$1006,0))&gt;=100000), " ",IF(INDEX($AB$2:$AQ$1001,MATCH(ROWS($U$2:U498),$U$2:$U$1001,0),MATCH(COLUMNS($AB$1006:AN1006),$AB$1006:$AQ$1006,0)), HYPERLINK("#",""), HYPERLINK(CONCATENATE("#metadata!", ADDRESS(INDEX($W$2:$W$1001,MATCH(ROWS($U$2:U498),$U$2:$U$1001,0),0), INDEX($AB$1004:$AQ$1004,1,MATCH(COLUMNS($AB$1006:AN1006),$AB$1006:$AQ$1006,0)))),"Fix")))</f>
        <v>0</v>
      </c>
      <c r="O498" s="4">
        <f>IF(OR(INDEX($V$2:$V$1001,MATCH(ROWS($U$2:U498),$U$2:$U$1001,0),1)&gt;=100000,INDEX($AB$1005:$AQ$1005,1,MATCH(COLUMNS($AB$1006:AO1006),$AB$1006:$AQ$1006,0))&gt;=100000), " ",IF(INDEX($AB$2:$AQ$1001,MATCH(ROWS($U$2:U498),$U$2:$U$1001,0),MATCH(COLUMNS($AB$1006:AO1006),$AB$1006:$AQ$1006,0)), HYPERLINK("#",""), HYPERLINK(CONCATENATE("#metadata!", ADDRESS(INDEX($W$2:$W$1001,MATCH(ROWS($U$2:U498),$U$2:$U$1001,0),0), INDEX($AB$1004:$AQ$1004,1,MATCH(COLUMNS($AB$1006:AO1006),$AB$1006:$AQ$1006,0)))),"Fix")))</f>
        <v>0</v>
      </c>
      <c r="P498" s="4">
        <f>IF(OR(INDEX($V$2:$V$1001,MATCH(ROWS($U$2:U498),$U$2:$U$1001,0),1)&gt;=100000,INDEX($AB$1005:$AQ$1005,1,MATCH(COLUMNS($AB$1006:AP1006),$AB$1006:$AQ$1006,0))&gt;=100000), " ",IF(INDEX($AB$2:$AQ$1001,MATCH(ROWS($U$2:U498),$U$2:$U$1001,0),MATCH(COLUMNS($AB$1006:AP1006),$AB$1006:$AQ$1006,0)), HYPERLINK("#",""), HYPERLINK(CONCATENATE("#metadata!", ADDRESS(INDEX($W$2:$W$1001,MATCH(ROWS($U$2:U498),$U$2:$U$1001,0),0), INDEX($AB$1004:$AQ$1004,1,MATCH(COLUMNS($AB$1006:AP1006),$AB$1006:$AQ$1006,0)))),"Fix")))</f>
        <v>0</v>
      </c>
      <c r="Q498" s="4">
        <f>IF(OR(INDEX($V$2:$V$1001,MATCH(ROWS($U$2:U498),$U$2:$U$1001,0),1)&gt;=100000,INDEX($AB$1005:$AQ$1005,1,MATCH(COLUMNS($AB$1006:AQ1006),$AB$1006:$AQ$1006,0))&gt;=100000), " ",IF(INDEX($AB$2:$AQ$1001,MATCH(ROWS($U$2:U498),$U$2:$U$1001,0),MATCH(COLUMNS($AB$1006:AQ1006),$AB$1006:$AQ$1006,0)), HYPERLINK("#",""), HYPERLINK(CONCATENATE("#metadata!", ADDRESS(INDEX($W$2:$W$1001,MATCH(ROWS($U$2:U498),$U$2:$U$1001,0),0), INDEX($AB$1004:$AQ$1004,1,MATCH(COLUMNS($AB$1006:AQ1006),$AB$1006:$AQ$1006,0)))),"Fix")))</f>
        <v>0</v>
      </c>
      <c r="U498">
        <v>0</v>
      </c>
      <c r="V498">
        <v>0</v>
      </c>
      <c r="W498">
        <v>0</v>
      </c>
      <c r="X498">
        <f>IF(Y498,TRUE,AND(AB498:AQ498))</f>
        <v>0</v>
      </c>
      <c r="Y498">
        <f>COUNTBLANK(metadata!B498:Q498)=COLUMNS(metadata!B498:Q498)</f>
        <v>0</v>
      </c>
      <c r="Z498">
        <v>0</v>
      </c>
      <c r="AB498">
        <f>AND(IF(metadata!B498="",FALSE,TRUE),COUNTIF(metadata!B:B, metadata!B498) = 1,NOT(ISERROR(SUMPRODUCT(SEARCH(MID(metadata!B498,ROW(INDIRECT("1:"&amp;LEN(metadata!B498))), 1),"0123456789abcdefghijklmnopqrstuvwxyzABCDEFGHIJKLMNOPQRSTUVWXYZ.")))))</f>
        <v>0</v>
      </c>
      <c r="AC498">
        <f>OR(AND(IF(metadata!C498="",FALSE,TRUE),OR(exact(metadata!C498,"missing: not collected"),exact(metadata!C498,"missing: not provided"),exact(metadata!C498,"missing: restricted access"))),AND(IF(metadata!C498="",FALSE,TRUE),AND(AND(IFERROR(INT(LEFT(metadata!C498,4))&gt;1900,FALSE),IFERROR(INT(LEFT(metadata!C498,4))&lt;=YEAR(NOW()),FALSE)), OR(MID(metadata!C498,5,1)="", AND(AND(MID(metadata!C498,5,1)="-",IFERROR(INT(MID(metadata!C498,6,1))&gt;=0,FALSE),IFERROR(INT(MID(metadata!C498,6,1))&lt;=1,FALSE),NOT(MID(metadata!C498,7,1)=""),IFERROR(INT(MID(metadata!C498,6,2))&gt;=1,FALSE),IFERROR(INT(MID(metadata!C498,6,2))&lt;=12,FALSE)), OR(MID(metadata!C498,8,1)="", AND(AND(MID(metadata!C498,8,1)="-",IFERROR(INT(MID(metadata!C498,9,1))&gt;=0,FALSE),IFERROR(INT(MID(metadata!C498,9,1))&lt;=3,FALSE),NOT(MID(metadata!C498,10,1)=""),IFERROR(INT(MID(metadata!C498,9,2))&gt;=1,FALSE),IFERROR(INT(MID(metadata!C498,9,2))&lt;=31,FALSE)), OR(MID(metadata!C498,11,1)="", AND(AND(MID(metadata!C498,11,1)=" ",IFERROR(INT(MID(metadata!C498,12,1))&gt;=0,FALSE),IFERROR(INT(MID(metadata!C498,12,1))&lt;=2,FALSE),NOT(MID(metadata!C498,13,1)=""),IFERROR(INT(MID(metadata!C498,12,2))&gt;=0,FALSE),IFERROR(INT(MID(metadata!C498,12,2))&lt;=23,FALSE)), OR(MID(metadata!C498,14,1)="", AND(AND(MID(metadata!C498,14,1)=":",IFERROR(INT(MID(metadata!C498,15,1))&gt;=0,FALSE),IFERROR(INT(MID(metadata!C498,15,1))&lt;=5,FALSE),NOT(MID(metadata!C498,16,1)=""),IFERROR(INT(MID(metadata!C498,15,2))&gt;=0,FALSE),IFERROR(INT(MID(metadata!C498,15,2))&lt;=59,FALSE)), OR(MID(metadata!C498,17,1)="", AND(AND(MID(metadata!C498,17,1)=":",IFERROR(INT(MID(metadata!C498,18,1))&gt;=0,FALSE),IFERROR(INT(MID(metadata!C498,18,1))&lt;=5,FALSE),NOT(MID(metadata!C498,19,1)=""),IFERROR(INT(MID(metadata!C498,18,2))&gt;=0,FALSE),IFERROR(INT(MID(metadata!C498,18,2))&lt;=59,FALSE)), LEN(metadata!C498)&lt;=19)))))))))))))</f>
        <v>0</v>
      </c>
      <c r="AD498">
        <f>IF(metadata!D498="",FALSE,TRUE)</f>
        <v>0</v>
      </c>
      <c r="AE498">
        <f>OR(AND(IF(metadata!E498="",FALSE,TRUE),OR(exact(metadata!E498,"missing: not collected"),exact(metadata!E498,"missing: not provided"))),AND(IF(metadata!E498="",FALSE,TRUE),OR(exact(metadata!E498,"TRUE"),exact(metadata!E498,"FALSE"))))</f>
        <v>0</v>
      </c>
      <c r="AF498">
        <f>IF(metadata!F498="",FALSE,TRUE)</f>
        <v>0</v>
      </c>
      <c r="AG498">
        <f>IF(metadata!G498="",FALSE,TRUE)</f>
        <v>0</v>
      </c>
      <c r="AH498">
        <f>IF(metadata!H498="",FALSE,TRUE)</f>
        <v>0</v>
      </c>
      <c r="AI498">
        <f>OR(AND(IF(metadata!I498="",FALSE,TRUE),OR(exact(metadata!I498,"missing: not collected"),exact(metadata!I498,"missing: not provided"),exact(metadata!I498,"missing: restricted access"))),AND(IF(metadata!I498="",FALSE,TRUE),OR(exact(metadata!I498,"air"),exact(metadata!I498,"built environment"),exact(metadata!I498,"host-associated"),exact(metadata!I498,"human-associated"),exact(metadata!I498,"human-skin"),exact(metadata!I498,"human-oral"),exact(metadata!I498,"human-gut"),exact(metadata!I498,"human-vaginal"),exact(metadata!I498,"microbial mat/biofilm"),exact(metadata!I498,"misc environment"),exact(metadata!I498,"plant-associated"),exact(metadata!I498,"sediment"),exact(metadata!I498,"soil"),exact(metadata!I498,"wastewater/sludge"),exact(metadata!I498,"water"))))</f>
        <v>0</v>
      </c>
      <c r="AJ498">
        <f>IF(metadata!J498="",FALSE,TRUE)</f>
        <v>0</v>
      </c>
      <c r="AK498">
        <f>OR(AND(IF(metadata!K498="",FALSE,TRUE),OR(exact(metadata!K498,"missing: not collected"),exact(metadata!K498,"missing: not provided"),exact(metadata!K498,"missing: restricted access"))),AND(IF(metadata!K498="",FALSE,ISNUMBER(VALUE(metadata!K498))),metadata!K498&gt;=-90.00,metadata!K498&lt;=90.00))</f>
        <v>0</v>
      </c>
      <c r="AL498">
        <f>OR(AND(IF(metadata!L498="",FALSE,TRUE),OR(exact(metadata!L498,"missing: not collected"),exact(metadata!L498,"missing: not provided"),exact(metadata!L498,"missing: restricted access"))),AND(IF(metadata!L498="",FALSE,ISNUMBER(VALUE(metadata!L498))),metadata!L498&gt;=-180.00,metadata!L498&lt;=180.00))</f>
        <v>0</v>
      </c>
      <c r="AM498">
        <f>IF(metadata!M498="",FALSE,TRUE)</f>
        <v>0</v>
      </c>
      <c r="AN498">
        <f>OR(AND(IF(metadata!N498="",FALSE,TRUE),OR(exact(metadata!N498,"missing: not collected"),exact(metadata!N498,"missing: not provided"),exact(metadata!N498,"missing: restricted access"))),AND(IF(metadata!N498="",FALSE,TRUE),OR(exact(metadata!N498,"TRUE"),exact(metadata!N498,"FALSE"))))</f>
        <v>0</v>
      </c>
      <c r="AO498">
        <f>IF(metadata!O498="",FALSE,TRUE)</f>
        <v>0</v>
      </c>
      <c r="AP498">
        <f>OR(AND(IF(metadata!P498="",FALSE,TRUE),OR(exact(metadata!P498,"missing: not collected"),exact(metadata!P498,"missing: not provided"))),AND(IF(metadata!P498="",FALSE,IF(ISERROR(INT(metadata!P498)),FALSE,INT(metadata!P498)=metadata!P498)),metadata!P498&gt;0))</f>
        <v>0</v>
      </c>
      <c r="AQ498">
        <f>IF(metadata!Q498="",FALSE,TRUE)</f>
        <v>0</v>
      </c>
    </row>
    <row r="499" spans="1:43">
      <c r="A499" s="5">
        <f>IF(B499=" "," ",HYPERLINK(CONCATENATE("#metadata!",ADDRESS(INDEX($W$2:$W$1001,MATCH(ROWS($U$2:U499),$U$2:$U$1001,0),0),1)),INDEX($Z$2:$Z$1001,MATCH(ROWS($U$2:U499),$U$2:$U$1001,0),0)))</f>
        <v>0</v>
      </c>
      <c r="B499" s="4">
        <f>IF(OR(INDEX($V$2:$V$1001,MATCH(ROWS($U$2:U499),$U$2:$U$1001,0),1)&gt;=100000,INDEX($AB$1005:$AQ$1005,1,MATCH(COLUMNS($AB$1006:AB1006),$AB$1006:$AQ$1006,0))&gt;=100000), " ",IF(INDEX($AB$2:$AQ$1001,MATCH(ROWS($U$2:U499),$U$2:$U$1001,0),MATCH(COLUMNS($AB$1006:AB1006),$AB$1006:$AQ$1006,0)), HYPERLINK("#",""), HYPERLINK(CONCATENATE("#metadata!", ADDRESS(INDEX($W$2:$W$1001,MATCH(ROWS($U$2:U499),$U$2:$U$1001,0),0), INDEX($AB$1004:$AQ$1004,1,MATCH(COLUMNS($AB$1006:AB1006),$AB$1006:$AQ$1006,0)))),"Fix")))</f>
        <v>0</v>
      </c>
      <c r="C499" s="4">
        <f>IF(OR(INDEX($V$2:$V$1001,MATCH(ROWS($U$2:U499),$U$2:$U$1001,0),1)&gt;=100000,INDEX($AB$1005:$AQ$1005,1,MATCH(COLUMNS($AB$1006:AC1006),$AB$1006:$AQ$1006,0))&gt;=100000), " ",IF(INDEX($AB$2:$AQ$1001,MATCH(ROWS($U$2:U499),$U$2:$U$1001,0),MATCH(COLUMNS($AB$1006:AC1006),$AB$1006:$AQ$1006,0)), HYPERLINK("#",""), HYPERLINK(CONCATENATE("#metadata!", ADDRESS(INDEX($W$2:$W$1001,MATCH(ROWS($U$2:U499),$U$2:$U$1001,0),0), INDEX($AB$1004:$AQ$1004,1,MATCH(COLUMNS($AB$1006:AC1006),$AB$1006:$AQ$1006,0)))),"Fix")))</f>
        <v>0</v>
      </c>
      <c r="D499" s="4">
        <f>IF(OR(INDEX($V$2:$V$1001,MATCH(ROWS($U$2:U499),$U$2:$U$1001,0),1)&gt;=100000,INDEX($AB$1005:$AQ$1005,1,MATCH(COLUMNS($AB$1006:AD1006),$AB$1006:$AQ$1006,0))&gt;=100000), " ",IF(INDEX($AB$2:$AQ$1001,MATCH(ROWS($U$2:U499),$U$2:$U$1001,0),MATCH(COLUMNS($AB$1006:AD1006),$AB$1006:$AQ$1006,0)), HYPERLINK("#",""), HYPERLINK(CONCATENATE("#metadata!", ADDRESS(INDEX($W$2:$W$1001,MATCH(ROWS($U$2:U499),$U$2:$U$1001,0),0), INDEX($AB$1004:$AQ$1004,1,MATCH(COLUMNS($AB$1006:AD1006),$AB$1006:$AQ$1006,0)))),"Fix")))</f>
        <v>0</v>
      </c>
      <c r="E499" s="4">
        <f>IF(OR(INDEX($V$2:$V$1001,MATCH(ROWS($U$2:U499),$U$2:$U$1001,0),1)&gt;=100000,INDEX($AB$1005:$AQ$1005,1,MATCH(COLUMNS($AB$1006:AE1006),$AB$1006:$AQ$1006,0))&gt;=100000), " ",IF(INDEX($AB$2:$AQ$1001,MATCH(ROWS($U$2:U499),$U$2:$U$1001,0),MATCH(COLUMNS($AB$1006:AE1006),$AB$1006:$AQ$1006,0)), HYPERLINK("#",""), HYPERLINK(CONCATENATE("#metadata!", ADDRESS(INDEX($W$2:$W$1001,MATCH(ROWS($U$2:U499),$U$2:$U$1001,0),0), INDEX($AB$1004:$AQ$1004,1,MATCH(COLUMNS($AB$1006:AE1006),$AB$1006:$AQ$1006,0)))),"Fix")))</f>
        <v>0</v>
      </c>
      <c r="F499" s="4">
        <f>IF(OR(INDEX($V$2:$V$1001,MATCH(ROWS($U$2:U499),$U$2:$U$1001,0),1)&gt;=100000,INDEX($AB$1005:$AQ$1005,1,MATCH(COLUMNS($AB$1006:AF1006),$AB$1006:$AQ$1006,0))&gt;=100000), " ",IF(INDEX($AB$2:$AQ$1001,MATCH(ROWS($U$2:U499),$U$2:$U$1001,0),MATCH(COLUMNS($AB$1006:AF1006),$AB$1006:$AQ$1006,0)), HYPERLINK("#",""), HYPERLINK(CONCATENATE("#metadata!", ADDRESS(INDEX($W$2:$W$1001,MATCH(ROWS($U$2:U499),$U$2:$U$1001,0),0), INDEX($AB$1004:$AQ$1004,1,MATCH(COLUMNS($AB$1006:AF1006),$AB$1006:$AQ$1006,0)))),"Fix")))</f>
        <v>0</v>
      </c>
      <c r="G499" s="4">
        <f>IF(OR(INDEX($V$2:$V$1001,MATCH(ROWS($U$2:U499),$U$2:$U$1001,0),1)&gt;=100000,INDEX($AB$1005:$AQ$1005,1,MATCH(COLUMNS($AB$1006:AG1006),$AB$1006:$AQ$1006,0))&gt;=100000), " ",IF(INDEX($AB$2:$AQ$1001,MATCH(ROWS($U$2:U499),$U$2:$U$1001,0),MATCH(COLUMNS($AB$1006:AG1006),$AB$1006:$AQ$1006,0)), HYPERLINK("#",""), HYPERLINK(CONCATENATE("#metadata!", ADDRESS(INDEX($W$2:$W$1001,MATCH(ROWS($U$2:U499),$U$2:$U$1001,0),0), INDEX($AB$1004:$AQ$1004,1,MATCH(COLUMNS($AB$1006:AG1006),$AB$1006:$AQ$1006,0)))),"Fix")))</f>
        <v>0</v>
      </c>
      <c r="H499" s="4">
        <f>IF(OR(INDEX($V$2:$V$1001,MATCH(ROWS($U$2:U499),$U$2:$U$1001,0),1)&gt;=100000,INDEX($AB$1005:$AQ$1005,1,MATCH(COLUMNS($AB$1006:AH1006),$AB$1006:$AQ$1006,0))&gt;=100000), " ",IF(INDEX($AB$2:$AQ$1001,MATCH(ROWS($U$2:U499),$U$2:$U$1001,0),MATCH(COLUMNS($AB$1006:AH1006),$AB$1006:$AQ$1006,0)), HYPERLINK("#",""), HYPERLINK(CONCATENATE("#metadata!", ADDRESS(INDEX($W$2:$W$1001,MATCH(ROWS($U$2:U499),$U$2:$U$1001,0),0), INDEX($AB$1004:$AQ$1004,1,MATCH(COLUMNS($AB$1006:AH1006),$AB$1006:$AQ$1006,0)))),"Fix")))</f>
        <v>0</v>
      </c>
      <c r="I499" s="4">
        <f>IF(OR(INDEX($V$2:$V$1001,MATCH(ROWS($U$2:U499),$U$2:$U$1001,0),1)&gt;=100000,INDEX($AB$1005:$AQ$1005,1,MATCH(COLUMNS($AB$1006:AI1006),$AB$1006:$AQ$1006,0))&gt;=100000), " ",IF(INDEX($AB$2:$AQ$1001,MATCH(ROWS($U$2:U499),$U$2:$U$1001,0),MATCH(COLUMNS($AB$1006:AI1006),$AB$1006:$AQ$1006,0)), HYPERLINK("#",""), HYPERLINK(CONCATENATE("#metadata!", ADDRESS(INDEX($W$2:$W$1001,MATCH(ROWS($U$2:U499),$U$2:$U$1001,0),0), INDEX($AB$1004:$AQ$1004,1,MATCH(COLUMNS($AB$1006:AI1006),$AB$1006:$AQ$1006,0)))),"Fix")))</f>
        <v>0</v>
      </c>
      <c r="J499" s="4">
        <f>IF(OR(INDEX($V$2:$V$1001,MATCH(ROWS($U$2:U499),$U$2:$U$1001,0),1)&gt;=100000,INDEX($AB$1005:$AQ$1005,1,MATCH(COLUMNS($AB$1006:AJ1006),$AB$1006:$AQ$1006,0))&gt;=100000), " ",IF(INDEX($AB$2:$AQ$1001,MATCH(ROWS($U$2:U499),$U$2:$U$1001,0),MATCH(COLUMNS($AB$1006:AJ1006),$AB$1006:$AQ$1006,0)), HYPERLINK("#",""), HYPERLINK(CONCATENATE("#metadata!", ADDRESS(INDEX($W$2:$W$1001,MATCH(ROWS($U$2:U499),$U$2:$U$1001,0),0), INDEX($AB$1004:$AQ$1004,1,MATCH(COLUMNS($AB$1006:AJ1006),$AB$1006:$AQ$1006,0)))),"Fix")))</f>
        <v>0</v>
      </c>
      <c r="K499" s="4">
        <f>IF(OR(INDEX($V$2:$V$1001,MATCH(ROWS($U$2:U499),$U$2:$U$1001,0),1)&gt;=100000,INDEX($AB$1005:$AQ$1005,1,MATCH(COLUMNS($AB$1006:AK1006),$AB$1006:$AQ$1006,0))&gt;=100000), " ",IF(INDEX($AB$2:$AQ$1001,MATCH(ROWS($U$2:U499),$U$2:$U$1001,0),MATCH(COLUMNS($AB$1006:AK1006),$AB$1006:$AQ$1006,0)), HYPERLINK("#",""), HYPERLINK(CONCATENATE("#metadata!", ADDRESS(INDEX($W$2:$W$1001,MATCH(ROWS($U$2:U499),$U$2:$U$1001,0),0), INDEX($AB$1004:$AQ$1004,1,MATCH(COLUMNS($AB$1006:AK1006),$AB$1006:$AQ$1006,0)))),"Fix")))</f>
        <v>0</v>
      </c>
      <c r="L499" s="4">
        <f>IF(OR(INDEX($V$2:$V$1001,MATCH(ROWS($U$2:U499),$U$2:$U$1001,0),1)&gt;=100000,INDEX($AB$1005:$AQ$1005,1,MATCH(COLUMNS($AB$1006:AL1006),$AB$1006:$AQ$1006,0))&gt;=100000), " ",IF(INDEX($AB$2:$AQ$1001,MATCH(ROWS($U$2:U499),$U$2:$U$1001,0),MATCH(COLUMNS($AB$1006:AL1006),$AB$1006:$AQ$1006,0)), HYPERLINK("#",""), HYPERLINK(CONCATENATE("#metadata!", ADDRESS(INDEX($W$2:$W$1001,MATCH(ROWS($U$2:U499),$U$2:$U$1001,0),0), INDEX($AB$1004:$AQ$1004,1,MATCH(COLUMNS($AB$1006:AL1006),$AB$1006:$AQ$1006,0)))),"Fix")))</f>
        <v>0</v>
      </c>
      <c r="M499" s="4">
        <f>IF(OR(INDEX($V$2:$V$1001,MATCH(ROWS($U$2:U499),$U$2:$U$1001,0),1)&gt;=100000,INDEX($AB$1005:$AQ$1005,1,MATCH(COLUMNS($AB$1006:AM1006),$AB$1006:$AQ$1006,0))&gt;=100000), " ",IF(INDEX($AB$2:$AQ$1001,MATCH(ROWS($U$2:U499),$U$2:$U$1001,0),MATCH(COLUMNS($AB$1006:AM1006),$AB$1006:$AQ$1006,0)), HYPERLINK("#",""), HYPERLINK(CONCATENATE("#metadata!", ADDRESS(INDEX($W$2:$W$1001,MATCH(ROWS($U$2:U499),$U$2:$U$1001,0),0), INDEX($AB$1004:$AQ$1004,1,MATCH(COLUMNS($AB$1006:AM1006),$AB$1006:$AQ$1006,0)))),"Fix")))</f>
        <v>0</v>
      </c>
      <c r="N499" s="4">
        <f>IF(OR(INDEX($V$2:$V$1001,MATCH(ROWS($U$2:U499),$U$2:$U$1001,0),1)&gt;=100000,INDEX($AB$1005:$AQ$1005,1,MATCH(COLUMNS($AB$1006:AN1006),$AB$1006:$AQ$1006,0))&gt;=100000), " ",IF(INDEX($AB$2:$AQ$1001,MATCH(ROWS($U$2:U499),$U$2:$U$1001,0),MATCH(COLUMNS($AB$1006:AN1006),$AB$1006:$AQ$1006,0)), HYPERLINK("#",""), HYPERLINK(CONCATENATE("#metadata!", ADDRESS(INDEX($W$2:$W$1001,MATCH(ROWS($U$2:U499),$U$2:$U$1001,0),0), INDEX($AB$1004:$AQ$1004,1,MATCH(COLUMNS($AB$1006:AN1006),$AB$1006:$AQ$1006,0)))),"Fix")))</f>
        <v>0</v>
      </c>
      <c r="O499" s="4">
        <f>IF(OR(INDEX($V$2:$V$1001,MATCH(ROWS($U$2:U499),$U$2:$U$1001,0),1)&gt;=100000,INDEX($AB$1005:$AQ$1005,1,MATCH(COLUMNS($AB$1006:AO1006),$AB$1006:$AQ$1006,0))&gt;=100000), " ",IF(INDEX($AB$2:$AQ$1001,MATCH(ROWS($U$2:U499),$U$2:$U$1001,0),MATCH(COLUMNS($AB$1006:AO1006),$AB$1006:$AQ$1006,0)), HYPERLINK("#",""), HYPERLINK(CONCATENATE("#metadata!", ADDRESS(INDEX($W$2:$W$1001,MATCH(ROWS($U$2:U499),$U$2:$U$1001,0),0), INDEX($AB$1004:$AQ$1004,1,MATCH(COLUMNS($AB$1006:AO1006),$AB$1006:$AQ$1006,0)))),"Fix")))</f>
        <v>0</v>
      </c>
      <c r="P499" s="4">
        <f>IF(OR(INDEX($V$2:$V$1001,MATCH(ROWS($U$2:U499),$U$2:$U$1001,0),1)&gt;=100000,INDEX($AB$1005:$AQ$1005,1,MATCH(COLUMNS($AB$1006:AP1006),$AB$1006:$AQ$1006,0))&gt;=100000), " ",IF(INDEX($AB$2:$AQ$1001,MATCH(ROWS($U$2:U499),$U$2:$U$1001,0),MATCH(COLUMNS($AB$1006:AP1006),$AB$1006:$AQ$1006,0)), HYPERLINK("#",""), HYPERLINK(CONCATENATE("#metadata!", ADDRESS(INDEX($W$2:$W$1001,MATCH(ROWS($U$2:U499),$U$2:$U$1001,0),0), INDEX($AB$1004:$AQ$1004,1,MATCH(COLUMNS($AB$1006:AP1006),$AB$1006:$AQ$1006,0)))),"Fix")))</f>
        <v>0</v>
      </c>
      <c r="Q499" s="4">
        <f>IF(OR(INDEX($V$2:$V$1001,MATCH(ROWS($U$2:U499),$U$2:$U$1001,0),1)&gt;=100000,INDEX($AB$1005:$AQ$1005,1,MATCH(COLUMNS($AB$1006:AQ1006),$AB$1006:$AQ$1006,0))&gt;=100000), " ",IF(INDEX($AB$2:$AQ$1001,MATCH(ROWS($U$2:U499),$U$2:$U$1001,0),MATCH(COLUMNS($AB$1006:AQ1006),$AB$1006:$AQ$1006,0)), HYPERLINK("#",""), HYPERLINK(CONCATENATE("#metadata!", ADDRESS(INDEX($W$2:$W$1001,MATCH(ROWS($U$2:U499),$U$2:$U$1001,0),0), INDEX($AB$1004:$AQ$1004,1,MATCH(COLUMNS($AB$1006:AQ1006),$AB$1006:$AQ$1006,0)))),"Fix")))</f>
        <v>0</v>
      </c>
      <c r="U499">
        <v>0</v>
      </c>
      <c r="V499">
        <v>0</v>
      </c>
      <c r="W499">
        <v>0</v>
      </c>
      <c r="X499">
        <f>IF(Y499,TRUE,AND(AB499:AQ499))</f>
        <v>0</v>
      </c>
      <c r="Y499">
        <f>COUNTBLANK(metadata!B499:Q499)=COLUMNS(metadata!B499:Q499)</f>
        <v>0</v>
      </c>
      <c r="Z499">
        <v>0</v>
      </c>
      <c r="AB499">
        <f>AND(IF(metadata!B499="",FALSE,TRUE),COUNTIF(metadata!B:B, metadata!B499) = 1,NOT(ISERROR(SUMPRODUCT(SEARCH(MID(metadata!B499,ROW(INDIRECT("1:"&amp;LEN(metadata!B499))), 1),"0123456789abcdefghijklmnopqrstuvwxyzABCDEFGHIJKLMNOPQRSTUVWXYZ.")))))</f>
        <v>0</v>
      </c>
      <c r="AC499">
        <f>OR(AND(IF(metadata!C499="",FALSE,TRUE),OR(exact(metadata!C499,"missing: not collected"),exact(metadata!C499,"missing: not provided"),exact(metadata!C499,"missing: restricted access"))),AND(IF(metadata!C499="",FALSE,TRUE),AND(AND(IFERROR(INT(LEFT(metadata!C499,4))&gt;1900,FALSE),IFERROR(INT(LEFT(metadata!C499,4))&lt;=YEAR(NOW()),FALSE)), OR(MID(metadata!C499,5,1)="", AND(AND(MID(metadata!C499,5,1)="-",IFERROR(INT(MID(metadata!C499,6,1))&gt;=0,FALSE),IFERROR(INT(MID(metadata!C499,6,1))&lt;=1,FALSE),NOT(MID(metadata!C499,7,1)=""),IFERROR(INT(MID(metadata!C499,6,2))&gt;=1,FALSE),IFERROR(INT(MID(metadata!C499,6,2))&lt;=12,FALSE)), OR(MID(metadata!C499,8,1)="", AND(AND(MID(metadata!C499,8,1)="-",IFERROR(INT(MID(metadata!C499,9,1))&gt;=0,FALSE),IFERROR(INT(MID(metadata!C499,9,1))&lt;=3,FALSE),NOT(MID(metadata!C499,10,1)=""),IFERROR(INT(MID(metadata!C499,9,2))&gt;=1,FALSE),IFERROR(INT(MID(metadata!C499,9,2))&lt;=31,FALSE)), OR(MID(metadata!C499,11,1)="", AND(AND(MID(metadata!C499,11,1)=" ",IFERROR(INT(MID(metadata!C499,12,1))&gt;=0,FALSE),IFERROR(INT(MID(metadata!C499,12,1))&lt;=2,FALSE),NOT(MID(metadata!C499,13,1)=""),IFERROR(INT(MID(metadata!C499,12,2))&gt;=0,FALSE),IFERROR(INT(MID(metadata!C499,12,2))&lt;=23,FALSE)), OR(MID(metadata!C499,14,1)="", AND(AND(MID(metadata!C499,14,1)=":",IFERROR(INT(MID(metadata!C499,15,1))&gt;=0,FALSE),IFERROR(INT(MID(metadata!C499,15,1))&lt;=5,FALSE),NOT(MID(metadata!C499,16,1)=""),IFERROR(INT(MID(metadata!C499,15,2))&gt;=0,FALSE),IFERROR(INT(MID(metadata!C499,15,2))&lt;=59,FALSE)), OR(MID(metadata!C499,17,1)="", AND(AND(MID(metadata!C499,17,1)=":",IFERROR(INT(MID(metadata!C499,18,1))&gt;=0,FALSE),IFERROR(INT(MID(metadata!C499,18,1))&lt;=5,FALSE),NOT(MID(metadata!C499,19,1)=""),IFERROR(INT(MID(metadata!C499,18,2))&gt;=0,FALSE),IFERROR(INT(MID(metadata!C499,18,2))&lt;=59,FALSE)), LEN(metadata!C499)&lt;=19)))))))))))))</f>
        <v>0</v>
      </c>
      <c r="AD499">
        <f>IF(metadata!D499="",FALSE,TRUE)</f>
        <v>0</v>
      </c>
      <c r="AE499">
        <f>OR(AND(IF(metadata!E499="",FALSE,TRUE),OR(exact(metadata!E499,"missing: not collected"),exact(metadata!E499,"missing: not provided"))),AND(IF(metadata!E499="",FALSE,TRUE),OR(exact(metadata!E499,"TRUE"),exact(metadata!E499,"FALSE"))))</f>
        <v>0</v>
      </c>
      <c r="AF499">
        <f>IF(metadata!F499="",FALSE,TRUE)</f>
        <v>0</v>
      </c>
      <c r="AG499">
        <f>IF(metadata!G499="",FALSE,TRUE)</f>
        <v>0</v>
      </c>
      <c r="AH499">
        <f>IF(metadata!H499="",FALSE,TRUE)</f>
        <v>0</v>
      </c>
      <c r="AI499">
        <f>OR(AND(IF(metadata!I499="",FALSE,TRUE),OR(exact(metadata!I499,"missing: not collected"),exact(metadata!I499,"missing: not provided"),exact(metadata!I499,"missing: restricted access"))),AND(IF(metadata!I499="",FALSE,TRUE),OR(exact(metadata!I499,"air"),exact(metadata!I499,"built environment"),exact(metadata!I499,"host-associated"),exact(metadata!I499,"human-associated"),exact(metadata!I499,"human-skin"),exact(metadata!I499,"human-oral"),exact(metadata!I499,"human-gut"),exact(metadata!I499,"human-vaginal"),exact(metadata!I499,"microbial mat/biofilm"),exact(metadata!I499,"misc environment"),exact(metadata!I499,"plant-associated"),exact(metadata!I499,"sediment"),exact(metadata!I499,"soil"),exact(metadata!I499,"wastewater/sludge"),exact(metadata!I499,"water"))))</f>
        <v>0</v>
      </c>
      <c r="AJ499">
        <f>IF(metadata!J499="",FALSE,TRUE)</f>
        <v>0</v>
      </c>
      <c r="AK499">
        <f>OR(AND(IF(metadata!K499="",FALSE,TRUE),OR(exact(metadata!K499,"missing: not collected"),exact(metadata!K499,"missing: not provided"),exact(metadata!K499,"missing: restricted access"))),AND(IF(metadata!K499="",FALSE,ISNUMBER(VALUE(metadata!K499))),metadata!K499&gt;=-90.00,metadata!K499&lt;=90.00))</f>
        <v>0</v>
      </c>
      <c r="AL499">
        <f>OR(AND(IF(metadata!L499="",FALSE,TRUE),OR(exact(metadata!L499,"missing: not collected"),exact(metadata!L499,"missing: not provided"),exact(metadata!L499,"missing: restricted access"))),AND(IF(metadata!L499="",FALSE,ISNUMBER(VALUE(metadata!L499))),metadata!L499&gt;=-180.00,metadata!L499&lt;=180.00))</f>
        <v>0</v>
      </c>
      <c r="AM499">
        <f>IF(metadata!M499="",FALSE,TRUE)</f>
        <v>0</v>
      </c>
      <c r="AN499">
        <f>OR(AND(IF(metadata!N499="",FALSE,TRUE),OR(exact(metadata!N499,"missing: not collected"),exact(metadata!N499,"missing: not provided"),exact(metadata!N499,"missing: restricted access"))),AND(IF(metadata!N499="",FALSE,TRUE),OR(exact(metadata!N499,"TRUE"),exact(metadata!N499,"FALSE"))))</f>
        <v>0</v>
      </c>
      <c r="AO499">
        <f>IF(metadata!O499="",FALSE,TRUE)</f>
        <v>0</v>
      </c>
      <c r="AP499">
        <f>OR(AND(IF(metadata!P499="",FALSE,TRUE),OR(exact(metadata!P499,"missing: not collected"),exact(metadata!P499,"missing: not provided"))),AND(IF(metadata!P499="",FALSE,IF(ISERROR(INT(metadata!P499)),FALSE,INT(metadata!P499)=metadata!P499)),metadata!P499&gt;0))</f>
        <v>0</v>
      </c>
      <c r="AQ499">
        <f>IF(metadata!Q499="",FALSE,TRUE)</f>
        <v>0</v>
      </c>
    </row>
    <row r="500" spans="1:43">
      <c r="A500" s="5">
        <f>IF(B500=" "," ",HYPERLINK(CONCATENATE("#metadata!",ADDRESS(INDEX($W$2:$W$1001,MATCH(ROWS($U$2:U500),$U$2:$U$1001,0),0),1)),INDEX($Z$2:$Z$1001,MATCH(ROWS($U$2:U500),$U$2:$U$1001,0),0)))</f>
        <v>0</v>
      </c>
      <c r="B500" s="4">
        <f>IF(OR(INDEX($V$2:$V$1001,MATCH(ROWS($U$2:U500),$U$2:$U$1001,0),1)&gt;=100000,INDEX($AB$1005:$AQ$1005,1,MATCH(COLUMNS($AB$1006:AB1006),$AB$1006:$AQ$1006,0))&gt;=100000), " ",IF(INDEX($AB$2:$AQ$1001,MATCH(ROWS($U$2:U500),$U$2:$U$1001,0),MATCH(COLUMNS($AB$1006:AB1006),$AB$1006:$AQ$1006,0)), HYPERLINK("#",""), HYPERLINK(CONCATENATE("#metadata!", ADDRESS(INDEX($W$2:$W$1001,MATCH(ROWS($U$2:U500),$U$2:$U$1001,0),0), INDEX($AB$1004:$AQ$1004,1,MATCH(COLUMNS($AB$1006:AB1006),$AB$1006:$AQ$1006,0)))),"Fix")))</f>
        <v>0</v>
      </c>
      <c r="C500" s="4">
        <f>IF(OR(INDEX($V$2:$V$1001,MATCH(ROWS($U$2:U500),$U$2:$U$1001,0),1)&gt;=100000,INDEX($AB$1005:$AQ$1005,1,MATCH(COLUMNS($AB$1006:AC1006),$AB$1006:$AQ$1006,0))&gt;=100000), " ",IF(INDEX($AB$2:$AQ$1001,MATCH(ROWS($U$2:U500),$U$2:$U$1001,0),MATCH(COLUMNS($AB$1006:AC1006),$AB$1006:$AQ$1006,0)), HYPERLINK("#",""), HYPERLINK(CONCATENATE("#metadata!", ADDRESS(INDEX($W$2:$W$1001,MATCH(ROWS($U$2:U500),$U$2:$U$1001,0),0), INDEX($AB$1004:$AQ$1004,1,MATCH(COLUMNS($AB$1006:AC1006),$AB$1006:$AQ$1006,0)))),"Fix")))</f>
        <v>0</v>
      </c>
      <c r="D500" s="4">
        <f>IF(OR(INDEX($V$2:$V$1001,MATCH(ROWS($U$2:U500),$U$2:$U$1001,0),1)&gt;=100000,INDEX($AB$1005:$AQ$1005,1,MATCH(COLUMNS($AB$1006:AD1006),$AB$1006:$AQ$1006,0))&gt;=100000), " ",IF(INDEX($AB$2:$AQ$1001,MATCH(ROWS($U$2:U500),$U$2:$U$1001,0),MATCH(COLUMNS($AB$1006:AD1006),$AB$1006:$AQ$1006,0)), HYPERLINK("#",""), HYPERLINK(CONCATENATE("#metadata!", ADDRESS(INDEX($W$2:$W$1001,MATCH(ROWS($U$2:U500),$U$2:$U$1001,0),0), INDEX($AB$1004:$AQ$1004,1,MATCH(COLUMNS($AB$1006:AD1006),$AB$1006:$AQ$1006,0)))),"Fix")))</f>
        <v>0</v>
      </c>
      <c r="E500" s="4">
        <f>IF(OR(INDEX($V$2:$V$1001,MATCH(ROWS($U$2:U500),$U$2:$U$1001,0),1)&gt;=100000,INDEX($AB$1005:$AQ$1005,1,MATCH(COLUMNS($AB$1006:AE1006),$AB$1006:$AQ$1006,0))&gt;=100000), " ",IF(INDEX($AB$2:$AQ$1001,MATCH(ROWS($U$2:U500),$U$2:$U$1001,0),MATCH(COLUMNS($AB$1006:AE1006),$AB$1006:$AQ$1006,0)), HYPERLINK("#",""), HYPERLINK(CONCATENATE("#metadata!", ADDRESS(INDEX($W$2:$W$1001,MATCH(ROWS($U$2:U500),$U$2:$U$1001,0),0), INDEX($AB$1004:$AQ$1004,1,MATCH(COLUMNS($AB$1006:AE1006),$AB$1006:$AQ$1006,0)))),"Fix")))</f>
        <v>0</v>
      </c>
      <c r="F500" s="4">
        <f>IF(OR(INDEX($V$2:$V$1001,MATCH(ROWS($U$2:U500),$U$2:$U$1001,0),1)&gt;=100000,INDEX($AB$1005:$AQ$1005,1,MATCH(COLUMNS($AB$1006:AF1006),$AB$1006:$AQ$1006,0))&gt;=100000), " ",IF(INDEX($AB$2:$AQ$1001,MATCH(ROWS($U$2:U500),$U$2:$U$1001,0),MATCH(COLUMNS($AB$1006:AF1006),$AB$1006:$AQ$1006,0)), HYPERLINK("#",""), HYPERLINK(CONCATENATE("#metadata!", ADDRESS(INDEX($W$2:$W$1001,MATCH(ROWS($U$2:U500),$U$2:$U$1001,0),0), INDEX($AB$1004:$AQ$1004,1,MATCH(COLUMNS($AB$1006:AF1006),$AB$1006:$AQ$1006,0)))),"Fix")))</f>
        <v>0</v>
      </c>
      <c r="G500" s="4">
        <f>IF(OR(INDEX($V$2:$V$1001,MATCH(ROWS($U$2:U500),$U$2:$U$1001,0),1)&gt;=100000,INDEX($AB$1005:$AQ$1005,1,MATCH(COLUMNS($AB$1006:AG1006),$AB$1006:$AQ$1006,0))&gt;=100000), " ",IF(INDEX($AB$2:$AQ$1001,MATCH(ROWS($U$2:U500),$U$2:$U$1001,0),MATCH(COLUMNS($AB$1006:AG1006),$AB$1006:$AQ$1006,0)), HYPERLINK("#",""), HYPERLINK(CONCATENATE("#metadata!", ADDRESS(INDEX($W$2:$W$1001,MATCH(ROWS($U$2:U500),$U$2:$U$1001,0),0), INDEX($AB$1004:$AQ$1004,1,MATCH(COLUMNS($AB$1006:AG1006),$AB$1006:$AQ$1006,0)))),"Fix")))</f>
        <v>0</v>
      </c>
      <c r="H500" s="4">
        <f>IF(OR(INDEX($V$2:$V$1001,MATCH(ROWS($U$2:U500),$U$2:$U$1001,0),1)&gt;=100000,INDEX($AB$1005:$AQ$1005,1,MATCH(COLUMNS($AB$1006:AH1006),$AB$1006:$AQ$1006,0))&gt;=100000), " ",IF(INDEX($AB$2:$AQ$1001,MATCH(ROWS($U$2:U500),$U$2:$U$1001,0),MATCH(COLUMNS($AB$1006:AH1006),$AB$1006:$AQ$1006,0)), HYPERLINK("#",""), HYPERLINK(CONCATENATE("#metadata!", ADDRESS(INDEX($W$2:$W$1001,MATCH(ROWS($U$2:U500),$U$2:$U$1001,0),0), INDEX($AB$1004:$AQ$1004,1,MATCH(COLUMNS($AB$1006:AH1006),$AB$1006:$AQ$1006,0)))),"Fix")))</f>
        <v>0</v>
      </c>
      <c r="I500" s="4">
        <f>IF(OR(INDEX($V$2:$V$1001,MATCH(ROWS($U$2:U500),$U$2:$U$1001,0),1)&gt;=100000,INDEX($AB$1005:$AQ$1005,1,MATCH(COLUMNS($AB$1006:AI1006),$AB$1006:$AQ$1006,0))&gt;=100000), " ",IF(INDEX($AB$2:$AQ$1001,MATCH(ROWS($U$2:U500),$U$2:$U$1001,0),MATCH(COLUMNS($AB$1006:AI1006),$AB$1006:$AQ$1006,0)), HYPERLINK("#",""), HYPERLINK(CONCATENATE("#metadata!", ADDRESS(INDEX($W$2:$W$1001,MATCH(ROWS($U$2:U500),$U$2:$U$1001,0),0), INDEX($AB$1004:$AQ$1004,1,MATCH(COLUMNS($AB$1006:AI1006),$AB$1006:$AQ$1006,0)))),"Fix")))</f>
        <v>0</v>
      </c>
      <c r="J500" s="4">
        <f>IF(OR(INDEX($V$2:$V$1001,MATCH(ROWS($U$2:U500),$U$2:$U$1001,0),1)&gt;=100000,INDEX($AB$1005:$AQ$1005,1,MATCH(COLUMNS($AB$1006:AJ1006),$AB$1006:$AQ$1006,0))&gt;=100000), " ",IF(INDEX($AB$2:$AQ$1001,MATCH(ROWS($U$2:U500),$U$2:$U$1001,0),MATCH(COLUMNS($AB$1006:AJ1006),$AB$1006:$AQ$1006,0)), HYPERLINK("#",""), HYPERLINK(CONCATENATE("#metadata!", ADDRESS(INDEX($W$2:$W$1001,MATCH(ROWS($U$2:U500),$U$2:$U$1001,0),0), INDEX($AB$1004:$AQ$1004,1,MATCH(COLUMNS($AB$1006:AJ1006),$AB$1006:$AQ$1006,0)))),"Fix")))</f>
        <v>0</v>
      </c>
      <c r="K500" s="4">
        <f>IF(OR(INDEX($V$2:$V$1001,MATCH(ROWS($U$2:U500),$U$2:$U$1001,0),1)&gt;=100000,INDEX($AB$1005:$AQ$1005,1,MATCH(COLUMNS($AB$1006:AK1006),$AB$1006:$AQ$1006,0))&gt;=100000), " ",IF(INDEX($AB$2:$AQ$1001,MATCH(ROWS($U$2:U500),$U$2:$U$1001,0),MATCH(COLUMNS($AB$1006:AK1006),$AB$1006:$AQ$1006,0)), HYPERLINK("#",""), HYPERLINK(CONCATENATE("#metadata!", ADDRESS(INDEX($W$2:$W$1001,MATCH(ROWS($U$2:U500),$U$2:$U$1001,0),0), INDEX($AB$1004:$AQ$1004,1,MATCH(COLUMNS($AB$1006:AK1006),$AB$1006:$AQ$1006,0)))),"Fix")))</f>
        <v>0</v>
      </c>
      <c r="L500" s="4">
        <f>IF(OR(INDEX($V$2:$V$1001,MATCH(ROWS($U$2:U500),$U$2:$U$1001,0),1)&gt;=100000,INDEX($AB$1005:$AQ$1005,1,MATCH(COLUMNS($AB$1006:AL1006),$AB$1006:$AQ$1006,0))&gt;=100000), " ",IF(INDEX($AB$2:$AQ$1001,MATCH(ROWS($U$2:U500),$U$2:$U$1001,0),MATCH(COLUMNS($AB$1006:AL1006),$AB$1006:$AQ$1006,0)), HYPERLINK("#",""), HYPERLINK(CONCATENATE("#metadata!", ADDRESS(INDEX($W$2:$W$1001,MATCH(ROWS($U$2:U500),$U$2:$U$1001,0),0), INDEX($AB$1004:$AQ$1004,1,MATCH(COLUMNS($AB$1006:AL1006),$AB$1006:$AQ$1006,0)))),"Fix")))</f>
        <v>0</v>
      </c>
      <c r="M500" s="4">
        <f>IF(OR(INDEX($V$2:$V$1001,MATCH(ROWS($U$2:U500),$U$2:$U$1001,0),1)&gt;=100000,INDEX($AB$1005:$AQ$1005,1,MATCH(COLUMNS($AB$1006:AM1006),$AB$1006:$AQ$1006,0))&gt;=100000), " ",IF(INDEX($AB$2:$AQ$1001,MATCH(ROWS($U$2:U500),$U$2:$U$1001,0),MATCH(COLUMNS($AB$1006:AM1006),$AB$1006:$AQ$1006,0)), HYPERLINK("#",""), HYPERLINK(CONCATENATE("#metadata!", ADDRESS(INDEX($W$2:$W$1001,MATCH(ROWS($U$2:U500),$U$2:$U$1001,0),0), INDEX($AB$1004:$AQ$1004,1,MATCH(COLUMNS($AB$1006:AM1006),$AB$1006:$AQ$1006,0)))),"Fix")))</f>
        <v>0</v>
      </c>
      <c r="N500" s="4">
        <f>IF(OR(INDEX($V$2:$V$1001,MATCH(ROWS($U$2:U500),$U$2:$U$1001,0),1)&gt;=100000,INDEX($AB$1005:$AQ$1005,1,MATCH(COLUMNS($AB$1006:AN1006),$AB$1006:$AQ$1006,0))&gt;=100000), " ",IF(INDEX($AB$2:$AQ$1001,MATCH(ROWS($U$2:U500),$U$2:$U$1001,0),MATCH(COLUMNS($AB$1006:AN1006),$AB$1006:$AQ$1006,0)), HYPERLINK("#",""), HYPERLINK(CONCATENATE("#metadata!", ADDRESS(INDEX($W$2:$W$1001,MATCH(ROWS($U$2:U500),$U$2:$U$1001,0),0), INDEX($AB$1004:$AQ$1004,1,MATCH(COLUMNS($AB$1006:AN1006),$AB$1006:$AQ$1006,0)))),"Fix")))</f>
        <v>0</v>
      </c>
      <c r="O500" s="4">
        <f>IF(OR(INDEX($V$2:$V$1001,MATCH(ROWS($U$2:U500),$U$2:$U$1001,0),1)&gt;=100000,INDEX($AB$1005:$AQ$1005,1,MATCH(COLUMNS($AB$1006:AO1006),$AB$1006:$AQ$1006,0))&gt;=100000), " ",IF(INDEX($AB$2:$AQ$1001,MATCH(ROWS($U$2:U500),$U$2:$U$1001,0),MATCH(COLUMNS($AB$1006:AO1006),$AB$1006:$AQ$1006,0)), HYPERLINK("#",""), HYPERLINK(CONCATENATE("#metadata!", ADDRESS(INDEX($W$2:$W$1001,MATCH(ROWS($U$2:U500),$U$2:$U$1001,0),0), INDEX($AB$1004:$AQ$1004,1,MATCH(COLUMNS($AB$1006:AO1006),$AB$1006:$AQ$1006,0)))),"Fix")))</f>
        <v>0</v>
      </c>
      <c r="P500" s="4">
        <f>IF(OR(INDEX($V$2:$V$1001,MATCH(ROWS($U$2:U500),$U$2:$U$1001,0),1)&gt;=100000,INDEX($AB$1005:$AQ$1005,1,MATCH(COLUMNS($AB$1006:AP1006),$AB$1006:$AQ$1006,0))&gt;=100000), " ",IF(INDEX($AB$2:$AQ$1001,MATCH(ROWS($U$2:U500),$U$2:$U$1001,0),MATCH(COLUMNS($AB$1006:AP1006),$AB$1006:$AQ$1006,0)), HYPERLINK("#",""), HYPERLINK(CONCATENATE("#metadata!", ADDRESS(INDEX($W$2:$W$1001,MATCH(ROWS($U$2:U500),$U$2:$U$1001,0),0), INDEX($AB$1004:$AQ$1004,1,MATCH(COLUMNS($AB$1006:AP1006),$AB$1006:$AQ$1006,0)))),"Fix")))</f>
        <v>0</v>
      </c>
      <c r="Q500" s="4">
        <f>IF(OR(INDEX($V$2:$V$1001,MATCH(ROWS($U$2:U500),$U$2:$U$1001,0),1)&gt;=100000,INDEX($AB$1005:$AQ$1005,1,MATCH(COLUMNS($AB$1006:AQ1006),$AB$1006:$AQ$1006,0))&gt;=100000), " ",IF(INDEX($AB$2:$AQ$1001,MATCH(ROWS($U$2:U500),$U$2:$U$1001,0),MATCH(COLUMNS($AB$1006:AQ1006),$AB$1006:$AQ$1006,0)), HYPERLINK("#",""), HYPERLINK(CONCATENATE("#metadata!", ADDRESS(INDEX($W$2:$W$1001,MATCH(ROWS($U$2:U500),$U$2:$U$1001,0),0), INDEX($AB$1004:$AQ$1004,1,MATCH(COLUMNS($AB$1006:AQ1006),$AB$1006:$AQ$1006,0)))),"Fix")))</f>
        <v>0</v>
      </c>
      <c r="U500">
        <v>0</v>
      </c>
      <c r="V500">
        <v>0</v>
      </c>
      <c r="W500">
        <v>0</v>
      </c>
      <c r="X500">
        <f>IF(Y500,TRUE,AND(AB500:AQ500))</f>
        <v>0</v>
      </c>
      <c r="Y500">
        <f>COUNTBLANK(metadata!B500:Q500)=COLUMNS(metadata!B500:Q500)</f>
        <v>0</v>
      </c>
      <c r="Z500">
        <v>0</v>
      </c>
      <c r="AB500">
        <f>AND(IF(metadata!B500="",FALSE,TRUE),COUNTIF(metadata!B:B, metadata!B500) = 1,NOT(ISERROR(SUMPRODUCT(SEARCH(MID(metadata!B500,ROW(INDIRECT("1:"&amp;LEN(metadata!B500))), 1),"0123456789abcdefghijklmnopqrstuvwxyzABCDEFGHIJKLMNOPQRSTUVWXYZ.")))))</f>
        <v>0</v>
      </c>
      <c r="AC500">
        <f>OR(AND(IF(metadata!C500="",FALSE,TRUE),OR(exact(metadata!C500,"missing: not collected"),exact(metadata!C500,"missing: not provided"),exact(metadata!C500,"missing: restricted access"))),AND(IF(metadata!C500="",FALSE,TRUE),AND(AND(IFERROR(INT(LEFT(metadata!C500,4))&gt;1900,FALSE),IFERROR(INT(LEFT(metadata!C500,4))&lt;=YEAR(NOW()),FALSE)), OR(MID(metadata!C500,5,1)="", AND(AND(MID(metadata!C500,5,1)="-",IFERROR(INT(MID(metadata!C500,6,1))&gt;=0,FALSE),IFERROR(INT(MID(metadata!C500,6,1))&lt;=1,FALSE),NOT(MID(metadata!C500,7,1)=""),IFERROR(INT(MID(metadata!C500,6,2))&gt;=1,FALSE),IFERROR(INT(MID(metadata!C500,6,2))&lt;=12,FALSE)), OR(MID(metadata!C500,8,1)="", AND(AND(MID(metadata!C500,8,1)="-",IFERROR(INT(MID(metadata!C500,9,1))&gt;=0,FALSE),IFERROR(INT(MID(metadata!C500,9,1))&lt;=3,FALSE),NOT(MID(metadata!C500,10,1)=""),IFERROR(INT(MID(metadata!C500,9,2))&gt;=1,FALSE),IFERROR(INT(MID(metadata!C500,9,2))&lt;=31,FALSE)), OR(MID(metadata!C500,11,1)="", AND(AND(MID(metadata!C500,11,1)=" ",IFERROR(INT(MID(metadata!C500,12,1))&gt;=0,FALSE),IFERROR(INT(MID(metadata!C500,12,1))&lt;=2,FALSE),NOT(MID(metadata!C500,13,1)=""),IFERROR(INT(MID(metadata!C500,12,2))&gt;=0,FALSE),IFERROR(INT(MID(metadata!C500,12,2))&lt;=23,FALSE)), OR(MID(metadata!C500,14,1)="", AND(AND(MID(metadata!C500,14,1)=":",IFERROR(INT(MID(metadata!C500,15,1))&gt;=0,FALSE),IFERROR(INT(MID(metadata!C500,15,1))&lt;=5,FALSE),NOT(MID(metadata!C500,16,1)=""),IFERROR(INT(MID(metadata!C500,15,2))&gt;=0,FALSE),IFERROR(INT(MID(metadata!C500,15,2))&lt;=59,FALSE)), OR(MID(metadata!C500,17,1)="", AND(AND(MID(metadata!C500,17,1)=":",IFERROR(INT(MID(metadata!C500,18,1))&gt;=0,FALSE),IFERROR(INT(MID(metadata!C500,18,1))&lt;=5,FALSE),NOT(MID(metadata!C500,19,1)=""),IFERROR(INT(MID(metadata!C500,18,2))&gt;=0,FALSE),IFERROR(INT(MID(metadata!C500,18,2))&lt;=59,FALSE)), LEN(metadata!C500)&lt;=19)))))))))))))</f>
        <v>0</v>
      </c>
      <c r="AD500">
        <f>IF(metadata!D500="",FALSE,TRUE)</f>
        <v>0</v>
      </c>
      <c r="AE500">
        <f>OR(AND(IF(metadata!E500="",FALSE,TRUE),OR(exact(metadata!E500,"missing: not collected"),exact(metadata!E500,"missing: not provided"))),AND(IF(metadata!E500="",FALSE,TRUE),OR(exact(metadata!E500,"TRUE"),exact(metadata!E500,"FALSE"))))</f>
        <v>0</v>
      </c>
      <c r="AF500">
        <f>IF(metadata!F500="",FALSE,TRUE)</f>
        <v>0</v>
      </c>
      <c r="AG500">
        <f>IF(metadata!G500="",FALSE,TRUE)</f>
        <v>0</v>
      </c>
      <c r="AH500">
        <f>IF(metadata!H500="",FALSE,TRUE)</f>
        <v>0</v>
      </c>
      <c r="AI500">
        <f>OR(AND(IF(metadata!I500="",FALSE,TRUE),OR(exact(metadata!I500,"missing: not collected"),exact(metadata!I500,"missing: not provided"),exact(metadata!I500,"missing: restricted access"))),AND(IF(metadata!I500="",FALSE,TRUE),OR(exact(metadata!I500,"air"),exact(metadata!I500,"built environment"),exact(metadata!I500,"host-associated"),exact(metadata!I500,"human-associated"),exact(metadata!I500,"human-skin"),exact(metadata!I500,"human-oral"),exact(metadata!I500,"human-gut"),exact(metadata!I500,"human-vaginal"),exact(metadata!I500,"microbial mat/biofilm"),exact(metadata!I500,"misc environment"),exact(metadata!I500,"plant-associated"),exact(metadata!I500,"sediment"),exact(metadata!I500,"soil"),exact(metadata!I500,"wastewater/sludge"),exact(metadata!I500,"water"))))</f>
        <v>0</v>
      </c>
      <c r="AJ500">
        <f>IF(metadata!J500="",FALSE,TRUE)</f>
        <v>0</v>
      </c>
      <c r="AK500">
        <f>OR(AND(IF(metadata!K500="",FALSE,TRUE),OR(exact(metadata!K500,"missing: not collected"),exact(metadata!K500,"missing: not provided"),exact(metadata!K500,"missing: restricted access"))),AND(IF(metadata!K500="",FALSE,ISNUMBER(VALUE(metadata!K500))),metadata!K500&gt;=-90.00,metadata!K500&lt;=90.00))</f>
        <v>0</v>
      </c>
      <c r="AL500">
        <f>OR(AND(IF(metadata!L500="",FALSE,TRUE),OR(exact(metadata!L500,"missing: not collected"),exact(metadata!L500,"missing: not provided"),exact(metadata!L500,"missing: restricted access"))),AND(IF(metadata!L500="",FALSE,ISNUMBER(VALUE(metadata!L500))),metadata!L500&gt;=-180.00,metadata!L500&lt;=180.00))</f>
        <v>0</v>
      </c>
      <c r="AM500">
        <f>IF(metadata!M500="",FALSE,TRUE)</f>
        <v>0</v>
      </c>
      <c r="AN500">
        <f>OR(AND(IF(metadata!N500="",FALSE,TRUE),OR(exact(metadata!N500,"missing: not collected"),exact(metadata!N500,"missing: not provided"),exact(metadata!N500,"missing: restricted access"))),AND(IF(metadata!N500="",FALSE,TRUE),OR(exact(metadata!N500,"TRUE"),exact(metadata!N500,"FALSE"))))</f>
        <v>0</v>
      </c>
      <c r="AO500">
        <f>IF(metadata!O500="",FALSE,TRUE)</f>
        <v>0</v>
      </c>
      <c r="AP500">
        <f>OR(AND(IF(metadata!P500="",FALSE,TRUE),OR(exact(metadata!P500,"missing: not collected"),exact(metadata!P500,"missing: not provided"))),AND(IF(metadata!P500="",FALSE,IF(ISERROR(INT(metadata!P500)),FALSE,INT(metadata!P500)=metadata!P500)),metadata!P500&gt;0))</f>
        <v>0</v>
      </c>
      <c r="AQ500">
        <f>IF(metadata!Q500="",FALSE,TRUE)</f>
        <v>0</v>
      </c>
    </row>
    <row r="501" spans="1:43">
      <c r="A501" s="5">
        <f>IF(B501=" "," ",HYPERLINK(CONCATENATE("#metadata!",ADDRESS(INDEX($W$2:$W$1001,MATCH(ROWS($U$2:U501),$U$2:$U$1001,0),0),1)),INDEX($Z$2:$Z$1001,MATCH(ROWS($U$2:U501),$U$2:$U$1001,0),0)))</f>
        <v>0</v>
      </c>
      <c r="B501" s="4">
        <f>IF(OR(INDEX($V$2:$V$1001,MATCH(ROWS($U$2:U501),$U$2:$U$1001,0),1)&gt;=100000,INDEX($AB$1005:$AQ$1005,1,MATCH(COLUMNS($AB$1006:AB1006),$AB$1006:$AQ$1006,0))&gt;=100000), " ",IF(INDEX($AB$2:$AQ$1001,MATCH(ROWS($U$2:U501),$U$2:$U$1001,0),MATCH(COLUMNS($AB$1006:AB1006),$AB$1006:$AQ$1006,0)), HYPERLINK("#",""), HYPERLINK(CONCATENATE("#metadata!", ADDRESS(INDEX($W$2:$W$1001,MATCH(ROWS($U$2:U501),$U$2:$U$1001,0),0), INDEX($AB$1004:$AQ$1004,1,MATCH(COLUMNS($AB$1006:AB1006),$AB$1006:$AQ$1006,0)))),"Fix")))</f>
        <v>0</v>
      </c>
      <c r="C501" s="4">
        <f>IF(OR(INDEX($V$2:$V$1001,MATCH(ROWS($U$2:U501),$U$2:$U$1001,0),1)&gt;=100000,INDEX($AB$1005:$AQ$1005,1,MATCH(COLUMNS($AB$1006:AC1006),$AB$1006:$AQ$1006,0))&gt;=100000), " ",IF(INDEX($AB$2:$AQ$1001,MATCH(ROWS($U$2:U501),$U$2:$U$1001,0),MATCH(COLUMNS($AB$1006:AC1006),$AB$1006:$AQ$1006,0)), HYPERLINK("#",""), HYPERLINK(CONCATENATE("#metadata!", ADDRESS(INDEX($W$2:$W$1001,MATCH(ROWS($U$2:U501),$U$2:$U$1001,0),0), INDEX($AB$1004:$AQ$1004,1,MATCH(COLUMNS($AB$1006:AC1006),$AB$1006:$AQ$1006,0)))),"Fix")))</f>
        <v>0</v>
      </c>
      <c r="D501" s="4">
        <f>IF(OR(INDEX($V$2:$V$1001,MATCH(ROWS($U$2:U501),$U$2:$U$1001,0),1)&gt;=100000,INDEX($AB$1005:$AQ$1005,1,MATCH(COLUMNS($AB$1006:AD1006),$AB$1006:$AQ$1006,0))&gt;=100000), " ",IF(INDEX($AB$2:$AQ$1001,MATCH(ROWS($U$2:U501),$U$2:$U$1001,0),MATCH(COLUMNS($AB$1006:AD1006),$AB$1006:$AQ$1006,0)), HYPERLINK("#",""), HYPERLINK(CONCATENATE("#metadata!", ADDRESS(INDEX($W$2:$W$1001,MATCH(ROWS($U$2:U501),$U$2:$U$1001,0),0), INDEX($AB$1004:$AQ$1004,1,MATCH(COLUMNS($AB$1006:AD1006),$AB$1006:$AQ$1006,0)))),"Fix")))</f>
        <v>0</v>
      </c>
      <c r="E501" s="4">
        <f>IF(OR(INDEX($V$2:$V$1001,MATCH(ROWS($U$2:U501),$U$2:$U$1001,0),1)&gt;=100000,INDEX($AB$1005:$AQ$1005,1,MATCH(COLUMNS($AB$1006:AE1006),$AB$1006:$AQ$1006,0))&gt;=100000), " ",IF(INDEX($AB$2:$AQ$1001,MATCH(ROWS($U$2:U501),$U$2:$U$1001,0),MATCH(COLUMNS($AB$1006:AE1006),$AB$1006:$AQ$1006,0)), HYPERLINK("#",""), HYPERLINK(CONCATENATE("#metadata!", ADDRESS(INDEX($W$2:$W$1001,MATCH(ROWS($U$2:U501),$U$2:$U$1001,0),0), INDEX($AB$1004:$AQ$1004,1,MATCH(COLUMNS($AB$1006:AE1006),$AB$1006:$AQ$1006,0)))),"Fix")))</f>
        <v>0</v>
      </c>
      <c r="F501" s="4">
        <f>IF(OR(INDEX($V$2:$V$1001,MATCH(ROWS($U$2:U501),$U$2:$U$1001,0),1)&gt;=100000,INDEX($AB$1005:$AQ$1005,1,MATCH(COLUMNS($AB$1006:AF1006),$AB$1006:$AQ$1006,0))&gt;=100000), " ",IF(INDEX($AB$2:$AQ$1001,MATCH(ROWS($U$2:U501),$U$2:$U$1001,0),MATCH(COLUMNS($AB$1006:AF1006),$AB$1006:$AQ$1006,0)), HYPERLINK("#",""), HYPERLINK(CONCATENATE("#metadata!", ADDRESS(INDEX($W$2:$W$1001,MATCH(ROWS($U$2:U501),$U$2:$U$1001,0),0), INDEX($AB$1004:$AQ$1004,1,MATCH(COLUMNS($AB$1006:AF1006),$AB$1006:$AQ$1006,0)))),"Fix")))</f>
        <v>0</v>
      </c>
      <c r="G501" s="4">
        <f>IF(OR(INDEX($V$2:$V$1001,MATCH(ROWS($U$2:U501),$U$2:$U$1001,0),1)&gt;=100000,INDEX($AB$1005:$AQ$1005,1,MATCH(COLUMNS($AB$1006:AG1006),$AB$1006:$AQ$1006,0))&gt;=100000), " ",IF(INDEX($AB$2:$AQ$1001,MATCH(ROWS($U$2:U501),$U$2:$U$1001,0),MATCH(COLUMNS($AB$1006:AG1006),$AB$1006:$AQ$1006,0)), HYPERLINK("#",""), HYPERLINK(CONCATENATE("#metadata!", ADDRESS(INDEX($W$2:$W$1001,MATCH(ROWS($U$2:U501),$U$2:$U$1001,0),0), INDEX($AB$1004:$AQ$1004,1,MATCH(COLUMNS($AB$1006:AG1006),$AB$1006:$AQ$1006,0)))),"Fix")))</f>
        <v>0</v>
      </c>
      <c r="H501" s="4">
        <f>IF(OR(INDEX($V$2:$V$1001,MATCH(ROWS($U$2:U501),$U$2:$U$1001,0),1)&gt;=100000,INDEX($AB$1005:$AQ$1005,1,MATCH(COLUMNS($AB$1006:AH1006),$AB$1006:$AQ$1006,0))&gt;=100000), " ",IF(INDEX($AB$2:$AQ$1001,MATCH(ROWS($U$2:U501),$U$2:$U$1001,0),MATCH(COLUMNS($AB$1006:AH1006),$AB$1006:$AQ$1006,0)), HYPERLINK("#",""), HYPERLINK(CONCATENATE("#metadata!", ADDRESS(INDEX($W$2:$W$1001,MATCH(ROWS($U$2:U501),$U$2:$U$1001,0),0), INDEX($AB$1004:$AQ$1004,1,MATCH(COLUMNS($AB$1006:AH1006),$AB$1006:$AQ$1006,0)))),"Fix")))</f>
        <v>0</v>
      </c>
      <c r="I501" s="4">
        <f>IF(OR(INDEX($V$2:$V$1001,MATCH(ROWS($U$2:U501),$U$2:$U$1001,0),1)&gt;=100000,INDEX($AB$1005:$AQ$1005,1,MATCH(COLUMNS($AB$1006:AI1006),$AB$1006:$AQ$1006,0))&gt;=100000), " ",IF(INDEX($AB$2:$AQ$1001,MATCH(ROWS($U$2:U501),$U$2:$U$1001,0),MATCH(COLUMNS($AB$1006:AI1006),$AB$1006:$AQ$1006,0)), HYPERLINK("#",""), HYPERLINK(CONCATENATE("#metadata!", ADDRESS(INDEX($W$2:$W$1001,MATCH(ROWS($U$2:U501),$U$2:$U$1001,0),0), INDEX($AB$1004:$AQ$1004,1,MATCH(COLUMNS($AB$1006:AI1006),$AB$1006:$AQ$1006,0)))),"Fix")))</f>
        <v>0</v>
      </c>
      <c r="J501" s="4">
        <f>IF(OR(INDEX($V$2:$V$1001,MATCH(ROWS($U$2:U501),$U$2:$U$1001,0),1)&gt;=100000,INDEX($AB$1005:$AQ$1005,1,MATCH(COLUMNS($AB$1006:AJ1006),$AB$1006:$AQ$1006,0))&gt;=100000), " ",IF(INDEX($AB$2:$AQ$1001,MATCH(ROWS($U$2:U501),$U$2:$U$1001,0),MATCH(COLUMNS($AB$1006:AJ1006),$AB$1006:$AQ$1006,0)), HYPERLINK("#",""), HYPERLINK(CONCATENATE("#metadata!", ADDRESS(INDEX($W$2:$W$1001,MATCH(ROWS($U$2:U501),$U$2:$U$1001,0),0), INDEX($AB$1004:$AQ$1004,1,MATCH(COLUMNS($AB$1006:AJ1006),$AB$1006:$AQ$1006,0)))),"Fix")))</f>
        <v>0</v>
      </c>
      <c r="K501" s="4">
        <f>IF(OR(INDEX($V$2:$V$1001,MATCH(ROWS($U$2:U501),$U$2:$U$1001,0),1)&gt;=100000,INDEX($AB$1005:$AQ$1005,1,MATCH(COLUMNS($AB$1006:AK1006),$AB$1006:$AQ$1006,0))&gt;=100000), " ",IF(INDEX($AB$2:$AQ$1001,MATCH(ROWS($U$2:U501),$U$2:$U$1001,0),MATCH(COLUMNS($AB$1006:AK1006),$AB$1006:$AQ$1006,0)), HYPERLINK("#",""), HYPERLINK(CONCATENATE("#metadata!", ADDRESS(INDEX($W$2:$W$1001,MATCH(ROWS($U$2:U501),$U$2:$U$1001,0),0), INDEX($AB$1004:$AQ$1004,1,MATCH(COLUMNS($AB$1006:AK1006),$AB$1006:$AQ$1006,0)))),"Fix")))</f>
        <v>0</v>
      </c>
      <c r="L501" s="4">
        <f>IF(OR(INDEX($V$2:$V$1001,MATCH(ROWS($U$2:U501),$U$2:$U$1001,0),1)&gt;=100000,INDEX($AB$1005:$AQ$1005,1,MATCH(COLUMNS($AB$1006:AL1006),$AB$1006:$AQ$1006,0))&gt;=100000), " ",IF(INDEX($AB$2:$AQ$1001,MATCH(ROWS($U$2:U501),$U$2:$U$1001,0),MATCH(COLUMNS($AB$1006:AL1006),$AB$1006:$AQ$1006,0)), HYPERLINK("#",""), HYPERLINK(CONCATENATE("#metadata!", ADDRESS(INDEX($W$2:$W$1001,MATCH(ROWS($U$2:U501),$U$2:$U$1001,0),0), INDEX($AB$1004:$AQ$1004,1,MATCH(COLUMNS($AB$1006:AL1006),$AB$1006:$AQ$1006,0)))),"Fix")))</f>
        <v>0</v>
      </c>
      <c r="M501" s="4">
        <f>IF(OR(INDEX($V$2:$V$1001,MATCH(ROWS($U$2:U501),$U$2:$U$1001,0),1)&gt;=100000,INDEX($AB$1005:$AQ$1005,1,MATCH(COLUMNS($AB$1006:AM1006),$AB$1006:$AQ$1006,0))&gt;=100000), " ",IF(INDEX($AB$2:$AQ$1001,MATCH(ROWS($U$2:U501),$U$2:$U$1001,0),MATCH(COLUMNS($AB$1006:AM1006),$AB$1006:$AQ$1006,0)), HYPERLINK("#",""), HYPERLINK(CONCATENATE("#metadata!", ADDRESS(INDEX($W$2:$W$1001,MATCH(ROWS($U$2:U501),$U$2:$U$1001,0),0), INDEX($AB$1004:$AQ$1004,1,MATCH(COLUMNS($AB$1006:AM1006),$AB$1006:$AQ$1006,0)))),"Fix")))</f>
        <v>0</v>
      </c>
      <c r="N501" s="4">
        <f>IF(OR(INDEX($V$2:$V$1001,MATCH(ROWS($U$2:U501),$U$2:$U$1001,0),1)&gt;=100000,INDEX($AB$1005:$AQ$1005,1,MATCH(COLUMNS($AB$1006:AN1006),$AB$1006:$AQ$1006,0))&gt;=100000), " ",IF(INDEX($AB$2:$AQ$1001,MATCH(ROWS($U$2:U501),$U$2:$U$1001,0),MATCH(COLUMNS($AB$1006:AN1006),$AB$1006:$AQ$1006,0)), HYPERLINK("#",""), HYPERLINK(CONCATENATE("#metadata!", ADDRESS(INDEX($W$2:$W$1001,MATCH(ROWS($U$2:U501),$U$2:$U$1001,0),0), INDEX($AB$1004:$AQ$1004,1,MATCH(COLUMNS($AB$1006:AN1006),$AB$1006:$AQ$1006,0)))),"Fix")))</f>
        <v>0</v>
      </c>
      <c r="O501" s="4">
        <f>IF(OR(INDEX($V$2:$V$1001,MATCH(ROWS($U$2:U501),$U$2:$U$1001,0),1)&gt;=100000,INDEX($AB$1005:$AQ$1005,1,MATCH(COLUMNS($AB$1006:AO1006),$AB$1006:$AQ$1006,0))&gt;=100000), " ",IF(INDEX($AB$2:$AQ$1001,MATCH(ROWS($U$2:U501),$U$2:$U$1001,0),MATCH(COLUMNS($AB$1006:AO1006),$AB$1006:$AQ$1006,0)), HYPERLINK("#",""), HYPERLINK(CONCATENATE("#metadata!", ADDRESS(INDEX($W$2:$W$1001,MATCH(ROWS($U$2:U501),$U$2:$U$1001,0),0), INDEX($AB$1004:$AQ$1004,1,MATCH(COLUMNS($AB$1006:AO1006),$AB$1006:$AQ$1006,0)))),"Fix")))</f>
        <v>0</v>
      </c>
      <c r="P501" s="4">
        <f>IF(OR(INDEX($V$2:$V$1001,MATCH(ROWS($U$2:U501),$U$2:$U$1001,0),1)&gt;=100000,INDEX($AB$1005:$AQ$1005,1,MATCH(COLUMNS($AB$1006:AP1006),$AB$1006:$AQ$1006,0))&gt;=100000), " ",IF(INDEX($AB$2:$AQ$1001,MATCH(ROWS($U$2:U501),$U$2:$U$1001,0),MATCH(COLUMNS($AB$1006:AP1006),$AB$1006:$AQ$1006,0)), HYPERLINK("#",""), HYPERLINK(CONCATENATE("#metadata!", ADDRESS(INDEX($W$2:$W$1001,MATCH(ROWS($U$2:U501),$U$2:$U$1001,0),0), INDEX($AB$1004:$AQ$1004,1,MATCH(COLUMNS($AB$1006:AP1006),$AB$1006:$AQ$1006,0)))),"Fix")))</f>
        <v>0</v>
      </c>
      <c r="Q501" s="4">
        <f>IF(OR(INDEX($V$2:$V$1001,MATCH(ROWS($U$2:U501),$U$2:$U$1001,0),1)&gt;=100000,INDEX($AB$1005:$AQ$1005,1,MATCH(COLUMNS($AB$1006:AQ1006),$AB$1006:$AQ$1006,0))&gt;=100000), " ",IF(INDEX($AB$2:$AQ$1001,MATCH(ROWS($U$2:U501),$U$2:$U$1001,0),MATCH(COLUMNS($AB$1006:AQ1006),$AB$1006:$AQ$1006,0)), HYPERLINK("#",""), HYPERLINK(CONCATENATE("#metadata!", ADDRESS(INDEX($W$2:$W$1001,MATCH(ROWS($U$2:U501),$U$2:$U$1001,0),0), INDEX($AB$1004:$AQ$1004,1,MATCH(COLUMNS($AB$1006:AQ1006),$AB$1006:$AQ$1006,0)))),"Fix")))</f>
        <v>0</v>
      </c>
      <c r="U501">
        <v>0</v>
      </c>
      <c r="V501">
        <v>0</v>
      </c>
      <c r="W501">
        <v>0</v>
      </c>
      <c r="X501">
        <f>IF(Y501,TRUE,AND(AB501:AQ501))</f>
        <v>0</v>
      </c>
      <c r="Y501">
        <f>COUNTBLANK(metadata!B501:Q501)=COLUMNS(metadata!B501:Q501)</f>
        <v>0</v>
      </c>
      <c r="Z501">
        <v>0</v>
      </c>
      <c r="AB501">
        <f>AND(IF(metadata!B501="",FALSE,TRUE),COUNTIF(metadata!B:B, metadata!B501) = 1,NOT(ISERROR(SUMPRODUCT(SEARCH(MID(metadata!B501,ROW(INDIRECT("1:"&amp;LEN(metadata!B501))), 1),"0123456789abcdefghijklmnopqrstuvwxyzABCDEFGHIJKLMNOPQRSTUVWXYZ.")))))</f>
        <v>0</v>
      </c>
      <c r="AC501">
        <f>OR(AND(IF(metadata!C501="",FALSE,TRUE),OR(exact(metadata!C501,"missing: not collected"),exact(metadata!C501,"missing: not provided"),exact(metadata!C501,"missing: restricted access"))),AND(IF(metadata!C501="",FALSE,TRUE),AND(AND(IFERROR(INT(LEFT(metadata!C501,4))&gt;1900,FALSE),IFERROR(INT(LEFT(metadata!C501,4))&lt;=YEAR(NOW()),FALSE)), OR(MID(metadata!C501,5,1)="", AND(AND(MID(metadata!C501,5,1)="-",IFERROR(INT(MID(metadata!C501,6,1))&gt;=0,FALSE),IFERROR(INT(MID(metadata!C501,6,1))&lt;=1,FALSE),NOT(MID(metadata!C501,7,1)=""),IFERROR(INT(MID(metadata!C501,6,2))&gt;=1,FALSE),IFERROR(INT(MID(metadata!C501,6,2))&lt;=12,FALSE)), OR(MID(metadata!C501,8,1)="", AND(AND(MID(metadata!C501,8,1)="-",IFERROR(INT(MID(metadata!C501,9,1))&gt;=0,FALSE),IFERROR(INT(MID(metadata!C501,9,1))&lt;=3,FALSE),NOT(MID(metadata!C501,10,1)=""),IFERROR(INT(MID(metadata!C501,9,2))&gt;=1,FALSE),IFERROR(INT(MID(metadata!C501,9,2))&lt;=31,FALSE)), OR(MID(metadata!C501,11,1)="", AND(AND(MID(metadata!C501,11,1)=" ",IFERROR(INT(MID(metadata!C501,12,1))&gt;=0,FALSE),IFERROR(INT(MID(metadata!C501,12,1))&lt;=2,FALSE),NOT(MID(metadata!C501,13,1)=""),IFERROR(INT(MID(metadata!C501,12,2))&gt;=0,FALSE),IFERROR(INT(MID(metadata!C501,12,2))&lt;=23,FALSE)), OR(MID(metadata!C501,14,1)="", AND(AND(MID(metadata!C501,14,1)=":",IFERROR(INT(MID(metadata!C501,15,1))&gt;=0,FALSE),IFERROR(INT(MID(metadata!C501,15,1))&lt;=5,FALSE),NOT(MID(metadata!C501,16,1)=""),IFERROR(INT(MID(metadata!C501,15,2))&gt;=0,FALSE),IFERROR(INT(MID(metadata!C501,15,2))&lt;=59,FALSE)), OR(MID(metadata!C501,17,1)="", AND(AND(MID(metadata!C501,17,1)=":",IFERROR(INT(MID(metadata!C501,18,1))&gt;=0,FALSE),IFERROR(INT(MID(metadata!C501,18,1))&lt;=5,FALSE),NOT(MID(metadata!C501,19,1)=""),IFERROR(INT(MID(metadata!C501,18,2))&gt;=0,FALSE),IFERROR(INT(MID(metadata!C501,18,2))&lt;=59,FALSE)), LEN(metadata!C501)&lt;=19)))))))))))))</f>
        <v>0</v>
      </c>
      <c r="AD501">
        <f>IF(metadata!D501="",FALSE,TRUE)</f>
        <v>0</v>
      </c>
      <c r="AE501">
        <f>OR(AND(IF(metadata!E501="",FALSE,TRUE),OR(exact(metadata!E501,"missing: not collected"),exact(metadata!E501,"missing: not provided"))),AND(IF(metadata!E501="",FALSE,TRUE),OR(exact(metadata!E501,"TRUE"),exact(metadata!E501,"FALSE"))))</f>
        <v>0</v>
      </c>
      <c r="AF501">
        <f>IF(metadata!F501="",FALSE,TRUE)</f>
        <v>0</v>
      </c>
      <c r="AG501">
        <f>IF(metadata!G501="",FALSE,TRUE)</f>
        <v>0</v>
      </c>
      <c r="AH501">
        <f>IF(metadata!H501="",FALSE,TRUE)</f>
        <v>0</v>
      </c>
      <c r="AI501">
        <f>OR(AND(IF(metadata!I501="",FALSE,TRUE),OR(exact(metadata!I501,"missing: not collected"),exact(metadata!I501,"missing: not provided"),exact(metadata!I501,"missing: restricted access"))),AND(IF(metadata!I501="",FALSE,TRUE),OR(exact(metadata!I501,"air"),exact(metadata!I501,"built environment"),exact(metadata!I501,"host-associated"),exact(metadata!I501,"human-associated"),exact(metadata!I501,"human-skin"),exact(metadata!I501,"human-oral"),exact(metadata!I501,"human-gut"),exact(metadata!I501,"human-vaginal"),exact(metadata!I501,"microbial mat/biofilm"),exact(metadata!I501,"misc environment"),exact(metadata!I501,"plant-associated"),exact(metadata!I501,"sediment"),exact(metadata!I501,"soil"),exact(metadata!I501,"wastewater/sludge"),exact(metadata!I501,"water"))))</f>
        <v>0</v>
      </c>
      <c r="AJ501">
        <f>IF(metadata!J501="",FALSE,TRUE)</f>
        <v>0</v>
      </c>
      <c r="AK501">
        <f>OR(AND(IF(metadata!K501="",FALSE,TRUE),OR(exact(metadata!K501,"missing: not collected"),exact(metadata!K501,"missing: not provided"),exact(metadata!K501,"missing: restricted access"))),AND(IF(metadata!K501="",FALSE,ISNUMBER(VALUE(metadata!K501))),metadata!K501&gt;=-90.00,metadata!K501&lt;=90.00))</f>
        <v>0</v>
      </c>
      <c r="AL501">
        <f>OR(AND(IF(metadata!L501="",FALSE,TRUE),OR(exact(metadata!L501,"missing: not collected"),exact(metadata!L501,"missing: not provided"),exact(metadata!L501,"missing: restricted access"))),AND(IF(metadata!L501="",FALSE,ISNUMBER(VALUE(metadata!L501))),metadata!L501&gt;=-180.00,metadata!L501&lt;=180.00))</f>
        <v>0</v>
      </c>
      <c r="AM501">
        <f>IF(metadata!M501="",FALSE,TRUE)</f>
        <v>0</v>
      </c>
      <c r="AN501">
        <f>OR(AND(IF(metadata!N501="",FALSE,TRUE),OR(exact(metadata!N501,"missing: not collected"),exact(metadata!N501,"missing: not provided"),exact(metadata!N501,"missing: restricted access"))),AND(IF(metadata!N501="",FALSE,TRUE),OR(exact(metadata!N501,"TRUE"),exact(metadata!N501,"FALSE"))))</f>
        <v>0</v>
      </c>
      <c r="AO501">
        <f>IF(metadata!O501="",FALSE,TRUE)</f>
        <v>0</v>
      </c>
      <c r="AP501">
        <f>OR(AND(IF(metadata!P501="",FALSE,TRUE),OR(exact(metadata!P501,"missing: not collected"),exact(metadata!P501,"missing: not provided"))),AND(IF(metadata!P501="",FALSE,IF(ISERROR(INT(metadata!P501)),FALSE,INT(metadata!P501)=metadata!P501)),metadata!P501&gt;0))</f>
        <v>0</v>
      </c>
      <c r="AQ501">
        <f>IF(metadata!Q501="",FALSE,TRUE)</f>
        <v>0</v>
      </c>
    </row>
    <row r="502" spans="1:43">
      <c r="A502" s="5">
        <f>IF(B502=" "," ",HYPERLINK(CONCATENATE("#metadata!",ADDRESS(INDEX($W$2:$W$1001,MATCH(ROWS($U$2:U502),$U$2:$U$1001,0),0),1)),INDEX($Z$2:$Z$1001,MATCH(ROWS($U$2:U502),$U$2:$U$1001,0),0)))</f>
        <v>0</v>
      </c>
      <c r="B502" s="4">
        <f>IF(OR(INDEX($V$2:$V$1001,MATCH(ROWS($U$2:U502),$U$2:$U$1001,0),1)&gt;=100000,INDEX($AB$1005:$AQ$1005,1,MATCH(COLUMNS($AB$1006:AB1006),$AB$1006:$AQ$1006,0))&gt;=100000), " ",IF(INDEX($AB$2:$AQ$1001,MATCH(ROWS($U$2:U502),$U$2:$U$1001,0),MATCH(COLUMNS($AB$1006:AB1006),$AB$1006:$AQ$1006,0)), HYPERLINK("#",""), HYPERLINK(CONCATENATE("#metadata!", ADDRESS(INDEX($W$2:$W$1001,MATCH(ROWS($U$2:U502),$U$2:$U$1001,0),0), INDEX($AB$1004:$AQ$1004,1,MATCH(COLUMNS($AB$1006:AB1006),$AB$1006:$AQ$1006,0)))),"Fix")))</f>
        <v>0</v>
      </c>
      <c r="C502" s="4">
        <f>IF(OR(INDEX($V$2:$V$1001,MATCH(ROWS($U$2:U502),$U$2:$U$1001,0),1)&gt;=100000,INDEX($AB$1005:$AQ$1005,1,MATCH(COLUMNS($AB$1006:AC1006),$AB$1006:$AQ$1006,0))&gt;=100000), " ",IF(INDEX($AB$2:$AQ$1001,MATCH(ROWS($U$2:U502),$U$2:$U$1001,0),MATCH(COLUMNS($AB$1006:AC1006),$AB$1006:$AQ$1006,0)), HYPERLINK("#",""), HYPERLINK(CONCATENATE("#metadata!", ADDRESS(INDEX($W$2:$W$1001,MATCH(ROWS($U$2:U502),$U$2:$U$1001,0),0), INDEX($AB$1004:$AQ$1004,1,MATCH(COLUMNS($AB$1006:AC1006),$AB$1006:$AQ$1006,0)))),"Fix")))</f>
        <v>0</v>
      </c>
      <c r="D502" s="4">
        <f>IF(OR(INDEX($V$2:$V$1001,MATCH(ROWS($U$2:U502),$U$2:$U$1001,0),1)&gt;=100000,INDEX($AB$1005:$AQ$1005,1,MATCH(COLUMNS($AB$1006:AD1006),$AB$1006:$AQ$1006,0))&gt;=100000), " ",IF(INDEX($AB$2:$AQ$1001,MATCH(ROWS($U$2:U502),$U$2:$U$1001,0),MATCH(COLUMNS($AB$1006:AD1006),$AB$1006:$AQ$1006,0)), HYPERLINK("#",""), HYPERLINK(CONCATENATE("#metadata!", ADDRESS(INDEX($W$2:$W$1001,MATCH(ROWS($U$2:U502),$U$2:$U$1001,0),0), INDEX($AB$1004:$AQ$1004,1,MATCH(COLUMNS($AB$1006:AD1006),$AB$1006:$AQ$1006,0)))),"Fix")))</f>
        <v>0</v>
      </c>
      <c r="E502" s="4">
        <f>IF(OR(INDEX($V$2:$V$1001,MATCH(ROWS($U$2:U502),$U$2:$U$1001,0),1)&gt;=100000,INDEX($AB$1005:$AQ$1005,1,MATCH(COLUMNS($AB$1006:AE1006),$AB$1006:$AQ$1006,0))&gt;=100000), " ",IF(INDEX($AB$2:$AQ$1001,MATCH(ROWS($U$2:U502),$U$2:$U$1001,0),MATCH(COLUMNS($AB$1006:AE1006),$AB$1006:$AQ$1006,0)), HYPERLINK("#",""), HYPERLINK(CONCATENATE("#metadata!", ADDRESS(INDEX($W$2:$W$1001,MATCH(ROWS($U$2:U502),$U$2:$U$1001,0),0), INDEX($AB$1004:$AQ$1004,1,MATCH(COLUMNS($AB$1006:AE1006),$AB$1006:$AQ$1006,0)))),"Fix")))</f>
        <v>0</v>
      </c>
      <c r="F502" s="4">
        <f>IF(OR(INDEX($V$2:$V$1001,MATCH(ROWS($U$2:U502),$U$2:$U$1001,0),1)&gt;=100000,INDEX($AB$1005:$AQ$1005,1,MATCH(COLUMNS($AB$1006:AF1006),$AB$1006:$AQ$1006,0))&gt;=100000), " ",IF(INDEX($AB$2:$AQ$1001,MATCH(ROWS($U$2:U502),$U$2:$U$1001,0),MATCH(COLUMNS($AB$1006:AF1006),$AB$1006:$AQ$1006,0)), HYPERLINK("#",""), HYPERLINK(CONCATENATE("#metadata!", ADDRESS(INDEX($W$2:$W$1001,MATCH(ROWS($U$2:U502),$U$2:$U$1001,0),0), INDEX($AB$1004:$AQ$1004,1,MATCH(COLUMNS($AB$1006:AF1006),$AB$1006:$AQ$1006,0)))),"Fix")))</f>
        <v>0</v>
      </c>
      <c r="G502" s="4">
        <f>IF(OR(INDEX($V$2:$V$1001,MATCH(ROWS($U$2:U502),$U$2:$U$1001,0),1)&gt;=100000,INDEX($AB$1005:$AQ$1005,1,MATCH(COLUMNS($AB$1006:AG1006),$AB$1006:$AQ$1006,0))&gt;=100000), " ",IF(INDEX($AB$2:$AQ$1001,MATCH(ROWS($U$2:U502),$U$2:$U$1001,0),MATCH(COLUMNS($AB$1006:AG1006),$AB$1006:$AQ$1006,0)), HYPERLINK("#",""), HYPERLINK(CONCATENATE("#metadata!", ADDRESS(INDEX($W$2:$W$1001,MATCH(ROWS($U$2:U502),$U$2:$U$1001,0),0), INDEX($AB$1004:$AQ$1004,1,MATCH(COLUMNS($AB$1006:AG1006),$AB$1006:$AQ$1006,0)))),"Fix")))</f>
        <v>0</v>
      </c>
      <c r="H502" s="4">
        <f>IF(OR(INDEX($V$2:$V$1001,MATCH(ROWS($U$2:U502),$U$2:$U$1001,0),1)&gt;=100000,INDEX($AB$1005:$AQ$1005,1,MATCH(COLUMNS($AB$1006:AH1006),$AB$1006:$AQ$1006,0))&gt;=100000), " ",IF(INDEX($AB$2:$AQ$1001,MATCH(ROWS($U$2:U502),$U$2:$U$1001,0),MATCH(COLUMNS($AB$1006:AH1006),$AB$1006:$AQ$1006,0)), HYPERLINK("#",""), HYPERLINK(CONCATENATE("#metadata!", ADDRESS(INDEX($W$2:$W$1001,MATCH(ROWS($U$2:U502),$U$2:$U$1001,0),0), INDEX($AB$1004:$AQ$1004,1,MATCH(COLUMNS($AB$1006:AH1006),$AB$1006:$AQ$1006,0)))),"Fix")))</f>
        <v>0</v>
      </c>
      <c r="I502" s="4">
        <f>IF(OR(INDEX($V$2:$V$1001,MATCH(ROWS($U$2:U502),$U$2:$U$1001,0),1)&gt;=100000,INDEX($AB$1005:$AQ$1005,1,MATCH(COLUMNS($AB$1006:AI1006),$AB$1006:$AQ$1006,0))&gt;=100000), " ",IF(INDEX($AB$2:$AQ$1001,MATCH(ROWS($U$2:U502),$U$2:$U$1001,0),MATCH(COLUMNS($AB$1006:AI1006),$AB$1006:$AQ$1006,0)), HYPERLINK("#",""), HYPERLINK(CONCATENATE("#metadata!", ADDRESS(INDEX($W$2:$W$1001,MATCH(ROWS($U$2:U502),$U$2:$U$1001,0),0), INDEX($AB$1004:$AQ$1004,1,MATCH(COLUMNS($AB$1006:AI1006),$AB$1006:$AQ$1006,0)))),"Fix")))</f>
        <v>0</v>
      </c>
      <c r="J502" s="4">
        <f>IF(OR(INDEX($V$2:$V$1001,MATCH(ROWS($U$2:U502),$U$2:$U$1001,0),1)&gt;=100000,INDEX($AB$1005:$AQ$1005,1,MATCH(COLUMNS($AB$1006:AJ1006),$AB$1006:$AQ$1006,0))&gt;=100000), " ",IF(INDEX($AB$2:$AQ$1001,MATCH(ROWS($U$2:U502),$U$2:$U$1001,0),MATCH(COLUMNS($AB$1006:AJ1006),$AB$1006:$AQ$1006,0)), HYPERLINK("#",""), HYPERLINK(CONCATENATE("#metadata!", ADDRESS(INDEX($W$2:$W$1001,MATCH(ROWS($U$2:U502),$U$2:$U$1001,0),0), INDEX($AB$1004:$AQ$1004,1,MATCH(COLUMNS($AB$1006:AJ1006),$AB$1006:$AQ$1006,0)))),"Fix")))</f>
        <v>0</v>
      </c>
      <c r="K502" s="4">
        <f>IF(OR(INDEX($V$2:$V$1001,MATCH(ROWS($U$2:U502),$U$2:$U$1001,0),1)&gt;=100000,INDEX($AB$1005:$AQ$1005,1,MATCH(COLUMNS($AB$1006:AK1006),$AB$1006:$AQ$1006,0))&gt;=100000), " ",IF(INDEX($AB$2:$AQ$1001,MATCH(ROWS($U$2:U502),$U$2:$U$1001,0),MATCH(COLUMNS($AB$1006:AK1006),$AB$1006:$AQ$1006,0)), HYPERLINK("#",""), HYPERLINK(CONCATENATE("#metadata!", ADDRESS(INDEX($W$2:$W$1001,MATCH(ROWS($U$2:U502),$U$2:$U$1001,0),0), INDEX($AB$1004:$AQ$1004,1,MATCH(COLUMNS($AB$1006:AK1006),$AB$1006:$AQ$1006,0)))),"Fix")))</f>
        <v>0</v>
      </c>
      <c r="L502" s="4">
        <f>IF(OR(INDEX($V$2:$V$1001,MATCH(ROWS($U$2:U502),$U$2:$U$1001,0),1)&gt;=100000,INDEX($AB$1005:$AQ$1005,1,MATCH(COLUMNS($AB$1006:AL1006),$AB$1006:$AQ$1006,0))&gt;=100000), " ",IF(INDEX($AB$2:$AQ$1001,MATCH(ROWS($U$2:U502),$U$2:$U$1001,0),MATCH(COLUMNS($AB$1006:AL1006),$AB$1006:$AQ$1006,0)), HYPERLINK("#",""), HYPERLINK(CONCATENATE("#metadata!", ADDRESS(INDEX($W$2:$W$1001,MATCH(ROWS($U$2:U502),$U$2:$U$1001,0),0), INDEX($AB$1004:$AQ$1004,1,MATCH(COLUMNS($AB$1006:AL1006),$AB$1006:$AQ$1006,0)))),"Fix")))</f>
        <v>0</v>
      </c>
      <c r="M502" s="4">
        <f>IF(OR(INDEX($V$2:$V$1001,MATCH(ROWS($U$2:U502),$U$2:$U$1001,0),1)&gt;=100000,INDEX($AB$1005:$AQ$1005,1,MATCH(COLUMNS($AB$1006:AM1006),$AB$1006:$AQ$1006,0))&gt;=100000), " ",IF(INDEX($AB$2:$AQ$1001,MATCH(ROWS($U$2:U502),$U$2:$U$1001,0),MATCH(COLUMNS($AB$1006:AM1006),$AB$1006:$AQ$1006,0)), HYPERLINK("#",""), HYPERLINK(CONCATENATE("#metadata!", ADDRESS(INDEX($W$2:$W$1001,MATCH(ROWS($U$2:U502),$U$2:$U$1001,0),0), INDEX($AB$1004:$AQ$1004,1,MATCH(COLUMNS($AB$1006:AM1006),$AB$1006:$AQ$1006,0)))),"Fix")))</f>
        <v>0</v>
      </c>
      <c r="N502" s="4">
        <f>IF(OR(INDEX($V$2:$V$1001,MATCH(ROWS($U$2:U502),$U$2:$U$1001,0),1)&gt;=100000,INDEX($AB$1005:$AQ$1005,1,MATCH(COLUMNS($AB$1006:AN1006),$AB$1006:$AQ$1006,0))&gt;=100000), " ",IF(INDEX($AB$2:$AQ$1001,MATCH(ROWS($U$2:U502),$U$2:$U$1001,0),MATCH(COLUMNS($AB$1006:AN1006),$AB$1006:$AQ$1006,0)), HYPERLINK("#",""), HYPERLINK(CONCATENATE("#metadata!", ADDRESS(INDEX($W$2:$W$1001,MATCH(ROWS($U$2:U502),$U$2:$U$1001,0),0), INDEX($AB$1004:$AQ$1004,1,MATCH(COLUMNS($AB$1006:AN1006),$AB$1006:$AQ$1006,0)))),"Fix")))</f>
        <v>0</v>
      </c>
      <c r="O502" s="4">
        <f>IF(OR(INDEX($V$2:$V$1001,MATCH(ROWS($U$2:U502),$U$2:$U$1001,0),1)&gt;=100000,INDEX($AB$1005:$AQ$1005,1,MATCH(COLUMNS($AB$1006:AO1006),$AB$1006:$AQ$1006,0))&gt;=100000), " ",IF(INDEX($AB$2:$AQ$1001,MATCH(ROWS($U$2:U502),$U$2:$U$1001,0),MATCH(COLUMNS($AB$1006:AO1006),$AB$1006:$AQ$1006,0)), HYPERLINK("#",""), HYPERLINK(CONCATENATE("#metadata!", ADDRESS(INDEX($W$2:$W$1001,MATCH(ROWS($U$2:U502),$U$2:$U$1001,0),0), INDEX($AB$1004:$AQ$1004,1,MATCH(COLUMNS($AB$1006:AO1006),$AB$1006:$AQ$1006,0)))),"Fix")))</f>
        <v>0</v>
      </c>
      <c r="P502" s="4">
        <f>IF(OR(INDEX($V$2:$V$1001,MATCH(ROWS($U$2:U502),$U$2:$U$1001,0),1)&gt;=100000,INDEX($AB$1005:$AQ$1005,1,MATCH(COLUMNS($AB$1006:AP1006),$AB$1006:$AQ$1006,0))&gt;=100000), " ",IF(INDEX($AB$2:$AQ$1001,MATCH(ROWS($U$2:U502),$U$2:$U$1001,0),MATCH(COLUMNS($AB$1006:AP1006),$AB$1006:$AQ$1006,0)), HYPERLINK("#",""), HYPERLINK(CONCATENATE("#metadata!", ADDRESS(INDEX($W$2:$W$1001,MATCH(ROWS($U$2:U502),$U$2:$U$1001,0),0), INDEX($AB$1004:$AQ$1004,1,MATCH(COLUMNS($AB$1006:AP1006),$AB$1006:$AQ$1006,0)))),"Fix")))</f>
        <v>0</v>
      </c>
      <c r="Q502" s="4">
        <f>IF(OR(INDEX($V$2:$V$1001,MATCH(ROWS($U$2:U502),$U$2:$U$1001,0),1)&gt;=100000,INDEX($AB$1005:$AQ$1005,1,MATCH(COLUMNS($AB$1006:AQ1006),$AB$1006:$AQ$1006,0))&gt;=100000), " ",IF(INDEX($AB$2:$AQ$1001,MATCH(ROWS($U$2:U502),$U$2:$U$1001,0),MATCH(COLUMNS($AB$1006:AQ1006),$AB$1006:$AQ$1006,0)), HYPERLINK("#",""), HYPERLINK(CONCATENATE("#metadata!", ADDRESS(INDEX($W$2:$W$1001,MATCH(ROWS($U$2:U502),$U$2:$U$1001,0),0), INDEX($AB$1004:$AQ$1004,1,MATCH(COLUMNS($AB$1006:AQ1006),$AB$1006:$AQ$1006,0)))),"Fix")))</f>
        <v>0</v>
      </c>
      <c r="U502">
        <v>0</v>
      </c>
      <c r="V502">
        <v>0</v>
      </c>
      <c r="W502">
        <v>0</v>
      </c>
      <c r="X502">
        <f>IF(Y502,TRUE,AND(AB502:AQ502))</f>
        <v>0</v>
      </c>
      <c r="Y502">
        <f>COUNTBLANK(metadata!B502:Q502)=COLUMNS(metadata!B502:Q502)</f>
        <v>0</v>
      </c>
      <c r="Z502">
        <v>0</v>
      </c>
      <c r="AB502">
        <f>AND(IF(metadata!B502="",FALSE,TRUE),COUNTIF(metadata!B:B, metadata!B502) = 1,NOT(ISERROR(SUMPRODUCT(SEARCH(MID(metadata!B502,ROW(INDIRECT("1:"&amp;LEN(metadata!B502))), 1),"0123456789abcdefghijklmnopqrstuvwxyzABCDEFGHIJKLMNOPQRSTUVWXYZ.")))))</f>
        <v>0</v>
      </c>
      <c r="AC502">
        <f>OR(AND(IF(metadata!C502="",FALSE,TRUE),OR(exact(metadata!C502,"missing: not collected"),exact(metadata!C502,"missing: not provided"),exact(metadata!C502,"missing: restricted access"))),AND(IF(metadata!C502="",FALSE,TRUE),AND(AND(IFERROR(INT(LEFT(metadata!C502,4))&gt;1900,FALSE),IFERROR(INT(LEFT(metadata!C502,4))&lt;=YEAR(NOW()),FALSE)), OR(MID(metadata!C502,5,1)="", AND(AND(MID(metadata!C502,5,1)="-",IFERROR(INT(MID(metadata!C502,6,1))&gt;=0,FALSE),IFERROR(INT(MID(metadata!C502,6,1))&lt;=1,FALSE),NOT(MID(metadata!C502,7,1)=""),IFERROR(INT(MID(metadata!C502,6,2))&gt;=1,FALSE),IFERROR(INT(MID(metadata!C502,6,2))&lt;=12,FALSE)), OR(MID(metadata!C502,8,1)="", AND(AND(MID(metadata!C502,8,1)="-",IFERROR(INT(MID(metadata!C502,9,1))&gt;=0,FALSE),IFERROR(INT(MID(metadata!C502,9,1))&lt;=3,FALSE),NOT(MID(metadata!C502,10,1)=""),IFERROR(INT(MID(metadata!C502,9,2))&gt;=1,FALSE),IFERROR(INT(MID(metadata!C502,9,2))&lt;=31,FALSE)), OR(MID(metadata!C502,11,1)="", AND(AND(MID(metadata!C502,11,1)=" ",IFERROR(INT(MID(metadata!C502,12,1))&gt;=0,FALSE),IFERROR(INT(MID(metadata!C502,12,1))&lt;=2,FALSE),NOT(MID(metadata!C502,13,1)=""),IFERROR(INT(MID(metadata!C502,12,2))&gt;=0,FALSE),IFERROR(INT(MID(metadata!C502,12,2))&lt;=23,FALSE)), OR(MID(metadata!C502,14,1)="", AND(AND(MID(metadata!C502,14,1)=":",IFERROR(INT(MID(metadata!C502,15,1))&gt;=0,FALSE),IFERROR(INT(MID(metadata!C502,15,1))&lt;=5,FALSE),NOT(MID(metadata!C502,16,1)=""),IFERROR(INT(MID(metadata!C502,15,2))&gt;=0,FALSE),IFERROR(INT(MID(metadata!C502,15,2))&lt;=59,FALSE)), OR(MID(metadata!C502,17,1)="", AND(AND(MID(metadata!C502,17,1)=":",IFERROR(INT(MID(metadata!C502,18,1))&gt;=0,FALSE),IFERROR(INT(MID(metadata!C502,18,1))&lt;=5,FALSE),NOT(MID(metadata!C502,19,1)=""),IFERROR(INT(MID(metadata!C502,18,2))&gt;=0,FALSE),IFERROR(INT(MID(metadata!C502,18,2))&lt;=59,FALSE)), LEN(metadata!C502)&lt;=19)))))))))))))</f>
        <v>0</v>
      </c>
      <c r="AD502">
        <f>IF(metadata!D502="",FALSE,TRUE)</f>
        <v>0</v>
      </c>
      <c r="AE502">
        <f>OR(AND(IF(metadata!E502="",FALSE,TRUE),OR(exact(metadata!E502,"missing: not collected"),exact(metadata!E502,"missing: not provided"))),AND(IF(metadata!E502="",FALSE,TRUE),OR(exact(metadata!E502,"TRUE"),exact(metadata!E502,"FALSE"))))</f>
        <v>0</v>
      </c>
      <c r="AF502">
        <f>IF(metadata!F502="",FALSE,TRUE)</f>
        <v>0</v>
      </c>
      <c r="AG502">
        <f>IF(metadata!G502="",FALSE,TRUE)</f>
        <v>0</v>
      </c>
      <c r="AH502">
        <f>IF(metadata!H502="",FALSE,TRUE)</f>
        <v>0</v>
      </c>
      <c r="AI502">
        <f>OR(AND(IF(metadata!I502="",FALSE,TRUE),OR(exact(metadata!I502,"missing: not collected"),exact(metadata!I502,"missing: not provided"),exact(metadata!I502,"missing: restricted access"))),AND(IF(metadata!I502="",FALSE,TRUE),OR(exact(metadata!I502,"air"),exact(metadata!I502,"built environment"),exact(metadata!I502,"host-associated"),exact(metadata!I502,"human-associated"),exact(metadata!I502,"human-skin"),exact(metadata!I502,"human-oral"),exact(metadata!I502,"human-gut"),exact(metadata!I502,"human-vaginal"),exact(metadata!I502,"microbial mat/biofilm"),exact(metadata!I502,"misc environment"),exact(metadata!I502,"plant-associated"),exact(metadata!I502,"sediment"),exact(metadata!I502,"soil"),exact(metadata!I502,"wastewater/sludge"),exact(metadata!I502,"water"))))</f>
        <v>0</v>
      </c>
      <c r="AJ502">
        <f>IF(metadata!J502="",FALSE,TRUE)</f>
        <v>0</v>
      </c>
      <c r="AK502">
        <f>OR(AND(IF(metadata!K502="",FALSE,TRUE),OR(exact(metadata!K502,"missing: not collected"),exact(metadata!K502,"missing: not provided"),exact(metadata!K502,"missing: restricted access"))),AND(IF(metadata!K502="",FALSE,ISNUMBER(VALUE(metadata!K502))),metadata!K502&gt;=-90.00,metadata!K502&lt;=90.00))</f>
        <v>0</v>
      </c>
      <c r="AL502">
        <f>OR(AND(IF(metadata!L502="",FALSE,TRUE),OR(exact(metadata!L502,"missing: not collected"),exact(metadata!L502,"missing: not provided"),exact(metadata!L502,"missing: restricted access"))),AND(IF(metadata!L502="",FALSE,ISNUMBER(VALUE(metadata!L502))),metadata!L502&gt;=-180.00,metadata!L502&lt;=180.00))</f>
        <v>0</v>
      </c>
      <c r="AM502">
        <f>IF(metadata!M502="",FALSE,TRUE)</f>
        <v>0</v>
      </c>
      <c r="AN502">
        <f>OR(AND(IF(metadata!N502="",FALSE,TRUE),OR(exact(metadata!N502,"missing: not collected"),exact(metadata!N502,"missing: not provided"),exact(metadata!N502,"missing: restricted access"))),AND(IF(metadata!N502="",FALSE,TRUE),OR(exact(metadata!N502,"TRUE"),exact(metadata!N502,"FALSE"))))</f>
        <v>0</v>
      </c>
      <c r="AO502">
        <f>IF(metadata!O502="",FALSE,TRUE)</f>
        <v>0</v>
      </c>
      <c r="AP502">
        <f>OR(AND(IF(metadata!P502="",FALSE,TRUE),OR(exact(metadata!P502,"missing: not collected"),exact(metadata!P502,"missing: not provided"))),AND(IF(metadata!P502="",FALSE,IF(ISERROR(INT(metadata!P502)),FALSE,INT(metadata!P502)=metadata!P502)),metadata!P502&gt;0))</f>
        <v>0</v>
      </c>
      <c r="AQ502">
        <f>IF(metadata!Q502="",FALSE,TRUE)</f>
        <v>0</v>
      </c>
    </row>
    <row r="503" spans="1:43">
      <c r="A503" s="5">
        <f>IF(B503=" "," ",HYPERLINK(CONCATENATE("#metadata!",ADDRESS(INDEX($W$2:$W$1001,MATCH(ROWS($U$2:U503),$U$2:$U$1001,0),0),1)),INDEX($Z$2:$Z$1001,MATCH(ROWS($U$2:U503),$U$2:$U$1001,0),0)))</f>
        <v>0</v>
      </c>
      <c r="B503" s="4">
        <f>IF(OR(INDEX($V$2:$V$1001,MATCH(ROWS($U$2:U503),$U$2:$U$1001,0),1)&gt;=100000,INDEX($AB$1005:$AQ$1005,1,MATCH(COLUMNS($AB$1006:AB1006),$AB$1006:$AQ$1006,0))&gt;=100000), " ",IF(INDEX($AB$2:$AQ$1001,MATCH(ROWS($U$2:U503),$U$2:$U$1001,0),MATCH(COLUMNS($AB$1006:AB1006),$AB$1006:$AQ$1006,0)), HYPERLINK("#",""), HYPERLINK(CONCATENATE("#metadata!", ADDRESS(INDEX($W$2:$W$1001,MATCH(ROWS($U$2:U503),$U$2:$U$1001,0),0), INDEX($AB$1004:$AQ$1004,1,MATCH(COLUMNS($AB$1006:AB1006),$AB$1006:$AQ$1006,0)))),"Fix")))</f>
        <v>0</v>
      </c>
      <c r="C503" s="4">
        <f>IF(OR(INDEX($V$2:$V$1001,MATCH(ROWS($U$2:U503),$U$2:$U$1001,0),1)&gt;=100000,INDEX($AB$1005:$AQ$1005,1,MATCH(COLUMNS($AB$1006:AC1006),$AB$1006:$AQ$1006,0))&gt;=100000), " ",IF(INDEX($AB$2:$AQ$1001,MATCH(ROWS($U$2:U503),$U$2:$U$1001,0),MATCH(COLUMNS($AB$1006:AC1006),$AB$1006:$AQ$1006,0)), HYPERLINK("#",""), HYPERLINK(CONCATENATE("#metadata!", ADDRESS(INDEX($W$2:$W$1001,MATCH(ROWS($U$2:U503),$U$2:$U$1001,0),0), INDEX($AB$1004:$AQ$1004,1,MATCH(COLUMNS($AB$1006:AC1006),$AB$1006:$AQ$1006,0)))),"Fix")))</f>
        <v>0</v>
      </c>
      <c r="D503" s="4">
        <f>IF(OR(INDEX($V$2:$V$1001,MATCH(ROWS($U$2:U503),$U$2:$U$1001,0),1)&gt;=100000,INDEX($AB$1005:$AQ$1005,1,MATCH(COLUMNS($AB$1006:AD1006),$AB$1006:$AQ$1006,0))&gt;=100000), " ",IF(INDEX($AB$2:$AQ$1001,MATCH(ROWS($U$2:U503),$U$2:$U$1001,0),MATCH(COLUMNS($AB$1006:AD1006),$AB$1006:$AQ$1006,0)), HYPERLINK("#",""), HYPERLINK(CONCATENATE("#metadata!", ADDRESS(INDEX($W$2:$W$1001,MATCH(ROWS($U$2:U503),$U$2:$U$1001,0),0), INDEX($AB$1004:$AQ$1004,1,MATCH(COLUMNS($AB$1006:AD1006),$AB$1006:$AQ$1006,0)))),"Fix")))</f>
        <v>0</v>
      </c>
      <c r="E503" s="4">
        <f>IF(OR(INDEX($V$2:$V$1001,MATCH(ROWS($U$2:U503),$U$2:$U$1001,0),1)&gt;=100000,INDEX($AB$1005:$AQ$1005,1,MATCH(COLUMNS($AB$1006:AE1006),$AB$1006:$AQ$1006,0))&gt;=100000), " ",IF(INDEX($AB$2:$AQ$1001,MATCH(ROWS($U$2:U503),$U$2:$U$1001,0),MATCH(COLUMNS($AB$1006:AE1006),$AB$1006:$AQ$1006,0)), HYPERLINK("#",""), HYPERLINK(CONCATENATE("#metadata!", ADDRESS(INDEX($W$2:$W$1001,MATCH(ROWS($U$2:U503),$U$2:$U$1001,0),0), INDEX($AB$1004:$AQ$1004,1,MATCH(COLUMNS($AB$1006:AE1006),$AB$1006:$AQ$1006,0)))),"Fix")))</f>
        <v>0</v>
      </c>
      <c r="F503" s="4">
        <f>IF(OR(INDEX($V$2:$V$1001,MATCH(ROWS($U$2:U503),$U$2:$U$1001,0),1)&gt;=100000,INDEX($AB$1005:$AQ$1005,1,MATCH(COLUMNS($AB$1006:AF1006),$AB$1006:$AQ$1006,0))&gt;=100000), " ",IF(INDEX($AB$2:$AQ$1001,MATCH(ROWS($U$2:U503),$U$2:$U$1001,0),MATCH(COLUMNS($AB$1006:AF1006),$AB$1006:$AQ$1006,0)), HYPERLINK("#",""), HYPERLINK(CONCATENATE("#metadata!", ADDRESS(INDEX($W$2:$W$1001,MATCH(ROWS($U$2:U503),$U$2:$U$1001,0),0), INDEX($AB$1004:$AQ$1004,1,MATCH(COLUMNS($AB$1006:AF1006),$AB$1006:$AQ$1006,0)))),"Fix")))</f>
        <v>0</v>
      </c>
      <c r="G503" s="4">
        <f>IF(OR(INDEX($V$2:$V$1001,MATCH(ROWS($U$2:U503),$U$2:$U$1001,0),1)&gt;=100000,INDEX($AB$1005:$AQ$1005,1,MATCH(COLUMNS($AB$1006:AG1006),$AB$1006:$AQ$1006,0))&gt;=100000), " ",IF(INDEX($AB$2:$AQ$1001,MATCH(ROWS($U$2:U503),$U$2:$U$1001,0),MATCH(COLUMNS($AB$1006:AG1006),$AB$1006:$AQ$1006,0)), HYPERLINK("#",""), HYPERLINK(CONCATENATE("#metadata!", ADDRESS(INDEX($W$2:$W$1001,MATCH(ROWS($U$2:U503),$U$2:$U$1001,0),0), INDEX($AB$1004:$AQ$1004,1,MATCH(COLUMNS($AB$1006:AG1006),$AB$1006:$AQ$1006,0)))),"Fix")))</f>
        <v>0</v>
      </c>
      <c r="H503" s="4">
        <f>IF(OR(INDEX($V$2:$V$1001,MATCH(ROWS($U$2:U503),$U$2:$U$1001,0),1)&gt;=100000,INDEX($AB$1005:$AQ$1005,1,MATCH(COLUMNS($AB$1006:AH1006),$AB$1006:$AQ$1006,0))&gt;=100000), " ",IF(INDEX($AB$2:$AQ$1001,MATCH(ROWS($U$2:U503),$U$2:$U$1001,0),MATCH(COLUMNS($AB$1006:AH1006),$AB$1006:$AQ$1006,0)), HYPERLINK("#",""), HYPERLINK(CONCATENATE("#metadata!", ADDRESS(INDEX($W$2:$W$1001,MATCH(ROWS($U$2:U503),$U$2:$U$1001,0),0), INDEX($AB$1004:$AQ$1004,1,MATCH(COLUMNS($AB$1006:AH1006),$AB$1006:$AQ$1006,0)))),"Fix")))</f>
        <v>0</v>
      </c>
      <c r="I503" s="4">
        <f>IF(OR(INDEX($V$2:$V$1001,MATCH(ROWS($U$2:U503),$U$2:$U$1001,0),1)&gt;=100000,INDEX($AB$1005:$AQ$1005,1,MATCH(COLUMNS($AB$1006:AI1006),$AB$1006:$AQ$1006,0))&gt;=100000), " ",IF(INDEX($AB$2:$AQ$1001,MATCH(ROWS($U$2:U503),$U$2:$U$1001,0),MATCH(COLUMNS($AB$1006:AI1006),$AB$1006:$AQ$1006,0)), HYPERLINK("#",""), HYPERLINK(CONCATENATE("#metadata!", ADDRESS(INDEX($W$2:$W$1001,MATCH(ROWS($U$2:U503),$U$2:$U$1001,0),0), INDEX($AB$1004:$AQ$1004,1,MATCH(COLUMNS($AB$1006:AI1006),$AB$1006:$AQ$1006,0)))),"Fix")))</f>
        <v>0</v>
      </c>
      <c r="J503" s="4">
        <f>IF(OR(INDEX($V$2:$V$1001,MATCH(ROWS($U$2:U503),$U$2:$U$1001,0),1)&gt;=100000,INDEX($AB$1005:$AQ$1005,1,MATCH(COLUMNS($AB$1006:AJ1006),$AB$1006:$AQ$1006,0))&gt;=100000), " ",IF(INDEX($AB$2:$AQ$1001,MATCH(ROWS($U$2:U503),$U$2:$U$1001,0),MATCH(COLUMNS($AB$1006:AJ1006),$AB$1006:$AQ$1006,0)), HYPERLINK("#",""), HYPERLINK(CONCATENATE("#metadata!", ADDRESS(INDEX($W$2:$W$1001,MATCH(ROWS($U$2:U503),$U$2:$U$1001,0),0), INDEX($AB$1004:$AQ$1004,1,MATCH(COLUMNS($AB$1006:AJ1006),$AB$1006:$AQ$1006,0)))),"Fix")))</f>
        <v>0</v>
      </c>
      <c r="K503" s="4">
        <f>IF(OR(INDEX($V$2:$V$1001,MATCH(ROWS($U$2:U503),$U$2:$U$1001,0),1)&gt;=100000,INDEX($AB$1005:$AQ$1005,1,MATCH(COLUMNS($AB$1006:AK1006),$AB$1006:$AQ$1006,0))&gt;=100000), " ",IF(INDEX($AB$2:$AQ$1001,MATCH(ROWS($U$2:U503),$U$2:$U$1001,0),MATCH(COLUMNS($AB$1006:AK1006),$AB$1006:$AQ$1006,0)), HYPERLINK("#",""), HYPERLINK(CONCATENATE("#metadata!", ADDRESS(INDEX($W$2:$W$1001,MATCH(ROWS($U$2:U503),$U$2:$U$1001,0),0), INDEX($AB$1004:$AQ$1004,1,MATCH(COLUMNS($AB$1006:AK1006),$AB$1006:$AQ$1006,0)))),"Fix")))</f>
        <v>0</v>
      </c>
      <c r="L503" s="4">
        <f>IF(OR(INDEX($V$2:$V$1001,MATCH(ROWS($U$2:U503),$U$2:$U$1001,0),1)&gt;=100000,INDEX($AB$1005:$AQ$1005,1,MATCH(COLUMNS($AB$1006:AL1006),$AB$1006:$AQ$1006,0))&gt;=100000), " ",IF(INDEX($AB$2:$AQ$1001,MATCH(ROWS($U$2:U503),$U$2:$U$1001,0),MATCH(COLUMNS($AB$1006:AL1006),$AB$1006:$AQ$1006,0)), HYPERLINK("#",""), HYPERLINK(CONCATENATE("#metadata!", ADDRESS(INDEX($W$2:$W$1001,MATCH(ROWS($U$2:U503),$U$2:$U$1001,0),0), INDEX($AB$1004:$AQ$1004,1,MATCH(COLUMNS($AB$1006:AL1006),$AB$1006:$AQ$1006,0)))),"Fix")))</f>
        <v>0</v>
      </c>
      <c r="M503" s="4">
        <f>IF(OR(INDEX($V$2:$V$1001,MATCH(ROWS($U$2:U503),$U$2:$U$1001,0),1)&gt;=100000,INDEX($AB$1005:$AQ$1005,1,MATCH(COLUMNS($AB$1006:AM1006),$AB$1006:$AQ$1006,0))&gt;=100000), " ",IF(INDEX($AB$2:$AQ$1001,MATCH(ROWS($U$2:U503),$U$2:$U$1001,0),MATCH(COLUMNS($AB$1006:AM1006),$AB$1006:$AQ$1006,0)), HYPERLINK("#",""), HYPERLINK(CONCATENATE("#metadata!", ADDRESS(INDEX($W$2:$W$1001,MATCH(ROWS($U$2:U503),$U$2:$U$1001,0),0), INDEX($AB$1004:$AQ$1004,1,MATCH(COLUMNS($AB$1006:AM1006),$AB$1006:$AQ$1006,0)))),"Fix")))</f>
        <v>0</v>
      </c>
      <c r="N503" s="4">
        <f>IF(OR(INDEX($V$2:$V$1001,MATCH(ROWS($U$2:U503),$U$2:$U$1001,0),1)&gt;=100000,INDEX($AB$1005:$AQ$1005,1,MATCH(COLUMNS($AB$1006:AN1006),$AB$1006:$AQ$1006,0))&gt;=100000), " ",IF(INDEX($AB$2:$AQ$1001,MATCH(ROWS($U$2:U503),$U$2:$U$1001,0),MATCH(COLUMNS($AB$1006:AN1006),$AB$1006:$AQ$1006,0)), HYPERLINK("#",""), HYPERLINK(CONCATENATE("#metadata!", ADDRESS(INDEX($W$2:$W$1001,MATCH(ROWS($U$2:U503),$U$2:$U$1001,0),0), INDEX($AB$1004:$AQ$1004,1,MATCH(COLUMNS($AB$1006:AN1006),$AB$1006:$AQ$1006,0)))),"Fix")))</f>
        <v>0</v>
      </c>
      <c r="O503" s="4">
        <f>IF(OR(INDEX($V$2:$V$1001,MATCH(ROWS($U$2:U503),$U$2:$U$1001,0),1)&gt;=100000,INDEX($AB$1005:$AQ$1005,1,MATCH(COLUMNS($AB$1006:AO1006),$AB$1006:$AQ$1006,0))&gt;=100000), " ",IF(INDEX($AB$2:$AQ$1001,MATCH(ROWS($U$2:U503),$U$2:$U$1001,0),MATCH(COLUMNS($AB$1006:AO1006),$AB$1006:$AQ$1006,0)), HYPERLINK("#",""), HYPERLINK(CONCATENATE("#metadata!", ADDRESS(INDEX($W$2:$W$1001,MATCH(ROWS($U$2:U503),$U$2:$U$1001,0),0), INDEX($AB$1004:$AQ$1004,1,MATCH(COLUMNS($AB$1006:AO1006),$AB$1006:$AQ$1006,0)))),"Fix")))</f>
        <v>0</v>
      </c>
      <c r="P503" s="4">
        <f>IF(OR(INDEX($V$2:$V$1001,MATCH(ROWS($U$2:U503),$U$2:$U$1001,0),1)&gt;=100000,INDEX($AB$1005:$AQ$1005,1,MATCH(COLUMNS($AB$1006:AP1006),$AB$1006:$AQ$1006,0))&gt;=100000), " ",IF(INDEX($AB$2:$AQ$1001,MATCH(ROWS($U$2:U503),$U$2:$U$1001,0),MATCH(COLUMNS($AB$1006:AP1006),$AB$1006:$AQ$1006,0)), HYPERLINK("#",""), HYPERLINK(CONCATENATE("#metadata!", ADDRESS(INDEX($W$2:$W$1001,MATCH(ROWS($U$2:U503),$U$2:$U$1001,0),0), INDEX($AB$1004:$AQ$1004,1,MATCH(COLUMNS($AB$1006:AP1006),$AB$1006:$AQ$1006,0)))),"Fix")))</f>
        <v>0</v>
      </c>
      <c r="Q503" s="4">
        <f>IF(OR(INDEX($V$2:$V$1001,MATCH(ROWS($U$2:U503),$U$2:$U$1001,0),1)&gt;=100000,INDEX($AB$1005:$AQ$1005,1,MATCH(COLUMNS($AB$1006:AQ1006),$AB$1006:$AQ$1006,0))&gt;=100000), " ",IF(INDEX($AB$2:$AQ$1001,MATCH(ROWS($U$2:U503),$U$2:$U$1001,0),MATCH(COLUMNS($AB$1006:AQ1006),$AB$1006:$AQ$1006,0)), HYPERLINK("#",""), HYPERLINK(CONCATENATE("#metadata!", ADDRESS(INDEX($W$2:$W$1001,MATCH(ROWS($U$2:U503),$U$2:$U$1001,0),0), INDEX($AB$1004:$AQ$1004,1,MATCH(COLUMNS($AB$1006:AQ1006),$AB$1006:$AQ$1006,0)))),"Fix")))</f>
        <v>0</v>
      </c>
      <c r="U503">
        <v>0</v>
      </c>
      <c r="V503">
        <v>0</v>
      </c>
      <c r="W503">
        <v>0</v>
      </c>
      <c r="X503">
        <f>IF(Y503,TRUE,AND(AB503:AQ503))</f>
        <v>0</v>
      </c>
      <c r="Y503">
        <f>COUNTBLANK(metadata!B503:Q503)=COLUMNS(metadata!B503:Q503)</f>
        <v>0</v>
      </c>
      <c r="Z503">
        <v>0</v>
      </c>
      <c r="AB503">
        <f>AND(IF(metadata!B503="",FALSE,TRUE),COUNTIF(metadata!B:B, metadata!B503) = 1,NOT(ISERROR(SUMPRODUCT(SEARCH(MID(metadata!B503,ROW(INDIRECT("1:"&amp;LEN(metadata!B503))), 1),"0123456789abcdefghijklmnopqrstuvwxyzABCDEFGHIJKLMNOPQRSTUVWXYZ.")))))</f>
        <v>0</v>
      </c>
      <c r="AC503">
        <f>OR(AND(IF(metadata!C503="",FALSE,TRUE),OR(exact(metadata!C503,"missing: not collected"),exact(metadata!C503,"missing: not provided"),exact(metadata!C503,"missing: restricted access"))),AND(IF(metadata!C503="",FALSE,TRUE),AND(AND(IFERROR(INT(LEFT(metadata!C503,4))&gt;1900,FALSE),IFERROR(INT(LEFT(metadata!C503,4))&lt;=YEAR(NOW()),FALSE)), OR(MID(metadata!C503,5,1)="", AND(AND(MID(metadata!C503,5,1)="-",IFERROR(INT(MID(metadata!C503,6,1))&gt;=0,FALSE),IFERROR(INT(MID(metadata!C503,6,1))&lt;=1,FALSE),NOT(MID(metadata!C503,7,1)=""),IFERROR(INT(MID(metadata!C503,6,2))&gt;=1,FALSE),IFERROR(INT(MID(metadata!C503,6,2))&lt;=12,FALSE)), OR(MID(metadata!C503,8,1)="", AND(AND(MID(metadata!C503,8,1)="-",IFERROR(INT(MID(metadata!C503,9,1))&gt;=0,FALSE),IFERROR(INT(MID(metadata!C503,9,1))&lt;=3,FALSE),NOT(MID(metadata!C503,10,1)=""),IFERROR(INT(MID(metadata!C503,9,2))&gt;=1,FALSE),IFERROR(INT(MID(metadata!C503,9,2))&lt;=31,FALSE)), OR(MID(metadata!C503,11,1)="", AND(AND(MID(metadata!C503,11,1)=" ",IFERROR(INT(MID(metadata!C503,12,1))&gt;=0,FALSE),IFERROR(INT(MID(metadata!C503,12,1))&lt;=2,FALSE),NOT(MID(metadata!C503,13,1)=""),IFERROR(INT(MID(metadata!C503,12,2))&gt;=0,FALSE),IFERROR(INT(MID(metadata!C503,12,2))&lt;=23,FALSE)), OR(MID(metadata!C503,14,1)="", AND(AND(MID(metadata!C503,14,1)=":",IFERROR(INT(MID(metadata!C503,15,1))&gt;=0,FALSE),IFERROR(INT(MID(metadata!C503,15,1))&lt;=5,FALSE),NOT(MID(metadata!C503,16,1)=""),IFERROR(INT(MID(metadata!C503,15,2))&gt;=0,FALSE),IFERROR(INT(MID(metadata!C503,15,2))&lt;=59,FALSE)), OR(MID(metadata!C503,17,1)="", AND(AND(MID(metadata!C503,17,1)=":",IFERROR(INT(MID(metadata!C503,18,1))&gt;=0,FALSE),IFERROR(INT(MID(metadata!C503,18,1))&lt;=5,FALSE),NOT(MID(metadata!C503,19,1)=""),IFERROR(INT(MID(metadata!C503,18,2))&gt;=0,FALSE),IFERROR(INT(MID(metadata!C503,18,2))&lt;=59,FALSE)), LEN(metadata!C503)&lt;=19)))))))))))))</f>
        <v>0</v>
      </c>
      <c r="AD503">
        <f>IF(metadata!D503="",FALSE,TRUE)</f>
        <v>0</v>
      </c>
      <c r="AE503">
        <f>OR(AND(IF(metadata!E503="",FALSE,TRUE),OR(exact(metadata!E503,"missing: not collected"),exact(metadata!E503,"missing: not provided"))),AND(IF(metadata!E503="",FALSE,TRUE),OR(exact(metadata!E503,"TRUE"),exact(metadata!E503,"FALSE"))))</f>
        <v>0</v>
      </c>
      <c r="AF503">
        <f>IF(metadata!F503="",FALSE,TRUE)</f>
        <v>0</v>
      </c>
      <c r="AG503">
        <f>IF(metadata!G503="",FALSE,TRUE)</f>
        <v>0</v>
      </c>
      <c r="AH503">
        <f>IF(metadata!H503="",FALSE,TRUE)</f>
        <v>0</v>
      </c>
      <c r="AI503">
        <f>OR(AND(IF(metadata!I503="",FALSE,TRUE),OR(exact(metadata!I503,"missing: not collected"),exact(metadata!I503,"missing: not provided"),exact(metadata!I503,"missing: restricted access"))),AND(IF(metadata!I503="",FALSE,TRUE),OR(exact(metadata!I503,"air"),exact(metadata!I503,"built environment"),exact(metadata!I503,"host-associated"),exact(metadata!I503,"human-associated"),exact(metadata!I503,"human-skin"),exact(metadata!I503,"human-oral"),exact(metadata!I503,"human-gut"),exact(metadata!I503,"human-vaginal"),exact(metadata!I503,"microbial mat/biofilm"),exact(metadata!I503,"misc environment"),exact(metadata!I503,"plant-associated"),exact(metadata!I503,"sediment"),exact(metadata!I503,"soil"),exact(metadata!I503,"wastewater/sludge"),exact(metadata!I503,"water"))))</f>
        <v>0</v>
      </c>
      <c r="AJ503">
        <f>IF(metadata!J503="",FALSE,TRUE)</f>
        <v>0</v>
      </c>
      <c r="AK503">
        <f>OR(AND(IF(metadata!K503="",FALSE,TRUE),OR(exact(metadata!K503,"missing: not collected"),exact(metadata!K503,"missing: not provided"),exact(metadata!K503,"missing: restricted access"))),AND(IF(metadata!K503="",FALSE,ISNUMBER(VALUE(metadata!K503))),metadata!K503&gt;=-90.00,metadata!K503&lt;=90.00))</f>
        <v>0</v>
      </c>
      <c r="AL503">
        <f>OR(AND(IF(metadata!L503="",FALSE,TRUE),OR(exact(metadata!L503,"missing: not collected"),exact(metadata!L503,"missing: not provided"),exact(metadata!L503,"missing: restricted access"))),AND(IF(metadata!L503="",FALSE,ISNUMBER(VALUE(metadata!L503))),metadata!L503&gt;=-180.00,metadata!L503&lt;=180.00))</f>
        <v>0</v>
      </c>
      <c r="AM503">
        <f>IF(metadata!M503="",FALSE,TRUE)</f>
        <v>0</v>
      </c>
      <c r="AN503">
        <f>OR(AND(IF(metadata!N503="",FALSE,TRUE),OR(exact(metadata!N503,"missing: not collected"),exact(metadata!N503,"missing: not provided"),exact(metadata!N503,"missing: restricted access"))),AND(IF(metadata!N503="",FALSE,TRUE),OR(exact(metadata!N503,"TRUE"),exact(metadata!N503,"FALSE"))))</f>
        <v>0</v>
      </c>
      <c r="AO503">
        <f>IF(metadata!O503="",FALSE,TRUE)</f>
        <v>0</v>
      </c>
      <c r="AP503">
        <f>OR(AND(IF(metadata!P503="",FALSE,TRUE),OR(exact(metadata!P503,"missing: not collected"),exact(metadata!P503,"missing: not provided"))),AND(IF(metadata!P503="",FALSE,IF(ISERROR(INT(metadata!P503)),FALSE,INT(metadata!P503)=metadata!P503)),metadata!P503&gt;0))</f>
        <v>0</v>
      </c>
      <c r="AQ503">
        <f>IF(metadata!Q503="",FALSE,TRUE)</f>
        <v>0</v>
      </c>
    </row>
    <row r="504" spans="1:43">
      <c r="A504" s="5">
        <f>IF(B504=" "," ",HYPERLINK(CONCATENATE("#metadata!",ADDRESS(INDEX($W$2:$W$1001,MATCH(ROWS($U$2:U504),$U$2:$U$1001,0),0),1)),INDEX($Z$2:$Z$1001,MATCH(ROWS($U$2:U504),$U$2:$U$1001,0),0)))</f>
        <v>0</v>
      </c>
      <c r="B504" s="4">
        <f>IF(OR(INDEX($V$2:$V$1001,MATCH(ROWS($U$2:U504),$U$2:$U$1001,0),1)&gt;=100000,INDEX($AB$1005:$AQ$1005,1,MATCH(COLUMNS($AB$1006:AB1006),$AB$1006:$AQ$1006,0))&gt;=100000), " ",IF(INDEX($AB$2:$AQ$1001,MATCH(ROWS($U$2:U504),$U$2:$U$1001,0),MATCH(COLUMNS($AB$1006:AB1006),$AB$1006:$AQ$1006,0)), HYPERLINK("#",""), HYPERLINK(CONCATENATE("#metadata!", ADDRESS(INDEX($W$2:$W$1001,MATCH(ROWS($U$2:U504),$U$2:$U$1001,0),0), INDEX($AB$1004:$AQ$1004,1,MATCH(COLUMNS($AB$1006:AB1006),$AB$1006:$AQ$1006,0)))),"Fix")))</f>
        <v>0</v>
      </c>
      <c r="C504" s="4">
        <f>IF(OR(INDEX($V$2:$V$1001,MATCH(ROWS($U$2:U504),$U$2:$U$1001,0),1)&gt;=100000,INDEX($AB$1005:$AQ$1005,1,MATCH(COLUMNS($AB$1006:AC1006),$AB$1006:$AQ$1006,0))&gt;=100000), " ",IF(INDEX($AB$2:$AQ$1001,MATCH(ROWS($U$2:U504),$U$2:$U$1001,0),MATCH(COLUMNS($AB$1006:AC1006),$AB$1006:$AQ$1006,0)), HYPERLINK("#",""), HYPERLINK(CONCATENATE("#metadata!", ADDRESS(INDEX($W$2:$W$1001,MATCH(ROWS($U$2:U504),$U$2:$U$1001,0),0), INDEX($AB$1004:$AQ$1004,1,MATCH(COLUMNS($AB$1006:AC1006),$AB$1006:$AQ$1006,0)))),"Fix")))</f>
        <v>0</v>
      </c>
      <c r="D504" s="4">
        <f>IF(OR(INDEX($V$2:$V$1001,MATCH(ROWS($U$2:U504),$U$2:$U$1001,0),1)&gt;=100000,INDEX($AB$1005:$AQ$1005,1,MATCH(COLUMNS($AB$1006:AD1006),$AB$1006:$AQ$1006,0))&gt;=100000), " ",IF(INDEX($AB$2:$AQ$1001,MATCH(ROWS($U$2:U504),$U$2:$U$1001,0),MATCH(COLUMNS($AB$1006:AD1006),$AB$1006:$AQ$1006,0)), HYPERLINK("#",""), HYPERLINK(CONCATENATE("#metadata!", ADDRESS(INDEX($W$2:$W$1001,MATCH(ROWS($U$2:U504),$U$2:$U$1001,0),0), INDEX($AB$1004:$AQ$1004,1,MATCH(COLUMNS($AB$1006:AD1006),$AB$1006:$AQ$1006,0)))),"Fix")))</f>
        <v>0</v>
      </c>
      <c r="E504" s="4">
        <f>IF(OR(INDEX($V$2:$V$1001,MATCH(ROWS($U$2:U504),$U$2:$U$1001,0),1)&gt;=100000,INDEX($AB$1005:$AQ$1005,1,MATCH(COLUMNS($AB$1006:AE1006),$AB$1006:$AQ$1006,0))&gt;=100000), " ",IF(INDEX($AB$2:$AQ$1001,MATCH(ROWS($U$2:U504),$U$2:$U$1001,0),MATCH(COLUMNS($AB$1006:AE1006),$AB$1006:$AQ$1006,0)), HYPERLINK("#",""), HYPERLINK(CONCATENATE("#metadata!", ADDRESS(INDEX($W$2:$W$1001,MATCH(ROWS($U$2:U504),$U$2:$U$1001,0),0), INDEX($AB$1004:$AQ$1004,1,MATCH(COLUMNS($AB$1006:AE1006),$AB$1006:$AQ$1006,0)))),"Fix")))</f>
        <v>0</v>
      </c>
      <c r="F504" s="4">
        <f>IF(OR(INDEX($V$2:$V$1001,MATCH(ROWS($U$2:U504),$U$2:$U$1001,0),1)&gt;=100000,INDEX($AB$1005:$AQ$1005,1,MATCH(COLUMNS($AB$1006:AF1006),$AB$1006:$AQ$1006,0))&gt;=100000), " ",IF(INDEX($AB$2:$AQ$1001,MATCH(ROWS($U$2:U504),$U$2:$U$1001,0),MATCH(COLUMNS($AB$1006:AF1006),$AB$1006:$AQ$1006,0)), HYPERLINK("#",""), HYPERLINK(CONCATENATE("#metadata!", ADDRESS(INDEX($W$2:$W$1001,MATCH(ROWS($U$2:U504),$U$2:$U$1001,0),0), INDEX($AB$1004:$AQ$1004,1,MATCH(COLUMNS($AB$1006:AF1006),$AB$1006:$AQ$1006,0)))),"Fix")))</f>
        <v>0</v>
      </c>
      <c r="G504" s="4">
        <f>IF(OR(INDEX($V$2:$V$1001,MATCH(ROWS($U$2:U504),$U$2:$U$1001,0),1)&gt;=100000,INDEX($AB$1005:$AQ$1005,1,MATCH(COLUMNS($AB$1006:AG1006),$AB$1006:$AQ$1006,0))&gt;=100000), " ",IF(INDEX($AB$2:$AQ$1001,MATCH(ROWS($U$2:U504),$U$2:$U$1001,0),MATCH(COLUMNS($AB$1006:AG1006),$AB$1006:$AQ$1006,0)), HYPERLINK("#",""), HYPERLINK(CONCATENATE("#metadata!", ADDRESS(INDEX($W$2:$W$1001,MATCH(ROWS($U$2:U504),$U$2:$U$1001,0),0), INDEX($AB$1004:$AQ$1004,1,MATCH(COLUMNS($AB$1006:AG1006),$AB$1006:$AQ$1006,0)))),"Fix")))</f>
        <v>0</v>
      </c>
      <c r="H504" s="4">
        <f>IF(OR(INDEX($V$2:$V$1001,MATCH(ROWS($U$2:U504),$U$2:$U$1001,0),1)&gt;=100000,INDEX($AB$1005:$AQ$1005,1,MATCH(COLUMNS($AB$1006:AH1006),$AB$1006:$AQ$1006,0))&gt;=100000), " ",IF(INDEX($AB$2:$AQ$1001,MATCH(ROWS($U$2:U504),$U$2:$U$1001,0),MATCH(COLUMNS($AB$1006:AH1006),$AB$1006:$AQ$1006,0)), HYPERLINK("#",""), HYPERLINK(CONCATENATE("#metadata!", ADDRESS(INDEX($W$2:$W$1001,MATCH(ROWS($U$2:U504),$U$2:$U$1001,0),0), INDEX($AB$1004:$AQ$1004,1,MATCH(COLUMNS($AB$1006:AH1006),$AB$1006:$AQ$1006,0)))),"Fix")))</f>
        <v>0</v>
      </c>
      <c r="I504" s="4">
        <f>IF(OR(INDEX($V$2:$V$1001,MATCH(ROWS($U$2:U504),$U$2:$U$1001,0),1)&gt;=100000,INDEX($AB$1005:$AQ$1005,1,MATCH(COLUMNS($AB$1006:AI1006),$AB$1006:$AQ$1006,0))&gt;=100000), " ",IF(INDEX($AB$2:$AQ$1001,MATCH(ROWS($U$2:U504),$U$2:$U$1001,0),MATCH(COLUMNS($AB$1006:AI1006),$AB$1006:$AQ$1006,0)), HYPERLINK("#",""), HYPERLINK(CONCATENATE("#metadata!", ADDRESS(INDEX($W$2:$W$1001,MATCH(ROWS($U$2:U504),$U$2:$U$1001,0),0), INDEX($AB$1004:$AQ$1004,1,MATCH(COLUMNS($AB$1006:AI1006),$AB$1006:$AQ$1006,0)))),"Fix")))</f>
        <v>0</v>
      </c>
      <c r="J504" s="4">
        <f>IF(OR(INDEX($V$2:$V$1001,MATCH(ROWS($U$2:U504),$U$2:$U$1001,0),1)&gt;=100000,INDEX($AB$1005:$AQ$1005,1,MATCH(COLUMNS($AB$1006:AJ1006),$AB$1006:$AQ$1006,0))&gt;=100000), " ",IF(INDEX($AB$2:$AQ$1001,MATCH(ROWS($U$2:U504),$U$2:$U$1001,0),MATCH(COLUMNS($AB$1006:AJ1006),$AB$1006:$AQ$1006,0)), HYPERLINK("#",""), HYPERLINK(CONCATENATE("#metadata!", ADDRESS(INDEX($W$2:$W$1001,MATCH(ROWS($U$2:U504),$U$2:$U$1001,0),0), INDEX($AB$1004:$AQ$1004,1,MATCH(COLUMNS($AB$1006:AJ1006),$AB$1006:$AQ$1006,0)))),"Fix")))</f>
        <v>0</v>
      </c>
      <c r="K504" s="4">
        <f>IF(OR(INDEX($V$2:$V$1001,MATCH(ROWS($U$2:U504),$U$2:$U$1001,0),1)&gt;=100000,INDEX($AB$1005:$AQ$1005,1,MATCH(COLUMNS($AB$1006:AK1006),$AB$1006:$AQ$1006,0))&gt;=100000), " ",IF(INDEX($AB$2:$AQ$1001,MATCH(ROWS($U$2:U504),$U$2:$U$1001,0),MATCH(COLUMNS($AB$1006:AK1006),$AB$1006:$AQ$1006,0)), HYPERLINK("#",""), HYPERLINK(CONCATENATE("#metadata!", ADDRESS(INDEX($W$2:$W$1001,MATCH(ROWS($U$2:U504),$U$2:$U$1001,0),0), INDEX($AB$1004:$AQ$1004,1,MATCH(COLUMNS($AB$1006:AK1006),$AB$1006:$AQ$1006,0)))),"Fix")))</f>
        <v>0</v>
      </c>
      <c r="L504" s="4">
        <f>IF(OR(INDEX($V$2:$V$1001,MATCH(ROWS($U$2:U504),$U$2:$U$1001,0),1)&gt;=100000,INDEX($AB$1005:$AQ$1005,1,MATCH(COLUMNS($AB$1006:AL1006),$AB$1006:$AQ$1006,0))&gt;=100000), " ",IF(INDEX($AB$2:$AQ$1001,MATCH(ROWS($U$2:U504),$U$2:$U$1001,0),MATCH(COLUMNS($AB$1006:AL1006),$AB$1006:$AQ$1006,0)), HYPERLINK("#",""), HYPERLINK(CONCATENATE("#metadata!", ADDRESS(INDEX($W$2:$W$1001,MATCH(ROWS($U$2:U504),$U$2:$U$1001,0),0), INDEX($AB$1004:$AQ$1004,1,MATCH(COLUMNS($AB$1006:AL1006),$AB$1006:$AQ$1006,0)))),"Fix")))</f>
        <v>0</v>
      </c>
      <c r="M504" s="4">
        <f>IF(OR(INDEX($V$2:$V$1001,MATCH(ROWS($U$2:U504),$U$2:$U$1001,0),1)&gt;=100000,INDEX($AB$1005:$AQ$1005,1,MATCH(COLUMNS($AB$1006:AM1006),$AB$1006:$AQ$1006,0))&gt;=100000), " ",IF(INDEX($AB$2:$AQ$1001,MATCH(ROWS($U$2:U504),$U$2:$U$1001,0),MATCH(COLUMNS($AB$1006:AM1006),$AB$1006:$AQ$1006,0)), HYPERLINK("#",""), HYPERLINK(CONCATENATE("#metadata!", ADDRESS(INDEX($W$2:$W$1001,MATCH(ROWS($U$2:U504),$U$2:$U$1001,0),0), INDEX($AB$1004:$AQ$1004,1,MATCH(COLUMNS($AB$1006:AM1006),$AB$1006:$AQ$1006,0)))),"Fix")))</f>
        <v>0</v>
      </c>
      <c r="N504" s="4">
        <f>IF(OR(INDEX($V$2:$V$1001,MATCH(ROWS($U$2:U504),$U$2:$U$1001,0),1)&gt;=100000,INDEX($AB$1005:$AQ$1005,1,MATCH(COLUMNS($AB$1006:AN1006),$AB$1006:$AQ$1006,0))&gt;=100000), " ",IF(INDEX($AB$2:$AQ$1001,MATCH(ROWS($U$2:U504),$U$2:$U$1001,0),MATCH(COLUMNS($AB$1006:AN1006),$AB$1006:$AQ$1006,0)), HYPERLINK("#",""), HYPERLINK(CONCATENATE("#metadata!", ADDRESS(INDEX($W$2:$W$1001,MATCH(ROWS($U$2:U504),$U$2:$U$1001,0),0), INDEX($AB$1004:$AQ$1004,1,MATCH(COLUMNS($AB$1006:AN1006),$AB$1006:$AQ$1006,0)))),"Fix")))</f>
        <v>0</v>
      </c>
      <c r="O504" s="4">
        <f>IF(OR(INDEX($V$2:$V$1001,MATCH(ROWS($U$2:U504),$U$2:$U$1001,0),1)&gt;=100000,INDEX($AB$1005:$AQ$1005,1,MATCH(COLUMNS($AB$1006:AO1006),$AB$1006:$AQ$1006,0))&gt;=100000), " ",IF(INDEX($AB$2:$AQ$1001,MATCH(ROWS($U$2:U504),$U$2:$U$1001,0),MATCH(COLUMNS($AB$1006:AO1006),$AB$1006:$AQ$1006,0)), HYPERLINK("#",""), HYPERLINK(CONCATENATE("#metadata!", ADDRESS(INDEX($W$2:$W$1001,MATCH(ROWS($U$2:U504),$U$2:$U$1001,0),0), INDEX($AB$1004:$AQ$1004,1,MATCH(COLUMNS($AB$1006:AO1006),$AB$1006:$AQ$1006,0)))),"Fix")))</f>
        <v>0</v>
      </c>
      <c r="P504" s="4">
        <f>IF(OR(INDEX($V$2:$V$1001,MATCH(ROWS($U$2:U504),$U$2:$U$1001,0),1)&gt;=100000,INDEX($AB$1005:$AQ$1005,1,MATCH(COLUMNS($AB$1006:AP1006),$AB$1006:$AQ$1006,0))&gt;=100000), " ",IF(INDEX($AB$2:$AQ$1001,MATCH(ROWS($U$2:U504),$U$2:$U$1001,0),MATCH(COLUMNS($AB$1006:AP1006),$AB$1006:$AQ$1006,0)), HYPERLINK("#",""), HYPERLINK(CONCATENATE("#metadata!", ADDRESS(INDEX($W$2:$W$1001,MATCH(ROWS($U$2:U504),$U$2:$U$1001,0),0), INDEX($AB$1004:$AQ$1004,1,MATCH(COLUMNS($AB$1006:AP1006),$AB$1006:$AQ$1006,0)))),"Fix")))</f>
        <v>0</v>
      </c>
      <c r="Q504" s="4">
        <f>IF(OR(INDEX($V$2:$V$1001,MATCH(ROWS($U$2:U504),$U$2:$U$1001,0),1)&gt;=100000,INDEX($AB$1005:$AQ$1005,1,MATCH(COLUMNS($AB$1006:AQ1006),$AB$1006:$AQ$1006,0))&gt;=100000), " ",IF(INDEX($AB$2:$AQ$1001,MATCH(ROWS($U$2:U504),$U$2:$U$1001,0),MATCH(COLUMNS($AB$1006:AQ1006),$AB$1006:$AQ$1006,0)), HYPERLINK("#",""), HYPERLINK(CONCATENATE("#metadata!", ADDRESS(INDEX($W$2:$W$1001,MATCH(ROWS($U$2:U504),$U$2:$U$1001,0),0), INDEX($AB$1004:$AQ$1004,1,MATCH(COLUMNS($AB$1006:AQ1006),$AB$1006:$AQ$1006,0)))),"Fix")))</f>
        <v>0</v>
      </c>
      <c r="U504">
        <v>0</v>
      </c>
      <c r="V504">
        <v>0</v>
      </c>
      <c r="W504">
        <v>0</v>
      </c>
      <c r="X504">
        <f>IF(Y504,TRUE,AND(AB504:AQ504))</f>
        <v>0</v>
      </c>
      <c r="Y504">
        <f>COUNTBLANK(metadata!B504:Q504)=COLUMNS(metadata!B504:Q504)</f>
        <v>0</v>
      </c>
      <c r="Z504">
        <v>0</v>
      </c>
      <c r="AB504">
        <f>AND(IF(metadata!B504="",FALSE,TRUE),COUNTIF(metadata!B:B, metadata!B504) = 1,NOT(ISERROR(SUMPRODUCT(SEARCH(MID(metadata!B504,ROW(INDIRECT("1:"&amp;LEN(metadata!B504))), 1),"0123456789abcdefghijklmnopqrstuvwxyzABCDEFGHIJKLMNOPQRSTUVWXYZ.")))))</f>
        <v>0</v>
      </c>
      <c r="AC504">
        <f>OR(AND(IF(metadata!C504="",FALSE,TRUE),OR(exact(metadata!C504,"missing: not collected"),exact(metadata!C504,"missing: not provided"),exact(metadata!C504,"missing: restricted access"))),AND(IF(metadata!C504="",FALSE,TRUE),AND(AND(IFERROR(INT(LEFT(metadata!C504,4))&gt;1900,FALSE),IFERROR(INT(LEFT(metadata!C504,4))&lt;=YEAR(NOW()),FALSE)), OR(MID(metadata!C504,5,1)="", AND(AND(MID(metadata!C504,5,1)="-",IFERROR(INT(MID(metadata!C504,6,1))&gt;=0,FALSE),IFERROR(INT(MID(metadata!C504,6,1))&lt;=1,FALSE),NOT(MID(metadata!C504,7,1)=""),IFERROR(INT(MID(metadata!C504,6,2))&gt;=1,FALSE),IFERROR(INT(MID(metadata!C504,6,2))&lt;=12,FALSE)), OR(MID(metadata!C504,8,1)="", AND(AND(MID(metadata!C504,8,1)="-",IFERROR(INT(MID(metadata!C504,9,1))&gt;=0,FALSE),IFERROR(INT(MID(metadata!C504,9,1))&lt;=3,FALSE),NOT(MID(metadata!C504,10,1)=""),IFERROR(INT(MID(metadata!C504,9,2))&gt;=1,FALSE),IFERROR(INT(MID(metadata!C504,9,2))&lt;=31,FALSE)), OR(MID(metadata!C504,11,1)="", AND(AND(MID(metadata!C504,11,1)=" ",IFERROR(INT(MID(metadata!C504,12,1))&gt;=0,FALSE),IFERROR(INT(MID(metadata!C504,12,1))&lt;=2,FALSE),NOT(MID(metadata!C504,13,1)=""),IFERROR(INT(MID(metadata!C504,12,2))&gt;=0,FALSE),IFERROR(INT(MID(metadata!C504,12,2))&lt;=23,FALSE)), OR(MID(metadata!C504,14,1)="", AND(AND(MID(metadata!C504,14,1)=":",IFERROR(INT(MID(metadata!C504,15,1))&gt;=0,FALSE),IFERROR(INT(MID(metadata!C504,15,1))&lt;=5,FALSE),NOT(MID(metadata!C504,16,1)=""),IFERROR(INT(MID(metadata!C504,15,2))&gt;=0,FALSE),IFERROR(INT(MID(metadata!C504,15,2))&lt;=59,FALSE)), OR(MID(metadata!C504,17,1)="", AND(AND(MID(metadata!C504,17,1)=":",IFERROR(INT(MID(metadata!C504,18,1))&gt;=0,FALSE),IFERROR(INT(MID(metadata!C504,18,1))&lt;=5,FALSE),NOT(MID(metadata!C504,19,1)=""),IFERROR(INT(MID(metadata!C504,18,2))&gt;=0,FALSE),IFERROR(INT(MID(metadata!C504,18,2))&lt;=59,FALSE)), LEN(metadata!C504)&lt;=19)))))))))))))</f>
        <v>0</v>
      </c>
      <c r="AD504">
        <f>IF(metadata!D504="",FALSE,TRUE)</f>
        <v>0</v>
      </c>
      <c r="AE504">
        <f>OR(AND(IF(metadata!E504="",FALSE,TRUE),OR(exact(metadata!E504,"missing: not collected"),exact(metadata!E504,"missing: not provided"))),AND(IF(metadata!E504="",FALSE,TRUE),OR(exact(metadata!E504,"TRUE"),exact(metadata!E504,"FALSE"))))</f>
        <v>0</v>
      </c>
      <c r="AF504">
        <f>IF(metadata!F504="",FALSE,TRUE)</f>
        <v>0</v>
      </c>
      <c r="AG504">
        <f>IF(metadata!G504="",FALSE,TRUE)</f>
        <v>0</v>
      </c>
      <c r="AH504">
        <f>IF(metadata!H504="",FALSE,TRUE)</f>
        <v>0</v>
      </c>
      <c r="AI504">
        <f>OR(AND(IF(metadata!I504="",FALSE,TRUE),OR(exact(metadata!I504,"missing: not collected"),exact(metadata!I504,"missing: not provided"),exact(metadata!I504,"missing: restricted access"))),AND(IF(metadata!I504="",FALSE,TRUE),OR(exact(metadata!I504,"air"),exact(metadata!I504,"built environment"),exact(metadata!I504,"host-associated"),exact(metadata!I504,"human-associated"),exact(metadata!I504,"human-skin"),exact(metadata!I504,"human-oral"),exact(metadata!I504,"human-gut"),exact(metadata!I504,"human-vaginal"),exact(metadata!I504,"microbial mat/biofilm"),exact(metadata!I504,"misc environment"),exact(metadata!I504,"plant-associated"),exact(metadata!I504,"sediment"),exact(metadata!I504,"soil"),exact(metadata!I504,"wastewater/sludge"),exact(metadata!I504,"water"))))</f>
        <v>0</v>
      </c>
      <c r="AJ504">
        <f>IF(metadata!J504="",FALSE,TRUE)</f>
        <v>0</v>
      </c>
      <c r="AK504">
        <f>OR(AND(IF(metadata!K504="",FALSE,TRUE),OR(exact(metadata!K504,"missing: not collected"),exact(metadata!K504,"missing: not provided"),exact(metadata!K504,"missing: restricted access"))),AND(IF(metadata!K504="",FALSE,ISNUMBER(VALUE(metadata!K504))),metadata!K504&gt;=-90.00,metadata!K504&lt;=90.00))</f>
        <v>0</v>
      </c>
      <c r="AL504">
        <f>OR(AND(IF(metadata!L504="",FALSE,TRUE),OR(exact(metadata!L504,"missing: not collected"),exact(metadata!L504,"missing: not provided"),exact(metadata!L504,"missing: restricted access"))),AND(IF(metadata!L504="",FALSE,ISNUMBER(VALUE(metadata!L504))),metadata!L504&gt;=-180.00,metadata!L504&lt;=180.00))</f>
        <v>0</v>
      </c>
      <c r="AM504">
        <f>IF(metadata!M504="",FALSE,TRUE)</f>
        <v>0</v>
      </c>
      <c r="AN504">
        <f>OR(AND(IF(metadata!N504="",FALSE,TRUE),OR(exact(metadata!N504,"missing: not collected"),exact(metadata!N504,"missing: not provided"),exact(metadata!N504,"missing: restricted access"))),AND(IF(metadata!N504="",FALSE,TRUE),OR(exact(metadata!N504,"TRUE"),exact(metadata!N504,"FALSE"))))</f>
        <v>0</v>
      </c>
      <c r="AO504">
        <f>IF(metadata!O504="",FALSE,TRUE)</f>
        <v>0</v>
      </c>
      <c r="AP504">
        <f>OR(AND(IF(metadata!P504="",FALSE,TRUE),OR(exact(metadata!P504,"missing: not collected"),exact(metadata!P504,"missing: not provided"))),AND(IF(metadata!P504="",FALSE,IF(ISERROR(INT(metadata!P504)),FALSE,INT(metadata!P504)=metadata!P504)),metadata!P504&gt;0))</f>
        <v>0</v>
      </c>
      <c r="AQ504">
        <f>IF(metadata!Q504="",FALSE,TRUE)</f>
        <v>0</v>
      </c>
    </row>
    <row r="505" spans="1:43">
      <c r="A505" s="5">
        <f>IF(B505=" "," ",HYPERLINK(CONCATENATE("#metadata!",ADDRESS(INDEX($W$2:$W$1001,MATCH(ROWS($U$2:U505),$U$2:$U$1001,0),0),1)),INDEX($Z$2:$Z$1001,MATCH(ROWS($U$2:U505),$U$2:$U$1001,0),0)))</f>
        <v>0</v>
      </c>
      <c r="B505" s="4">
        <f>IF(OR(INDEX($V$2:$V$1001,MATCH(ROWS($U$2:U505),$U$2:$U$1001,0),1)&gt;=100000,INDEX($AB$1005:$AQ$1005,1,MATCH(COLUMNS($AB$1006:AB1006),$AB$1006:$AQ$1006,0))&gt;=100000), " ",IF(INDEX($AB$2:$AQ$1001,MATCH(ROWS($U$2:U505),$U$2:$U$1001,0),MATCH(COLUMNS($AB$1006:AB1006),$AB$1006:$AQ$1006,0)), HYPERLINK("#",""), HYPERLINK(CONCATENATE("#metadata!", ADDRESS(INDEX($W$2:$W$1001,MATCH(ROWS($U$2:U505),$U$2:$U$1001,0),0), INDEX($AB$1004:$AQ$1004,1,MATCH(COLUMNS($AB$1006:AB1006),$AB$1006:$AQ$1006,0)))),"Fix")))</f>
        <v>0</v>
      </c>
      <c r="C505" s="4">
        <f>IF(OR(INDEX($V$2:$V$1001,MATCH(ROWS($U$2:U505),$U$2:$U$1001,0),1)&gt;=100000,INDEX($AB$1005:$AQ$1005,1,MATCH(COLUMNS($AB$1006:AC1006),$AB$1006:$AQ$1006,0))&gt;=100000), " ",IF(INDEX($AB$2:$AQ$1001,MATCH(ROWS($U$2:U505),$U$2:$U$1001,0),MATCH(COLUMNS($AB$1006:AC1006),$AB$1006:$AQ$1006,0)), HYPERLINK("#",""), HYPERLINK(CONCATENATE("#metadata!", ADDRESS(INDEX($W$2:$W$1001,MATCH(ROWS($U$2:U505),$U$2:$U$1001,0),0), INDEX($AB$1004:$AQ$1004,1,MATCH(COLUMNS($AB$1006:AC1006),$AB$1006:$AQ$1006,0)))),"Fix")))</f>
        <v>0</v>
      </c>
      <c r="D505" s="4">
        <f>IF(OR(INDEX($V$2:$V$1001,MATCH(ROWS($U$2:U505),$U$2:$U$1001,0),1)&gt;=100000,INDEX($AB$1005:$AQ$1005,1,MATCH(COLUMNS($AB$1006:AD1006),$AB$1006:$AQ$1006,0))&gt;=100000), " ",IF(INDEX($AB$2:$AQ$1001,MATCH(ROWS($U$2:U505),$U$2:$U$1001,0),MATCH(COLUMNS($AB$1006:AD1006),$AB$1006:$AQ$1006,0)), HYPERLINK("#",""), HYPERLINK(CONCATENATE("#metadata!", ADDRESS(INDEX($W$2:$W$1001,MATCH(ROWS($U$2:U505),$U$2:$U$1001,0),0), INDEX($AB$1004:$AQ$1004,1,MATCH(COLUMNS($AB$1006:AD1006),$AB$1006:$AQ$1006,0)))),"Fix")))</f>
        <v>0</v>
      </c>
      <c r="E505" s="4">
        <f>IF(OR(INDEX($V$2:$V$1001,MATCH(ROWS($U$2:U505),$U$2:$U$1001,0),1)&gt;=100000,INDEX($AB$1005:$AQ$1005,1,MATCH(COLUMNS($AB$1006:AE1006),$AB$1006:$AQ$1006,0))&gt;=100000), " ",IF(INDEX($AB$2:$AQ$1001,MATCH(ROWS($U$2:U505),$U$2:$U$1001,0),MATCH(COLUMNS($AB$1006:AE1006),$AB$1006:$AQ$1006,0)), HYPERLINK("#",""), HYPERLINK(CONCATENATE("#metadata!", ADDRESS(INDEX($W$2:$W$1001,MATCH(ROWS($U$2:U505),$U$2:$U$1001,0),0), INDEX($AB$1004:$AQ$1004,1,MATCH(COLUMNS($AB$1006:AE1006),$AB$1006:$AQ$1006,0)))),"Fix")))</f>
        <v>0</v>
      </c>
      <c r="F505" s="4">
        <f>IF(OR(INDEX($V$2:$V$1001,MATCH(ROWS($U$2:U505),$U$2:$U$1001,0),1)&gt;=100000,INDEX($AB$1005:$AQ$1005,1,MATCH(COLUMNS($AB$1006:AF1006),$AB$1006:$AQ$1006,0))&gt;=100000), " ",IF(INDEX($AB$2:$AQ$1001,MATCH(ROWS($U$2:U505),$U$2:$U$1001,0),MATCH(COLUMNS($AB$1006:AF1006),$AB$1006:$AQ$1006,0)), HYPERLINK("#",""), HYPERLINK(CONCATENATE("#metadata!", ADDRESS(INDEX($W$2:$W$1001,MATCH(ROWS($U$2:U505),$U$2:$U$1001,0),0), INDEX($AB$1004:$AQ$1004,1,MATCH(COLUMNS($AB$1006:AF1006),$AB$1006:$AQ$1006,0)))),"Fix")))</f>
        <v>0</v>
      </c>
      <c r="G505" s="4">
        <f>IF(OR(INDEX($V$2:$V$1001,MATCH(ROWS($U$2:U505),$U$2:$U$1001,0),1)&gt;=100000,INDEX($AB$1005:$AQ$1005,1,MATCH(COLUMNS($AB$1006:AG1006),$AB$1006:$AQ$1006,0))&gt;=100000), " ",IF(INDEX($AB$2:$AQ$1001,MATCH(ROWS($U$2:U505),$U$2:$U$1001,0),MATCH(COLUMNS($AB$1006:AG1006),$AB$1006:$AQ$1006,0)), HYPERLINK("#",""), HYPERLINK(CONCATENATE("#metadata!", ADDRESS(INDEX($W$2:$W$1001,MATCH(ROWS($U$2:U505),$U$2:$U$1001,0),0), INDEX($AB$1004:$AQ$1004,1,MATCH(COLUMNS($AB$1006:AG1006),$AB$1006:$AQ$1006,0)))),"Fix")))</f>
        <v>0</v>
      </c>
      <c r="H505" s="4">
        <f>IF(OR(INDEX($V$2:$V$1001,MATCH(ROWS($U$2:U505),$U$2:$U$1001,0),1)&gt;=100000,INDEX($AB$1005:$AQ$1005,1,MATCH(COLUMNS($AB$1006:AH1006),$AB$1006:$AQ$1006,0))&gt;=100000), " ",IF(INDEX($AB$2:$AQ$1001,MATCH(ROWS($U$2:U505),$U$2:$U$1001,0),MATCH(COLUMNS($AB$1006:AH1006),$AB$1006:$AQ$1006,0)), HYPERLINK("#",""), HYPERLINK(CONCATENATE("#metadata!", ADDRESS(INDEX($W$2:$W$1001,MATCH(ROWS($U$2:U505),$U$2:$U$1001,0),0), INDEX($AB$1004:$AQ$1004,1,MATCH(COLUMNS($AB$1006:AH1006),$AB$1006:$AQ$1006,0)))),"Fix")))</f>
        <v>0</v>
      </c>
      <c r="I505" s="4">
        <f>IF(OR(INDEX($V$2:$V$1001,MATCH(ROWS($U$2:U505),$U$2:$U$1001,0),1)&gt;=100000,INDEX($AB$1005:$AQ$1005,1,MATCH(COLUMNS($AB$1006:AI1006),$AB$1006:$AQ$1006,0))&gt;=100000), " ",IF(INDEX($AB$2:$AQ$1001,MATCH(ROWS($U$2:U505),$U$2:$U$1001,0),MATCH(COLUMNS($AB$1006:AI1006),$AB$1006:$AQ$1006,0)), HYPERLINK("#",""), HYPERLINK(CONCATENATE("#metadata!", ADDRESS(INDEX($W$2:$W$1001,MATCH(ROWS($U$2:U505),$U$2:$U$1001,0),0), INDEX($AB$1004:$AQ$1004,1,MATCH(COLUMNS($AB$1006:AI1006),$AB$1006:$AQ$1006,0)))),"Fix")))</f>
        <v>0</v>
      </c>
      <c r="J505" s="4">
        <f>IF(OR(INDEX($V$2:$V$1001,MATCH(ROWS($U$2:U505),$U$2:$U$1001,0),1)&gt;=100000,INDEX($AB$1005:$AQ$1005,1,MATCH(COLUMNS($AB$1006:AJ1006),$AB$1006:$AQ$1006,0))&gt;=100000), " ",IF(INDEX($AB$2:$AQ$1001,MATCH(ROWS($U$2:U505),$U$2:$U$1001,0),MATCH(COLUMNS($AB$1006:AJ1006),$AB$1006:$AQ$1006,0)), HYPERLINK("#",""), HYPERLINK(CONCATENATE("#metadata!", ADDRESS(INDEX($W$2:$W$1001,MATCH(ROWS($U$2:U505),$U$2:$U$1001,0),0), INDEX($AB$1004:$AQ$1004,1,MATCH(COLUMNS($AB$1006:AJ1006),$AB$1006:$AQ$1006,0)))),"Fix")))</f>
        <v>0</v>
      </c>
      <c r="K505" s="4">
        <f>IF(OR(INDEX($V$2:$V$1001,MATCH(ROWS($U$2:U505),$U$2:$U$1001,0),1)&gt;=100000,INDEX($AB$1005:$AQ$1005,1,MATCH(COLUMNS($AB$1006:AK1006),$AB$1006:$AQ$1006,0))&gt;=100000), " ",IF(INDEX($AB$2:$AQ$1001,MATCH(ROWS($U$2:U505),$U$2:$U$1001,0),MATCH(COLUMNS($AB$1006:AK1006),$AB$1006:$AQ$1006,0)), HYPERLINK("#",""), HYPERLINK(CONCATENATE("#metadata!", ADDRESS(INDEX($W$2:$W$1001,MATCH(ROWS($U$2:U505),$U$2:$U$1001,0),0), INDEX($AB$1004:$AQ$1004,1,MATCH(COLUMNS($AB$1006:AK1006),$AB$1006:$AQ$1006,0)))),"Fix")))</f>
        <v>0</v>
      </c>
      <c r="L505" s="4">
        <f>IF(OR(INDEX($V$2:$V$1001,MATCH(ROWS($U$2:U505),$U$2:$U$1001,0),1)&gt;=100000,INDEX($AB$1005:$AQ$1005,1,MATCH(COLUMNS($AB$1006:AL1006),$AB$1006:$AQ$1006,0))&gt;=100000), " ",IF(INDEX($AB$2:$AQ$1001,MATCH(ROWS($U$2:U505),$U$2:$U$1001,0),MATCH(COLUMNS($AB$1006:AL1006),$AB$1006:$AQ$1006,0)), HYPERLINK("#",""), HYPERLINK(CONCATENATE("#metadata!", ADDRESS(INDEX($W$2:$W$1001,MATCH(ROWS($U$2:U505),$U$2:$U$1001,0),0), INDEX($AB$1004:$AQ$1004,1,MATCH(COLUMNS($AB$1006:AL1006),$AB$1006:$AQ$1006,0)))),"Fix")))</f>
        <v>0</v>
      </c>
      <c r="M505" s="4">
        <f>IF(OR(INDEX($V$2:$V$1001,MATCH(ROWS($U$2:U505),$U$2:$U$1001,0),1)&gt;=100000,INDEX($AB$1005:$AQ$1005,1,MATCH(COLUMNS($AB$1006:AM1006),$AB$1006:$AQ$1006,0))&gt;=100000), " ",IF(INDEX($AB$2:$AQ$1001,MATCH(ROWS($U$2:U505),$U$2:$U$1001,0),MATCH(COLUMNS($AB$1006:AM1006),$AB$1006:$AQ$1006,0)), HYPERLINK("#",""), HYPERLINK(CONCATENATE("#metadata!", ADDRESS(INDEX($W$2:$W$1001,MATCH(ROWS($U$2:U505),$U$2:$U$1001,0),0), INDEX($AB$1004:$AQ$1004,1,MATCH(COLUMNS($AB$1006:AM1006),$AB$1006:$AQ$1006,0)))),"Fix")))</f>
        <v>0</v>
      </c>
      <c r="N505" s="4">
        <f>IF(OR(INDEX($V$2:$V$1001,MATCH(ROWS($U$2:U505),$U$2:$U$1001,0),1)&gt;=100000,INDEX($AB$1005:$AQ$1005,1,MATCH(COLUMNS($AB$1006:AN1006),$AB$1006:$AQ$1006,0))&gt;=100000), " ",IF(INDEX($AB$2:$AQ$1001,MATCH(ROWS($U$2:U505),$U$2:$U$1001,0),MATCH(COLUMNS($AB$1006:AN1006),$AB$1006:$AQ$1006,0)), HYPERLINK("#",""), HYPERLINK(CONCATENATE("#metadata!", ADDRESS(INDEX($W$2:$W$1001,MATCH(ROWS($U$2:U505),$U$2:$U$1001,0),0), INDEX($AB$1004:$AQ$1004,1,MATCH(COLUMNS($AB$1006:AN1006),$AB$1006:$AQ$1006,0)))),"Fix")))</f>
        <v>0</v>
      </c>
      <c r="O505" s="4">
        <f>IF(OR(INDEX($V$2:$V$1001,MATCH(ROWS($U$2:U505),$U$2:$U$1001,0),1)&gt;=100000,INDEX($AB$1005:$AQ$1005,1,MATCH(COLUMNS($AB$1006:AO1006),$AB$1006:$AQ$1006,0))&gt;=100000), " ",IF(INDEX($AB$2:$AQ$1001,MATCH(ROWS($U$2:U505),$U$2:$U$1001,0),MATCH(COLUMNS($AB$1006:AO1006),$AB$1006:$AQ$1006,0)), HYPERLINK("#",""), HYPERLINK(CONCATENATE("#metadata!", ADDRESS(INDEX($W$2:$W$1001,MATCH(ROWS($U$2:U505),$U$2:$U$1001,0),0), INDEX($AB$1004:$AQ$1004,1,MATCH(COLUMNS($AB$1006:AO1006),$AB$1006:$AQ$1006,0)))),"Fix")))</f>
        <v>0</v>
      </c>
      <c r="P505" s="4">
        <f>IF(OR(INDEX($V$2:$V$1001,MATCH(ROWS($U$2:U505),$U$2:$U$1001,0),1)&gt;=100000,INDEX($AB$1005:$AQ$1005,1,MATCH(COLUMNS($AB$1006:AP1006),$AB$1006:$AQ$1006,0))&gt;=100000), " ",IF(INDEX($AB$2:$AQ$1001,MATCH(ROWS($U$2:U505),$U$2:$U$1001,0),MATCH(COLUMNS($AB$1006:AP1006),$AB$1006:$AQ$1006,0)), HYPERLINK("#",""), HYPERLINK(CONCATENATE("#metadata!", ADDRESS(INDEX($W$2:$W$1001,MATCH(ROWS($U$2:U505),$U$2:$U$1001,0),0), INDEX($AB$1004:$AQ$1004,1,MATCH(COLUMNS($AB$1006:AP1006),$AB$1006:$AQ$1006,0)))),"Fix")))</f>
        <v>0</v>
      </c>
      <c r="Q505" s="4">
        <f>IF(OR(INDEX($V$2:$V$1001,MATCH(ROWS($U$2:U505),$U$2:$U$1001,0),1)&gt;=100000,INDEX($AB$1005:$AQ$1005,1,MATCH(COLUMNS($AB$1006:AQ1006),$AB$1006:$AQ$1006,0))&gt;=100000), " ",IF(INDEX($AB$2:$AQ$1001,MATCH(ROWS($U$2:U505),$U$2:$U$1001,0),MATCH(COLUMNS($AB$1006:AQ1006),$AB$1006:$AQ$1006,0)), HYPERLINK("#",""), HYPERLINK(CONCATENATE("#metadata!", ADDRESS(INDEX($W$2:$W$1001,MATCH(ROWS($U$2:U505),$U$2:$U$1001,0),0), INDEX($AB$1004:$AQ$1004,1,MATCH(COLUMNS($AB$1006:AQ1006),$AB$1006:$AQ$1006,0)))),"Fix")))</f>
        <v>0</v>
      </c>
      <c r="U505">
        <v>0</v>
      </c>
      <c r="V505">
        <v>0</v>
      </c>
      <c r="W505">
        <v>0</v>
      </c>
      <c r="X505">
        <f>IF(Y505,TRUE,AND(AB505:AQ505))</f>
        <v>0</v>
      </c>
      <c r="Y505">
        <f>COUNTBLANK(metadata!B505:Q505)=COLUMNS(metadata!B505:Q505)</f>
        <v>0</v>
      </c>
      <c r="Z505">
        <v>0</v>
      </c>
      <c r="AB505">
        <f>AND(IF(metadata!B505="",FALSE,TRUE),COUNTIF(metadata!B:B, metadata!B505) = 1,NOT(ISERROR(SUMPRODUCT(SEARCH(MID(metadata!B505,ROW(INDIRECT("1:"&amp;LEN(metadata!B505))), 1),"0123456789abcdefghijklmnopqrstuvwxyzABCDEFGHIJKLMNOPQRSTUVWXYZ.")))))</f>
        <v>0</v>
      </c>
      <c r="AC505">
        <f>OR(AND(IF(metadata!C505="",FALSE,TRUE),OR(exact(metadata!C505,"missing: not collected"),exact(metadata!C505,"missing: not provided"),exact(metadata!C505,"missing: restricted access"))),AND(IF(metadata!C505="",FALSE,TRUE),AND(AND(IFERROR(INT(LEFT(metadata!C505,4))&gt;1900,FALSE),IFERROR(INT(LEFT(metadata!C505,4))&lt;=YEAR(NOW()),FALSE)), OR(MID(metadata!C505,5,1)="", AND(AND(MID(metadata!C505,5,1)="-",IFERROR(INT(MID(metadata!C505,6,1))&gt;=0,FALSE),IFERROR(INT(MID(metadata!C505,6,1))&lt;=1,FALSE),NOT(MID(metadata!C505,7,1)=""),IFERROR(INT(MID(metadata!C505,6,2))&gt;=1,FALSE),IFERROR(INT(MID(metadata!C505,6,2))&lt;=12,FALSE)), OR(MID(metadata!C505,8,1)="", AND(AND(MID(metadata!C505,8,1)="-",IFERROR(INT(MID(metadata!C505,9,1))&gt;=0,FALSE),IFERROR(INT(MID(metadata!C505,9,1))&lt;=3,FALSE),NOT(MID(metadata!C505,10,1)=""),IFERROR(INT(MID(metadata!C505,9,2))&gt;=1,FALSE),IFERROR(INT(MID(metadata!C505,9,2))&lt;=31,FALSE)), OR(MID(metadata!C505,11,1)="", AND(AND(MID(metadata!C505,11,1)=" ",IFERROR(INT(MID(metadata!C505,12,1))&gt;=0,FALSE),IFERROR(INT(MID(metadata!C505,12,1))&lt;=2,FALSE),NOT(MID(metadata!C505,13,1)=""),IFERROR(INT(MID(metadata!C505,12,2))&gt;=0,FALSE),IFERROR(INT(MID(metadata!C505,12,2))&lt;=23,FALSE)), OR(MID(metadata!C505,14,1)="", AND(AND(MID(metadata!C505,14,1)=":",IFERROR(INT(MID(metadata!C505,15,1))&gt;=0,FALSE),IFERROR(INT(MID(metadata!C505,15,1))&lt;=5,FALSE),NOT(MID(metadata!C505,16,1)=""),IFERROR(INT(MID(metadata!C505,15,2))&gt;=0,FALSE),IFERROR(INT(MID(metadata!C505,15,2))&lt;=59,FALSE)), OR(MID(metadata!C505,17,1)="", AND(AND(MID(metadata!C505,17,1)=":",IFERROR(INT(MID(metadata!C505,18,1))&gt;=0,FALSE),IFERROR(INT(MID(metadata!C505,18,1))&lt;=5,FALSE),NOT(MID(metadata!C505,19,1)=""),IFERROR(INT(MID(metadata!C505,18,2))&gt;=0,FALSE),IFERROR(INT(MID(metadata!C505,18,2))&lt;=59,FALSE)), LEN(metadata!C505)&lt;=19)))))))))))))</f>
        <v>0</v>
      </c>
      <c r="AD505">
        <f>IF(metadata!D505="",FALSE,TRUE)</f>
        <v>0</v>
      </c>
      <c r="AE505">
        <f>OR(AND(IF(metadata!E505="",FALSE,TRUE),OR(exact(metadata!E505,"missing: not collected"),exact(metadata!E505,"missing: not provided"))),AND(IF(metadata!E505="",FALSE,TRUE),OR(exact(metadata!E505,"TRUE"),exact(metadata!E505,"FALSE"))))</f>
        <v>0</v>
      </c>
      <c r="AF505">
        <f>IF(metadata!F505="",FALSE,TRUE)</f>
        <v>0</v>
      </c>
      <c r="AG505">
        <f>IF(metadata!G505="",FALSE,TRUE)</f>
        <v>0</v>
      </c>
      <c r="AH505">
        <f>IF(metadata!H505="",FALSE,TRUE)</f>
        <v>0</v>
      </c>
      <c r="AI505">
        <f>OR(AND(IF(metadata!I505="",FALSE,TRUE),OR(exact(metadata!I505,"missing: not collected"),exact(metadata!I505,"missing: not provided"),exact(metadata!I505,"missing: restricted access"))),AND(IF(metadata!I505="",FALSE,TRUE),OR(exact(metadata!I505,"air"),exact(metadata!I505,"built environment"),exact(metadata!I505,"host-associated"),exact(metadata!I505,"human-associated"),exact(metadata!I505,"human-skin"),exact(metadata!I505,"human-oral"),exact(metadata!I505,"human-gut"),exact(metadata!I505,"human-vaginal"),exact(metadata!I505,"microbial mat/biofilm"),exact(metadata!I505,"misc environment"),exact(metadata!I505,"plant-associated"),exact(metadata!I505,"sediment"),exact(metadata!I505,"soil"),exact(metadata!I505,"wastewater/sludge"),exact(metadata!I505,"water"))))</f>
        <v>0</v>
      </c>
      <c r="AJ505">
        <f>IF(metadata!J505="",FALSE,TRUE)</f>
        <v>0</v>
      </c>
      <c r="AK505">
        <f>OR(AND(IF(metadata!K505="",FALSE,TRUE),OR(exact(metadata!K505,"missing: not collected"),exact(metadata!K505,"missing: not provided"),exact(metadata!K505,"missing: restricted access"))),AND(IF(metadata!K505="",FALSE,ISNUMBER(VALUE(metadata!K505))),metadata!K505&gt;=-90.00,metadata!K505&lt;=90.00))</f>
        <v>0</v>
      </c>
      <c r="AL505">
        <f>OR(AND(IF(metadata!L505="",FALSE,TRUE),OR(exact(metadata!L505,"missing: not collected"),exact(metadata!L505,"missing: not provided"),exact(metadata!L505,"missing: restricted access"))),AND(IF(metadata!L505="",FALSE,ISNUMBER(VALUE(metadata!L505))),metadata!L505&gt;=-180.00,metadata!L505&lt;=180.00))</f>
        <v>0</v>
      </c>
      <c r="AM505">
        <f>IF(metadata!M505="",FALSE,TRUE)</f>
        <v>0</v>
      </c>
      <c r="AN505">
        <f>OR(AND(IF(metadata!N505="",FALSE,TRUE),OR(exact(metadata!N505,"missing: not collected"),exact(metadata!N505,"missing: not provided"),exact(metadata!N505,"missing: restricted access"))),AND(IF(metadata!N505="",FALSE,TRUE),OR(exact(metadata!N505,"TRUE"),exact(metadata!N505,"FALSE"))))</f>
        <v>0</v>
      </c>
      <c r="AO505">
        <f>IF(metadata!O505="",FALSE,TRUE)</f>
        <v>0</v>
      </c>
      <c r="AP505">
        <f>OR(AND(IF(metadata!P505="",FALSE,TRUE),OR(exact(metadata!P505,"missing: not collected"),exact(metadata!P505,"missing: not provided"))),AND(IF(metadata!P505="",FALSE,IF(ISERROR(INT(metadata!P505)),FALSE,INT(metadata!P505)=metadata!P505)),metadata!P505&gt;0))</f>
        <v>0</v>
      </c>
      <c r="AQ505">
        <f>IF(metadata!Q505="",FALSE,TRUE)</f>
        <v>0</v>
      </c>
    </row>
    <row r="506" spans="1:43">
      <c r="A506" s="5">
        <f>IF(B506=" "," ",HYPERLINK(CONCATENATE("#metadata!",ADDRESS(INDEX($W$2:$W$1001,MATCH(ROWS($U$2:U506),$U$2:$U$1001,0),0),1)),INDEX($Z$2:$Z$1001,MATCH(ROWS($U$2:U506),$U$2:$U$1001,0),0)))</f>
        <v>0</v>
      </c>
      <c r="B506" s="4">
        <f>IF(OR(INDEX($V$2:$V$1001,MATCH(ROWS($U$2:U506),$U$2:$U$1001,0),1)&gt;=100000,INDEX($AB$1005:$AQ$1005,1,MATCH(COLUMNS($AB$1006:AB1006),$AB$1006:$AQ$1006,0))&gt;=100000), " ",IF(INDEX($AB$2:$AQ$1001,MATCH(ROWS($U$2:U506),$U$2:$U$1001,0),MATCH(COLUMNS($AB$1006:AB1006),$AB$1006:$AQ$1006,0)), HYPERLINK("#",""), HYPERLINK(CONCATENATE("#metadata!", ADDRESS(INDEX($W$2:$W$1001,MATCH(ROWS($U$2:U506),$U$2:$U$1001,0),0), INDEX($AB$1004:$AQ$1004,1,MATCH(COLUMNS($AB$1006:AB1006),$AB$1006:$AQ$1006,0)))),"Fix")))</f>
        <v>0</v>
      </c>
      <c r="C506" s="4">
        <f>IF(OR(INDEX($V$2:$V$1001,MATCH(ROWS($U$2:U506),$U$2:$U$1001,0),1)&gt;=100000,INDEX($AB$1005:$AQ$1005,1,MATCH(COLUMNS($AB$1006:AC1006),$AB$1006:$AQ$1006,0))&gt;=100000), " ",IF(INDEX($AB$2:$AQ$1001,MATCH(ROWS($U$2:U506),$U$2:$U$1001,0),MATCH(COLUMNS($AB$1006:AC1006),$AB$1006:$AQ$1006,0)), HYPERLINK("#",""), HYPERLINK(CONCATENATE("#metadata!", ADDRESS(INDEX($W$2:$W$1001,MATCH(ROWS($U$2:U506),$U$2:$U$1001,0),0), INDEX($AB$1004:$AQ$1004,1,MATCH(COLUMNS($AB$1006:AC1006),$AB$1006:$AQ$1006,0)))),"Fix")))</f>
        <v>0</v>
      </c>
      <c r="D506" s="4">
        <f>IF(OR(INDEX($V$2:$V$1001,MATCH(ROWS($U$2:U506),$U$2:$U$1001,0),1)&gt;=100000,INDEX($AB$1005:$AQ$1005,1,MATCH(COLUMNS($AB$1006:AD1006),$AB$1006:$AQ$1006,0))&gt;=100000), " ",IF(INDEX($AB$2:$AQ$1001,MATCH(ROWS($U$2:U506),$U$2:$U$1001,0),MATCH(COLUMNS($AB$1006:AD1006),$AB$1006:$AQ$1006,0)), HYPERLINK("#",""), HYPERLINK(CONCATENATE("#metadata!", ADDRESS(INDEX($W$2:$W$1001,MATCH(ROWS($U$2:U506),$U$2:$U$1001,0),0), INDEX($AB$1004:$AQ$1004,1,MATCH(COLUMNS($AB$1006:AD1006),$AB$1006:$AQ$1006,0)))),"Fix")))</f>
        <v>0</v>
      </c>
      <c r="E506" s="4">
        <f>IF(OR(INDEX($V$2:$V$1001,MATCH(ROWS($U$2:U506),$U$2:$U$1001,0),1)&gt;=100000,INDEX($AB$1005:$AQ$1005,1,MATCH(COLUMNS($AB$1006:AE1006),$AB$1006:$AQ$1006,0))&gt;=100000), " ",IF(INDEX($AB$2:$AQ$1001,MATCH(ROWS($U$2:U506),$U$2:$U$1001,0),MATCH(COLUMNS($AB$1006:AE1006),$AB$1006:$AQ$1006,0)), HYPERLINK("#",""), HYPERLINK(CONCATENATE("#metadata!", ADDRESS(INDEX($W$2:$W$1001,MATCH(ROWS($U$2:U506),$U$2:$U$1001,0),0), INDEX($AB$1004:$AQ$1004,1,MATCH(COLUMNS($AB$1006:AE1006),$AB$1006:$AQ$1006,0)))),"Fix")))</f>
        <v>0</v>
      </c>
      <c r="F506" s="4">
        <f>IF(OR(INDEX($V$2:$V$1001,MATCH(ROWS($U$2:U506),$U$2:$U$1001,0),1)&gt;=100000,INDEX($AB$1005:$AQ$1005,1,MATCH(COLUMNS($AB$1006:AF1006),$AB$1006:$AQ$1006,0))&gt;=100000), " ",IF(INDEX($AB$2:$AQ$1001,MATCH(ROWS($U$2:U506),$U$2:$U$1001,0),MATCH(COLUMNS($AB$1006:AF1006),$AB$1006:$AQ$1006,0)), HYPERLINK("#",""), HYPERLINK(CONCATENATE("#metadata!", ADDRESS(INDEX($W$2:$W$1001,MATCH(ROWS($U$2:U506),$U$2:$U$1001,0),0), INDEX($AB$1004:$AQ$1004,1,MATCH(COLUMNS($AB$1006:AF1006),$AB$1006:$AQ$1006,0)))),"Fix")))</f>
        <v>0</v>
      </c>
      <c r="G506" s="4">
        <f>IF(OR(INDEX($V$2:$V$1001,MATCH(ROWS($U$2:U506),$U$2:$U$1001,0),1)&gt;=100000,INDEX($AB$1005:$AQ$1005,1,MATCH(COLUMNS($AB$1006:AG1006),$AB$1006:$AQ$1006,0))&gt;=100000), " ",IF(INDEX($AB$2:$AQ$1001,MATCH(ROWS($U$2:U506),$U$2:$U$1001,0),MATCH(COLUMNS($AB$1006:AG1006),$AB$1006:$AQ$1006,0)), HYPERLINK("#",""), HYPERLINK(CONCATENATE("#metadata!", ADDRESS(INDEX($W$2:$W$1001,MATCH(ROWS($U$2:U506),$U$2:$U$1001,0),0), INDEX($AB$1004:$AQ$1004,1,MATCH(COLUMNS($AB$1006:AG1006),$AB$1006:$AQ$1006,0)))),"Fix")))</f>
        <v>0</v>
      </c>
      <c r="H506" s="4">
        <f>IF(OR(INDEX($V$2:$V$1001,MATCH(ROWS($U$2:U506),$U$2:$U$1001,0),1)&gt;=100000,INDEX($AB$1005:$AQ$1005,1,MATCH(COLUMNS($AB$1006:AH1006),$AB$1006:$AQ$1006,0))&gt;=100000), " ",IF(INDEX($AB$2:$AQ$1001,MATCH(ROWS($U$2:U506),$U$2:$U$1001,0),MATCH(COLUMNS($AB$1006:AH1006),$AB$1006:$AQ$1006,0)), HYPERLINK("#",""), HYPERLINK(CONCATENATE("#metadata!", ADDRESS(INDEX($W$2:$W$1001,MATCH(ROWS($U$2:U506),$U$2:$U$1001,0),0), INDEX($AB$1004:$AQ$1004,1,MATCH(COLUMNS($AB$1006:AH1006),$AB$1006:$AQ$1006,0)))),"Fix")))</f>
        <v>0</v>
      </c>
      <c r="I506" s="4">
        <f>IF(OR(INDEX($V$2:$V$1001,MATCH(ROWS($U$2:U506),$U$2:$U$1001,0),1)&gt;=100000,INDEX($AB$1005:$AQ$1005,1,MATCH(COLUMNS($AB$1006:AI1006),$AB$1006:$AQ$1006,0))&gt;=100000), " ",IF(INDEX($AB$2:$AQ$1001,MATCH(ROWS($U$2:U506),$U$2:$U$1001,0),MATCH(COLUMNS($AB$1006:AI1006),$AB$1006:$AQ$1006,0)), HYPERLINK("#",""), HYPERLINK(CONCATENATE("#metadata!", ADDRESS(INDEX($W$2:$W$1001,MATCH(ROWS($U$2:U506),$U$2:$U$1001,0),0), INDEX($AB$1004:$AQ$1004,1,MATCH(COLUMNS($AB$1006:AI1006),$AB$1006:$AQ$1006,0)))),"Fix")))</f>
        <v>0</v>
      </c>
      <c r="J506" s="4">
        <f>IF(OR(INDEX($V$2:$V$1001,MATCH(ROWS($U$2:U506),$U$2:$U$1001,0),1)&gt;=100000,INDEX($AB$1005:$AQ$1005,1,MATCH(COLUMNS($AB$1006:AJ1006),$AB$1006:$AQ$1006,0))&gt;=100000), " ",IF(INDEX($AB$2:$AQ$1001,MATCH(ROWS($U$2:U506),$U$2:$U$1001,0),MATCH(COLUMNS($AB$1006:AJ1006),$AB$1006:$AQ$1006,0)), HYPERLINK("#",""), HYPERLINK(CONCATENATE("#metadata!", ADDRESS(INDEX($W$2:$W$1001,MATCH(ROWS($U$2:U506),$U$2:$U$1001,0),0), INDEX($AB$1004:$AQ$1004,1,MATCH(COLUMNS($AB$1006:AJ1006),$AB$1006:$AQ$1006,0)))),"Fix")))</f>
        <v>0</v>
      </c>
      <c r="K506" s="4">
        <f>IF(OR(INDEX($V$2:$V$1001,MATCH(ROWS($U$2:U506),$U$2:$U$1001,0),1)&gt;=100000,INDEX($AB$1005:$AQ$1005,1,MATCH(COLUMNS($AB$1006:AK1006),$AB$1006:$AQ$1006,0))&gt;=100000), " ",IF(INDEX($AB$2:$AQ$1001,MATCH(ROWS($U$2:U506),$U$2:$U$1001,0),MATCH(COLUMNS($AB$1006:AK1006),$AB$1006:$AQ$1006,0)), HYPERLINK("#",""), HYPERLINK(CONCATENATE("#metadata!", ADDRESS(INDEX($W$2:$W$1001,MATCH(ROWS($U$2:U506),$U$2:$U$1001,0),0), INDEX($AB$1004:$AQ$1004,1,MATCH(COLUMNS($AB$1006:AK1006),$AB$1006:$AQ$1006,0)))),"Fix")))</f>
        <v>0</v>
      </c>
      <c r="L506" s="4">
        <f>IF(OR(INDEX($V$2:$V$1001,MATCH(ROWS($U$2:U506),$U$2:$U$1001,0),1)&gt;=100000,INDEX($AB$1005:$AQ$1005,1,MATCH(COLUMNS($AB$1006:AL1006),$AB$1006:$AQ$1006,0))&gt;=100000), " ",IF(INDEX($AB$2:$AQ$1001,MATCH(ROWS($U$2:U506),$U$2:$U$1001,0),MATCH(COLUMNS($AB$1006:AL1006),$AB$1006:$AQ$1006,0)), HYPERLINK("#",""), HYPERLINK(CONCATENATE("#metadata!", ADDRESS(INDEX($W$2:$W$1001,MATCH(ROWS($U$2:U506),$U$2:$U$1001,0),0), INDEX($AB$1004:$AQ$1004,1,MATCH(COLUMNS($AB$1006:AL1006),$AB$1006:$AQ$1006,0)))),"Fix")))</f>
        <v>0</v>
      </c>
      <c r="M506" s="4">
        <f>IF(OR(INDEX($V$2:$V$1001,MATCH(ROWS($U$2:U506),$U$2:$U$1001,0),1)&gt;=100000,INDEX($AB$1005:$AQ$1005,1,MATCH(COLUMNS($AB$1006:AM1006),$AB$1006:$AQ$1006,0))&gt;=100000), " ",IF(INDEX($AB$2:$AQ$1001,MATCH(ROWS($U$2:U506),$U$2:$U$1001,0),MATCH(COLUMNS($AB$1006:AM1006),$AB$1006:$AQ$1006,0)), HYPERLINK("#",""), HYPERLINK(CONCATENATE("#metadata!", ADDRESS(INDEX($W$2:$W$1001,MATCH(ROWS($U$2:U506),$U$2:$U$1001,0),0), INDEX($AB$1004:$AQ$1004,1,MATCH(COLUMNS($AB$1006:AM1006),$AB$1006:$AQ$1006,0)))),"Fix")))</f>
        <v>0</v>
      </c>
      <c r="N506" s="4">
        <f>IF(OR(INDEX($V$2:$V$1001,MATCH(ROWS($U$2:U506),$U$2:$U$1001,0),1)&gt;=100000,INDEX($AB$1005:$AQ$1005,1,MATCH(COLUMNS($AB$1006:AN1006),$AB$1006:$AQ$1006,0))&gt;=100000), " ",IF(INDEX($AB$2:$AQ$1001,MATCH(ROWS($U$2:U506),$U$2:$U$1001,0),MATCH(COLUMNS($AB$1006:AN1006),$AB$1006:$AQ$1006,0)), HYPERLINK("#",""), HYPERLINK(CONCATENATE("#metadata!", ADDRESS(INDEX($W$2:$W$1001,MATCH(ROWS($U$2:U506),$U$2:$U$1001,0),0), INDEX($AB$1004:$AQ$1004,1,MATCH(COLUMNS($AB$1006:AN1006),$AB$1006:$AQ$1006,0)))),"Fix")))</f>
        <v>0</v>
      </c>
      <c r="O506" s="4">
        <f>IF(OR(INDEX($V$2:$V$1001,MATCH(ROWS($U$2:U506),$U$2:$U$1001,0),1)&gt;=100000,INDEX($AB$1005:$AQ$1005,1,MATCH(COLUMNS($AB$1006:AO1006),$AB$1006:$AQ$1006,0))&gt;=100000), " ",IF(INDEX($AB$2:$AQ$1001,MATCH(ROWS($U$2:U506),$U$2:$U$1001,0),MATCH(COLUMNS($AB$1006:AO1006),$AB$1006:$AQ$1006,0)), HYPERLINK("#",""), HYPERLINK(CONCATENATE("#metadata!", ADDRESS(INDEX($W$2:$W$1001,MATCH(ROWS($U$2:U506),$U$2:$U$1001,0),0), INDEX($AB$1004:$AQ$1004,1,MATCH(COLUMNS($AB$1006:AO1006),$AB$1006:$AQ$1006,0)))),"Fix")))</f>
        <v>0</v>
      </c>
      <c r="P506" s="4">
        <f>IF(OR(INDEX($V$2:$V$1001,MATCH(ROWS($U$2:U506),$U$2:$U$1001,0),1)&gt;=100000,INDEX($AB$1005:$AQ$1005,1,MATCH(COLUMNS($AB$1006:AP1006),$AB$1006:$AQ$1006,0))&gt;=100000), " ",IF(INDEX($AB$2:$AQ$1001,MATCH(ROWS($U$2:U506),$U$2:$U$1001,0),MATCH(COLUMNS($AB$1006:AP1006),$AB$1006:$AQ$1006,0)), HYPERLINK("#",""), HYPERLINK(CONCATENATE("#metadata!", ADDRESS(INDEX($W$2:$W$1001,MATCH(ROWS($U$2:U506),$U$2:$U$1001,0),0), INDEX($AB$1004:$AQ$1004,1,MATCH(COLUMNS($AB$1006:AP1006),$AB$1006:$AQ$1006,0)))),"Fix")))</f>
        <v>0</v>
      </c>
      <c r="Q506" s="4">
        <f>IF(OR(INDEX($V$2:$V$1001,MATCH(ROWS($U$2:U506),$U$2:$U$1001,0),1)&gt;=100000,INDEX($AB$1005:$AQ$1005,1,MATCH(COLUMNS($AB$1006:AQ1006),$AB$1006:$AQ$1006,0))&gt;=100000), " ",IF(INDEX($AB$2:$AQ$1001,MATCH(ROWS($U$2:U506),$U$2:$U$1001,0),MATCH(COLUMNS($AB$1006:AQ1006),$AB$1006:$AQ$1006,0)), HYPERLINK("#",""), HYPERLINK(CONCATENATE("#metadata!", ADDRESS(INDEX($W$2:$W$1001,MATCH(ROWS($U$2:U506),$U$2:$U$1001,0),0), INDEX($AB$1004:$AQ$1004,1,MATCH(COLUMNS($AB$1006:AQ1006),$AB$1006:$AQ$1006,0)))),"Fix")))</f>
        <v>0</v>
      </c>
      <c r="U506">
        <v>0</v>
      </c>
      <c r="V506">
        <v>0</v>
      </c>
      <c r="W506">
        <v>0</v>
      </c>
      <c r="X506">
        <f>IF(Y506,TRUE,AND(AB506:AQ506))</f>
        <v>0</v>
      </c>
      <c r="Y506">
        <f>COUNTBLANK(metadata!B506:Q506)=COLUMNS(metadata!B506:Q506)</f>
        <v>0</v>
      </c>
      <c r="Z506">
        <v>0</v>
      </c>
      <c r="AB506">
        <f>AND(IF(metadata!B506="",FALSE,TRUE),COUNTIF(metadata!B:B, metadata!B506) = 1,NOT(ISERROR(SUMPRODUCT(SEARCH(MID(metadata!B506,ROW(INDIRECT("1:"&amp;LEN(metadata!B506))), 1),"0123456789abcdefghijklmnopqrstuvwxyzABCDEFGHIJKLMNOPQRSTUVWXYZ.")))))</f>
        <v>0</v>
      </c>
      <c r="AC506">
        <f>OR(AND(IF(metadata!C506="",FALSE,TRUE),OR(exact(metadata!C506,"missing: not collected"),exact(metadata!C506,"missing: not provided"),exact(metadata!C506,"missing: restricted access"))),AND(IF(metadata!C506="",FALSE,TRUE),AND(AND(IFERROR(INT(LEFT(metadata!C506,4))&gt;1900,FALSE),IFERROR(INT(LEFT(metadata!C506,4))&lt;=YEAR(NOW()),FALSE)), OR(MID(metadata!C506,5,1)="", AND(AND(MID(metadata!C506,5,1)="-",IFERROR(INT(MID(metadata!C506,6,1))&gt;=0,FALSE),IFERROR(INT(MID(metadata!C506,6,1))&lt;=1,FALSE),NOT(MID(metadata!C506,7,1)=""),IFERROR(INT(MID(metadata!C506,6,2))&gt;=1,FALSE),IFERROR(INT(MID(metadata!C506,6,2))&lt;=12,FALSE)), OR(MID(metadata!C506,8,1)="", AND(AND(MID(metadata!C506,8,1)="-",IFERROR(INT(MID(metadata!C506,9,1))&gt;=0,FALSE),IFERROR(INT(MID(metadata!C506,9,1))&lt;=3,FALSE),NOT(MID(metadata!C506,10,1)=""),IFERROR(INT(MID(metadata!C506,9,2))&gt;=1,FALSE),IFERROR(INT(MID(metadata!C506,9,2))&lt;=31,FALSE)), OR(MID(metadata!C506,11,1)="", AND(AND(MID(metadata!C506,11,1)=" ",IFERROR(INT(MID(metadata!C506,12,1))&gt;=0,FALSE),IFERROR(INT(MID(metadata!C506,12,1))&lt;=2,FALSE),NOT(MID(metadata!C506,13,1)=""),IFERROR(INT(MID(metadata!C506,12,2))&gt;=0,FALSE),IFERROR(INT(MID(metadata!C506,12,2))&lt;=23,FALSE)), OR(MID(metadata!C506,14,1)="", AND(AND(MID(metadata!C506,14,1)=":",IFERROR(INT(MID(metadata!C506,15,1))&gt;=0,FALSE),IFERROR(INT(MID(metadata!C506,15,1))&lt;=5,FALSE),NOT(MID(metadata!C506,16,1)=""),IFERROR(INT(MID(metadata!C506,15,2))&gt;=0,FALSE),IFERROR(INT(MID(metadata!C506,15,2))&lt;=59,FALSE)), OR(MID(metadata!C506,17,1)="", AND(AND(MID(metadata!C506,17,1)=":",IFERROR(INT(MID(metadata!C506,18,1))&gt;=0,FALSE),IFERROR(INT(MID(metadata!C506,18,1))&lt;=5,FALSE),NOT(MID(metadata!C506,19,1)=""),IFERROR(INT(MID(metadata!C506,18,2))&gt;=0,FALSE),IFERROR(INT(MID(metadata!C506,18,2))&lt;=59,FALSE)), LEN(metadata!C506)&lt;=19)))))))))))))</f>
        <v>0</v>
      </c>
      <c r="AD506">
        <f>IF(metadata!D506="",FALSE,TRUE)</f>
        <v>0</v>
      </c>
      <c r="AE506">
        <f>OR(AND(IF(metadata!E506="",FALSE,TRUE),OR(exact(metadata!E506,"missing: not collected"),exact(metadata!E506,"missing: not provided"))),AND(IF(metadata!E506="",FALSE,TRUE),OR(exact(metadata!E506,"TRUE"),exact(metadata!E506,"FALSE"))))</f>
        <v>0</v>
      </c>
      <c r="AF506">
        <f>IF(metadata!F506="",FALSE,TRUE)</f>
        <v>0</v>
      </c>
      <c r="AG506">
        <f>IF(metadata!G506="",FALSE,TRUE)</f>
        <v>0</v>
      </c>
      <c r="AH506">
        <f>IF(metadata!H506="",FALSE,TRUE)</f>
        <v>0</v>
      </c>
      <c r="AI506">
        <f>OR(AND(IF(metadata!I506="",FALSE,TRUE),OR(exact(metadata!I506,"missing: not collected"),exact(metadata!I506,"missing: not provided"),exact(metadata!I506,"missing: restricted access"))),AND(IF(metadata!I506="",FALSE,TRUE),OR(exact(metadata!I506,"air"),exact(metadata!I506,"built environment"),exact(metadata!I506,"host-associated"),exact(metadata!I506,"human-associated"),exact(metadata!I506,"human-skin"),exact(metadata!I506,"human-oral"),exact(metadata!I506,"human-gut"),exact(metadata!I506,"human-vaginal"),exact(metadata!I506,"microbial mat/biofilm"),exact(metadata!I506,"misc environment"),exact(metadata!I506,"plant-associated"),exact(metadata!I506,"sediment"),exact(metadata!I506,"soil"),exact(metadata!I506,"wastewater/sludge"),exact(metadata!I506,"water"))))</f>
        <v>0</v>
      </c>
      <c r="AJ506">
        <f>IF(metadata!J506="",FALSE,TRUE)</f>
        <v>0</v>
      </c>
      <c r="AK506">
        <f>OR(AND(IF(metadata!K506="",FALSE,TRUE),OR(exact(metadata!K506,"missing: not collected"),exact(metadata!K506,"missing: not provided"),exact(metadata!K506,"missing: restricted access"))),AND(IF(metadata!K506="",FALSE,ISNUMBER(VALUE(metadata!K506))),metadata!K506&gt;=-90.00,metadata!K506&lt;=90.00))</f>
        <v>0</v>
      </c>
      <c r="AL506">
        <f>OR(AND(IF(metadata!L506="",FALSE,TRUE),OR(exact(metadata!L506,"missing: not collected"),exact(metadata!L506,"missing: not provided"),exact(metadata!L506,"missing: restricted access"))),AND(IF(metadata!L506="",FALSE,ISNUMBER(VALUE(metadata!L506))),metadata!L506&gt;=-180.00,metadata!L506&lt;=180.00))</f>
        <v>0</v>
      </c>
      <c r="AM506">
        <f>IF(metadata!M506="",FALSE,TRUE)</f>
        <v>0</v>
      </c>
      <c r="AN506">
        <f>OR(AND(IF(metadata!N506="",FALSE,TRUE),OR(exact(metadata!N506,"missing: not collected"),exact(metadata!N506,"missing: not provided"),exact(metadata!N506,"missing: restricted access"))),AND(IF(metadata!N506="",FALSE,TRUE),OR(exact(metadata!N506,"TRUE"),exact(metadata!N506,"FALSE"))))</f>
        <v>0</v>
      </c>
      <c r="AO506">
        <f>IF(metadata!O506="",FALSE,TRUE)</f>
        <v>0</v>
      </c>
      <c r="AP506">
        <f>OR(AND(IF(metadata!P506="",FALSE,TRUE),OR(exact(metadata!P506,"missing: not collected"),exact(metadata!P506,"missing: not provided"))),AND(IF(metadata!P506="",FALSE,IF(ISERROR(INT(metadata!P506)),FALSE,INT(metadata!P506)=metadata!P506)),metadata!P506&gt;0))</f>
        <v>0</v>
      </c>
      <c r="AQ506">
        <f>IF(metadata!Q506="",FALSE,TRUE)</f>
        <v>0</v>
      </c>
    </row>
    <row r="507" spans="1:43">
      <c r="A507" s="5">
        <f>IF(B507=" "," ",HYPERLINK(CONCATENATE("#metadata!",ADDRESS(INDEX($W$2:$W$1001,MATCH(ROWS($U$2:U507),$U$2:$U$1001,0),0),1)),INDEX($Z$2:$Z$1001,MATCH(ROWS($U$2:U507),$U$2:$U$1001,0),0)))</f>
        <v>0</v>
      </c>
      <c r="B507" s="4">
        <f>IF(OR(INDEX($V$2:$V$1001,MATCH(ROWS($U$2:U507),$U$2:$U$1001,0),1)&gt;=100000,INDEX($AB$1005:$AQ$1005,1,MATCH(COLUMNS($AB$1006:AB1006),$AB$1006:$AQ$1006,0))&gt;=100000), " ",IF(INDEX($AB$2:$AQ$1001,MATCH(ROWS($U$2:U507),$U$2:$U$1001,0),MATCH(COLUMNS($AB$1006:AB1006),$AB$1006:$AQ$1006,0)), HYPERLINK("#",""), HYPERLINK(CONCATENATE("#metadata!", ADDRESS(INDEX($W$2:$W$1001,MATCH(ROWS($U$2:U507),$U$2:$U$1001,0),0), INDEX($AB$1004:$AQ$1004,1,MATCH(COLUMNS($AB$1006:AB1006),$AB$1006:$AQ$1006,0)))),"Fix")))</f>
        <v>0</v>
      </c>
      <c r="C507" s="4">
        <f>IF(OR(INDEX($V$2:$V$1001,MATCH(ROWS($U$2:U507),$U$2:$U$1001,0),1)&gt;=100000,INDEX($AB$1005:$AQ$1005,1,MATCH(COLUMNS($AB$1006:AC1006),$AB$1006:$AQ$1006,0))&gt;=100000), " ",IF(INDEX($AB$2:$AQ$1001,MATCH(ROWS($U$2:U507),$U$2:$U$1001,0),MATCH(COLUMNS($AB$1006:AC1006),$AB$1006:$AQ$1006,0)), HYPERLINK("#",""), HYPERLINK(CONCATENATE("#metadata!", ADDRESS(INDEX($W$2:$W$1001,MATCH(ROWS($U$2:U507),$U$2:$U$1001,0),0), INDEX($AB$1004:$AQ$1004,1,MATCH(COLUMNS($AB$1006:AC1006),$AB$1006:$AQ$1006,0)))),"Fix")))</f>
        <v>0</v>
      </c>
      <c r="D507" s="4">
        <f>IF(OR(INDEX($V$2:$V$1001,MATCH(ROWS($U$2:U507),$U$2:$U$1001,0),1)&gt;=100000,INDEX($AB$1005:$AQ$1005,1,MATCH(COLUMNS($AB$1006:AD1006),$AB$1006:$AQ$1006,0))&gt;=100000), " ",IF(INDEX($AB$2:$AQ$1001,MATCH(ROWS($U$2:U507),$U$2:$U$1001,0),MATCH(COLUMNS($AB$1006:AD1006),$AB$1006:$AQ$1006,0)), HYPERLINK("#",""), HYPERLINK(CONCATENATE("#metadata!", ADDRESS(INDEX($W$2:$W$1001,MATCH(ROWS($U$2:U507),$U$2:$U$1001,0),0), INDEX($AB$1004:$AQ$1004,1,MATCH(COLUMNS($AB$1006:AD1006),$AB$1006:$AQ$1006,0)))),"Fix")))</f>
        <v>0</v>
      </c>
      <c r="E507" s="4">
        <f>IF(OR(INDEX($V$2:$V$1001,MATCH(ROWS($U$2:U507),$U$2:$U$1001,0),1)&gt;=100000,INDEX($AB$1005:$AQ$1005,1,MATCH(COLUMNS($AB$1006:AE1006),$AB$1006:$AQ$1006,0))&gt;=100000), " ",IF(INDEX($AB$2:$AQ$1001,MATCH(ROWS($U$2:U507),$U$2:$U$1001,0),MATCH(COLUMNS($AB$1006:AE1006),$AB$1006:$AQ$1006,0)), HYPERLINK("#",""), HYPERLINK(CONCATENATE("#metadata!", ADDRESS(INDEX($W$2:$W$1001,MATCH(ROWS($U$2:U507),$U$2:$U$1001,0),0), INDEX($AB$1004:$AQ$1004,1,MATCH(COLUMNS($AB$1006:AE1006),$AB$1006:$AQ$1006,0)))),"Fix")))</f>
        <v>0</v>
      </c>
      <c r="F507" s="4">
        <f>IF(OR(INDEX($V$2:$V$1001,MATCH(ROWS($U$2:U507),$U$2:$U$1001,0),1)&gt;=100000,INDEX($AB$1005:$AQ$1005,1,MATCH(COLUMNS($AB$1006:AF1006),$AB$1006:$AQ$1006,0))&gt;=100000), " ",IF(INDEX($AB$2:$AQ$1001,MATCH(ROWS($U$2:U507),$U$2:$U$1001,0),MATCH(COLUMNS($AB$1006:AF1006),$AB$1006:$AQ$1006,0)), HYPERLINK("#",""), HYPERLINK(CONCATENATE("#metadata!", ADDRESS(INDEX($W$2:$W$1001,MATCH(ROWS($U$2:U507),$U$2:$U$1001,0),0), INDEX($AB$1004:$AQ$1004,1,MATCH(COLUMNS($AB$1006:AF1006),$AB$1006:$AQ$1006,0)))),"Fix")))</f>
        <v>0</v>
      </c>
      <c r="G507" s="4">
        <f>IF(OR(INDEX($V$2:$V$1001,MATCH(ROWS($U$2:U507),$U$2:$U$1001,0),1)&gt;=100000,INDEX($AB$1005:$AQ$1005,1,MATCH(COLUMNS($AB$1006:AG1006),$AB$1006:$AQ$1006,0))&gt;=100000), " ",IF(INDEX($AB$2:$AQ$1001,MATCH(ROWS($U$2:U507),$U$2:$U$1001,0),MATCH(COLUMNS($AB$1006:AG1006),$AB$1006:$AQ$1006,0)), HYPERLINK("#",""), HYPERLINK(CONCATENATE("#metadata!", ADDRESS(INDEX($W$2:$W$1001,MATCH(ROWS($U$2:U507),$U$2:$U$1001,0),0), INDEX($AB$1004:$AQ$1004,1,MATCH(COLUMNS($AB$1006:AG1006),$AB$1006:$AQ$1006,0)))),"Fix")))</f>
        <v>0</v>
      </c>
      <c r="H507" s="4">
        <f>IF(OR(INDEX($V$2:$V$1001,MATCH(ROWS($U$2:U507),$U$2:$U$1001,0),1)&gt;=100000,INDEX($AB$1005:$AQ$1005,1,MATCH(COLUMNS($AB$1006:AH1006),$AB$1006:$AQ$1006,0))&gt;=100000), " ",IF(INDEX($AB$2:$AQ$1001,MATCH(ROWS($U$2:U507),$U$2:$U$1001,0),MATCH(COLUMNS($AB$1006:AH1006),$AB$1006:$AQ$1006,0)), HYPERLINK("#",""), HYPERLINK(CONCATENATE("#metadata!", ADDRESS(INDEX($W$2:$W$1001,MATCH(ROWS($U$2:U507),$U$2:$U$1001,0),0), INDEX($AB$1004:$AQ$1004,1,MATCH(COLUMNS($AB$1006:AH1006),$AB$1006:$AQ$1006,0)))),"Fix")))</f>
        <v>0</v>
      </c>
      <c r="I507" s="4">
        <f>IF(OR(INDEX($V$2:$V$1001,MATCH(ROWS($U$2:U507),$U$2:$U$1001,0),1)&gt;=100000,INDEX($AB$1005:$AQ$1005,1,MATCH(COLUMNS($AB$1006:AI1006),$AB$1006:$AQ$1006,0))&gt;=100000), " ",IF(INDEX($AB$2:$AQ$1001,MATCH(ROWS($U$2:U507),$U$2:$U$1001,0),MATCH(COLUMNS($AB$1006:AI1006),$AB$1006:$AQ$1006,0)), HYPERLINK("#",""), HYPERLINK(CONCATENATE("#metadata!", ADDRESS(INDEX($W$2:$W$1001,MATCH(ROWS($U$2:U507),$U$2:$U$1001,0),0), INDEX($AB$1004:$AQ$1004,1,MATCH(COLUMNS($AB$1006:AI1006),$AB$1006:$AQ$1006,0)))),"Fix")))</f>
        <v>0</v>
      </c>
      <c r="J507" s="4">
        <f>IF(OR(INDEX($V$2:$V$1001,MATCH(ROWS($U$2:U507),$U$2:$U$1001,0),1)&gt;=100000,INDEX($AB$1005:$AQ$1005,1,MATCH(COLUMNS($AB$1006:AJ1006),$AB$1006:$AQ$1006,0))&gt;=100000), " ",IF(INDEX($AB$2:$AQ$1001,MATCH(ROWS($U$2:U507),$U$2:$U$1001,0),MATCH(COLUMNS($AB$1006:AJ1006),$AB$1006:$AQ$1006,0)), HYPERLINK("#",""), HYPERLINK(CONCATENATE("#metadata!", ADDRESS(INDEX($W$2:$W$1001,MATCH(ROWS($U$2:U507),$U$2:$U$1001,0),0), INDEX($AB$1004:$AQ$1004,1,MATCH(COLUMNS($AB$1006:AJ1006),$AB$1006:$AQ$1006,0)))),"Fix")))</f>
        <v>0</v>
      </c>
      <c r="K507" s="4">
        <f>IF(OR(INDEX($V$2:$V$1001,MATCH(ROWS($U$2:U507),$U$2:$U$1001,0),1)&gt;=100000,INDEX($AB$1005:$AQ$1005,1,MATCH(COLUMNS($AB$1006:AK1006),$AB$1006:$AQ$1006,0))&gt;=100000), " ",IF(INDEX($AB$2:$AQ$1001,MATCH(ROWS($U$2:U507),$U$2:$U$1001,0),MATCH(COLUMNS($AB$1006:AK1006),$AB$1006:$AQ$1006,0)), HYPERLINK("#",""), HYPERLINK(CONCATENATE("#metadata!", ADDRESS(INDEX($W$2:$W$1001,MATCH(ROWS($U$2:U507),$U$2:$U$1001,0),0), INDEX($AB$1004:$AQ$1004,1,MATCH(COLUMNS($AB$1006:AK1006),$AB$1006:$AQ$1006,0)))),"Fix")))</f>
        <v>0</v>
      </c>
      <c r="L507" s="4">
        <f>IF(OR(INDEX($V$2:$V$1001,MATCH(ROWS($U$2:U507),$U$2:$U$1001,0),1)&gt;=100000,INDEX($AB$1005:$AQ$1005,1,MATCH(COLUMNS($AB$1006:AL1006),$AB$1006:$AQ$1006,0))&gt;=100000), " ",IF(INDEX($AB$2:$AQ$1001,MATCH(ROWS($U$2:U507),$U$2:$U$1001,0),MATCH(COLUMNS($AB$1006:AL1006),$AB$1006:$AQ$1006,0)), HYPERLINK("#",""), HYPERLINK(CONCATENATE("#metadata!", ADDRESS(INDEX($W$2:$W$1001,MATCH(ROWS($U$2:U507),$U$2:$U$1001,0),0), INDEX($AB$1004:$AQ$1004,1,MATCH(COLUMNS($AB$1006:AL1006),$AB$1006:$AQ$1006,0)))),"Fix")))</f>
        <v>0</v>
      </c>
      <c r="M507" s="4">
        <f>IF(OR(INDEX($V$2:$V$1001,MATCH(ROWS($U$2:U507),$U$2:$U$1001,0),1)&gt;=100000,INDEX($AB$1005:$AQ$1005,1,MATCH(COLUMNS($AB$1006:AM1006),$AB$1006:$AQ$1006,0))&gt;=100000), " ",IF(INDEX($AB$2:$AQ$1001,MATCH(ROWS($U$2:U507),$U$2:$U$1001,0),MATCH(COLUMNS($AB$1006:AM1006),$AB$1006:$AQ$1006,0)), HYPERLINK("#",""), HYPERLINK(CONCATENATE("#metadata!", ADDRESS(INDEX($W$2:$W$1001,MATCH(ROWS($U$2:U507),$U$2:$U$1001,0),0), INDEX($AB$1004:$AQ$1004,1,MATCH(COLUMNS($AB$1006:AM1006),$AB$1006:$AQ$1006,0)))),"Fix")))</f>
        <v>0</v>
      </c>
      <c r="N507" s="4">
        <f>IF(OR(INDEX($V$2:$V$1001,MATCH(ROWS($U$2:U507),$U$2:$U$1001,0),1)&gt;=100000,INDEX($AB$1005:$AQ$1005,1,MATCH(COLUMNS($AB$1006:AN1006),$AB$1006:$AQ$1006,0))&gt;=100000), " ",IF(INDEX($AB$2:$AQ$1001,MATCH(ROWS($U$2:U507),$U$2:$U$1001,0),MATCH(COLUMNS($AB$1006:AN1006),$AB$1006:$AQ$1006,0)), HYPERLINK("#",""), HYPERLINK(CONCATENATE("#metadata!", ADDRESS(INDEX($W$2:$W$1001,MATCH(ROWS($U$2:U507),$U$2:$U$1001,0),0), INDEX($AB$1004:$AQ$1004,1,MATCH(COLUMNS($AB$1006:AN1006),$AB$1006:$AQ$1006,0)))),"Fix")))</f>
        <v>0</v>
      </c>
      <c r="O507" s="4">
        <f>IF(OR(INDEX($V$2:$V$1001,MATCH(ROWS($U$2:U507),$U$2:$U$1001,0),1)&gt;=100000,INDEX($AB$1005:$AQ$1005,1,MATCH(COLUMNS($AB$1006:AO1006),$AB$1006:$AQ$1006,0))&gt;=100000), " ",IF(INDEX($AB$2:$AQ$1001,MATCH(ROWS($U$2:U507),$U$2:$U$1001,0),MATCH(COLUMNS($AB$1006:AO1006),$AB$1006:$AQ$1006,0)), HYPERLINK("#",""), HYPERLINK(CONCATENATE("#metadata!", ADDRESS(INDEX($W$2:$W$1001,MATCH(ROWS($U$2:U507),$U$2:$U$1001,0),0), INDEX($AB$1004:$AQ$1004,1,MATCH(COLUMNS($AB$1006:AO1006),$AB$1006:$AQ$1006,0)))),"Fix")))</f>
        <v>0</v>
      </c>
      <c r="P507" s="4">
        <f>IF(OR(INDEX($V$2:$V$1001,MATCH(ROWS($U$2:U507),$U$2:$U$1001,0),1)&gt;=100000,INDEX($AB$1005:$AQ$1005,1,MATCH(COLUMNS($AB$1006:AP1006),$AB$1006:$AQ$1006,0))&gt;=100000), " ",IF(INDEX($AB$2:$AQ$1001,MATCH(ROWS($U$2:U507),$U$2:$U$1001,0),MATCH(COLUMNS($AB$1006:AP1006),$AB$1006:$AQ$1006,0)), HYPERLINK("#",""), HYPERLINK(CONCATENATE("#metadata!", ADDRESS(INDEX($W$2:$W$1001,MATCH(ROWS($U$2:U507),$U$2:$U$1001,0),0), INDEX($AB$1004:$AQ$1004,1,MATCH(COLUMNS($AB$1006:AP1006),$AB$1006:$AQ$1006,0)))),"Fix")))</f>
        <v>0</v>
      </c>
      <c r="Q507" s="4">
        <f>IF(OR(INDEX($V$2:$V$1001,MATCH(ROWS($U$2:U507),$U$2:$U$1001,0),1)&gt;=100000,INDEX($AB$1005:$AQ$1005,1,MATCH(COLUMNS($AB$1006:AQ1006),$AB$1006:$AQ$1006,0))&gt;=100000), " ",IF(INDEX($AB$2:$AQ$1001,MATCH(ROWS($U$2:U507),$U$2:$U$1001,0),MATCH(COLUMNS($AB$1006:AQ1006),$AB$1006:$AQ$1006,0)), HYPERLINK("#",""), HYPERLINK(CONCATENATE("#metadata!", ADDRESS(INDEX($W$2:$W$1001,MATCH(ROWS($U$2:U507),$U$2:$U$1001,0),0), INDEX($AB$1004:$AQ$1004,1,MATCH(COLUMNS($AB$1006:AQ1006),$AB$1006:$AQ$1006,0)))),"Fix")))</f>
        <v>0</v>
      </c>
      <c r="U507">
        <v>0</v>
      </c>
      <c r="V507">
        <v>0</v>
      </c>
      <c r="W507">
        <v>0</v>
      </c>
      <c r="X507">
        <f>IF(Y507,TRUE,AND(AB507:AQ507))</f>
        <v>0</v>
      </c>
      <c r="Y507">
        <f>COUNTBLANK(metadata!B507:Q507)=COLUMNS(metadata!B507:Q507)</f>
        <v>0</v>
      </c>
      <c r="Z507">
        <v>0</v>
      </c>
      <c r="AB507">
        <f>AND(IF(metadata!B507="",FALSE,TRUE),COUNTIF(metadata!B:B, metadata!B507) = 1,NOT(ISERROR(SUMPRODUCT(SEARCH(MID(metadata!B507,ROW(INDIRECT("1:"&amp;LEN(metadata!B507))), 1),"0123456789abcdefghijklmnopqrstuvwxyzABCDEFGHIJKLMNOPQRSTUVWXYZ.")))))</f>
        <v>0</v>
      </c>
      <c r="AC507">
        <f>OR(AND(IF(metadata!C507="",FALSE,TRUE),OR(exact(metadata!C507,"missing: not collected"),exact(metadata!C507,"missing: not provided"),exact(metadata!C507,"missing: restricted access"))),AND(IF(metadata!C507="",FALSE,TRUE),AND(AND(IFERROR(INT(LEFT(metadata!C507,4))&gt;1900,FALSE),IFERROR(INT(LEFT(metadata!C507,4))&lt;=YEAR(NOW()),FALSE)), OR(MID(metadata!C507,5,1)="", AND(AND(MID(metadata!C507,5,1)="-",IFERROR(INT(MID(metadata!C507,6,1))&gt;=0,FALSE),IFERROR(INT(MID(metadata!C507,6,1))&lt;=1,FALSE),NOT(MID(metadata!C507,7,1)=""),IFERROR(INT(MID(metadata!C507,6,2))&gt;=1,FALSE),IFERROR(INT(MID(metadata!C507,6,2))&lt;=12,FALSE)), OR(MID(metadata!C507,8,1)="", AND(AND(MID(metadata!C507,8,1)="-",IFERROR(INT(MID(metadata!C507,9,1))&gt;=0,FALSE),IFERROR(INT(MID(metadata!C507,9,1))&lt;=3,FALSE),NOT(MID(metadata!C507,10,1)=""),IFERROR(INT(MID(metadata!C507,9,2))&gt;=1,FALSE),IFERROR(INT(MID(metadata!C507,9,2))&lt;=31,FALSE)), OR(MID(metadata!C507,11,1)="", AND(AND(MID(metadata!C507,11,1)=" ",IFERROR(INT(MID(metadata!C507,12,1))&gt;=0,FALSE),IFERROR(INT(MID(metadata!C507,12,1))&lt;=2,FALSE),NOT(MID(metadata!C507,13,1)=""),IFERROR(INT(MID(metadata!C507,12,2))&gt;=0,FALSE),IFERROR(INT(MID(metadata!C507,12,2))&lt;=23,FALSE)), OR(MID(metadata!C507,14,1)="", AND(AND(MID(metadata!C507,14,1)=":",IFERROR(INT(MID(metadata!C507,15,1))&gt;=0,FALSE),IFERROR(INT(MID(metadata!C507,15,1))&lt;=5,FALSE),NOT(MID(metadata!C507,16,1)=""),IFERROR(INT(MID(metadata!C507,15,2))&gt;=0,FALSE),IFERROR(INT(MID(metadata!C507,15,2))&lt;=59,FALSE)), OR(MID(metadata!C507,17,1)="", AND(AND(MID(metadata!C507,17,1)=":",IFERROR(INT(MID(metadata!C507,18,1))&gt;=0,FALSE),IFERROR(INT(MID(metadata!C507,18,1))&lt;=5,FALSE),NOT(MID(metadata!C507,19,1)=""),IFERROR(INT(MID(metadata!C507,18,2))&gt;=0,FALSE),IFERROR(INT(MID(metadata!C507,18,2))&lt;=59,FALSE)), LEN(metadata!C507)&lt;=19)))))))))))))</f>
        <v>0</v>
      </c>
      <c r="AD507">
        <f>IF(metadata!D507="",FALSE,TRUE)</f>
        <v>0</v>
      </c>
      <c r="AE507">
        <f>OR(AND(IF(metadata!E507="",FALSE,TRUE),OR(exact(metadata!E507,"missing: not collected"),exact(metadata!E507,"missing: not provided"))),AND(IF(metadata!E507="",FALSE,TRUE),OR(exact(metadata!E507,"TRUE"),exact(metadata!E507,"FALSE"))))</f>
        <v>0</v>
      </c>
      <c r="AF507">
        <f>IF(metadata!F507="",FALSE,TRUE)</f>
        <v>0</v>
      </c>
      <c r="AG507">
        <f>IF(metadata!G507="",FALSE,TRUE)</f>
        <v>0</v>
      </c>
      <c r="AH507">
        <f>IF(metadata!H507="",FALSE,TRUE)</f>
        <v>0</v>
      </c>
      <c r="AI507">
        <f>OR(AND(IF(metadata!I507="",FALSE,TRUE),OR(exact(metadata!I507,"missing: not collected"),exact(metadata!I507,"missing: not provided"),exact(metadata!I507,"missing: restricted access"))),AND(IF(metadata!I507="",FALSE,TRUE),OR(exact(metadata!I507,"air"),exact(metadata!I507,"built environment"),exact(metadata!I507,"host-associated"),exact(metadata!I507,"human-associated"),exact(metadata!I507,"human-skin"),exact(metadata!I507,"human-oral"),exact(metadata!I507,"human-gut"),exact(metadata!I507,"human-vaginal"),exact(metadata!I507,"microbial mat/biofilm"),exact(metadata!I507,"misc environment"),exact(metadata!I507,"plant-associated"),exact(metadata!I507,"sediment"),exact(metadata!I507,"soil"),exact(metadata!I507,"wastewater/sludge"),exact(metadata!I507,"water"))))</f>
        <v>0</v>
      </c>
      <c r="AJ507">
        <f>IF(metadata!J507="",FALSE,TRUE)</f>
        <v>0</v>
      </c>
      <c r="AK507">
        <f>OR(AND(IF(metadata!K507="",FALSE,TRUE),OR(exact(metadata!K507,"missing: not collected"),exact(metadata!K507,"missing: not provided"),exact(metadata!K507,"missing: restricted access"))),AND(IF(metadata!K507="",FALSE,ISNUMBER(VALUE(metadata!K507))),metadata!K507&gt;=-90.00,metadata!K507&lt;=90.00))</f>
        <v>0</v>
      </c>
      <c r="AL507">
        <f>OR(AND(IF(metadata!L507="",FALSE,TRUE),OR(exact(metadata!L507,"missing: not collected"),exact(metadata!L507,"missing: not provided"),exact(metadata!L507,"missing: restricted access"))),AND(IF(metadata!L507="",FALSE,ISNUMBER(VALUE(metadata!L507))),metadata!L507&gt;=-180.00,metadata!L507&lt;=180.00))</f>
        <v>0</v>
      </c>
      <c r="AM507">
        <f>IF(metadata!M507="",FALSE,TRUE)</f>
        <v>0</v>
      </c>
      <c r="AN507">
        <f>OR(AND(IF(metadata!N507="",FALSE,TRUE),OR(exact(metadata!N507,"missing: not collected"),exact(metadata!N507,"missing: not provided"),exact(metadata!N507,"missing: restricted access"))),AND(IF(metadata!N507="",FALSE,TRUE),OR(exact(metadata!N507,"TRUE"),exact(metadata!N507,"FALSE"))))</f>
        <v>0</v>
      </c>
      <c r="AO507">
        <f>IF(metadata!O507="",FALSE,TRUE)</f>
        <v>0</v>
      </c>
      <c r="AP507">
        <f>OR(AND(IF(metadata!P507="",FALSE,TRUE),OR(exact(metadata!P507,"missing: not collected"),exact(metadata!P507,"missing: not provided"))),AND(IF(metadata!P507="",FALSE,IF(ISERROR(INT(metadata!P507)),FALSE,INT(metadata!P507)=metadata!P507)),metadata!P507&gt;0))</f>
        <v>0</v>
      </c>
      <c r="AQ507">
        <f>IF(metadata!Q507="",FALSE,TRUE)</f>
        <v>0</v>
      </c>
    </row>
    <row r="508" spans="1:43">
      <c r="A508" s="5">
        <f>IF(B508=" "," ",HYPERLINK(CONCATENATE("#metadata!",ADDRESS(INDEX($W$2:$W$1001,MATCH(ROWS($U$2:U508),$U$2:$U$1001,0),0),1)),INDEX($Z$2:$Z$1001,MATCH(ROWS($U$2:U508),$U$2:$U$1001,0),0)))</f>
        <v>0</v>
      </c>
      <c r="B508" s="4">
        <f>IF(OR(INDEX($V$2:$V$1001,MATCH(ROWS($U$2:U508),$U$2:$U$1001,0),1)&gt;=100000,INDEX($AB$1005:$AQ$1005,1,MATCH(COLUMNS($AB$1006:AB1006),$AB$1006:$AQ$1006,0))&gt;=100000), " ",IF(INDEX($AB$2:$AQ$1001,MATCH(ROWS($U$2:U508),$U$2:$U$1001,0),MATCH(COLUMNS($AB$1006:AB1006),$AB$1006:$AQ$1006,0)), HYPERLINK("#",""), HYPERLINK(CONCATENATE("#metadata!", ADDRESS(INDEX($W$2:$W$1001,MATCH(ROWS($U$2:U508),$U$2:$U$1001,0),0), INDEX($AB$1004:$AQ$1004,1,MATCH(COLUMNS($AB$1006:AB1006),$AB$1006:$AQ$1006,0)))),"Fix")))</f>
        <v>0</v>
      </c>
      <c r="C508" s="4">
        <f>IF(OR(INDEX($V$2:$V$1001,MATCH(ROWS($U$2:U508),$U$2:$U$1001,0),1)&gt;=100000,INDEX($AB$1005:$AQ$1005,1,MATCH(COLUMNS($AB$1006:AC1006),$AB$1006:$AQ$1006,0))&gt;=100000), " ",IF(INDEX($AB$2:$AQ$1001,MATCH(ROWS($U$2:U508),$U$2:$U$1001,0),MATCH(COLUMNS($AB$1006:AC1006),$AB$1006:$AQ$1006,0)), HYPERLINK("#",""), HYPERLINK(CONCATENATE("#metadata!", ADDRESS(INDEX($W$2:$W$1001,MATCH(ROWS($U$2:U508),$U$2:$U$1001,0),0), INDEX($AB$1004:$AQ$1004,1,MATCH(COLUMNS($AB$1006:AC1006),$AB$1006:$AQ$1006,0)))),"Fix")))</f>
        <v>0</v>
      </c>
      <c r="D508" s="4">
        <f>IF(OR(INDEX($V$2:$V$1001,MATCH(ROWS($U$2:U508),$U$2:$U$1001,0),1)&gt;=100000,INDEX($AB$1005:$AQ$1005,1,MATCH(COLUMNS($AB$1006:AD1006),$AB$1006:$AQ$1006,0))&gt;=100000), " ",IF(INDEX($AB$2:$AQ$1001,MATCH(ROWS($U$2:U508),$U$2:$U$1001,0),MATCH(COLUMNS($AB$1006:AD1006),$AB$1006:$AQ$1006,0)), HYPERLINK("#",""), HYPERLINK(CONCATENATE("#metadata!", ADDRESS(INDEX($W$2:$W$1001,MATCH(ROWS($U$2:U508),$U$2:$U$1001,0),0), INDEX($AB$1004:$AQ$1004,1,MATCH(COLUMNS($AB$1006:AD1006),$AB$1006:$AQ$1006,0)))),"Fix")))</f>
        <v>0</v>
      </c>
      <c r="E508" s="4">
        <f>IF(OR(INDEX($V$2:$V$1001,MATCH(ROWS($U$2:U508),$U$2:$U$1001,0),1)&gt;=100000,INDEX($AB$1005:$AQ$1005,1,MATCH(COLUMNS($AB$1006:AE1006),$AB$1006:$AQ$1006,0))&gt;=100000), " ",IF(INDEX($AB$2:$AQ$1001,MATCH(ROWS($U$2:U508),$U$2:$U$1001,0),MATCH(COLUMNS($AB$1006:AE1006),$AB$1006:$AQ$1006,0)), HYPERLINK("#",""), HYPERLINK(CONCATENATE("#metadata!", ADDRESS(INDEX($W$2:$W$1001,MATCH(ROWS($U$2:U508),$U$2:$U$1001,0),0), INDEX($AB$1004:$AQ$1004,1,MATCH(COLUMNS($AB$1006:AE1006),$AB$1006:$AQ$1006,0)))),"Fix")))</f>
        <v>0</v>
      </c>
      <c r="F508" s="4">
        <f>IF(OR(INDEX($V$2:$V$1001,MATCH(ROWS($U$2:U508),$U$2:$U$1001,0),1)&gt;=100000,INDEX($AB$1005:$AQ$1005,1,MATCH(COLUMNS($AB$1006:AF1006),$AB$1006:$AQ$1006,0))&gt;=100000), " ",IF(INDEX($AB$2:$AQ$1001,MATCH(ROWS($U$2:U508),$U$2:$U$1001,0),MATCH(COLUMNS($AB$1006:AF1006),$AB$1006:$AQ$1006,0)), HYPERLINK("#",""), HYPERLINK(CONCATENATE("#metadata!", ADDRESS(INDEX($W$2:$W$1001,MATCH(ROWS($U$2:U508),$U$2:$U$1001,0),0), INDEX($AB$1004:$AQ$1004,1,MATCH(COLUMNS($AB$1006:AF1006),$AB$1006:$AQ$1006,0)))),"Fix")))</f>
        <v>0</v>
      </c>
      <c r="G508" s="4">
        <f>IF(OR(INDEX($V$2:$V$1001,MATCH(ROWS($U$2:U508),$U$2:$U$1001,0),1)&gt;=100000,INDEX($AB$1005:$AQ$1005,1,MATCH(COLUMNS($AB$1006:AG1006),$AB$1006:$AQ$1006,0))&gt;=100000), " ",IF(INDEX($AB$2:$AQ$1001,MATCH(ROWS($U$2:U508),$U$2:$U$1001,0),MATCH(COLUMNS($AB$1006:AG1006),$AB$1006:$AQ$1006,0)), HYPERLINK("#",""), HYPERLINK(CONCATENATE("#metadata!", ADDRESS(INDEX($W$2:$W$1001,MATCH(ROWS($U$2:U508),$U$2:$U$1001,0),0), INDEX($AB$1004:$AQ$1004,1,MATCH(COLUMNS($AB$1006:AG1006),$AB$1006:$AQ$1006,0)))),"Fix")))</f>
        <v>0</v>
      </c>
      <c r="H508" s="4">
        <f>IF(OR(INDEX($V$2:$V$1001,MATCH(ROWS($U$2:U508),$U$2:$U$1001,0),1)&gt;=100000,INDEX($AB$1005:$AQ$1005,1,MATCH(COLUMNS($AB$1006:AH1006),$AB$1006:$AQ$1006,0))&gt;=100000), " ",IF(INDEX($AB$2:$AQ$1001,MATCH(ROWS($U$2:U508),$U$2:$U$1001,0),MATCH(COLUMNS($AB$1006:AH1006),$AB$1006:$AQ$1006,0)), HYPERLINK("#",""), HYPERLINK(CONCATENATE("#metadata!", ADDRESS(INDEX($W$2:$W$1001,MATCH(ROWS($U$2:U508),$U$2:$U$1001,0),0), INDEX($AB$1004:$AQ$1004,1,MATCH(COLUMNS($AB$1006:AH1006),$AB$1006:$AQ$1006,0)))),"Fix")))</f>
        <v>0</v>
      </c>
      <c r="I508" s="4">
        <f>IF(OR(INDEX($V$2:$V$1001,MATCH(ROWS($U$2:U508),$U$2:$U$1001,0),1)&gt;=100000,INDEX($AB$1005:$AQ$1005,1,MATCH(COLUMNS($AB$1006:AI1006),$AB$1006:$AQ$1006,0))&gt;=100000), " ",IF(INDEX($AB$2:$AQ$1001,MATCH(ROWS($U$2:U508),$U$2:$U$1001,0),MATCH(COLUMNS($AB$1006:AI1006),$AB$1006:$AQ$1006,0)), HYPERLINK("#",""), HYPERLINK(CONCATENATE("#metadata!", ADDRESS(INDEX($W$2:$W$1001,MATCH(ROWS($U$2:U508),$U$2:$U$1001,0),0), INDEX($AB$1004:$AQ$1004,1,MATCH(COLUMNS($AB$1006:AI1006),$AB$1006:$AQ$1006,0)))),"Fix")))</f>
        <v>0</v>
      </c>
      <c r="J508" s="4">
        <f>IF(OR(INDEX($V$2:$V$1001,MATCH(ROWS($U$2:U508),$U$2:$U$1001,0),1)&gt;=100000,INDEX($AB$1005:$AQ$1005,1,MATCH(COLUMNS($AB$1006:AJ1006),$AB$1006:$AQ$1006,0))&gt;=100000), " ",IF(INDEX($AB$2:$AQ$1001,MATCH(ROWS($U$2:U508),$U$2:$U$1001,0),MATCH(COLUMNS($AB$1006:AJ1006),$AB$1006:$AQ$1006,0)), HYPERLINK("#",""), HYPERLINK(CONCATENATE("#metadata!", ADDRESS(INDEX($W$2:$W$1001,MATCH(ROWS($U$2:U508),$U$2:$U$1001,0),0), INDEX($AB$1004:$AQ$1004,1,MATCH(COLUMNS($AB$1006:AJ1006),$AB$1006:$AQ$1006,0)))),"Fix")))</f>
        <v>0</v>
      </c>
      <c r="K508" s="4">
        <f>IF(OR(INDEX($V$2:$V$1001,MATCH(ROWS($U$2:U508),$U$2:$U$1001,0),1)&gt;=100000,INDEX($AB$1005:$AQ$1005,1,MATCH(COLUMNS($AB$1006:AK1006),$AB$1006:$AQ$1006,0))&gt;=100000), " ",IF(INDEX($AB$2:$AQ$1001,MATCH(ROWS($U$2:U508),$U$2:$U$1001,0),MATCH(COLUMNS($AB$1006:AK1006),$AB$1006:$AQ$1006,0)), HYPERLINK("#",""), HYPERLINK(CONCATENATE("#metadata!", ADDRESS(INDEX($W$2:$W$1001,MATCH(ROWS($U$2:U508),$U$2:$U$1001,0),0), INDEX($AB$1004:$AQ$1004,1,MATCH(COLUMNS($AB$1006:AK1006),$AB$1006:$AQ$1006,0)))),"Fix")))</f>
        <v>0</v>
      </c>
      <c r="L508" s="4">
        <f>IF(OR(INDEX($V$2:$V$1001,MATCH(ROWS($U$2:U508),$U$2:$U$1001,0),1)&gt;=100000,INDEX($AB$1005:$AQ$1005,1,MATCH(COLUMNS($AB$1006:AL1006),$AB$1006:$AQ$1006,0))&gt;=100000), " ",IF(INDEX($AB$2:$AQ$1001,MATCH(ROWS($U$2:U508),$U$2:$U$1001,0),MATCH(COLUMNS($AB$1006:AL1006),$AB$1006:$AQ$1006,0)), HYPERLINK("#",""), HYPERLINK(CONCATENATE("#metadata!", ADDRESS(INDEX($W$2:$W$1001,MATCH(ROWS($U$2:U508),$U$2:$U$1001,0),0), INDEX($AB$1004:$AQ$1004,1,MATCH(COLUMNS($AB$1006:AL1006),$AB$1006:$AQ$1006,0)))),"Fix")))</f>
        <v>0</v>
      </c>
      <c r="M508" s="4">
        <f>IF(OR(INDEX($V$2:$V$1001,MATCH(ROWS($U$2:U508),$U$2:$U$1001,0),1)&gt;=100000,INDEX($AB$1005:$AQ$1005,1,MATCH(COLUMNS($AB$1006:AM1006),$AB$1006:$AQ$1006,0))&gt;=100000), " ",IF(INDEX($AB$2:$AQ$1001,MATCH(ROWS($U$2:U508),$U$2:$U$1001,0),MATCH(COLUMNS($AB$1006:AM1006),$AB$1006:$AQ$1006,0)), HYPERLINK("#",""), HYPERLINK(CONCATENATE("#metadata!", ADDRESS(INDEX($W$2:$W$1001,MATCH(ROWS($U$2:U508),$U$2:$U$1001,0),0), INDEX($AB$1004:$AQ$1004,1,MATCH(COLUMNS($AB$1006:AM1006),$AB$1006:$AQ$1006,0)))),"Fix")))</f>
        <v>0</v>
      </c>
      <c r="N508" s="4">
        <f>IF(OR(INDEX($V$2:$V$1001,MATCH(ROWS($U$2:U508),$U$2:$U$1001,0),1)&gt;=100000,INDEX($AB$1005:$AQ$1005,1,MATCH(COLUMNS($AB$1006:AN1006),$AB$1006:$AQ$1006,0))&gt;=100000), " ",IF(INDEX($AB$2:$AQ$1001,MATCH(ROWS($U$2:U508),$U$2:$U$1001,0),MATCH(COLUMNS($AB$1006:AN1006),$AB$1006:$AQ$1006,0)), HYPERLINK("#",""), HYPERLINK(CONCATENATE("#metadata!", ADDRESS(INDEX($W$2:$W$1001,MATCH(ROWS($U$2:U508),$U$2:$U$1001,0),0), INDEX($AB$1004:$AQ$1004,1,MATCH(COLUMNS($AB$1006:AN1006),$AB$1006:$AQ$1006,0)))),"Fix")))</f>
        <v>0</v>
      </c>
      <c r="O508" s="4">
        <f>IF(OR(INDEX($V$2:$V$1001,MATCH(ROWS($U$2:U508),$U$2:$U$1001,0),1)&gt;=100000,INDEX($AB$1005:$AQ$1005,1,MATCH(COLUMNS($AB$1006:AO1006),$AB$1006:$AQ$1006,0))&gt;=100000), " ",IF(INDEX($AB$2:$AQ$1001,MATCH(ROWS($U$2:U508),$U$2:$U$1001,0),MATCH(COLUMNS($AB$1006:AO1006),$AB$1006:$AQ$1006,0)), HYPERLINK("#",""), HYPERLINK(CONCATENATE("#metadata!", ADDRESS(INDEX($W$2:$W$1001,MATCH(ROWS($U$2:U508),$U$2:$U$1001,0),0), INDEX($AB$1004:$AQ$1004,1,MATCH(COLUMNS($AB$1006:AO1006),$AB$1006:$AQ$1006,0)))),"Fix")))</f>
        <v>0</v>
      </c>
      <c r="P508" s="4">
        <f>IF(OR(INDEX($V$2:$V$1001,MATCH(ROWS($U$2:U508),$U$2:$U$1001,0),1)&gt;=100000,INDEX($AB$1005:$AQ$1005,1,MATCH(COLUMNS($AB$1006:AP1006),$AB$1006:$AQ$1006,0))&gt;=100000), " ",IF(INDEX($AB$2:$AQ$1001,MATCH(ROWS($U$2:U508),$U$2:$U$1001,0),MATCH(COLUMNS($AB$1006:AP1006),$AB$1006:$AQ$1006,0)), HYPERLINK("#",""), HYPERLINK(CONCATENATE("#metadata!", ADDRESS(INDEX($W$2:$W$1001,MATCH(ROWS($U$2:U508),$U$2:$U$1001,0),0), INDEX($AB$1004:$AQ$1004,1,MATCH(COLUMNS($AB$1006:AP1006),$AB$1006:$AQ$1006,0)))),"Fix")))</f>
        <v>0</v>
      </c>
      <c r="Q508" s="4">
        <f>IF(OR(INDEX($V$2:$V$1001,MATCH(ROWS($U$2:U508),$U$2:$U$1001,0),1)&gt;=100000,INDEX($AB$1005:$AQ$1005,1,MATCH(COLUMNS($AB$1006:AQ1006),$AB$1006:$AQ$1006,0))&gt;=100000), " ",IF(INDEX($AB$2:$AQ$1001,MATCH(ROWS($U$2:U508),$U$2:$U$1001,0),MATCH(COLUMNS($AB$1006:AQ1006),$AB$1006:$AQ$1006,0)), HYPERLINK("#",""), HYPERLINK(CONCATENATE("#metadata!", ADDRESS(INDEX($W$2:$W$1001,MATCH(ROWS($U$2:U508),$U$2:$U$1001,0),0), INDEX($AB$1004:$AQ$1004,1,MATCH(COLUMNS($AB$1006:AQ1006),$AB$1006:$AQ$1006,0)))),"Fix")))</f>
        <v>0</v>
      </c>
      <c r="U508">
        <v>0</v>
      </c>
      <c r="V508">
        <v>0</v>
      </c>
      <c r="W508">
        <v>0</v>
      </c>
      <c r="X508">
        <f>IF(Y508,TRUE,AND(AB508:AQ508))</f>
        <v>0</v>
      </c>
      <c r="Y508">
        <f>COUNTBLANK(metadata!B508:Q508)=COLUMNS(metadata!B508:Q508)</f>
        <v>0</v>
      </c>
      <c r="Z508">
        <v>0</v>
      </c>
      <c r="AB508">
        <f>AND(IF(metadata!B508="",FALSE,TRUE),COUNTIF(metadata!B:B, metadata!B508) = 1,NOT(ISERROR(SUMPRODUCT(SEARCH(MID(metadata!B508,ROW(INDIRECT("1:"&amp;LEN(metadata!B508))), 1),"0123456789abcdefghijklmnopqrstuvwxyzABCDEFGHIJKLMNOPQRSTUVWXYZ.")))))</f>
        <v>0</v>
      </c>
      <c r="AC508">
        <f>OR(AND(IF(metadata!C508="",FALSE,TRUE),OR(exact(metadata!C508,"missing: not collected"),exact(metadata!C508,"missing: not provided"),exact(metadata!C508,"missing: restricted access"))),AND(IF(metadata!C508="",FALSE,TRUE),AND(AND(IFERROR(INT(LEFT(metadata!C508,4))&gt;1900,FALSE),IFERROR(INT(LEFT(metadata!C508,4))&lt;=YEAR(NOW()),FALSE)), OR(MID(metadata!C508,5,1)="", AND(AND(MID(metadata!C508,5,1)="-",IFERROR(INT(MID(metadata!C508,6,1))&gt;=0,FALSE),IFERROR(INT(MID(metadata!C508,6,1))&lt;=1,FALSE),NOT(MID(metadata!C508,7,1)=""),IFERROR(INT(MID(metadata!C508,6,2))&gt;=1,FALSE),IFERROR(INT(MID(metadata!C508,6,2))&lt;=12,FALSE)), OR(MID(metadata!C508,8,1)="", AND(AND(MID(metadata!C508,8,1)="-",IFERROR(INT(MID(metadata!C508,9,1))&gt;=0,FALSE),IFERROR(INT(MID(metadata!C508,9,1))&lt;=3,FALSE),NOT(MID(metadata!C508,10,1)=""),IFERROR(INT(MID(metadata!C508,9,2))&gt;=1,FALSE),IFERROR(INT(MID(metadata!C508,9,2))&lt;=31,FALSE)), OR(MID(metadata!C508,11,1)="", AND(AND(MID(metadata!C508,11,1)=" ",IFERROR(INT(MID(metadata!C508,12,1))&gt;=0,FALSE),IFERROR(INT(MID(metadata!C508,12,1))&lt;=2,FALSE),NOT(MID(metadata!C508,13,1)=""),IFERROR(INT(MID(metadata!C508,12,2))&gt;=0,FALSE),IFERROR(INT(MID(metadata!C508,12,2))&lt;=23,FALSE)), OR(MID(metadata!C508,14,1)="", AND(AND(MID(metadata!C508,14,1)=":",IFERROR(INT(MID(metadata!C508,15,1))&gt;=0,FALSE),IFERROR(INT(MID(metadata!C508,15,1))&lt;=5,FALSE),NOT(MID(metadata!C508,16,1)=""),IFERROR(INT(MID(metadata!C508,15,2))&gt;=0,FALSE),IFERROR(INT(MID(metadata!C508,15,2))&lt;=59,FALSE)), OR(MID(metadata!C508,17,1)="", AND(AND(MID(metadata!C508,17,1)=":",IFERROR(INT(MID(metadata!C508,18,1))&gt;=0,FALSE),IFERROR(INT(MID(metadata!C508,18,1))&lt;=5,FALSE),NOT(MID(metadata!C508,19,1)=""),IFERROR(INT(MID(metadata!C508,18,2))&gt;=0,FALSE),IFERROR(INT(MID(metadata!C508,18,2))&lt;=59,FALSE)), LEN(metadata!C508)&lt;=19)))))))))))))</f>
        <v>0</v>
      </c>
      <c r="AD508">
        <f>IF(metadata!D508="",FALSE,TRUE)</f>
        <v>0</v>
      </c>
      <c r="AE508">
        <f>OR(AND(IF(metadata!E508="",FALSE,TRUE),OR(exact(metadata!E508,"missing: not collected"),exact(metadata!E508,"missing: not provided"))),AND(IF(metadata!E508="",FALSE,TRUE),OR(exact(metadata!E508,"TRUE"),exact(metadata!E508,"FALSE"))))</f>
        <v>0</v>
      </c>
      <c r="AF508">
        <f>IF(metadata!F508="",FALSE,TRUE)</f>
        <v>0</v>
      </c>
      <c r="AG508">
        <f>IF(metadata!G508="",FALSE,TRUE)</f>
        <v>0</v>
      </c>
      <c r="AH508">
        <f>IF(metadata!H508="",FALSE,TRUE)</f>
        <v>0</v>
      </c>
      <c r="AI508">
        <f>OR(AND(IF(metadata!I508="",FALSE,TRUE),OR(exact(metadata!I508,"missing: not collected"),exact(metadata!I508,"missing: not provided"),exact(metadata!I508,"missing: restricted access"))),AND(IF(metadata!I508="",FALSE,TRUE),OR(exact(metadata!I508,"air"),exact(metadata!I508,"built environment"),exact(metadata!I508,"host-associated"),exact(metadata!I508,"human-associated"),exact(metadata!I508,"human-skin"),exact(metadata!I508,"human-oral"),exact(metadata!I508,"human-gut"),exact(metadata!I508,"human-vaginal"),exact(metadata!I508,"microbial mat/biofilm"),exact(metadata!I508,"misc environment"),exact(metadata!I508,"plant-associated"),exact(metadata!I508,"sediment"),exact(metadata!I508,"soil"),exact(metadata!I508,"wastewater/sludge"),exact(metadata!I508,"water"))))</f>
        <v>0</v>
      </c>
      <c r="AJ508">
        <f>IF(metadata!J508="",FALSE,TRUE)</f>
        <v>0</v>
      </c>
      <c r="AK508">
        <f>OR(AND(IF(metadata!K508="",FALSE,TRUE),OR(exact(metadata!K508,"missing: not collected"),exact(metadata!K508,"missing: not provided"),exact(metadata!K508,"missing: restricted access"))),AND(IF(metadata!K508="",FALSE,ISNUMBER(VALUE(metadata!K508))),metadata!K508&gt;=-90.00,metadata!K508&lt;=90.00))</f>
        <v>0</v>
      </c>
      <c r="AL508">
        <f>OR(AND(IF(metadata!L508="",FALSE,TRUE),OR(exact(metadata!L508,"missing: not collected"),exact(metadata!L508,"missing: not provided"),exact(metadata!L508,"missing: restricted access"))),AND(IF(metadata!L508="",FALSE,ISNUMBER(VALUE(metadata!L508))),metadata!L508&gt;=-180.00,metadata!L508&lt;=180.00))</f>
        <v>0</v>
      </c>
      <c r="AM508">
        <f>IF(metadata!M508="",FALSE,TRUE)</f>
        <v>0</v>
      </c>
      <c r="AN508">
        <f>OR(AND(IF(metadata!N508="",FALSE,TRUE),OR(exact(metadata!N508,"missing: not collected"),exact(metadata!N508,"missing: not provided"),exact(metadata!N508,"missing: restricted access"))),AND(IF(metadata!N508="",FALSE,TRUE),OR(exact(metadata!N508,"TRUE"),exact(metadata!N508,"FALSE"))))</f>
        <v>0</v>
      </c>
      <c r="AO508">
        <f>IF(metadata!O508="",FALSE,TRUE)</f>
        <v>0</v>
      </c>
      <c r="AP508">
        <f>OR(AND(IF(metadata!P508="",FALSE,TRUE),OR(exact(metadata!P508,"missing: not collected"),exact(metadata!P508,"missing: not provided"))),AND(IF(metadata!P508="",FALSE,IF(ISERROR(INT(metadata!P508)),FALSE,INT(metadata!P508)=metadata!P508)),metadata!P508&gt;0))</f>
        <v>0</v>
      </c>
      <c r="AQ508">
        <f>IF(metadata!Q508="",FALSE,TRUE)</f>
        <v>0</v>
      </c>
    </row>
    <row r="509" spans="1:43">
      <c r="A509" s="5">
        <f>IF(B509=" "," ",HYPERLINK(CONCATENATE("#metadata!",ADDRESS(INDEX($W$2:$W$1001,MATCH(ROWS($U$2:U509),$U$2:$U$1001,0),0),1)),INDEX($Z$2:$Z$1001,MATCH(ROWS($U$2:U509),$U$2:$U$1001,0),0)))</f>
        <v>0</v>
      </c>
      <c r="B509" s="4">
        <f>IF(OR(INDEX($V$2:$V$1001,MATCH(ROWS($U$2:U509),$U$2:$U$1001,0),1)&gt;=100000,INDEX($AB$1005:$AQ$1005,1,MATCH(COLUMNS($AB$1006:AB1006),$AB$1006:$AQ$1006,0))&gt;=100000), " ",IF(INDEX($AB$2:$AQ$1001,MATCH(ROWS($U$2:U509),$U$2:$U$1001,0),MATCH(COLUMNS($AB$1006:AB1006),$AB$1006:$AQ$1006,0)), HYPERLINK("#",""), HYPERLINK(CONCATENATE("#metadata!", ADDRESS(INDEX($W$2:$W$1001,MATCH(ROWS($U$2:U509),$U$2:$U$1001,0),0), INDEX($AB$1004:$AQ$1004,1,MATCH(COLUMNS($AB$1006:AB1006),$AB$1006:$AQ$1006,0)))),"Fix")))</f>
        <v>0</v>
      </c>
      <c r="C509" s="4">
        <f>IF(OR(INDEX($V$2:$V$1001,MATCH(ROWS($U$2:U509),$U$2:$U$1001,0),1)&gt;=100000,INDEX($AB$1005:$AQ$1005,1,MATCH(COLUMNS($AB$1006:AC1006),$AB$1006:$AQ$1006,0))&gt;=100000), " ",IF(INDEX($AB$2:$AQ$1001,MATCH(ROWS($U$2:U509),$U$2:$U$1001,0),MATCH(COLUMNS($AB$1006:AC1006),$AB$1006:$AQ$1006,0)), HYPERLINK("#",""), HYPERLINK(CONCATENATE("#metadata!", ADDRESS(INDEX($W$2:$W$1001,MATCH(ROWS($U$2:U509),$U$2:$U$1001,0),0), INDEX($AB$1004:$AQ$1004,1,MATCH(COLUMNS($AB$1006:AC1006),$AB$1006:$AQ$1006,0)))),"Fix")))</f>
        <v>0</v>
      </c>
      <c r="D509" s="4">
        <f>IF(OR(INDEX($V$2:$V$1001,MATCH(ROWS($U$2:U509),$U$2:$U$1001,0),1)&gt;=100000,INDEX($AB$1005:$AQ$1005,1,MATCH(COLUMNS($AB$1006:AD1006),$AB$1006:$AQ$1006,0))&gt;=100000), " ",IF(INDEX($AB$2:$AQ$1001,MATCH(ROWS($U$2:U509),$U$2:$U$1001,0),MATCH(COLUMNS($AB$1006:AD1006),$AB$1006:$AQ$1006,0)), HYPERLINK("#",""), HYPERLINK(CONCATENATE("#metadata!", ADDRESS(INDEX($W$2:$W$1001,MATCH(ROWS($U$2:U509),$U$2:$U$1001,0),0), INDEX($AB$1004:$AQ$1004,1,MATCH(COLUMNS($AB$1006:AD1006),$AB$1006:$AQ$1006,0)))),"Fix")))</f>
        <v>0</v>
      </c>
      <c r="E509" s="4">
        <f>IF(OR(INDEX($V$2:$V$1001,MATCH(ROWS($U$2:U509),$U$2:$U$1001,0),1)&gt;=100000,INDEX($AB$1005:$AQ$1005,1,MATCH(COLUMNS($AB$1006:AE1006),$AB$1006:$AQ$1006,0))&gt;=100000), " ",IF(INDEX($AB$2:$AQ$1001,MATCH(ROWS($U$2:U509),$U$2:$U$1001,0),MATCH(COLUMNS($AB$1006:AE1006),$AB$1006:$AQ$1006,0)), HYPERLINK("#",""), HYPERLINK(CONCATENATE("#metadata!", ADDRESS(INDEX($W$2:$W$1001,MATCH(ROWS($U$2:U509),$U$2:$U$1001,0),0), INDEX($AB$1004:$AQ$1004,1,MATCH(COLUMNS($AB$1006:AE1006),$AB$1006:$AQ$1006,0)))),"Fix")))</f>
        <v>0</v>
      </c>
      <c r="F509" s="4">
        <f>IF(OR(INDEX($V$2:$V$1001,MATCH(ROWS($U$2:U509),$U$2:$U$1001,0),1)&gt;=100000,INDEX($AB$1005:$AQ$1005,1,MATCH(COLUMNS($AB$1006:AF1006),$AB$1006:$AQ$1006,0))&gt;=100000), " ",IF(INDEX($AB$2:$AQ$1001,MATCH(ROWS($U$2:U509),$U$2:$U$1001,0),MATCH(COLUMNS($AB$1006:AF1006),$AB$1006:$AQ$1006,0)), HYPERLINK("#",""), HYPERLINK(CONCATENATE("#metadata!", ADDRESS(INDEX($W$2:$W$1001,MATCH(ROWS($U$2:U509),$U$2:$U$1001,0),0), INDEX($AB$1004:$AQ$1004,1,MATCH(COLUMNS($AB$1006:AF1006),$AB$1006:$AQ$1006,0)))),"Fix")))</f>
        <v>0</v>
      </c>
      <c r="G509" s="4">
        <f>IF(OR(INDEX($V$2:$V$1001,MATCH(ROWS($U$2:U509),$U$2:$U$1001,0),1)&gt;=100000,INDEX($AB$1005:$AQ$1005,1,MATCH(COLUMNS($AB$1006:AG1006),$AB$1006:$AQ$1006,0))&gt;=100000), " ",IF(INDEX($AB$2:$AQ$1001,MATCH(ROWS($U$2:U509),$U$2:$U$1001,0),MATCH(COLUMNS($AB$1006:AG1006),$AB$1006:$AQ$1006,0)), HYPERLINK("#",""), HYPERLINK(CONCATENATE("#metadata!", ADDRESS(INDEX($W$2:$W$1001,MATCH(ROWS($U$2:U509),$U$2:$U$1001,0),0), INDEX($AB$1004:$AQ$1004,1,MATCH(COLUMNS($AB$1006:AG1006),$AB$1006:$AQ$1006,0)))),"Fix")))</f>
        <v>0</v>
      </c>
      <c r="H509" s="4">
        <f>IF(OR(INDEX($V$2:$V$1001,MATCH(ROWS($U$2:U509),$U$2:$U$1001,0),1)&gt;=100000,INDEX($AB$1005:$AQ$1005,1,MATCH(COLUMNS($AB$1006:AH1006),$AB$1006:$AQ$1006,0))&gt;=100000), " ",IF(INDEX($AB$2:$AQ$1001,MATCH(ROWS($U$2:U509),$U$2:$U$1001,0),MATCH(COLUMNS($AB$1006:AH1006),$AB$1006:$AQ$1006,0)), HYPERLINK("#",""), HYPERLINK(CONCATENATE("#metadata!", ADDRESS(INDEX($W$2:$W$1001,MATCH(ROWS($U$2:U509),$U$2:$U$1001,0),0), INDEX($AB$1004:$AQ$1004,1,MATCH(COLUMNS($AB$1006:AH1006),$AB$1006:$AQ$1006,0)))),"Fix")))</f>
        <v>0</v>
      </c>
      <c r="I509" s="4">
        <f>IF(OR(INDEX($V$2:$V$1001,MATCH(ROWS($U$2:U509),$U$2:$U$1001,0),1)&gt;=100000,INDEX($AB$1005:$AQ$1005,1,MATCH(COLUMNS($AB$1006:AI1006),$AB$1006:$AQ$1006,0))&gt;=100000), " ",IF(INDEX($AB$2:$AQ$1001,MATCH(ROWS($U$2:U509),$U$2:$U$1001,0),MATCH(COLUMNS($AB$1006:AI1006),$AB$1006:$AQ$1006,0)), HYPERLINK("#",""), HYPERLINK(CONCATENATE("#metadata!", ADDRESS(INDEX($W$2:$W$1001,MATCH(ROWS($U$2:U509),$U$2:$U$1001,0),0), INDEX($AB$1004:$AQ$1004,1,MATCH(COLUMNS($AB$1006:AI1006),$AB$1006:$AQ$1006,0)))),"Fix")))</f>
        <v>0</v>
      </c>
      <c r="J509" s="4">
        <f>IF(OR(INDEX($V$2:$V$1001,MATCH(ROWS($U$2:U509),$U$2:$U$1001,0),1)&gt;=100000,INDEX($AB$1005:$AQ$1005,1,MATCH(COLUMNS($AB$1006:AJ1006),$AB$1006:$AQ$1006,0))&gt;=100000), " ",IF(INDEX($AB$2:$AQ$1001,MATCH(ROWS($U$2:U509),$U$2:$U$1001,0),MATCH(COLUMNS($AB$1006:AJ1006),$AB$1006:$AQ$1006,0)), HYPERLINK("#",""), HYPERLINK(CONCATENATE("#metadata!", ADDRESS(INDEX($W$2:$W$1001,MATCH(ROWS($U$2:U509),$U$2:$U$1001,0),0), INDEX($AB$1004:$AQ$1004,1,MATCH(COLUMNS($AB$1006:AJ1006),$AB$1006:$AQ$1006,0)))),"Fix")))</f>
        <v>0</v>
      </c>
      <c r="K509" s="4">
        <f>IF(OR(INDEX($V$2:$V$1001,MATCH(ROWS($U$2:U509),$U$2:$U$1001,0),1)&gt;=100000,INDEX($AB$1005:$AQ$1005,1,MATCH(COLUMNS($AB$1006:AK1006),$AB$1006:$AQ$1006,0))&gt;=100000), " ",IF(INDEX($AB$2:$AQ$1001,MATCH(ROWS($U$2:U509),$U$2:$U$1001,0),MATCH(COLUMNS($AB$1006:AK1006),$AB$1006:$AQ$1006,0)), HYPERLINK("#",""), HYPERLINK(CONCATENATE("#metadata!", ADDRESS(INDEX($W$2:$W$1001,MATCH(ROWS($U$2:U509),$U$2:$U$1001,0),0), INDEX($AB$1004:$AQ$1004,1,MATCH(COLUMNS($AB$1006:AK1006),$AB$1006:$AQ$1006,0)))),"Fix")))</f>
        <v>0</v>
      </c>
      <c r="L509" s="4">
        <f>IF(OR(INDEX($V$2:$V$1001,MATCH(ROWS($U$2:U509),$U$2:$U$1001,0),1)&gt;=100000,INDEX($AB$1005:$AQ$1005,1,MATCH(COLUMNS($AB$1006:AL1006),$AB$1006:$AQ$1006,0))&gt;=100000), " ",IF(INDEX($AB$2:$AQ$1001,MATCH(ROWS($U$2:U509),$U$2:$U$1001,0),MATCH(COLUMNS($AB$1006:AL1006),$AB$1006:$AQ$1006,0)), HYPERLINK("#",""), HYPERLINK(CONCATENATE("#metadata!", ADDRESS(INDEX($W$2:$W$1001,MATCH(ROWS($U$2:U509),$U$2:$U$1001,0),0), INDEX($AB$1004:$AQ$1004,1,MATCH(COLUMNS($AB$1006:AL1006),$AB$1006:$AQ$1006,0)))),"Fix")))</f>
        <v>0</v>
      </c>
      <c r="M509" s="4">
        <f>IF(OR(INDEX($V$2:$V$1001,MATCH(ROWS($U$2:U509),$U$2:$U$1001,0),1)&gt;=100000,INDEX($AB$1005:$AQ$1005,1,MATCH(COLUMNS($AB$1006:AM1006),$AB$1006:$AQ$1006,0))&gt;=100000), " ",IF(INDEX($AB$2:$AQ$1001,MATCH(ROWS($U$2:U509),$U$2:$U$1001,0),MATCH(COLUMNS($AB$1006:AM1006),$AB$1006:$AQ$1006,0)), HYPERLINK("#",""), HYPERLINK(CONCATENATE("#metadata!", ADDRESS(INDEX($W$2:$W$1001,MATCH(ROWS($U$2:U509),$U$2:$U$1001,0),0), INDEX($AB$1004:$AQ$1004,1,MATCH(COLUMNS($AB$1006:AM1006),$AB$1006:$AQ$1006,0)))),"Fix")))</f>
        <v>0</v>
      </c>
      <c r="N509" s="4">
        <f>IF(OR(INDEX($V$2:$V$1001,MATCH(ROWS($U$2:U509),$U$2:$U$1001,0),1)&gt;=100000,INDEX($AB$1005:$AQ$1005,1,MATCH(COLUMNS($AB$1006:AN1006),$AB$1006:$AQ$1006,0))&gt;=100000), " ",IF(INDEX($AB$2:$AQ$1001,MATCH(ROWS($U$2:U509),$U$2:$U$1001,0),MATCH(COLUMNS($AB$1006:AN1006),$AB$1006:$AQ$1006,0)), HYPERLINK("#",""), HYPERLINK(CONCATENATE("#metadata!", ADDRESS(INDEX($W$2:$W$1001,MATCH(ROWS($U$2:U509),$U$2:$U$1001,0),0), INDEX($AB$1004:$AQ$1004,1,MATCH(COLUMNS($AB$1006:AN1006),$AB$1006:$AQ$1006,0)))),"Fix")))</f>
        <v>0</v>
      </c>
      <c r="O509" s="4">
        <f>IF(OR(INDEX($V$2:$V$1001,MATCH(ROWS($U$2:U509),$U$2:$U$1001,0),1)&gt;=100000,INDEX($AB$1005:$AQ$1005,1,MATCH(COLUMNS($AB$1006:AO1006),$AB$1006:$AQ$1006,0))&gt;=100000), " ",IF(INDEX($AB$2:$AQ$1001,MATCH(ROWS($U$2:U509),$U$2:$U$1001,0),MATCH(COLUMNS($AB$1006:AO1006),$AB$1006:$AQ$1006,0)), HYPERLINK("#",""), HYPERLINK(CONCATENATE("#metadata!", ADDRESS(INDEX($W$2:$W$1001,MATCH(ROWS($U$2:U509),$U$2:$U$1001,0),0), INDEX($AB$1004:$AQ$1004,1,MATCH(COLUMNS($AB$1006:AO1006),$AB$1006:$AQ$1006,0)))),"Fix")))</f>
        <v>0</v>
      </c>
      <c r="P509" s="4">
        <f>IF(OR(INDEX($V$2:$V$1001,MATCH(ROWS($U$2:U509),$U$2:$U$1001,0),1)&gt;=100000,INDEX($AB$1005:$AQ$1005,1,MATCH(COLUMNS($AB$1006:AP1006),$AB$1006:$AQ$1006,0))&gt;=100000), " ",IF(INDEX($AB$2:$AQ$1001,MATCH(ROWS($U$2:U509),$U$2:$U$1001,0),MATCH(COLUMNS($AB$1006:AP1006),$AB$1006:$AQ$1006,0)), HYPERLINK("#",""), HYPERLINK(CONCATENATE("#metadata!", ADDRESS(INDEX($W$2:$W$1001,MATCH(ROWS($U$2:U509),$U$2:$U$1001,0),0), INDEX($AB$1004:$AQ$1004,1,MATCH(COLUMNS($AB$1006:AP1006),$AB$1006:$AQ$1006,0)))),"Fix")))</f>
        <v>0</v>
      </c>
      <c r="Q509" s="4">
        <f>IF(OR(INDEX($V$2:$V$1001,MATCH(ROWS($U$2:U509),$U$2:$U$1001,0),1)&gt;=100000,INDEX($AB$1005:$AQ$1005,1,MATCH(COLUMNS($AB$1006:AQ1006),$AB$1006:$AQ$1006,0))&gt;=100000), " ",IF(INDEX($AB$2:$AQ$1001,MATCH(ROWS($U$2:U509),$U$2:$U$1001,0),MATCH(COLUMNS($AB$1006:AQ1006),$AB$1006:$AQ$1006,0)), HYPERLINK("#",""), HYPERLINK(CONCATENATE("#metadata!", ADDRESS(INDEX($W$2:$W$1001,MATCH(ROWS($U$2:U509),$U$2:$U$1001,0),0), INDEX($AB$1004:$AQ$1004,1,MATCH(COLUMNS($AB$1006:AQ1006),$AB$1006:$AQ$1006,0)))),"Fix")))</f>
        <v>0</v>
      </c>
      <c r="U509">
        <v>0</v>
      </c>
      <c r="V509">
        <v>0</v>
      </c>
      <c r="W509">
        <v>0</v>
      </c>
      <c r="X509">
        <f>IF(Y509,TRUE,AND(AB509:AQ509))</f>
        <v>0</v>
      </c>
      <c r="Y509">
        <f>COUNTBLANK(metadata!B509:Q509)=COLUMNS(metadata!B509:Q509)</f>
        <v>0</v>
      </c>
      <c r="Z509">
        <v>0</v>
      </c>
      <c r="AB509">
        <f>AND(IF(metadata!B509="",FALSE,TRUE),COUNTIF(metadata!B:B, metadata!B509) = 1,NOT(ISERROR(SUMPRODUCT(SEARCH(MID(metadata!B509,ROW(INDIRECT("1:"&amp;LEN(metadata!B509))), 1),"0123456789abcdefghijklmnopqrstuvwxyzABCDEFGHIJKLMNOPQRSTUVWXYZ.")))))</f>
        <v>0</v>
      </c>
      <c r="AC509">
        <f>OR(AND(IF(metadata!C509="",FALSE,TRUE),OR(exact(metadata!C509,"missing: not collected"),exact(metadata!C509,"missing: not provided"),exact(metadata!C509,"missing: restricted access"))),AND(IF(metadata!C509="",FALSE,TRUE),AND(AND(IFERROR(INT(LEFT(metadata!C509,4))&gt;1900,FALSE),IFERROR(INT(LEFT(metadata!C509,4))&lt;=YEAR(NOW()),FALSE)), OR(MID(metadata!C509,5,1)="", AND(AND(MID(metadata!C509,5,1)="-",IFERROR(INT(MID(metadata!C509,6,1))&gt;=0,FALSE),IFERROR(INT(MID(metadata!C509,6,1))&lt;=1,FALSE),NOT(MID(metadata!C509,7,1)=""),IFERROR(INT(MID(metadata!C509,6,2))&gt;=1,FALSE),IFERROR(INT(MID(metadata!C509,6,2))&lt;=12,FALSE)), OR(MID(metadata!C509,8,1)="", AND(AND(MID(metadata!C509,8,1)="-",IFERROR(INT(MID(metadata!C509,9,1))&gt;=0,FALSE),IFERROR(INT(MID(metadata!C509,9,1))&lt;=3,FALSE),NOT(MID(metadata!C509,10,1)=""),IFERROR(INT(MID(metadata!C509,9,2))&gt;=1,FALSE),IFERROR(INT(MID(metadata!C509,9,2))&lt;=31,FALSE)), OR(MID(metadata!C509,11,1)="", AND(AND(MID(metadata!C509,11,1)=" ",IFERROR(INT(MID(metadata!C509,12,1))&gt;=0,FALSE),IFERROR(INT(MID(metadata!C509,12,1))&lt;=2,FALSE),NOT(MID(metadata!C509,13,1)=""),IFERROR(INT(MID(metadata!C509,12,2))&gt;=0,FALSE),IFERROR(INT(MID(metadata!C509,12,2))&lt;=23,FALSE)), OR(MID(metadata!C509,14,1)="", AND(AND(MID(metadata!C509,14,1)=":",IFERROR(INT(MID(metadata!C509,15,1))&gt;=0,FALSE),IFERROR(INT(MID(metadata!C509,15,1))&lt;=5,FALSE),NOT(MID(metadata!C509,16,1)=""),IFERROR(INT(MID(metadata!C509,15,2))&gt;=0,FALSE),IFERROR(INT(MID(metadata!C509,15,2))&lt;=59,FALSE)), OR(MID(metadata!C509,17,1)="", AND(AND(MID(metadata!C509,17,1)=":",IFERROR(INT(MID(metadata!C509,18,1))&gt;=0,FALSE),IFERROR(INT(MID(metadata!C509,18,1))&lt;=5,FALSE),NOT(MID(metadata!C509,19,1)=""),IFERROR(INT(MID(metadata!C509,18,2))&gt;=0,FALSE),IFERROR(INT(MID(metadata!C509,18,2))&lt;=59,FALSE)), LEN(metadata!C509)&lt;=19)))))))))))))</f>
        <v>0</v>
      </c>
      <c r="AD509">
        <f>IF(metadata!D509="",FALSE,TRUE)</f>
        <v>0</v>
      </c>
      <c r="AE509">
        <f>OR(AND(IF(metadata!E509="",FALSE,TRUE),OR(exact(metadata!E509,"missing: not collected"),exact(metadata!E509,"missing: not provided"))),AND(IF(metadata!E509="",FALSE,TRUE),OR(exact(metadata!E509,"TRUE"),exact(metadata!E509,"FALSE"))))</f>
        <v>0</v>
      </c>
      <c r="AF509">
        <f>IF(metadata!F509="",FALSE,TRUE)</f>
        <v>0</v>
      </c>
      <c r="AG509">
        <f>IF(metadata!G509="",FALSE,TRUE)</f>
        <v>0</v>
      </c>
      <c r="AH509">
        <f>IF(metadata!H509="",FALSE,TRUE)</f>
        <v>0</v>
      </c>
      <c r="AI509">
        <f>OR(AND(IF(metadata!I509="",FALSE,TRUE),OR(exact(metadata!I509,"missing: not collected"),exact(metadata!I509,"missing: not provided"),exact(metadata!I509,"missing: restricted access"))),AND(IF(metadata!I509="",FALSE,TRUE),OR(exact(metadata!I509,"air"),exact(metadata!I509,"built environment"),exact(metadata!I509,"host-associated"),exact(metadata!I509,"human-associated"),exact(metadata!I509,"human-skin"),exact(metadata!I509,"human-oral"),exact(metadata!I509,"human-gut"),exact(metadata!I509,"human-vaginal"),exact(metadata!I509,"microbial mat/biofilm"),exact(metadata!I509,"misc environment"),exact(metadata!I509,"plant-associated"),exact(metadata!I509,"sediment"),exact(metadata!I509,"soil"),exact(metadata!I509,"wastewater/sludge"),exact(metadata!I509,"water"))))</f>
        <v>0</v>
      </c>
      <c r="AJ509">
        <f>IF(metadata!J509="",FALSE,TRUE)</f>
        <v>0</v>
      </c>
      <c r="AK509">
        <f>OR(AND(IF(metadata!K509="",FALSE,TRUE),OR(exact(metadata!K509,"missing: not collected"),exact(metadata!K509,"missing: not provided"),exact(metadata!K509,"missing: restricted access"))),AND(IF(metadata!K509="",FALSE,ISNUMBER(VALUE(metadata!K509))),metadata!K509&gt;=-90.00,metadata!K509&lt;=90.00))</f>
        <v>0</v>
      </c>
      <c r="AL509">
        <f>OR(AND(IF(metadata!L509="",FALSE,TRUE),OR(exact(metadata!L509,"missing: not collected"),exact(metadata!L509,"missing: not provided"),exact(metadata!L509,"missing: restricted access"))),AND(IF(metadata!L509="",FALSE,ISNUMBER(VALUE(metadata!L509))),metadata!L509&gt;=-180.00,metadata!L509&lt;=180.00))</f>
        <v>0</v>
      </c>
      <c r="AM509">
        <f>IF(metadata!M509="",FALSE,TRUE)</f>
        <v>0</v>
      </c>
      <c r="AN509">
        <f>OR(AND(IF(metadata!N509="",FALSE,TRUE),OR(exact(metadata!N509,"missing: not collected"),exact(metadata!N509,"missing: not provided"),exact(metadata!N509,"missing: restricted access"))),AND(IF(metadata!N509="",FALSE,TRUE),OR(exact(metadata!N509,"TRUE"),exact(metadata!N509,"FALSE"))))</f>
        <v>0</v>
      </c>
      <c r="AO509">
        <f>IF(metadata!O509="",FALSE,TRUE)</f>
        <v>0</v>
      </c>
      <c r="AP509">
        <f>OR(AND(IF(metadata!P509="",FALSE,TRUE),OR(exact(metadata!P509,"missing: not collected"),exact(metadata!P509,"missing: not provided"))),AND(IF(metadata!P509="",FALSE,IF(ISERROR(INT(metadata!P509)),FALSE,INT(metadata!P509)=metadata!P509)),metadata!P509&gt;0))</f>
        <v>0</v>
      </c>
      <c r="AQ509">
        <f>IF(metadata!Q509="",FALSE,TRUE)</f>
        <v>0</v>
      </c>
    </row>
    <row r="510" spans="1:43">
      <c r="A510" s="5">
        <f>IF(B510=" "," ",HYPERLINK(CONCATENATE("#metadata!",ADDRESS(INDEX($W$2:$W$1001,MATCH(ROWS($U$2:U510),$U$2:$U$1001,0),0),1)),INDEX($Z$2:$Z$1001,MATCH(ROWS($U$2:U510),$U$2:$U$1001,0),0)))</f>
        <v>0</v>
      </c>
      <c r="B510" s="4">
        <f>IF(OR(INDEX($V$2:$V$1001,MATCH(ROWS($U$2:U510),$U$2:$U$1001,0),1)&gt;=100000,INDEX($AB$1005:$AQ$1005,1,MATCH(COLUMNS($AB$1006:AB1006),$AB$1006:$AQ$1006,0))&gt;=100000), " ",IF(INDEX($AB$2:$AQ$1001,MATCH(ROWS($U$2:U510),$U$2:$U$1001,0),MATCH(COLUMNS($AB$1006:AB1006),$AB$1006:$AQ$1006,0)), HYPERLINK("#",""), HYPERLINK(CONCATENATE("#metadata!", ADDRESS(INDEX($W$2:$W$1001,MATCH(ROWS($U$2:U510),$U$2:$U$1001,0),0), INDEX($AB$1004:$AQ$1004,1,MATCH(COLUMNS($AB$1006:AB1006),$AB$1006:$AQ$1006,0)))),"Fix")))</f>
        <v>0</v>
      </c>
      <c r="C510" s="4">
        <f>IF(OR(INDEX($V$2:$V$1001,MATCH(ROWS($U$2:U510),$U$2:$U$1001,0),1)&gt;=100000,INDEX($AB$1005:$AQ$1005,1,MATCH(COLUMNS($AB$1006:AC1006),$AB$1006:$AQ$1006,0))&gt;=100000), " ",IF(INDEX($AB$2:$AQ$1001,MATCH(ROWS($U$2:U510),$U$2:$U$1001,0),MATCH(COLUMNS($AB$1006:AC1006),$AB$1006:$AQ$1006,0)), HYPERLINK("#",""), HYPERLINK(CONCATENATE("#metadata!", ADDRESS(INDEX($W$2:$W$1001,MATCH(ROWS($U$2:U510),$U$2:$U$1001,0),0), INDEX($AB$1004:$AQ$1004,1,MATCH(COLUMNS($AB$1006:AC1006),$AB$1006:$AQ$1006,0)))),"Fix")))</f>
        <v>0</v>
      </c>
      <c r="D510" s="4">
        <f>IF(OR(INDEX($V$2:$V$1001,MATCH(ROWS($U$2:U510),$U$2:$U$1001,0),1)&gt;=100000,INDEX($AB$1005:$AQ$1005,1,MATCH(COLUMNS($AB$1006:AD1006),$AB$1006:$AQ$1006,0))&gt;=100000), " ",IF(INDEX($AB$2:$AQ$1001,MATCH(ROWS($U$2:U510),$U$2:$U$1001,0),MATCH(COLUMNS($AB$1006:AD1006),$AB$1006:$AQ$1006,0)), HYPERLINK("#",""), HYPERLINK(CONCATENATE("#metadata!", ADDRESS(INDEX($W$2:$W$1001,MATCH(ROWS($U$2:U510),$U$2:$U$1001,0),0), INDEX($AB$1004:$AQ$1004,1,MATCH(COLUMNS($AB$1006:AD1006),$AB$1006:$AQ$1006,0)))),"Fix")))</f>
        <v>0</v>
      </c>
      <c r="E510" s="4">
        <f>IF(OR(INDEX($V$2:$V$1001,MATCH(ROWS($U$2:U510),$U$2:$U$1001,0),1)&gt;=100000,INDEX($AB$1005:$AQ$1005,1,MATCH(COLUMNS($AB$1006:AE1006),$AB$1006:$AQ$1006,0))&gt;=100000), " ",IF(INDEX($AB$2:$AQ$1001,MATCH(ROWS($U$2:U510),$U$2:$U$1001,0),MATCH(COLUMNS($AB$1006:AE1006),$AB$1006:$AQ$1006,0)), HYPERLINK("#",""), HYPERLINK(CONCATENATE("#metadata!", ADDRESS(INDEX($W$2:$W$1001,MATCH(ROWS($U$2:U510),$U$2:$U$1001,0),0), INDEX($AB$1004:$AQ$1004,1,MATCH(COLUMNS($AB$1006:AE1006),$AB$1006:$AQ$1006,0)))),"Fix")))</f>
        <v>0</v>
      </c>
      <c r="F510" s="4">
        <f>IF(OR(INDEX($V$2:$V$1001,MATCH(ROWS($U$2:U510),$U$2:$U$1001,0),1)&gt;=100000,INDEX($AB$1005:$AQ$1005,1,MATCH(COLUMNS($AB$1006:AF1006),$AB$1006:$AQ$1006,0))&gt;=100000), " ",IF(INDEX($AB$2:$AQ$1001,MATCH(ROWS($U$2:U510),$U$2:$U$1001,0),MATCH(COLUMNS($AB$1006:AF1006),$AB$1006:$AQ$1006,0)), HYPERLINK("#",""), HYPERLINK(CONCATENATE("#metadata!", ADDRESS(INDEX($W$2:$W$1001,MATCH(ROWS($U$2:U510),$U$2:$U$1001,0),0), INDEX($AB$1004:$AQ$1004,1,MATCH(COLUMNS($AB$1006:AF1006),$AB$1006:$AQ$1006,0)))),"Fix")))</f>
        <v>0</v>
      </c>
      <c r="G510" s="4">
        <f>IF(OR(INDEX($V$2:$V$1001,MATCH(ROWS($U$2:U510),$U$2:$U$1001,0),1)&gt;=100000,INDEX($AB$1005:$AQ$1005,1,MATCH(COLUMNS($AB$1006:AG1006),$AB$1006:$AQ$1006,0))&gt;=100000), " ",IF(INDEX($AB$2:$AQ$1001,MATCH(ROWS($U$2:U510),$U$2:$U$1001,0),MATCH(COLUMNS($AB$1006:AG1006),$AB$1006:$AQ$1006,0)), HYPERLINK("#",""), HYPERLINK(CONCATENATE("#metadata!", ADDRESS(INDEX($W$2:$W$1001,MATCH(ROWS($U$2:U510),$U$2:$U$1001,0),0), INDEX($AB$1004:$AQ$1004,1,MATCH(COLUMNS($AB$1006:AG1006),$AB$1006:$AQ$1006,0)))),"Fix")))</f>
        <v>0</v>
      </c>
      <c r="H510" s="4">
        <f>IF(OR(INDEX($V$2:$V$1001,MATCH(ROWS($U$2:U510),$U$2:$U$1001,0),1)&gt;=100000,INDEX($AB$1005:$AQ$1005,1,MATCH(COLUMNS($AB$1006:AH1006),$AB$1006:$AQ$1006,0))&gt;=100000), " ",IF(INDEX($AB$2:$AQ$1001,MATCH(ROWS($U$2:U510),$U$2:$U$1001,0),MATCH(COLUMNS($AB$1006:AH1006),$AB$1006:$AQ$1006,0)), HYPERLINK("#",""), HYPERLINK(CONCATENATE("#metadata!", ADDRESS(INDEX($W$2:$W$1001,MATCH(ROWS($U$2:U510),$U$2:$U$1001,0),0), INDEX($AB$1004:$AQ$1004,1,MATCH(COLUMNS($AB$1006:AH1006),$AB$1006:$AQ$1006,0)))),"Fix")))</f>
        <v>0</v>
      </c>
      <c r="I510" s="4">
        <f>IF(OR(INDEX($V$2:$V$1001,MATCH(ROWS($U$2:U510),$U$2:$U$1001,0),1)&gt;=100000,INDEX($AB$1005:$AQ$1005,1,MATCH(COLUMNS($AB$1006:AI1006),$AB$1006:$AQ$1006,0))&gt;=100000), " ",IF(INDEX($AB$2:$AQ$1001,MATCH(ROWS($U$2:U510),$U$2:$U$1001,0),MATCH(COLUMNS($AB$1006:AI1006),$AB$1006:$AQ$1006,0)), HYPERLINK("#",""), HYPERLINK(CONCATENATE("#metadata!", ADDRESS(INDEX($W$2:$W$1001,MATCH(ROWS($U$2:U510),$U$2:$U$1001,0),0), INDEX($AB$1004:$AQ$1004,1,MATCH(COLUMNS($AB$1006:AI1006),$AB$1006:$AQ$1006,0)))),"Fix")))</f>
        <v>0</v>
      </c>
      <c r="J510" s="4">
        <f>IF(OR(INDEX($V$2:$V$1001,MATCH(ROWS($U$2:U510),$U$2:$U$1001,0),1)&gt;=100000,INDEX($AB$1005:$AQ$1005,1,MATCH(COLUMNS($AB$1006:AJ1006),$AB$1006:$AQ$1006,0))&gt;=100000), " ",IF(INDEX($AB$2:$AQ$1001,MATCH(ROWS($U$2:U510),$U$2:$U$1001,0),MATCH(COLUMNS($AB$1006:AJ1006),$AB$1006:$AQ$1006,0)), HYPERLINK("#",""), HYPERLINK(CONCATENATE("#metadata!", ADDRESS(INDEX($W$2:$W$1001,MATCH(ROWS($U$2:U510),$U$2:$U$1001,0),0), INDEX($AB$1004:$AQ$1004,1,MATCH(COLUMNS($AB$1006:AJ1006),$AB$1006:$AQ$1006,0)))),"Fix")))</f>
        <v>0</v>
      </c>
      <c r="K510" s="4">
        <f>IF(OR(INDEX($V$2:$V$1001,MATCH(ROWS($U$2:U510),$U$2:$U$1001,0),1)&gt;=100000,INDEX($AB$1005:$AQ$1005,1,MATCH(COLUMNS($AB$1006:AK1006),$AB$1006:$AQ$1006,0))&gt;=100000), " ",IF(INDEX($AB$2:$AQ$1001,MATCH(ROWS($U$2:U510),$U$2:$U$1001,0),MATCH(COLUMNS($AB$1006:AK1006),$AB$1006:$AQ$1006,0)), HYPERLINK("#",""), HYPERLINK(CONCATENATE("#metadata!", ADDRESS(INDEX($W$2:$W$1001,MATCH(ROWS($U$2:U510),$U$2:$U$1001,0),0), INDEX($AB$1004:$AQ$1004,1,MATCH(COLUMNS($AB$1006:AK1006),$AB$1006:$AQ$1006,0)))),"Fix")))</f>
        <v>0</v>
      </c>
      <c r="L510" s="4">
        <f>IF(OR(INDEX($V$2:$V$1001,MATCH(ROWS($U$2:U510),$U$2:$U$1001,0),1)&gt;=100000,INDEX($AB$1005:$AQ$1005,1,MATCH(COLUMNS($AB$1006:AL1006),$AB$1006:$AQ$1006,0))&gt;=100000), " ",IF(INDEX($AB$2:$AQ$1001,MATCH(ROWS($U$2:U510),$U$2:$U$1001,0),MATCH(COLUMNS($AB$1006:AL1006),$AB$1006:$AQ$1006,0)), HYPERLINK("#",""), HYPERLINK(CONCATENATE("#metadata!", ADDRESS(INDEX($W$2:$W$1001,MATCH(ROWS($U$2:U510),$U$2:$U$1001,0),0), INDEX($AB$1004:$AQ$1004,1,MATCH(COLUMNS($AB$1006:AL1006),$AB$1006:$AQ$1006,0)))),"Fix")))</f>
        <v>0</v>
      </c>
      <c r="M510" s="4">
        <f>IF(OR(INDEX($V$2:$V$1001,MATCH(ROWS($U$2:U510),$U$2:$U$1001,0),1)&gt;=100000,INDEX($AB$1005:$AQ$1005,1,MATCH(COLUMNS($AB$1006:AM1006),$AB$1006:$AQ$1006,0))&gt;=100000), " ",IF(INDEX($AB$2:$AQ$1001,MATCH(ROWS($U$2:U510),$U$2:$U$1001,0),MATCH(COLUMNS($AB$1006:AM1006),$AB$1006:$AQ$1006,0)), HYPERLINK("#",""), HYPERLINK(CONCATENATE("#metadata!", ADDRESS(INDEX($W$2:$W$1001,MATCH(ROWS($U$2:U510),$U$2:$U$1001,0),0), INDEX($AB$1004:$AQ$1004,1,MATCH(COLUMNS($AB$1006:AM1006),$AB$1006:$AQ$1006,0)))),"Fix")))</f>
        <v>0</v>
      </c>
      <c r="N510" s="4">
        <f>IF(OR(INDEX($V$2:$V$1001,MATCH(ROWS($U$2:U510),$U$2:$U$1001,0),1)&gt;=100000,INDEX($AB$1005:$AQ$1005,1,MATCH(COLUMNS($AB$1006:AN1006),$AB$1006:$AQ$1006,0))&gt;=100000), " ",IF(INDEX($AB$2:$AQ$1001,MATCH(ROWS($U$2:U510),$U$2:$U$1001,0),MATCH(COLUMNS($AB$1006:AN1006),$AB$1006:$AQ$1006,0)), HYPERLINK("#",""), HYPERLINK(CONCATENATE("#metadata!", ADDRESS(INDEX($W$2:$W$1001,MATCH(ROWS($U$2:U510),$U$2:$U$1001,0),0), INDEX($AB$1004:$AQ$1004,1,MATCH(COLUMNS($AB$1006:AN1006),$AB$1006:$AQ$1006,0)))),"Fix")))</f>
        <v>0</v>
      </c>
      <c r="O510" s="4">
        <f>IF(OR(INDEX($V$2:$V$1001,MATCH(ROWS($U$2:U510),$U$2:$U$1001,0),1)&gt;=100000,INDEX($AB$1005:$AQ$1005,1,MATCH(COLUMNS($AB$1006:AO1006),$AB$1006:$AQ$1006,0))&gt;=100000), " ",IF(INDEX($AB$2:$AQ$1001,MATCH(ROWS($U$2:U510),$U$2:$U$1001,0),MATCH(COLUMNS($AB$1006:AO1006),$AB$1006:$AQ$1006,0)), HYPERLINK("#",""), HYPERLINK(CONCATENATE("#metadata!", ADDRESS(INDEX($W$2:$W$1001,MATCH(ROWS($U$2:U510),$U$2:$U$1001,0),0), INDEX($AB$1004:$AQ$1004,1,MATCH(COLUMNS($AB$1006:AO1006),$AB$1006:$AQ$1006,0)))),"Fix")))</f>
        <v>0</v>
      </c>
      <c r="P510" s="4">
        <f>IF(OR(INDEX($V$2:$V$1001,MATCH(ROWS($U$2:U510),$U$2:$U$1001,0),1)&gt;=100000,INDEX($AB$1005:$AQ$1005,1,MATCH(COLUMNS($AB$1006:AP1006),$AB$1006:$AQ$1006,0))&gt;=100000), " ",IF(INDEX($AB$2:$AQ$1001,MATCH(ROWS($U$2:U510),$U$2:$U$1001,0),MATCH(COLUMNS($AB$1006:AP1006),$AB$1006:$AQ$1006,0)), HYPERLINK("#",""), HYPERLINK(CONCATENATE("#metadata!", ADDRESS(INDEX($W$2:$W$1001,MATCH(ROWS($U$2:U510),$U$2:$U$1001,0),0), INDEX($AB$1004:$AQ$1004,1,MATCH(COLUMNS($AB$1006:AP1006),$AB$1006:$AQ$1006,0)))),"Fix")))</f>
        <v>0</v>
      </c>
      <c r="Q510" s="4">
        <f>IF(OR(INDEX($V$2:$V$1001,MATCH(ROWS($U$2:U510),$U$2:$U$1001,0),1)&gt;=100000,INDEX($AB$1005:$AQ$1005,1,MATCH(COLUMNS($AB$1006:AQ1006),$AB$1006:$AQ$1006,0))&gt;=100000), " ",IF(INDEX($AB$2:$AQ$1001,MATCH(ROWS($U$2:U510),$U$2:$U$1001,0),MATCH(COLUMNS($AB$1006:AQ1006),$AB$1006:$AQ$1006,0)), HYPERLINK("#",""), HYPERLINK(CONCATENATE("#metadata!", ADDRESS(INDEX($W$2:$W$1001,MATCH(ROWS($U$2:U510),$U$2:$U$1001,0),0), INDEX($AB$1004:$AQ$1004,1,MATCH(COLUMNS($AB$1006:AQ1006),$AB$1006:$AQ$1006,0)))),"Fix")))</f>
        <v>0</v>
      </c>
      <c r="U510">
        <v>0</v>
      </c>
      <c r="V510">
        <v>0</v>
      </c>
      <c r="W510">
        <v>0</v>
      </c>
      <c r="X510">
        <f>IF(Y510,TRUE,AND(AB510:AQ510))</f>
        <v>0</v>
      </c>
      <c r="Y510">
        <f>COUNTBLANK(metadata!B510:Q510)=COLUMNS(metadata!B510:Q510)</f>
        <v>0</v>
      </c>
      <c r="Z510">
        <v>0</v>
      </c>
      <c r="AB510">
        <f>AND(IF(metadata!B510="",FALSE,TRUE),COUNTIF(metadata!B:B, metadata!B510) = 1,NOT(ISERROR(SUMPRODUCT(SEARCH(MID(metadata!B510,ROW(INDIRECT("1:"&amp;LEN(metadata!B510))), 1),"0123456789abcdefghijklmnopqrstuvwxyzABCDEFGHIJKLMNOPQRSTUVWXYZ.")))))</f>
        <v>0</v>
      </c>
      <c r="AC510">
        <f>OR(AND(IF(metadata!C510="",FALSE,TRUE),OR(exact(metadata!C510,"missing: not collected"),exact(metadata!C510,"missing: not provided"),exact(metadata!C510,"missing: restricted access"))),AND(IF(metadata!C510="",FALSE,TRUE),AND(AND(IFERROR(INT(LEFT(metadata!C510,4))&gt;1900,FALSE),IFERROR(INT(LEFT(metadata!C510,4))&lt;=YEAR(NOW()),FALSE)), OR(MID(metadata!C510,5,1)="", AND(AND(MID(metadata!C510,5,1)="-",IFERROR(INT(MID(metadata!C510,6,1))&gt;=0,FALSE),IFERROR(INT(MID(metadata!C510,6,1))&lt;=1,FALSE),NOT(MID(metadata!C510,7,1)=""),IFERROR(INT(MID(metadata!C510,6,2))&gt;=1,FALSE),IFERROR(INT(MID(metadata!C510,6,2))&lt;=12,FALSE)), OR(MID(metadata!C510,8,1)="", AND(AND(MID(metadata!C510,8,1)="-",IFERROR(INT(MID(metadata!C510,9,1))&gt;=0,FALSE),IFERROR(INT(MID(metadata!C510,9,1))&lt;=3,FALSE),NOT(MID(metadata!C510,10,1)=""),IFERROR(INT(MID(metadata!C510,9,2))&gt;=1,FALSE),IFERROR(INT(MID(metadata!C510,9,2))&lt;=31,FALSE)), OR(MID(metadata!C510,11,1)="", AND(AND(MID(metadata!C510,11,1)=" ",IFERROR(INT(MID(metadata!C510,12,1))&gt;=0,FALSE),IFERROR(INT(MID(metadata!C510,12,1))&lt;=2,FALSE),NOT(MID(metadata!C510,13,1)=""),IFERROR(INT(MID(metadata!C510,12,2))&gt;=0,FALSE),IFERROR(INT(MID(metadata!C510,12,2))&lt;=23,FALSE)), OR(MID(metadata!C510,14,1)="", AND(AND(MID(metadata!C510,14,1)=":",IFERROR(INT(MID(metadata!C510,15,1))&gt;=0,FALSE),IFERROR(INT(MID(metadata!C510,15,1))&lt;=5,FALSE),NOT(MID(metadata!C510,16,1)=""),IFERROR(INT(MID(metadata!C510,15,2))&gt;=0,FALSE),IFERROR(INT(MID(metadata!C510,15,2))&lt;=59,FALSE)), OR(MID(metadata!C510,17,1)="", AND(AND(MID(metadata!C510,17,1)=":",IFERROR(INT(MID(metadata!C510,18,1))&gt;=0,FALSE),IFERROR(INT(MID(metadata!C510,18,1))&lt;=5,FALSE),NOT(MID(metadata!C510,19,1)=""),IFERROR(INT(MID(metadata!C510,18,2))&gt;=0,FALSE),IFERROR(INT(MID(metadata!C510,18,2))&lt;=59,FALSE)), LEN(metadata!C510)&lt;=19)))))))))))))</f>
        <v>0</v>
      </c>
      <c r="AD510">
        <f>IF(metadata!D510="",FALSE,TRUE)</f>
        <v>0</v>
      </c>
      <c r="AE510">
        <f>OR(AND(IF(metadata!E510="",FALSE,TRUE),OR(exact(metadata!E510,"missing: not collected"),exact(metadata!E510,"missing: not provided"))),AND(IF(metadata!E510="",FALSE,TRUE),OR(exact(metadata!E510,"TRUE"),exact(metadata!E510,"FALSE"))))</f>
        <v>0</v>
      </c>
      <c r="AF510">
        <f>IF(metadata!F510="",FALSE,TRUE)</f>
        <v>0</v>
      </c>
      <c r="AG510">
        <f>IF(metadata!G510="",FALSE,TRUE)</f>
        <v>0</v>
      </c>
      <c r="AH510">
        <f>IF(metadata!H510="",FALSE,TRUE)</f>
        <v>0</v>
      </c>
      <c r="AI510">
        <f>OR(AND(IF(metadata!I510="",FALSE,TRUE),OR(exact(metadata!I510,"missing: not collected"),exact(metadata!I510,"missing: not provided"),exact(metadata!I510,"missing: restricted access"))),AND(IF(metadata!I510="",FALSE,TRUE),OR(exact(metadata!I510,"air"),exact(metadata!I510,"built environment"),exact(metadata!I510,"host-associated"),exact(metadata!I510,"human-associated"),exact(metadata!I510,"human-skin"),exact(metadata!I510,"human-oral"),exact(metadata!I510,"human-gut"),exact(metadata!I510,"human-vaginal"),exact(metadata!I510,"microbial mat/biofilm"),exact(metadata!I510,"misc environment"),exact(metadata!I510,"plant-associated"),exact(metadata!I510,"sediment"),exact(metadata!I510,"soil"),exact(metadata!I510,"wastewater/sludge"),exact(metadata!I510,"water"))))</f>
        <v>0</v>
      </c>
      <c r="AJ510">
        <f>IF(metadata!J510="",FALSE,TRUE)</f>
        <v>0</v>
      </c>
      <c r="AK510">
        <f>OR(AND(IF(metadata!K510="",FALSE,TRUE),OR(exact(metadata!K510,"missing: not collected"),exact(metadata!K510,"missing: not provided"),exact(metadata!K510,"missing: restricted access"))),AND(IF(metadata!K510="",FALSE,ISNUMBER(VALUE(metadata!K510))),metadata!K510&gt;=-90.00,metadata!K510&lt;=90.00))</f>
        <v>0</v>
      </c>
      <c r="AL510">
        <f>OR(AND(IF(metadata!L510="",FALSE,TRUE),OR(exact(metadata!L510,"missing: not collected"),exact(metadata!L510,"missing: not provided"),exact(metadata!L510,"missing: restricted access"))),AND(IF(metadata!L510="",FALSE,ISNUMBER(VALUE(metadata!L510))),metadata!L510&gt;=-180.00,metadata!L510&lt;=180.00))</f>
        <v>0</v>
      </c>
      <c r="AM510">
        <f>IF(metadata!M510="",FALSE,TRUE)</f>
        <v>0</v>
      </c>
      <c r="AN510">
        <f>OR(AND(IF(metadata!N510="",FALSE,TRUE),OR(exact(metadata!N510,"missing: not collected"),exact(metadata!N510,"missing: not provided"),exact(metadata!N510,"missing: restricted access"))),AND(IF(metadata!N510="",FALSE,TRUE),OR(exact(metadata!N510,"TRUE"),exact(metadata!N510,"FALSE"))))</f>
        <v>0</v>
      </c>
      <c r="AO510">
        <f>IF(metadata!O510="",FALSE,TRUE)</f>
        <v>0</v>
      </c>
      <c r="AP510">
        <f>OR(AND(IF(metadata!P510="",FALSE,TRUE),OR(exact(metadata!P510,"missing: not collected"),exact(metadata!P510,"missing: not provided"))),AND(IF(metadata!P510="",FALSE,IF(ISERROR(INT(metadata!P510)),FALSE,INT(metadata!P510)=metadata!P510)),metadata!P510&gt;0))</f>
        <v>0</v>
      </c>
      <c r="AQ510">
        <f>IF(metadata!Q510="",FALSE,TRUE)</f>
        <v>0</v>
      </c>
    </row>
    <row r="511" spans="1:43">
      <c r="A511" s="5">
        <f>IF(B511=" "," ",HYPERLINK(CONCATENATE("#metadata!",ADDRESS(INDEX($W$2:$W$1001,MATCH(ROWS($U$2:U511),$U$2:$U$1001,0),0),1)),INDEX($Z$2:$Z$1001,MATCH(ROWS($U$2:U511),$U$2:$U$1001,0),0)))</f>
        <v>0</v>
      </c>
      <c r="B511" s="4">
        <f>IF(OR(INDEX($V$2:$V$1001,MATCH(ROWS($U$2:U511),$U$2:$U$1001,0),1)&gt;=100000,INDEX($AB$1005:$AQ$1005,1,MATCH(COLUMNS($AB$1006:AB1006),$AB$1006:$AQ$1006,0))&gt;=100000), " ",IF(INDEX($AB$2:$AQ$1001,MATCH(ROWS($U$2:U511),$U$2:$U$1001,0),MATCH(COLUMNS($AB$1006:AB1006),$AB$1006:$AQ$1006,0)), HYPERLINK("#",""), HYPERLINK(CONCATENATE("#metadata!", ADDRESS(INDEX($W$2:$W$1001,MATCH(ROWS($U$2:U511),$U$2:$U$1001,0),0), INDEX($AB$1004:$AQ$1004,1,MATCH(COLUMNS($AB$1006:AB1006),$AB$1006:$AQ$1006,0)))),"Fix")))</f>
        <v>0</v>
      </c>
      <c r="C511" s="4">
        <f>IF(OR(INDEX($V$2:$V$1001,MATCH(ROWS($U$2:U511),$U$2:$U$1001,0),1)&gt;=100000,INDEX($AB$1005:$AQ$1005,1,MATCH(COLUMNS($AB$1006:AC1006),$AB$1006:$AQ$1006,0))&gt;=100000), " ",IF(INDEX($AB$2:$AQ$1001,MATCH(ROWS($U$2:U511),$U$2:$U$1001,0),MATCH(COLUMNS($AB$1006:AC1006),$AB$1006:$AQ$1006,0)), HYPERLINK("#",""), HYPERLINK(CONCATENATE("#metadata!", ADDRESS(INDEX($W$2:$W$1001,MATCH(ROWS($U$2:U511),$U$2:$U$1001,0),0), INDEX($AB$1004:$AQ$1004,1,MATCH(COLUMNS($AB$1006:AC1006),$AB$1006:$AQ$1006,0)))),"Fix")))</f>
        <v>0</v>
      </c>
      <c r="D511" s="4">
        <f>IF(OR(INDEX($V$2:$V$1001,MATCH(ROWS($U$2:U511),$U$2:$U$1001,0),1)&gt;=100000,INDEX($AB$1005:$AQ$1005,1,MATCH(COLUMNS($AB$1006:AD1006),$AB$1006:$AQ$1006,0))&gt;=100000), " ",IF(INDEX($AB$2:$AQ$1001,MATCH(ROWS($U$2:U511),$U$2:$U$1001,0),MATCH(COLUMNS($AB$1006:AD1006),$AB$1006:$AQ$1006,0)), HYPERLINK("#",""), HYPERLINK(CONCATENATE("#metadata!", ADDRESS(INDEX($W$2:$W$1001,MATCH(ROWS($U$2:U511),$U$2:$U$1001,0),0), INDEX($AB$1004:$AQ$1004,1,MATCH(COLUMNS($AB$1006:AD1006),$AB$1006:$AQ$1006,0)))),"Fix")))</f>
        <v>0</v>
      </c>
      <c r="E511" s="4">
        <f>IF(OR(INDEX($V$2:$V$1001,MATCH(ROWS($U$2:U511),$U$2:$U$1001,0),1)&gt;=100000,INDEX($AB$1005:$AQ$1005,1,MATCH(COLUMNS($AB$1006:AE1006),$AB$1006:$AQ$1006,0))&gt;=100000), " ",IF(INDEX($AB$2:$AQ$1001,MATCH(ROWS($U$2:U511),$U$2:$U$1001,0),MATCH(COLUMNS($AB$1006:AE1006),$AB$1006:$AQ$1006,0)), HYPERLINK("#",""), HYPERLINK(CONCATENATE("#metadata!", ADDRESS(INDEX($W$2:$W$1001,MATCH(ROWS($U$2:U511),$U$2:$U$1001,0),0), INDEX($AB$1004:$AQ$1004,1,MATCH(COLUMNS($AB$1006:AE1006),$AB$1006:$AQ$1006,0)))),"Fix")))</f>
        <v>0</v>
      </c>
      <c r="F511" s="4">
        <f>IF(OR(INDEX($V$2:$V$1001,MATCH(ROWS($U$2:U511),$U$2:$U$1001,0),1)&gt;=100000,INDEX($AB$1005:$AQ$1005,1,MATCH(COLUMNS($AB$1006:AF1006),$AB$1006:$AQ$1006,0))&gt;=100000), " ",IF(INDEX($AB$2:$AQ$1001,MATCH(ROWS($U$2:U511),$U$2:$U$1001,0),MATCH(COLUMNS($AB$1006:AF1006),$AB$1006:$AQ$1006,0)), HYPERLINK("#",""), HYPERLINK(CONCATENATE("#metadata!", ADDRESS(INDEX($W$2:$W$1001,MATCH(ROWS($U$2:U511),$U$2:$U$1001,0),0), INDEX($AB$1004:$AQ$1004,1,MATCH(COLUMNS($AB$1006:AF1006),$AB$1006:$AQ$1006,0)))),"Fix")))</f>
        <v>0</v>
      </c>
      <c r="G511" s="4">
        <f>IF(OR(INDEX($V$2:$V$1001,MATCH(ROWS($U$2:U511),$U$2:$U$1001,0),1)&gt;=100000,INDEX($AB$1005:$AQ$1005,1,MATCH(COLUMNS($AB$1006:AG1006),$AB$1006:$AQ$1006,0))&gt;=100000), " ",IF(INDEX($AB$2:$AQ$1001,MATCH(ROWS($U$2:U511),$U$2:$U$1001,0),MATCH(COLUMNS($AB$1006:AG1006),$AB$1006:$AQ$1006,0)), HYPERLINK("#",""), HYPERLINK(CONCATENATE("#metadata!", ADDRESS(INDEX($W$2:$W$1001,MATCH(ROWS($U$2:U511),$U$2:$U$1001,0),0), INDEX($AB$1004:$AQ$1004,1,MATCH(COLUMNS($AB$1006:AG1006),$AB$1006:$AQ$1006,0)))),"Fix")))</f>
        <v>0</v>
      </c>
      <c r="H511" s="4">
        <f>IF(OR(INDEX($V$2:$V$1001,MATCH(ROWS($U$2:U511),$U$2:$U$1001,0),1)&gt;=100000,INDEX($AB$1005:$AQ$1005,1,MATCH(COLUMNS($AB$1006:AH1006),$AB$1006:$AQ$1006,0))&gt;=100000), " ",IF(INDEX($AB$2:$AQ$1001,MATCH(ROWS($U$2:U511),$U$2:$U$1001,0),MATCH(COLUMNS($AB$1006:AH1006),$AB$1006:$AQ$1006,0)), HYPERLINK("#",""), HYPERLINK(CONCATENATE("#metadata!", ADDRESS(INDEX($W$2:$W$1001,MATCH(ROWS($U$2:U511),$U$2:$U$1001,0),0), INDEX($AB$1004:$AQ$1004,1,MATCH(COLUMNS($AB$1006:AH1006),$AB$1006:$AQ$1006,0)))),"Fix")))</f>
        <v>0</v>
      </c>
      <c r="I511" s="4">
        <f>IF(OR(INDEX($V$2:$V$1001,MATCH(ROWS($U$2:U511),$U$2:$U$1001,0),1)&gt;=100000,INDEX($AB$1005:$AQ$1005,1,MATCH(COLUMNS($AB$1006:AI1006),$AB$1006:$AQ$1006,0))&gt;=100000), " ",IF(INDEX($AB$2:$AQ$1001,MATCH(ROWS($U$2:U511),$U$2:$U$1001,0),MATCH(COLUMNS($AB$1006:AI1006),$AB$1006:$AQ$1006,0)), HYPERLINK("#",""), HYPERLINK(CONCATENATE("#metadata!", ADDRESS(INDEX($W$2:$W$1001,MATCH(ROWS($U$2:U511),$U$2:$U$1001,0),0), INDEX($AB$1004:$AQ$1004,1,MATCH(COLUMNS($AB$1006:AI1006),$AB$1006:$AQ$1006,0)))),"Fix")))</f>
        <v>0</v>
      </c>
      <c r="J511" s="4">
        <f>IF(OR(INDEX($V$2:$V$1001,MATCH(ROWS($U$2:U511),$U$2:$U$1001,0),1)&gt;=100000,INDEX($AB$1005:$AQ$1005,1,MATCH(COLUMNS($AB$1006:AJ1006),$AB$1006:$AQ$1006,0))&gt;=100000), " ",IF(INDEX($AB$2:$AQ$1001,MATCH(ROWS($U$2:U511),$U$2:$U$1001,0),MATCH(COLUMNS($AB$1006:AJ1006),$AB$1006:$AQ$1006,0)), HYPERLINK("#",""), HYPERLINK(CONCATENATE("#metadata!", ADDRESS(INDEX($W$2:$W$1001,MATCH(ROWS($U$2:U511),$U$2:$U$1001,0),0), INDEX($AB$1004:$AQ$1004,1,MATCH(COLUMNS($AB$1006:AJ1006),$AB$1006:$AQ$1006,0)))),"Fix")))</f>
        <v>0</v>
      </c>
      <c r="K511" s="4">
        <f>IF(OR(INDEX($V$2:$V$1001,MATCH(ROWS($U$2:U511),$U$2:$U$1001,0),1)&gt;=100000,INDEX($AB$1005:$AQ$1005,1,MATCH(COLUMNS($AB$1006:AK1006),$AB$1006:$AQ$1006,0))&gt;=100000), " ",IF(INDEX($AB$2:$AQ$1001,MATCH(ROWS($U$2:U511),$U$2:$U$1001,0),MATCH(COLUMNS($AB$1006:AK1006),$AB$1006:$AQ$1006,0)), HYPERLINK("#",""), HYPERLINK(CONCATENATE("#metadata!", ADDRESS(INDEX($W$2:$W$1001,MATCH(ROWS($U$2:U511),$U$2:$U$1001,0),0), INDEX($AB$1004:$AQ$1004,1,MATCH(COLUMNS($AB$1006:AK1006),$AB$1006:$AQ$1006,0)))),"Fix")))</f>
        <v>0</v>
      </c>
      <c r="L511" s="4">
        <f>IF(OR(INDEX($V$2:$V$1001,MATCH(ROWS($U$2:U511),$U$2:$U$1001,0),1)&gt;=100000,INDEX($AB$1005:$AQ$1005,1,MATCH(COLUMNS($AB$1006:AL1006),$AB$1006:$AQ$1006,0))&gt;=100000), " ",IF(INDEX($AB$2:$AQ$1001,MATCH(ROWS($U$2:U511),$U$2:$U$1001,0),MATCH(COLUMNS($AB$1006:AL1006),$AB$1006:$AQ$1006,0)), HYPERLINK("#",""), HYPERLINK(CONCATENATE("#metadata!", ADDRESS(INDEX($W$2:$W$1001,MATCH(ROWS($U$2:U511),$U$2:$U$1001,0),0), INDEX($AB$1004:$AQ$1004,1,MATCH(COLUMNS($AB$1006:AL1006),$AB$1006:$AQ$1006,0)))),"Fix")))</f>
        <v>0</v>
      </c>
      <c r="M511" s="4">
        <f>IF(OR(INDEX($V$2:$V$1001,MATCH(ROWS($U$2:U511),$U$2:$U$1001,0),1)&gt;=100000,INDEX($AB$1005:$AQ$1005,1,MATCH(COLUMNS($AB$1006:AM1006),$AB$1006:$AQ$1006,0))&gt;=100000), " ",IF(INDEX($AB$2:$AQ$1001,MATCH(ROWS($U$2:U511),$U$2:$U$1001,0),MATCH(COLUMNS($AB$1006:AM1006),$AB$1006:$AQ$1006,0)), HYPERLINK("#",""), HYPERLINK(CONCATENATE("#metadata!", ADDRESS(INDEX($W$2:$W$1001,MATCH(ROWS($U$2:U511),$U$2:$U$1001,0),0), INDEX($AB$1004:$AQ$1004,1,MATCH(COLUMNS($AB$1006:AM1006),$AB$1006:$AQ$1006,0)))),"Fix")))</f>
        <v>0</v>
      </c>
      <c r="N511" s="4">
        <f>IF(OR(INDEX($V$2:$V$1001,MATCH(ROWS($U$2:U511),$U$2:$U$1001,0),1)&gt;=100000,INDEX($AB$1005:$AQ$1005,1,MATCH(COLUMNS($AB$1006:AN1006),$AB$1006:$AQ$1006,0))&gt;=100000), " ",IF(INDEX($AB$2:$AQ$1001,MATCH(ROWS($U$2:U511),$U$2:$U$1001,0),MATCH(COLUMNS($AB$1006:AN1006),$AB$1006:$AQ$1006,0)), HYPERLINK("#",""), HYPERLINK(CONCATENATE("#metadata!", ADDRESS(INDEX($W$2:$W$1001,MATCH(ROWS($U$2:U511),$U$2:$U$1001,0),0), INDEX($AB$1004:$AQ$1004,1,MATCH(COLUMNS($AB$1006:AN1006),$AB$1006:$AQ$1006,0)))),"Fix")))</f>
        <v>0</v>
      </c>
      <c r="O511" s="4">
        <f>IF(OR(INDEX($V$2:$V$1001,MATCH(ROWS($U$2:U511),$U$2:$U$1001,0),1)&gt;=100000,INDEX($AB$1005:$AQ$1005,1,MATCH(COLUMNS($AB$1006:AO1006),$AB$1006:$AQ$1006,0))&gt;=100000), " ",IF(INDEX($AB$2:$AQ$1001,MATCH(ROWS($U$2:U511),$U$2:$U$1001,0),MATCH(COLUMNS($AB$1006:AO1006),$AB$1006:$AQ$1006,0)), HYPERLINK("#",""), HYPERLINK(CONCATENATE("#metadata!", ADDRESS(INDEX($W$2:$W$1001,MATCH(ROWS($U$2:U511),$U$2:$U$1001,0),0), INDEX($AB$1004:$AQ$1004,1,MATCH(COLUMNS($AB$1006:AO1006),$AB$1006:$AQ$1006,0)))),"Fix")))</f>
        <v>0</v>
      </c>
      <c r="P511" s="4">
        <f>IF(OR(INDEX($V$2:$V$1001,MATCH(ROWS($U$2:U511),$U$2:$U$1001,0),1)&gt;=100000,INDEX($AB$1005:$AQ$1005,1,MATCH(COLUMNS($AB$1006:AP1006),$AB$1006:$AQ$1006,0))&gt;=100000), " ",IF(INDEX($AB$2:$AQ$1001,MATCH(ROWS($U$2:U511),$U$2:$U$1001,0),MATCH(COLUMNS($AB$1006:AP1006),$AB$1006:$AQ$1006,0)), HYPERLINK("#",""), HYPERLINK(CONCATENATE("#metadata!", ADDRESS(INDEX($W$2:$W$1001,MATCH(ROWS($U$2:U511),$U$2:$U$1001,0),0), INDEX($AB$1004:$AQ$1004,1,MATCH(COLUMNS($AB$1006:AP1006),$AB$1006:$AQ$1006,0)))),"Fix")))</f>
        <v>0</v>
      </c>
      <c r="Q511" s="4">
        <f>IF(OR(INDEX($V$2:$V$1001,MATCH(ROWS($U$2:U511),$U$2:$U$1001,0),1)&gt;=100000,INDEX($AB$1005:$AQ$1005,1,MATCH(COLUMNS($AB$1006:AQ1006),$AB$1006:$AQ$1006,0))&gt;=100000), " ",IF(INDEX($AB$2:$AQ$1001,MATCH(ROWS($U$2:U511),$U$2:$U$1001,0),MATCH(COLUMNS($AB$1006:AQ1006),$AB$1006:$AQ$1006,0)), HYPERLINK("#",""), HYPERLINK(CONCATENATE("#metadata!", ADDRESS(INDEX($W$2:$W$1001,MATCH(ROWS($U$2:U511),$U$2:$U$1001,0),0), INDEX($AB$1004:$AQ$1004,1,MATCH(COLUMNS($AB$1006:AQ1006),$AB$1006:$AQ$1006,0)))),"Fix")))</f>
        <v>0</v>
      </c>
      <c r="U511">
        <v>0</v>
      </c>
      <c r="V511">
        <v>0</v>
      </c>
      <c r="W511">
        <v>0</v>
      </c>
      <c r="X511">
        <f>IF(Y511,TRUE,AND(AB511:AQ511))</f>
        <v>0</v>
      </c>
      <c r="Y511">
        <f>COUNTBLANK(metadata!B511:Q511)=COLUMNS(metadata!B511:Q511)</f>
        <v>0</v>
      </c>
      <c r="Z511">
        <v>0</v>
      </c>
      <c r="AB511">
        <f>AND(IF(metadata!B511="",FALSE,TRUE),COUNTIF(metadata!B:B, metadata!B511) = 1,NOT(ISERROR(SUMPRODUCT(SEARCH(MID(metadata!B511,ROW(INDIRECT("1:"&amp;LEN(metadata!B511))), 1),"0123456789abcdefghijklmnopqrstuvwxyzABCDEFGHIJKLMNOPQRSTUVWXYZ.")))))</f>
        <v>0</v>
      </c>
      <c r="AC511">
        <f>OR(AND(IF(metadata!C511="",FALSE,TRUE),OR(exact(metadata!C511,"missing: not collected"),exact(metadata!C511,"missing: not provided"),exact(metadata!C511,"missing: restricted access"))),AND(IF(metadata!C511="",FALSE,TRUE),AND(AND(IFERROR(INT(LEFT(metadata!C511,4))&gt;1900,FALSE),IFERROR(INT(LEFT(metadata!C511,4))&lt;=YEAR(NOW()),FALSE)), OR(MID(metadata!C511,5,1)="", AND(AND(MID(metadata!C511,5,1)="-",IFERROR(INT(MID(metadata!C511,6,1))&gt;=0,FALSE),IFERROR(INT(MID(metadata!C511,6,1))&lt;=1,FALSE),NOT(MID(metadata!C511,7,1)=""),IFERROR(INT(MID(metadata!C511,6,2))&gt;=1,FALSE),IFERROR(INT(MID(metadata!C511,6,2))&lt;=12,FALSE)), OR(MID(metadata!C511,8,1)="", AND(AND(MID(metadata!C511,8,1)="-",IFERROR(INT(MID(metadata!C511,9,1))&gt;=0,FALSE),IFERROR(INT(MID(metadata!C511,9,1))&lt;=3,FALSE),NOT(MID(metadata!C511,10,1)=""),IFERROR(INT(MID(metadata!C511,9,2))&gt;=1,FALSE),IFERROR(INT(MID(metadata!C511,9,2))&lt;=31,FALSE)), OR(MID(metadata!C511,11,1)="", AND(AND(MID(metadata!C511,11,1)=" ",IFERROR(INT(MID(metadata!C511,12,1))&gt;=0,FALSE),IFERROR(INT(MID(metadata!C511,12,1))&lt;=2,FALSE),NOT(MID(metadata!C511,13,1)=""),IFERROR(INT(MID(metadata!C511,12,2))&gt;=0,FALSE),IFERROR(INT(MID(metadata!C511,12,2))&lt;=23,FALSE)), OR(MID(metadata!C511,14,1)="", AND(AND(MID(metadata!C511,14,1)=":",IFERROR(INT(MID(metadata!C511,15,1))&gt;=0,FALSE),IFERROR(INT(MID(metadata!C511,15,1))&lt;=5,FALSE),NOT(MID(metadata!C511,16,1)=""),IFERROR(INT(MID(metadata!C511,15,2))&gt;=0,FALSE),IFERROR(INT(MID(metadata!C511,15,2))&lt;=59,FALSE)), OR(MID(metadata!C511,17,1)="", AND(AND(MID(metadata!C511,17,1)=":",IFERROR(INT(MID(metadata!C511,18,1))&gt;=0,FALSE),IFERROR(INT(MID(metadata!C511,18,1))&lt;=5,FALSE),NOT(MID(metadata!C511,19,1)=""),IFERROR(INT(MID(metadata!C511,18,2))&gt;=0,FALSE),IFERROR(INT(MID(metadata!C511,18,2))&lt;=59,FALSE)), LEN(metadata!C511)&lt;=19)))))))))))))</f>
        <v>0</v>
      </c>
      <c r="AD511">
        <f>IF(metadata!D511="",FALSE,TRUE)</f>
        <v>0</v>
      </c>
      <c r="AE511">
        <f>OR(AND(IF(metadata!E511="",FALSE,TRUE),OR(exact(metadata!E511,"missing: not collected"),exact(metadata!E511,"missing: not provided"))),AND(IF(metadata!E511="",FALSE,TRUE),OR(exact(metadata!E511,"TRUE"),exact(metadata!E511,"FALSE"))))</f>
        <v>0</v>
      </c>
      <c r="AF511">
        <f>IF(metadata!F511="",FALSE,TRUE)</f>
        <v>0</v>
      </c>
      <c r="AG511">
        <f>IF(metadata!G511="",FALSE,TRUE)</f>
        <v>0</v>
      </c>
      <c r="AH511">
        <f>IF(metadata!H511="",FALSE,TRUE)</f>
        <v>0</v>
      </c>
      <c r="AI511">
        <f>OR(AND(IF(metadata!I511="",FALSE,TRUE),OR(exact(metadata!I511,"missing: not collected"),exact(metadata!I511,"missing: not provided"),exact(metadata!I511,"missing: restricted access"))),AND(IF(metadata!I511="",FALSE,TRUE),OR(exact(metadata!I511,"air"),exact(metadata!I511,"built environment"),exact(metadata!I511,"host-associated"),exact(metadata!I511,"human-associated"),exact(metadata!I511,"human-skin"),exact(metadata!I511,"human-oral"),exact(metadata!I511,"human-gut"),exact(metadata!I511,"human-vaginal"),exact(metadata!I511,"microbial mat/biofilm"),exact(metadata!I511,"misc environment"),exact(metadata!I511,"plant-associated"),exact(metadata!I511,"sediment"),exact(metadata!I511,"soil"),exact(metadata!I511,"wastewater/sludge"),exact(metadata!I511,"water"))))</f>
        <v>0</v>
      </c>
      <c r="AJ511">
        <f>IF(metadata!J511="",FALSE,TRUE)</f>
        <v>0</v>
      </c>
      <c r="AK511">
        <f>OR(AND(IF(metadata!K511="",FALSE,TRUE),OR(exact(metadata!K511,"missing: not collected"),exact(metadata!K511,"missing: not provided"),exact(metadata!K511,"missing: restricted access"))),AND(IF(metadata!K511="",FALSE,ISNUMBER(VALUE(metadata!K511))),metadata!K511&gt;=-90.00,metadata!K511&lt;=90.00))</f>
        <v>0</v>
      </c>
      <c r="AL511">
        <f>OR(AND(IF(metadata!L511="",FALSE,TRUE),OR(exact(metadata!L511,"missing: not collected"),exact(metadata!L511,"missing: not provided"),exact(metadata!L511,"missing: restricted access"))),AND(IF(metadata!L511="",FALSE,ISNUMBER(VALUE(metadata!L511))),metadata!L511&gt;=-180.00,metadata!L511&lt;=180.00))</f>
        <v>0</v>
      </c>
      <c r="AM511">
        <f>IF(metadata!M511="",FALSE,TRUE)</f>
        <v>0</v>
      </c>
      <c r="AN511">
        <f>OR(AND(IF(metadata!N511="",FALSE,TRUE),OR(exact(metadata!N511,"missing: not collected"),exact(metadata!N511,"missing: not provided"),exact(metadata!N511,"missing: restricted access"))),AND(IF(metadata!N511="",FALSE,TRUE),OR(exact(metadata!N511,"TRUE"),exact(metadata!N511,"FALSE"))))</f>
        <v>0</v>
      </c>
      <c r="AO511">
        <f>IF(metadata!O511="",FALSE,TRUE)</f>
        <v>0</v>
      </c>
      <c r="AP511">
        <f>OR(AND(IF(metadata!P511="",FALSE,TRUE),OR(exact(metadata!P511,"missing: not collected"),exact(metadata!P511,"missing: not provided"))),AND(IF(metadata!P511="",FALSE,IF(ISERROR(INT(metadata!P511)),FALSE,INT(metadata!P511)=metadata!P511)),metadata!P511&gt;0))</f>
        <v>0</v>
      </c>
      <c r="AQ511">
        <f>IF(metadata!Q511="",FALSE,TRUE)</f>
        <v>0</v>
      </c>
    </row>
    <row r="512" spans="1:43">
      <c r="A512" s="5">
        <f>IF(B512=" "," ",HYPERLINK(CONCATENATE("#metadata!",ADDRESS(INDEX($W$2:$W$1001,MATCH(ROWS($U$2:U512),$U$2:$U$1001,0),0),1)),INDEX($Z$2:$Z$1001,MATCH(ROWS($U$2:U512),$U$2:$U$1001,0),0)))</f>
        <v>0</v>
      </c>
      <c r="B512" s="4">
        <f>IF(OR(INDEX($V$2:$V$1001,MATCH(ROWS($U$2:U512),$U$2:$U$1001,0),1)&gt;=100000,INDEX($AB$1005:$AQ$1005,1,MATCH(COLUMNS($AB$1006:AB1006),$AB$1006:$AQ$1006,0))&gt;=100000), " ",IF(INDEX($AB$2:$AQ$1001,MATCH(ROWS($U$2:U512),$U$2:$U$1001,0),MATCH(COLUMNS($AB$1006:AB1006),$AB$1006:$AQ$1006,0)), HYPERLINK("#",""), HYPERLINK(CONCATENATE("#metadata!", ADDRESS(INDEX($W$2:$W$1001,MATCH(ROWS($U$2:U512),$U$2:$U$1001,0),0), INDEX($AB$1004:$AQ$1004,1,MATCH(COLUMNS($AB$1006:AB1006),$AB$1006:$AQ$1006,0)))),"Fix")))</f>
        <v>0</v>
      </c>
      <c r="C512" s="4">
        <f>IF(OR(INDEX($V$2:$V$1001,MATCH(ROWS($U$2:U512),$U$2:$U$1001,0),1)&gt;=100000,INDEX($AB$1005:$AQ$1005,1,MATCH(COLUMNS($AB$1006:AC1006),$AB$1006:$AQ$1006,0))&gt;=100000), " ",IF(INDEX($AB$2:$AQ$1001,MATCH(ROWS($U$2:U512),$U$2:$U$1001,0),MATCH(COLUMNS($AB$1006:AC1006),$AB$1006:$AQ$1006,0)), HYPERLINK("#",""), HYPERLINK(CONCATENATE("#metadata!", ADDRESS(INDEX($W$2:$W$1001,MATCH(ROWS($U$2:U512),$U$2:$U$1001,0),0), INDEX($AB$1004:$AQ$1004,1,MATCH(COLUMNS($AB$1006:AC1006),$AB$1006:$AQ$1006,0)))),"Fix")))</f>
        <v>0</v>
      </c>
      <c r="D512" s="4">
        <f>IF(OR(INDEX($V$2:$V$1001,MATCH(ROWS($U$2:U512),$U$2:$U$1001,0),1)&gt;=100000,INDEX($AB$1005:$AQ$1005,1,MATCH(COLUMNS($AB$1006:AD1006),$AB$1006:$AQ$1006,0))&gt;=100000), " ",IF(INDEX($AB$2:$AQ$1001,MATCH(ROWS($U$2:U512),$U$2:$U$1001,0),MATCH(COLUMNS($AB$1006:AD1006),$AB$1006:$AQ$1006,0)), HYPERLINK("#",""), HYPERLINK(CONCATENATE("#metadata!", ADDRESS(INDEX($W$2:$W$1001,MATCH(ROWS($U$2:U512),$U$2:$U$1001,0),0), INDEX($AB$1004:$AQ$1004,1,MATCH(COLUMNS($AB$1006:AD1006),$AB$1006:$AQ$1006,0)))),"Fix")))</f>
        <v>0</v>
      </c>
      <c r="E512" s="4">
        <f>IF(OR(INDEX($V$2:$V$1001,MATCH(ROWS($U$2:U512),$U$2:$U$1001,0),1)&gt;=100000,INDEX($AB$1005:$AQ$1005,1,MATCH(COLUMNS($AB$1006:AE1006),$AB$1006:$AQ$1006,0))&gt;=100000), " ",IF(INDEX($AB$2:$AQ$1001,MATCH(ROWS($U$2:U512),$U$2:$U$1001,0),MATCH(COLUMNS($AB$1006:AE1006),$AB$1006:$AQ$1006,0)), HYPERLINK("#",""), HYPERLINK(CONCATENATE("#metadata!", ADDRESS(INDEX($W$2:$W$1001,MATCH(ROWS($U$2:U512),$U$2:$U$1001,0),0), INDEX($AB$1004:$AQ$1004,1,MATCH(COLUMNS($AB$1006:AE1006),$AB$1006:$AQ$1006,0)))),"Fix")))</f>
        <v>0</v>
      </c>
      <c r="F512" s="4">
        <f>IF(OR(INDEX($V$2:$V$1001,MATCH(ROWS($U$2:U512),$U$2:$U$1001,0),1)&gt;=100000,INDEX($AB$1005:$AQ$1005,1,MATCH(COLUMNS($AB$1006:AF1006),$AB$1006:$AQ$1006,0))&gt;=100000), " ",IF(INDEX($AB$2:$AQ$1001,MATCH(ROWS($U$2:U512),$U$2:$U$1001,0),MATCH(COLUMNS($AB$1006:AF1006),$AB$1006:$AQ$1006,0)), HYPERLINK("#",""), HYPERLINK(CONCATENATE("#metadata!", ADDRESS(INDEX($W$2:$W$1001,MATCH(ROWS($U$2:U512),$U$2:$U$1001,0),0), INDEX($AB$1004:$AQ$1004,1,MATCH(COLUMNS($AB$1006:AF1006),$AB$1006:$AQ$1006,0)))),"Fix")))</f>
        <v>0</v>
      </c>
      <c r="G512" s="4">
        <f>IF(OR(INDEX($V$2:$V$1001,MATCH(ROWS($U$2:U512),$U$2:$U$1001,0),1)&gt;=100000,INDEX($AB$1005:$AQ$1005,1,MATCH(COLUMNS($AB$1006:AG1006),$AB$1006:$AQ$1006,0))&gt;=100000), " ",IF(INDEX($AB$2:$AQ$1001,MATCH(ROWS($U$2:U512),$U$2:$U$1001,0),MATCH(COLUMNS($AB$1006:AG1006),$AB$1006:$AQ$1006,0)), HYPERLINK("#",""), HYPERLINK(CONCATENATE("#metadata!", ADDRESS(INDEX($W$2:$W$1001,MATCH(ROWS($U$2:U512),$U$2:$U$1001,0),0), INDEX($AB$1004:$AQ$1004,1,MATCH(COLUMNS($AB$1006:AG1006),$AB$1006:$AQ$1006,0)))),"Fix")))</f>
        <v>0</v>
      </c>
      <c r="H512" s="4">
        <f>IF(OR(INDEX($V$2:$V$1001,MATCH(ROWS($U$2:U512),$U$2:$U$1001,0),1)&gt;=100000,INDEX($AB$1005:$AQ$1005,1,MATCH(COLUMNS($AB$1006:AH1006),$AB$1006:$AQ$1006,0))&gt;=100000), " ",IF(INDEX($AB$2:$AQ$1001,MATCH(ROWS($U$2:U512),$U$2:$U$1001,0),MATCH(COLUMNS($AB$1006:AH1006),$AB$1006:$AQ$1006,0)), HYPERLINK("#",""), HYPERLINK(CONCATENATE("#metadata!", ADDRESS(INDEX($W$2:$W$1001,MATCH(ROWS($U$2:U512),$U$2:$U$1001,0),0), INDEX($AB$1004:$AQ$1004,1,MATCH(COLUMNS($AB$1006:AH1006),$AB$1006:$AQ$1006,0)))),"Fix")))</f>
        <v>0</v>
      </c>
      <c r="I512" s="4">
        <f>IF(OR(INDEX($V$2:$V$1001,MATCH(ROWS($U$2:U512),$U$2:$U$1001,0),1)&gt;=100000,INDEX($AB$1005:$AQ$1005,1,MATCH(COLUMNS($AB$1006:AI1006),$AB$1006:$AQ$1006,0))&gt;=100000), " ",IF(INDEX($AB$2:$AQ$1001,MATCH(ROWS($U$2:U512),$U$2:$U$1001,0),MATCH(COLUMNS($AB$1006:AI1006),$AB$1006:$AQ$1006,0)), HYPERLINK("#",""), HYPERLINK(CONCATENATE("#metadata!", ADDRESS(INDEX($W$2:$W$1001,MATCH(ROWS($U$2:U512),$U$2:$U$1001,0),0), INDEX($AB$1004:$AQ$1004,1,MATCH(COLUMNS($AB$1006:AI1006),$AB$1006:$AQ$1006,0)))),"Fix")))</f>
        <v>0</v>
      </c>
      <c r="J512" s="4">
        <f>IF(OR(INDEX($V$2:$V$1001,MATCH(ROWS($U$2:U512),$U$2:$U$1001,0),1)&gt;=100000,INDEX($AB$1005:$AQ$1005,1,MATCH(COLUMNS($AB$1006:AJ1006),$AB$1006:$AQ$1006,0))&gt;=100000), " ",IF(INDEX($AB$2:$AQ$1001,MATCH(ROWS($U$2:U512),$U$2:$U$1001,0),MATCH(COLUMNS($AB$1006:AJ1006),$AB$1006:$AQ$1006,0)), HYPERLINK("#",""), HYPERLINK(CONCATENATE("#metadata!", ADDRESS(INDEX($W$2:$W$1001,MATCH(ROWS($U$2:U512),$U$2:$U$1001,0),0), INDEX($AB$1004:$AQ$1004,1,MATCH(COLUMNS($AB$1006:AJ1006),$AB$1006:$AQ$1006,0)))),"Fix")))</f>
        <v>0</v>
      </c>
      <c r="K512" s="4">
        <f>IF(OR(INDEX($V$2:$V$1001,MATCH(ROWS($U$2:U512),$U$2:$U$1001,0),1)&gt;=100000,INDEX($AB$1005:$AQ$1005,1,MATCH(COLUMNS($AB$1006:AK1006),$AB$1006:$AQ$1006,0))&gt;=100000), " ",IF(INDEX($AB$2:$AQ$1001,MATCH(ROWS($U$2:U512),$U$2:$U$1001,0),MATCH(COLUMNS($AB$1006:AK1006),$AB$1006:$AQ$1006,0)), HYPERLINK("#",""), HYPERLINK(CONCATENATE("#metadata!", ADDRESS(INDEX($W$2:$W$1001,MATCH(ROWS($U$2:U512),$U$2:$U$1001,0),0), INDEX($AB$1004:$AQ$1004,1,MATCH(COLUMNS($AB$1006:AK1006),$AB$1006:$AQ$1006,0)))),"Fix")))</f>
        <v>0</v>
      </c>
      <c r="L512" s="4">
        <f>IF(OR(INDEX($V$2:$V$1001,MATCH(ROWS($U$2:U512),$U$2:$U$1001,0),1)&gt;=100000,INDEX($AB$1005:$AQ$1005,1,MATCH(COLUMNS($AB$1006:AL1006),$AB$1006:$AQ$1006,0))&gt;=100000), " ",IF(INDEX($AB$2:$AQ$1001,MATCH(ROWS($U$2:U512),$U$2:$U$1001,0),MATCH(COLUMNS($AB$1006:AL1006),$AB$1006:$AQ$1006,0)), HYPERLINK("#",""), HYPERLINK(CONCATENATE("#metadata!", ADDRESS(INDEX($W$2:$W$1001,MATCH(ROWS($U$2:U512),$U$2:$U$1001,0),0), INDEX($AB$1004:$AQ$1004,1,MATCH(COLUMNS($AB$1006:AL1006),$AB$1006:$AQ$1006,0)))),"Fix")))</f>
        <v>0</v>
      </c>
      <c r="M512" s="4">
        <f>IF(OR(INDEX($V$2:$V$1001,MATCH(ROWS($U$2:U512),$U$2:$U$1001,0),1)&gt;=100000,INDEX($AB$1005:$AQ$1005,1,MATCH(COLUMNS($AB$1006:AM1006),$AB$1006:$AQ$1006,0))&gt;=100000), " ",IF(INDEX($AB$2:$AQ$1001,MATCH(ROWS($U$2:U512),$U$2:$U$1001,0),MATCH(COLUMNS($AB$1006:AM1006),$AB$1006:$AQ$1006,0)), HYPERLINK("#",""), HYPERLINK(CONCATENATE("#metadata!", ADDRESS(INDEX($W$2:$W$1001,MATCH(ROWS($U$2:U512),$U$2:$U$1001,0),0), INDEX($AB$1004:$AQ$1004,1,MATCH(COLUMNS($AB$1006:AM1006),$AB$1006:$AQ$1006,0)))),"Fix")))</f>
        <v>0</v>
      </c>
      <c r="N512" s="4">
        <f>IF(OR(INDEX($V$2:$V$1001,MATCH(ROWS($U$2:U512),$U$2:$U$1001,0),1)&gt;=100000,INDEX($AB$1005:$AQ$1005,1,MATCH(COLUMNS($AB$1006:AN1006),$AB$1006:$AQ$1006,0))&gt;=100000), " ",IF(INDEX($AB$2:$AQ$1001,MATCH(ROWS($U$2:U512),$U$2:$U$1001,0),MATCH(COLUMNS($AB$1006:AN1006),$AB$1006:$AQ$1006,0)), HYPERLINK("#",""), HYPERLINK(CONCATENATE("#metadata!", ADDRESS(INDEX($W$2:$W$1001,MATCH(ROWS($U$2:U512),$U$2:$U$1001,0),0), INDEX($AB$1004:$AQ$1004,1,MATCH(COLUMNS($AB$1006:AN1006),$AB$1006:$AQ$1006,0)))),"Fix")))</f>
        <v>0</v>
      </c>
      <c r="O512" s="4">
        <f>IF(OR(INDEX($V$2:$V$1001,MATCH(ROWS($U$2:U512),$U$2:$U$1001,0),1)&gt;=100000,INDEX($AB$1005:$AQ$1005,1,MATCH(COLUMNS($AB$1006:AO1006),$AB$1006:$AQ$1006,0))&gt;=100000), " ",IF(INDEX($AB$2:$AQ$1001,MATCH(ROWS($U$2:U512),$U$2:$U$1001,0),MATCH(COLUMNS($AB$1006:AO1006),$AB$1006:$AQ$1006,0)), HYPERLINK("#",""), HYPERLINK(CONCATENATE("#metadata!", ADDRESS(INDEX($W$2:$W$1001,MATCH(ROWS($U$2:U512),$U$2:$U$1001,0),0), INDEX($AB$1004:$AQ$1004,1,MATCH(COLUMNS($AB$1006:AO1006),$AB$1006:$AQ$1006,0)))),"Fix")))</f>
        <v>0</v>
      </c>
      <c r="P512" s="4">
        <f>IF(OR(INDEX($V$2:$V$1001,MATCH(ROWS($U$2:U512),$U$2:$U$1001,0),1)&gt;=100000,INDEX($AB$1005:$AQ$1005,1,MATCH(COLUMNS($AB$1006:AP1006),$AB$1006:$AQ$1006,0))&gt;=100000), " ",IF(INDEX($AB$2:$AQ$1001,MATCH(ROWS($U$2:U512),$U$2:$U$1001,0),MATCH(COLUMNS($AB$1006:AP1006),$AB$1006:$AQ$1006,0)), HYPERLINK("#",""), HYPERLINK(CONCATENATE("#metadata!", ADDRESS(INDEX($W$2:$W$1001,MATCH(ROWS($U$2:U512),$U$2:$U$1001,0),0), INDEX($AB$1004:$AQ$1004,1,MATCH(COLUMNS($AB$1006:AP1006),$AB$1006:$AQ$1006,0)))),"Fix")))</f>
        <v>0</v>
      </c>
      <c r="Q512" s="4">
        <f>IF(OR(INDEX($V$2:$V$1001,MATCH(ROWS($U$2:U512),$U$2:$U$1001,0),1)&gt;=100000,INDEX($AB$1005:$AQ$1005,1,MATCH(COLUMNS($AB$1006:AQ1006),$AB$1006:$AQ$1006,0))&gt;=100000), " ",IF(INDEX($AB$2:$AQ$1001,MATCH(ROWS($U$2:U512),$U$2:$U$1001,0),MATCH(COLUMNS($AB$1006:AQ1006),$AB$1006:$AQ$1006,0)), HYPERLINK("#",""), HYPERLINK(CONCATENATE("#metadata!", ADDRESS(INDEX($W$2:$W$1001,MATCH(ROWS($U$2:U512),$U$2:$U$1001,0),0), INDEX($AB$1004:$AQ$1004,1,MATCH(COLUMNS($AB$1006:AQ1006),$AB$1006:$AQ$1006,0)))),"Fix")))</f>
        <v>0</v>
      </c>
      <c r="U512">
        <v>0</v>
      </c>
      <c r="V512">
        <v>0</v>
      </c>
      <c r="W512">
        <v>0</v>
      </c>
      <c r="X512">
        <f>IF(Y512,TRUE,AND(AB512:AQ512))</f>
        <v>0</v>
      </c>
      <c r="Y512">
        <f>COUNTBLANK(metadata!B512:Q512)=COLUMNS(metadata!B512:Q512)</f>
        <v>0</v>
      </c>
      <c r="Z512">
        <v>0</v>
      </c>
      <c r="AB512">
        <f>AND(IF(metadata!B512="",FALSE,TRUE),COUNTIF(metadata!B:B, metadata!B512) = 1,NOT(ISERROR(SUMPRODUCT(SEARCH(MID(metadata!B512,ROW(INDIRECT("1:"&amp;LEN(metadata!B512))), 1),"0123456789abcdefghijklmnopqrstuvwxyzABCDEFGHIJKLMNOPQRSTUVWXYZ.")))))</f>
        <v>0</v>
      </c>
      <c r="AC512">
        <f>OR(AND(IF(metadata!C512="",FALSE,TRUE),OR(exact(metadata!C512,"missing: not collected"),exact(metadata!C512,"missing: not provided"),exact(metadata!C512,"missing: restricted access"))),AND(IF(metadata!C512="",FALSE,TRUE),AND(AND(IFERROR(INT(LEFT(metadata!C512,4))&gt;1900,FALSE),IFERROR(INT(LEFT(metadata!C512,4))&lt;=YEAR(NOW()),FALSE)), OR(MID(metadata!C512,5,1)="", AND(AND(MID(metadata!C512,5,1)="-",IFERROR(INT(MID(metadata!C512,6,1))&gt;=0,FALSE),IFERROR(INT(MID(metadata!C512,6,1))&lt;=1,FALSE),NOT(MID(metadata!C512,7,1)=""),IFERROR(INT(MID(metadata!C512,6,2))&gt;=1,FALSE),IFERROR(INT(MID(metadata!C512,6,2))&lt;=12,FALSE)), OR(MID(metadata!C512,8,1)="", AND(AND(MID(metadata!C512,8,1)="-",IFERROR(INT(MID(metadata!C512,9,1))&gt;=0,FALSE),IFERROR(INT(MID(metadata!C512,9,1))&lt;=3,FALSE),NOT(MID(metadata!C512,10,1)=""),IFERROR(INT(MID(metadata!C512,9,2))&gt;=1,FALSE),IFERROR(INT(MID(metadata!C512,9,2))&lt;=31,FALSE)), OR(MID(metadata!C512,11,1)="", AND(AND(MID(metadata!C512,11,1)=" ",IFERROR(INT(MID(metadata!C512,12,1))&gt;=0,FALSE),IFERROR(INT(MID(metadata!C512,12,1))&lt;=2,FALSE),NOT(MID(metadata!C512,13,1)=""),IFERROR(INT(MID(metadata!C512,12,2))&gt;=0,FALSE),IFERROR(INT(MID(metadata!C512,12,2))&lt;=23,FALSE)), OR(MID(metadata!C512,14,1)="", AND(AND(MID(metadata!C512,14,1)=":",IFERROR(INT(MID(metadata!C512,15,1))&gt;=0,FALSE),IFERROR(INT(MID(metadata!C512,15,1))&lt;=5,FALSE),NOT(MID(metadata!C512,16,1)=""),IFERROR(INT(MID(metadata!C512,15,2))&gt;=0,FALSE),IFERROR(INT(MID(metadata!C512,15,2))&lt;=59,FALSE)), OR(MID(metadata!C512,17,1)="", AND(AND(MID(metadata!C512,17,1)=":",IFERROR(INT(MID(metadata!C512,18,1))&gt;=0,FALSE),IFERROR(INT(MID(metadata!C512,18,1))&lt;=5,FALSE),NOT(MID(metadata!C512,19,1)=""),IFERROR(INT(MID(metadata!C512,18,2))&gt;=0,FALSE),IFERROR(INT(MID(metadata!C512,18,2))&lt;=59,FALSE)), LEN(metadata!C512)&lt;=19)))))))))))))</f>
        <v>0</v>
      </c>
      <c r="AD512">
        <f>IF(metadata!D512="",FALSE,TRUE)</f>
        <v>0</v>
      </c>
      <c r="AE512">
        <f>OR(AND(IF(metadata!E512="",FALSE,TRUE),OR(exact(metadata!E512,"missing: not collected"),exact(metadata!E512,"missing: not provided"))),AND(IF(metadata!E512="",FALSE,TRUE),OR(exact(metadata!E512,"TRUE"),exact(metadata!E512,"FALSE"))))</f>
        <v>0</v>
      </c>
      <c r="AF512">
        <f>IF(metadata!F512="",FALSE,TRUE)</f>
        <v>0</v>
      </c>
      <c r="AG512">
        <f>IF(metadata!G512="",FALSE,TRUE)</f>
        <v>0</v>
      </c>
      <c r="AH512">
        <f>IF(metadata!H512="",FALSE,TRUE)</f>
        <v>0</v>
      </c>
      <c r="AI512">
        <f>OR(AND(IF(metadata!I512="",FALSE,TRUE),OR(exact(metadata!I512,"missing: not collected"),exact(metadata!I512,"missing: not provided"),exact(metadata!I512,"missing: restricted access"))),AND(IF(metadata!I512="",FALSE,TRUE),OR(exact(metadata!I512,"air"),exact(metadata!I512,"built environment"),exact(metadata!I512,"host-associated"),exact(metadata!I512,"human-associated"),exact(metadata!I512,"human-skin"),exact(metadata!I512,"human-oral"),exact(metadata!I512,"human-gut"),exact(metadata!I512,"human-vaginal"),exact(metadata!I512,"microbial mat/biofilm"),exact(metadata!I512,"misc environment"),exact(metadata!I512,"plant-associated"),exact(metadata!I512,"sediment"),exact(metadata!I512,"soil"),exact(metadata!I512,"wastewater/sludge"),exact(metadata!I512,"water"))))</f>
        <v>0</v>
      </c>
      <c r="AJ512">
        <f>IF(metadata!J512="",FALSE,TRUE)</f>
        <v>0</v>
      </c>
      <c r="AK512">
        <f>OR(AND(IF(metadata!K512="",FALSE,TRUE),OR(exact(metadata!K512,"missing: not collected"),exact(metadata!K512,"missing: not provided"),exact(metadata!K512,"missing: restricted access"))),AND(IF(metadata!K512="",FALSE,ISNUMBER(VALUE(metadata!K512))),metadata!K512&gt;=-90.00,metadata!K512&lt;=90.00))</f>
        <v>0</v>
      </c>
      <c r="AL512">
        <f>OR(AND(IF(metadata!L512="",FALSE,TRUE),OR(exact(metadata!L512,"missing: not collected"),exact(metadata!L512,"missing: not provided"),exact(metadata!L512,"missing: restricted access"))),AND(IF(metadata!L512="",FALSE,ISNUMBER(VALUE(metadata!L512))),metadata!L512&gt;=-180.00,metadata!L512&lt;=180.00))</f>
        <v>0</v>
      </c>
      <c r="AM512">
        <f>IF(metadata!M512="",FALSE,TRUE)</f>
        <v>0</v>
      </c>
      <c r="AN512">
        <f>OR(AND(IF(metadata!N512="",FALSE,TRUE),OR(exact(metadata!N512,"missing: not collected"),exact(metadata!N512,"missing: not provided"),exact(metadata!N512,"missing: restricted access"))),AND(IF(metadata!N512="",FALSE,TRUE),OR(exact(metadata!N512,"TRUE"),exact(metadata!N512,"FALSE"))))</f>
        <v>0</v>
      </c>
      <c r="AO512">
        <f>IF(metadata!O512="",FALSE,TRUE)</f>
        <v>0</v>
      </c>
      <c r="AP512">
        <f>OR(AND(IF(metadata!P512="",FALSE,TRUE),OR(exact(metadata!P512,"missing: not collected"),exact(metadata!P512,"missing: not provided"))),AND(IF(metadata!P512="",FALSE,IF(ISERROR(INT(metadata!P512)),FALSE,INT(metadata!P512)=metadata!P512)),metadata!P512&gt;0))</f>
        <v>0</v>
      </c>
      <c r="AQ512">
        <f>IF(metadata!Q512="",FALSE,TRUE)</f>
        <v>0</v>
      </c>
    </row>
    <row r="513" spans="1:43">
      <c r="A513" s="5">
        <f>IF(B513=" "," ",HYPERLINK(CONCATENATE("#metadata!",ADDRESS(INDEX($W$2:$W$1001,MATCH(ROWS($U$2:U513),$U$2:$U$1001,0),0),1)),INDEX($Z$2:$Z$1001,MATCH(ROWS($U$2:U513),$U$2:$U$1001,0),0)))</f>
        <v>0</v>
      </c>
      <c r="B513" s="4">
        <f>IF(OR(INDEX($V$2:$V$1001,MATCH(ROWS($U$2:U513),$U$2:$U$1001,0),1)&gt;=100000,INDEX($AB$1005:$AQ$1005,1,MATCH(COLUMNS($AB$1006:AB1006),$AB$1006:$AQ$1006,0))&gt;=100000), " ",IF(INDEX($AB$2:$AQ$1001,MATCH(ROWS($U$2:U513),$U$2:$U$1001,0),MATCH(COLUMNS($AB$1006:AB1006),$AB$1006:$AQ$1006,0)), HYPERLINK("#",""), HYPERLINK(CONCATENATE("#metadata!", ADDRESS(INDEX($W$2:$W$1001,MATCH(ROWS($U$2:U513),$U$2:$U$1001,0),0), INDEX($AB$1004:$AQ$1004,1,MATCH(COLUMNS($AB$1006:AB1006),$AB$1006:$AQ$1006,0)))),"Fix")))</f>
        <v>0</v>
      </c>
      <c r="C513" s="4">
        <f>IF(OR(INDEX($V$2:$V$1001,MATCH(ROWS($U$2:U513),$U$2:$U$1001,0),1)&gt;=100000,INDEX($AB$1005:$AQ$1005,1,MATCH(COLUMNS($AB$1006:AC1006),$AB$1006:$AQ$1006,0))&gt;=100000), " ",IF(INDEX($AB$2:$AQ$1001,MATCH(ROWS($U$2:U513),$U$2:$U$1001,0),MATCH(COLUMNS($AB$1006:AC1006),$AB$1006:$AQ$1006,0)), HYPERLINK("#",""), HYPERLINK(CONCATENATE("#metadata!", ADDRESS(INDEX($W$2:$W$1001,MATCH(ROWS($U$2:U513),$U$2:$U$1001,0),0), INDEX($AB$1004:$AQ$1004,1,MATCH(COLUMNS($AB$1006:AC1006),$AB$1006:$AQ$1006,0)))),"Fix")))</f>
        <v>0</v>
      </c>
      <c r="D513" s="4">
        <f>IF(OR(INDEX($V$2:$V$1001,MATCH(ROWS($U$2:U513),$U$2:$U$1001,0),1)&gt;=100000,INDEX($AB$1005:$AQ$1005,1,MATCH(COLUMNS($AB$1006:AD1006),$AB$1006:$AQ$1006,0))&gt;=100000), " ",IF(INDEX($AB$2:$AQ$1001,MATCH(ROWS($U$2:U513),$U$2:$U$1001,0),MATCH(COLUMNS($AB$1006:AD1006),$AB$1006:$AQ$1006,0)), HYPERLINK("#",""), HYPERLINK(CONCATENATE("#metadata!", ADDRESS(INDEX($W$2:$W$1001,MATCH(ROWS($U$2:U513),$U$2:$U$1001,0),0), INDEX($AB$1004:$AQ$1004,1,MATCH(COLUMNS($AB$1006:AD1006),$AB$1006:$AQ$1006,0)))),"Fix")))</f>
        <v>0</v>
      </c>
      <c r="E513" s="4">
        <f>IF(OR(INDEX($V$2:$V$1001,MATCH(ROWS($U$2:U513),$U$2:$U$1001,0),1)&gt;=100000,INDEX($AB$1005:$AQ$1005,1,MATCH(COLUMNS($AB$1006:AE1006),$AB$1006:$AQ$1006,0))&gt;=100000), " ",IF(INDEX($AB$2:$AQ$1001,MATCH(ROWS($U$2:U513),$U$2:$U$1001,0),MATCH(COLUMNS($AB$1006:AE1006),$AB$1006:$AQ$1006,0)), HYPERLINK("#",""), HYPERLINK(CONCATENATE("#metadata!", ADDRESS(INDEX($W$2:$W$1001,MATCH(ROWS($U$2:U513),$U$2:$U$1001,0),0), INDEX($AB$1004:$AQ$1004,1,MATCH(COLUMNS($AB$1006:AE1006),$AB$1006:$AQ$1006,0)))),"Fix")))</f>
        <v>0</v>
      </c>
      <c r="F513" s="4">
        <f>IF(OR(INDEX($V$2:$V$1001,MATCH(ROWS($U$2:U513),$U$2:$U$1001,0),1)&gt;=100000,INDEX($AB$1005:$AQ$1005,1,MATCH(COLUMNS($AB$1006:AF1006),$AB$1006:$AQ$1006,0))&gt;=100000), " ",IF(INDEX($AB$2:$AQ$1001,MATCH(ROWS($U$2:U513),$U$2:$U$1001,0),MATCH(COLUMNS($AB$1006:AF1006),$AB$1006:$AQ$1006,0)), HYPERLINK("#",""), HYPERLINK(CONCATENATE("#metadata!", ADDRESS(INDEX($W$2:$W$1001,MATCH(ROWS($U$2:U513),$U$2:$U$1001,0),0), INDEX($AB$1004:$AQ$1004,1,MATCH(COLUMNS($AB$1006:AF1006),$AB$1006:$AQ$1006,0)))),"Fix")))</f>
        <v>0</v>
      </c>
      <c r="G513" s="4">
        <f>IF(OR(INDEX($V$2:$V$1001,MATCH(ROWS($U$2:U513),$U$2:$U$1001,0),1)&gt;=100000,INDEX($AB$1005:$AQ$1005,1,MATCH(COLUMNS($AB$1006:AG1006),$AB$1006:$AQ$1006,0))&gt;=100000), " ",IF(INDEX($AB$2:$AQ$1001,MATCH(ROWS($U$2:U513),$U$2:$U$1001,0),MATCH(COLUMNS($AB$1006:AG1006),$AB$1006:$AQ$1006,0)), HYPERLINK("#",""), HYPERLINK(CONCATENATE("#metadata!", ADDRESS(INDEX($W$2:$W$1001,MATCH(ROWS($U$2:U513),$U$2:$U$1001,0),0), INDEX($AB$1004:$AQ$1004,1,MATCH(COLUMNS($AB$1006:AG1006),$AB$1006:$AQ$1006,0)))),"Fix")))</f>
        <v>0</v>
      </c>
      <c r="H513" s="4">
        <f>IF(OR(INDEX($V$2:$V$1001,MATCH(ROWS($U$2:U513),$U$2:$U$1001,0),1)&gt;=100000,INDEX($AB$1005:$AQ$1005,1,MATCH(COLUMNS($AB$1006:AH1006),$AB$1006:$AQ$1006,0))&gt;=100000), " ",IF(INDEX($AB$2:$AQ$1001,MATCH(ROWS($U$2:U513),$U$2:$U$1001,0),MATCH(COLUMNS($AB$1006:AH1006),$AB$1006:$AQ$1006,0)), HYPERLINK("#",""), HYPERLINK(CONCATENATE("#metadata!", ADDRESS(INDEX($W$2:$W$1001,MATCH(ROWS($U$2:U513),$U$2:$U$1001,0),0), INDEX($AB$1004:$AQ$1004,1,MATCH(COLUMNS($AB$1006:AH1006),$AB$1006:$AQ$1006,0)))),"Fix")))</f>
        <v>0</v>
      </c>
      <c r="I513" s="4">
        <f>IF(OR(INDEX($V$2:$V$1001,MATCH(ROWS($U$2:U513),$U$2:$U$1001,0),1)&gt;=100000,INDEX($AB$1005:$AQ$1005,1,MATCH(COLUMNS($AB$1006:AI1006),$AB$1006:$AQ$1006,0))&gt;=100000), " ",IF(INDEX($AB$2:$AQ$1001,MATCH(ROWS($U$2:U513),$U$2:$U$1001,0),MATCH(COLUMNS($AB$1006:AI1006),$AB$1006:$AQ$1006,0)), HYPERLINK("#",""), HYPERLINK(CONCATENATE("#metadata!", ADDRESS(INDEX($W$2:$W$1001,MATCH(ROWS($U$2:U513),$U$2:$U$1001,0),0), INDEX($AB$1004:$AQ$1004,1,MATCH(COLUMNS($AB$1006:AI1006),$AB$1006:$AQ$1006,0)))),"Fix")))</f>
        <v>0</v>
      </c>
      <c r="J513" s="4">
        <f>IF(OR(INDEX($V$2:$V$1001,MATCH(ROWS($U$2:U513),$U$2:$U$1001,0),1)&gt;=100000,INDEX($AB$1005:$AQ$1005,1,MATCH(COLUMNS($AB$1006:AJ1006),$AB$1006:$AQ$1006,0))&gt;=100000), " ",IF(INDEX($AB$2:$AQ$1001,MATCH(ROWS($U$2:U513),$U$2:$U$1001,0),MATCH(COLUMNS($AB$1006:AJ1006),$AB$1006:$AQ$1006,0)), HYPERLINK("#",""), HYPERLINK(CONCATENATE("#metadata!", ADDRESS(INDEX($W$2:$W$1001,MATCH(ROWS($U$2:U513),$U$2:$U$1001,0),0), INDEX($AB$1004:$AQ$1004,1,MATCH(COLUMNS($AB$1006:AJ1006),$AB$1006:$AQ$1006,0)))),"Fix")))</f>
        <v>0</v>
      </c>
      <c r="K513" s="4">
        <f>IF(OR(INDEX($V$2:$V$1001,MATCH(ROWS($U$2:U513),$U$2:$U$1001,0),1)&gt;=100000,INDEX($AB$1005:$AQ$1005,1,MATCH(COLUMNS($AB$1006:AK1006),$AB$1006:$AQ$1006,0))&gt;=100000), " ",IF(INDEX($AB$2:$AQ$1001,MATCH(ROWS($U$2:U513),$U$2:$U$1001,0),MATCH(COLUMNS($AB$1006:AK1006),$AB$1006:$AQ$1006,0)), HYPERLINK("#",""), HYPERLINK(CONCATENATE("#metadata!", ADDRESS(INDEX($W$2:$W$1001,MATCH(ROWS($U$2:U513),$U$2:$U$1001,0),0), INDEX($AB$1004:$AQ$1004,1,MATCH(COLUMNS($AB$1006:AK1006),$AB$1006:$AQ$1006,0)))),"Fix")))</f>
        <v>0</v>
      </c>
      <c r="L513" s="4">
        <f>IF(OR(INDEX($V$2:$V$1001,MATCH(ROWS($U$2:U513),$U$2:$U$1001,0),1)&gt;=100000,INDEX($AB$1005:$AQ$1005,1,MATCH(COLUMNS($AB$1006:AL1006),$AB$1006:$AQ$1006,0))&gt;=100000), " ",IF(INDEX($AB$2:$AQ$1001,MATCH(ROWS($U$2:U513),$U$2:$U$1001,0),MATCH(COLUMNS($AB$1006:AL1006),$AB$1006:$AQ$1006,0)), HYPERLINK("#",""), HYPERLINK(CONCATENATE("#metadata!", ADDRESS(INDEX($W$2:$W$1001,MATCH(ROWS($U$2:U513),$U$2:$U$1001,0),0), INDEX($AB$1004:$AQ$1004,1,MATCH(COLUMNS($AB$1006:AL1006),$AB$1006:$AQ$1006,0)))),"Fix")))</f>
        <v>0</v>
      </c>
      <c r="M513" s="4">
        <f>IF(OR(INDEX($V$2:$V$1001,MATCH(ROWS($U$2:U513),$U$2:$U$1001,0),1)&gt;=100000,INDEX($AB$1005:$AQ$1005,1,MATCH(COLUMNS($AB$1006:AM1006),$AB$1006:$AQ$1006,0))&gt;=100000), " ",IF(INDEX($AB$2:$AQ$1001,MATCH(ROWS($U$2:U513),$U$2:$U$1001,0),MATCH(COLUMNS($AB$1006:AM1006),$AB$1006:$AQ$1006,0)), HYPERLINK("#",""), HYPERLINK(CONCATENATE("#metadata!", ADDRESS(INDEX($W$2:$W$1001,MATCH(ROWS($U$2:U513),$U$2:$U$1001,0),0), INDEX($AB$1004:$AQ$1004,1,MATCH(COLUMNS($AB$1006:AM1006),$AB$1006:$AQ$1006,0)))),"Fix")))</f>
        <v>0</v>
      </c>
      <c r="N513" s="4">
        <f>IF(OR(INDEX($V$2:$V$1001,MATCH(ROWS($U$2:U513),$U$2:$U$1001,0),1)&gt;=100000,INDEX($AB$1005:$AQ$1005,1,MATCH(COLUMNS($AB$1006:AN1006),$AB$1006:$AQ$1006,0))&gt;=100000), " ",IF(INDEX($AB$2:$AQ$1001,MATCH(ROWS($U$2:U513),$U$2:$U$1001,0),MATCH(COLUMNS($AB$1006:AN1006),$AB$1006:$AQ$1006,0)), HYPERLINK("#",""), HYPERLINK(CONCATENATE("#metadata!", ADDRESS(INDEX($W$2:$W$1001,MATCH(ROWS($U$2:U513),$U$2:$U$1001,0),0), INDEX($AB$1004:$AQ$1004,1,MATCH(COLUMNS($AB$1006:AN1006),$AB$1006:$AQ$1006,0)))),"Fix")))</f>
        <v>0</v>
      </c>
      <c r="O513" s="4">
        <f>IF(OR(INDEX($V$2:$V$1001,MATCH(ROWS($U$2:U513),$U$2:$U$1001,0),1)&gt;=100000,INDEX($AB$1005:$AQ$1005,1,MATCH(COLUMNS($AB$1006:AO1006),$AB$1006:$AQ$1006,0))&gt;=100000), " ",IF(INDEX($AB$2:$AQ$1001,MATCH(ROWS($U$2:U513),$U$2:$U$1001,0),MATCH(COLUMNS($AB$1006:AO1006),$AB$1006:$AQ$1006,0)), HYPERLINK("#",""), HYPERLINK(CONCATENATE("#metadata!", ADDRESS(INDEX($W$2:$W$1001,MATCH(ROWS($U$2:U513),$U$2:$U$1001,0),0), INDEX($AB$1004:$AQ$1004,1,MATCH(COLUMNS($AB$1006:AO1006),$AB$1006:$AQ$1006,0)))),"Fix")))</f>
        <v>0</v>
      </c>
      <c r="P513" s="4">
        <f>IF(OR(INDEX($V$2:$V$1001,MATCH(ROWS($U$2:U513),$U$2:$U$1001,0),1)&gt;=100000,INDEX($AB$1005:$AQ$1005,1,MATCH(COLUMNS($AB$1006:AP1006),$AB$1006:$AQ$1006,0))&gt;=100000), " ",IF(INDEX($AB$2:$AQ$1001,MATCH(ROWS($U$2:U513),$U$2:$U$1001,0),MATCH(COLUMNS($AB$1006:AP1006),$AB$1006:$AQ$1006,0)), HYPERLINK("#",""), HYPERLINK(CONCATENATE("#metadata!", ADDRESS(INDEX($W$2:$W$1001,MATCH(ROWS($U$2:U513),$U$2:$U$1001,0),0), INDEX($AB$1004:$AQ$1004,1,MATCH(COLUMNS($AB$1006:AP1006),$AB$1006:$AQ$1006,0)))),"Fix")))</f>
        <v>0</v>
      </c>
      <c r="Q513" s="4">
        <f>IF(OR(INDEX($V$2:$V$1001,MATCH(ROWS($U$2:U513),$U$2:$U$1001,0),1)&gt;=100000,INDEX($AB$1005:$AQ$1005,1,MATCH(COLUMNS($AB$1006:AQ1006),$AB$1006:$AQ$1006,0))&gt;=100000), " ",IF(INDEX($AB$2:$AQ$1001,MATCH(ROWS($U$2:U513),$U$2:$U$1001,0),MATCH(COLUMNS($AB$1006:AQ1006),$AB$1006:$AQ$1006,0)), HYPERLINK("#",""), HYPERLINK(CONCATENATE("#metadata!", ADDRESS(INDEX($W$2:$W$1001,MATCH(ROWS($U$2:U513),$U$2:$U$1001,0),0), INDEX($AB$1004:$AQ$1004,1,MATCH(COLUMNS($AB$1006:AQ1006),$AB$1006:$AQ$1006,0)))),"Fix")))</f>
        <v>0</v>
      </c>
      <c r="U513">
        <v>0</v>
      </c>
      <c r="V513">
        <v>0</v>
      </c>
      <c r="W513">
        <v>0</v>
      </c>
      <c r="X513">
        <f>IF(Y513,TRUE,AND(AB513:AQ513))</f>
        <v>0</v>
      </c>
      <c r="Y513">
        <f>COUNTBLANK(metadata!B513:Q513)=COLUMNS(metadata!B513:Q513)</f>
        <v>0</v>
      </c>
      <c r="Z513">
        <v>0</v>
      </c>
      <c r="AB513">
        <f>AND(IF(metadata!B513="",FALSE,TRUE),COUNTIF(metadata!B:B, metadata!B513) = 1,NOT(ISERROR(SUMPRODUCT(SEARCH(MID(metadata!B513,ROW(INDIRECT("1:"&amp;LEN(metadata!B513))), 1),"0123456789abcdefghijklmnopqrstuvwxyzABCDEFGHIJKLMNOPQRSTUVWXYZ.")))))</f>
        <v>0</v>
      </c>
      <c r="AC513">
        <f>OR(AND(IF(metadata!C513="",FALSE,TRUE),OR(exact(metadata!C513,"missing: not collected"),exact(metadata!C513,"missing: not provided"),exact(metadata!C513,"missing: restricted access"))),AND(IF(metadata!C513="",FALSE,TRUE),AND(AND(IFERROR(INT(LEFT(metadata!C513,4))&gt;1900,FALSE),IFERROR(INT(LEFT(metadata!C513,4))&lt;=YEAR(NOW()),FALSE)), OR(MID(metadata!C513,5,1)="", AND(AND(MID(metadata!C513,5,1)="-",IFERROR(INT(MID(metadata!C513,6,1))&gt;=0,FALSE),IFERROR(INT(MID(metadata!C513,6,1))&lt;=1,FALSE),NOT(MID(metadata!C513,7,1)=""),IFERROR(INT(MID(metadata!C513,6,2))&gt;=1,FALSE),IFERROR(INT(MID(metadata!C513,6,2))&lt;=12,FALSE)), OR(MID(metadata!C513,8,1)="", AND(AND(MID(metadata!C513,8,1)="-",IFERROR(INT(MID(metadata!C513,9,1))&gt;=0,FALSE),IFERROR(INT(MID(metadata!C513,9,1))&lt;=3,FALSE),NOT(MID(metadata!C513,10,1)=""),IFERROR(INT(MID(metadata!C513,9,2))&gt;=1,FALSE),IFERROR(INT(MID(metadata!C513,9,2))&lt;=31,FALSE)), OR(MID(metadata!C513,11,1)="", AND(AND(MID(metadata!C513,11,1)=" ",IFERROR(INT(MID(metadata!C513,12,1))&gt;=0,FALSE),IFERROR(INT(MID(metadata!C513,12,1))&lt;=2,FALSE),NOT(MID(metadata!C513,13,1)=""),IFERROR(INT(MID(metadata!C513,12,2))&gt;=0,FALSE),IFERROR(INT(MID(metadata!C513,12,2))&lt;=23,FALSE)), OR(MID(metadata!C513,14,1)="", AND(AND(MID(metadata!C513,14,1)=":",IFERROR(INT(MID(metadata!C513,15,1))&gt;=0,FALSE),IFERROR(INT(MID(metadata!C513,15,1))&lt;=5,FALSE),NOT(MID(metadata!C513,16,1)=""),IFERROR(INT(MID(metadata!C513,15,2))&gt;=0,FALSE),IFERROR(INT(MID(metadata!C513,15,2))&lt;=59,FALSE)), OR(MID(metadata!C513,17,1)="", AND(AND(MID(metadata!C513,17,1)=":",IFERROR(INT(MID(metadata!C513,18,1))&gt;=0,FALSE),IFERROR(INT(MID(metadata!C513,18,1))&lt;=5,FALSE),NOT(MID(metadata!C513,19,1)=""),IFERROR(INT(MID(metadata!C513,18,2))&gt;=0,FALSE),IFERROR(INT(MID(metadata!C513,18,2))&lt;=59,FALSE)), LEN(metadata!C513)&lt;=19)))))))))))))</f>
        <v>0</v>
      </c>
      <c r="AD513">
        <f>IF(metadata!D513="",FALSE,TRUE)</f>
        <v>0</v>
      </c>
      <c r="AE513">
        <f>OR(AND(IF(metadata!E513="",FALSE,TRUE),OR(exact(metadata!E513,"missing: not collected"),exact(metadata!E513,"missing: not provided"))),AND(IF(metadata!E513="",FALSE,TRUE),OR(exact(metadata!E513,"TRUE"),exact(metadata!E513,"FALSE"))))</f>
        <v>0</v>
      </c>
      <c r="AF513">
        <f>IF(metadata!F513="",FALSE,TRUE)</f>
        <v>0</v>
      </c>
      <c r="AG513">
        <f>IF(metadata!G513="",FALSE,TRUE)</f>
        <v>0</v>
      </c>
      <c r="AH513">
        <f>IF(metadata!H513="",FALSE,TRUE)</f>
        <v>0</v>
      </c>
      <c r="AI513">
        <f>OR(AND(IF(metadata!I513="",FALSE,TRUE),OR(exact(metadata!I513,"missing: not collected"),exact(metadata!I513,"missing: not provided"),exact(metadata!I513,"missing: restricted access"))),AND(IF(metadata!I513="",FALSE,TRUE),OR(exact(metadata!I513,"air"),exact(metadata!I513,"built environment"),exact(metadata!I513,"host-associated"),exact(metadata!I513,"human-associated"),exact(metadata!I513,"human-skin"),exact(metadata!I513,"human-oral"),exact(metadata!I513,"human-gut"),exact(metadata!I513,"human-vaginal"),exact(metadata!I513,"microbial mat/biofilm"),exact(metadata!I513,"misc environment"),exact(metadata!I513,"plant-associated"),exact(metadata!I513,"sediment"),exact(metadata!I513,"soil"),exact(metadata!I513,"wastewater/sludge"),exact(metadata!I513,"water"))))</f>
        <v>0</v>
      </c>
      <c r="AJ513">
        <f>IF(metadata!J513="",FALSE,TRUE)</f>
        <v>0</v>
      </c>
      <c r="AK513">
        <f>OR(AND(IF(metadata!K513="",FALSE,TRUE),OR(exact(metadata!K513,"missing: not collected"),exact(metadata!K513,"missing: not provided"),exact(metadata!K513,"missing: restricted access"))),AND(IF(metadata!K513="",FALSE,ISNUMBER(VALUE(metadata!K513))),metadata!K513&gt;=-90.00,metadata!K513&lt;=90.00))</f>
        <v>0</v>
      </c>
      <c r="AL513">
        <f>OR(AND(IF(metadata!L513="",FALSE,TRUE),OR(exact(metadata!L513,"missing: not collected"),exact(metadata!L513,"missing: not provided"),exact(metadata!L513,"missing: restricted access"))),AND(IF(metadata!L513="",FALSE,ISNUMBER(VALUE(metadata!L513))),metadata!L513&gt;=-180.00,metadata!L513&lt;=180.00))</f>
        <v>0</v>
      </c>
      <c r="AM513">
        <f>IF(metadata!M513="",FALSE,TRUE)</f>
        <v>0</v>
      </c>
      <c r="AN513">
        <f>OR(AND(IF(metadata!N513="",FALSE,TRUE),OR(exact(metadata!N513,"missing: not collected"),exact(metadata!N513,"missing: not provided"),exact(metadata!N513,"missing: restricted access"))),AND(IF(metadata!N513="",FALSE,TRUE),OR(exact(metadata!N513,"TRUE"),exact(metadata!N513,"FALSE"))))</f>
        <v>0</v>
      </c>
      <c r="AO513">
        <f>IF(metadata!O513="",FALSE,TRUE)</f>
        <v>0</v>
      </c>
      <c r="AP513">
        <f>OR(AND(IF(metadata!P513="",FALSE,TRUE),OR(exact(metadata!P513,"missing: not collected"),exact(metadata!P513,"missing: not provided"))),AND(IF(metadata!P513="",FALSE,IF(ISERROR(INT(metadata!P513)),FALSE,INT(metadata!P513)=metadata!P513)),metadata!P513&gt;0))</f>
        <v>0</v>
      </c>
      <c r="AQ513">
        <f>IF(metadata!Q513="",FALSE,TRUE)</f>
        <v>0</v>
      </c>
    </row>
    <row r="514" spans="1:43">
      <c r="A514" s="5">
        <f>IF(B514=" "," ",HYPERLINK(CONCATENATE("#metadata!",ADDRESS(INDEX($W$2:$W$1001,MATCH(ROWS($U$2:U514),$U$2:$U$1001,0),0),1)),INDEX($Z$2:$Z$1001,MATCH(ROWS($U$2:U514),$U$2:$U$1001,0),0)))</f>
        <v>0</v>
      </c>
      <c r="B514" s="4">
        <f>IF(OR(INDEX($V$2:$V$1001,MATCH(ROWS($U$2:U514),$U$2:$U$1001,0),1)&gt;=100000,INDEX($AB$1005:$AQ$1005,1,MATCH(COLUMNS($AB$1006:AB1006),$AB$1006:$AQ$1006,0))&gt;=100000), " ",IF(INDEX($AB$2:$AQ$1001,MATCH(ROWS($U$2:U514),$U$2:$U$1001,0),MATCH(COLUMNS($AB$1006:AB1006),$AB$1006:$AQ$1006,0)), HYPERLINK("#",""), HYPERLINK(CONCATENATE("#metadata!", ADDRESS(INDEX($W$2:$W$1001,MATCH(ROWS($U$2:U514),$U$2:$U$1001,0),0), INDEX($AB$1004:$AQ$1004,1,MATCH(COLUMNS($AB$1006:AB1006),$AB$1006:$AQ$1006,0)))),"Fix")))</f>
        <v>0</v>
      </c>
      <c r="C514" s="4">
        <f>IF(OR(INDEX($V$2:$V$1001,MATCH(ROWS($U$2:U514),$U$2:$U$1001,0),1)&gt;=100000,INDEX($AB$1005:$AQ$1005,1,MATCH(COLUMNS($AB$1006:AC1006),$AB$1006:$AQ$1006,0))&gt;=100000), " ",IF(INDEX($AB$2:$AQ$1001,MATCH(ROWS($U$2:U514),$U$2:$U$1001,0),MATCH(COLUMNS($AB$1006:AC1006),$AB$1006:$AQ$1006,0)), HYPERLINK("#",""), HYPERLINK(CONCATENATE("#metadata!", ADDRESS(INDEX($W$2:$W$1001,MATCH(ROWS($U$2:U514),$U$2:$U$1001,0),0), INDEX($AB$1004:$AQ$1004,1,MATCH(COLUMNS($AB$1006:AC1006),$AB$1006:$AQ$1006,0)))),"Fix")))</f>
        <v>0</v>
      </c>
      <c r="D514" s="4">
        <f>IF(OR(INDEX($V$2:$V$1001,MATCH(ROWS($U$2:U514),$U$2:$U$1001,0),1)&gt;=100000,INDEX($AB$1005:$AQ$1005,1,MATCH(COLUMNS($AB$1006:AD1006),$AB$1006:$AQ$1006,0))&gt;=100000), " ",IF(INDEX($AB$2:$AQ$1001,MATCH(ROWS($U$2:U514),$U$2:$U$1001,0),MATCH(COLUMNS($AB$1006:AD1006),$AB$1006:$AQ$1006,0)), HYPERLINK("#",""), HYPERLINK(CONCATENATE("#metadata!", ADDRESS(INDEX($W$2:$W$1001,MATCH(ROWS($U$2:U514),$U$2:$U$1001,0),0), INDEX($AB$1004:$AQ$1004,1,MATCH(COLUMNS($AB$1006:AD1006),$AB$1006:$AQ$1006,0)))),"Fix")))</f>
        <v>0</v>
      </c>
      <c r="E514" s="4">
        <f>IF(OR(INDEX($V$2:$V$1001,MATCH(ROWS($U$2:U514),$U$2:$U$1001,0),1)&gt;=100000,INDEX($AB$1005:$AQ$1005,1,MATCH(COLUMNS($AB$1006:AE1006),$AB$1006:$AQ$1006,0))&gt;=100000), " ",IF(INDEX($AB$2:$AQ$1001,MATCH(ROWS($U$2:U514),$U$2:$U$1001,0),MATCH(COLUMNS($AB$1006:AE1006),$AB$1006:$AQ$1006,0)), HYPERLINK("#",""), HYPERLINK(CONCATENATE("#metadata!", ADDRESS(INDEX($W$2:$W$1001,MATCH(ROWS($U$2:U514),$U$2:$U$1001,0),0), INDEX($AB$1004:$AQ$1004,1,MATCH(COLUMNS($AB$1006:AE1006),$AB$1006:$AQ$1006,0)))),"Fix")))</f>
        <v>0</v>
      </c>
      <c r="F514" s="4">
        <f>IF(OR(INDEX($V$2:$V$1001,MATCH(ROWS($U$2:U514),$U$2:$U$1001,0),1)&gt;=100000,INDEX($AB$1005:$AQ$1005,1,MATCH(COLUMNS($AB$1006:AF1006),$AB$1006:$AQ$1006,0))&gt;=100000), " ",IF(INDEX($AB$2:$AQ$1001,MATCH(ROWS($U$2:U514),$U$2:$U$1001,0),MATCH(COLUMNS($AB$1006:AF1006),$AB$1006:$AQ$1006,0)), HYPERLINK("#",""), HYPERLINK(CONCATENATE("#metadata!", ADDRESS(INDEX($W$2:$W$1001,MATCH(ROWS($U$2:U514),$U$2:$U$1001,0),0), INDEX($AB$1004:$AQ$1004,1,MATCH(COLUMNS($AB$1006:AF1006),$AB$1006:$AQ$1006,0)))),"Fix")))</f>
        <v>0</v>
      </c>
      <c r="G514" s="4">
        <f>IF(OR(INDEX($V$2:$V$1001,MATCH(ROWS($U$2:U514),$U$2:$U$1001,0),1)&gt;=100000,INDEX($AB$1005:$AQ$1005,1,MATCH(COLUMNS($AB$1006:AG1006),$AB$1006:$AQ$1006,0))&gt;=100000), " ",IF(INDEX($AB$2:$AQ$1001,MATCH(ROWS($U$2:U514),$U$2:$U$1001,0),MATCH(COLUMNS($AB$1006:AG1006),$AB$1006:$AQ$1006,0)), HYPERLINK("#",""), HYPERLINK(CONCATENATE("#metadata!", ADDRESS(INDEX($W$2:$W$1001,MATCH(ROWS($U$2:U514),$U$2:$U$1001,0),0), INDEX($AB$1004:$AQ$1004,1,MATCH(COLUMNS($AB$1006:AG1006),$AB$1006:$AQ$1006,0)))),"Fix")))</f>
        <v>0</v>
      </c>
      <c r="H514" s="4">
        <f>IF(OR(INDEX($V$2:$V$1001,MATCH(ROWS($U$2:U514),$U$2:$U$1001,0),1)&gt;=100000,INDEX($AB$1005:$AQ$1005,1,MATCH(COLUMNS($AB$1006:AH1006),$AB$1006:$AQ$1006,0))&gt;=100000), " ",IF(INDEX($AB$2:$AQ$1001,MATCH(ROWS($U$2:U514),$U$2:$U$1001,0),MATCH(COLUMNS($AB$1006:AH1006),$AB$1006:$AQ$1006,0)), HYPERLINK("#",""), HYPERLINK(CONCATENATE("#metadata!", ADDRESS(INDEX($W$2:$W$1001,MATCH(ROWS($U$2:U514),$U$2:$U$1001,0),0), INDEX($AB$1004:$AQ$1004,1,MATCH(COLUMNS($AB$1006:AH1006),$AB$1006:$AQ$1006,0)))),"Fix")))</f>
        <v>0</v>
      </c>
      <c r="I514" s="4">
        <f>IF(OR(INDEX($V$2:$V$1001,MATCH(ROWS($U$2:U514),$U$2:$U$1001,0),1)&gt;=100000,INDEX($AB$1005:$AQ$1005,1,MATCH(COLUMNS($AB$1006:AI1006),$AB$1006:$AQ$1006,0))&gt;=100000), " ",IF(INDEX($AB$2:$AQ$1001,MATCH(ROWS($U$2:U514),$U$2:$U$1001,0),MATCH(COLUMNS($AB$1006:AI1006),$AB$1006:$AQ$1006,0)), HYPERLINK("#",""), HYPERLINK(CONCATENATE("#metadata!", ADDRESS(INDEX($W$2:$W$1001,MATCH(ROWS($U$2:U514),$U$2:$U$1001,0),0), INDEX($AB$1004:$AQ$1004,1,MATCH(COLUMNS($AB$1006:AI1006),$AB$1006:$AQ$1006,0)))),"Fix")))</f>
        <v>0</v>
      </c>
      <c r="J514" s="4">
        <f>IF(OR(INDEX($V$2:$V$1001,MATCH(ROWS($U$2:U514),$U$2:$U$1001,0),1)&gt;=100000,INDEX($AB$1005:$AQ$1005,1,MATCH(COLUMNS($AB$1006:AJ1006),$AB$1006:$AQ$1006,0))&gt;=100000), " ",IF(INDEX($AB$2:$AQ$1001,MATCH(ROWS($U$2:U514),$U$2:$U$1001,0),MATCH(COLUMNS($AB$1006:AJ1006),$AB$1006:$AQ$1006,0)), HYPERLINK("#",""), HYPERLINK(CONCATENATE("#metadata!", ADDRESS(INDEX($W$2:$W$1001,MATCH(ROWS($U$2:U514),$U$2:$U$1001,0),0), INDEX($AB$1004:$AQ$1004,1,MATCH(COLUMNS($AB$1006:AJ1006),$AB$1006:$AQ$1006,0)))),"Fix")))</f>
        <v>0</v>
      </c>
      <c r="K514" s="4">
        <f>IF(OR(INDEX($V$2:$V$1001,MATCH(ROWS($U$2:U514),$U$2:$U$1001,0),1)&gt;=100000,INDEX($AB$1005:$AQ$1005,1,MATCH(COLUMNS($AB$1006:AK1006),$AB$1006:$AQ$1006,0))&gt;=100000), " ",IF(INDEX($AB$2:$AQ$1001,MATCH(ROWS($U$2:U514),$U$2:$U$1001,0),MATCH(COLUMNS($AB$1006:AK1006),$AB$1006:$AQ$1006,0)), HYPERLINK("#",""), HYPERLINK(CONCATENATE("#metadata!", ADDRESS(INDEX($W$2:$W$1001,MATCH(ROWS($U$2:U514),$U$2:$U$1001,0),0), INDEX($AB$1004:$AQ$1004,1,MATCH(COLUMNS($AB$1006:AK1006),$AB$1006:$AQ$1006,0)))),"Fix")))</f>
        <v>0</v>
      </c>
      <c r="L514" s="4">
        <f>IF(OR(INDEX($V$2:$V$1001,MATCH(ROWS($U$2:U514),$U$2:$U$1001,0),1)&gt;=100000,INDEX($AB$1005:$AQ$1005,1,MATCH(COLUMNS($AB$1006:AL1006),$AB$1006:$AQ$1006,0))&gt;=100000), " ",IF(INDEX($AB$2:$AQ$1001,MATCH(ROWS($U$2:U514),$U$2:$U$1001,0),MATCH(COLUMNS($AB$1006:AL1006),$AB$1006:$AQ$1006,0)), HYPERLINK("#",""), HYPERLINK(CONCATENATE("#metadata!", ADDRESS(INDEX($W$2:$W$1001,MATCH(ROWS($U$2:U514),$U$2:$U$1001,0),0), INDEX($AB$1004:$AQ$1004,1,MATCH(COLUMNS($AB$1006:AL1006),$AB$1006:$AQ$1006,0)))),"Fix")))</f>
        <v>0</v>
      </c>
      <c r="M514" s="4">
        <f>IF(OR(INDEX($V$2:$V$1001,MATCH(ROWS($U$2:U514),$U$2:$U$1001,0),1)&gt;=100000,INDEX($AB$1005:$AQ$1005,1,MATCH(COLUMNS($AB$1006:AM1006),$AB$1006:$AQ$1006,0))&gt;=100000), " ",IF(INDEX($AB$2:$AQ$1001,MATCH(ROWS($U$2:U514),$U$2:$U$1001,0),MATCH(COLUMNS($AB$1006:AM1006),$AB$1006:$AQ$1006,0)), HYPERLINK("#",""), HYPERLINK(CONCATENATE("#metadata!", ADDRESS(INDEX($W$2:$W$1001,MATCH(ROWS($U$2:U514),$U$2:$U$1001,0),0), INDEX($AB$1004:$AQ$1004,1,MATCH(COLUMNS($AB$1006:AM1006),$AB$1006:$AQ$1006,0)))),"Fix")))</f>
        <v>0</v>
      </c>
      <c r="N514" s="4">
        <f>IF(OR(INDEX($V$2:$V$1001,MATCH(ROWS($U$2:U514),$U$2:$U$1001,0),1)&gt;=100000,INDEX($AB$1005:$AQ$1005,1,MATCH(COLUMNS($AB$1006:AN1006),$AB$1006:$AQ$1006,0))&gt;=100000), " ",IF(INDEX($AB$2:$AQ$1001,MATCH(ROWS($U$2:U514),$U$2:$U$1001,0),MATCH(COLUMNS($AB$1006:AN1006),$AB$1006:$AQ$1006,0)), HYPERLINK("#",""), HYPERLINK(CONCATENATE("#metadata!", ADDRESS(INDEX($W$2:$W$1001,MATCH(ROWS($U$2:U514),$U$2:$U$1001,0),0), INDEX($AB$1004:$AQ$1004,1,MATCH(COLUMNS($AB$1006:AN1006),$AB$1006:$AQ$1006,0)))),"Fix")))</f>
        <v>0</v>
      </c>
      <c r="O514" s="4">
        <f>IF(OR(INDEX($V$2:$V$1001,MATCH(ROWS($U$2:U514),$U$2:$U$1001,0),1)&gt;=100000,INDEX($AB$1005:$AQ$1005,1,MATCH(COLUMNS($AB$1006:AO1006),$AB$1006:$AQ$1006,0))&gt;=100000), " ",IF(INDEX($AB$2:$AQ$1001,MATCH(ROWS($U$2:U514),$U$2:$U$1001,0),MATCH(COLUMNS($AB$1006:AO1006),$AB$1006:$AQ$1006,0)), HYPERLINK("#",""), HYPERLINK(CONCATENATE("#metadata!", ADDRESS(INDEX($W$2:$W$1001,MATCH(ROWS($U$2:U514),$U$2:$U$1001,0),0), INDEX($AB$1004:$AQ$1004,1,MATCH(COLUMNS($AB$1006:AO1006),$AB$1006:$AQ$1006,0)))),"Fix")))</f>
        <v>0</v>
      </c>
      <c r="P514" s="4">
        <f>IF(OR(INDEX($V$2:$V$1001,MATCH(ROWS($U$2:U514),$U$2:$U$1001,0),1)&gt;=100000,INDEX($AB$1005:$AQ$1005,1,MATCH(COLUMNS($AB$1006:AP1006),$AB$1006:$AQ$1006,0))&gt;=100000), " ",IF(INDEX($AB$2:$AQ$1001,MATCH(ROWS($U$2:U514),$U$2:$U$1001,0),MATCH(COLUMNS($AB$1006:AP1006),$AB$1006:$AQ$1006,0)), HYPERLINK("#",""), HYPERLINK(CONCATENATE("#metadata!", ADDRESS(INDEX($W$2:$W$1001,MATCH(ROWS($U$2:U514),$U$2:$U$1001,0),0), INDEX($AB$1004:$AQ$1004,1,MATCH(COLUMNS($AB$1006:AP1006),$AB$1006:$AQ$1006,0)))),"Fix")))</f>
        <v>0</v>
      </c>
      <c r="Q514" s="4">
        <f>IF(OR(INDEX($V$2:$V$1001,MATCH(ROWS($U$2:U514),$U$2:$U$1001,0),1)&gt;=100000,INDEX($AB$1005:$AQ$1005,1,MATCH(COLUMNS($AB$1006:AQ1006),$AB$1006:$AQ$1006,0))&gt;=100000), " ",IF(INDEX($AB$2:$AQ$1001,MATCH(ROWS($U$2:U514),$U$2:$U$1001,0),MATCH(COLUMNS($AB$1006:AQ1006),$AB$1006:$AQ$1006,0)), HYPERLINK("#",""), HYPERLINK(CONCATENATE("#metadata!", ADDRESS(INDEX($W$2:$W$1001,MATCH(ROWS($U$2:U514),$U$2:$U$1001,0),0), INDEX($AB$1004:$AQ$1004,1,MATCH(COLUMNS($AB$1006:AQ1006),$AB$1006:$AQ$1006,0)))),"Fix")))</f>
        <v>0</v>
      </c>
      <c r="U514">
        <v>0</v>
      </c>
      <c r="V514">
        <v>0</v>
      </c>
      <c r="W514">
        <v>0</v>
      </c>
      <c r="X514">
        <f>IF(Y514,TRUE,AND(AB514:AQ514))</f>
        <v>0</v>
      </c>
      <c r="Y514">
        <f>COUNTBLANK(metadata!B514:Q514)=COLUMNS(metadata!B514:Q514)</f>
        <v>0</v>
      </c>
      <c r="Z514">
        <v>0</v>
      </c>
      <c r="AB514">
        <f>AND(IF(metadata!B514="",FALSE,TRUE),COUNTIF(metadata!B:B, metadata!B514) = 1,NOT(ISERROR(SUMPRODUCT(SEARCH(MID(metadata!B514,ROW(INDIRECT("1:"&amp;LEN(metadata!B514))), 1),"0123456789abcdefghijklmnopqrstuvwxyzABCDEFGHIJKLMNOPQRSTUVWXYZ.")))))</f>
        <v>0</v>
      </c>
      <c r="AC514">
        <f>OR(AND(IF(metadata!C514="",FALSE,TRUE),OR(exact(metadata!C514,"missing: not collected"),exact(metadata!C514,"missing: not provided"),exact(metadata!C514,"missing: restricted access"))),AND(IF(metadata!C514="",FALSE,TRUE),AND(AND(IFERROR(INT(LEFT(metadata!C514,4))&gt;1900,FALSE),IFERROR(INT(LEFT(metadata!C514,4))&lt;=YEAR(NOW()),FALSE)), OR(MID(metadata!C514,5,1)="", AND(AND(MID(metadata!C514,5,1)="-",IFERROR(INT(MID(metadata!C514,6,1))&gt;=0,FALSE),IFERROR(INT(MID(metadata!C514,6,1))&lt;=1,FALSE),NOT(MID(metadata!C514,7,1)=""),IFERROR(INT(MID(metadata!C514,6,2))&gt;=1,FALSE),IFERROR(INT(MID(metadata!C514,6,2))&lt;=12,FALSE)), OR(MID(metadata!C514,8,1)="", AND(AND(MID(metadata!C514,8,1)="-",IFERROR(INT(MID(metadata!C514,9,1))&gt;=0,FALSE),IFERROR(INT(MID(metadata!C514,9,1))&lt;=3,FALSE),NOT(MID(metadata!C514,10,1)=""),IFERROR(INT(MID(metadata!C514,9,2))&gt;=1,FALSE),IFERROR(INT(MID(metadata!C514,9,2))&lt;=31,FALSE)), OR(MID(metadata!C514,11,1)="", AND(AND(MID(metadata!C514,11,1)=" ",IFERROR(INT(MID(metadata!C514,12,1))&gt;=0,FALSE),IFERROR(INT(MID(metadata!C514,12,1))&lt;=2,FALSE),NOT(MID(metadata!C514,13,1)=""),IFERROR(INT(MID(metadata!C514,12,2))&gt;=0,FALSE),IFERROR(INT(MID(metadata!C514,12,2))&lt;=23,FALSE)), OR(MID(metadata!C514,14,1)="", AND(AND(MID(metadata!C514,14,1)=":",IFERROR(INT(MID(metadata!C514,15,1))&gt;=0,FALSE),IFERROR(INT(MID(metadata!C514,15,1))&lt;=5,FALSE),NOT(MID(metadata!C514,16,1)=""),IFERROR(INT(MID(metadata!C514,15,2))&gt;=0,FALSE),IFERROR(INT(MID(metadata!C514,15,2))&lt;=59,FALSE)), OR(MID(metadata!C514,17,1)="", AND(AND(MID(metadata!C514,17,1)=":",IFERROR(INT(MID(metadata!C514,18,1))&gt;=0,FALSE),IFERROR(INT(MID(metadata!C514,18,1))&lt;=5,FALSE),NOT(MID(metadata!C514,19,1)=""),IFERROR(INT(MID(metadata!C514,18,2))&gt;=0,FALSE),IFERROR(INT(MID(metadata!C514,18,2))&lt;=59,FALSE)), LEN(metadata!C514)&lt;=19)))))))))))))</f>
        <v>0</v>
      </c>
      <c r="AD514">
        <f>IF(metadata!D514="",FALSE,TRUE)</f>
        <v>0</v>
      </c>
      <c r="AE514">
        <f>OR(AND(IF(metadata!E514="",FALSE,TRUE),OR(exact(metadata!E514,"missing: not collected"),exact(metadata!E514,"missing: not provided"))),AND(IF(metadata!E514="",FALSE,TRUE),OR(exact(metadata!E514,"TRUE"),exact(metadata!E514,"FALSE"))))</f>
        <v>0</v>
      </c>
      <c r="AF514">
        <f>IF(metadata!F514="",FALSE,TRUE)</f>
        <v>0</v>
      </c>
      <c r="AG514">
        <f>IF(metadata!G514="",FALSE,TRUE)</f>
        <v>0</v>
      </c>
      <c r="AH514">
        <f>IF(metadata!H514="",FALSE,TRUE)</f>
        <v>0</v>
      </c>
      <c r="AI514">
        <f>OR(AND(IF(metadata!I514="",FALSE,TRUE),OR(exact(metadata!I514,"missing: not collected"),exact(metadata!I514,"missing: not provided"),exact(metadata!I514,"missing: restricted access"))),AND(IF(metadata!I514="",FALSE,TRUE),OR(exact(metadata!I514,"air"),exact(metadata!I514,"built environment"),exact(metadata!I514,"host-associated"),exact(metadata!I514,"human-associated"),exact(metadata!I514,"human-skin"),exact(metadata!I514,"human-oral"),exact(metadata!I514,"human-gut"),exact(metadata!I514,"human-vaginal"),exact(metadata!I514,"microbial mat/biofilm"),exact(metadata!I514,"misc environment"),exact(metadata!I514,"plant-associated"),exact(metadata!I514,"sediment"),exact(metadata!I514,"soil"),exact(metadata!I514,"wastewater/sludge"),exact(metadata!I514,"water"))))</f>
        <v>0</v>
      </c>
      <c r="AJ514">
        <f>IF(metadata!J514="",FALSE,TRUE)</f>
        <v>0</v>
      </c>
      <c r="AK514">
        <f>OR(AND(IF(metadata!K514="",FALSE,TRUE),OR(exact(metadata!K514,"missing: not collected"),exact(metadata!K514,"missing: not provided"),exact(metadata!K514,"missing: restricted access"))),AND(IF(metadata!K514="",FALSE,ISNUMBER(VALUE(metadata!K514))),metadata!K514&gt;=-90.00,metadata!K514&lt;=90.00))</f>
        <v>0</v>
      </c>
      <c r="AL514">
        <f>OR(AND(IF(metadata!L514="",FALSE,TRUE),OR(exact(metadata!L514,"missing: not collected"),exact(metadata!L514,"missing: not provided"),exact(metadata!L514,"missing: restricted access"))),AND(IF(metadata!L514="",FALSE,ISNUMBER(VALUE(metadata!L514))),metadata!L514&gt;=-180.00,metadata!L514&lt;=180.00))</f>
        <v>0</v>
      </c>
      <c r="AM514">
        <f>IF(metadata!M514="",FALSE,TRUE)</f>
        <v>0</v>
      </c>
      <c r="AN514">
        <f>OR(AND(IF(metadata!N514="",FALSE,TRUE),OR(exact(metadata!N514,"missing: not collected"),exact(metadata!N514,"missing: not provided"),exact(metadata!N514,"missing: restricted access"))),AND(IF(metadata!N514="",FALSE,TRUE),OR(exact(metadata!N514,"TRUE"),exact(metadata!N514,"FALSE"))))</f>
        <v>0</v>
      </c>
      <c r="AO514">
        <f>IF(metadata!O514="",FALSE,TRUE)</f>
        <v>0</v>
      </c>
      <c r="AP514">
        <f>OR(AND(IF(metadata!P514="",FALSE,TRUE),OR(exact(metadata!P514,"missing: not collected"),exact(metadata!P514,"missing: not provided"))),AND(IF(metadata!P514="",FALSE,IF(ISERROR(INT(metadata!P514)),FALSE,INT(metadata!P514)=metadata!P514)),metadata!P514&gt;0))</f>
        <v>0</v>
      </c>
      <c r="AQ514">
        <f>IF(metadata!Q514="",FALSE,TRUE)</f>
        <v>0</v>
      </c>
    </row>
    <row r="515" spans="1:43">
      <c r="A515" s="5">
        <f>IF(B515=" "," ",HYPERLINK(CONCATENATE("#metadata!",ADDRESS(INDEX($W$2:$W$1001,MATCH(ROWS($U$2:U515),$U$2:$U$1001,0),0),1)),INDEX($Z$2:$Z$1001,MATCH(ROWS($U$2:U515),$U$2:$U$1001,0),0)))</f>
        <v>0</v>
      </c>
      <c r="B515" s="4">
        <f>IF(OR(INDEX($V$2:$V$1001,MATCH(ROWS($U$2:U515),$U$2:$U$1001,0),1)&gt;=100000,INDEX($AB$1005:$AQ$1005,1,MATCH(COLUMNS($AB$1006:AB1006),$AB$1006:$AQ$1006,0))&gt;=100000), " ",IF(INDEX($AB$2:$AQ$1001,MATCH(ROWS($U$2:U515),$U$2:$U$1001,0),MATCH(COLUMNS($AB$1006:AB1006),$AB$1006:$AQ$1006,0)), HYPERLINK("#",""), HYPERLINK(CONCATENATE("#metadata!", ADDRESS(INDEX($W$2:$W$1001,MATCH(ROWS($U$2:U515),$U$2:$U$1001,0),0), INDEX($AB$1004:$AQ$1004,1,MATCH(COLUMNS($AB$1006:AB1006),$AB$1006:$AQ$1006,0)))),"Fix")))</f>
        <v>0</v>
      </c>
      <c r="C515" s="4">
        <f>IF(OR(INDEX($V$2:$V$1001,MATCH(ROWS($U$2:U515),$U$2:$U$1001,0),1)&gt;=100000,INDEX($AB$1005:$AQ$1005,1,MATCH(COLUMNS($AB$1006:AC1006),$AB$1006:$AQ$1006,0))&gt;=100000), " ",IF(INDEX($AB$2:$AQ$1001,MATCH(ROWS($U$2:U515),$U$2:$U$1001,0),MATCH(COLUMNS($AB$1006:AC1006),$AB$1006:$AQ$1006,0)), HYPERLINK("#",""), HYPERLINK(CONCATENATE("#metadata!", ADDRESS(INDEX($W$2:$W$1001,MATCH(ROWS($U$2:U515),$U$2:$U$1001,0),0), INDEX($AB$1004:$AQ$1004,1,MATCH(COLUMNS($AB$1006:AC1006),$AB$1006:$AQ$1006,0)))),"Fix")))</f>
        <v>0</v>
      </c>
      <c r="D515" s="4">
        <f>IF(OR(INDEX($V$2:$V$1001,MATCH(ROWS($U$2:U515),$U$2:$U$1001,0),1)&gt;=100000,INDEX($AB$1005:$AQ$1005,1,MATCH(COLUMNS($AB$1006:AD1006),$AB$1006:$AQ$1006,0))&gt;=100000), " ",IF(INDEX($AB$2:$AQ$1001,MATCH(ROWS($U$2:U515),$U$2:$U$1001,0),MATCH(COLUMNS($AB$1006:AD1006),$AB$1006:$AQ$1006,0)), HYPERLINK("#",""), HYPERLINK(CONCATENATE("#metadata!", ADDRESS(INDEX($W$2:$W$1001,MATCH(ROWS($U$2:U515),$U$2:$U$1001,0),0), INDEX($AB$1004:$AQ$1004,1,MATCH(COLUMNS($AB$1006:AD1006),$AB$1006:$AQ$1006,0)))),"Fix")))</f>
        <v>0</v>
      </c>
      <c r="E515" s="4">
        <f>IF(OR(INDEX($V$2:$V$1001,MATCH(ROWS($U$2:U515),$U$2:$U$1001,0),1)&gt;=100000,INDEX($AB$1005:$AQ$1005,1,MATCH(COLUMNS($AB$1006:AE1006),$AB$1006:$AQ$1006,0))&gt;=100000), " ",IF(INDEX($AB$2:$AQ$1001,MATCH(ROWS($U$2:U515),$U$2:$U$1001,0),MATCH(COLUMNS($AB$1006:AE1006),$AB$1006:$AQ$1006,0)), HYPERLINK("#",""), HYPERLINK(CONCATENATE("#metadata!", ADDRESS(INDEX($W$2:$W$1001,MATCH(ROWS($U$2:U515),$U$2:$U$1001,0),0), INDEX($AB$1004:$AQ$1004,1,MATCH(COLUMNS($AB$1006:AE1006),$AB$1006:$AQ$1006,0)))),"Fix")))</f>
        <v>0</v>
      </c>
      <c r="F515" s="4">
        <f>IF(OR(INDEX($V$2:$V$1001,MATCH(ROWS($U$2:U515),$U$2:$U$1001,0),1)&gt;=100000,INDEX($AB$1005:$AQ$1005,1,MATCH(COLUMNS($AB$1006:AF1006),$AB$1006:$AQ$1006,0))&gt;=100000), " ",IF(INDEX($AB$2:$AQ$1001,MATCH(ROWS($U$2:U515),$U$2:$U$1001,0),MATCH(COLUMNS($AB$1006:AF1006),$AB$1006:$AQ$1006,0)), HYPERLINK("#",""), HYPERLINK(CONCATENATE("#metadata!", ADDRESS(INDEX($W$2:$W$1001,MATCH(ROWS($U$2:U515),$U$2:$U$1001,0),0), INDEX($AB$1004:$AQ$1004,1,MATCH(COLUMNS($AB$1006:AF1006),$AB$1006:$AQ$1006,0)))),"Fix")))</f>
        <v>0</v>
      </c>
      <c r="G515" s="4">
        <f>IF(OR(INDEX($V$2:$V$1001,MATCH(ROWS($U$2:U515),$U$2:$U$1001,0),1)&gt;=100000,INDEX($AB$1005:$AQ$1005,1,MATCH(COLUMNS($AB$1006:AG1006),$AB$1006:$AQ$1006,0))&gt;=100000), " ",IF(INDEX($AB$2:$AQ$1001,MATCH(ROWS($U$2:U515),$U$2:$U$1001,0),MATCH(COLUMNS($AB$1006:AG1006),$AB$1006:$AQ$1006,0)), HYPERLINK("#",""), HYPERLINK(CONCATENATE("#metadata!", ADDRESS(INDEX($W$2:$W$1001,MATCH(ROWS($U$2:U515),$U$2:$U$1001,0),0), INDEX($AB$1004:$AQ$1004,1,MATCH(COLUMNS($AB$1006:AG1006),$AB$1006:$AQ$1006,0)))),"Fix")))</f>
        <v>0</v>
      </c>
      <c r="H515" s="4">
        <f>IF(OR(INDEX($V$2:$V$1001,MATCH(ROWS($U$2:U515),$U$2:$U$1001,0),1)&gt;=100000,INDEX($AB$1005:$AQ$1005,1,MATCH(COLUMNS($AB$1006:AH1006),$AB$1006:$AQ$1006,0))&gt;=100000), " ",IF(INDEX($AB$2:$AQ$1001,MATCH(ROWS($U$2:U515),$U$2:$U$1001,0),MATCH(COLUMNS($AB$1006:AH1006),$AB$1006:$AQ$1006,0)), HYPERLINK("#",""), HYPERLINK(CONCATENATE("#metadata!", ADDRESS(INDEX($W$2:$W$1001,MATCH(ROWS($U$2:U515),$U$2:$U$1001,0),0), INDEX($AB$1004:$AQ$1004,1,MATCH(COLUMNS($AB$1006:AH1006),$AB$1006:$AQ$1006,0)))),"Fix")))</f>
        <v>0</v>
      </c>
      <c r="I515" s="4">
        <f>IF(OR(INDEX($V$2:$V$1001,MATCH(ROWS($U$2:U515),$U$2:$U$1001,0),1)&gt;=100000,INDEX($AB$1005:$AQ$1005,1,MATCH(COLUMNS($AB$1006:AI1006),$AB$1006:$AQ$1006,0))&gt;=100000), " ",IF(INDEX($AB$2:$AQ$1001,MATCH(ROWS($U$2:U515),$U$2:$U$1001,0),MATCH(COLUMNS($AB$1006:AI1006),$AB$1006:$AQ$1006,0)), HYPERLINK("#",""), HYPERLINK(CONCATENATE("#metadata!", ADDRESS(INDEX($W$2:$W$1001,MATCH(ROWS($U$2:U515),$U$2:$U$1001,0),0), INDEX($AB$1004:$AQ$1004,1,MATCH(COLUMNS($AB$1006:AI1006),$AB$1006:$AQ$1006,0)))),"Fix")))</f>
        <v>0</v>
      </c>
      <c r="J515" s="4">
        <f>IF(OR(INDEX($V$2:$V$1001,MATCH(ROWS($U$2:U515),$U$2:$U$1001,0),1)&gt;=100000,INDEX($AB$1005:$AQ$1005,1,MATCH(COLUMNS($AB$1006:AJ1006),$AB$1006:$AQ$1006,0))&gt;=100000), " ",IF(INDEX($AB$2:$AQ$1001,MATCH(ROWS($U$2:U515),$U$2:$U$1001,0),MATCH(COLUMNS($AB$1006:AJ1006),$AB$1006:$AQ$1006,0)), HYPERLINK("#",""), HYPERLINK(CONCATENATE("#metadata!", ADDRESS(INDEX($W$2:$W$1001,MATCH(ROWS($U$2:U515),$U$2:$U$1001,0),0), INDEX($AB$1004:$AQ$1004,1,MATCH(COLUMNS($AB$1006:AJ1006),$AB$1006:$AQ$1006,0)))),"Fix")))</f>
        <v>0</v>
      </c>
      <c r="K515" s="4">
        <f>IF(OR(INDEX($V$2:$V$1001,MATCH(ROWS($U$2:U515),$U$2:$U$1001,0),1)&gt;=100000,INDEX($AB$1005:$AQ$1005,1,MATCH(COLUMNS($AB$1006:AK1006),$AB$1006:$AQ$1006,0))&gt;=100000), " ",IF(INDEX($AB$2:$AQ$1001,MATCH(ROWS($U$2:U515),$U$2:$U$1001,0),MATCH(COLUMNS($AB$1006:AK1006),$AB$1006:$AQ$1006,0)), HYPERLINK("#",""), HYPERLINK(CONCATENATE("#metadata!", ADDRESS(INDEX($W$2:$W$1001,MATCH(ROWS($U$2:U515),$U$2:$U$1001,0),0), INDEX($AB$1004:$AQ$1004,1,MATCH(COLUMNS($AB$1006:AK1006),$AB$1006:$AQ$1006,0)))),"Fix")))</f>
        <v>0</v>
      </c>
      <c r="L515" s="4">
        <f>IF(OR(INDEX($V$2:$V$1001,MATCH(ROWS($U$2:U515),$U$2:$U$1001,0),1)&gt;=100000,INDEX($AB$1005:$AQ$1005,1,MATCH(COLUMNS($AB$1006:AL1006),$AB$1006:$AQ$1006,0))&gt;=100000), " ",IF(INDEX($AB$2:$AQ$1001,MATCH(ROWS($U$2:U515),$U$2:$U$1001,0),MATCH(COLUMNS($AB$1006:AL1006),$AB$1006:$AQ$1006,0)), HYPERLINK("#",""), HYPERLINK(CONCATENATE("#metadata!", ADDRESS(INDEX($W$2:$W$1001,MATCH(ROWS($U$2:U515),$U$2:$U$1001,0),0), INDEX($AB$1004:$AQ$1004,1,MATCH(COLUMNS($AB$1006:AL1006),$AB$1006:$AQ$1006,0)))),"Fix")))</f>
        <v>0</v>
      </c>
      <c r="M515" s="4">
        <f>IF(OR(INDEX($V$2:$V$1001,MATCH(ROWS($U$2:U515),$U$2:$U$1001,0),1)&gt;=100000,INDEX($AB$1005:$AQ$1005,1,MATCH(COLUMNS($AB$1006:AM1006),$AB$1006:$AQ$1006,0))&gt;=100000), " ",IF(INDEX($AB$2:$AQ$1001,MATCH(ROWS($U$2:U515),$U$2:$U$1001,0),MATCH(COLUMNS($AB$1006:AM1006),$AB$1006:$AQ$1006,0)), HYPERLINK("#",""), HYPERLINK(CONCATENATE("#metadata!", ADDRESS(INDEX($W$2:$W$1001,MATCH(ROWS($U$2:U515),$U$2:$U$1001,0),0), INDEX($AB$1004:$AQ$1004,1,MATCH(COLUMNS($AB$1006:AM1006),$AB$1006:$AQ$1006,0)))),"Fix")))</f>
        <v>0</v>
      </c>
      <c r="N515" s="4">
        <f>IF(OR(INDEX($V$2:$V$1001,MATCH(ROWS($U$2:U515),$U$2:$U$1001,0),1)&gt;=100000,INDEX($AB$1005:$AQ$1005,1,MATCH(COLUMNS($AB$1006:AN1006),$AB$1006:$AQ$1006,0))&gt;=100000), " ",IF(INDEX($AB$2:$AQ$1001,MATCH(ROWS($U$2:U515),$U$2:$U$1001,0),MATCH(COLUMNS($AB$1006:AN1006),$AB$1006:$AQ$1006,0)), HYPERLINK("#",""), HYPERLINK(CONCATENATE("#metadata!", ADDRESS(INDEX($W$2:$W$1001,MATCH(ROWS($U$2:U515),$U$2:$U$1001,0),0), INDEX($AB$1004:$AQ$1004,1,MATCH(COLUMNS($AB$1006:AN1006),$AB$1006:$AQ$1006,0)))),"Fix")))</f>
        <v>0</v>
      </c>
      <c r="O515" s="4">
        <f>IF(OR(INDEX($V$2:$V$1001,MATCH(ROWS($U$2:U515),$U$2:$U$1001,0),1)&gt;=100000,INDEX($AB$1005:$AQ$1005,1,MATCH(COLUMNS($AB$1006:AO1006),$AB$1006:$AQ$1006,0))&gt;=100000), " ",IF(INDEX($AB$2:$AQ$1001,MATCH(ROWS($U$2:U515),$U$2:$U$1001,0),MATCH(COLUMNS($AB$1006:AO1006),$AB$1006:$AQ$1006,0)), HYPERLINK("#",""), HYPERLINK(CONCATENATE("#metadata!", ADDRESS(INDEX($W$2:$W$1001,MATCH(ROWS($U$2:U515),$U$2:$U$1001,0),0), INDEX($AB$1004:$AQ$1004,1,MATCH(COLUMNS($AB$1006:AO1006),$AB$1006:$AQ$1006,0)))),"Fix")))</f>
        <v>0</v>
      </c>
      <c r="P515" s="4">
        <f>IF(OR(INDEX($V$2:$V$1001,MATCH(ROWS($U$2:U515),$U$2:$U$1001,0),1)&gt;=100000,INDEX($AB$1005:$AQ$1005,1,MATCH(COLUMNS($AB$1006:AP1006),$AB$1006:$AQ$1006,0))&gt;=100000), " ",IF(INDEX($AB$2:$AQ$1001,MATCH(ROWS($U$2:U515),$U$2:$U$1001,0),MATCH(COLUMNS($AB$1006:AP1006),$AB$1006:$AQ$1006,0)), HYPERLINK("#",""), HYPERLINK(CONCATENATE("#metadata!", ADDRESS(INDEX($W$2:$W$1001,MATCH(ROWS($U$2:U515),$U$2:$U$1001,0),0), INDEX($AB$1004:$AQ$1004,1,MATCH(COLUMNS($AB$1006:AP1006),$AB$1006:$AQ$1006,0)))),"Fix")))</f>
        <v>0</v>
      </c>
      <c r="Q515" s="4">
        <f>IF(OR(INDEX($V$2:$V$1001,MATCH(ROWS($U$2:U515),$U$2:$U$1001,0),1)&gt;=100000,INDEX($AB$1005:$AQ$1005,1,MATCH(COLUMNS($AB$1006:AQ1006),$AB$1006:$AQ$1006,0))&gt;=100000), " ",IF(INDEX($AB$2:$AQ$1001,MATCH(ROWS($U$2:U515),$U$2:$U$1001,0),MATCH(COLUMNS($AB$1006:AQ1006),$AB$1006:$AQ$1006,0)), HYPERLINK("#",""), HYPERLINK(CONCATENATE("#metadata!", ADDRESS(INDEX($W$2:$W$1001,MATCH(ROWS($U$2:U515),$U$2:$U$1001,0),0), INDEX($AB$1004:$AQ$1004,1,MATCH(COLUMNS($AB$1006:AQ1006),$AB$1006:$AQ$1006,0)))),"Fix")))</f>
        <v>0</v>
      </c>
      <c r="U515">
        <v>0</v>
      </c>
      <c r="V515">
        <v>0</v>
      </c>
      <c r="W515">
        <v>0</v>
      </c>
      <c r="X515">
        <f>IF(Y515,TRUE,AND(AB515:AQ515))</f>
        <v>0</v>
      </c>
      <c r="Y515">
        <f>COUNTBLANK(metadata!B515:Q515)=COLUMNS(metadata!B515:Q515)</f>
        <v>0</v>
      </c>
      <c r="Z515">
        <v>0</v>
      </c>
      <c r="AB515">
        <f>AND(IF(metadata!B515="",FALSE,TRUE),COUNTIF(metadata!B:B, metadata!B515) = 1,NOT(ISERROR(SUMPRODUCT(SEARCH(MID(metadata!B515,ROW(INDIRECT("1:"&amp;LEN(metadata!B515))), 1),"0123456789abcdefghijklmnopqrstuvwxyzABCDEFGHIJKLMNOPQRSTUVWXYZ.")))))</f>
        <v>0</v>
      </c>
      <c r="AC515">
        <f>OR(AND(IF(metadata!C515="",FALSE,TRUE),OR(exact(metadata!C515,"missing: not collected"),exact(metadata!C515,"missing: not provided"),exact(metadata!C515,"missing: restricted access"))),AND(IF(metadata!C515="",FALSE,TRUE),AND(AND(IFERROR(INT(LEFT(metadata!C515,4))&gt;1900,FALSE),IFERROR(INT(LEFT(metadata!C515,4))&lt;=YEAR(NOW()),FALSE)), OR(MID(metadata!C515,5,1)="", AND(AND(MID(metadata!C515,5,1)="-",IFERROR(INT(MID(metadata!C515,6,1))&gt;=0,FALSE),IFERROR(INT(MID(metadata!C515,6,1))&lt;=1,FALSE),NOT(MID(metadata!C515,7,1)=""),IFERROR(INT(MID(metadata!C515,6,2))&gt;=1,FALSE),IFERROR(INT(MID(metadata!C515,6,2))&lt;=12,FALSE)), OR(MID(metadata!C515,8,1)="", AND(AND(MID(metadata!C515,8,1)="-",IFERROR(INT(MID(metadata!C515,9,1))&gt;=0,FALSE),IFERROR(INT(MID(metadata!C515,9,1))&lt;=3,FALSE),NOT(MID(metadata!C515,10,1)=""),IFERROR(INT(MID(metadata!C515,9,2))&gt;=1,FALSE),IFERROR(INT(MID(metadata!C515,9,2))&lt;=31,FALSE)), OR(MID(metadata!C515,11,1)="", AND(AND(MID(metadata!C515,11,1)=" ",IFERROR(INT(MID(metadata!C515,12,1))&gt;=0,FALSE),IFERROR(INT(MID(metadata!C515,12,1))&lt;=2,FALSE),NOT(MID(metadata!C515,13,1)=""),IFERROR(INT(MID(metadata!C515,12,2))&gt;=0,FALSE),IFERROR(INT(MID(metadata!C515,12,2))&lt;=23,FALSE)), OR(MID(metadata!C515,14,1)="", AND(AND(MID(metadata!C515,14,1)=":",IFERROR(INT(MID(metadata!C515,15,1))&gt;=0,FALSE),IFERROR(INT(MID(metadata!C515,15,1))&lt;=5,FALSE),NOT(MID(metadata!C515,16,1)=""),IFERROR(INT(MID(metadata!C515,15,2))&gt;=0,FALSE),IFERROR(INT(MID(metadata!C515,15,2))&lt;=59,FALSE)), OR(MID(metadata!C515,17,1)="", AND(AND(MID(metadata!C515,17,1)=":",IFERROR(INT(MID(metadata!C515,18,1))&gt;=0,FALSE),IFERROR(INT(MID(metadata!C515,18,1))&lt;=5,FALSE),NOT(MID(metadata!C515,19,1)=""),IFERROR(INT(MID(metadata!C515,18,2))&gt;=0,FALSE),IFERROR(INT(MID(metadata!C515,18,2))&lt;=59,FALSE)), LEN(metadata!C515)&lt;=19)))))))))))))</f>
        <v>0</v>
      </c>
      <c r="AD515">
        <f>IF(metadata!D515="",FALSE,TRUE)</f>
        <v>0</v>
      </c>
      <c r="AE515">
        <f>OR(AND(IF(metadata!E515="",FALSE,TRUE),OR(exact(metadata!E515,"missing: not collected"),exact(metadata!E515,"missing: not provided"))),AND(IF(metadata!E515="",FALSE,TRUE),OR(exact(metadata!E515,"TRUE"),exact(metadata!E515,"FALSE"))))</f>
        <v>0</v>
      </c>
      <c r="AF515">
        <f>IF(metadata!F515="",FALSE,TRUE)</f>
        <v>0</v>
      </c>
      <c r="AG515">
        <f>IF(metadata!G515="",FALSE,TRUE)</f>
        <v>0</v>
      </c>
      <c r="AH515">
        <f>IF(metadata!H515="",FALSE,TRUE)</f>
        <v>0</v>
      </c>
      <c r="AI515">
        <f>OR(AND(IF(metadata!I515="",FALSE,TRUE),OR(exact(metadata!I515,"missing: not collected"),exact(metadata!I515,"missing: not provided"),exact(metadata!I515,"missing: restricted access"))),AND(IF(metadata!I515="",FALSE,TRUE),OR(exact(metadata!I515,"air"),exact(metadata!I515,"built environment"),exact(metadata!I515,"host-associated"),exact(metadata!I515,"human-associated"),exact(metadata!I515,"human-skin"),exact(metadata!I515,"human-oral"),exact(metadata!I515,"human-gut"),exact(metadata!I515,"human-vaginal"),exact(metadata!I515,"microbial mat/biofilm"),exact(metadata!I515,"misc environment"),exact(metadata!I515,"plant-associated"),exact(metadata!I515,"sediment"),exact(metadata!I515,"soil"),exact(metadata!I515,"wastewater/sludge"),exact(metadata!I515,"water"))))</f>
        <v>0</v>
      </c>
      <c r="AJ515">
        <f>IF(metadata!J515="",FALSE,TRUE)</f>
        <v>0</v>
      </c>
      <c r="AK515">
        <f>OR(AND(IF(metadata!K515="",FALSE,TRUE),OR(exact(metadata!K515,"missing: not collected"),exact(metadata!K515,"missing: not provided"),exact(metadata!K515,"missing: restricted access"))),AND(IF(metadata!K515="",FALSE,ISNUMBER(VALUE(metadata!K515))),metadata!K515&gt;=-90.00,metadata!K515&lt;=90.00))</f>
        <v>0</v>
      </c>
      <c r="AL515">
        <f>OR(AND(IF(metadata!L515="",FALSE,TRUE),OR(exact(metadata!L515,"missing: not collected"),exact(metadata!L515,"missing: not provided"),exact(metadata!L515,"missing: restricted access"))),AND(IF(metadata!L515="",FALSE,ISNUMBER(VALUE(metadata!L515))),metadata!L515&gt;=-180.00,metadata!L515&lt;=180.00))</f>
        <v>0</v>
      </c>
      <c r="AM515">
        <f>IF(metadata!M515="",FALSE,TRUE)</f>
        <v>0</v>
      </c>
      <c r="AN515">
        <f>OR(AND(IF(metadata!N515="",FALSE,TRUE),OR(exact(metadata!N515,"missing: not collected"),exact(metadata!N515,"missing: not provided"),exact(metadata!N515,"missing: restricted access"))),AND(IF(metadata!N515="",FALSE,TRUE),OR(exact(metadata!N515,"TRUE"),exact(metadata!N515,"FALSE"))))</f>
        <v>0</v>
      </c>
      <c r="AO515">
        <f>IF(metadata!O515="",FALSE,TRUE)</f>
        <v>0</v>
      </c>
      <c r="AP515">
        <f>OR(AND(IF(metadata!P515="",FALSE,TRUE),OR(exact(metadata!P515,"missing: not collected"),exact(metadata!P515,"missing: not provided"))),AND(IF(metadata!P515="",FALSE,IF(ISERROR(INT(metadata!P515)),FALSE,INT(metadata!P515)=metadata!P515)),metadata!P515&gt;0))</f>
        <v>0</v>
      </c>
      <c r="AQ515">
        <f>IF(metadata!Q515="",FALSE,TRUE)</f>
        <v>0</v>
      </c>
    </row>
    <row r="516" spans="1:43">
      <c r="A516" s="5">
        <f>IF(B516=" "," ",HYPERLINK(CONCATENATE("#metadata!",ADDRESS(INDEX($W$2:$W$1001,MATCH(ROWS($U$2:U516),$U$2:$U$1001,0),0),1)),INDEX($Z$2:$Z$1001,MATCH(ROWS($U$2:U516),$U$2:$U$1001,0),0)))</f>
        <v>0</v>
      </c>
      <c r="B516" s="4">
        <f>IF(OR(INDEX($V$2:$V$1001,MATCH(ROWS($U$2:U516),$U$2:$U$1001,0),1)&gt;=100000,INDEX($AB$1005:$AQ$1005,1,MATCH(COLUMNS($AB$1006:AB1006),$AB$1006:$AQ$1006,0))&gt;=100000), " ",IF(INDEX($AB$2:$AQ$1001,MATCH(ROWS($U$2:U516),$U$2:$U$1001,0),MATCH(COLUMNS($AB$1006:AB1006),$AB$1006:$AQ$1006,0)), HYPERLINK("#",""), HYPERLINK(CONCATENATE("#metadata!", ADDRESS(INDEX($W$2:$W$1001,MATCH(ROWS($U$2:U516),$U$2:$U$1001,0),0), INDEX($AB$1004:$AQ$1004,1,MATCH(COLUMNS($AB$1006:AB1006),$AB$1006:$AQ$1006,0)))),"Fix")))</f>
        <v>0</v>
      </c>
      <c r="C516" s="4">
        <f>IF(OR(INDEX($V$2:$V$1001,MATCH(ROWS($U$2:U516),$U$2:$U$1001,0),1)&gt;=100000,INDEX($AB$1005:$AQ$1005,1,MATCH(COLUMNS($AB$1006:AC1006),$AB$1006:$AQ$1006,0))&gt;=100000), " ",IF(INDEX($AB$2:$AQ$1001,MATCH(ROWS($U$2:U516),$U$2:$U$1001,0),MATCH(COLUMNS($AB$1006:AC1006),$AB$1006:$AQ$1006,0)), HYPERLINK("#",""), HYPERLINK(CONCATENATE("#metadata!", ADDRESS(INDEX($W$2:$W$1001,MATCH(ROWS($U$2:U516),$U$2:$U$1001,0),0), INDEX($AB$1004:$AQ$1004,1,MATCH(COLUMNS($AB$1006:AC1006),$AB$1006:$AQ$1006,0)))),"Fix")))</f>
        <v>0</v>
      </c>
      <c r="D516" s="4">
        <f>IF(OR(INDEX($V$2:$V$1001,MATCH(ROWS($U$2:U516),$U$2:$U$1001,0),1)&gt;=100000,INDEX($AB$1005:$AQ$1005,1,MATCH(COLUMNS($AB$1006:AD1006),$AB$1006:$AQ$1006,0))&gt;=100000), " ",IF(INDEX($AB$2:$AQ$1001,MATCH(ROWS($U$2:U516),$U$2:$U$1001,0),MATCH(COLUMNS($AB$1006:AD1006),$AB$1006:$AQ$1006,0)), HYPERLINK("#",""), HYPERLINK(CONCATENATE("#metadata!", ADDRESS(INDEX($W$2:$W$1001,MATCH(ROWS($U$2:U516),$U$2:$U$1001,0),0), INDEX($AB$1004:$AQ$1004,1,MATCH(COLUMNS($AB$1006:AD1006),$AB$1006:$AQ$1006,0)))),"Fix")))</f>
        <v>0</v>
      </c>
      <c r="E516" s="4">
        <f>IF(OR(INDEX($V$2:$V$1001,MATCH(ROWS($U$2:U516),$U$2:$U$1001,0),1)&gt;=100000,INDEX($AB$1005:$AQ$1005,1,MATCH(COLUMNS($AB$1006:AE1006),$AB$1006:$AQ$1006,0))&gt;=100000), " ",IF(INDEX($AB$2:$AQ$1001,MATCH(ROWS($U$2:U516),$U$2:$U$1001,0),MATCH(COLUMNS($AB$1006:AE1006),$AB$1006:$AQ$1006,0)), HYPERLINK("#",""), HYPERLINK(CONCATENATE("#metadata!", ADDRESS(INDEX($W$2:$W$1001,MATCH(ROWS($U$2:U516),$U$2:$U$1001,0),0), INDEX($AB$1004:$AQ$1004,1,MATCH(COLUMNS($AB$1006:AE1006),$AB$1006:$AQ$1006,0)))),"Fix")))</f>
        <v>0</v>
      </c>
      <c r="F516" s="4">
        <f>IF(OR(INDEX($V$2:$V$1001,MATCH(ROWS($U$2:U516),$U$2:$U$1001,0),1)&gt;=100000,INDEX($AB$1005:$AQ$1005,1,MATCH(COLUMNS($AB$1006:AF1006),$AB$1006:$AQ$1006,0))&gt;=100000), " ",IF(INDEX($AB$2:$AQ$1001,MATCH(ROWS($U$2:U516),$U$2:$U$1001,0),MATCH(COLUMNS($AB$1006:AF1006),$AB$1006:$AQ$1006,0)), HYPERLINK("#",""), HYPERLINK(CONCATENATE("#metadata!", ADDRESS(INDEX($W$2:$W$1001,MATCH(ROWS($U$2:U516),$U$2:$U$1001,0),0), INDEX($AB$1004:$AQ$1004,1,MATCH(COLUMNS($AB$1006:AF1006),$AB$1006:$AQ$1006,0)))),"Fix")))</f>
        <v>0</v>
      </c>
      <c r="G516" s="4">
        <f>IF(OR(INDEX($V$2:$V$1001,MATCH(ROWS($U$2:U516),$U$2:$U$1001,0),1)&gt;=100000,INDEX($AB$1005:$AQ$1005,1,MATCH(COLUMNS($AB$1006:AG1006),$AB$1006:$AQ$1006,0))&gt;=100000), " ",IF(INDEX($AB$2:$AQ$1001,MATCH(ROWS($U$2:U516),$U$2:$U$1001,0),MATCH(COLUMNS($AB$1006:AG1006),$AB$1006:$AQ$1006,0)), HYPERLINK("#",""), HYPERLINK(CONCATENATE("#metadata!", ADDRESS(INDEX($W$2:$W$1001,MATCH(ROWS($U$2:U516),$U$2:$U$1001,0),0), INDEX($AB$1004:$AQ$1004,1,MATCH(COLUMNS($AB$1006:AG1006),$AB$1006:$AQ$1006,0)))),"Fix")))</f>
        <v>0</v>
      </c>
      <c r="H516" s="4">
        <f>IF(OR(INDEX($V$2:$V$1001,MATCH(ROWS($U$2:U516),$U$2:$U$1001,0),1)&gt;=100000,INDEX($AB$1005:$AQ$1005,1,MATCH(COLUMNS($AB$1006:AH1006),$AB$1006:$AQ$1006,0))&gt;=100000), " ",IF(INDEX($AB$2:$AQ$1001,MATCH(ROWS($U$2:U516),$U$2:$U$1001,0),MATCH(COLUMNS($AB$1006:AH1006),$AB$1006:$AQ$1006,0)), HYPERLINK("#",""), HYPERLINK(CONCATENATE("#metadata!", ADDRESS(INDEX($W$2:$W$1001,MATCH(ROWS($U$2:U516),$U$2:$U$1001,0),0), INDEX($AB$1004:$AQ$1004,1,MATCH(COLUMNS($AB$1006:AH1006),$AB$1006:$AQ$1006,0)))),"Fix")))</f>
        <v>0</v>
      </c>
      <c r="I516" s="4">
        <f>IF(OR(INDEX($V$2:$V$1001,MATCH(ROWS($U$2:U516),$U$2:$U$1001,0),1)&gt;=100000,INDEX($AB$1005:$AQ$1005,1,MATCH(COLUMNS($AB$1006:AI1006),$AB$1006:$AQ$1006,0))&gt;=100000), " ",IF(INDEX($AB$2:$AQ$1001,MATCH(ROWS($U$2:U516),$U$2:$U$1001,0),MATCH(COLUMNS($AB$1006:AI1006),$AB$1006:$AQ$1006,0)), HYPERLINK("#",""), HYPERLINK(CONCATENATE("#metadata!", ADDRESS(INDEX($W$2:$W$1001,MATCH(ROWS($U$2:U516),$U$2:$U$1001,0),0), INDEX($AB$1004:$AQ$1004,1,MATCH(COLUMNS($AB$1006:AI1006),$AB$1006:$AQ$1006,0)))),"Fix")))</f>
        <v>0</v>
      </c>
      <c r="J516" s="4">
        <f>IF(OR(INDEX($V$2:$V$1001,MATCH(ROWS($U$2:U516),$U$2:$U$1001,0),1)&gt;=100000,INDEX($AB$1005:$AQ$1005,1,MATCH(COLUMNS($AB$1006:AJ1006),$AB$1006:$AQ$1006,0))&gt;=100000), " ",IF(INDEX($AB$2:$AQ$1001,MATCH(ROWS($U$2:U516),$U$2:$U$1001,0),MATCH(COLUMNS($AB$1006:AJ1006),$AB$1006:$AQ$1006,0)), HYPERLINK("#",""), HYPERLINK(CONCATENATE("#metadata!", ADDRESS(INDEX($W$2:$W$1001,MATCH(ROWS($U$2:U516),$U$2:$U$1001,0),0), INDEX($AB$1004:$AQ$1004,1,MATCH(COLUMNS($AB$1006:AJ1006),$AB$1006:$AQ$1006,0)))),"Fix")))</f>
        <v>0</v>
      </c>
      <c r="K516" s="4">
        <f>IF(OR(INDEX($V$2:$V$1001,MATCH(ROWS($U$2:U516),$U$2:$U$1001,0),1)&gt;=100000,INDEX($AB$1005:$AQ$1005,1,MATCH(COLUMNS($AB$1006:AK1006),$AB$1006:$AQ$1006,0))&gt;=100000), " ",IF(INDEX($AB$2:$AQ$1001,MATCH(ROWS($U$2:U516),$U$2:$U$1001,0),MATCH(COLUMNS($AB$1006:AK1006),$AB$1006:$AQ$1006,0)), HYPERLINK("#",""), HYPERLINK(CONCATENATE("#metadata!", ADDRESS(INDEX($W$2:$W$1001,MATCH(ROWS($U$2:U516),$U$2:$U$1001,0),0), INDEX($AB$1004:$AQ$1004,1,MATCH(COLUMNS($AB$1006:AK1006),$AB$1006:$AQ$1006,0)))),"Fix")))</f>
        <v>0</v>
      </c>
      <c r="L516" s="4">
        <f>IF(OR(INDEX($V$2:$V$1001,MATCH(ROWS($U$2:U516),$U$2:$U$1001,0),1)&gt;=100000,INDEX($AB$1005:$AQ$1005,1,MATCH(COLUMNS($AB$1006:AL1006),$AB$1006:$AQ$1006,0))&gt;=100000), " ",IF(INDEX($AB$2:$AQ$1001,MATCH(ROWS($U$2:U516),$U$2:$U$1001,0),MATCH(COLUMNS($AB$1006:AL1006),$AB$1006:$AQ$1006,0)), HYPERLINK("#",""), HYPERLINK(CONCATENATE("#metadata!", ADDRESS(INDEX($W$2:$W$1001,MATCH(ROWS($U$2:U516),$U$2:$U$1001,0),0), INDEX($AB$1004:$AQ$1004,1,MATCH(COLUMNS($AB$1006:AL1006),$AB$1006:$AQ$1006,0)))),"Fix")))</f>
        <v>0</v>
      </c>
      <c r="M516" s="4">
        <f>IF(OR(INDEX($V$2:$V$1001,MATCH(ROWS($U$2:U516),$U$2:$U$1001,0),1)&gt;=100000,INDEX($AB$1005:$AQ$1005,1,MATCH(COLUMNS($AB$1006:AM1006),$AB$1006:$AQ$1006,0))&gt;=100000), " ",IF(INDEX($AB$2:$AQ$1001,MATCH(ROWS($U$2:U516),$U$2:$U$1001,0),MATCH(COLUMNS($AB$1006:AM1006),$AB$1006:$AQ$1006,0)), HYPERLINK("#",""), HYPERLINK(CONCATENATE("#metadata!", ADDRESS(INDEX($W$2:$W$1001,MATCH(ROWS($U$2:U516),$U$2:$U$1001,0),0), INDEX($AB$1004:$AQ$1004,1,MATCH(COLUMNS($AB$1006:AM1006),$AB$1006:$AQ$1006,0)))),"Fix")))</f>
        <v>0</v>
      </c>
      <c r="N516" s="4">
        <f>IF(OR(INDEX($V$2:$V$1001,MATCH(ROWS($U$2:U516),$U$2:$U$1001,0),1)&gt;=100000,INDEX($AB$1005:$AQ$1005,1,MATCH(COLUMNS($AB$1006:AN1006),$AB$1006:$AQ$1006,0))&gt;=100000), " ",IF(INDEX($AB$2:$AQ$1001,MATCH(ROWS($U$2:U516),$U$2:$U$1001,0),MATCH(COLUMNS($AB$1006:AN1006),$AB$1006:$AQ$1006,0)), HYPERLINK("#",""), HYPERLINK(CONCATENATE("#metadata!", ADDRESS(INDEX($W$2:$W$1001,MATCH(ROWS($U$2:U516),$U$2:$U$1001,0),0), INDEX($AB$1004:$AQ$1004,1,MATCH(COLUMNS($AB$1006:AN1006),$AB$1006:$AQ$1006,0)))),"Fix")))</f>
        <v>0</v>
      </c>
      <c r="O516" s="4">
        <f>IF(OR(INDEX($V$2:$V$1001,MATCH(ROWS($U$2:U516),$U$2:$U$1001,0),1)&gt;=100000,INDEX($AB$1005:$AQ$1005,1,MATCH(COLUMNS($AB$1006:AO1006),$AB$1006:$AQ$1006,0))&gt;=100000), " ",IF(INDEX($AB$2:$AQ$1001,MATCH(ROWS($U$2:U516),$U$2:$U$1001,0),MATCH(COLUMNS($AB$1006:AO1006),$AB$1006:$AQ$1006,0)), HYPERLINK("#",""), HYPERLINK(CONCATENATE("#metadata!", ADDRESS(INDEX($W$2:$W$1001,MATCH(ROWS($U$2:U516),$U$2:$U$1001,0),0), INDEX($AB$1004:$AQ$1004,1,MATCH(COLUMNS($AB$1006:AO1006),$AB$1006:$AQ$1006,0)))),"Fix")))</f>
        <v>0</v>
      </c>
      <c r="P516" s="4">
        <f>IF(OR(INDEX($V$2:$V$1001,MATCH(ROWS($U$2:U516),$U$2:$U$1001,0),1)&gt;=100000,INDEX($AB$1005:$AQ$1005,1,MATCH(COLUMNS($AB$1006:AP1006),$AB$1006:$AQ$1006,0))&gt;=100000), " ",IF(INDEX($AB$2:$AQ$1001,MATCH(ROWS($U$2:U516),$U$2:$U$1001,0),MATCH(COLUMNS($AB$1006:AP1006),$AB$1006:$AQ$1006,0)), HYPERLINK("#",""), HYPERLINK(CONCATENATE("#metadata!", ADDRESS(INDEX($W$2:$W$1001,MATCH(ROWS($U$2:U516),$U$2:$U$1001,0),0), INDEX($AB$1004:$AQ$1004,1,MATCH(COLUMNS($AB$1006:AP1006),$AB$1006:$AQ$1006,0)))),"Fix")))</f>
        <v>0</v>
      </c>
      <c r="Q516" s="4">
        <f>IF(OR(INDEX($V$2:$V$1001,MATCH(ROWS($U$2:U516),$U$2:$U$1001,0),1)&gt;=100000,INDEX($AB$1005:$AQ$1005,1,MATCH(COLUMNS($AB$1006:AQ1006),$AB$1006:$AQ$1006,0))&gt;=100000), " ",IF(INDEX($AB$2:$AQ$1001,MATCH(ROWS($U$2:U516),$U$2:$U$1001,0),MATCH(COLUMNS($AB$1006:AQ1006),$AB$1006:$AQ$1006,0)), HYPERLINK("#",""), HYPERLINK(CONCATENATE("#metadata!", ADDRESS(INDEX($W$2:$W$1001,MATCH(ROWS($U$2:U516),$U$2:$U$1001,0),0), INDEX($AB$1004:$AQ$1004,1,MATCH(COLUMNS($AB$1006:AQ1006),$AB$1006:$AQ$1006,0)))),"Fix")))</f>
        <v>0</v>
      </c>
      <c r="U516">
        <v>0</v>
      </c>
      <c r="V516">
        <v>0</v>
      </c>
      <c r="W516">
        <v>0</v>
      </c>
      <c r="X516">
        <f>IF(Y516,TRUE,AND(AB516:AQ516))</f>
        <v>0</v>
      </c>
      <c r="Y516">
        <f>COUNTBLANK(metadata!B516:Q516)=COLUMNS(metadata!B516:Q516)</f>
        <v>0</v>
      </c>
      <c r="Z516">
        <v>0</v>
      </c>
      <c r="AB516">
        <f>AND(IF(metadata!B516="",FALSE,TRUE),COUNTIF(metadata!B:B, metadata!B516) = 1,NOT(ISERROR(SUMPRODUCT(SEARCH(MID(metadata!B516,ROW(INDIRECT("1:"&amp;LEN(metadata!B516))), 1),"0123456789abcdefghijklmnopqrstuvwxyzABCDEFGHIJKLMNOPQRSTUVWXYZ.")))))</f>
        <v>0</v>
      </c>
      <c r="AC516">
        <f>OR(AND(IF(metadata!C516="",FALSE,TRUE),OR(exact(metadata!C516,"missing: not collected"),exact(metadata!C516,"missing: not provided"),exact(metadata!C516,"missing: restricted access"))),AND(IF(metadata!C516="",FALSE,TRUE),AND(AND(IFERROR(INT(LEFT(metadata!C516,4))&gt;1900,FALSE),IFERROR(INT(LEFT(metadata!C516,4))&lt;=YEAR(NOW()),FALSE)), OR(MID(metadata!C516,5,1)="", AND(AND(MID(metadata!C516,5,1)="-",IFERROR(INT(MID(metadata!C516,6,1))&gt;=0,FALSE),IFERROR(INT(MID(metadata!C516,6,1))&lt;=1,FALSE),NOT(MID(metadata!C516,7,1)=""),IFERROR(INT(MID(metadata!C516,6,2))&gt;=1,FALSE),IFERROR(INT(MID(metadata!C516,6,2))&lt;=12,FALSE)), OR(MID(metadata!C516,8,1)="", AND(AND(MID(metadata!C516,8,1)="-",IFERROR(INT(MID(metadata!C516,9,1))&gt;=0,FALSE),IFERROR(INT(MID(metadata!C516,9,1))&lt;=3,FALSE),NOT(MID(metadata!C516,10,1)=""),IFERROR(INT(MID(metadata!C516,9,2))&gt;=1,FALSE),IFERROR(INT(MID(metadata!C516,9,2))&lt;=31,FALSE)), OR(MID(metadata!C516,11,1)="", AND(AND(MID(metadata!C516,11,1)=" ",IFERROR(INT(MID(metadata!C516,12,1))&gt;=0,FALSE),IFERROR(INT(MID(metadata!C516,12,1))&lt;=2,FALSE),NOT(MID(metadata!C516,13,1)=""),IFERROR(INT(MID(metadata!C516,12,2))&gt;=0,FALSE),IFERROR(INT(MID(metadata!C516,12,2))&lt;=23,FALSE)), OR(MID(metadata!C516,14,1)="", AND(AND(MID(metadata!C516,14,1)=":",IFERROR(INT(MID(metadata!C516,15,1))&gt;=0,FALSE),IFERROR(INT(MID(metadata!C516,15,1))&lt;=5,FALSE),NOT(MID(metadata!C516,16,1)=""),IFERROR(INT(MID(metadata!C516,15,2))&gt;=0,FALSE),IFERROR(INT(MID(metadata!C516,15,2))&lt;=59,FALSE)), OR(MID(metadata!C516,17,1)="", AND(AND(MID(metadata!C516,17,1)=":",IFERROR(INT(MID(metadata!C516,18,1))&gt;=0,FALSE),IFERROR(INT(MID(metadata!C516,18,1))&lt;=5,FALSE),NOT(MID(metadata!C516,19,1)=""),IFERROR(INT(MID(metadata!C516,18,2))&gt;=0,FALSE),IFERROR(INT(MID(metadata!C516,18,2))&lt;=59,FALSE)), LEN(metadata!C516)&lt;=19)))))))))))))</f>
        <v>0</v>
      </c>
      <c r="AD516">
        <f>IF(metadata!D516="",FALSE,TRUE)</f>
        <v>0</v>
      </c>
      <c r="AE516">
        <f>OR(AND(IF(metadata!E516="",FALSE,TRUE),OR(exact(metadata!E516,"missing: not collected"),exact(metadata!E516,"missing: not provided"))),AND(IF(metadata!E516="",FALSE,TRUE),OR(exact(metadata!E516,"TRUE"),exact(metadata!E516,"FALSE"))))</f>
        <v>0</v>
      </c>
      <c r="AF516">
        <f>IF(metadata!F516="",FALSE,TRUE)</f>
        <v>0</v>
      </c>
      <c r="AG516">
        <f>IF(metadata!G516="",FALSE,TRUE)</f>
        <v>0</v>
      </c>
      <c r="AH516">
        <f>IF(metadata!H516="",FALSE,TRUE)</f>
        <v>0</v>
      </c>
      <c r="AI516">
        <f>OR(AND(IF(metadata!I516="",FALSE,TRUE),OR(exact(metadata!I516,"missing: not collected"),exact(metadata!I516,"missing: not provided"),exact(metadata!I516,"missing: restricted access"))),AND(IF(metadata!I516="",FALSE,TRUE),OR(exact(metadata!I516,"air"),exact(metadata!I516,"built environment"),exact(metadata!I516,"host-associated"),exact(metadata!I516,"human-associated"),exact(metadata!I516,"human-skin"),exact(metadata!I516,"human-oral"),exact(metadata!I516,"human-gut"),exact(metadata!I516,"human-vaginal"),exact(metadata!I516,"microbial mat/biofilm"),exact(metadata!I516,"misc environment"),exact(metadata!I516,"plant-associated"),exact(metadata!I516,"sediment"),exact(metadata!I516,"soil"),exact(metadata!I516,"wastewater/sludge"),exact(metadata!I516,"water"))))</f>
        <v>0</v>
      </c>
      <c r="AJ516">
        <f>IF(metadata!J516="",FALSE,TRUE)</f>
        <v>0</v>
      </c>
      <c r="AK516">
        <f>OR(AND(IF(metadata!K516="",FALSE,TRUE),OR(exact(metadata!K516,"missing: not collected"),exact(metadata!K516,"missing: not provided"),exact(metadata!K516,"missing: restricted access"))),AND(IF(metadata!K516="",FALSE,ISNUMBER(VALUE(metadata!K516))),metadata!K516&gt;=-90.00,metadata!K516&lt;=90.00))</f>
        <v>0</v>
      </c>
      <c r="AL516">
        <f>OR(AND(IF(metadata!L516="",FALSE,TRUE),OR(exact(metadata!L516,"missing: not collected"),exact(metadata!L516,"missing: not provided"),exact(metadata!L516,"missing: restricted access"))),AND(IF(metadata!L516="",FALSE,ISNUMBER(VALUE(metadata!L516))),metadata!L516&gt;=-180.00,metadata!L516&lt;=180.00))</f>
        <v>0</v>
      </c>
      <c r="AM516">
        <f>IF(metadata!M516="",FALSE,TRUE)</f>
        <v>0</v>
      </c>
      <c r="AN516">
        <f>OR(AND(IF(metadata!N516="",FALSE,TRUE),OR(exact(metadata!N516,"missing: not collected"),exact(metadata!N516,"missing: not provided"),exact(metadata!N516,"missing: restricted access"))),AND(IF(metadata!N516="",FALSE,TRUE),OR(exact(metadata!N516,"TRUE"),exact(metadata!N516,"FALSE"))))</f>
        <v>0</v>
      </c>
      <c r="AO516">
        <f>IF(metadata!O516="",FALSE,TRUE)</f>
        <v>0</v>
      </c>
      <c r="AP516">
        <f>OR(AND(IF(metadata!P516="",FALSE,TRUE),OR(exact(metadata!P516,"missing: not collected"),exact(metadata!P516,"missing: not provided"))),AND(IF(metadata!P516="",FALSE,IF(ISERROR(INT(metadata!P516)),FALSE,INT(metadata!P516)=metadata!P516)),metadata!P516&gt;0))</f>
        <v>0</v>
      </c>
      <c r="AQ516">
        <f>IF(metadata!Q516="",FALSE,TRUE)</f>
        <v>0</v>
      </c>
    </row>
    <row r="517" spans="1:43">
      <c r="A517" s="5">
        <f>IF(B517=" "," ",HYPERLINK(CONCATENATE("#metadata!",ADDRESS(INDEX($W$2:$W$1001,MATCH(ROWS($U$2:U517),$U$2:$U$1001,0),0),1)),INDEX($Z$2:$Z$1001,MATCH(ROWS($U$2:U517),$U$2:$U$1001,0),0)))</f>
        <v>0</v>
      </c>
      <c r="B517" s="4">
        <f>IF(OR(INDEX($V$2:$V$1001,MATCH(ROWS($U$2:U517),$U$2:$U$1001,0),1)&gt;=100000,INDEX($AB$1005:$AQ$1005,1,MATCH(COLUMNS($AB$1006:AB1006),$AB$1006:$AQ$1006,0))&gt;=100000), " ",IF(INDEX($AB$2:$AQ$1001,MATCH(ROWS($U$2:U517),$U$2:$U$1001,0),MATCH(COLUMNS($AB$1006:AB1006),$AB$1006:$AQ$1006,0)), HYPERLINK("#",""), HYPERLINK(CONCATENATE("#metadata!", ADDRESS(INDEX($W$2:$W$1001,MATCH(ROWS($U$2:U517),$U$2:$U$1001,0),0), INDEX($AB$1004:$AQ$1004,1,MATCH(COLUMNS($AB$1006:AB1006),$AB$1006:$AQ$1006,0)))),"Fix")))</f>
        <v>0</v>
      </c>
      <c r="C517" s="4">
        <f>IF(OR(INDEX($V$2:$V$1001,MATCH(ROWS($U$2:U517),$U$2:$U$1001,0),1)&gt;=100000,INDEX($AB$1005:$AQ$1005,1,MATCH(COLUMNS($AB$1006:AC1006),$AB$1006:$AQ$1006,0))&gt;=100000), " ",IF(INDEX($AB$2:$AQ$1001,MATCH(ROWS($U$2:U517),$U$2:$U$1001,0),MATCH(COLUMNS($AB$1006:AC1006),$AB$1006:$AQ$1006,0)), HYPERLINK("#",""), HYPERLINK(CONCATENATE("#metadata!", ADDRESS(INDEX($W$2:$W$1001,MATCH(ROWS($U$2:U517),$U$2:$U$1001,0),0), INDEX($AB$1004:$AQ$1004,1,MATCH(COLUMNS($AB$1006:AC1006),$AB$1006:$AQ$1006,0)))),"Fix")))</f>
        <v>0</v>
      </c>
      <c r="D517" s="4">
        <f>IF(OR(INDEX($V$2:$V$1001,MATCH(ROWS($U$2:U517),$U$2:$U$1001,0),1)&gt;=100000,INDEX($AB$1005:$AQ$1005,1,MATCH(COLUMNS($AB$1006:AD1006),$AB$1006:$AQ$1006,0))&gt;=100000), " ",IF(INDEX($AB$2:$AQ$1001,MATCH(ROWS($U$2:U517),$U$2:$U$1001,0),MATCH(COLUMNS($AB$1006:AD1006),$AB$1006:$AQ$1006,0)), HYPERLINK("#",""), HYPERLINK(CONCATENATE("#metadata!", ADDRESS(INDEX($W$2:$W$1001,MATCH(ROWS($U$2:U517),$U$2:$U$1001,0),0), INDEX($AB$1004:$AQ$1004,1,MATCH(COLUMNS($AB$1006:AD1006),$AB$1006:$AQ$1006,0)))),"Fix")))</f>
        <v>0</v>
      </c>
      <c r="E517" s="4">
        <f>IF(OR(INDEX($V$2:$V$1001,MATCH(ROWS($U$2:U517),$U$2:$U$1001,0),1)&gt;=100000,INDEX($AB$1005:$AQ$1005,1,MATCH(COLUMNS($AB$1006:AE1006),$AB$1006:$AQ$1006,0))&gt;=100000), " ",IF(INDEX($AB$2:$AQ$1001,MATCH(ROWS($U$2:U517),$U$2:$U$1001,0),MATCH(COLUMNS($AB$1006:AE1006),$AB$1006:$AQ$1006,0)), HYPERLINK("#",""), HYPERLINK(CONCATENATE("#metadata!", ADDRESS(INDEX($W$2:$W$1001,MATCH(ROWS($U$2:U517),$U$2:$U$1001,0),0), INDEX($AB$1004:$AQ$1004,1,MATCH(COLUMNS($AB$1006:AE1006),$AB$1006:$AQ$1006,0)))),"Fix")))</f>
        <v>0</v>
      </c>
      <c r="F517" s="4">
        <f>IF(OR(INDEX($V$2:$V$1001,MATCH(ROWS($U$2:U517),$U$2:$U$1001,0),1)&gt;=100000,INDEX($AB$1005:$AQ$1005,1,MATCH(COLUMNS($AB$1006:AF1006),$AB$1006:$AQ$1006,0))&gt;=100000), " ",IF(INDEX($AB$2:$AQ$1001,MATCH(ROWS($U$2:U517),$U$2:$U$1001,0),MATCH(COLUMNS($AB$1006:AF1006),$AB$1006:$AQ$1006,0)), HYPERLINK("#",""), HYPERLINK(CONCATENATE("#metadata!", ADDRESS(INDEX($W$2:$W$1001,MATCH(ROWS($U$2:U517),$U$2:$U$1001,0),0), INDEX($AB$1004:$AQ$1004,1,MATCH(COLUMNS($AB$1006:AF1006),$AB$1006:$AQ$1006,0)))),"Fix")))</f>
        <v>0</v>
      </c>
      <c r="G517" s="4">
        <f>IF(OR(INDEX($V$2:$V$1001,MATCH(ROWS($U$2:U517),$U$2:$U$1001,0),1)&gt;=100000,INDEX($AB$1005:$AQ$1005,1,MATCH(COLUMNS($AB$1006:AG1006),$AB$1006:$AQ$1006,0))&gt;=100000), " ",IF(INDEX($AB$2:$AQ$1001,MATCH(ROWS($U$2:U517),$U$2:$U$1001,0),MATCH(COLUMNS($AB$1006:AG1006),$AB$1006:$AQ$1006,0)), HYPERLINK("#",""), HYPERLINK(CONCATENATE("#metadata!", ADDRESS(INDEX($W$2:$W$1001,MATCH(ROWS($U$2:U517),$U$2:$U$1001,0),0), INDEX($AB$1004:$AQ$1004,1,MATCH(COLUMNS($AB$1006:AG1006),$AB$1006:$AQ$1006,0)))),"Fix")))</f>
        <v>0</v>
      </c>
      <c r="H517" s="4">
        <f>IF(OR(INDEX($V$2:$V$1001,MATCH(ROWS($U$2:U517),$U$2:$U$1001,0),1)&gt;=100000,INDEX($AB$1005:$AQ$1005,1,MATCH(COLUMNS($AB$1006:AH1006),$AB$1006:$AQ$1006,0))&gt;=100000), " ",IF(INDEX($AB$2:$AQ$1001,MATCH(ROWS($U$2:U517),$U$2:$U$1001,0),MATCH(COLUMNS($AB$1006:AH1006),$AB$1006:$AQ$1006,0)), HYPERLINK("#",""), HYPERLINK(CONCATENATE("#metadata!", ADDRESS(INDEX($W$2:$W$1001,MATCH(ROWS($U$2:U517),$U$2:$U$1001,0),0), INDEX($AB$1004:$AQ$1004,1,MATCH(COLUMNS($AB$1006:AH1006),$AB$1006:$AQ$1006,0)))),"Fix")))</f>
        <v>0</v>
      </c>
      <c r="I517" s="4">
        <f>IF(OR(INDEX($V$2:$V$1001,MATCH(ROWS($U$2:U517),$U$2:$U$1001,0),1)&gt;=100000,INDEX($AB$1005:$AQ$1005,1,MATCH(COLUMNS($AB$1006:AI1006),$AB$1006:$AQ$1006,0))&gt;=100000), " ",IF(INDEX($AB$2:$AQ$1001,MATCH(ROWS($U$2:U517),$U$2:$U$1001,0),MATCH(COLUMNS($AB$1006:AI1006),$AB$1006:$AQ$1006,0)), HYPERLINK("#",""), HYPERLINK(CONCATENATE("#metadata!", ADDRESS(INDEX($W$2:$W$1001,MATCH(ROWS($U$2:U517),$U$2:$U$1001,0),0), INDEX($AB$1004:$AQ$1004,1,MATCH(COLUMNS($AB$1006:AI1006),$AB$1006:$AQ$1006,0)))),"Fix")))</f>
        <v>0</v>
      </c>
      <c r="J517" s="4">
        <f>IF(OR(INDEX($V$2:$V$1001,MATCH(ROWS($U$2:U517),$U$2:$U$1001,0),1)&gt;=100000,INDEX($AB$1005:$AQ$1005,1,MATCH(COLUMNS($AB$1006:AJ1006),$AB$1006:$AQ$1006,0))&gt;=100000), " ",IF(INDEX($AB$2:$AQ$1001,MATCH(ROWS($U$2:U517),$U$2:$U$1001,0),MATCH(COLUMNS($AB$1006:AJ1006),$AB$1006:$AQ$1006,0)), HYPERLINK("#",""), HYPERLINK(CONCATENATE("#metadata!", ADDRESS(INDEX($W$2:$W$1001,MATCH(ROWS($U$2:U517),$U$2:$U$1001,0),0), INDEX($AB$1004:$AQ$1004,1,MATCH(COLUMNS($AB$1006:AJ1006),$AB$1006:$AQ$1006,0)))),"Fix")))</f>
        <v>0</v>
      </c>
      <c r="K517" s="4">
        <f>IF(OR(INDEX($V$2:$V$1001,MATCH(ROWS($U$2:U517),$U$2:$U$1001,0),1)&gt;=100000,INDEX($AB$1005:$AQ$1005,1,MATCH(COLUMNS($AB$1006:AK1006),$AB$1006:$AQ$1006,0))&gt;=100000), " ",IF(INDEX($AB$2:$AQ$1001,MATCH(ROWS($U$2:U517),$U$2:$U$1001,0),MATCH(COLUMNS($AB$1006:AK1006),$AB$1006:$AQ$1006,0)), HYPERLINK("#",""), HYPERLINK(CONCATENATE("#metadata!", ADDRESS(INDEX($W$2:$W$1001,MATCH(ROWS($U$2:U517),$U$2:$U$1001,0),0), INDEX($AB$1004:$AQ$1004,1,MATCH(COLUMNS($AB$1006:AK1006),$AB$1006:$AQ$1006,0)))),"Fix")))</f>
        <v>0</v>
      </c>
      <c r="L517" s="4">
        <f>IF(OR(INDEX($V$2:$V$1001,MATCH(ROWS($U$2:U517),$U$2:$U$1001,0),1)&gt;=100000,INDEX($AB$1005:$AQ$1005,1,MATCH(COLUMNS($AB$1006:AL1006),$AB$1006:$AQ$1006,0))&gt;=100000), " ",IF(INDEX($AB$2:$AQ$1001,MATCH(ROWS($U$2:U517),$U$2:$U$1001,0),MATCH(COLUMNS($AB$1006:AL1006),$AB$1006:$AQ$1006,0)), HYPERLINK("#",""), HYPERLINK(CONCATENATE("#metadata!", ADDRESS(INDEX($W$2:$W$1001,MATCH(ROWS($U$2:U517),$U$2:$U$1001,0),0), INDEX($AB$1004:$AQ$1004,1,MATCH(COLUMNS($AB$1006:AL1006),$AB$1006:$AQ$1006,0)))),"Fix")))</f>
        <v>0</v>
      </c>
      <c r="M517" s="4">
        <f>IF(OR(INDEX($V$2:$V$1001,MATCH(ROWS($U$2:U517),$U$2:$U$1001,0),1)&gt;=100000,INDEX($AB$1005:$AQ$1005,1,MATCH(COLUMNS($AB$1006:AM1006),$AB$1006:$AQ$1006,0))&gt;=100000), " ",IF(INDEX($AB$2:$AQ$1001,MATCH(ROWS($U$2:U517),$U$2:$U$1001,0),MATCH(COLUMNS($AB$1006:AM1006),$AB$1006:$AQ$1006,0)), HYPERLINK("#",""), HYPERLINK(CONCATENATE("#metadata!", ADDRESS(INDEX($W$2:$W$1001,MATCH(ROWS($U$2:U517),$U$2:$U$1001,0),0), INDEX($AB$1004:$AQ$1004,1,MATCH(COLUMNS($AB$1006:AM1006),$AB$1006:$AQ$1006,0)))),"Fix")))</f>
        <v>0</v>
      </c>
      <c r="N517" s="4">
        <f>IF(OR(INDEX($V$2:$V$1001,MATCH(ROWS($U$2:U517),$U$2:$U$1001,0),1)&gt;=100000,INDEX($AB$1005:$AQ$1005,1,MATCH(COLUMNS($AB$1006:AN1006),$AB$1006:$AQ$1006,0))&gt;=100000), " ",IF(INDEX($AB$2:$AQ$1001,MATCH(ROWS($U$2:U517),$U$2:$U$1001,0),MATCH(COLUMNS($AB$1006:AN1006),$AB$1006:$AQ$1006,0)), HYPERLINK("#",""), HYPERLINK(CONCATENATE("#metadata!", ADDRESS(INDEX($W$2:$W$1001,MATCH(ROWS($U$2:U517),$U$2:$U$1001,0),0), INDEX($AB$1004:$AQ$1004,1,MATCH(COLUMNS($AB$1006:AN1006),$AB$1006:$AQ$1006,0)))),"Fix")))</f>
        <v>0</v>
      </c>
      <c r="O517" s="4">
        <f>IF(OR(INDEX($V$2:$V$1001,MATCH(ROWS($U$2:U517),$U$2:$U$1001,0),1)&gt;=100000,INDEX($AB$1005:$AQ$1005,1,MATCH(COLUMNS($AB$1006:AO1006),$AB$1006:$AQ$1006,0))&gt;=100000), " ",IF(INDEX($AB$2:$AQ$1001,MATCH(ROWS($U$2:U517),$U$2:$U$1001,0),MATCH(COLUMNS($AB$1006:AO1006),$AB$1006:$AQ$1006,0)), HYPERLINK("#",""), HYPERLINK(CONCATENATE("#metadata!", ADDRESS(INDEX($W$2:$W$1001,MATCH(ROWS($U$2:U517),$U$2:$U$1001,0),0), INDEX($AB$1004:$AQ$1004,1,MATCH(COLUMNS($AB$1006:AO1006),$AB$1006:$AQ$1006,0)))),"Fix")))</f>
        <v>0</v>
      </c>
      <c r="P517" s="4">
        <f>IF(OR(INDEX($V$2:$V$1001,MATCH(ROWS($U$2:U517),$U$2:$U$1001,0),1)&gt;=100000,INDEX($AB$1005:$AQ$1005,1,MATCH(COLUMNS($AB$1006:AP1006),$AB$1006:$AQ$1006,0))&gt;=100000), " ",IF(INDEX($AB$2:$AQ$1001,MATCH(ROWS($U$2:U517),$U$2:$U$1001,0),MATCH(COLUMNS($AB$1006:AP1006),$AB$1006:$AQ$1006,0)), HYPERLINK("#",""), HYPERLINK(CONCATENATE("#metadata!", ADDRESS(INDEX($W$2:$W$1001,MATCH(ROWS($U$2:U517),$U$2:$U$1001,0),0), INDEX($AB$1004:$AQ$1004,1,MATCH(COLUMNS($AB$1006:AP1006),$AB$1006:$AQ$1006,0)))),"Fix")))</f>
        <v>0</v>
      </c>
      <c r="Q517" s="4">
        <f>IF(OR(INDEX($V$2:$V$1001,MATCH(ROWS($U$2:U517),$U$2:$U$1001,0),1)&gt;=100000,INDEX($AB$1005:$AQ$1005,1,MATCH(COLUMNS($AB$1006:AQ1006),$AB$1006:$AQ$1006,0))&gt;=100000), " ",IF(INDEX($AB$2:$AQ$1001,MATCH(ROWS($U$2:U517),$U$2:$U$1001,0),MATCH(COLUMNS($AB$1006:AQ1006),$AB$1006:$AQ$1006,0)), HYPERLINK("#",""), HYPERLINK(CONCATENATE("#metadata!", ADDRESS(INDEX($W$2:$W$1001,MATCH(ROWS($U$2:U517),$U$2:$U$1001,0),0), INDEX($AB$1004:$AQ$1004,1,MATCH(COLUMNS($AB$1006:AQ1006),$AB$1006:$AQ$1006,0)))),"Fix")))</f>
        <v>0</v>
      </c>
      <c r="U517">
        <v>0</v>
      </c>
      <c r="V517">
        <v>0</v>
      </c>
      <c r="W517">
        <v>0</v>
      </c>
      <c r="X517">
        <f>IF(Y517,TRUE,AND(AB517:AQ517))</f>
        <v>0</v>
      </c>
      <c r="Y517">
        <f>COUNTBLANK(metadata!B517:Q517)=COLUMNS(metadata!B517:Q517)</f>
        <v>0</v>
      </c>
      <c r="Z517">
        <v>0</v>
      </c>
      <c r="AB517">
        <f>AND(IF(metadata!B517="",FALSE,TRUE),COUNTIF(metadata!B:B, metadata!B517) = 1,NOT(ISERROR(SUMPRODUCT(SEARCH(MID(metadata!B517,ROW(INDIRECT("1:"&amp;LEN(metadata!B517))), 1),"0123456789abcdefghijklmnopqrstuvwxyzABCDEFGHIJKLMNOPQRSTUVWXYZ.")))))</f>
        <v>0</v>
      </c>
      <c r="AC517">
        <f>OR(AND(IF(metadata!C517="",FALSE,TRUE),OR(exact(metadata!C517,"missing: not collected"),exact(metadata!C517,"missing: not provided"),exact(metadata!C517,"missing: restricted access"))),AND(IF(metadata!C517="",FALSE,TRUE),AND(AND(IFERROR(INT(LEFT(metadata!C517,4))&gt;1900,FALSE),IFERROR(INT(LEFT(metadata!C517,4))&lt;=YEAR(NOW()),FALSE)), OR(MID(metadata!C517,5,1)="", AND(AND(MID(metadata!C517,5,1)="-",IFERROR(INT(MID(metadata!C517,6,1))&gt;=0,FALSE),IFERROR(INT(MID(metadata!C517,6,1))&lt;=1,FALSE),NOT(MID(metadata!C517,7,1)=""),IFERROR(INT(MID(metadata!C517,6,2))&gt;=1,FALSE),IFERROR(INT(MID(metadata!C517,6,2))&lt;=12,FALSE)), OR(MID(metadata!C517,8,1)="", AND(AND(MID(metadata!C517,8,1)="-",IFERROR(INT(MID(metadata!C517,9,1))&gt;=0,FALSE),IFERROR(INT(MID(metadata!C517,9,1))&lt;=3,FALSE),NOT(MID(metadata!C517,10,1)=""),IFERROR(INT(MID(metadata!C517,9,2))&gt;=1,FALSE),IFERROR(INT(MID(metadata!C517,9,2))&lt;=31,FALSE)), OR(MID(metadata!C517,11,1)="", AND(AND(MID(metadata!C517,11,1)=" ",IFERROR(INT(MID(metadata!C517,12,1))&gt;=0,FALSE),IFERROR(INT(MID(metadata!C517,12,1))&lt;=2,FALSE),NOT(MID(metadata!C517,13,1)=""),IFERROR(INT(MID(metadata!C517,12,2))&gt;=0,FALSE),IFERROR(INT(MID(metadata!C517,12,2))&lt;=23,FALSE)), OR(MID(metadata!C517,14,1)="", AND(AND(MID(metadata!C517,14,1)=":",IFERROR(INT(MID(metadata!C517,15,1))&gt;=0,FALSE),IFERROR(INT(MID(metadata!C517,15,1))&lt;=5,FALSE),NOT(MID(metadata!C517,16,1)=""),IFERROR(INT(MID(metadata!C517,15,2))&gt;=0,FALSE),IFERROR(INT(MID(metadata!C517,15,2))&lt;=59,FALSE)), OR(MID(metadata!C517,17,1)="", AND(AND(MID(metadata!C517,17,1)=":",IFERROR(INT(MID(metadata!C517,18,1))&gt;=0,FALSE),IFERROR(INT(MID(metadata!C517,18,1))&lt;=5,FALSE),NOT(MID(metadata!C517,19,1)=""),IFERROR(INT(MID(metadata!C517,18,2))&gt;=0,FALSE),IFERROR(INT(MID(metadata!C517,18,2))&lt;=59,FALSE)), LEN(metadata!C517)&lt;=19)))))))))))))</f>
        <v>0</v>
      </c>
      <c r="AD517">
        <f>IF(metadata!D517="",FALSE,TRUE)</f>
        <v>0</v>
      </c>
      <c r="AE517">
        <f>OR(AND(IF(metadata!E517="",FALSE,TRUE),OR(exact(metadata!E517,"missing: not collected"),exact(metadata!E517,"missing: not provided"))),AND(IF(metadata!E517="",FALSE,TRUE),OR(exact(metadata!E517,"TRUE"),exact(metadata!E517,"FALSE"))))</f>
        <v>0</v>
      </c>
      <c r="AF517">
        <f>IF(metadata!F517="",FALSE,TRUE)</f>
        <v>0</v>
      </c>
      <c r="AG517">
        <f>IF(metadata!G517="",FALSE,TRUE)</f>
        <v>0</v>
      </c>
      <c r="AH517">
        <f>IF(metadata!H517="",FALSE,TRUE)</f>
        <v>0</v>
      </c>
      <c r="AI517">
        <f>OR(AND(IF(metadata!I517="",FALSE,TRUE),OR(exact(metadata!I517,"missing: not collected"),exact(metadata!I517,"missing: not provided"),exact(metadata!I517,"missing: restricted access"))),AND(IF(metadata!I517="",FALSE,TRUE),OR(exact(metadata!I517,"air"),exact(metadata!I517,"built environment"),exact(metadata!I517,"host-associated"),exact(metadata!I517,"human-associated"),exact(metadata!I517,"human-skin"),exact(metadata!I517,"human-oral"),exact(metadata!I517,"human-gut"),exact(metadata!I517,"human-vaginal"),exact(metadata!I517,"microbial mat/biofilm"),exact(metadata!I517,"misc environment"),exact(metadata!I517,"plant-associated"),exact(metadata!I517,"sediment"),exact(metadata!I517,"soil"),exact(metadata!I517,"wastewater/sludge"),exact(metadata!I517,"water"))))</f>
        <v>0</v>
      </c>
      <c r="AJ517">
        <f>IF(metadata!J517="",FALSE,TRUE)</f>
        <v>0</v>
      </c>
      <c r="AK517">
        <f>OR(AND(IF(metadata!K517="",FALSE,TRUE),OR(exact(metadata!K517,"missing: not collected"),exact(metadata!K517,"missing: not provided"),exact(metadata!K517,"missing: restricted access"))),AND(IF(metadata!K517="",FALSE,ISNUMBER(VALUE(metadata!K517))),metadata!K517&gt;=-90.00,metadata!K517&lt;=90.00))</f>
        <v>0</v>
      </c>
      <c r="AL517">
        <f>OR(AND(IF(metadata!L517="",FALSE,TRUE),OR(exact(metadata!L517,"missing: not collected"),exact(metadata!L517,"missing: not provided"),exact(metadata!L517,"missing: restricted access"))),AND(IF(metadata!L517="",FALSE,ISNUMBER(VALUE(metadata!L517))),metadata!L517&gt;=-180.00,metadata!L517&lt;=180.00))</f>
        <v>0</v>
      </c>
      <c r="AM517">
        <f>IF(metadata!M517="",FALSE,TRUE)</f>
        <v>0</v>
      </c>
      <c r="AN517">
        <f>OR(AND(IF(metadata!N517="",FALSE,TRUE),OR(exact(metadata!N517,"missing: not collected"),exact(metadata!N517,"missing: not provided"),exact(metadata!N517,"missing: restricted access"))),AND(IF(metadata!N517="",FALSE,TRUE),OR(exact(metadata!N517,"TRUE"),exact(metadata!N517,"FALSE"))))</f>
        <v>0</v>
      </c>
      <c r="AO517">
        <f>IF(metadata!O517="",FALSE,TRUE)</f>
        <v>0</v>
      </c>
      <c r="AP517">
        <f>OR(AND(IF(metadata!P517="",FALSE,TRUE),OR(exact(metadata!P517,"missing: not collected"),exact(metadata!P517,"missing: not provided"))),AND(IF(metadata!P517="",FALSE,IF(ISERROR(INT(metadata!P517)),FALSE,INT(metadata!P517)=metadata!P517)),metadata!P517&gt;0))</f>
        <v>0</v>
      </c>
      <c r="AQ517">
        <f>IF(metadata!Q517="",FALSE,TRUE)</f>
        <v>0</v>
      </c>
    </row>
    <row r="518" spans="1:43">
      <c r="A518" s="5">
        <f>IF(B518=" "," ",HYPERLINK(CONCATENATE("#metadata!",ADDRESS(INDEX($W$2:$W$1001,MATCH(ROWS($U$2:U518),$U$2:$U$1001,0),0),1)),INDEX($Z$2:$Z$1001,MATCH(ROWS($U$2:U518),$U$2:$U$1001,0),0)))</f>
        <v>0</v>
      </c>
      <c r="B518" s="4">
        <f>IF(OR(INDEX($V$2:$V$1001,MATCH(ROWS($U$2:U518),$U$2:$U$1001,0),1)&gt;=100000,INDEX($AB$1005:$AQ$1005,1,MATCH(COLUMNS($AB$1006:AB1006),$AB$1006:$AQ$1006,0))&gt;=100000), " ",IF(INDEX($AB$2:$AQ$1001,MATCH(ROWS($U$2:U518),$U$2:$U$1001,0),MATCH(COLUMNS($AB$1006:AB1006),$AB$1006:$AQ$1006,0)), HYPERLINK("#",""), HYPERLINK(CONCATENATE("#metadata!", ADDRESS(INDEX($W$2:$W$1001,MATCH(ROWS($U$2:U518),$U$2:$U$1001,0),0), INDEX($AB$1004:$AQ$1004,1,MATCH(COLUMNS($AB$1006:AB1006),$AB$1006:$AQ$1006,0)))),"Fix")))</f>
        <v>0</v>
      </c>
      <c r="C518" s="4">
        <f>IF(OR(INDEX($V$2:$V$1001,MATCH(ROWS($U$2:U518),$U$2:$U$1001,0),1)&gt;=100000,INDEX($AB$1005:$AQ$1005,1,MATCH(COLUMNS($AB$1006:AC1006),$AB$1006:$AQ$1006,0))&gt;=100000), " ",IF(INDEX($AB$2:$AQ$1001,MATCH(ROWS($U$2:U518),$U$2:$U$1001,0),MATCH(COLUMNS($AB$1006:AC1006),$AB$1006:$AQ$1006,0)), HYPERLINK("#",""), HYPERLINK(CONCATENATE("#metadata!", ADDRESS(INDEX($W$2:$W$1001,MATCH(ROWS($U$2:U518),$U$2:$U$1001,0),0), INDEX($AB$1004:$AQ$1004,1,MATCH(COLUMNS($AB$1006:AC1006),$AB$1006:$AQ$1006,0)))),"Fix")))</f>
        <v>0</v>
      </c>
      <c r="D518" s="4">
        <f>IF(OR(INDEX($V$2:$V$1001,MATCH(ROWS($U$2:U518),$U$2:$U$1001,0),1)&gt;=100000,INDEX($AB$1005:$AQ$1005,1,MATCH(COLUMNS($AB$1006:AD1006),$AB$1006:$AQ$1006,0))&gt;=100000), " ",IF(INDEX($AB$2:$AQ$1001,MATCH(ROWS($U$2:U518),$U$2:$U$1001,0),MATCH(COLUMNS($AB$1006:AD1006),$AB$1006:$AQ$1006,0)), HYPERLINK("#",""), HYPERLINK(CONCATENATE("#metadata!", ADDRESS(INDEX($W$2:$W$1001,MATCH(ROWS($U$2:U518),$U$2:$U$1001,0),0), INDEX($AB$1004:$AQ$1004,1,MATCH(COLUMNS($AB$1006:AD1006),$AB$1006:$AQ$1006,0)))),"Fix")))</f>
        <v>0</v>
      </c>
      <c r="E518" s="4">
        <f>IF(OR(INDEX($V$2:$V$1001,MATCH(ROWS($U$2:U518),$U$2:$U$1001,0),1)&gt;=100000,INDEX($AB$1005:$AQ$1005,1,MATCH(COLUMNS($AB$1006:AE1006),$AB$1006:$AQ$1006,0))&gt;=100000), " ",IF(INDEX($AB$2:$AQ$1001,MATCH(ROWS($U$2:U518),$U$2:$U$1001,0),MATCH(COLUMNS($AB$1006:AE1006),$AB$1006:$AQ$1006,0)), HYPERLINK("#",""), HYPERLINK(CONCATENATE("#metadata!", ADDRESS(INDEX($W$2:$W$1001,MATCH(ROWS($U$2:U518),$U$2:$U$1001,0),0), INDEX($AB$1004:$AQ$1004,1,MATCH(COLUMNS($AB$1006:AE1006),$AB$1006:$AQ$1006,0)))),"Fix")))</f>
        <v>0</v>
      </c>
      <c r="F518" s="4">
        <f>IF(OR(INDEX($V$2:$V$1001,MATCH(ROWS($U$2:U518),$U$2:$U$1001,0),1)&gt;=100000,INDEX($AB$1005:$AQ$1005,1,MATCH(COLUMNS($AB$1006:AF1006),$AB$1006:$AQ$1006,0))&gt;=100000), " ",IF(INDEX($AB$2:$AQ$1001,MATCH(ROWS($U$2:U518),$U$2:$U$1001,0),MATCH(COLUMNS($AB$1006:AF1006),$AB$1006:$AQ$1006,0)), HYPERLINK("#",""), HYPERLINK(CONCATENATE("#metadata!", ADDRESS(INDEX($W$2:$W$1001,MATCH(ROWS($U$2:U518),$U$2:$U$1001,0),0), INDEX($AB$1004:$AQ$1004,1,MATCH(COLUMNS($AB$1006:AF1006),$AB$1006:$AQ$1006,0)))),"Fix")))</f>
        <v>0</v>
      </c>
      <c r="G518" s="4">
        <f>IF(OR(INDEX($V$2:$V$1001,MATCH(ROWS($U$2:U518),$U$2:$U$1001,0),1)&gt;=100000,INDEX($AB$1005:$AQ$1005,1,MATCH(COLUMNS($AB$1006:AG1006),$AB$1006:$AQ$1006,0))&gt;=100000), " ",IF(INDEX($AB$2:$AQ$1001,MATCH(ROWS($U$2:U518),$U$2:$U$1001,0),MATCH(COLUMNS($AB$1006:AG1006),$AB$1006:$AQ$1006,0)), HYPERLINK("#",""), HYPERLINK(CONCATENATE("#metadata!", ADDRESS(INDEX($W$2:$W$1001,MATCH(ROWS($U$2:U518),$U$2:$U$1001,0),0), INDEX($AB$1004:$AQ$1004,1,MATCH(COLUMNS($AB$1006:AG1006),$AB$1006:$AQ$1006,0)))),"Fix")))</f>
        <v>0</v>
      </c>
      <c r="H518" s="4">
        <f>IF(OR(INDEX($V$2:$V$1001,MATCH(ROWS($U$2:U518),$U$2:$U$1001,0),1)&gt;=100000,INDEX($AB$1005:$AQ$1005,1,MATCH(COLUMNS($AB$1006:AH1006),$AB$1006:$AQ$1006,0))&gt;=100000), " ",IF(INDEX($AB$2:$AQ$1001,MATCH(ROWS($U$2:U518),$U$2:$U$1001,0),MATCH(COLUMNS($AB$1006:AH1006),$AB$1006:$AQ$1006,0)), HYPERLINK("#",""), HYPERLINK(CONCATENATE("#metadata!", ADDRESS(INDEX($W$2:$W$1001,MATCH(ROWS($U$2:U518),$U$2:$U$1001,0),0), INDEX($AB$1004:$AQ$1004,1,MATCH(COLUMNS($AB$1006:AH1006),$AB$1006:$AQ$1006,0)))),"Fix")))</f>
        <v>0</v>
      </c>
      <c r="I518" s="4">
        <f>IF(OR(INDEX($V$2:$V$1001,MATCH(ROWS($U$2:U518),$U$2:$U$1001,0),1)&gt;=100000,INDEX($AB$1005:$AQ$1005,1,MATCH(COLUMNS($AB$1006:AI1006),$AB$1006:$AQ$1006,0))&gt;=100000), " ",IF(INDEX($AB$2:$AQ$1001,MATCH(ROWS($U$2:U518),$U$2:$U$1001,0),MATCH(COLUMNS($AB$1006:AI1006),$AB$1006:$AQ$1006,0)), HYPERLINK("#",""), HYPERLINK(CONCATENATE("#metadata!", ADDRESS(INDEX($W$2:$W$1001,MATCH(ROWS($U$2:U518),$U$2:$U$1001,0),0), INDEX($AB$1004:$AQ$1004,1,MATCH(COLUMNS($AB$1006:AI1006),$AB$1006:$AQ$1006,0)))),"Fix")))</f>
        <v>0</v>
      </c>
      <c r="J518" s="4">
        <f>IF(OR(INDEX($V$2:$V$1001,MATCH(ROWS($U$2:U518),$U$2:$U$1001,0),1)&gt;=100000,INDEX($AB$1005:$AQ$1005,1,MATCH(COLUMNS($AB$1006:AJ1006),$AB$1006:$AQ$1006,0))&gt;=100000), " ",IF(INDEX($AB$2:$AQ$1001,MATCH(ROWS($U$2:U518),$U$2:$U$1001,0),MATCH(COLUMNS($AB$1006:AJ1006),$AB$1006:$AQ$1006,0)), HYPERLINK("#",""), HYPERLINK(CONCATENATE("#metadata!", ADDRESS(INDEX($W$2:$W$1001,MATCH(ROWS($U$2:U518),$U$2:$U$1001,0),0), INDEX($AB$1004:$AQ$1004,1,MATCH(COLUMNS($AB$1006:AJ1006),$AB$1006:$AQ$1006,0)))),"Fix")))</f>
        <v>0</v>
      </c>
      <c r="K518" s="4">
        <f>IF(OR(INDEX($V$2:$V$1001,MATCH(ROWS($U$2:U518),$U$2:$U$1001,0),1)&gt;=100000,INDEX($AB$1005:$AQ$1005,1,MATCH(COLUMNS($AB$1006:AK1006),$AB$1006:$AQ$1006,0))&gt;=100000), " ",IF(INDEX($AB$2:$AQ$1001,MATCH(ROWS($U$2:U518),$U$2:$U$1001,0),MATCH(COLUMNS($AB$1006:AK1006),$AB$1006:$AQ$1006,0)), HYPERLINK("#",""), HYPERLINK(CONCATENATE("#metadata!", ADDRESS(INDEX($W$2:$W$1001,MATCH(ROWS($U$2:U518),$U$2:$U$1001,0),0), INDEX($AB$1004:$AQ$1004,1,MATCH(COLUMNS($AB$1006:AK1006),$AB$1006:$AQ$1006,0)))),"Fix")))</f>
        <v>0</v>
      </c>
      <c r="L518" s="4">
        <f>IF(OR(INDEX($V$2:$V$1001,MATCH(ROWS($U$2:U518),$U$2:$U$1001,0),1)&gt;=100000,INDEX($AB$1005:$AQ$1005,1,MATCH(COLUMNS($AB$1006:AL1006),$AB$1006:$AQ$1006,0))&gt;=100000), " ",IF(INDEX($AB$2:$AQ$1001,MATCH(ROWS($U$2:U518),$U$2:$U$1001,0),MATCH(COLUMNS($AB$1006:AL1006),$AB$1006:$AQ$1006,0)), HYPERLINK("#",""), HYPERLINK(CONCATENATE("#metadata!", ADDRESS(INDEX($W$2:$W$1001,MATCH(ROWS($U$2:U518),$U$2:$U$1001,0),0), INDEX($AB$1004:$AQ$1004,1,MATCH(COLUMNS($AB$1006:AL1006),$AB$1006:$AQ$1006,0)))),"Fix")))</f>
        <v>0</v>
      </c>
      <c r="M518" s="4">
        <f>IF(OR(INDEX($V$2:$V$1001,MATCH(ROWS($U$2:U518),$U$2:$U$1001,0),1)&gt;=100000,INDEX($AB$1005:$AQ$1005,1,MATCH(COLUMNS($AB$1006:AM1006),$AB$1006:$AQ$1006,0))&gt;=100000), " ",IF(INDEX($AB$2:$AQ$1001,MATCH(ROWS($U$2:U518),$U$2:$U$1001,0),MATCH(COLUMNS($AB$1006:AM1006),$AB$1006:$AQ$1006,0)), HYPERLINK("#",""), HYPERLINK(CONCATENATE("#metadata!", ADDRESS(INDEX($W$2:$W$1001,MATCH(ROWS($U$2:U518),$U$2:$U$1001,0),0), INDEX($AB$1004:$AQ$1004,1,MATCH(COLUMNS($AB$1006:AM1006),$AB$1006:$AQ$1006,0)))),"Fix")))</f>
        <v>0</v>
      </c>
      <c r="N518" s="4">
        <f>IF(OR(INDEX($V$2:$V$1001,MATCH(ROWS($U$2:U518),$U$2:$U$1001,0),1)&gt;=100000,INDEX($AB$1005:$AQ$1005,1,MATCH(COLUMNS($AB$1006:AN1006),$AB$1006:$AQ$1006,0))&gt;=100000), " ",IF(INDEX($AB$2:$AQ$1001,MATCH(ROWS($U$2:U518),$U$2:$U$1001,0),MATCH(COLUMNS($AB$1006:AN1006),$AB$1006:$AQ$1006,0)), HYPERLINK("#",""), HYPERLINK(CONCATENATE("#metadata!", ADDRESS(INDEX($W$2:$W$1001,MATCH(ROWS($U$2:U518),$U$2:$U$1001,0),0), INDEX($AB$1004:$AQ$1004,1,MATCH(COLUMNS($AB$1006:AN1006),$AB$1006:$AQ$1006,0)))),"Fix")))</f>
        <v>0</v>
      </c>
      <c r="O518" s="4">
        <f>IF(OR(INDEX($V$2:$V$1001,MATCH(ROWS($U$2:U518),$U$2:$U$1001,0),1)&gt;=100000,INDEX($AB$1005:$AQ$1005,1,MATCH(COLUMNS($AB$1006:AO1006),$AB$1006:$AQ$1006,0))&gt;=100000), " ",IF(INDEX($AB$2:$AQ$1001,MATCH(ROWS($U$2:U518),$U$2:$U$1001,0),MATCH(COLUMNS($AB$1006:AO1006),$AB$1006:$AQ$1006,0)), HYPERLINK("#",""), HYPERLINK(CONCATENATE("#metadata!", ADDRESS(INDEX($W$2:$W$1001,MATCH(ROWS($U$2:U518),$U$2:$U$1001,0),0), INDEX($AB$1004:$AQ$1004,1,MATCH(COLUMNS($AB$1006:AO1006),$AB$1006:$AQ$1006,0)))),"Fix")))</f>
        <v>0</v>
      </c>
      <c r="P518" s="4">
        <f>IF(OR(INDEX($V$2:$V$1001,MATCH(ROWS($U$2:U518),$U$2:$U$1001,0),1)&gt;=100000,INDEX($AB$1005:$AQ$1005,1,MATCH(COLUMNS($AB$1006:AP1006),$AB$1006:$AQ$1006,0))&gt;=100000), " ",IF(INDEX($AB$2:$AQ$1001,MATCH(ROWS($U$2:U518),$U$2:$U$1001,0),MATCH(COLUMNS($AB$1006:AP1006),$AB$1006:$AQ$1006,0)), HYPERLINK("#",""), HYPERLINK(CONCATENATE("#metadata!", ADDRESS(INDEX($W$2:$W$1001,MATCH(ROWS($U$2:U518),$U$2:$U$1001,0),0), INDEX($AB$1004:$AQ$1004,1,MATCH(COLUMNS($AB$1006:AP1006),$AB$1006:$AQ$1006,0)))),"Fix")))</f>
        <v>0</v>
      </c>
      <c r="Q518" s="4">
        <f>IF(OR(INDEX($V$2:$V$1001,MATCH(ROWS($U$2:U518),$U$2:$U$1001,0),1)&gt;=100000,INDEX($AB$1005:$AQ$1005,1,MATCH(COLUMNS($AB$1006:AQ1006),$AB$1006:$AQ$1006,0))&gt;=100000), " ",IF(INDEX($AB$2:$AQ$1001,MATCH(ROWS($U$2:U518),$U$2:$U$1001,0),MATCH(COLUMNS($AB$1006:AQ1006),$AB$1006:$AQ$1006,0)), HYPERLINK("#",""), HYPERLINK(CONCATENATE("#metadata!", ADDRESS(INDEX($W$2:$W$1001,MATCH(ROWS($U$2:U518),$U$2:$U$1001,0),0), INDEX($AB$1004:$AQ$1004,1,MATCH(COLUMNS($AB$1006:AQ1006),$AB$1006:$AQ$1006,0)))),"Fix")))</f>
        <v>0</v>
      </c>
      <c r="U518">
        <v>0</v>
      </c>
      <c r="V518">
        <v>0</v>
      </c>
      <c r="W518">
        <v>0</v>
      </c>
      <c r="X518">
        <f>IF(Y518,TRUE,AND(AB518:AQ518))</f>
        <v>0</v>
      </c>
      <c r="Y518">
        <f>COUNTBLANK(metadata!B518:Q518)=COLUMNS(metadata!B518:Q518)</f>
        <v>0</v>
      </c>
      <c r="Z518">
        <v>0</v>
      </c>
      <c r="AB518">
        <f>AND(IF(metadata!B518="",FALSE,TRUE),COUNTIF(metadata!B:B, metadata!B518) = 1,NOT(ISERROR(SUMPRODUCT(SEARCH(MID(metadata!B518,ROW(INDIRECT("1:"&amp;LEN(metadata!B518))), 1),"0123456789abcdefghijklmnopqrstuvwxyzABCDEFGHIJKLMNOPQRSTUVWXYZ.")))))</f>
        <v>0</v>
      </c>
      <c r="AC518">
        <f>OR(AND(IF(metadata!C518="",FALSE,TRUE),OR(exact(metadata!C518,"missing: not collected"),exact(metadata!C518,"missing: not provided"),exact(metadata!C518,"missing: restricted access"))),AND(IF(metadata!C518="",FALSE,TRUE),AND(AND(IFERROR(INT(LEFT(metadata!C518,4))&gt;1900,FALSE),IFERROR(INT(LEFT(metadata!C518,4))&lt;=YEAR(NOW()),FALSE)), OR(MID(metadata!C518,5,1)="", AND(AND(MID(metadata!C518,5,1)="-",IFERROR(INT(MID(metadata!C518,6,1))&gt;=0,FALSE),IFERROR(INT(MID(metadata!C518,6,1))&lt;=1,FALSE),NOT(MID(metadata!C518,7,1)=""),IFERROR(INT(MID(metadata!C518,6,2))&gt;=1,FALSE),IFERROR(INT(MID(metadata!C518,6,2))&lt;=12,FALSE)), OR(MID(metadata!C518,8,1)="", AND(AND(MID(metadata!C518,8,1)="-",IFERROR(INT(MID(metadata!C518,9,1))&gt;=0,FALSE),IFERROR(INT(MID(metadata!C518,9,1))&lt;=3,FALSE),NOT(MID(metadata!C518,10,1)=""),IFERROR(INT(MID(metadata!C518,9,2))&gt;=1,FALSE),IFERROR(INT(MID(metadata!C518,9,2))&lt;=31,FALSE)), OR(MID(metadata!C518,11,1)="", AND(AND(MID(metadata!C518,11,1)=" ",IFERROR(INT(MID(metadata!C518,12,1))&gt;=0,FALSE),IFERROR(INT(MID(metadata!C518,12,1))&lt;=2,FALSE),NOT(MID(metadata!C518,13,1)=""),IFERROR(INT(MID(metadata!C518,12,2))&gt;=0,FALSE),IFERROR(INT(MID(metadata!C518,12,2))&lt;=23,FALSE)), OR(MID(metadata!C518,14,1)="", AND(AND(MID(metadata!C518,14,1)=":",IFERROR(INT(MID(metadata!C518,15,1))&gt;=0,FALSE),IFERROR(INT(MID(metadata!C518,15,1))&lt;=5,FALSE),NOT(MID(metadata!C518,16,1)=""),IFERROR(INT(MID(metadata!C518,15,2))&gt;=0,FALSE),IFERROR(INT(MID(metadata!C518,15,2))&lt;=59,FALSE)), OR(MID(metadata!C518,17,1)="", AND(AND(MID(metadata!C518,17,1)=":",IFERROR(INT(MID(metadata!C518,18,1))&gt;=0,FALSE),IFERROR(INT(MID(metadata!C518,18,1))&lt;=5,FALSE),NOT(MID(metadata!C518,19,1)=""),IFERROR(INT(MID(metadata!C518,18,2))&gt;=0,FALSE),IFERROR(INT(MID(metadata!C518,18,2))&lt;=59,FALSE)), LEN(metadata!C518)&lt;=19)))))))))))))</f>
        <v>0</v>
      </c>
      <c r="AD518">
        <f>IF(metadata!D518="",FALSE,TRUE)</f>
        <v>0</v>
      </c>
      <c r="AE518">
        <f>OR(AND(IF(metadata!E518="",FALSE,TRUE),OR(exact(metadata!E518,"missing: not collected"),exact(metadata!E518,"missing: not provided"))),AND(IF(metadata!E518="",FALSE,TRUE),OR(exact(metadata!E518,"TRUE"),exact(metadata!E518,"FALSE"))))</f>
        <v>0</v>
      </c>
      <c r="AF518">
        <f>IF(metadata!F518="",FALSE,TRUE)</f>
        <v>0</v>
      </c>
      <c r="AG518">
        <f>IF(metadata!G518="",FALSE,TRUE)</f>
        <v>0</v>
      </c>
      <c r="AH518">
        <f>IF(metadata!H518="",FALSE,TRUE)</f>
        <v>0</v>
      </c>
      <c r="AI518">
        <f>OR(AND(IF(metadata!I518="",FALSE,TRUE),OR(exact(metadata!I518,"missing: not collected"),exact(metadata!I518,"missing: not provided"),exact(metadata!I518,"missing: restricted access"))),AND(IF(metadata!I518="",FALSE,TRUE),OR(exact(metadata!I518,"air"),exact(metadata!I518,"built environment"),exact(metadata!I518,"host-associated"),exact(metadata!I518,"human-associated"),exact(metadata!I518,"human-skin"),exact(metadata!I518,"human-oral"),exact(metadata!I518,"human-gut"),exact(metadata!I518,"human-vaginal"),exact(metadata!I518,"microbial mat/biofilm"),exact(metadata!I518,"misc environment"),exact(metadata!I518,"plant-associated"),exact(metadata!I518,"sediment"),exact(metadata!I518,"soil"),exact(metadata!I518,"wastewater/sludge"),exact(metadata!I518,"water"))))</f>
        <v>0</v>
      </c>
      <c r="AJ518">
        <f>IF(metadata!J518="",FALSE,TRUE)</f>
        <v>0</v>
      </c>
      <c r="AK518">
        <f>OR(AND(IF(metadata!K518="",FALSE,TRUE),OR(exact(metadata!K518,"missing: not collected"),exact(metadata!K518,"missing: not provided"),exact(metadata!K518,"missing: restricted access"))),AND(IF(metadata!K518="",FALSE,ISNUMBER(VALUE(metadata!K518))),metadata!K518&gt;=-90.00,metadata!K518&lt;=90.00))</f>
        <v>0</v>
      </c>
      <c r="AL518">
        <f>OR(AND(IF(metadata!L518="",FALSE,TRUE),OR(exact(metadata!L518,"missing: not collected"),exact(metadata!L518,"missing: not provided"),exact(metadata!L518,"missing: restricted access"))),AND(IF(metadata!L518="",FALSE,ISNUMBER(VALUE(metadata!L518))),metadata!L518&gt;=-180.00,metadata!L518&lt;=180.00))</f>
        <v>0</v>
      </c>
      <c r="AM518">
        <f>IF(metadata!M518="",FALSE,TRUE)</f>
        <v>0</v>
      </c>
      <c r="AN518">
        <f>OR(AND(IF(metadata!N518="",FALSE,TRUE),OR(exact(metadata!N518,"missing: not collected"),exact(metadata!N518,"missing: not provided"),exact(metadata!N518,"missing: restricted access"))),AND(IF(metadata!N518="",FALSE,TRUE),OR(exact(metadata!N518,"TRUE"),exact(metadata!N518,"FALSE"))))</f>
        <v>0</v>
      </c>
      <c r="AO518">
        <f>IF(metadata!O518="",FALSE,TRUE)</f>
        <v>0</v>
      </c>
      <c r="AP518">
        <f>OR(AND(IF(metadata!P518="",FALSE,TRUE),OR(exact(metadata!P518,"missing: not collected"),exact(metadata!P518,"missing: not provided"))),AND(IF(metadata!P518="",FALSE,IF(ISERROR(INT(metadata!P518)),FALSE,INT(metadata!P518)=metadata!P518)),metadata!P518&gt;0))</f>
        <v>0</v>
      </c>
      <c r="AQ518">
        <f>IF(metadata!Q518="",FALSE,TRUE)</f>
        <v>0</v>
      </c>
    </row>
    <row r="519" spans="1:43">
      <c r="A519" s="5">
        <f>IF(B519=" "," ",HYPERLINK(CONCATENATE("#metadata!",ADDRESS(INDEX($W$2:$W$1001,MATCH(ROWS($U$2:U519),$U$2:$U$1001,0),0),1)),INDEX($Z$2:$Z$1001,MATCH(ROWS($U$2:U519),$U$2:$U$1001,0),0)))</f>
        <v>0</v>
      </c>
      <c r="B519" s="4">
        <f>IF(OR(INDEX($V$2:$V$1001,MATCH(ROWS($U$2:U519),$U$2:$U$1001,0),1)&gt;=100000,INDEX($AB$1005:$AQ$1005,1,MATCH(COLUMNS($AB$1006:AB1006),$AB$1006:$AQ$1006,0))&gt;=100000), " ",IF(INDEX($AB$2:$AQ$1001,MATCH(ROWS($U$2:U519),$U$2:$U$1001,0),MATCH(COLUMNS($AB$1006:AB1006),$AB$1006:$AQ$1006,0)), HYPERLINK("#",""), HYPERLINK(CONCATENATE("#metadata!", ADDRESS(INDEX($W$2:$W$1001,MATCH(ROWS($U$2:U519),$U$2:$U$1001,0),0), INDEX($AB$1004:$AQ$1004,1,MATCH(COLUMNS($AB$1006:AB1006),$AB$1006:$AQ$1006,0)))),"Fix")))</f>
        <v>0</v>
      </c>
      <c r="C519" s="4">
        <f>IF(OR(INDEX($V$2:$V$1001,MATCH(ROWS($U$2:U519),$U$2:$U$1001,0),1)&gt;=100000,INDEX($AB$1005:$AQ$1005,1,MATCH(COLUMNS($AB$1006:AC1006),$AB$1006:$AQ$1006,0))&gt;=100000), " ",IF(INDEX($AB$2:$AQ$1001,MATCH(ROWS($U$2:U519),$U$2:$U$1001,0),MATCH(COLUMNS($AB$1006:AC1006),$AB$1006:$AQ$1006,0)), HYPERLINK("#",""), HYPERLINK(CONCATENATE("#metadata!", ADDRESS(INDEX($W$2:$W$1001,MATCH(ROWS($U$2:U519),$U$2:$U$1001,0),0), INDEX($AB$1004:$AQ$1004,1,MATCH(COLUMNS($AB$1006:AC1006),$AB$1006:$AQ$1006,0)))),"Fix")))</f>
        <v>0</v>
      </c>
      <c r="D519" s="4">
        <f>IF(OR(INDEX($V$2:$V$1001,MATCH(ROWS($U$2:U519),$U$2:$U$1001,0),1)&gt;=100000,INDEX($AB$1005:$AQ$1005,1,MATCH(COLUMNS($AB$1006:AD1006),$AB$1006:$AQ$1006,0))&gt;=100000), " ",IF(INDEX($AB$2:$AQ$1001,MATCH(ROWS($U$2:U519),$U$2:$U$1001,0),MATCH(COLUMNS($AB$1006:AD1006),$AB$1006:$AQ$1006,0)), HYPERLINK("#",""), HYPERLINK(CONCATENATE("#metadata!", ADDRESS(INDEX($W$2:$W$1001,MATCH(ROWS($U$2:U519),$U$2:$U$1001,0),0), INDEX($AB$1004:$AQ$1004,1,MATCH(COLUMNS($AB$1006:AD1006),$AB$1006:$AQ$1006,0)))),"Fix")))</f>
        <v>0</v>
      </c>
      <c r="E519" s="4">
        <f>IF(OR(INDEX($V$2:$V$1001,MATCH(ROWS($U$2:U519),$U$2:$U$1001,0),1)&gt;=100000,INDEX($AB$1005:$AQ$1005,1,MATCH(COLUMNS($AB$1006:AE1006),$AB$1006:$AQ$1006,0))&gt;=100000), " ",IF(INDEX($AB$2:$AQ$1001,MATCH(ROWS($U$2:U519),$U$2:$U$1001,0),MATCH(COLUMNS($AB$1006:AE1006),$AB$1006:$AQ$1006,0)), HYPERLINK("#",""), HYPERLINK(CONCATENATE("#metadata!", ADDRESS(INDEX($W$2:$W$1001,MATCH(ROWS($U$2:U519),$U$2:$U$1001,0),0), INDEX($AB$1004:$AQ$1004,1,MATCH(COLUMNS($AB$1006:AE1006),$AB$1006:$AQ$1006,0)))),"Fix")))</f>
        <v>0</v>
      </c>
      <c r="F519" s="4">
        <f>IF(OR(INDEX($V$2:$V$1001,MATCH(ROWS($U$2:U519),$U$2:$U$1001,0),1)&gt;=100000,INDEX($AB$1005:$AQ$1005,1,MATCH(COLUMNS($AB$1006:AF1006),$AB$1006:$AQ$1006,0))&gt;=100000), " ",IF(INDEX($AB$2:$AQ$1001,MATCH(ROWS($U$2:U519),$U$2:$U$1001,0),MATCH(COLUMNS($AB$1006:AF1006),$AB$1006:$AQ$1006,0)), HYPERLINK("#",""), HYPERLINK(CONCATENATE("#metadata!", ADDRESS(INDEX($W$2:$W$1001,MATCH(ROWS($U$2:U519),$U$2:$U$1001,0),0), INDEX($AB$1004:$AQ$1004,1,MATCH(COLUMNS($AB$1006:AF1006),$AB$1006:$AQ$1006,0)))),"Fix")))</f>
        <v>0</v>
      </c>
      <c r="G519" s="4">
        <f>IF(OR(INDEX($V$2:$V$1001,MATCH(ROWS($U$2:U519),$U$2:$U$1001,0),1)&gt;=100000,INDEX($AB$1005:$AQ$1005,1,MATCH(COLUMNS($AB$1006:AG1006),$AB$1006:$AQ$1006,0))&gt;=100000), " ",IF(INDEX($AB$2:$AQ$1001,MATCH(ROWS($U$2:U519),$U$2:$U$1001,0),MATCH(COLUMNS($AB$1006:AG1006),$AB$1006:$AQ$1006,0)), HYPERLINK("#",""), HYPERLINK(CONCATENATE("#metadata!", ADDRESS(INDEX($W$2:$W$1001,MATCH(ROWS($U$2:U519),$U$2:$U$1001,0),0), INDEX($AB$1004:$AQ$1004,1,MATCH(COLUMNS($AB$1006:AG1006),$AB$1006:$AQ$1006,0)))),"Fix")))</f>
        <v>0</v>
      </c>
      <c r="H519" s="4">
        <f>IF(OR(INDEX($V$2:$V$1001,MATCH(ROWS($U$2:U519),$U$2:$U$1001,0),1)&gt;=100000,INDEX($AB$1005:$AQ$1005,1,MATCH(COLUMNS($AB$1006:AH1006),$AB$1006:$AQ$1006,0))&gt;=100000), " ",IF(INDEX($AB$2:$AQ$1001,MATCH(ROWS($U$2:U519),$U$2:$U$1001,0),MATCH(COLUMNS($AB$1006:AH1006),$AB$1006:$AQ$1006,0)), HYPERLINK("#",""), HYPERLINK(CONCATENATE("#metadata!", ADDRESS(INDEX($W$2:$W$1001,MATCH(ROWS($U$2:U519),$U$2:$U$1001,0),0), INDEX($AB$1004:$AQ$1004,1,MATCH(COLUMNS($AB$1006:AH1006),$AB$1006:$AQ$1006,0)))),"Fix")))</f>
        <v>0</v>
      </c>
      <c r="I519" s="4">
        <f>IF(OR(INDEX($V$2:$V$1001,MATCH(ROWS($U$2:U519),$U$2:$U$1001,0),1)&gt;=100000,INDEX($AB$1005:$AQ$1005,1,MATCH(COLUMNS($AB$1006:AI1006),$AB$1006:$AQ$1006,0))&gt;=100000), " ",IF(INDEX($AB$2:$AQ$1001,MATCH(ROWS($U$2:U519),$U$2:$U$1001,0),MATCH(COLUMNS($AB$1006:AI1006),$AB$1006:$AQ$1006,0)), HYPERLINK("#",""), HYPERLINK(CONCATENATE("#metadata!", ADDRESS(INDEX($W$2:$W$1001,MATCH(ROWS($U$2:U519),$U$2:$U$1001,0),0), INDEX($AB$1004:$AQ$1004,1,MATCH(COLUMNS($AB$1006:AI1006),$AB$1006:$AQ$1006,0)))),"Fix")))</f>
        <v>0</v>
      </c>
      <c r="J519" s="4">
        <f>IF(OR(INDEX($V$2:$V$1001,MATCH(ROWS($U$2:U519),$U$2:$U$1001,0),1)&gt;=100000,INDEX($AB$1005:$AQ$1005,1,MATCH(COLUMNS($AB$1006:AJ1006),$AB$1006:$AQ$1006,0))&gt;=100000), " ",IF(INDEX($AB$2:$AQ$1001,MATCH(ROWS($U$2:U519),$U$2:$U$1001,0),MATCH(COLUMNS($AB$1006:AJ1006),$AB$1006:$AQ$1006,0)), HYPERLINK("#",""), HYPERLINK(CONCATENATE("#metadata!", ADDRESS(INDEX($W$2:$W$1001,MATCH(ROWS($U$2:U519),$U$2:$U$1001,0),0), INDEX($AB$1004:$AQ$1004,1,MATCH(COLUMNS($AB$1006:AJ1006),$AB$1006:$AQ$1006,0)))),"Fix")))</f>
        <v>0</v>
      </c>
      <c r="K519" s="4">
        <f>IF(OR(INDEX($V$2:$V$1001,MATCH(ROWS($U$2:U519),$U$2:$U$1001,0),1)&gt;=100000,INDEX($AB$1005:$AQ$1005,1,MATCH(COLUMNS($AB$1006:AK1006),$AB$1006:$AQ$1006,0))&gt;=100000), " ",IF(INDEX($AB$2:$AQ$1001,MATCH(ROWS($U$2:U519),$U$2:$U$1001,0),MATCH(COLUMNS($AB$1006:AK1006),$AB$1006:$AQ$1006,0)), HYPERLINK("#",""), HYPERLINK(CONCATENATE("#metadata!", ADDRESS(INDEX($W$2:$W$1001,MATCH(ROWS($U$2:U519),$U$2:$U$1001,0),0), INDEX($AB$1004:$AQ$1004,1,MATCH(COLUMNS($AB$1006:AK1006),$AB$1006:$AQ$1006,0)))),"Fix")))</f>
        <v>0</v>
      </c>
      <c r="L519" s="4">
        <f>IF(OR(INDEX($V$2:$V$1001,MATCH(ROWS($U$2:U519),$U$2:$U$1001,0),1)&gt;=100000,INDEX($AB$1005:$AQ$1005,1,MATCH(COLUMNS($AB$1006:AL1006),$AB$1006:$AQ$1006,0))&gt;=100000), " ",IF(INDEX($AB$2:$AQ$1001,MATCH(ROWS($U$2:U519),$U$2:$U$1001,0),MATCH(COLUMNS($AB$1006:AL1006),$AB$1006:$AQ$1006,0)), HYPERLINK("#",""), HYPERLINK(CONCATENATE("#metadata!", ADDRESS(INDEX($W$2:$W$1001,MATCH(ROWS($U$2:U519),$U$2:$U$1001,0),0), INDEX($AB$1004:$AQ$1004,1,MATCH(COLUMNS($AB$1006:AL1006),$AB$1006:$AQ$1006,0)))),"Fix")))</f>
        <v>0</v>
      </c>
      <c r="M519" s="4">
        <f>IF(OR(INDEX($V$2:$V$1001,MATCH(ROWS($U$2:U519),$U$2:$U$1001,0),1)&gt;=100000,INDEX($AB$1005:$AQ$1005,1,MATCH(COLUMNS($AB$1006:AM1006),$AB$1006:$AQ$1006,0))&gt;=100000), " ",IF(INDEX($AB$2:$AQ$1001,MATCH(ROWS($U$2:U519),$U$2:$U$1001,0),MATCH(COLUMNS($AB$1006:AM1006),$AB$1006:$AQ$1006,0)), HYPERLINK("#",""), HYPERLINK(CONCATENATE("#metadata!", ADDRESS(INDEX($W$2:$W$1001,MATCH(ROWS($U$2:U519),$U$2:$U$1001,0),0), INDEX($AB$1004:$AQ$1004,1,MATCH(COLUMNS($AB$1006:AM1006),$AB$1006:$AQ$1006,0)))),"Fix")))</f>
        <v>0</v>
      </c>
      <c r="N519" s="4">
        <f>IF(OR(INDEX($V$2:$V$1001,MATCH(ROWS($U$2:U519),$U$2:$U$1001,0),1)&gt;=100000,INDEX($AB$1005:$AQ$1005,1,MATCH(COLUMNS($AB$1006:AN1006),$AB$1006:$AQ$1006,0))&gt;=100000), " ",IF(INDEX($AB$2:$AQ$1001,MATCH(ROWS($U$2:U519),$U$2:$U$1001,0),MATCH(COLUMNS($AB$1006:AN1006),$AB$1006:$AQ$1006,0)), HYPERLINK("#",""), HYPERLINK(CONCATENATE("#metadata!", ADDRESS(INDEX($W$2:$W$1001,MATCH(ROWS($U$2:U519),$U$2:$U$1001,0),0), INDEX($AB$1004:$AQ$1004,1,MATCH(COLUMNS($AB$1006:AN1006),$AB$1006:$AQ$1006,0)))),"Fix")))</f>
        <v>0</v>
      </c>
      <c r="O519" s="4">
        <f>IF(OR(INDEX($V$2:$V$1001,MATCH(ROWS($U$2:U519),$U$2:$U$1001,0),1)&gt;=100000,INDEX($AB$1005:$AQ$1005,1,MATCH(COLUMNS($AB$1006:AO1006),$AB$1006:$AQ$1006,0))&gt;=100000), " ",IF(INDEX($AB$2:$AQ$1001,MATCH(ROWS($U$2:U519),$U$2:$U$1001,0),MATCH(COLUMNS($AB$1006:AO1006),$AB$1006:$AQ$1006,0)), HYPERLINK("#",""), HYPERLINK(CONCATENATE("#metadata!", ADDRESS(INDEX($W$2:$W$1001,MATCH(ROWS($U$2:U519),$U$2:$U$1001,0),0), INDEX($AB$1004:$AQ$1004,1,MATCH(COLUMNS($AB$1006:AO1006),$AB$1006:$AQ$1006,0)))),"Fix")))</f>
        <v>0</v>
      </c>
      <c r="P519" s="4">
        <f>IF(OR(INDEX($V$2:$V$1001,MATCH(ROWS($U$2:U519),$U$2:$U$1001,0),1)&gt;=100000,INDEX($AB$1005:$AQ$1005,1,MATCH(COLUMNS($AB$1006:AP1006),$AB$1006:$AQ$1006,0))&gt;=100000), " ",IF(INDEX($AB$2:$AQ$1001,MATCH(ROWS($U$2:U519),$U$2:$U$1001,0),MATCH(COLUMNS($AB$1006:AP1006),$AB$1006:$AQ$1006,0)), HYPERLINK("#",""), HYPERLINK(CONCATENATE("#metadata!", ADDRESS(INDEX($W$2:$W$1001,MATCH(ROWS($U$2:U519),$U$2:$U$1001,0),0), INDEX($AB$1004:$AQ$1004,1,MATCH(COLUMNS($AB$1006:AP1006),$AB$1006:$AQ$1006,0)))),"Fix")))</f>
        <v>0</v>
      </c>
      <c r="Q519" s="4">
        <f>IF(OR(INDEX($V$2:$V$1001,MATCH(ROWS($U$2:U519),$U$2:$U$1001,0),1)&gt;=100000,INDEX($AB$1005:$AQ$1005,1,MATCH(COLUMNS($AB$1006:AQ1006),$AB$1006:$AQ$1006,0))&gt;=100000), " ",IF(INDEX($AB$2:$AQ$1001,MATCH(ROWS($U$2:U519),$U$2:$U$1001,0),MATCH(COLUMNS($AB$1006:AQ1006),$AB$1006:$AQ$1006,0)), HYPERLINK("#",""), HYPERLINK(CONCATENATE("#metadata!", ADDRESS(INDEX($W$2:$W$1001,MATCH(ROWS($U$2:U519),$U$2:$U$1001,0),0), INDEX($AB$1004:$AQ$1004,1,MATCH(COLUMNS($AB$1006:AQ1006),$AB$1006:$AQ$1006,0)))),"Fix")))</f>
        <v>0</v>
      </c>
      <c r="U519">
        <v>0</v>
      </c>
      <c r="V519">
        <v>0</v>
      </c>
      <c r="W519">
        <v>0</v>
      </c>
      <c r="X519">
        <f>IF(Y519,TRUE,AND(AB519:AQ519))</f>
        <v>0</v>
      </c>
      <c r="Y519">
        <f>COUNTBLANK(metadata!B519:Q519)=COLUMNS(metadata!B519:Q519)</f>
        <v>0</v>
      </c>
      <c r="Z519">
        <v>0</v>
      </c>
      <c r="AB519">
        <f>AND(IF(metadata!B519="",FALSE,TRUE),COUNTIF(metadata!B:B, metadata!B519) = 1,NOT(ISERROR(SUMPRODUCT(SEARCH(MID(metadata!B519,ROW(INDIRECT("1:"&amp;LEN(metadata!B519))), 1),"0123456789abcdefghijklmnopqrstuvwxyzABCDEFGHIJKLMNOPQRSTUVWXYZ.")))))</f>
        <v>0</v>
      </c>
      <c r="AC519">
        <f>OR(AND(IF(metadata!C519="",FALSE,TRUE),OR(exact(metadata!C519,"missing: not collected"),exact(metadata!C519,"missing: not provided"),exact(metadata!C519,"missing: restricted access"))),AND(IF(metadata!C519="",FALSE,TRUE),AND(AND(IFERROR(INT(LEFT(metadata!C519,4))&gt;1900,FALSE),IFERROR(INT(LEFT(metadata!C519,4))&lt;=YEAR(NOW()),FALSE)), OR(MID(metadata!C519,5,1)="", AND(AND(MID(metadata!C519,5,1)="-",IFERROR(INT(MID(metadata!C519,6,1))&gt;=0,FALSE),IFERROR(INT(MID(metadata!C519,6,1))&lt;=1,FALSE),NOT(MID(metadata!C519,7,1)=""),IFERROR(INT(MID(metadata!C519,6,2))&gt;=1,FALSE),IFERROR(INT(MID(metadata!C519,6,2))&lt;=12,FALSE)), OR(MID(metadata!C519,8,1)="", AND(AND(MID(metadata!C519,8,1)="-",IFERROR(INT(MID(metadata!C519,9,1))&gt;=0,FALSE),IFERROR(INT(MID(metadata!C519,9,1))&lt;=3,FALSE),NOT(MID(metadata!C519,10,1)=""),IFERROR(INT(MID(metadata!C519,9,2))&gt;=1,FALSE),IFERROR(INT(MID(metadata!C519,9,2))&lt;=31,FALSE)), OR(MID(metadata!C519,11,1)="", AND(AND(MID(metadata!C519,11,1)=" ",IFERROR(INT(MID(metadata!C519,12,1))&gt;=0,FALSE),IFERROR(INT(MID(metadata!C519,12,1))&lt;=2,FALSE),NOT(MID(metadata!C519,13,1)=""),IFERROR(INT(MID(metadata!C519,12,2))&gt;=0,FALSE),IFERROR(INT(MID(metadata!C519,12,2))&lt;=23,FALSE)), OR(MID(metadata!C519,14,1)="", AND(AND(MID(metadata!C519,14,1)=":",IFERROR(INT(MID(metadata!C519,15,1))&gt;=0,FALSE),IFERROR(INT(MID(metadata!C519,15,1))&lt;=5,FALSE),NOT(MID(metadata!C519,16,1)=""),IFERROR(INT(MID(metadata!C519,15,2))&gt;=0,FALSE),IFERROR(INT(MID(metadata!C519,15,2))&lt;=59,FALSE)), OR(MID(metadata!C519,17,1)="", AND(AND(MID(metadata!C519,17,1)=":",IFERROR(INT(MID(metadata!C519,18,1))&gt;=0,FALSE),IFERROR(INT(MID(metadata!C519,18,1))&lt;=5,FALSE),NOT(MID(metadata!C519,19,1)=""),IFERROR(INT(MID(metadata!C519,18,2))&gt;=0,FALSE),IFERROR(INT(MID(metadata!C519,18,2))&lt;=59,FALSE)), LEN(metadata!C519)&lt;=19)))))))))))))</f>
        <v>0</v>
      </c>
      <c r="AD519">
        <f>IF(metadata!D519="",FALSE,TRUE)</f>
        <v>0</v>
      </c>
      <c r="AE519">
        <f>OR(AND(IF(metadata!E519="",FALSE,TRUE),OR(exact(metadata!E519,"missing: not collected"),exact(metadata!E519,"missing: not provided"))),AND(IF(metadata!E519="",FALSE,TRUE),OR(exact(metadata!E519,"TRUE"),exact(metadata!E519,"FALSE"))))</f>
        <v>0</v>
      </c>
      <c r="AF519">
        <f>IF(metadata!F519="",FALSE,TRUE)</f>
        <v>0</v>
      </c>
      <c r="AG519">
        <f>IF(metadata!G519="",FALSE,TRUE)</f>
        <v>0</v>
      </c>
      <c r="AH519">
        <f>IF(metadata!H519="",FALSE,TRUE)</f>
        <v>0</v>
      </c>
      <c r="AI519">
        <f>OR(AND(IF(metadata!I519="",FALSE,TRUE),OR(exact(metadata!I519,"missing: not collected"),exact(metadata!I519,"missing: not provided"),exact(metadata!I519,"missing: restricted access"))),AND(IF(metadata!I519="",FALSE,TRUE),OR(exact(metadata!I519,"air"),exact(metadata!I519,"built environment"),exact(metadata!I519,"host-associated"),exact(metadata!I519,"human-associated"),exact(metadata!I519,"human-skin"),exact(metadata!I519,"human-oral"),exact(metadata!I519,"human-gut"),exact(metadata!I519,"human-vaginal"),exact(metadata!I519,"microbial mat/biofilm"),exact(metadata!I519,"misc environment"),exact(metadata!I519,"plant-associated"),exact(metadata!I519,"sediment"),exact(metadata!I519,"soil"),exact(metadata!I519,"wastewater/sludge"),exact(metadata!I519,"water"))))</f>
        <v>0</v>
      </c>
      <c r="AJ519">
        <f>IF(metadata!J519="",FALSE,TRUE)</f>
        <v>0</v>
      </c>
      <c r="AK519">
        <f>OR(AND(IF(metadata!K519="",FALSE,TRUE),OR(exact(metadata!K519,"missing: not collected"),exact(metadata!K519,"missing: not provided"),exact(metadata!K519,"missing: restricted access"))),AND(IF(metadata!K519="",FALSE,ISNUMBER(VALUE(metadata!K519))),metadata!K519&gt;=-90.00,metadata!K519&lt;=90.00))</f>
        <v>0</v>
      </c>
      <c r="AL519">
        <f>OR(AND(IF(metadata!L519="",FALSE,TRUE),OR(exact(metadata!L519,"missing: not collected"),exact(metadata!L519,"missing: not provided"),exact(metadata!L519,"missing: restricted access"))),AND(IF(metadata!L519="",FALSE,ISNUMBER(VALUE(metadata!L519))),metadata!L519&gt;=-180.00,metadata!L519&lt;=180.00))</f>
        <v>0</v>
      </c>
      <c r="AM519">
        <f>IF(metadata!M519="",FALSE,TRUE)</f>
        <v>0</v>
      </c>
      <c r="AN519">
        <f>OR(AND(IF(metadata!N519="",FALSE,TRUE),OR(exact(metadata!N519,"missing: not collected"),exact(metadata!N519,"missing: not provided"),exact(metadata!N519,"missing: restricted access"))),AND(IF(metadata!N519="",FALSE,TRUE),OR(exact(metadata!N519,"TRUE"),exact(metadata!N519,"FALSE"))))</f>
        <v>0</v>
      </c>
      <c r="AO519">
        <f>IF(metadata!O519="",FALSE,TRUE)</f>
        <v>0</v>
      </c>
      <c r="AP519">
        <f>OR(AND(IF(metadata!P519="",FALSE,TRUE),OR(exact(metadata!P519,"missing: not collected"),exact(metadata!P519,"missing: not provided"))),AND(IF(metadata!P519="",FALSE,IF(ISERROR(INT(metadata!P519)),FALSE,INT(metadata!P519)=metadata!P519)),metadata!P519&gt;0))</f>
        <v>0</v>
      </c>
      <c r="AQ519">
        <f>IF(metadata!Q519="",FALSE,TRUE)</f>
        <v>0</v>
      </c>
    </row>
    <row r="520" spans="1:43">
      <c r="A520" s="5">
        <f>IF(B520=" "," ",HYPERLINK(CONCATENATE("#metadata!",ADDRESS(INDEX($W$2:$W$1001,MATCH(ROWS($U$2:U520),$U$2:$U$1001,0),0),1)),INDEX($Z$2:$Z$1001,MATCH(ROWS($U$2:U520),$U$2:$U$1001,0),0)))</f>
        <v>0</v>
      </c>
      <c r="B520" s="4">
        <f>IF(OR(INDEX($V$2:$V$1001,MATCH(ROWS($U$2:U520),$U$2:$U$1001,0),1)&gt;=100000,INDEX($AB$1005:$AQ$1005,1,MATCH(COLUMNS($AB$1006:AB1006),$AB$1006:$AQ$1006,0))&gt;=100000), " ",IF(INDEX($AB$2:$AQ$1001,MATCH(ROWS($U$2:U520),$U$2:$U$1001,0),MATCH(COLUMNS($AB$1006:AB1006),$AB$1006:$AQ$1006,0)), HYPERLINK("#",""), HYPERLINK(CONCATENATE("#metadata!", ADDRESS(INDEX($W$2:$W$1001,MATCH(ROWS($U$2:U520),$U$2:$U$1001,0),0), INDEX($AB$1004:$AQ$1004,1,MATCH(COLUMNS($AB$1006:AB1006),$AB$1006:$AQ$1006,0)))),"Fix")))</f>
        <v>0</v>
      </c>
      <c r="C520" s="4">
        <f>IF(OR(INDEX($V$2:$V$1001,MATCH(ROWS($U$2:U520),$U$2:$U$1001,0),1)&gt;=100000,INDEX($AB$1005:$AQ$1005,1,MATCH(COLUMNS($AB$1006:AC1006),$AB$1006:$AQ$1006,0))&gt;=100000), " ",IF(INDEX($AB$2:$AQ$1001,MATCH(ROWS($U$2:U520),$U$2:$U$1001,0),MATCH(COLUMNS($AB$1006:AC1006),$AB$1006:$AQ$1006,0)), HYPERLINK("#",""), HYPERLINK(CONCATENATE("#metadata!", ADDRESS(INDEX($W$2:$W$1001,MATCH(ROWS($U$2:U520),$U$2:$U$1001,0),0), INDEX($AB$1004:$AQ$1004,1,MATCH(COLUMNS($AB$1006:AC1006),$AB$1006:$AQ$1006,0)))),"Fix")))</f>
        <v>0</v>
      </c>
      <c r="D520" s="4">
        <f>IF(OR(INDEX($V$2:$V$1001,MATCH(ROWS($U$2:U520),$U$2:$U$1001,0),1)&gt;=100000,INDEX($AB$1005:$AQ$1005,1,MATCH(COLUMNS($AB$1006:AD1006),$AB$1006:$AQ$1006,0))&gt;=100000), " ",IF(INDEX($AB$2:$AQ$1001,MATCH(ROWS($U$2:U520),$U$2:$U$1001,0),MATCH(COLUMNS($AB$1006:AD1006),$AB$1006:$AQ$1006,0)), HYPERLINK("#",""), HYPERLINK(CONCATENATE("#metadata!", ADDRESS(INDEX($W$2:$W$1001,MATCH(ROWS($U$2:U520),$U$2:$U$1001,0),0), INDEX($AB$1004:$AQ$1004,1,MATCH(COLUMNS($AB$1006:AD1006),$AB$1006:$AQ$1006,0)))),"Fix")))</f>
        <v>0</v>
      </c>
      <c r="E520" s="4">
        <f>IF(OR(INDEX($V$2:$V$1001,MATCH(ROWS($U$2:U520),$U$2:$U$1001,0),1)&gt;=100000,INDEX($AB$1005:$AQ$1005,1,MATCH(COLUMNS($AB$1006:AE1006),$AB$1006:$AQ$1006,0))&gt;=100000), " ",IF(INDEX($AB$2:$AQ$1001,MATCH(ROWS($U$2:U520),$U$2:$U$1001,0),MATCH(COLUMNS($AB$1006:AE1006),$AB$1006:$AQ$1006,0)), HYPERLINK("#",""), HYPERLINK(CONCATENATE("#metadata!", ADDRESS(INDEX($W$2:$W$1001,MATCH(ROWS($U$2:U520),$U$2:$U$1001,0),0), INDEX($AB$1004:$AQ$1004,1,MATCH(COLUMNS($AB$1006:AE1006),$AB$1006:$AQ$1006,0)))),"Fix")))</f>
        <v>0</v>
      </c>
      <c r="F520" s="4">
        <f>IF(OR(INDEX($V$2:$V$1001,MATCH(ROWS($U$2:U520),$U$2:$U$1001,0),1)&gt;=100000,INDEX($AB$1005:$AQ$1005,1,MATCH(COLUMNS($AB$1006:AF1006),$AB$1006:$AQ$1006,0))&gt;=100000), " ",IF(INDEX($AB$2:$AQ$1001,MATCH(ROWS($U$2:U520),$U$2:$U$1001,0),MATCH(COLUMNS($AB$1006:AF1006),$AB$1006:$AQ$1006,0)), HYPERLINK("#",""), HYPERLINK(CONCATENATE("#metadata!", ADDRESS(INDEX($W$2:$W$1001,MATCH(ROWS($U$2:U520),$U$2:$U$1001,0),0), INDEX($AB$1004:$AQ$1004,1,MATCH(COLUMNS($AB$1006:AF1006),$AB$1006:$AQ$1006,0)))),"Fix")))</f>
        <v>0</v>
      </c>
      <c r="G520" s="4">
        <f>IF(OR(INDEX($V$2:$V$1001,MATCH(ROWS($U$2:U520),$U$2:$U$1001,0),1)&gt;=100000,INDEX($AB$1005:$AQ$1005,1,MATCH(COLUMNS($AB$1006:AG1006),$AB$1006:$AQ$1006,0))&gt;=100000), " ",IF(INDEX($AB$2:$AQ$1001,MATCH(ROWS($U$2:U520),$U$2:$U$1001,0),MATCH(COLUMNS($AB$1006:AG1006),$AB$1006:$AQ$1006,0)), HYPERLINK("#",""), HYPERLINK(CONCATENATE("#metadata!", ADDRESS(INDEX($W$2:$W$1001,MATCH(ROWS($U$2:U520),$U$2:$U$1001,0),0), INDEX($AB$1004:$AQ$1004,1,MATCH(COLUMNS($AB$1006:AG1006),$AB$1006:$AQ$1006,0)))),"Fix")))</f>
        <v>0</v>
      </c>
      <c r="H520" s="4">
        <f>IF(OR(INDEX($V$2:$V$1001,MATCH(ROWS($U$2:U520),$U$2:$U$1001,0),1)&gt;=100000,INDEX($AB$1005:$AQ$1005,1,MATCH(COLUMNS($AB$1006:AH1006),$AB$1006:$AQ$1006,0))&gt;=100000), " ",IF(INDEX($AB$2:$AQ$1001,MATCH(ROWS($U$2:U520),$U$2:$U$1001,0),MATCH(COLUMNS($AB$1006:AH1006),$AB$1006:$AQ$1006,0)), HYPERLINK("#",""), HYPERLINK(CONCATENATE("#metadata!", ADDRESS(INDEX($W$2:$W$1001,MATCH(ROWS($U$2:U520),$U$2:$U$1001,0),0), INDEX($AB$1004:$AQ$1004,1,MATCH(COLUMNS($AB$1006:AH1006),$AB$1006:$AQ$1006,0)))),"Fix")))</f>
        <v>0</v>
      </c>
      <c r="I520" s="4">
        <f>IF(OR(INDEX($V$2:$V$1001,MATCH(ROWS($U$2:U520),$U$2:$U$1001,0),1)&gt;=100000,INDEX($AB$1005:$AQ$1005,1,MATCH(COLUMNS($AB$1006:AI1006),$AB$1006:$AQ$1006,0))&gt;=100000), " ",IF(INDEX($AB$2:$AQ$1001,MATCH(ROWS($U$2:U520),$U$2:$U$1001,0),MATCH(COLUMNS($AB$1006:AI1006),$AB$1006:$AQ$1006,0)), HYPERLINK("#",""), HYPERLINK(CONCATENATE("#metadata!", ADDRESS(INDEX($W$2:$W$1001,MATCH(ROWS($U$2:U520),$U$2:$U$1001,0),0), INDEX($AB$1004:$AQ$1004,1,MATCH(COLUMNS($AB$1006:AI1006),$AB$1006:$AQ$1006,0)))),"Fix")))</f>
        <v>0</v>
      </c>
      <c r="J520" s="4">
        <f>IF(OR(INDEX($V$2:$V$1001,MATCH(ROWS($U$2:U520),$U$2:$U$1001,0),1)&gt;=100000,INDEX($AB$1005:$AQ$1005,1,MATCH(COLUMNS($AB$1006:AJ1006),$AB$1006:$AQ$1006,0))&gt;=100000), " ",IF(INDEX($AB$2:$AQ$1001,MATCH(ROWS($U$2:U520),$U$2:$U$1001,0),MATCH(COLUMNS($AB$1006:AJ1006),$AB$1006:$AQ$1006,0)), HYPERLINK("#",""), HYPERLINK(CONCATENATE("#metadata!", ADDRESS(INDEX($W$2:$W$1001,MATCH(ROWS($U$2:U520),$U$2:$U$1001,0),0), INDEX($AB$1004:$AQ$1004,1,MATCH(COLUMNS($AB$1006:AJ1006),$AB$1006:$AQ$1006,0)))),"Fix")))</f>
        <v>0</v>
      </c>
      <c r="K520" s="4">
        <f>IF(OR(INDEX($V$2:$V$1001,MATCH(ROWS($U$2:U520),$U$2:$U$1001,0),1)&gt;=100000,INDEX($AB$1005:$AQ$1005,1,MATCH(COLUMNS($AB$1006:AK1006),$AB$1006:$AQ$1006,0))&gt;=100000), " ",IF(INDEX($AB$2:$AQ$1001,MATCH(ROWS($U$2:U520),$U$2:$U$1001,0),MATCH(COLUMNS($AB$1006:AK1006),$AB$1006:$AQ$1006,0)), HYPERLINK("#",""), HYPERLINK(CONCATENATE("#metadata!", ADDRESS(INDEX($W$2:$W$1001,MATCH(ROWS($U$2:U520),$U$2:$U$1001,0),0), INDEX($AB$1004:$AQ$1004,1,MATCH(COLUMNS($AB$1006:AK1006),$AB$1006:$AQ$1006,0)))),"Fix")))</f>
        <v>0</v>
      </c>
      <c r="L520" s="4">
        <f>IF(OR(INDEX($V$2:$V$1001,MATCH(ROWS($U$2:U520),$U$2:$U$1001,0),1)&gt;=100000,INDEX($AB$1005:$AQ$1005,1,MATCH(COLUMNS($AB$1006:AL1006),$AB$1006:$AQ$1006,0))&gt;=100000), " ",IF(INDEX($AB$2:$AQ$1001,MATCH(ROWS($U$2:U520),$U$2:$U$1001,0),MATCH(COLUMNS($AB$1006:AL1006),$AB$1006:$AQ$1006,0)), HYPERLINK("#",""), HYPERLINK(CONCATENATE("#metadata!", ADDRESS(INDEX($W$2:$W$1001,MATCH(ROWS($U$2:U520),$U$2:$U$1001,0),0), INDEX($AB$1004:$AQ$1004,1,MATCH(COLUMNS($AB$1006:AL1006),$AB$1006:$AQ$1006,0)))),"Fix")))</f>
        <v>0</v>
      </c>
      <c r="M520" s="4">
        <f>IF(OR(INDEX($V$2:$V$1001,MATCH(ROWS($U$2:U520),$U$2:$U$1001,0),1)&gt;=100000,INDEX($AB$1005:$AQ$1005,1,MATCH(COLUMNS($AB$1006:AM1006),$AB$1006:$AQ$1006,0))&gt;=100000), " ",IF(INDEX($AB$2:$AQ$1001,MATCH(ROWS($U$2:U520),$U$2:$U$1001,0),MATCH(COLUMNS($AB$1006:AM1006),$AB$1006:$AQ$1006,0)), HYPERLINK("#",""), HYPERLINK(CONCATENATE("#metadata!", ADDRESS(INDEX($W$2:$W$1001,MATCH(ROWS($U$2:U520),$U$2:$U$1001,0),0), INDEX($AB$1004:$AQ$1004,1,MATCH(COLUMNS($AB$1006:AM1006),$AB$1006:$AQ$1006,0)))),"Fix")))</f>
        <v>0</v>
      </c>
      <c r="N520" s="4">
        <f>IF(OR(INDEX($V$2:$V$1001,MATCH(ROWS($U$2:U520),$U$2:$U$1001,0),1)&gt;=100000,INDEX($AB$1005:$AQ$1005,1,MATCH(COLUMNS($AB$1006:AN1006),$AB$1006:$AQ$1006,0))&gt;=100000), " ",IF(INDEX($AB$2:$AQ$1001,MATCH(ROWS($U$2:U520),$U$2:$U$1001,0),MATCH(COLUMNS($AB$1006:AN1006),$AB$1006:$AQ$1006,0)), HYPERLINK("#",""), HYPERLINK(CONCATENATE("#metadata!", ADDRESS(INDEX($W$2:$W$1001,MATCH(ROWS($U$2:U520),$U$2:$U$1001,0),0), INDEX($AB$1004:$AQ$1004,1,MATCH(COLUMNS($AB$1006:AN1006),$AB$1006:$AQ$1006,0)))),"Fix")))</f>
        <v>0</v>
      </c>
      <c r="O520" s="4">
        <f>IF(OR(INDEX($V$2:$V$1001,MATCH(ROWS($U$2:U520),$U$2:$U$1001,0),1)&gt;=100000,INDEX($AB$1005:$AQ$1005,1,MATCH(COLUMNS($AB$1006:AO1006),$AB$1006:$AQ$1006,0))&gt;=100000), " ",IF(INDEX($AB$2:$AQ$1001,MATCH(ROWS($U$2:U520),$U$2:$U$1001,0),MATCH(COLUMNS($AB$1006:AO1006),$AB$1006:$AQ$1006,0)), HYPERLINK("#",""), HYPERLINK(CONCATENATE("#metadata!", ADDRESS(INDEX($W$2:$W$1001,MATCH(ROWS($U$2:U520),$U$2:$U$1001,0),0), INDEX($AB$1004:$AQ$1004,1,MATCH(COLUMNS($AB$1006:AO1006),$AB$1006:$AQ$1006,0)))),"Fix")))</f>
        <v>0</v>
      </c>
      <c r="P520" s="4">
        <f>IF(OR(INDEX($V$2:$V$1001,MATCH(ROWS($U$2:U520),$U$2:$U$1001,0),1)&gt;=100000,INDEX($AB$1005:$AQ$1005,1,MATCH(COLUMNS($AB$1006:AP1006),$AB$1006:$AQ$1006,0))&gt;=100000), " ",IF(INDEX($AB$2:$AQ$1001,MATCH(ROWS($U$2:U520),$U$2:$U$1001,0),MATCH(COLUMNS($AB$1006:AP1006),$AB$1006:$AQ$1006,0)), HYPERLINK("#",""), HYPERLINK(CONCATENATE("#metadata!", ADDRESS(INDEX($W$2:$W$1001,MATCH(ROWS($U$2:U520),$U$2:$U$1001,0),0), INDEX($AB$1004:$AQ$1004,1,MATCH(COLUMNS($AB$1006:AP1006),$AB$1006:$AQ$1006,0)))),"Fix")))</f>
        <v>0</v>
      </c>
      <c r="Q520" s="4">
        <f>IF(OR(INDEX($V$2:$V$1001,MATCH(ROWS($U$2:U520),$U$2:$U$1001,0),1)&gt;=100000,INDEX($AB$1005:$AQ$1005,1,MATCH(COLUMNS($AB$1006:AQ1006),$AB$1006:$AQ$1006,0))&gt;=100000), " ",IF(INDEX($AB$2:$AQ$1001,MATCH(ROWS($U$2:U520),$U$2:$U$1001,0),MATCH(COLUMNS($AB$1006:AQ1006),$AB$1006:$AQ$1006,0)), HYPERLINK("#",""), HYPERLINK(CONCATENATE("#metadata!", ADDRESS(INDEX($W$2:$W$1001,MATCH(ROWS($U$2:U520),$U$2:$U$1001,0),0), INDEX($AB$1004:$AQ$1004,1,MATCH(COLUMNS($AB$1006:AQ1006),$AB$1006:$AQ$1006,0)))),"Fix")))</f>
        <v>0</v>
      </c>
      <c r="U520">
        <v>0</v>
      </c>
      <c r="V520">
        <v>0</v>
      </c>
      <c r="W520">
        <v>0</v>
      </c>
      <c r="X520">
        <f>IF(Y520,TRUE,AND(AB520:AQ520))</f>
        <v>0</v>
      </c>
      <c r="Y520">
        <f>COUNTBLANK(metadata!B520:Q520)=COLUMNS(metadata!B520:Q520)</f>
        <v>0</v>
      </c>
      <c r="Z520">
        <v>0</v>
      </c>
      <c r="AB520">
        <f>AND(IF(metadata!B520="",FALSE,TRUE),COUNTIF(metadata!B:B, metadata!B520) = 1,NOT(ISERROR(SUMPRODUCT(SEARCH(MID(metadata!B520,ROW(INDIRECT("1:"&amp;LEN(metadata!B520))), 1),"0123456789abcdefghijklmnopqrstuvwxyzABCDEFGHIJKLMNOPQRSTUVWXYZ.")))))</f>
        <v>0</v>
      </c>
      <c r="AC520">
        <f>OR(AND(IF(metadata!C520="",FALSE,TRUE),OR(exact(metadata!C520,"missing: not collected"),exact(metadata!C520,"missing: not provided"),exact(metadata!C520,"missing: restricted access"))),AND(IF(metadata!C520="",FALSE,TRUE),AND(AND(IFERROR(INT(LEFT(metadata!C520,4))&gt;1900,FALSE),IFERROR(INT(LEFT(metadata!C520,4))&lt;=YEAR(NOW()),FALSE)), OR(MID(metadata!C520,5,1)="", AND(AND(MID(metadata!C520,5,1)="-",IFERROR(INT(MID(metadata!C520,6,1))&gt;=0,FALSE),IFERROR(INT(MID(metadata!C520,6,1))&lt;=1,FALSE),NOT(MID(metadata!C520,7,1)=""),IFERROR(INT(MID(metadata!C520,6,2))&gt;=1,FALSE),IFERROR(INT(MID(metadata!C520,6,2))&lt;=12,FALSE)), OR(MID(metadata!C520,8,1)="", AND(AND(MID(metadata!C520,8,1)="-",IFERROR(INT(MID(metadata!C520,9,1))&gt;=0,FALSE),IFERROR(INT(MID(metadata!C520,9,1))&lt;=3,FALSE),NOT(MID(metadata!C520,10,1)=""),IFERROR(INT(MID(metadata!C520,9,2))&gt;=1,FALSE),IFERROR(INT(MID(metadata!C520,9,2))&lt;=31,FALSE)), OR(MID(metadata!C520,11,1)="", AND(AND(MID(metadata!C520,11,1)=" ",IFERROR(INT(MID(metadata!C520,12,1))&gt;=0,FALSE),IFERROR(INT(MID(metadata!C520,12,1))&lt;=2,FALSE),NOT(MID(metadata!C520,13,1)=""),IFERROR(INT(MID(metadata!C520,12,2))&gt;=0,FALSE),IFERROR(INT(MID(metadata!C520,12,2))&lt;=23,FALSE)), OR(MID(metadata!C520,14,1)="", AND(AND(MID(metadata!C520,14,1)=":",IFERROR(INT(MID(metadata!C520,15,1))&gt;=0,FALSE),IFERROR(INT(MID(metadata!C520,15,1))&lt;=5,FALSE),NOT(MID(metadata!C520,16,1)=""),IFERROR(INT(MID(metadata!C520,15,2))&gt;=0,FALSE),IFERROR(INT(MID(metadata!C520,15,2))&lt;=59,FALSE)), OR(MID(metadata!C520,17,1)="", AND(AND(MID(metadata!C520,17,1)=":",IFERROR(INT(MID(metadata!C520,18,1))&gt;=0,FALSE),IFERROR(INT(MID(metadata!C520,18,1))&lt;=5,FALSE),NOT(MID(metadata!C520,19,1)=""),IFERROR(INT(MID(metadata!C520,18,2))&gt;=0,FALSE),IFERROR(INT(MID(metadata!C520,18,2))&lt;=59,FALSE)), LEN(metadata!C520)&lt;=19)))))))))))))</f>
        <v>0</v>
      </c>
      <c r="AD520">
        <f>IF(metadata!D520="",FALSE,TRUE)</f>
        <v>0</v>
      </c>
      <c r="AE520">
        <f>OR(AND(IF(metadata!E520="",FALSE,TRUE),OR(exact(metadata!E520,"missing: not collected"),exact(metadata!E520,"missing: not provided"))),AND(IF(metadata!E520="",FALSE,TRUE),OR(exact(metadata!E520,"TRUE"),exact(metadata!E520,"FALSE"))))</f>
        <v>0</v>
      </c>
      <c r="AF520">
        <f>IF(metadata!F520="",FALSE,TRUE)</f>
        <v>0</v>
      </c>
      <c r="AG520">
        <f>IF(metadata!G520="",FALSE,TRUE)</f>
        <v>0</v>
      </c>
      <c r="AH520">
        <f>IF(metadata!H520="",FALSE,TRUE)</f>
        <v>0</v>
      </c>
      <c r="AI520">
        <f>OR(AND(IF(metadata!I520="",FALSE,TRUE),OR(exact(metadata!I520,"missing: not collected"),exact(metadata!I520,"missing: not provided"),exact(metadata!I520,"missing: restricted access"))),AND(IF(metadata!I520="",FALSE,TRUE),OR(exact(metadata!I520,"air"),exact(metadata!I520,"built environment"),exact(metadata!I520,"host-associated"),exact(metadata!I520,"human-associated"),exact(metadata!I520,"human-skin"),exact(metadata!I520,"human-oral"),exact(metadata!I520,"human-gut"),exact(metadata!I520,"human-vaginal"),exact(metadata!I520,"microbial mat/biofilm"),exact(metadata!I520,"misc environment"),exact(metadata!I520,"plant-associated"),exact(metadata!I520,"sediment"),exact(metadata!I520,"soil"),exact(metadata!I520,"wastewater/sludge"),exact(metadata!I520,"water"))))</f>
        <v>0</v>
      </c>
      <c r="AJ520">
        <f>IF(metadata!J520="",FALSE,TRUE)</f>
        <v>0</v>
      </c>
      <c r="AK520">
        <f>OR(AND(IF(metadata!K520="",FALSE,TRUE),OR(exact(metadata!K520,"missing: not collected"),exact(metadata!K520,"missing: not provided"),exact(metadata!K520,"missing: restricted access"))),AND(IF(metadata!K520="",FALSE,ISNUMBER(VALUE(metadata!K520))),metadata!K520&gt;=-90.00,metadata!K520&lt;=90.00))</f>
        <v>0</v>
      </c>
      <c r="AL520">
        <f>OR(AND(IF(metadata!L520="",FALSE,TRUE),OR(exact(metadata!L520,"missing: not collected"),exact(metadata!L520,"missing: not provided"),exact(metadata!L520,"missing: restricted access"))),AND(IF(metadata!L520="",FALSE,ISNUMBER(VALUE(metadata!L520))),metadata!L520&gt;=-180.00,metadata!L520&lt;=180.00))</f>
        <v>0</v>
      </c>
      <c r="AM520">
        <f>IF(metadata!M520="",FALSE,TRUE)</f>
        <v>0</v>
      </c>
      <c r="AN520">
        <f>OR(AND(IF(metadata!N520="",FALSE,TRUE),OR(exact(metadata!N520,"missing: not collected"),exact(metadata!N520,"missing: not provided"),exact(metadata!N520,"missing: restricted access"))),AND(IF(metadata!N520="",FALSE,TRUE),OR(exact(metadata!N520,"TRUE"),exact(metadata!N520,"FALSE"))))</f>
        <v>0</v>
      </c>
      <c r="AO520">
        <f>IF(metadata!O520="",FALSE,TRUE)</f>
        <v>0</v>
      </c>
      <c r="AP520">
        <f>OR(AND(IF(metadata!P520="",FALSE,TRUE),OR(exact(metadata!P520,"missing: not collected"),exact(metadata!P520,"missing: not provided"))),AND(IF(metadata!P520="",FALSE,IF(ISERROR(INT(metadata!P520)),FALSE,INT(metadata!P520)=metadata!P520)),metadata!P520&gt;0))</f>
        <v>0</v>
      </c>
      <c r="AQ520">
        <f>IF(metadata!Q520="",FALSE,TRUE)</f>
        <v>0</v>
      </c>
    </row>
    <row r="521" spans="1:43">
      <c r="A521" s="5">
        <f>IF(B521=" "," ",HYPERLINK(CONCATENATE("#metadata!",ADDRESS(INDEX($W$2:$W$1001,MATCH(ROWS($U$2:U521),$U$2:$U$1001,0),0),1)),INDEX($Z$2:$Z$1001,MATCH(ROWS($U$2:U521),$U$2:$U$1001,0),0)))</f>
        <v>0</v>
      </c>
      <c r="B521" s="4">
        <f>IF(OR(INDEX($V$2:$V$1001,MATCH(ROWS($U$2:U521),$U$2:$U$1001,0),1)&gt;=100000,INDEX($AB$1005:$AQ$1005,1,MATCH(COLUMNS($AB$1006:AB1006),$AB$1006:$AQ$1006,0))&gt;=100000), " ",IF(INDEX($AB$2:$AQ$1001,MATCH(ROWS($U$2:U521),$U$2:$U$1001,0),MATCH(COLUMNS($AB$1006:AB1006),$AB$1006:$AQ$1006,0)), HYPERLINK("#",""), HYPERLINK(CONCATENATE("#metadata!", ADDRESS(INDEX($W$2:$W$1001,MATCH(ROWS($U$2:U521),$U$2:$U$1001,0),0), INDEX($AB$1004:$AQ$1004,1,MATCH(COLUMNS($AB$1006:AB1006),$AB$1006:$AQ$1006,0)))),"Fix")))</f>
        <v>0</v>
      </c>
      <c r="C521" s="4">
        <f>IF(OR(INDEX($V$2:$V$1001,MATCH(ROWS($U$2:U521),$U$2:$U$1001,0),1)&gt;=100000,INDEX($AB$1005:$AQ$1005,1,MATCH(COLUMNS($AB$1006:AC1006),$AB$1006:$AQ$1006,0))&gt;=100000), " ",IF(INDEX($AB$2:$AQ$1001,MATCH(ROWS($U$2:U521),$U$2:$U$1001,0),MATCH(COLUMNS($AB$1006:AC1006),$AB$1006:$AQ$1006,0)), HYPERLINK("#",""), HYPERLINK(CONCATENATE("#metadata!", ADDRESS(INDEX($W$2:$W$1001,MATCH(ROWS($U$2:U521),$U$2:$U$1001,0),0), INDEX($AB$1004:$AQ$1004,1,MATCH(COLUMNS($AB$1006:AC1006),$AB$1006:$AQ$1006,0)))),"Fix")))</f>
        <v>0</v>
      </c>
      <c r="D521" s="4">
        <f>IF(OR(INDEX($V$2:$V$1001,MATCH(ROWS($U$2:U521),$U$2:$U$1001,0),1)&gt;=100000,INDEX($AB$1005:$AQ$1005,1,MATCH(COLUMNS($AB$1006:AD1006),$AB$1006:$AQ$1006,0))&gt;=100000), " ",IF(INDEX($AB$2:$AQ$1001,MATCH(ROWS($U$2:U521),$U$2:$U$1001,0),MATCH(COLUMNS($AB$1006:AD1006),$AB$1006:$AQ$1006,0)), HYPERLINK("#",""), HYPERLINK(CONCATENATE("#metadata!", ADDRESS(INDEX($W$2:$W$1001,MATCH(ROWS($U$2:U521),$U$2:$U$1001,0),0), INDEX($AB$1004:$AQ$1004,1,MATCH(COLUMNS($AB$1006:AD1006),$AB$1006:$AQ$1006,0)))),"Fix")))</f>
        <v>0</v>
      </c>
      <c r="E521" s="4">
        <f>IF(OR(INDEX($V$2:$V$1001,MATCH(ROWS($U$2:U521),$U$2:$U$1001,0),1)&gt;=100000,INDEX($AB$1005:$AQ$1005,1,MATCH(COLUMNS($AB$1006:AE1006),$AB$1006:$AQ$1006,0))&gt;=100000), " ",IF(INDEX($AB$2:$AQ$1001,MATCH(ROWS($U$2:U521),$U$2:$U$1001,0),MATCH(COLUMNS($AB$1006:AE1006),$AB$1006:$AQ$1006,0)), HYPERLINK("#",""), HYPERLINK(CONCATENATE("#metadata!", ADDRESS(INDEX($W$2:$W$1001,MATCH(ROWS($U$2:U521),$U$2:$U$1001,0),0), INDEX($AB$1004:$AQ$1004,1,MATCH(COLUMNS($AB$1006:AE1006),$AB$1006:$AQ$1006,0)))),"Fix")))</f>
        <v>0</v>
      </c>
      <c r="F521" s="4">
        <f>IF(OR(INDEX($V$2:$V$1001,MATCH(ROWS($U$2:U521),$U$2:$U$1001,0),1)&gt;=100000,INDEX($AB$1005:$AQ$1005,1,MATCH(COLUMNS($AB$1006:AF1006),$AB$1006:$AQ$1006,0))&gt;=100000), " ",IF(INDEX($AB$2:$AQ$1001,MATCH(ROWS($U$2:U521),$U$2:$U$1001,0),MATCH(COLUMNS($AB$1006:AF1006),$AB$1006:$AQ$1006,0)), HYPERLINK("#",""), HYPERLINK(CONCATENATE("#metadata!", ADDRESS(INDEX($W$2:$W$1001,MATCH(ROWS($U$2:U521),$U$2:$U$1001,0),0), INDEX($AB$1004:$AQ$1004,1,MATCH(COLUMNS($AB$1006:AF1006),$AB$1006:$AQ$1006,0)))),"Fix")))</f>
        <v>0</v>
      </c>
      <c r="G521" s="4">
        <f>IF(OR(INDEX($V$2:$V$1001,MATCH(ROWS($U$2:U521),$U$2:$U$1001,0),1)&gt;=100000,INDEX($AB$1005:$AQ$1005,1,MATCH(COLUMNS($AB$1006:AG1006),$AB$1006:$AQ$1006,0))&gt;=100000), " ",IF(INDEX($AB$2:$AQ$1001,MATCH(ROWS($U$2:U521),$U$2:$U$1001,0),MATCH(COLUMNS($AB$1006:AG1006),$AB$1006:$AQ$1006,0)), HYPERLINK("#",""), HYPERLINK(CONCATENATE("#metadata!", ADDRESS(INDEX($W$2:$W$1001,MATCH(ROWS($U$2:U521),$U$2:$U$1001,0),0), INDEX($AB$1004:$AQ$1004,1,MATCH(COLUMNS($AB$1006:AG1006),$AB$1006:$AQ$1006,0)))),"Fix")))</f>
        <v>0</v>
      </c>
      <c r="H521" s="4">
        <f>IF(OR(INDEX($V$2:$V$1001,MATCH(ROWS($U$2:U521),$U$2:$U$1001,0),1)&gt;=100000,INDEX($AB$1005:$AQ$1005,1,MATCH(COLUMNS($AB$1006:AH1006),$AB$1006:$AQ$1006,0))&gt;=100000), " ",IF(INDEX($AB$2:$AQ$1001,MATCH(ROWS($U$2:U521),$U$2:$U$1001,0),MATCH(COLUMNS($AB$1006:AH1006),$AB$1006:$AQ$1006,0)), HYPERLINK("#",""), HYPERLINK(CONCATENATE("#metadata!", ADDRESS(INDEX($W$2:$W$1001,MATCH(ROWS($U$2:U521),$U$2:$U$1001,0),0), INDEX($AB$1004:$AQ$1004,1,MATCH(COLUMNS($AB$1006:AH1006),$AB$1006:$AQ$1006,0)))),"Fix")))</f>
        <v>0</v>
      </c>
      <c r="I521" s="4">
        <f>IF(OR(INDEX($V$2:$V$1001,MATCH(ROWS($U$2:U521),$U$2:$U$1001,0),1)&gt;=100000,INDEX($AB$1005:$AQ$1005,1,MATCH(COLUMNS($AB$1006:AI1006),$AB$1006:$AQ$1006,0))&gt;=100000), " ",IF(INDEX($AB$2:$AQ$1001,MATCH(ROWS($U$2:U521),$U$2:$U$1001,0),MATCH(COLUMNS($AB$1006:AI1006),$AB$1006:$AQ$1006,0)), HYPERLINK("#",""), HYPERLINK(CONCATENATE("#metadata!", ADDRESS(INDEX($W$2:$W$1001,MATCH(ROWS($U$2:U521),$U$2:$U$1001,0),0), INDEX($AB$1004:$AQ$1004,1,MATCH(COLUMNS($AB$1006:AI1006),$AB$1006:$AQ$1006,0)))),"Fix")))</f>
        <v>0</v>
      </c>
      <c r="J521" s="4">
        <f>IF(OR(INDEX($V$2:$V$1001,MATCH(ROWS($U$2:U521),$U$2:$U$1001,0),1)&gt;=100000,INDEX($AB$1005:$AQ$1005,1,MATCH(COLUMNS($AB$1006:AJ1006),$AB$1006:$AQ$1006,0))&gt;=100000), " ",IF(INDEX($AB$2:$AQ$1001,MATCH(ROWS($U$2:U521),$U$2:$U$1001,0),MATCH(COLUMNS($AB$1006:AJ1006),$AB$1006:$AQ$1006,0)), HYPERLINK("#",""), HYPERLINK(CONCATENATE("#metadata!", ADDRESS(INDEX($W$2:$W$1001,MATCH(ROWS($U$2:U521),$U$2:$U$1001,0),0), INDEX($AB$1004:$AQ$1004,1,MATCH(COLUMNS($AB$1006:AJ1006),$AB$1006:$AQ$1006,0)))),"Fix")))</f>
        <v>0</v>
      </c>
      <c r="K521" s="4">
        <f>IF(OR(INDEX($V$2:$V$1001,MATCH(ROWS($U$2:U521),$U$2:$U$1001,0),1)&gt;=100000,INDEX($AB$1005:$AQ$1005,1,MATCH(COLUMNS($AB$1006:AK1006),$AB$1006:$AQ$1006,0))&gt;=100000), " ",IF(INDEX($AB$2:$AQ$1001,MATCH(ROWS($U$2:U521),$U$2:$U$1001,0),MATCH(COLUMNS($AB$1006:AK1006),$AB$1006:$AQ$1006,0)), HYPERLINK("#",""), HYPERLINK(CONCATENATE("#metadata!", ADDRESS(INDEX($W$2:$W$1001,MATCH(ROWS($U$2:U521),$U$2:$U$1001,0),0), INDEX($AB$1004:$AQ$1004,1,MATCH(COLUMNS($AB$1006:AK1006),$AB$1006:$AQ$1006,0)))),"Fix")))</f>
        <v>0</v>
      </c>
      <c r="L521" s="4">
        <f>IF(OR(INDEX($V$2:$V$1001,MATCH(ROWS($U$2:U521),$U$2:$U$1001,0),1)&gt;=100000,INDEX($AB$1005:$AQ$1005,1,MATCH(COLUMNS($AB$1006:AL1006),$AB$1006:$AQ$1006,0))&gt;=100000), " ",IF(INDEX($AB$2:$AQ$1001,MATCH(ROWS($U$2:U521),$U$2:$U$1001,0),MATCH(COLUMNS($AB$1006:AL1006),$AB$1006:$AQ$1006,0)), HYPERLINK("#",""), HYPERLINK(CONCATENATE("#metadata!", ADDRESS(INDEX($W$2:$W$1001,MATCH(ROWS($U$2:U521),$U$2:$U$1001,0),0), INDEX($AB$1004:$AQ$1004,1,MATCH(COLUMNS($AB$1006:AL1006),$AB$1006:$AQ$1006,0)))),"Fix")))</f>
        <v>0</v>
      </c>
      <c r="M521" s="4">
        <f>IF(OR(INDEX($V$2:$V$1001,MATCH(ROWS($U$2:U521),$U$2:$U$1001,0),1)&gt;=100000,INDEX($AB$1005:$AQ$1005,1,MATCH(COLUMNS($AB$1006:AM1006),$AB$1006:$AQ$1006,0))&gt;=100000), " ",IF(INDEX($AB$2:$AQ$1001,MATCH(ROWS($U$2:U521),$U$2:$U$1001,0),MATCH(COLUMNS($AB$1006:AM1006),$AB$1006:$AQ$1006,0)), HYPERLINK("#",""), HYPERLINK(CONCATENATE("#metadata!", ADDRESS(INDEX($W$2:$W$1001,MATCH(ROWS($U$2:U521),$U$2:$U$1001,0),0), INDEX($AB$1004:$AQ$1004,1,MATCH(COLUMNS($AB$1006:AM1006),$AB$1006:$AQ$1006,0)))),"Fix")))</f>
        <v>0</v>
      </c>
      <c r="N521" s="4">
        <f>IF(OR(INDEX($V$2:$V$1001,MATCH(ROWS($U$2:U521),$U$2:$U$1001,0),1)&gt;=100000,INDEX($AB$1005:$AQ$1005,1,MATCH(COLUMNS($AB$1006:AN1006),$AB$1006:$AQ$1006,0))&gt;=100000), " ",IF(INDEX($AB$2:$AQ$1001,MATCH(ROWS($U$2:U521),$U$2:$U$1001,0),MATCH(COLUMNS($AB$1006:AN1006),$AB$1006:$AQ$1006,0)), HYPERLINK("#",""), HYPERLINK(CONCATENATE("#metadata!", ADDRESS(INDEX($W$2:$W$1001,MATCH(ROWS($U$2:U521),$U$2:$U$1001,0),0), INDEX($AB$1004:$AQ$1004,1,MATCH(COLUMNS($AB$1006:AN1006),$AB$1006:$AQ$1006,0)))),"Fix")))</f>
        <v>0</v>
      </c>
      <c r="O521" s="4">
        <f>IF(OR(INDEX($V$2:$V$1001,MATCH(ROWS($U$2:U521),$U$2:$U$1001,0),1)&gt;=100000,INDEX($AB$1005:$AQ$1005,1,MATCH(COLUMNS($AB$1006:AO1006),$AB$1006:$AQ$1006,0))&gt;=100000), " ",IF(INDEX($AB$2:$AQ$1001,MATCH(ROWS($U$2:U521),$U$2:$U$1001,0),MATCH(COLUMNS($AB$1006:AO1006),$AB$1006:$AQ$1006,0)), HYPERLINK("#",""), HYPERLINK(CONCATENATE("#metadata!", ADDRESS(INDEX($W$2:$W$1001,MATCH(ROWS($U$2:U521),$U$2:$U$1001,0),0), INDEX($AB$1004:$AQ$1004,1,MATCH(COLUMNS($AB$1006:AO1006),$AB$1006:$AQ$1006,0)))),"Fix")))</f>
        <v>0</v>
      </c>
      <c r="P521" s="4">
        <f>IF(OR(INDEX($V$2:$V$1001,MATCH(ROWS($U$2:U521),$U$2:$U$1001,0),1)&gt;=100000,INDEX($AB$1005:$AQ$1005,1,MATCH(COLUMNS($AB$1006:AP1006),$AB$1006:$AQ$1006,0))&gt;=100000), " ",IF(INDEX($AB$2:$AQ$1001,MATCH(ROWS($U$2:U521),$U$2:$U$1001,0),MATCH(COLUMNS($AB$1006:AP1006),$AB$1006:$AQ$1006,0)), HYPERLINK("#",""), HYPERLINK(CONCATENATE("#metadata!", ADDRESS(INDEX($W$2:$W$1001,MATCH(ROWS($U$2:U521),$U$2:$U$1001,0),0), INDEX($AB$1004:$AQ$1004,1,MATCH(COLUMNS($AB$1006:AP1006),$AB$1006:$AQ$1006,0)))),"Fix")))</f>
        <v>0</v>
      </c>
      <c r="Q521" s="4">
        <f>IF(OR(INDEX($V$2:$V$1001,MATCH(ROWS($U$2:U521),$U$2:$U$1001,0),1)&gt;=100000,INDEX($AB$1005:$AQ$1005,1,MATCH(COLUMNS($AB$1006:AQ1006),$AB$1006:$AQ$1006,0))&gt;=100000), " ",IF(INDEX($AB$2:$AQ$1001,MATCH(ROWS($U$2:U521),$U$2:$U$1001,0),MATCH(COLUMNS($AB$1006:AQ1006),$AB$1006:$AQ$1006,0)), HYPERLINK("#",""), HYPERLINK(CONCATENATE("#metadata!", ADDRESS(INDEX($W$2:$W$1001,MATCH(ROWS($U$2:U521),$U$2:$U$1001,0),0), INDEX($AB$1004:$AQ$1004,1,MATCH(COLUMNS($AB$1006:AQ1006),$AB$1006:$AQ$1006,0)))),"Fix")))</f>
        <v>0</v>
      </c>
      <c r="U521">
        <v>0</v>
      </c>
      <c r="V521">
        <v>0</v>
      </c>
      <c r="W521">
        <v>0</v>
      </c>
      <c r="X521">
        <f>IF(Y521,TRUE,AND(AB521:AQ521))</f>
        <v>0</v>
      </c>
      <c r="Y521">
        <f>COUNTBLANK(metadata!B521:Q521)=COLUMNS(metadata!B521:Q521)</f>
        <v>0</v>
      </c>
      <c r="Z521">
        <v>0</v>
      </c>
      <c r="AB521">
        <f>AND(IF(metadata!B521="",FALSE,TRUE),COUNTIF(metadata!B:B, metadata!B521) = 1,NOT(ISERROR(SUMPRODUCT(SEARCH(MID(metadata!B521,ROW(INDIRECT("1:"&amp;LEN(metadata!B521))), 1),"0123456789abcdefghijklmnopqrstuvwxyzABCDEFGHIJKLMNOPQRSTUVWXYZ.")))))</f>
        <v>0</v>
      </c>
      <c r="AC521">
        <f>OR(AND(IF(metadata!C521="",FALSE,TRUE),OR(exact(metadata!C521,"missing: not collected"),exact(metadata!C521,"missing: not provided"),exact(metadata!C521,"missing: restricted access"))),AND(IF(metadata!C521="",FALSE,TRUE),AND(AND(IFERROR(INT(LEFT(metadata!C521,4))&gt;1900,FALSE),IFERROR(INT(LEFT(metadata!C521,4))&lt;=YEAR(NOW()),FALSE)), OR(MID(metadata!C521,5,1)="", AND(AND(MID(metadata!C521,5,1)="-",IFERROR(INT(MID(metadata!C521,6,1))&gt;=0,FALSE),IFERROR(INT(MID(metadata!C521,6,1))&lt;=1,FALSE),NOT(MID(metadata!C521,7,1)=""),IFERROR(INT(MID(metadata!C521,6,2))&gt;=1,FALSE),IFERROR(INT(MID(metadata!C521,6,2))&lt;=12,FALSE)), OR(MID(metadata!C521,8,1)="", AND(AND(MID(metadata!C521,8,1)="-",IFERROR(INT(MID(metadata!C521,9,1))&gt;=0,FALSE),IFERROR(INT(MID(metadata!C521,9,1))&lt;=3,FALSE),NOT(MID(metadata!C521,10,1)=""),IFERROR(INT(MID(metadata!C521,9,2))&gt;=1,FALSE),IFERROR(INT(MID(metadata!C521,9,2))&lt;=31,FALSE)), OR(MID(metadata!C521,11,1)="", AND(AND(MID(metadata!C521,11,1)=" ",IFERROR(INT(MID(metadata!C521,12,1))&gt;=0,FALSE),IFERROR(INT(MID(metadata!C521,12,1))&lt;=2,FALSE),NOT(MID(metadata!C521,13,1)=""),IFERROR(INT(MID(metadata!C521,12,2))&gt;=0,FALSE),IFERROR(INT(MID(metadata!C521,12,2))&lt;=23,FALSE)), OR(MID(metadata!C521,14,1)="", AND(AND(MID(metadata!C521,14,1)=":",IFERROR(INT(MID(metadata!C521,15,1))&gt;=0,FALSE),IFERROR(INT(MID(metadata!C521,15,1))&lt;=5,FALSE),NOT(MID(metadata!C521,16,1)=""),IFERROR(INT(MID(metadata!C521,15,2))&gt;=0,FALSE),IFERROR(INT(MID(metadata!C521,15,2))&lt;=59,FALSE)), OR(MID(metadata!C521,17,1)="", AND(AND(MID(metadata!C521,17,1)=":",IFERROR(INT(MID(metadata!C521,18,1))&gt;=0,FALSE),IFERROR(INT(MID(metadata!C521,18,1))&lt;=5,FALSE),NOT(MID(metadata!C521,19,1)=""),IFERROR(INT(MID(metadata!C521,18,2))&gt;=0,FALSE),IFERROR(INT(MID(metadata!C521,18,2))&lt;=59,FALSE)), LEN(metadata!C521)&lt;=19)))))))))))))</f>
        <v>0</v>
      </c>
      <c r="AD521">
        <f>IF(metadata!D521="",FALSE,TRUE)</f>
        <v>0</v>
      </c>
      <c r="AE521">
        <f>OR(AND(IF(metadata!E521="",FALSE,TRUE),OR(exact(metadata!E521,"missing: not collected"),exact(metadata!E521,"missing: not provided"))),AND(IF(metadata!E521="",FALSE,TRUE),OR(exact(metadata!E521,"TRUE"),exact(metadata!E521,"FALSE"))))</f>
        <v>0</v>
      </c>
      <c r="AF521">
        <f>IF(metadata!F521="",FALSE,TRUE)</f>
        <v>0</v>
      </c>
      <c r="AG521">
        <f>IF(metadata!G521="",FALSE,TRUE)</f>
        <v>0</v>
      </c>
      <c r="AH521">
        <f>IF(metadata!H521="",FALSE,TRUE)</f>
        <v>0</v>
      </c>
      <c r="AI521">
        <f>OR(AND(IF(metadata!I521="",FALSE,TRUE),OR(exact(metadata!I521,"missing: not collected"),exact(metadata!I521,"missing: not provided"),exact(metadata!I521,"missing: restricted access"))),AND(IF(metadata!I521="",FALSE,TRUE),OR(exact(metadata!I521,"air"),exact(metadata!I521,"built environment"),exact(metadata!I521,"host-associated"),exact(metadata!I521,"human-associated"),exact(metadata!I521,"human-skin"),exact(metadata!I521,"human-oral"),exact(metadata!I521,"human-gut"),exact(metadata!I521,"human-vaginal"),exact(metadata!I521,"microbial mat/biofilm"),exact(metadata!I521,"misc environment"),exact(metadata!I521,"plant-associated"),exact(metadata!I521,"sediment"),exact(metadata!I521,"soil"),exact(metadata!I521,"wastewater/sludge"),exact(metadata!I521,"water"))))</f>
        <v>0</v>
      </c>
      <c r="AJ521">
        <f>IF(metadata!J521="",FALSE,TRUE)</f>
        <v>0</v>
      </c>
      <c r="AK521">
        <f>OR(AND(IF(metadata!K521="",FALSE,TRUE),OR(exact(metadata!K521,"missing: not collected"),exact(metadata!K521,"missing: not provided"),exact(metadata!K521,"missing: restricted access"))),AND(IF(metadata!K521="",FALSE,ISNUMBER(VALUE(metadata!K521))),metadata!K521&gt;=-90.00,metadata!K521&lt;=90.00))</f>
        <v>0</v>
      </c>
      <c r="AL521">
        <f>OR(AND(IF(metadata!L521="",FALSE,TRUE),OR(exact(metadata!L521,"missing: not collected"),exact(metadata!L521,"missing: not provided"),exact(metadata!L521,"missing: restricted access"))),AND(IF(metadata!L521="",FALSE,ISNUMBER(VALUE(metadata!L521))),metadata!L521&gt;=-180.00,metadata!L521&lt;=180.00))</f>
        <v>0</v>
      </c>
      <c r="AM521">
        <f>IF(metadata!M521="",FALSE,TRUE)</f>
        <v>0</v>
      </c>
      <c r="AN521">
        <f>OR(AND(IF(metadata!N521="",FALSE,TRUE),OR(exact(metadata!N521,"missing: not collected"),exact(metadata!N521,"missing: not provided"),exact(metadata!N521,"missing: restricted access"))),AND(IF(metadata!N521="",FALSE,TRUE),OR(exact(metadata!N521,"TRUE"),exact(metadata!N521,"FALSE"))))</f>
        <v>0</v>
      </c>
      <c r="AO521">
        <f>IF(metadata!O521="",FALSE,TRUE)</f>
        <v>0</v>
      </c>
      <c r="AP521">
        <f>OR(AND(IF(metadata!P521="",FALSE,TRUE),OR(exact(metadata!P521,"missing: not collected"),exact(metadata!P521,"missing: not provided"))),AND(IF(metadata!P521="",FALSE,IF(ISERROR(INT(metadata!P521)),FALSE,INT(metadata!P521)=metadata!P521)),metadata!P521&gt;0))</f>
        <v>0</v>
      </c>
      <c r="AQ521">
        <f>IF(metadata!Q521="",FALSE,TRUE)</f>
        <v>0</v>
      </c>
    </row>
    <row r="522" spans="1:43">
      <c r="A522" s="5">
        <f>IF(B522=" "," ",HYPERLINK(CONCATENATE("#metadata!",ADDRESS(INDEX($W$2:$W$1001,MATCH(ROWS($U$2:U522),$U$2:$U$1001,0),0),1)),INDEX($Z$2:$Z$1001,MATCH(ROWS($U$2:U522),$U$2:$U$1001,0),0)))</f>
        <v>0</v>
      </c>
      <c r="B522" s="4">
        <f>IF(OR(INDEX($V$2:$V$1001,MATCH(ROWS($U$2:U522),$U$2:$U$1001,0),1)&gt;=100000,INDEX($AB$1005:$AQ$1005,1,MATCH(COLUMNS($AB$1006:AB1006),$AB$1006:$AQ$1006,0))&gt;=100000), " ",IF(INDEX($AB$2:$AQ$1001,MATCH(ROWS($U$2:U522),$U$2:$U$1001,0),MATCH(COLUMNS($AB$1006:AB1006),$AB$1006:$AQ$1006,0)), HYPERLINK("#",""), HYPERLINK(CONCATENATE("#metadata!", ADDRESS(INDEX($W$2:$W$1001,MATCH(ROWS($U$2:U522),$U$2:$U$1001,0),0), INDEX($AB$1004:$AQ$1004,1,MATCH(COLUMNS($AB$1006:AB1006),$AB$1006:$AQ$1006,0)))),"Fix")))</f>
        <v>0</v>
      </c>
      <c r="C522" s="4">
        <f>IF(OR(INDEX($V$2:$V$1001,MATCH(ROWS($U$2:U522),$U$2:$U$1001,0),1)&gt;=100000,INDEX($AB$1005:$AQ$1005,1,MATCH(COLUMNS($AB$1006:AC1006),$AB$1006:$AQ$1006,0))&gt;=100000), " ",IF(INDEX($AB$2:$AQ$1001,MATCH(ROWS($U$2:U522),$U$2:$U$1001,0),MATCH(COLUMNS($AB$1006:AC1006),$AB$1006:$AQ$1006,0)), HYPERLINK("#",""), HYPERLINK(CONCATENATE("#metadata!", ADDRESS(INDEX($W$2:$W$1001,MATCH(ROWS($U$2:U522),$U$2:$U$1001,0),0), INDEX($AB$1004:$AQ$1004,1,MATCH(COLUMNS($AB$1006:AC1006),$AB$1006:$AQ$1006,0)))),"Fix")))</f>
        <v>0</v>
      </c>
      <c r="D522" s="4">
        <f>IF(OR(INDEX($V$2:$V$1001,MATCH(ROWS($U$2:U522),$U$2:$U$1001,0),1)&gt;=100000,INDEX($AB$1005:$AQ$1005,1,MATCH(COLUMNS($AB$1006:AD1006),$AB$1006:$AQ$1006,0))&gt;=100000), " ",IF(INDEX($AB$2:$AQ$1001,MATCH(ROWS($U$2:U522),$U$2:$U$1001,0),MATCH(COLUMNS($AB$1006:AD1006),$AB$1006:$AQ$1006,0)), HYPERLINK("#",""), HYPERLINK(CONCATENATE("#metadata!", ADDRESS(INDEX($W$2:$W$1001,MATCH(ROWS($U$2:U522),$U$2:$U$1001,0),0), INDEX($AB$1004:$AQ$1004,1,MATCH(COLUMNS($AB$1006:AD1006),$AB$1006:$AQ$1006,0)))),"Fix")))</f>
        <v>0</v>
      </c>
      <c r="E522" s="4">
        <f>IF(OR(INDEX($V$2:$V$1001,MATCH(ROWS($U$2:U522),$U$2:$U$1001,0),1)&gt;=100000,INDEX($AB$1005:$AQ$1005,1,MATCH(COLUMNS($AB$1006:AE1006),$AB$1006:$AQ$1006,0))&gt;=100000), " ",IF(INDEX($AB$2:$AQ$1001,MATCH(ROWS($U$2:U522),$U$2:$U$1001,0),MATCH(COLUMNS($AB$1006:AE1006),$AB$1006:$AQ$1006,0)), HYPERLINK("#",""), HYPERLINK(CONCATENATE("#metadata!", ADDRESS(INDEX($W$2:$W$1001,MATCH(ROWS($U$2:U522),$U$2:$U$1001,0),0), INDEX($AB$1004:$AQ$1004,1,MATCH(COLUMNS($AB$1006:AE1006),$AB$1006:$AQ$1006,0)))),"Fix")))</f>
        <v>0</v>
      </c>
      <c r="F522" s="4">
        <f>IF(OR(INDEX($V$2:$V$1001,MATCH(ROWS($U$2:U522),$U$2:$U$1001,0),1)&gt;=100000,INDEX($AB$1005:$AQ$1005,1,MATCH(COLUMNS($AB$1006:AF1006),$AB$1006:$AQ$1006,0))&gt;=100000), " ",IF(INDEX($AB$2:$AQ$1001,MATCH(ROWS($U$2:U522),$U$2:$U$1001,0),MATCH(COLUMNS($AB$1006:AF1006),$AB$1006:$AQ$1006,0)), HYPERLINK("#",""), HYPERLINK(CONCATENATE("#metadata!", ADDRESS(INDEX($W$2:$W$1001,MATCH(ROWS($U$2:U522),$U$2:$U$1001,0),0), INDEX($AB$1004:$AQ$1004,1,MATCH(COLUMNS($AB$1006:AF1006),$AB$1006:$AQ$1006,0)))),"Fix")))</f>
        <v>0</v>
      </c>
      <c r="G522" s="4">
        <f>IF(OR(INDEX($V$2:$V$1001,MATCH(ROWS($U$2:U522),$U$2:$U$1001,0),1)&gt;=100000,INDEX($AB$1005:$AQ$1005,1,MATCH(COLUMNS($AB$1006:AG1006),$AB$1006:$AQ$1006,0))&gt;=100000), " ",IF(INDEX($AB$2:$AQ$1001,MATCH(ROWS($U$2:U522),$U$2:$U$1001,0),MATCH(COLUMNS($AB$1006:AG1006),$AB$1006:$AQ$1006,0)), HYPERLINK("#",""), HYPERLINK(CONCATENATE("#metadata!", ADDRESS(INDEX($W$2:$W$1001,MATCH(ROWS($U$2:U522),$U$2:$U$1001,0),0), INDEX($AB$1004:$AQ$1004,1,MATCH(COLUMNS($AB$1006:AG1006),$AB$1006:$AQ$1006,0)))),"Fix")))</f>
        <v>0</v>
      </c>
      <c r="H522" s="4">
        <f>IF(OR(INDEX($V$2:$V$1001,MATCH(ROWS($U$2:U522),$U$2:$U$1001,0),1)&gt;=100000,INDEX($AB$1005:$AQ$1005,1,MATCH(COLUMNS($AB$1006:AH1006),$AB$1006:$AQ$1006,0))&gt;=100000), " ",IF(INDEX($AB$2:$AQ$1001,MATCH(ROWS($U$2:U522),$U$2:$U$1001,0),MATCH(COLUMNS($AB$1006:AH1006),$AB$1006:$AQ$1006,0)), HYPERLINK("#",""), HYPERLINK(CONCATENATE("#metadata!", ADDRESS(INDEX($W$2:$W$1001,MATCH(ROWS($U$2:U522),$U$2:$U$1001,0),0), INDEX($AB$1004:$AQ$1004,1,MATCH(COLUMNS($AB$1006:AH1006),$AB$1006:$AQ$1006,0)))),"Fix")))</f>
        <v>0</v>
      </c>
      <c r="I522" s="4">
        <f>IF(OR(INDEX($V$2:$V$1001,MATCH(ROWS($U$2:U522),$U$2:$U$1001,0),1)&gt;=100000,INDEX($AB$1005:$AQ$1005,1,MATCH(COLUMNS($AB$1006:AI1006),$AB$1006:$AQ$1006,0))&gt;=100000), " ",IF(INDEX($AB$2:$AQ$1001,MATCH(ROWS($U$2:U522),$U$2:$U$1001,0),MATCH(COLUMNS($AB$1006:AI1006),$AB$1006:$AQ$1006,0)), HYPERLINK("#",""), HYPERLINK(CONCATENATE("#metadata!", ADDRESS(INDEX($W$2:$W$1001,MATCH(ROWS($U$2:U522),$U$2:$U$1001,0),0), INDEX($AB$1004:$AQ$1004,1,MATCH(COLUMNS($AB$1006:AI1006),$AB$1006:$AQ$1006,0)))),"Fix")))</f>
        <v>0</v>
      </c>
      <c r="J522" s="4">
        <f>IF(OR(INDEX($V$2:$V$1001,MATCH(ROWS($U$2:U522),$U$2:$U$1001,0),1)&gt;=100000,INDEX($AB$1005:$AQ$1005,1,MATCH(COLUMNS($AB$1006:AJ1006),$AB$1006:$AQ$1006,0))&gt;=100000), " ",IF(INDEX($AB$2:$AQ$1001,MATCH(ROWS($U$2:U522),$U$2:$U$1001,0),MATCH(COLUMNS($AB$1006:AJ1006),$AB$1006:$AQ$1006,0)), HYPERLINK("#",""), HYPERLINK(CONCATENATE("#metadata!", ADDRESS(INDEX($W$2:$W$1001,MATCH(ROWS($U$2:U522),$U$2:$U$1001,0),0), INDEX($AB$1004:$AQ$1004,1,MATCH(COLUMNS($AB$1006:AJ1006),$AB$1006:$AQ$1006,0)))),"Fix")))</f>
        <v>0</v>
      </c>
      <c r="K522" s="4">
        <f>IF(OR(INDEX($V$2:$V$1001,MATCH(ROWS($U$2:U522),$U$2:$U$1001,0),1)&gt;=100000,INDEX($AB$1005:$AQ$1005,1,MATCH(COLUMNS($AB$1006:AK1006),$AB$1006:$AQ$1006,0))&gt;=100000), " ",IF(INDEX($AB$2:$AQ$1001,MATCH(ROWS($U$2:U522),$U$2:$U$1001,0),MATCH(COLUMNS($AB$1006:AK1006),$AB$1006:$AQ$1006,0)), HYPERLINK("#",""), HYPERLINK(CONCATENATE("#metadata!", ADDRESS(INDEX($W$2:$W$1001,MATCH(ROWS($U$2:U522),$U$2:$U$1001,0),0), INDEX($AB$1004:$AQ$1004,1,MATCH(COLUMNS($AB$1006:AK1006),$AB$1006:$AQ$1006,0)))),"Fix")))</f>
        <v>0</v>
      </c>
      <c r="L522" s="4">
        <f>IF(OR(INDEX($V$2:$V$1001,MATCH(ROWS($U$2:U522),$U$2:$U$1001,0),1)&gt;=100000,INDEX($AB$1005:$AQ$1005,1,MATCH(COLUMNS($AB$1006:AL1006),$AB$1006:$AQ$1006,0))&gt;=100000), " ",IF(INDEX($AB$2:$AQ$1001,MATCH(ROWS($U$2:U522),$U$2:$U$1001,0),MATCH(COLUMNS($AB$1006:AL1006),$AB$1006:$AQ$1006,0)), HYPERLINK("#",""), HYPERLINK(CONCATENATE("#metadata!", ADDRESS(INDEX($W$2:$W$1001,MATCH(ROWS($U$2:U522),$U$2:$U$1001,0),0), INDEX($AB$1004:$AQ$1004,1,MATCH(COLUMNS($AB$1006:AL1006),$AB$1006:$AQ$1006,0)))),"Fix")))</f>
        <v>0</v>
      </c>
      <c r="M522" s="4">
        <f>IF(OR(INDEX($V$2:$V$1001,MATCH(ROWS($U$2:U522),$U$2:$U$1001,0),1)&gt;=100000,INDEX($AB$1005:$AQ$1005,1,MATCH(COLUMNS($AB$1006:AM1006),$AB$1006:$AQ$1006,0))&gt;=100000), " ",IF(INDEX($AB$2:$AQ$1001,MATCH(ROWS($U$2:U522),$U$2:$U$1001,0),MATCH(COLUMNS($AB$1006:AM1006),$AB$1006:$AQ$1006,0)), HYPERLINK("#",""), HYPERLINK(CONCATENATE("#metadata!", ADDRESS(INDEX($W$2:$W$1001,MATCH(ROWS($U$2:U522),$U$2:$U$1001,0),0), INDEX($AB$1004:$AQ$1004,1,MATCH(COLUMNS($AB$1006:AM1006),$AB$1006:$AQ$1006,0)))),"Fix")))</f>
        <v>0</v>
      </c>
      <c r="N522" s="4">
        <f>IF(OR(INDEX($V$2:$V$1001,MATCH(ROWS($U$2:U522),$U$2:$U$1001,0),1)&gt;=100000,INDEX($AB$1005:$AQ$1005,1,MATCH(COLUMNS($AB$1006:AN1006),$AB$1006:$AQ$1006,0))&gt;=100000), " ",IF(INDEX($AB$2:$AQ$1001,MATCH(ROWS($U$2:U522),$U$2:$U$1001,0),MATCH(COLUMNS($AB$1006:AN1006),$AB$1006:$AQ$1006,0)), HYPERLINK("#",""), HYPERLINK(CONCATENATE("#metadata!", ADDRESS(INDEX($W$2:$W$1001,MATCH(ROWS($U$2:U522),$U$2:$U$1001,0),0), INDEX($AB$1004:$AQ$1004,1,MATCH(COLUMNS($AB$1006:AN1006),$AB$1006:$AQ$1006,0)))),"Fix")))</f>
        <v>0</v>
      </c>
      <c r="O522" s="4">
        <f>IF(OR(INDEX($V$2:$V$1001,MATCH(ROWS($U$2:U522),$U$2:$U$1001,0),1)&gt;=100000,INDEX($AB$1005:$AQ$1005,1,MATCH(COLUMNS($AB$1006:AO1006),$AB$1006:$AQ$1006,0))&gt;=100000), " ",IF(INDEX($AB$2:$AQ$1001,MATCH(ROWS($U$2:U522),$U$2:$U$1001,0),MATCH(COLUMNS($AB$1006:AO1006),$AB$1006:$AQ$1006,0)), HYPERLINK("#",""), HYPERLINK(CONCATENATE("#metadata!", ADDRESS(INDEX($W$2:$W$1001,MATCH(ROWS($U$2:U522),$U$2:$U$1001,0),0), INDEX($AB$1004:$AQ$1004,1,MATCH(COLUMNS($AB$1006:AO1006),$AB$1006:$AQ$1006,0)))),"Fix")))</f>
        <v>0</v>
      </c>
      <c r="P522" s="4">
        <f>IF(OR(INDEX($V$2:$V$1001,MATCH(ROWS($U$2:U522),$U$2:$U$1001,0),1)&gt;=100000,INDEX($AB$1005:$AQ$1005,1,MATCH(COLUMNS($AB$1006:AP1006),$AB$1006:$AQ$1006,0))&gt;=100000), " ",IF(INDEX($AB$2:$AQ$1001,MATCH(ROWS($U$2:U522),$U$2:$U$1001,0),MATCH(COLUMNS($AB$1006:AP1006),$AB$1006:$AQ$1006,0)), HYPERLINK("#",""), HYPERLINK(CONCATENATE("#metadata!", ADDRESS(INDEX($W$2:$W$1001,MATCH(ROWS($U$2:U522),$U$2:$U$1001,0),0), INDEX($AB$1004:$AQ$1004,1,MATCH(COLUMNS($AB$1006:AP1006),$AB$1006:$AQ$1006,0)))),"Fix")))</f>
        <v>0</v>
      </c>
      <c r="Q522" s="4">
        <f>IF(OR(INDEX($V$2:$V$1001,MATCH(ROWS($U$2:U522),$U$2:$U$1001,0),1)&gt;=100000,INDEX($AB$1005:$AQ$1005,1,MATCH(COLUMNS($AB$1006:AQ1006),$AB$1006:$AQ$1006,0))&gt;=100000), " ",IF(INDEX($AB$2:$AQ$1001,MATCH(ROWS($U$2:U522),$U$2:$U$1001,0),MATCH(COLUMNS($AB$1006:AQ1006),$AB$1006:$AQ$1006,0)), HYPERLINK("#",""), HYPERLINK(CONCATENATE("#metadata!", ADDRESS(INDEX($W$2:$W$1001,MATCH(ROWS($U$2:U522),$U$2:$U$1001,0),0), INDEX($AB$1004:$AQ$1004,1,MATCH(COLUMNS($AB$1006:AQ1006),$AB$1006:$AQ$1006,0)))),"Fix")))</f>
        <v>0</v>
      </c>
      <c r="U522">
        <v>0</v>
      </c>
      <c r="V522">
        <v>0</v>
      </c>
      <c r="W522">
        <v>0</v>
      </c>
      <c r="X522">
        <f>IF(Y522,TRUE,AND(AB522:AQ522))</f>
        <v>0</v>
      </c>
      <c r="Y522">
        <f>COUNTBLANK(metadata!B522:Q522)=COLUMNS(metadata!B522:Q522)</f>
        <v>0</v>
      </c>
      <c r="Z522">
        <v>0</v>
      </c>
      <c r="AB522">
        <f>AND(IF(metadata!B522="",FALSE,TRUE),COUNTIF(metadata!B:B, metadata!B522) = 1,NOT(ISERROR(SUMPRODUCT(SEARCH(MID(metadata!B522,ROW(INDIRECT("1:"&amp;LEN(metadata!B522))), 1),"0123456789abcdefghijklmnopqrstuvwxyzABCDEFGHIJKLMNOPQRSTUVWXYZ.")))))</f>
        <v>0</v>
      </c>
      <c r="AC522">
        <f>OR(AND(IF(metadata!C522="",FALSE,TRUE),OR(exact(metadata!C522,"missing: not collected"),exact(metadata!C522,"missing: not provided"),exact(metadata!C522,"missing: restricted access"))),AND(IF(metadata!C522="",FALSE,TRUE),AND(AND(IFERROR(INT(LEFT(metadata!C522,4))&gt;1900,FALSE),IFERROR(INT(LEFT(metadata!C522,4))&lt;=YEAR(NOW()),FALSE)), OR(MID(metadata!C522,5,1)="", AND(AND(MID(metadata!C522,5,1)="-",IFERROR(INT(MID(metadata!C522,6,1))&gt;=0,FALSE),IFERROR(INT(MID(metadata!C522,6,1))&lt;=1,FALSE),NOT(MID(metadata!C522,7,1)=""),IFERROR(INT(MID(metadata!C522,6,2))&gt;=1,FALSE),IFERROR(INT(MID(metadata!C522,6,2))&lt;=12,FALSE)), OR(MID(metadata!C522,8,1)="", AND(AND(MID(metadata!C522,8,1)="-",IFERROR(INT(MID(metadata!C522,9,1))&gt;=0,FALSE),IFERROR(INT(MID(metadata!C522,9,1))&lt;=3,FALSE),NOT(MID(metadata!C522,10,1)=""),IFERROR(INT(MID(metadata!C522,9,2))&gt;=1,FALSE),IFERROR(INT(MID(metadata!C522,9,2))&lt;=31,FALSE)), OR(MID(metadata!C522,11,1)="", AND(AND(MID(metadata!C522,11,1)=" ",IFERROR(INT(MID(metadata!C522,12,1))&gt;=0,FALSE),IFERROR(INT(MID(metadata!C522,12,1))&lt;=2,FALSE),NOT(MID(metadata!C522,13,1)=""),IFERROR(INT(MID(metadata!C522,12,2))&gt;=0,FALSE),IFERROR(INT(MID(metadata!C522,12,2))&lt;=23,FALSE)), OR(MID(metadata!C522,14,1)="", AND(AND(MID(metadata!C522,14,1)=":",IFERROR(INT(MID(metadata!C522,15,1))&gt;=0,FALSE),IFERROR(INT(MID(metadata!C522,15,1))&lt;=5,FALSE),NOT(MID(metadata!C522,16,1)=""),IFERROR(INT(MID(metadata!C522,15,2))&gt;=0,FALSE),IFERROR(INT(MID(metadata!C522,15,2))&lt;=59,FALSE)), OR(MID(metadata!C522,17,1)="", AND(AND(MID(metadata!C522,17,1)=":",IFERROR(INT(MID(metadata!C522,18,1))&gt;=0,FALSE),IFERROR(INT(MID(metadata!C522,18,1))&lt;=5,FALSE),NOT(MID(metadata!C522,19,1)=""),IFERROR(INT(MID(metadata!C522,18,2))&gt;=0,FALSE),IFERROR(INT(MID(metadata!C522,18,2))&lt;=59,FALSE)), LEN(metadata!C522)&lt;=19)))))))))))))</f>
        <v>0</v>
      </c>
      <c r="AD522">
        <f>IF(metadata!D522="",FALSE,TRUE)</f>
        <v>0</v>
      </c>
      <c r="AE522">
        <f>OR(AND(IF(metadata!E522="",FALSE,TRUE),OR(exact(metadata!E522,"missing: not collected"),exact(metadata!E522,"missing: not provided"))),AND(IF(metadata!E522="",FALSE,TRUE),OR(exact(metadata!E522,"TRUE"),exact(metadata!E522,"FALSE"))))</f>
        <v>0</v>
      </c>
      <c r="AF522">
        <f>IF(metadata!F522="",FALSE,TRUE)</f>
        <v>0</v>
      </c>
      <c r="AG522">
        <f>IF(metadata!G522="",FALSE,TRUE)</f>
        <v>0</v>
      </c>
      <c r="AH522">
        <f>IF(metadata!H522="",FALSE,TRUE)</f>
        <v>0</v>
      </c>
      <c r="AI522">
        <f>OR(AND(IF(metadata!I522="",FALSE,TRUE),OR(exact(metadata!I522,"missing: not collected"),exact(metadata!I522,"missing: not provided"),exact(metadata!I522,"missing: restricted access"))),AND(IF(metadata!I522="",FALSE,TRUE),OR(exact(metadata!I522,"air"),exact(metadata!I522,"built environment"),exact(metadata!I522,"host-associated"),exact(metadata!I522,"human-associated"),exact(metadata!I522,"human-skin"),exact(metadata!I522,"human-oral"),exact(metadata!I522,"human-gut"),exact(metadata!I522,"human-vaginal"),exact(metadata!I522,"microbial mat/biofilm"),exact(metadata!I522,"misc environment"),exact(metadata!I522,"plant-associated"),exact(metadata!I522,"sediment"),exact(metadata!I522,"soil"),exact(metadata!I522,"wastewater/sludge"),exact(metadata!I522,"water"))))</f>
        <v>0</v>
      </c>
      <c r="AJ522">
        <f>IF(metadata!J522="",FALSE,TRUE)</f>
        <v>0</v>
      </c>
      <c r="AK522">
        <f>OR(AND(IF(metadata!K522="",FALSE,TRUE),OR(exact(metadata!K522,"missing: not collected"),exact(metadata!K522,"missing: not provided"),exact(metadata!K522,"missing: restricted access"))),AND(IF(metadata!K522="",FALSE,ISNUMBER(VALUE(metadata!K522))),metadata!K522&gt;=-90.00,metadata!K522&lt;=90.00))</f>
        <v>0</v>
      </c>
      <c r="AL522">
        <f>OR(AND(IF(metadata!L522="",FALSE,TRUE),OR(exact(metadata!L522,"missing: not collected"),exact(metadata!L522,"missing: not provided"),exact(metadata!L522,"missing: restricted access"))),AND(IF(metadata!L522="",FALSE,ISNUMBER(VALUE(metadata!L522))),metadata!L522&gt;=-180.00,metadata!L522&lt;=180.00))</f>
        <v>0</v>
      </c>
      <c r="AM522">
        <f>IF(metadata!M522="",FALSE,TRUE)</f>
        <v>0</v>
      </c>
      <c r="AN522">
        <f>OR(AND(IF(metadata!N522="",FALSE,TRUE),OR(exact(metadata!N522,"missing: not collected"),exact(metadata!N522,"missing: not provided"),exact(metadata!N522,"missing: restricted access"))),AND(IF(metadata!N522="",FALSE,TRUE),OR(exact(metadata!N522,"TRUE"),exact(metadata!N522,"FALSE"))))</f>
        <v>0</v>
      </c>
      <c r="AO522">
        <f>IF(metadata!O522="",FALSE,TRUE)</f>
        <v>0</v>
      </c>
      <c r="AP522">
        <f>OR(AND(IF(metadata!P522="",FALSE,TRUE),OR(exact(metadata!P522,"missing: not collected"),exact(metadata!P522,"missing: not provided"))),AND(IF(metadata!P522="",FALSE,IF(ISERROR(INT(metadata!P522)),FALSE,INT(metadata!P522)=metadata!P522)),metadata!P522&gt;0))</f>
        <v>0</v>
      </c>
      <c r="AQ522">
        <f>IF(metadata!Q522="",FALSE,TRUE)</f>
        <v>0</v>
      </c>
    </row>
    <row r="523" spans="1:43">
      <c r="A523" s="5">
        <f>IF(B523=" "," ",HYPERLINK(CONCATENATE("#metadata!",ADDRESS(INDEX($W$2:$W$1001,MATCH(ROWS($U$2:U523),$U$2:$U$1001,0),0),1)),INDEX($Z$2:$Z$1001,MATCH(ROWS($U$2:U523),$U$2:$U$1001,0),0)))</f>
        <v>0</v>
      </c>
      <c r="B523" s="4">
        <f>IF(OR(INDEX($V$2:$V$1001,MATCH(ROWS($U$2:U523),$U$2:$U$1001,0),1)&gt;=100000,INDEX($AB$1005:$AQ$1005,1,MATCH(COLUMNS($AB$1006:AB1006),$AB$1006:$AQ$1006,0))&gt;=100000), " ",IF(INDEX($AB$2:$AQ$1001,MATCH(ROWS($U$2:U523),$U$2:$U$1001,0),MATCH(COLUMNS($AB$1006:AB1006),$AB$1006:$AQ$1006,0)), HYPERLINK("#",""), HYPERLINK(CONCATENATE("#metadata!", ADDRESS(INDEX($W$2:$W$1001,MATCH(ROWS($U$2:U523),$U$2:$U$1001,0),0), INDEX($AB$1004:$AQ$1004,1,MATCH(COLUMNS($AB$1006:AB1006),$AB$1006:$AQ$1006,0)))),"Fix")))</f>
        <v>0</v>
      </c>
      <c r="C523" s="4">
        <f>IF(OR(INDEX($V$2:$V$1001,MATCH(ROWS($U$2:U523),$U$2:$U$1001,0),1)&gt;=100000,INDEX($AB$1005:$AQ$1005,1,MATCH(COLUMNS($AB$1006:AC1006),$AB$1006:$AQ$1006,0))&gt;=100000), " ",IF(INDEX($AB$2:$AQ$1001,MATCH(ROWS($U$2:U523),$U$2:$U$1001,0),MATCH(COLUMNS($AB$1006:AC1006),$AB$1006:$AQ$1006,0)), HYPERLINK("#",""), HYPERLINK(CONCATENATE("#metadata!", ADDRESS(INDEX($W$2:$W$1001,MATCH(ROWS($U$2:U523),$U$2:$U$1001,0),0), INDEX($AB$1004:$AQ$1004,1,MATCH(COLUMNS($AB$1006:AC1006),$AB$1006:$AQ$1006,0)))),"Fix")))</f>
        <v>0</v>
      </c>
      <c r="D523" s="4">
        <f>IF(OR(INDEX($V$2:$V$1001,MATCH(ROWS($U$2:U523),$U$2:$U$1001,0),1)&gt;=100000,INDEX($AB$1005:$AQ$1005,1,MATCH(COLUMNS($AB$1006:AD1006),$AB$1006:$AQ$1006,0))&gt;=100000), " ",IF(INDEX($AB$2:$AQ$1001,MATCH(ROWS($U$2:U523),$U$2:$U$1001,0),MATCH(COLUMNS($AB$1006:AD1006),$AB$1006:$AQ$1006,0)), HYPERLINK("#",""), HYPERLINK(CONCATENATE("#metadata!", ADDRESS(INDEX($W$2:$W$1001,MATCH(ROWS($U$2:U523),$U$2:$U$1001,0),0), INDEX($AB$1004:$AQ$1004,1,MATCH(COLUMNS($AB$1006:AD1006),$AB$1006:$AQ$1006,0)))),"Fix")))</f>
        <v>0</v>
      </c>
      <c r="E523" s="4">
        <f>IF(OR(INDEX($V$2:$V$1001,MATCH(ROWS($U$2:U523),$U$2:$U$1001,0),1)&gt;=100000,INDEX($AB$1005:$AQ$1005,1,MATCH(COLUMNS($AB$1006:AE1006),$AB$1006:$AQ$1006,0))&gt;=100000), " ",IF(INDEX($AB$2:$AQ$1001,MATCH(ROWS($U$2:U523),$U$2:$U$1001,0),MATCH(COLUMNS($AB$1006:AE1006),$AB$1006:$AQ$1006,0)), HYPERLINK("#",""), HYPERLINK(CONCATENATE("#metadata!", ADDRESS(INDEX($W$2:$W$1001,MATCH(ROWS($U$2:U523),$U$2:$U$1001,0),0), INDEX($AB$1004:$AQ$1004,1,MATCH(COLUMNS($AB$1006:AE1006),$AB$1006:$AQ$1006,0)))),"Fix")))</f>
        <v>0</v>
      </c>
      <c r="F523" s="4">
        <f>IF(OR(INDEX($V$2:$V$1001,MATCH(ROWS($U$2:U523),$U$2:$U$1001,0),1)&gt;=100000,INDEX($AB$1005:$AQ$1005,1,MATCH(COLUMNS($AB$1006:AF1006),$AB$1006:$AQ$1006,0))&gt;=100000), " ",IF(INDEX($AB$2:$AQ$1001,MATCH(ROWS($U$2:U523),$U$2:$U$1001,0),MATCH(COLUMNS($AB$1006:AF1006),$AB$1006:$AQ$1006,0)), HYPERLINK("#",""), HYPERLINK(CONCATENATE("#metadata!", ADDRESS(INDEX($W$2:$W$1001,MATCH(ROWS($U$2:U523),$U$2:$U$1001,0),0), INDEX($AB$1004:$AQ$1004,1,MATCH(COLUMNS($AB$1006:AF1006),$AB$1006:$AQ$1006,0)))),"Fix")))</f>
        <v>0</v>
      </c>
      <c r="G523" s="4">
        <f>IF(OR(INDEX($V$2:$V$1001,MATCH(ROWS($U$2:U523),$U$2:$U$1001,0),1)&gt;=100000,INDEX($AB$1005:$AQ$1005,1,MATCH(COLUMNS($AB$1006:AG1006),$AB$1006:$AQ$1006,0))&gt;=100000), " ",IF(INDEX($AB$2:$AQ$1001,MATCH(ROWS($U$2:U523),$U$2:$U$1001,0),MATCH(COLUMNS($AB$1006:AG1006),$AB$1006:$AQ$1006,0)), HYPERLINK("#",""), HYPERLINK(CONCATENATE("#metadata!", ADDRESS(INDEX($W$2:$W$1001,MATCH(ROWS($U$2:U523),$U$2:$U$1001,0),0), INDEX($AB$1004:$AQ$1004,1,MATCH(COLUMNS($AB$1006:AG1006),$AB$1006:$AQ$1006,0)))),"Fix")))</f>
        <v>0</v>
      </c>
      <c r="H523" s="4">
        <f>IF(OR(INDEX($V$2:$V$1001,MATCH(ROWS($U$2:U523),$U$2:$U$1001,0),1)&gt;=100000,INDEX($AB$1005:$AQ$1005,1,MATCH(COLUMNS($AB$1006:AH1006),$AB$1006:$AQ$1006,0))&gt;=100000), " ",IF(INDEX($AB$2:$AQ$1001,MATCH(ROWS($U$2:U523),$U$2:$U$1001,0),MATCH(COLUMNS($AB$1006:AH1006),$AB$1006:$AQ$1006,0)), HYPERLINK("#",""), HYPERLINK(CONCATENATE("#metadata!", ADDRESS(INDEX($W$2:$W$1001,MATCH(ROWS($U$2:U523),$U$2:$U$1001,0),0), INDEX($AB$1004:$AQ$1004,1,MATCH(COLUMNS($AB$1006:AH1006),$AB$1006:$AQ$1006,0)))),"Fix")))</f>
        <v>0</v>
      </c>
      <c r="I523" s="4">
        <f>IF(OR(INDEX($V$2:$V$1001,MATCH(ROWS($U$2:U523),$U$2:$U$1001,0),1)&gt;=100000,INDEX($AB$1005:$AQ$1005,1,MATCH(COLUMNS($AB$1006:AI1006),$AB$1006:$AQ$1006,0))&gt;=100000), " ",IF(INDEX($AB$2:$AQ$1001,MATCH(ROWS($U$2:U523),$U$2:$U$1001,0),MATCH(COLUMNS($AB$1006:AI1006),$AB$1006:$AQ$1006,0)), HYPERLINK("#",""), HYPERLINK(CONCATENATE("#metadata!", ADDRESS(INDEX($W$2:$W$1001,MATCH(ROWS($U$2:U523),$U$2:$U$1001,0),0), INDEX($AB$1004:$AQ$1004,1,MATCH(COLUMNS($AB$1006:AI1006),$AB$1006:$AQ$1006,0)))),"Fix")))</f>
        <v>0</v>
      </c>
      <c r="J523" s="4">
        <f>IF(OR(INDEX($V$2:$V$1001,MATCH(ROWS($U$2:U523),$U$2:$U$1001,0),1)&gt;=100000,INDEX($AB$1005:$AQ$1005,1,MATCH(COLUMNS($AB$1006:AJ1006),$AB$1006:$AQ$1006,0))&gt;=100000), " ",IF(INDEX($AB$2:$AQ$1001,MATCH(ROWS($U$2:U523),$U$2:$U$1001,0),MATCH(COLUMNS($AB$1006:AJ1006),$AB$1006:$AQ$1006,0)), HYPERLINK("#",""), HYPERLINK(CONCATENATE("#metadata!", ADDRESS(INDEX($W$2:$W$1001,MATCH(ROWS($U$2:U523),$U$2:$U$1001,0),0), INDEX($AB$1004:$AQ$1004,1,MATCH(COLUMNS($AB$1006:AJ1006),$AB$1006:$AQ$1006,0)))),"Fix")))</f>
        <v>0</v>
      </c>
      <c r="K523" s="4">
        <f>IF(OR(INDEX($V$2:$V$1001,MATCH(ROWS($U$2:U523),$U$2:$U$1001,0),1)&gt;=100000,INDEX($AB$1005:$AQ$1005,1,MATCH(COLUMNS($AB$1006:AK1006),$AB$1006:$AQ$1006,0))&gt;=100000), " ",IF(INDEX($AB$2:$AQ$1001,MATCH(ROWS($U$2:U523),$U$2:$U$1001,0),MATCH(COLUMNS($AB$1006:AK1006),$AB$1006:$AQ$1006,0)), HYPERLINK("#",""), HYPERLINK(CONCATENATE("#metadata!", ADDRESS(INDEX($W$2:$W$1001,MATCH(ROWS($U$2:U523),$U$2:$U$1001,0),0), INDEX($AB$1004:$AQ$1004,1,MATCH(COLUMNS($AB$1006:AK1006),$AB$1006:$AQ$1006,0)))),"Fix")))</f>
        <v>0</v>
      </c>
      <c r="L523" s="4">
        <f>IF(OR(INDEX($V$2:$V$1001,MATCH(ROWS($U$2:U523),$U$2:$U$1001,0),1)&gt;=100000,INDEX($AB$1005:$AQ$1005,1,MATCH(COLUMNS($AB$1006:AL1006),$AB$1006:$AQ$1006,0))&gt;=100000), " ",IF(INDEX($AB$2:$AQ$1001,MATCH(ROWS($U$2:U523),$U$2:$U$1001,0),MATCH(COLUMNS($AB$1006:AL1006),$AB$1006:$AQ$1006,0)), HYPERLINK("#",""), HYPERLINK(CONCATENATE("#metadata!", ADDRESS(INDEX($W$2:$W$1001,MATCH(ROWS($U$2:U523),$U$2:$U$1001,0),0), INDEX($AB$1004:$AQ$1004,1,MATCH(COLUMNS($AB$1006:AL1006),$AB$1006:$AQ$1006,0)))),"Fix")))</f>
        <v>0</v>
      </c>
      <c r="M523" s="4">
        <f>IF(OR(INDEX($V$2:$V$1001,MATCH(ROWS($U$2:U523),$U$2:$U$1001,0),1)&gt;=100000,INDEX($AB$1005:$AQ$1005,1,MATCH(COLUMNS($AB$1006:AM1006),$AB$1006:$AQ$1006,0))&gt;=100000), " ",IF(INDEX($AB$2:$AQ$1001,MATCH(ROWS($U$2:U523),$U$2:$U$1001,0),MATCH(COLUMNS($AB$1006:AM1006),$AB$1006:$AQ$1006,0)), HYPERLINK("#",""), HYPERLINK(CONCATENATE("#metadata!", ADDRESS(INDEX($W$2:$W$1001,MATCH(ROWS($U$2:U523),$U$2:$U$1001,0),0), INDEX($AB$1004:$AQ$1004,1,MATCH(COLUMNS($AB$1006:AM1006),$AB$1006:$AQ$1006,0)))),"Fix")))</f>
        <v>0</v>
      </c>
      <c r="N523" s="4">
        <f>IF(OR(INDEX($V$2:$V$1001,MATCH(ROWS($U$2:U523),$U$2:$U$1001,0),1)&gt;=100000,INDEX($AB$1005:$AQ$1005,1,MATCH(COLUMNS($AB$1006:AN1006),$AB$1006:$AQ$1006,0))&gt;=100000), " ",IF(INDEX($AB$2:$AQ$1001,MATCH(ROWS($U$2:U523),$U$2:$U$1001,0),MATCH(COLUMNS($AB$1006:AN1006),$AB$1006:$AQ$1006,0)), HYPERLINK("#",""), HYPERLINK(CONCATENATE("#metadata!", ADDRESS(INDEX($W$2:$W$1001,MATCH(ROWS($U$2:U523),$U$2:$U$1001,0),0), INDEX($AB$1004:$AQ$1004,1,MATCH(COLUMNS($AB$1006:AN1006),$AB$1006:$AQ$1006,0)))),"Fix")))</f>
        <v>0</v>
      </c>
      <c r="O523" s="4">
        <f>IF(OR(INDEX($V$2:$V$1001,MATCH(ROWS($U$2:U523),$U$2:$U$1001,0),1)&gt;=100000,INDEX($AB$1005:$AQ$1005,1,MATCH(COLUMNS($AB$1006:AO1006),$AB$1006:$AQ$1006,0))&gt;=100000), " ",IF(INDEX($AB$2:$AQ$1001,MATCH(ROWS($U$2:U523),$U$2:$U$1001,0),MATCH(COLUMNS($AB$1006:AO1006),$AB$1006:$AQ$1006,0)), HYPERLINK("#",""), HYPERLINK(CONCATENATE("#metadata!", ADDRESS(INDEX($W$2:$W$1001,MATCH(ROWS($U$2:U523),$U$2:$U$1001,0),0), INDEX($AB$1004:$AQ$1004,1,MATCH(COLUMNS($AB$1006:AO1006),$AB$1006:$AQ$1006,0)))),"Fix")))</f>
        <v>0</v>
      </c>
      <c r="P523" s="4">
        <f>IF(OR(INDEX($V$2:$V$1001,MATCH(ROWS($U$2:U523),$U$2:$U$1001,0),1)&gt;=100000,INDEX($AB$1005:$AQ$1005,1,MATCH(COLUMNS($AB$1006:AP1006),$AB$1006:$AQ$1006,0))&gt;=100000), " ",IF(INDEX($AB$2:$AQ$1001,MATCH(ROWS($U$2:U523),$U$2:$U$1001,0),MATCH(COLUMNS($AB$1006:AP1006),$AB$1006:$AQ$1006,0)), HYPERLINK("#",""), HYPERLINK(CONCATENATE("#metadata!", ADDRESS(INDEX($W$2:$W$1001,MATCH(ROWS($U$2:U523),$U$2:$U$1001,0),0), INDEX($AB$1004:$AQ$1004,1,MATCH(COLUMNS($AB$1006:AP1006),$AB$1006:$AQ$1006,0)))),"Fix")))</f>
        <v>0</v>
      </c>
      <c r="Q523" s="4">
        <f>IF(OR(INDEX($V$2:$V$1001,MATCH(ROWS($U$2:U523),$U$2:$U$1001,0),1)&gt;=100000,INDEX($AB$1005:$AQ$1005,1,MATCH(COLUMNS($AB$1006:AQ1006),$AB$1006:$AQ$1006,0))&gt;=100000), " ",IF(INDEX($AB$2:$AQ$1001,MATCH(ROWS($U$2:U523),$U$2:$U$1001,0),MATCH(COLUMNS($AB$1006:AQ1006),$AB$1006:$AQ$1006,0)), HYPERLINK("#",""), HYPERLINK(CONCATENATE("#metadata!", ADDRESS(INDEX($W$2:$W$1001,MATCH(ROWS($U$2:U523),$U$2:$U$1001,0),0), INDEX($AB$1004:$AQ$1004,1,MATCH(COLUMNS($AB$1006:AQ1006),$AB$1006:$AQ$1006,0)))),"Fix")))</f>
        <v>0</v>
      </c>
      <c r="U523">
        <v>0</v>
      </c>
      <c r="V523">
        <v>0</v>
      </c>
      <c r="W523">
        <v>0</v>
      </c>
      <c r="X523">
        <f>IF(Y523,TRUE,AND(AB523:AQ523))</f>
        <v>0</v>
      </c>
      <c r="Y523">
        <f>COUNTBLANK(metadata!B523:Q523)=COLUMNS(metadata!B523:Q523)</f>
        <v>0</v>
      </c>
      <c r="Z523">
        <v>0</v>
      </c>
      <c r="AB523">
        <f>AND(IF(metadata!B523="",FALSE,TRUE),COUNTIF(metadata!B:B, metadata!B523) = 1,NOT(ISERROR(SUMPRODUCT(SEARCH(MID(metadata!B523,ROW(INDIRECT("1:"&amp;LEN(metadata!B523))), 1),"0123456789abcdefghijklmnopqrstuvwxyzABCDEFGHIJKLMNOPQRSTUVWXYZ.")))))</f>
        <v>0</v>
      </c>
      <c r="AC523">
        <f>OR(AND(IF(metadata!C523="",FALSE,TRUE),OR(exact(metadata!C523,"missing: not collected"),exact(metadata!C523,"missing: not provided"),exact(metadata!C523,"missing: restricted access"))),AND(IF(metadata!C523="",FALSE,TRUE),AND(AND(IFERROR(INT(LEFT(metadata!C523,4))&gt;1900,FALSE),IFERROR(INT(LEFT(metadata!C523,4))&lt;=YEAR(NOW()),FALSE)), OR(MID(metadata!C523,5,1)="", AND(AND(MID(metadata!C523,5,1)="-",IFERROR(INT(MID(metadata!C523,6,1))&gt;=0,FALSE),IFERROR(INT(MID(metadata!C523,6,1))&lt;=1,FALSE),NOT(MID(metadata!C523,7,1)=""),IFERROR(INT(MID(metadata!C523,6,2))&gt;=1,FALSE),IFERROR(INT(MID(metadata!C523,6,2))&lt;=12,FALSE)), OR(MID(metadata!C523,8,1)="", AND(AND(MID(metadata!C523,8,1)="-",IFERROR(INT(MID(metadata!C523,9,1))&gt;=0,FALSE),IFERROR(INT(MID(metadata!C523,9,1))&lt;=3,FALSE),NOT(MID(metadata!C523,10,1)=""),IFERROR(INT(MID(metadata!C523,9,2))&gt;=1,FALSE),IFERROR(INT(MID(metadata!C523,9,2))&lt;=31,FALSE)), OR(MID(metadata!C523,11,1)="", AND(AND(MID(metadata!C523,11,1)=" ",IFERROR(INT(MID(metadata!C523,12,1))&gt;=0,FALSE),IFERROR(INT(MID(metadata!C523,12,1))&lt;=2,FALSE),NOT(MID(metadata!C523,13,1)=""),IFERROR(INT(MID(metadata!C523,12,2))&gt;=0,FALSE),IFERROR(INT(MID(metadata!C523,12,2))&lt;=23,FALSE)), OR(MID(metadata!C523,14,1)="", AND(AND(MID(metadata!C523,14,1)=":",IFERROR(INT(MID(metadata!C523,15,1))&gt;=0,FALSE),IFERROR(INT(MID(metadata!C523,15,1))&lt;=5,FALSE),NOT(MID(metadata!C523,16,1)=""),IFERROR(INT(MID(metadata!C523,15,2))&gt;=0,FALSE),IFERROR(INT(MID(metadata!C523,15,2))&lt;=59,FALSE)), OR(MID(metadata!C523,17,1)="", AND(AND(MID(metadata!C523,17,1)=":",IFERROR(INT(MID(metadata!C523,18,1))&gt;=0,FALSE),IFERROR(INT(MID(metadata!C523,18,1))&lt;=5,FALSE),NOT(MID(metadata!C523,19,1)=""),IFERROR(INT(MID(metadata!C523,18,2))&gt;=0,FALSE),IFERROR(INT(MID(metadata!C523,18,2))&lt;=59,FALSE)), LEN(metadata!C523)&lt;=19)))))))))))))</f>
        <v>0</v>
      </c>
      <c r="AD523">
        <f>IF(metadata!D523="",FALSE,TRUE)</f>
        <v>0</v>
      </c>
      <c r="AE523">
        <f>OR(AND(IF(metadata!E523="",FALSE,TRUE),OR(exact(metadata!E523,"missing: not collected"),exact(metadata!E523,"missing: not provided"))),AND(IF(metadata!E523="",FALSE,TRUE),OR(exact(metadata!E523,"TRUE"),exact(metadata!E523,"FALSE"))))</f>
        <v>0</v>
      </c>
      <c r="AF523">
        <f>IF(metadata!F523="",FALSE,TRUE)</f>
        <v>0</v>
      </c>
      <c r="AG523">
        <f>IF(metadata!G523="",FALSE,TRUE)</f>
        <v>0</v>
      </c>
      <c r="AH523">
        <f>IF(metadata!H523="",FALSE,TRUE)</f>
        <v>0</v>
      </c>
      <c r="AI523">
        <f>OR(AND(IF(metadata!I523="",FALSE,TRUE),OR(exact(metadata!I523,"missing: not collected"),exact(metadata!I523,"missing: not provided"),exact(metadata!I523,"missing: restricted access"))),AND(IF(metadata!I523="",FALSE,TRUE),OR(exact(metadata!I523,"air"),exact(metadata!I523,"built environment"),exact(metadata!I523,"host-associated"),exact(metadata!I523,"human-associated"),exact(metadata!I523,"human-skin"),exact(metadata!I523,"human-oral"),exact(metadata!I523,"human-gut"),exact(metadata!I523,"human-vaginal"),exact(metadata!I523,"microbial mat/biofilm"),exact(metadata!I523,"misc environment"),exact(metadata!I523,"plant-associated"),exact(metadata!I523,"sediment"),exact(metadata!I523,"soil"),exact(metadata!I523,"wastewater/sludge"),exact(metadata!I523,"water"))))</f>
        <v>0</v>
      </c>
      <c r="AJ523">
        <f>IF(metadata!J523="",FALSE,TRUE)</f>
        <v>0</v>
      </c>
      <c r="AK523">
        <f>OR(AND(IF(metadata!K523="",FALSE,TRUE),OR(exact(metadata!K523,"missing: not collected"),exact(metadata!K523,"missing: not provided"),exact(metadata!K523,"missing: restricted access"))),AND(IF(metadata!K523="",FALSE,ISNUMBER(VALUE(metadata!K523))),metadata!K523&gt;=-90.00,metadata!K523&lt;=90.00))</f>
        <v>0</v>
      </c>
      <c r="AL523">
        <f>OR(AND(IF(metadata!L523="",FALSE,TRUE),OR(exact(metadata!L523,"missing: not collected"),exact(metadata!L523,"missing: not provided"),exact(metadata!L523,"missing: restricted access"))),AND(IF(metadata!L523="",FALSE,ISNUMBER(VALUE(metadata!L523))),metadata!L523&gt;=-180.00,metadata!L523&lt;=180.00))</f>
        <v>0</v>
      </c>
      <c r="AM523">
        <f>IF(metadata!M523="",FALSE,TRUE)</f>
        <v>0</v>
      </c>
      <c r="AN523">
        <f>OR(AND(IF(metadata!N523="",FALSE,TRUE),OR(exact(metadata!N523,"missing: not collected"),exact(metadata!N523,"missing: not provided"),exact(metadata!N523,"missing: restricted access"))),AND(IF(metadata!N523="",FALSE,TRUE),OR(exact(metadata!N523,"TRUE"),exact(metadata!N523,"FALSE"))))</f>
        <v>0</v>
      </c>
      <c r="AO523">
        <f>IF(metadata!O523="",FALSE,TRUE)</f>
        <v>0</v>
      </c>
      <c r="AP523">
        <f>OR(AND(IF(metadata!P523="",FALSE,TRUE),OR(exact(metadata!P523,"missing: not collected"),exact(metadata!P523,"missing: not provided"))),AND(IF(metadata!P523="",FALSE,IF(ISERROR(INT(metadata!P523)),FALSE,INT(metadata!P523)=metadata!P523)),metadata!P523&gt;0))</f>
        <v>0</v>
      </c>
      <c r="AQ523">
        <f>IF(metadata!Q523="",FALSE,TRUE)</f>
        <v>0</v>
      </c>
    </row>
    <row r="524" spans="1:43">
      <c r="A524" s="5">
        <f>IF(B524=" "," ",HYPERLINK(CONCATENATE("#metadata!",ADDRESS(INDEX($W$2:$W$1001,MATCH(ROWS($U$2:U524),$U$2:$U$1001,0),0),1)),INDEX($Z$2:$Z$1001,MATCH(ROWS($U$2:U524),$U$2:$U$1001,0),0)))</f>
        <v>0</v>
      </c>
      <c r="B524" s="4">
        <f>IF(OR(INDEX($V$2:$V$1001,MATCH(ROWS($U$2:U524),$U$2:$U$1001,0),1)&gt;=100000,INDEX($AB$1005:$AQ$1005,1,MATCH(COLUMNS($AB$1006:AB1006),$AB$1006:$AQ$1006,0))&gt;=100000), " ",IF(INDEX($AB$2:$AQ$1001,MATCH(ROWS($U$2:U524),$U$2:$U$1001,0),MATCH(COLUMNS($AB$1006:AB1006),$AB$1006:$AQ$1006,0)), HYPERLINK("#",""), HYPERLINK(CONCATENATE("#metadata!", ADDRESS(INDEX($W$2:$W$1001,MATCH(ROWS($U$2:U524),$U$2:$U$1001,0),0), INDEX($AB$1004:$AQ$1004,1,MATCH(COLUMNS($AB$1006:AB1006),$AB$1006:$AQ$1006,0)))),"Fix")))</f>
        <v>0</v>
      </c>
      <c r="C524" s="4">
        <f>IF(OR(INDEX($V$2:$V$1001,MATCH(ROWS($U$2:U524),$U$2:$U$1001,0),1)&gt;=100000,INDEX($AB$1005:$AQ$1005,1,MATCH(COLUMNS($AB$1006:AC1006),$AB$1006:$AQ$1006,0))&gt;=100000), " ",IF(INDEX($AB$2:$AQ$1001,MATCH(ROWS($U$2:U524),$U$2:$U$1001,0),MATCH(COLUMNS($AB$1006:AC1006),$AB$1006:$AQ$1006,0)), HYPERLINK("#",""), HYPERLINK(CONCATENATE("#metadata!", ADDRESS(INDEX($W$2:$W$1001,MATCH(ROWS($U$2:U524),$U$2:$U$1001,0),0), INDEX($AB$1004:$AQ$1004,1,MATCH(COLUMNS($AB$1006:AC1006),$AB$1006:$AQ$1006,0)))),"Fix")))</f>
        <v>0</v>
      </c>
      <c r="D524" s="4">
        <f>IF(OR(INDEX($V$2:$V$1001,MATCH(ROWS($U$2:U524),$U$2:$U$1001,0),1)&gt;=100000,INDEX($AB$1005:$AQ$1005,1,MATCH(COLUMNS($AB$1006:AD1006),$AB$1006:$AQ$1006,0))&gt;=100000), " ",IF(INDEX($AB$2:$AQ$1001,MATCH(ROWS($U$2:U524),$U$2:$U$1001,0),MATCH(COLUMNS($AB$1006:AD1006),$AB$1006:$AQ$1006,0)), HYPERLINK("#",""), HYPERLINK(CONCATENATE("#metadata!", ADDRESS(INDEX($W$2:$W$1001,MATCH(ROWS($U$2:U524),$U$2:$U$1001,0),0), INDEX($AB$1004:$AQ$1004,1,MATCH(COLUMNS($AB$1006:AD1006),$AB$1006:$AQ$1006,0)))),"Fix")))</f>
        <v>0</v>
      </c>
      <c r="E524" s="4">
        <f>IF(OR(INDEX($V$2:$V$1001,MATCH(ROWS($U$2:U524),$U$2:$U$1001,0),1)&gt;=100000,INDEX($AB$1005:$AQ$1005,1,MATCH(COLUMNS($AB$1006:AE1006),$AB$1006:$AQ$1006,0))&gt;=100000), " ",IF(INDEX($AB$2:$AQ$1001,MATCH(ROWS($U$2:U524),$U$2:$U$1001,0),MATCH(COLUMNS($AB$1006:AE1006),$AB$1006:$AQ$1006,0)), HYPERLINK("#",""), HYPERLINK(CONCATENATE("#metadata!", ADDRESS(INDEX($W$2:$W$1001,MATCH(ROWS($U$2:U524),$U$2:$U$1001,0),0), INDEX($AB$1004:$AQ$1004,1,MATCH(COLUMNS($AB$1006:AE1006),$AB$1006:$AQ$1006,0)))),"Fix")))</f>
        <v>0</v>
      </c>
      <c r="F524" s="4">
        <f>IF(OR(INDEX($V$2:$V$1001,MATCH(ROWS($U$2:U524),$U$2:$U$1001,0),1)&gt;=100000,INDEX($AB$1005:$AQ$1005,1,MATCH(COLUMNS($AB$1006:AF1006),$AB$1006:$AQ$1006,0))&gt;=100000), " ",IF(INDEX($AB$2:$AQ$1001,MATCH(ROWS($U$2:U524),$U$2:$U$1001,0),MATCH(COLUMNS($AB$1006:AF1006),$AB$1006:$AQ$1006,0)), HYPERLINK("#",""), HYPERLINK(CONCATENATE("#metadata!", ADDRESS(INDEX($W$2:$W$1001,MATCH(ROWS($U$2:U524),$U$2:$U$1001,0),0), INDEX($AB$1004:$AQ$1004,1,MATCH(COLUMNS($AB$1006:AF1006),$AB$1006:$AQ$1006,0)))),"Fix")))</f>
        <v>0</v>
      </c>
      <c r="G524" s="4">
        <f>IF(OR(INDEX($V$2:$V$1001,MATCH(ROWS($U$2:U524),$U$2:$U$1001,0),1)&gt;=100000,INDEX($AB$1005:$AQ$1005,1,MATCH(COLUMNS($AB$1006:AG1006),$AB$1006:$AQ$1006,0))&gt;=100000), " ",IF(INDEX($AB$2:$AQ$1001,MATCH(ROWS($U$2:U524),$U$2:$U$1001,0),MATCH(COLUMNS($AB$1006:AG1006),$AB$1006:$AQ$1006,0)), HYPERLINK("#",""), HYPERLINK(CONCATENATE("#metadata!", ADDRESS(INDEX($W$2:$W$1001,MATCH(ROWS($U$2:U524),$U$2:$U$1001,0),0), INDEX($AB$1004:$AQ$1004,1,MATCH(COLUMNS($AB$1006:AG1006),$AB$1006:$AQ$1006,0)))),"Fix")))</f>
        <v>0</v>
      </c>
      <c r="H524" s="4">
        <f>IF(OR(INDEX($V$2:$V$1001,MATCH(ROWS($U$2:U524),$U$2:$U$1001,0),1)&gt;=100000,INDEX($AB$1005:$AQ$1005,1,MATCH(COLUMNS($AB$1006:AH1006),$AB$1006:$AQ$1006,0))&gt;=100000), " ",IF(INDEX($AB$2:$AQ$1001,MATCH(ROWS($U$2:U524),$U$2:$U$1001,0),MATCH(COLUMNS($AB$1006:AH1006),$AB$1006:$AQ$1006,0)), HYPERLINK("#",""), HYPERLINK(CONCATENATE("#metadata!", ADDRESS(INDEX($W$2:$W$1001,MATCH(ROWS($U$2:U524),$U$2:$U$1001,0),0), INDEX($AB$1004:$AQ$1004,1,MATCH(COLUMNS($AB$1006:AH1006),$AB$1006:$AQ$1006,0)))),"Fix")))</f>
        <v>0</v>
      </c>
      <c r="I524" s="4">
        <f>IF(OR(INDEX($V$2:$V$1001,MATCH(ROWS($U$2:U524),$U$2:$U$1001,0),1)&gt;=100000,INDEX($AB$1005:$AQ$1005,1,MATCH(COLUMNS($AB$1006:AI1006),$AB$1006:$AQ$1006,0))&gt;=100000), " ",IF(INDEX($AB$2:$AQ$1001,MATCH(ROWS($U$2:U524),$U$2:$U$1001,0),MATCH(COLUMNS($AB$1006:AI1006),$AB$1006:$AQ$1006,0)), HYPERLINK("#",""), HYPERLINK(CONCATENATE("#metadata!", ADDRESS(INDEX($W$2:$W$1001,MATCH(ROWS($U$2:U524),$U$2:$U$1001,0),0), INDEX($AB$1004:$AQ$1004,1,MATCH(COLUMNS($AB$1006:AI1006),$AB$1006:$AQ$1006,0)))),"Fix")))</f>
        <v>0</v>
      </c>
      <c r="J524" s="4">
        <f>IF(OR(INDEX($V$2:$V$1001,MATCH(ROWS($U$2:U524),$U$2:$U$1001,0),1)&gt;=100000,INDEX($AB$1005:$AQ$1005,1,MATCH(COLUMNS($AB$1006:AJ1006),$AB$1006:$AQ$1006,0))&gt;=100000), " ",IF(INDEX($AB$2:$AQ$1001,MATCH(ROWS($U$2:U524),$U$2:$U$1001,0),MATCH(COLUMNS($AB$1006:AJ1006),$AB$1006:$AQ$1006,0)), HYPERLINK("#",""), HYPERLINK(CONCATENATE("#metadata!", ADDRESS(INDEX($W$2:$W$1001,MATCH(ROWS($U$2:U524),$U$2:$U$1001,0),0), INDEX($AB$1004:$AQ$1004,1,MATCH(COLUMNS($AB$1006:AJ1006),$AB$1006:$AQ$1006,0)))),"Fix")))</f>
        <v>0</v>
      </c>
      <c r="K524" s="4">
        <f>IF(OR(INDEX($V$2:$V$1001,MATCH(ROWS($U$2:U524),$U$2:$U$1001,0),1)&gt;=100000,INDEX($AB$1005:$AQ$1005,1,MATCH(COLUMNS($AB$1006:AK1006),$AB$1006:$AQ$1006,0))&gt;=100000), " ",IF(INDEX($AB$2:$AQ$1001,MATCH(ROWS($U$2:U524),$U$2:$U$1001,0),MATCH(COLUMNS($AB$1006:AK1006),$AB$1006:$AQ$1006,0)), HYPERLINK("#",""), HYPERLINK(CONCATENATE("#metadata!", ADDRESS(INDEX($W$2:$W$1001,MATCH(ROWS($U$2:U524),$U$2:$U$1001,0),0), INDEX($AB$1004:$AQ$1004,1,MATCH(COLUMNS($AB$1006:AK1006),$AB$1006:$AQ$1006,0)))),"Fix")))</f>
        <v>0</v>
      </c>
      <c r="L524" s="4">
        <f>IF(OR(INDEX($V$2:$V$1001,MATCH(ROWS($U$2:U524),$U$2:$U$1001,0),1)&gt;=100000,INDEX($AB$1005:$AQ$1005,1,MATCH(COLUMNS($AB$1006:AL1006),$AB$1006:$AQ$1006,0))&gt;=100000), " ",IF(INDEX($AB$2:$AQ$1001,MATCH(ROWS($U$2:U524),$U$2:$U$1001,0),MATCH(COLUMNS($AB$1006:AL1006),$AB$1006:$AQ$1006,0)), HYPERLINK("#",""), HYPERLINK(CONCATENATE("#metadata!", ADDRESS(INDEX($W$2:$W$1001,MATCH(ROWS($U$2:U524),$U$2:$U$1001,0),0), INDEX($AB$1004:$AQ$1004,1,MATCH(COLUMNS($AB$1006:AL1006),$AB$1006:$AQ$1006,0)))),"Fix")))</f>
        <v>0</v>
      </c>
      <c r="M524" s="4">
        <f>IF(OR(INDEX($V$2:$V$1001,MATCH(ROWS($U$2:U524),$U$2:$U$1001,0),1)&gt;=100000,INDEX($AB$1005:$AQ$1005,1,MATCH(COLUMNS($AB$1006:AM1006),$AB$1006:$AQ$1006,0))&gt;=100000), " ",IF(INDEX($AB$2:$AQ$1001,MATCH(ROWS($U$2:U524),$U$2:$U$1001,0),MATCH(COLUMNS($AB$1006:AM1006),$AB$1006:$AQ$1006,0)), HYPERLINK("#",""), HYPERLINK(CONCATENATE("#metadata!", ADDRESS(INDEX($W$2:$W$1001,MATCH(ROWS($U$2:U524),$U$2:$U$1001,0),0), INDEX($AB$1004:$AQ$1004,1,MATCH(COLUMNS($AB$1006:AM1006),$AB$1006:$AQ$1006,0)))),"Fix")))</f>
        <v>0</v>
      </c>
      <c r="N524" s="4">
        <f>IF(OR(INDEX($V$2:$V$1001,MATCH(ROWS($U$2:U524),$U$2:$U$1001,0),1)&gt;=100000,INDEX($AB$1005:$AQ$1005,1,MATCH(COLUMNS($AB$1006:AN1006),$AB$1006:$AQ$1006,0))&gt;=100000), " ",IF(INDEX($AB$2:$AQ$1001,MATCH(ROWS($U$2:U524),$U$2:$U$1001,0),MATCH(COLUMNS($AB$1006:AN1006),$AB$1006:$AQ$1006,0)), HYPERLINK("#",""), HYPERLINK(CONCATENATE("#metadata!", ADDRESS(INDEX($W$2:$W$1001,MATCH(ROWS($U$2:U524),$U$2:$U$1001,0),0), INDEX($AB$1004:$AQ$1004,1,MATCH(COLUMNS($AB$1006:AN1006),$AB$1006:$AQ$1006,0)))),"Fix")))</f>
        <v>0</v>
      </c>
      <c r="O524" s="4">
        <f>IF(OR(INDEX($V$2:$V$1001,MATCH(ROWS($U$2:U524),$U$2:$U$1001,0),1)&gt;=100000,INDEX($AB$1005:$AQ$1005,1,MATCH(COLUMNS($AB$1006:AO1006),$AB$1006:$AQ$1006,0))&gt;=100000), " ",IF(INDEX($AB$2:$AQ$1001,MATCH(ROWS($U$2:U524),$U$2:$U$1001,0),MATCH(COLUMNS($AB$1006:AO1006),$AB$1006:$AQ$1006,0)), HYPERLINK("#",""), HYPERLINK(CONCATENATE("#metadata!", ADDRESS(INDEX($W$2:$W$1001,MATCH(ROWS($U$2:U524),$U$2:$U$1001,0),0), INDEX($AB$1004:$AQ$1004,1,MATCH(COLUMNS($AB$1006:AO1006),$AB$1006:$AQ$1006,0)))),"Fix")))</f>
        <v>0</v>
      </c>
      <c r="P524" s="4">
        <f>IF(OR(INDEX($V$2:$V$1001,MATCH(ROWS($U$2:U524),$U$2:$U$1001,0),1)&gt;=100000,INDEX($AB$1005:$AQ$1005,1,MATCH(COLUMNS($AB$1006:AP1006),$AB$1006:$AQ$1006,0))&gt;=100000), " ",IF(INDEX($AB$2:$AQ$1001,MATCH(ROWS($U$2:U524),$U$2:$U$1001,0),MATCH(COLUMNS($AB$1006:AP1006),$AB$1006:$AQ$1006,0)), HYPERLINK("#",""), HYPERLINK(CONCATENATE("#metadata!", ADDRESS(INDEX($W$2:$W$1001,MATCH(ROWS($U$2:U524),$U$2:$U$1001,0),0), INDEX($AB$1004:$AQ$1004,1,MATCH(COLUMNS($AB$1006:AP1006),$AB$1006:$AQ$1006,0)))),"Fix")))</f>
        <v>0</v>
      </c>
      <c r="Q524" s="4">
        <f>IF(OR(INDEX($V$2:$V$1001,MATCH(ROWS($U$2:U524),$U$2:$U$1001,0),1)&gt;=100000,INDEX($AB$1005:$AQ$1005,1,MATCH(COLUMNS($AB$1006:AQ1006),$AB$1006:$AQ$1006,0))&gt;=100000), " ",IF(INDEX($AB$2:$AQ$1001,MATCH(ROWS($U$2:U524),$U$2:$U$1001,0),MATCH(COLUMNS($AB$1006:AQ1006),$AB$1006:$AQ$1006,0)), HYPERLINK("#",""), HYPERLINK(CONCATENATE("#metadata!", ADDRESS(INDEX($W$2:$W$1001,MATCH(ROWS($U$2:U524),$U$2:$U$1001,0),0), INDEX($AB$1004:$AQ$1004,1,MATCH(COLUMNS($AB$1006:AQ1006),$AB$1006:$AQ$1006,0)))),"Fix")))</f>
        <v>0</v>
      </c>
      <c r="U524">
        <v>0</v>
      </c>
      <c r="V524">
        <v>0</v>
      </c>
      <c r="W524">
        <v>0</v>
      </c>
      <c r="X524">
        <f>IF(Y524,TRUE,AND(AB524:AQ524))</f>
        <v>0</v>
      </c>
      <c r="Y524">
        <f>COUNTBLANK(metadata!B524:Q524)=COLUMNS(metadata!B524:Q524)</f>
        <v>0</v>
      </c>
      <c r="Z524">
        <v>0</v>
      </c>
      <c r="AB524">
        <f>AND(IF(metadata!B524="",FALSE,TRUE),COUNTIF(metadata!B:B, metadata!B524) = 1,NOT(ISERROR(SUMPRODUCT(SEARCH(MID(metadata!B524,ROW(INDIRECT("1:"&amp;LEN(metadata!B524))), 1),"0123456789abcdefghijklmnopqrstuvwxyzABCDEFGHIJKLMNOPQRSTUVWXYZ.")))))</f>
        <v>0</v>
      </c>
      <c r="AC524">
        <f>OR(AND(IF(metadata!C524="",FALSE,TRUE),OR(exact(metadata!C524,"missing: not collected"),exact(metadata!C524,"missing: not provided"),exact(metadata!C524,"missing: restricted access"))),AND(IF(metadata!C524="",FALSE,TRUE),AND(AND(IFERROR(INT(LEFT(metadata!C524,4))&gt;1900,FALSE),IFERROR(INT(LEFT(metadata!C524,4))&lt;=YEAR(NOW()),FALSE)), OR(MID(metadata!C524,5,1)="", AND(AND(MID(metadata!C524,5,1)="-",IFERROR(INT(MID(metadata!C524,6,1))&gt;=0,FALSE),IFERROR(INT(MID(metadata!C524,6,1))&lt;=1,FALSE),NOT(MID(metadata!C524,7,1)=""),IFERROR(INT(MID(metadata!C524,6,2))&gt;=1,FALSE),IFERROR(INT(MID(metadata!C524,6,2))&lt;=12,FALSE)), OR(MID(metadata!C524,8,1)="", AND(AND(MID(metadata!C524,8,1)="-",IFERROR(INT(MID(metadata!C524,9,1))&gt;=0,FALSE),IFERROR(INT(MID(metadata!C524,9,1))&lt;=3,FALSE),NOT(MID(metadata!C524,10,1)=""),IFERROR(INT(MID(metadata!C524,9,2))&gt;=1,FALSE),IFERROR(INT(MID(metadata!C524,9,2))&lt;=31,FALSE)), OR(MID(metadata!C524,11,1)="", AND(AND(MID(metadata!C524,11,1)=" ",IFERROR(INT(MID(metadata!C524,12,1))&gt;=0,FALSE),IFERROR(INT(MID(metadata!C524,12,1))&lt;=2,FALSE),NOT(MID(metadata!C524,13,1)=""),IFERROR(INT(MID(metadata!C524,12,2))&gt;=0,FALSE),IFERROR(INT(MID(metadata!C524,12,2))&lt;=23,FALSE)), OR(MID(metadata!C524,14,1)="", AND(AND(MID(metadata!C524,14,1)=":",IFERROR(INT(MID(metadata!C524,15,1))&gt;=0,FALSE),IFERROR(INT(MID(metadata!C524,15,1))&lt;=5,FALSE),NOT(MID(metadata!C524,16,1)=""),IFERROR(INT(MID(metadata!C524,15,2))&gt;=0,FALSE),IFERROR(INT(MID(metadata!C524,15,2))&lt;=59,FALSE)), OR(MID(metadata!C524,17,1)="", AND(AND(MID(metadata!C524,17,1)=":",IFERROR(INT(MID(metadata!C524,18,1))&gt;=0,FALSE),IFERROR(INT(MID(metadata!C524,18,1))&lt;=5,FALSE),NOT(MID(metadata!C524,19,1)=""),IFERROR(INT(MID(metadata!C524,18,2))&gt;=0,FALSE),IFERROR(INT(MID(metadata!C524,18,2))&lt;=59,FALSE)), LEN(metadata!C524)&lt;=19)))))))))))))</f>
        <v>0</v>
      </c>
      <c r="AD524">
        <f>IF(metadata!D524="",FALSE,TRUE)</f>
        <v>0</v>
      </c>
      <c r="AE524">
        <f>OR(AND(IF(metadata!E524="",FALSE,TRUE),OR(exact(metadata!E524,"missing: not collected"),exact(metadata!E524,"missing: not provided"))),AND(IF(metadata!E524="",FALSE,TRUE),OR(exact(metadata!E524,"TRUE"),exact(metadata!E524,"FALSE"))))</f>
        <v>0</v>
      </c>
      <c r="AF524">
        <f>IF(metadata!F524="",FALSE,TRUE)</f>
        <v>0</v>
      </c>
      <c r="AG524">
        <f>IF(metadata!G524="",FALSE,TRUE)</f>
        <v>0</v>
      </c>
      <c r="AH524">
        <f>IF(metadata!H524="",FALSE,TRUE)</f>
        <v>0</v>
      </c>
      <c r="AI524">
        <f>OR(AND(IF(metadata!I524="",FALSE,TRUE),OR(exact(metadata!I524,"missing: not collected"),exact(metadata!I524,"missing: not provided"),exact(metadata!I524,"missing: restricted access"))),AND(IF(metadata!I524="",FALSE,TRUE),OR(exact(metadata!I524,"air"),exact(metadata!I524,"built environment"),exact(metadata!I524,"host-associated"),exact(metadata!I524,"human-associated"),exact(metadata!I524,"human-skin"),exact(metadata!I524,"human-oral"),exact(metadata!I524,"human-gut"),exact(metadata!I524,"human-vaginal"),exact(metadata!I524,"microbial mat/biofilm"),exact(metadata!I524,"misc environment"),exact(metadata!I524,"plant-associated"),exact(metadata!I524,"sediment"),exact(metadata!I524,"soil"),exact(metadata!I524,"wastewater/sludge"),exact(metadata!I524,"water"))))</f>
        <v>0</v>
      </c>
      <c r="AJ524">
        <f>IF(metadata!J524="",FALSE,TRUE)</f>
        <v>0</v>
      </c>
      <c r="AK524">
        <f>OR(AND(IF(metadata!K524="",FALSE,TRUE),OR(exact(metadata!K524,"missing: not collected"),exact(metadata!K524,"missing: not provided"),exact(metadata!K524,"missing: restricted access"))),AND(IF(metadata!K524="",FALSE,ISNUMBER(VALUE(metadata!K524))),metadata!K524&gt;=-90.00,metadata!K524&lt;=90.00))</f>
        <v>0</v>
      </c>
      <c r="AL524">
        <f>OR(AND(IF(metadata!L524="",FALSE,TRUE),OR(exact(metadata!L524,"missing: not collected"),exact(metadata!L524,"missing: not provided"),exact(metadata!L524,"missing: restricted access"))),AND(IF(metadata!L524="",FALSE,ISNUMBER(VALUE(metadata!L524))),metadata!L524&gt;=-180.00,metadata!L524&lt;=180.00))</f>
        <v>0</v>
      </c>
      <c r="AM524">
        <f>IF(metadata!M524="",FALSE,TRUE)</f>
        <v>0</v>
      </c>
      <c r="AN524">
        <f>OR(AND(IF(metadata!N524="",FALSE,TRUE),OR(exact(metadata!N524,"missing: not collected"),exact(metadata!N524,"missing: not provided"),exact(metadata!N524,"missing: restricted access"))),AND(IF(metadata!N524="",FALSE,TRUE),OR(exact(metadata!N524,"TRUE"),exact(metadata!N524,"FALSE"))))</f>
        <v>0</v>
      </c>
      <c r="AO524">
        <f>IF(metadata!O524="",FALSE,TRUE)</f>
        <v>0</v>
      </c>
      <c r="AP524">
        <f>OR(AND(IF(metadata!P524="",FALSE,TRUE),OR(exact(metadata!P524,"missing: not collected"),exact(metadata!P524,"missing: not provided"))),AND(IF(metadata!P524="",FALSE,IF(ISERROR(INT(metadata!P524)),FALSE,INT(metadata!P524)=metadata!P524)),metadata!P524&gt;0))</f>
        <v>0</v>
      </c>
      <c r="AQ524">
        <f>IF(metadata!Q524="",FALSE,TRUE)</f>
        <v>0</v>
      </c>
    </row>
    <row r="525" spans="1:43">
      <c r="A525" s="5">
        <f>IF(B525=" "," ",HYPERLINK(CONCATENATE("#metadata!",ADDRESS(INDEX($W$2:$W$1001,MATCH(ROWS($U$2:U525),$U$2:$U$1001,0),0),1)),INDEX($Z$2:$Z$1001,MATCH(ROWS($U$2:U525),$U$2:$U$1001,0),0)))</f>
        <v>0</v>
      </c>
      <c r="B525" s="4">
        <f>IF(OR(INDEX($V$2:$V$1001,MATCH(ROWS($U$2:U525),$U$2:$U$1001,0),1)&gt;=100000,INDEX($AB$1005:$AQ$1005,1,MATCH(COLUMNS($AB$1006:AB1006),$AB$1006:$AQ$1006,0))&gt;=100000), " ",IF(INDEX($AB$2:$AQ$1001,MATCH(ROWS($U$2:U525),$U$2:$U$1001,0),MATCH(COLUMNS($AB$1006:AB1006),$AB$1006:$AQ$1006,0)), HYPERLINK("#",""), HYPERLINK(CONCATENATE("#metadata!", ADDRESS(INDEX($W$2:$W$1001,MATCH(ROWS($U$2:U525),$U$2:$U$1001,0),0), INDEX($AB$1004:$AQ$1004,1,MATCH(COLUMNS($AB$1006:AB1006),$AB$1006:$AQ$1006,0)))),"Fix")))</f>
        <v>0</v>
      </c>
      <c r="C525" s="4">
        <f>IF(OR(INDEX($V$2:$V$1001,MATCH(ROWS($U$2:U525),$U$2:$U$1001,0),1)&gt;=100000,INDEX($AB$1005:$AQ$1005,1,MATCH(COLUMNS($AB$1006:AC1006),$AB$1006:$AQ$1006,0))&gt;=100000), " ",IF(INDEX($AB$2:$AQ$1001,MATCH(ROWS($U$2:U525),$U$2:$U$1001,0),MATCH(COLUMNS($AB$1006:AC1006),$AB$1006:$AQ$1006,0)), HYPERLINK("#",""), HYPERLINK(CONCATENATE("#metadata!", ADDRESS(INDEX($W$2:$W$1001,MATCH(ROWS($U$2:U525),$U$2:$U$1001,0),0), INDEX($AB$1004:$AQ$1004,1,MATCH(COLUMNS($AB$1006:AC1006),$AB$1006:$AQ$1006,0)))),"Fix")))</f>
        <v>0</v>
      </c>
      <c r="D525" s="4">
        <f>IF(OR(INDEX($V$2:$V$1001,MATCH(ROWS($U$2:U525),$U$2:$U$1001,0),1)&gt;=100000,INDEX($AB$1005:$AQ$1005,1,MATCH(COLUMNS($AB$1006:AD1006),$AB$1006:$AQ$1006,0))&gt;=100000), " ",IF(INDEX($AB$2:$AQ$1001,MATCH(ROWS($U$2:U525),$U$2:$U$1001,0),MATCH(COLUMNS($AB$1006:AD1006),$AB$1006:$AQ$1006,0)), HYPERLINK("#",""), HYPERLINK(CONCATENATE("#metadata!", ADDRESS(INDEX($W$2:$W$1001,MATCH(ROWS($U$2:U525),$U$2:$U$1001,0),0), INDEX($AB$1004:$AQ$1004,1,MATCH(COLUMNS($AB$1006:AD1006),$AB$1006:$AQ$1006,0)))),"Fix")))</f>
        <v>0</v>
      </c>
      <c r="E525" s="4">
        <f>IF(OR(INDEX($V$2:$V$1001,MATCH(ROWS($U$2:U525),$U$2:$U$1001,0),1)&gt;=100000,INDEX($AB$1005:$AQ$1005,1,MATCH(COLUMNS($AB$1006:AE1006),$AB$1006:$AQ$1006,0))&gt;=100000), " ",IF(INDEX($AB$2:$AQ$1001,MATCH(ROWS($U$2:U525),$U$2:$U$1001,0),MATCH(COLUMNS($AB$1006:AE1006),$AB$1006:$AQ$1006,0)), HYPERLINK("#",""), HYPERLINK(CONCATENATE("#metadata!", ADDRESS(INDEX($W$2:$W$1001,MATCH(ROWS($U$2:U525),$U$2:$U$1001,0),0), INDEX($AB$1004:$AQ$1004,1,MATCH(COLUMNS($AB$1006:AE1006),$AB$1006:$AQ$1006,0)))),"Fix")))</f>
        <v>0</v>
      </c>
      <c r="F525" s="4">
        <f>IF(OR(INDEX($V$2:$V$1001,MATCH(ROWS($U$2:U525),$U$2:$U$1001,0),1)&gt;=100000,INDEX($AB$1005:$AQ$1005,1,MATCH(COLUMNS($AB$1006:AF1006),$AB$1006:$AQ$1006,0))&gt;=100000), " ",IF(INDEX($AB$2:$AQ$1001,MATCH(ROWS($U$2:U525),$U$2:$U$1001,0),MATCH(COLUMNS($AB$1006:AF1006),$AB$1006:$AQ$1006,0)), HYPERLINK("#",""), HYPERLINK(CONCATENATE("#metadata!", ADDRESS(INDEX($W$2:$W$1001,MATCH(ROWS($U$2:U525),$U$2:$U$1001,0),0), INDEX($AB$1004:$AQ$1004,1,MATCH(COLUMNS($AB$1006:AF1006),$AB$1006:$AQ$1006,0)))),"Fix")))</f>
        <v>0</v>
      </c>
      <c r="G525" s="4">
        <f>IF(OR(INDEX($V$2:$V$1001,MATCH(ROWS($U$2:U525),$U$2:$U$1001,0),1)&gt;=100000,INDEX($AB$1005:$AQ$1005,1,MATCH(COLUMNS($AB$1006:AG1006),$AB$1006:$AQ$1006,0))&gt;=100000), " ",IF(INDEX($AB$2:$AQ$1001,MATCH(ROWS($U$2:U525),$U$2:$U$1001,0),MATCH(COLUMNS($AB$1006:AG1006),$AB$1006:$AQ$1006,0)), HYPERLINK("#",""), HYPERLINK(CONCATENATE("#metadata!", ADDRESS(INDEX($W$2:$W$1001,MATCH(ROWS($U$2:U525),$U$2:$U$1001,0),0), INDEX($AB$1004:$AQ$1004,1,MATCH(COLUMNS($AB$1006:AG1006),$AB$1006:$AQ$1006,0)))),"Fix")))</f>
        <v>0</v>
      </c>
      <c r="H525" s="4">
        <f>IF(OR(INDEX($V$2:$V$1001,MATCH(ROWS($U$2:U525),$U$2:$U$1001,0),1)&gt;=100000,INDEX($AB$1005:$AQ$1005,1,MATCH(COLUMNS($AB$1006:AH1006),$AB$1006:$AQ$1006,0))&gt;=100000), " ",IF(INDEX($AB$2:$AQ$1001,MATCH(ROWS($U$2:U525),$U$2:$U$1001,0),MATCH(COLUMNS($AB$1006:AH1006),$AB$1006:$AQ$1006,0)), HYPERLINK("#",""), HYPERLINK(CONCATENATE("#metadata!", ADDRESS(INDEX($W$2:$W$1001,MATCH(ROWS($U$2:U525),$U$2:$U$1001,0),0), INDEX($AB$1004:$AQ$1004,1,MATCH(COLUMNS($AB$1006:AH1006),$AB$1006:$AQ$1006,0)))),"Fix")))</f>
        <v>0</v>
      </c>
      <c r="I525" s="4">
        <f>IF(OR(INDEX($V$2:$V$1001,MATCH(ROWS($U$2:U525),$U$2:$U$1001,0),1)&gt;=100000,INDEX($AB$1005:$AQ$1005,1,MATCH(COLUMNS($AB$1006:AI1006),$AB$1006:$AQ$1006,0))&gt;=100000), " ",IF(INDEX($AB$2:$AQ$1001,MATCH(ROWS($U$2:U525),$U$2:$U$1001,0),MATCH(COLUMNS($AB$1006:AI1006),$AB$1006:$AQ$1006,0)), HYPERLINK("#",""), HYPERLINK(CONCATENATE("#metadata!", ADDRESS(INDEX($W$2:$W$1001,MATCH(ROWS($U$2:U525),$U$2:$U$1001,0),0), INDEX($AB$1004:$AQ$1004,1,MATCH(COLUMNS($AB$1006:AI1006),$AB$1006:$AQ$1006,0)))),"Fix")))</f>
        <v>0</v>
      </c>
      <c r="J525" s="4">
        <f>IF(OR(INDEX($V$2:$V$1001,MATCH(ROWS($U$2:U525),$U$2:$U$1001,0),1)&gt;=100000,INDEX($AB$1005:$AQ$1005,1,MATCH(COLUMNS($AB$1006:AJ1006),$AB$1006:$AQ$1006,0))&gt;=100000), " ",IF(INDEX($AB$2:$AQ$1001,MATCH(ROWS($U$2:U525),$U$2:$U$1001,0),MATCH(COLUMNS($AB$1006:AJ1006),$AB$1006:$AQ$1006,0)), HYPERLINK("#",""), HYPERLINK(CONCATENATE("#metadata!", ADDRESS(INDEX($W$2:$W$1001,MATCH(ROWS($U$2:U525),$U$2:$U$1001,0),0), INDEX($AB$1004:$AQ$1004,1,MATCH(COLUMNS($AB$1006:AJ1006),$AB$1006:$AQ$1006,0)))),"Fix")))</f>
        <v>0</v>
      </c>
      <c r="K525" s="4">
        <f>IF(OR(INDEX($V$2:$V$1001,MATCH(ROWS($U$2:U525),$U$2:$U$1001,0),1)&gt;=100000,INDEX($AB$1005:$AQ$1005,1,MATCH(COLUMNS($AB$1006:AK1006),$AB$1006:$AQ$1006,0))&gt;=100000), " ",IF(INDEX($AB$2:$AQ$1001,MATCH(ROWS($U$2:U525),$U$2:$U$1001,0),MATCH(COLUMNS($AB$1006:AK1006),$AB$1006:$AQ$1006,0)), HYPERLINK("#",""), HYPERLINK(CONCATENATE("#metadata!", ADDRESS(INDEX($W$2:$W$1001,MATCH(ROWS($U$2:U525),$U$2:$U$1001,0),0), INDEX($AB$1004:$AQ$1004,1,MATCH(COLUMNS($AB$1006:AK1006),$AB$1006:$AQ$1006,0)))),"Fix")))</f>
        <v>0</v>
      </c>
      <c r="L525" s="4">
        <f>IF(OR(INDEX($V$2:$V$1001,MATCH(ROWS($U$2:U525),$U$2:$U$1001,0),1)&gt;=100000,INDEX($AB$1005:$AQ$1005,1,MATCH(COLUMNS($AB$1006:AL1006),$AB$1006:$AQ$1006,0))&gt;=100000), " ",IF(INDEX($AB$2:$AQ$1001,MATCH(ROWS($U$2:U525),$U$2:$U$1001,0),MATCH(COLUMNS($AB$1006:AL1006),$AB$1006:$AQ$1006,0)), HYPERLINK("#",""), HYPERLINK(CONCATENATE("#metadata!", ADDRESS(INDEX($W$2:$W$1001,MATCH(ROWS($U$2:U525),$U$2:$U$1001,0),0), INDEX($AB$1004:$AQ$1004,1,MATCH(COLUMNS($AB$1006:AL1006),$AB$1006:$AQ$1006,0)))),"Fix")))</f>
        <v>0</v>
      </c>
      <c r="M525" s="4">
        <f>IF(OR(INDEX($V$2:$V$1001,MATCH(ROWS($U$2:U525),$U$2:$U$1001,0),1)&gt;=100000,INDEX($AB$1005:$AQ$1005,1,MATCH(COLUMNS($AB$1006:AM1006),$AB$1006:$AQ$1006,0))&gt;=100000), " ",IF(INDEX($AB$2:$AQ$1001,MATCH(ROWS($U$2:U525),$U$2:$U$1001,0),MATCH(COLUMNS($AB$1006:AM1006),$AB$1006:$AQ$1006,0)), HYPERLINK("#",""), HYPERLINK(CONCATENATE("#metadata!", ADDRESS(INDEX($W$2:$W$1001,MATCH(ROWS($U$2:U525),$U$2:$U$1001,0),0), INDEX($AB$1004:$AQ$1004,1,MATCH(COLUMNS($AB$1006:AM1006),$AB$1006:$AQ$1006,0)))),"Fix")))</f>
        <v>0</v>
      </c>
      <c r="N525" s="4">
        <f>IF(OR(INDEX($V$2:$V$1001,MATCH(ROWS($U$2:U525),$U$2:$U$1001,0),1)&gt;=100000,INDEX($AB$1005:$AQ$1005,1,MATCH(COLUMNS($AB$1006:AN1006),$AB$1006:$AQ$1006,0))&gt;=100000), " ",IF(INDEX($AB$2:$AQ$1001,MATCH(ROWS($U$2:U525),$U$2:$U$1001,0),MATCH(COLUMNS($AB$1006:AN1006),$AB$1006:$AQ$1006,0)), HYPERLINK("#",""), HYPERLINK(CONCATENATE("#metadata!", ADDRESS(INDEX($W$2:$W$1001,MATCH(ROWS($U$2:U525),$U$2:$U$1001,0),0), INDEX($AB$1004:$AQ$1004,1,MATCH(COLUMNS($AB$1006:AN1006),$AB$1006:$AQ$1006,0)))),"Fix")))</f>
        <v>0</v>
      </c>
      <c r="O525" s="4">
        <f>IF(OR(INDEX($V$2:$V$1001,MATCH(ROWS($U$2:U525),$U$2:$U$1001,0),1)&gt;=100000,INDEX($AB$1005:$AQ$1005,1,MATCH(COLUMNS($AB$1006:AO1006),$AB$1006:$AQ$1006,0))&gt;=100000), " ",IF(INDEX($AB$2:$AQ$1001,MATCH(ROWS($U$2:U525),$U$2:$U$1001,0),MATCH(COLUMNS($AB$1006:AO1006),$AB$1006:$AQ$1006,0)), HYPERLINK("#",""), HYPERLINK(CONCATENATE("#metadata!", ADDRESS(INDEX($W$2:$W$1001,MATCH(ROWS($U$2:U525),$U$2:$U$1001,0),0), INDEX($AB$1004:$AQ$1004,1,MATCH(COLUMNS($AB$1006:AO1006),$AB$1006:$AQ$1006,0)))),"Fix")))</f>
        <v>0</v>
      </c>
      <c r="P525" s="4">
        <f>IF(OR(INDEX($V$2:$V$1001,MATCH(ROWS($U$2:U525),$U$2:$U$1001,0),1)&gt;=100000,INDEX($AB$1005:$AQ$1005,1,MATCH(COLUMNS($AB$1006:AP1006),$AB$1006:$AQ$1006,0))&gt;=100000), " ",IF(INDEX($AB$2:$AQ$1001,MATCH(ROWS($U$2:U525),$U$2:$U$1001,0),MATCH(COLUMNS($AB$1006:AP1006),$AB$1006:$AQ$1006,0)), HYPERLINK("#",""), HYPERLINK(CONCATENATE("#metadata!", ADDRESS(INDEX($W$2:$W$1001,MATCH(ROWS($U$2:U525),$U$2:$U$1001,0),0), INDEX($AB$1004:$AQ$1004,1,MATCH(COLUMNS($AB$1006:AP1006),$AB$1006:$AQ$1006,0)))),"Fix")))</f>
        <v>0</v>
      </c>
      <c r="Q525" s="4">
        <f>IF(OR(INDEX($V$2:$V$1001,MATCH(ROWS($U$2:U525),$U$2:$U$1001,0),1)&gt;=100000,INDEX($AB$1005:$AQ$1005,1,MATCH(COLUMNS($AB$1006:AQ1006),$AB$1006:$AQ$1006,0))&gt;=100000), " ",IF(INDEX($AB$2:$AQ$1001,MATCH(ROWS($U$2:U525),$U$2:$U$1001,0),MATCH(COLUMNS($AB$1006:AQ1006),$AB$1006:$AQ$1006,0)), HYPERLINK("#",""), HYPERLINK(CONCATENATE("#metadata!", ADDRESS(INDEX($W$2:$W$1001,MATCH(ROWS($U$2:U525),$U$2:$U$1001,0),0), INDEX($AB$1004:$AQ$1004,1,MATCH(COLUMNS($AB$1006:AQ1006),$AB$1006:$AQ$1006,0)))),"Fix")))</f>
        <v>0</v>
      </c>
      <c r="U525">
        <v>0</v>
      </c>
      <c r="V525">
        <v>0</v>
      </c>
      <c r="W525">
        <v>0</v>
      </c>
      <c r="X525">
        <f>IF(Y525,TRUE,AND(AB525:AQ525))</f>
        <v>0</v>
      </c>
      <c r="Y525">
        <f>COUNTBLANK(metadata!B525:Q525)=COLUMNS(metadata!B525:Q525)</f>
        <v>0</v>
      </c>
      <c r="Z525">
        <v>0</v>
      </c>
      <c r="AB525">
        <f>AND(IF(metadata!B525="",FALSE,TRUE),COUNTIF(metadata!B:B, metadata!B525) = 1,NOT(ISERROR(SUMPRODUCT(SEARCH(MID(metadata!B525,ROW(INDIRECT("1:"&amp;LEN(metadata!B525))), 1),"0123456789abcdefghijklmnopqrstuvwxyzABCDEFGHIJKLMNOPQRSTUVWXYZ.")))))</f>
        <v>0</v>
      </c>
      <c r="AC525">
        <f>OR(AND(IF(metadata!C525="",FALSE,TRUE),OR(exact(metadata!C525,"missing: not collected"),exact(metadata!C525,"missing: not provided"),exact(metadata!C525,"missing: restricted access"))),AND(IF(metadata!C525="",FALSE,TRUE),AND(AND(IFERROR(INT(LEFT(metadata!C525,4))&gt;1900,FALSE),IFERROR(INT(LEFT(metadata!C525,4))&lt;=YEAR(NOW()),FALSE)), OR(MID(metadata!C525,5,1)="", AND(AND(MID(metadata!C525,5,1)="-",IFERROR(INT(MID(metadata!C525,6,1))&gt;=0,FALSE),IFERROR(INT(MID(metadata!C525,6,1))&lt;=1,FALSE),NOT(MID(metadata!C525,7,1)=""),IFERROR(INT(MID(metadata!C525,6,2))&gt;=1,FALSE),IFERROR(INT(MID(metadata!C525,6,2))&lt;=12,FALSE)), OR(MID(metadata!C525,8,1)="", AND(AND(MID(metadata!C525,8,1)="-",IFERROR(INT(MID(metadata!C525,9,1))&gt;=0,FALSE),IFERROR(INT(MID(metadata!C525,9,1))&lt;=3,FALSE),NOT(MID(metadata!C525,10,1)=""),IFERROR(INT(MID(metadata!C525,9,2))&gt;=1,FALSE),IFERROR(INT(MID(metadata!C525,9,2))&lt;=31,FALSE)), OR(MID(metadata!C525,11,1)="", AND(AND(MID(metadata!C525,11,1)=" ",IFERROR(INT(MID(metadata!C525,12,1))&gt;=0,FALSE),IFERROR(INT(MID(metadata!C525,12,1))&lt;=2,FALSE),NOT(MID(metadata!C525,13,1)=""),IFERROR(INT(MID(metadata!C525,12,2))&gt;=0,FALSE),IFERROR(INT(MID(metadata!C525,12,2))&lt;=23,FALSE)), OR(MID(metadata!C525,14,1)="", AND(AND(MID(metadata!C525,14,1)=":",IFERROR(INT(MID(metadata!C525,15,1))&gt;=0,FALSE),IFERROR(INT(MID(metadata!C525,15,1))&lt;=5,FALSE),NOT(MID(metadata!C525,16,1)=""),IFERROR(INT(MID(metadata!C525,15,2))&gt;=0,FALSE),IFERROR(INT(MID(metadata!C525,15,2))&lt;=59,FALSE)), OR(MID(metadata!C525,17,1)="", AND(AND(MID(metadata!C525,17,1)=":",IFERROR(INT(MID(metadata!C525,18,1))&gt;=0,FALSE),IFERROR(INT(MID(metadata!C525,18,1))&lt;=5,FALSE),NOT(MID(metadata!C525,19,1)=""),IFERROR(INT(MID(metadata!C525,18,2))&gt;=0,FALSE),IFERROR(INT(MID(metadata!C525,18,2))&lt;=59,FALSE)), LEN(metadata!C525)&lt;=19)))))))))))))</f>
        <v>0</v>
      </c>
      <c r="AD525">
        <f>IF(metadata!D525="",FALSE,TRUE)</f>
        <v>0</v>
      </c>
      <c r="AE525">
        <f>OR(AND(IF(metadata!E525="",FALSE,TRUE),OR(exact(metadata!E525,"missing: not collected"),exact(metadata!E525,"missing: not provided"))),AND(IF(metadata!E525="",FALSE,TRUE),OR(exact(metadata!E525,"TRUE"),exact(metadata!E525,"FALSE"))))</f>
        <v>0</v>
      </c>
      <c r="AF525">
        <f>IF(metadata!F525="",FALSE,TRUE)</f>
        <v>0</v>
      </c>
      <c r="AG525">
        <f>IF(metadata!G525="",FALSE,TRUE)</f>
        <v>0</v>
      </c>
      <c r="AH525">
        <f>IF(metadata!H525="",FALSE,TRUE)</f>
        <v>0</v>
      </c>
      <c r="AI525">
        <f>OR(AND(IF(metadata!I525="",FALSE,TRUE),OR(exact(metadata!I525,"missing: not collected"),exact(metadata!I525,"missing: not provided"),exact(metadata!I525,"missing: restricted access"))),AND(IF(metadata!I525="",FALSE,TRUE),OR(exact(metadata!I525,"air"),exact(metadata!I525,"built environment"),exact(metadata!I525,"host-associated"),exact(metadata!I525,"human-associated"),exact(metadata!I525,"human-skin"),exact(metadata!I525,"human-oral"),exact(metadata!I525,"human-gut"),exact(metadata!I525,"human-vaginal"),exact(metadata!I525,"microbial mat/biofilm"),exact(metadata!I525,"misc environment"),exact(metadata!I525,"plant-associated"),exact(metadata!I525,"sediment"),exact(metadata!I525,"soil"),exact(metadata!I525,"wastewater/sludge"),exact(metadata!I525,"water"))))</f>
        <v>0</v>
      </c>
      <c r="AJ525">
        <f>IF(metadata!J525="",FALSE,TRUE)</f>
        <v>0</v>
      </c>
      <c r="AK525">
        <f>OR(AND(IF(metadata!K525="",FALSE,TRUE),OR(exact(metadata!K525,"missing: not collected"),exact(metadata!K525,"missing: not provided"),exact(metadata!K525,"missing: restricted access"))),AND(IF(metadata!K525="",FALSE,ISNUMBER(VALUE(metadata!K525))),metadata!K525&gt;=-90.00,metadata!K525&lt;=90.00))</f>
        <v>0</v>
      </c>
      <c r="AL525">
        <f>OR(AND(IF(metadata!L525="",FALSE,TRUE),OR(exact(metadata!L525,"missing: not collected"),exact(metadata!L525,"missing: not provided"),exact(metadata!L525,"missing: restricted access"))),AND(IF(metadata!L525="",FALSE,ISNUMBER(VALUE(metadata!L525))),metadata!L525&gt;=-180.00,metadata!L525&lt;=180.00))</f>
        <v>0</v>
      </c>
      <c r="AM525">
        <f>IF(metadata!M525="",FALSE,TRUE)</f>
        <v>0</v>
      </c>
      <c r="AN525">
        <f>OR(AND(IF(metadata!N525="",FALSE,TRUE),OR(exact(metadata!N525,"missing: not collected"),exact(metadata!N525,"missing: not provided"),exact(metadata!N525,"missing: restricted access"))),AND(IF(metadata!N525="",FALSE,TRUE),OR(exact(metadata!N525,"TRUE"),exact(metadata!N525,"FALSE"))))</f>
        <v>0</v>
      </c>
      <c r="AO525">
        <f>IF(metadata!O525="",FALSE,TRUE)</f>
        <v>0</v>
      </c>
      <c r="AP525">
        <f>OR(AND(IF(metadata!P525="",FALSE,TRUE),OR(exact(metadata!P525,"missing: not collected"),exact(metadata!P525,"missing: not provided"))),AND(IF(metadata!P525="",FALSE,IF(ISERROR(INT(metadata!P525)),FALSE,INT(metadata!P525)=metadata!P525)),metadata!P525&gt;0))</f>
        <v>0</v>
      </c>
      <c r="AQ525">
        <f>IF(metadata!Q525="",FALSE,TRUE)</f>
        <v>0</v>
      </c>
    </row>
    <row r="526" spans="1:43">
      <c r="A526" s="5">
        <f>IF(B526=" "," ",HYPERLINK(CONCATENATE("#metadata!",ADDRESS(INDEX($W$2:$W$1001,MATCH(ROWS($U$2:U526),$U$2:$U$1001,0),0),1)),INDEX($Z$2:$Z$1001,MATCH(ROWS($U$2:U526),$U$2:$U$1001,0),0)))</f>
        <v>0</v>
      </c>
      <c r="B526" s="4">
        <f>IF(OR(INDEX($V$2:$V$1001,MATCH(ROWS($U$2:U526),$U$2:$U$1001,0),1)&gt;=100000,INDEX($AB$1005:$AQ$1005,1,MATCH(COLUMNS($AB$1006:AB1006),$AB$1006:$AQ$1006,0))&gt;=100000), " ",IF(INDEX($AB$2:$AQ$1001,MATCH(ROWS($U$2:U526),$U$2:$U$1001,0),MATCH(COLUMNS($AB$1006:AB1006),$AB$1006:$AQ$1006,0)), HYPERLINK("#",""), HYPERLINK(CONCATENATE("#metadata!", ADDRESS(INDEX($W$2:$W$1001,MATCH(ROWS($U$2:U526),$U$2:$U$1001,0),0), INDEX($AB$1004:$AQ$1004,1,MATCH(COLUMNS($AB$1006:AB1006),$AB$1006:$AQ$1006,0)))),"Fix")))</f>
        <v>0</v>
      </c>
      <c r="C526" s="4">
        <f>IF(OR(INDEX($V$2:$V$1001,MATCH(ROWS($U$2:U526),$U$2:$U$1001,0),1)&gt;=100000,INDEX($AB$1005:$AQ$1005,1,MATCH(COLUMNS($AB$1006:AC1006),$AB$1006:$AQ$1006,0))&gt;=100000), " ",IF(INDEX($AB$2:$AQ$1001,MATCH(ROWS($U$2:U526),$U$2:$U$1001,0),MATCH(COLUMNS($AB$1006:AC1006),$AB$1006:$AQ$1006,0)), HYPERLINK("#",""), HYPERLINK(CONCATENATE("#metadata!", ADDRESS(INDEX($W$2:$W$1001,MATCH(ROWS($U$2:U526),$U$2:$U$1001,0),0), INDEX($AB$1004:$AQ$1004,1,MATCH(COLUMNS($AB$1006:AC1006),$AB$1006:$AQ$1006,0)))),"Fix")))</f>
        <v>0</v>
      </c>
      <c r="D526" s="4">
        <f>IF(OR(INDEX($V$2:$V$1001,MATCH(ROWS($U$2:U526),$U$2:$U$1001,0),1)&gt;=100000,INDEX($AB$1005:$AQ$1005,1,MATCH(COLUMNS($AB$1006:AD1006),$AB$1006:$AQ$1006,0))&gt;=100000), " ",IF(INDEX($AB$2:$AQ$1001,MATCH(ROWS($U$2:U526),$U$2:$U$1001,0),MATCH(COLUMNS($AB$1006:AD1006),$AB$1006:$AQ$1006,0)), HYPERLINK("#",""), HYPERLINK(CONCATENATE("#metadata!", ADDRESS(INDEX($W$2:$W$1001,MATCH(ROWS($U$2:U526),$U$2:$U$1001,0),0), INDEX($AB$1004:$AQ$1004,1,MATCH(COLUMNS($AB$1006:AD1006),$AB$1006:$AQ$1006,0)))),"Fix")))</f>
        <v>0</v>
      </c>
      <c r="E526" s="4">
        <f>IF(OR(INDEX($V$2:$V$1001,MATCH(ROWS($U$2:U526),$U$2:$U$1001,0),1)&gt;=100000,INDEX($AB$1005:$AQ$1005,1,MATCH(COLUMNS($AB$1006:AE1006),$AB$1006:$AQ$1006,0))&gt;=100000), " ",IF(INDEX($AB$2:$AQ$1001,MATCH(ROWS($U$2:U526),$U$2:$U$1001,0),MATCH(COLUMNS($AB$1006:AE1006),$AB$1006:$AQ$1006,0)), HYPERLINK("#",""), HYPERLINK(CONCATENATE("#metadata!", ADDRESS(INDEX($W$2:$W$1001,MATCH(ROWS($U$2:U526),$U$2:$U$1001,0),0), INDEX($AB$1004:$AQ$1004,1,MATCH(COLUMNS($AB$1006:AE1006),$AB$1006:$AQ$1006,0)))),"Fix")))</f>
        <v>0</v>
      </c>
      <c r="F526" s="4">
        <f>IF(OR(INDEX($V$2:$V$1001,MATCH(ROWS($U$2:U526),$U$2:$U$1001,0),1)&gt;=100000,INDEX($AB$1005:$AQ$1005,1,MATCH(COLUMNS($AB$1006:AF1006),$AB$1006:$AQ$1006,0))&gt;=100000), " ",IF(INDEX($AB$2:$AQ$1001,MATCH(ROWS($U$2:U526),$U$2:$U$1001,0),MATCH(COLUMNS($AB$1006:AF1006),$AB$1006:$AQ$1006,0)), HYPERLINK("#",""), HYPERLINK(CONCATENATE("#metadata!", ADDRESS(INDEX($W$2:$W$1001,MATCH(ROWS($U$2:U526),$U$2:$U$1001,0),0), INDEX($AB$1004:$AQ$1004,1,MATCH(COLUMNS($AB$1006:AF1006),$AB$1006:$AQ$1006,0)))),"Fix")))</f>
        <v>0</v>
      </c>
      <c r="G526" s="4">
        <f>IF(OR(INDEX($V$2:$V$1001,MATCH(ROWS($U$2:U526),$U$2:$U$1001,0),1)&gt;=100000,INDEX($AB$1005:$AQ$1005,1,MATCH(COLUMNS($AB$1006:AG1006),$AB$1006:$AQ$1006,0))&gt;=100000), " ",IF(INDEX($AB$2:$AQ$1001,MATCH(ROWS($U$2:U526),$U$2:$U$1001,0),MATCH(COLUMNS($AB$1006:AG1006),$AB$1006:$AQ$1006,0)), HYPERLINK("#",""), HYPERLINK(CONCATENATE("#metadata!", ADDRESS(INDEX($W$2:$W$1001,MATCH(ROWS($U$2:U526),$U$2:$U$1001,0),0), INDEX($AB$1004:$AQ$1004,1,MATCH(COLUMNS($AB$1006:AG1006),$AB$1006:$AQ$1006,0)))),"Fix")))</f>
        <v>0</v>
      </c>
      <c r="H526" s="4">
        <f>IF(OR(INDEX($V$2:$V$1001,MATCH(ROWS($U$2:U526),$U$2:$U$1001,0),1)&gt;=100000,INDEX($AB$1005:$AQ$1005,1,MATCH(COLUMNS($AB$1006:AH1006),$AB$1006:$AQ$1006,0))&gt;=100000), " ",IF(INDEX($AB$2:$AQ$1001,MATCH(ROWS($U$2:U526),$U$2:$U$1001,0),MATCH(COLUMNS($AB$1006:AH1006),$AB$1006:$AQ$1006,0)), HYPERLINK("#",""), HYPERLINK(CONCATENATE("#metadata!", ADDRESS(INDEX($W$2:$W$1001,MATCH(ROWS($U$2:U526),$U$2:$U$1001,0),0), INDEX($AB$1004:$AQ$1004,1,MATCH(COLUMNS($AB$1006:AH1006),$AB$1006:$AQ$1006,0)))),"Fix")))</f>
        <v>0</v>
      </c>
      <c r="I526" s="4">
        <f>IF(OR(INDEX($V$2:$V$1001,MATCH(ROWS($U$2:U526),$U$2:$U$1001,0),1)&gt;=100000,INDEX($AB$1005:$AQ$1005,1,MATCH(COLUMNS($AB$1006:AI1006),$AB$1006:$AQ$1006,0))&gt;=100000), " ",IF(INDEX($AB$2:$AQ$1001,MATCH(ROWS($U$2:U526),$U$2:$U$1001,0),MATCH(COLUMNS($AB$1006:AI1006),$AB$1006:$AQ$1006,0)), HYPERLINK("#",""), HYPERLINK(CONCATENATE("#metadata!", ADDRESS(INDEX($W$2:$W$1001,MATCH(ROWS($U$2:U526),$U$2:$U$1001,0),0), INDEX($AB$1004:$AQ$1004,1,MATCH(COLUMNS($AB$1006:AI1006),$AB$1006:$AQ$1006,0)))),"Fix")))</f>
        <v>0</v>
      </c>
      <c r="J526" s="4">
        <f>IF(OR(INDEX($V$2:$V$1001,MATCH(ROWS($U$2:U526),$U$2:$U$1001,0),1)&gt;=100000,INDEX($AB$1005:$AQ$1005,1,MATCH(COLUMNS($AB$1006:AJ1006),$AB$1006:$AQ$1006,0))&gt;=100000), " ",IF(INDEX($AB$2:$AQ$1001,MATCH(ROWS($U$2:U526),$U$2:$U$1001,0),MATCH(COLUMNS($AB$1006:AJ1006),$AB$1006:$AQ$1006,0)), HYPERLINK("#",""), HYPERLINK(CONCATENATE("#metadata!", ADDRESS(INDEX($W$2:$W$1001,MATCH(ROWS($U$2:U526),$U$2:$U$1001,0),0), INDEX($AB$1004:$AQ$1004,1,MATCH(COLUMNS($AB$1006:AJ1006),$AB$1006:$AQ$1006,0)))),"Fix")))</f>
        <v>0</v>
      </c>
      <c r="K526" s="4">
        <f>IF(OR(INDEX($V$2:$V$1001,MATCH(ROWS($U$2:U526),$U$2:$U$1001,0),1)&gt;=100000,INDEX($AB$1005:$AQ$1005,1,MATCH(COLUMNS($AB$1006:AK1006),$AB$1006:$AQ$1006,0))&gt;=100000), " ",IF(INDEX($AB$2:$AQ$1001,MATCH(ROWS($U$2:U526),$U$2:$U$1001,0),MATCH(COLUMNS($AB$1006:AK1006),$AB$1006:$AQ$1006,0)), HYPERLINK("#",""), HYPERLINK(CONCATENATE("#metadata!", ADDRESS(INDEX($W$2:$W$1001,MATCH(ROWS($U$2:U526),$U$2:$U$1001,0),0), INDEX($AB$1004:$AQ$1004,1,MATCH(COLUMNS($AB$1006:AK1006),$AB$1006:$AQ$1006,0)))),"Fix")))</f>
        <v>0</v>
      </c>
      <c r="L526" s="4">
        <f>IF(OR(INDEX($V$2:$V$1001,MATCH(ROWS($U$2:U526),$U$2:$U$1001,0),1)&gt;=100000,INDEX($AB$1005:$AQ$1005,1,MATCH(COLUMNS($AB$1006:AL1006),$AB$1006:$AQ$1006,0))&gt;=100000), " ",IF(INDEX($AB$2:$AQ$1001,MATCH(ROWS($U$2:U526),$U$2:$U$1001,0),MATCH(COLUMNS($AB$1006:AL1006),$AB$1006:$AQ$1006,0)), HYPERLINK("#",""), HYPERLINK(CONCATENATE("#metadata!", ADDRESS(INDEX($W$2:$W$1001,MATCH(ROWS($U$2:U526),$U$2:$U$1001,0),0), INDEX($AB$1004:$AQ$1004,1,MATCH(COLUMNS($AB$1006:AL1006),$AB$1006:$AQ$1006,0)))),"Fix")))</f>
        <v>0</v>
      </c>
      <c r="M526" s="4">
        <f>IF(OR(INDEX($V$2:$V$1001,MATCH(ROWS($U$2:U526),$U$2:$U$1001,0),1)&gt;=100000,INDEX($AB$1005:$AQ$1005,1,MATCH(COLUMNS($AB$1006:AM1006),$AB$1006:$AQ$1006,0))&gt;=100000), " ",IF(INDEX($AB$2:$AQ$1001,MATCH(ROWS($U$2:U526),$U$2:$U$1001,0),MATCH(COLUMNS($AB$1006:AM1006),$AB$1006:$AQ$1006,0)), HYPERLINK("#",""), HYPERLINK(CONCATENATE("#metadata!", ADDRESS(INDEX($W$2:$W$1001,MATCH(ROWS($U$2:U526),$U$2:$U$1001,0),0), INDEX($AB$1004:$AQ$1004,1,MATCH(COLUMNS($AB$1006:AM1006),$AB$1006:$AQ$1006,0)))),"Fix")))</f>
        <v>0</v>
      </c>
      <c r="N526" s="4">
        <f>IF(OR(INDEX($V$2:$V$1001,MATCH(ROWS($U$2:U526),$U$2:$U$1001,0),1)&gt;=100000,INDEX($AB$1005:$AQ$1005,1,MATCH(COLUMNS($AB$1006:AN1006),$AB$1006:$AQ$1006,0))&gt;=100000), " ",IF(INDEX($AB$2:$AQ$1001,MATCH(ROWS($U$2:U526),$U$2:$U$1001,0),MATCH(COLUMNS($AB$1006:AN1006),$AB$1006:$AQ$1006,0)), HYPERLINK("#",""), HYPERLINK(CONCATENATE("#metadata!", ADDRESS(INDEX($W$2:$W$1001,MATCH(ROWS($U$2:U526),$U$2:$U$1001,0),0), INDEX($AB$1004:$AQ$1004,1,MATCH(COLUMNS($AB$1006:AN1006),$AB$1006:$AQ$1006,0)))),"Fix")))</f>
        <v>0</v>
      </c>
      <c r="O526" s="4">
        <f>IF(OR(INDEX($V$2:$V$1001,MATCH(ROWS($U$2:U526),$U$2:$U$1001,0),1)&gt;=100000,INDEX($AB$1005:$AQ$1005,1,MATCH(COLUMNS($AB$1006:AO1006),$AB$1006:$AQ$1006,0))&gt;=100000), " ",IF(INDEX($AB$2:$AQ$1001,MATCH(ROWS($U$2:U526),$U$2:$U$1001,0),MATCH(COLUMNS($AB$1006:AO1006),$AB$1006:$AQ$1006,0)), HYPERLINK("#",""), HYPERLINK(CONCATENATE("#metadata!", ADDRESS(INDEX($W$2:$W$1001,MATCH(ROWS($U$2:U526),$U$2:$U$1001,0),0), INDEX($AB$1004:$AQ$1004,1,MATCH(COLUMNS($AB$1006:AO1006),$AB$1006:$AQ$1006,0)))),"Fix")))</f>
        <v>0</v>
      </c>
      <c r="P526" s="4">
        <f>IF(OR(INDEX($V$2:$V$1001,MATCH(ROWS($U$2:U526),$U$2:$U$1001,0),1)&gt;=100000,INDEX($AB$1005:$AQ$1005,1,MATCH(COLUMNS($AB$1006:AP1006),$AB$1006:$AQ$1006,0))&gt;=100000), " ",IF(INDEX($AB$2:$AQ$1001,MATCH(ROWS($U$2:U526),$U$2:$U$1001,0),MATCH(COLUMNS($AB$1006:AP1006),$AB$1006:$AQ$1006,0)), HYPERLINK("#",""), HYPERLINK(CONCATENATE("#metadata!", ADDRESS(INDEX($W$2:$W$1001,MATCH(ROWS($U$2:U526),$U$2:$U$1001,0),0), INDEX($AB$1004:$AQ$1004,1,MATCH(COLUMNS($AB$1006:AP1006),$AB$1006:$AQ$1006,0)))),"Fix")))</f>
        <v>0</v>
      </c>
      <c r="Q526" s="4">
        <f>IF(OR(INDEX($V$2:$V$1001,MATCH(ROWS($U$2:U526),$U$2:$U$1001,0),1)&gt;=100000,INDEX($AB$1005:$AQ$1005,1,MATCH(COLUMNS($AB$1006:AQ1006),$AB$1006:$AQ$1006,0))&gt;=100000), " ",IF(INDEX($AB$2:$AQ$1001,MATCH(ROWS($U$2:U526),$U$2:$U$1001,0),MATCH(COLUMNS($AB$1006:AQ1006),$AB$1006:$AQ$1006,0)), HYPERLINK("#",""), HYPERLINK(CONCATENATE("#metadata!", ADDRESS(INDEX($W$2:$W$1001,MATCH(ROWS($U$2:U526),$U$2:$U$1001,0),0), INDEX($AB$1004:$AQ$1004,1,MATCH(COLUMNS($AB$1006:AQ1006),$AB$1006:$AQ$1006,0)))),"Fix")))</f>
        <v>0</v>
      </c>
      <c r="U526">
        <v>0</v>
      </c>
      <c r="V526">
        <v>0</v>
      </c>
      <c r="W526">
        <v>0</v>
      </c>
      <c r="X526">
        <f>IF(Y526,TRUE,AND(AB526:AQ526))</f>
        <v>0</v>
      </c>
      <c r="Y526">
        <f>COUNTBLANK(metadata!B526:Q526)=COLUMNS(metadata!B526:Q526)</f>
        <v>0</v>
      </c>
      <c r="Z526">
        <v>0</v>
      </c>
      <c r="AB526">
        <f>AND(IF(metadata!B526="",FALSE,TRUE),COUNTIF(metadata!B:B, metadata!B526) = 1,NOT(ISERROR(SUMPRODUCT(SEARCH(MID(metadata!B526,ROW(INDIRECT("1:"&amp;LEN(metadata!B526))), 1),"0123456789abcdefghijklmnopqrstuvwxyzABCDEFGHIJKLMNOPQRSTUVWXYZ.")))))</f>
        <v>0</v>
      </c>
      <c r="AC526">
        <f>OR(AND(IF(metadata!C526="",FALSE,TRUE),OR(exact(metadata!C526,"missing: not collected"),exact(metadata!C526,"missing: not provided"),exact(metadata!C526,"missing: restricted access"))),AND(IF(metadata!C526="",FALSE,TRUE),AND(AND(IFERROR(INT(LEFT(metadata!C526,4))&gt;1900,FALSE),IFERROR(INT(LEFT(metadata!C526,4))&lt;=YEAR(NOW()),FALSE)), OR(MID(metadata!C526,5,1)="", AND(AND(MID(metadata!C526,5,1)="-",IFERROR(INT(MID(metadata!C526,6,1))&gt;=0,FALSE),IFERROR(INT(MID(metadata!C526,6,1))&lt;=1,FALSE),NOT(MID(metadata!C526,7,1)=""),IFERROR(INT(MID(metadata!C526,6,2))&gt;=1,FALSE),IFERROR(INT(MID(metadata!C526,6,2))&lt;=12,FALSE)), OR(MID(metadata!C526,8,1)="", AND(AND(MID(metadata!C526,8,1)="-",IFERROR(INT(MID(metadata!C526,9,1))&gt;=0,FALSE),IFERROR(INT(MID(metadata!C526,9,1))&lt;=3,FALSE),NOT(MID(metadata!C526,10,1)=""),IFERROR(INT(MID(metadata!C526,9,2))&gt;=1,FALSE),IFERROR(INT(MID(metadata!C526,9,2))&lt;=31,FALSE)), OR(MID(metadata!C526,11,1)="", AND(AND(MID(metadata!C526,11,1)=" ",IFERROR(INT(MID(metadata!C526,12,1))&gt;=0,FALSE),IFERROR(INT(MID(metadata!C526,12,1))&lt;=2,FALSE),NOT(MID(metadata!C526,13,1)=""),IFERROR(INT(MID(metadata!C526,12,2))&gt;=0,FALSE),IFERROR(INT(MID(metadata!C526,12,2))&lt;=23,FALSE)), OR(MID(metadata!C526,14,1)="", AND(AND(MID(metadata!C526,14,1)=":",IFERROR(INT(MID(metadata!C526,15,1))&gt;=0,FALSE),IFERROR(INT(MID(metadata!C526,15,1))&lt;=5,FALSE),NOT(MID(metadata!C526,16,1)=""),IFERROR(INT(MID(metadata!C526,15,2))&gt;=0,FALSE),IFERROR(INT(MID(metadata!C526,15,2))&lt;=59,FALSE)), OR(MID(metadata!C526,17,1)="", AND(AND(MID(metadata!C526,17,1)=":",IFERROR(INT(MID(metadata!C526,18,1))&gt;=0,FALSE),IFERROR(INT(MID(metadata!C526,18,1))&lt;=5,FALSE),NOT(MID(metadata!C526,19,1)=""),IFERROR(INT(MID(metadata!C526,18,2))&gt;=0,FALSE),IFERROR(INT(MID(metadata!C526,18,2))&lt;=59,FALSE)), LEN(metadata!C526)&lt;=19)))))))))))))</f>
        <v>0</v>
      </c>
      <c r="AD526">
        <f>IF(metadata!D526="",FALSE,TRUE)</f>
        <v>0</v>
      </c>
      <c r="AE526">
        <f>OR(AND(IF(metadata!E526="",FALSE,TRUE),OR(exact(metadata!E526,"missing: not collected"),exact(metadata!E526,"missing: not provided"))),AND(IF(metadata!E526="",FALSE,TRUE),OR(exact(metadata!E526,"TRUE"),exact(metadata!E526,"FALSE"))))</f>
        <v>0</v>
      </c>
      <c r="AF526">
        <f>IF(metadata!F526="",FALSE,TRUE)</f>
        <v>0</v>
      </c>
      <c r="AG526">
        <f>IF(metadata!G526="",FALSE,TRUE)</f>
        <v>0</v>
      </c>
      <c r="AH526">
        <f>IF(metadata!H526="",FALSE,TRUE)</f>
        <v>0</v>
      </c>
      <c r="AI526">
        <f>OR(AND(IF(metadata!I526="",FALSE,TRUE),OR(exact(metadata!I526,"missing: not collected"),exact(metadata!I526,"missing: not provided"),exact(metadata!I526,"missing: restricted access"))),AND(IF(metadata!I526="",FALSE,TRUE),OR(exact(metadata!I526,"air"),exact(metadata!I526,"built environment"),exact(metadata!I526,"host-associated"),exact(metadata!I526,"human-associated"),exact(metadata!I526,"human-skin"),exact(metadata!I526,"human-oral"),exact(metadata!I526,"human-gut"),exact(metadata!I526,"human-vaginal"),exact(metadata!I526,"microbial mat/biofilm"),exact(metadata!I526,"misc environment"),exact(metadata!I526,"plant-associated"),exact(metadata!I526,"sediment"),exact(metadata!I526,"soil"),exact(metadata!I526,"wastewater/sludge"),exact(metadata!I526,"water"))))</f>
        <v>0</v>
      </c>
      <c r="AJ526">
        <f>IF(metadata!J526="",FALSE,TRUE)</f>
        <v>0</v>
      </c>
      <c r="AK526">
        <f>OR(AND(IF(metadata!K526="",FALSE,TRUE),OR(exact(metadata!K526,"missing: not collected"),exact(metadata!K526,"missing: not provided"),exact(metadata!K526,"missing: restricted access"))),AND(IF(metadata!K526="",FALSE,ISNUMBER(VALUE(metadata!K526))),metadata!K526&gt;=-90.00,metadata!K526&lt;=90.00))</f>
        <v>0</v>
      </c>
      <c r="AL526">
        <f>OR(AND(IF(metadata!L526="",FALSE,TRUE),OR(exact(metadata!L526,"missing: not collected"),exact(metadata!L526,"missing: not provided"),exact(metadata!L526,"missing: restricted access"))),AND(IF(metadata!L526="",FALSE,ISNUMBER(VALUE(metadata!L526))),metadata!L526&gt;=-180.00,metadata!L526&lt;=180.00))</f>
        <v>0</v>
      </c>
      <c r="AM526">
        <f>IF(metadata!M526="",FALSE,TRUE)</f>
        <v>0</v>
      </c>
      <c r="AN526">
        <f>OR(AND(IF(metadata!N526="",FALSE,TRUE),OR(exact(metadata!N526,"missing: not collected"),exact(metadata!N526,"missing: not provided"),exact(metadata!N526,"missing: restricted access"))),AND(IF(metadata!N526="",FALSE,TRUE),OR(exact(metadata!N526,"TRUE"),exact(metadata!N526,"FALSE"))))</f>
        <v>0</v>
      </c>
      <c r="AO526">
        <f>IF(metadata!O526="",FALSE,TRUE)</f>
        <v>0</v>
      </c>
      <c r="AP526">
        <f>OR(AND(IF(metadata!P526="",FALSE,TRUE),OR(exact(metadata!P526,"missing: not collected"),exact(metadata!P526,"missing: not provided"))),AND(IF(metadata!P526="",FALSE,IF(ISERROR(INT(metadata!P526)),FALSE,INT(metadata!P526)=metadata!P526)),metadata!P526&gt;0))</f>
        <v>0</v>
      </c>
      <c r="AQ526">
        <f>IF(metadata!Q526="",FALSE,TRUE)</f>
        <v>0</v>
      </c>
    </row>
    <row r="527" spans="1:43">
      <c r="A527" s="5">
        <f>IF(B527=" "," ",HYPERLINK(CONCATENATE("#metadata!",ADDRESS(INDEX($W$2:$W$1001,MATCH(ROWS($U$2:U527),$U$2:$U$1001,0),0),1)),INDEX($Z$2:$Z$1001,MATCH(ROWS($U$2:U527),$U$2:$U$1001,0),0)))</f>
        <v>0</v>
      </c>
      <c r="B527" s="4">
        <f>IF(OR(INDEX($V$2:$V$1001,MATCH(ROWS($U$2:U527),$U$2:$U$1001,0),1)&gt;=100000,INDEX($AB$1005:$AQ$1005,1,MATCH(COLUMNS($AB$1006:AB1006),$AB$1006:$AQ$1006,0))&gt;=100000), " ",IF(INDEX($AB$2:$AQ$1001,MATCH(ROWS($U$2:U527),$U$2:$U$1001,0),MATCH(COLUMNS($AB$1006:AB1006),$AB$1006:$AQ$1006,0)), HYPERLINK("#",""), HYPERLINK(CONCATENATE("#metadata!", ADDRESS(INDEX($W$2:$W$1001,MATCH(ROWS($U$2:U527),$U$2:$U$1001,0),0), INDEX($AB$1004:$AQ$1004,1,MATCH(COLUMNS($AB$1006:AB1006),$AB$1006:$AQ$1006,0)))),"Fix")))</f>
        <v>0</v>
      </c>
      <c r="C527" s="4">
        <f>IF(OR(INDEX($V$2:$V$1001,MATCH(ROWS($U$2:U527),$U$2:$U$1001,0),1)&gt;=100000,INDEX($AB$1005:$AQ$1005,1,MATCH(COLUMNS($AB$1006:AC1006),$AB$1006:$AQ$1006,0))&gt;=100000), " ",IF(INDEX($AB$2:$AQ$1001,MATCH(ROWS($U$2:U527),$U$2:$U$1001,0),MATCH(COLUMNS($AB$1006:AC1006),$AB$1006:$AQ$1006,0)), HYPERLINK("#",""), HYPERLINK(CONCATENATE("#metadata!", ADDRESS(INDEX($W$2:$W$1001,MATCH(ROWS($U$2:U527),$U$2:$U$1001,0),0), INDEX($AB$1004:$AQ$1004,1,MATCH(COLUMNS($AB$1006:AC1006),$AB$1006:$AQ$1006,0)))),"Fix")))</f>
        <v>0</v>
      </c>
      <c r="D527" s="4">
        <f>IF(OR(INDEX($V$2:$V$1001,MATCH(ROWS($U$2:U527),$U$2:$U$1001,0),1)&gt;=100000,INDEX($AB$1005:$AQ$1005,1,MATCH(COLUMNS($AB$1006:AD1006),$AB$1006:$AQ$1006,0))&gt;=100000), " ",IF(INDEX($AB$2:$AQ$1001,MATCH(ROWS($U$2:U527),$U$2:$U$1001,0),MATCH(COLUMNS($AB$1006:AD1006),$AB$1006:$AQ$1006,0)), HYPERLINK("#",""), HYPERLINK(CONCATENATE("#metadata!", ADDRESS(INDEX($W$2:$W$1001,MATCH(ROWS($U$2:U527),$U$2:$U$1001,0),0), INDEX($AB$1004:$AQ$1004,1,MATCH(COLUMNS($AB$1006:AD1006),$AB$1006:$AQ$1006,0)))),"Fix")))</f>
        <v>0</v>
      </c>
      <c r="E527" s="4">
        <f>IF(OR(INDEX($V$2:$V$1001,MATCH(ROWS($U$2:U527),$U$2:$U$1001,0),1)&gt;=100000,INDEX($AB$1005:$AQ$1005,1,MATCH(COLUMNS($AB$1006:AE1006),$AB$1006:$AQ$1006,0))&gt;=100000), " ",IF(INDEX($AB$2:$AQ$1001,MATCH(ROWS($U$2:U527),$U$2:$U$1001,0),MATCH(COLUMNS($AB$1006:AE1006),$AB$1006:$AQ$1006,0)), HYPERLINK("#",""), HYPERLINK(CONCATENATE("#metadata!", ADDRESS(INDEX($W$2:$W$1001,MATCH(ROWS($U$2:U527),$U$2:$U$1001,0),0), INDEX($AB$1004:$AQ$1004,1,MATCH(COLUMNS($AB$1006:AE1006),$AB$1006:$AQ$1006,0)))),"Fix")))</f>
        <v>0</v>
      </c>
      <c r="F527" s="4">
        <f>IF(OR(INDEX($V$2:$V$1001,MATCH(ROWS($U$2:U527),$U$2:$U$1001,0),1)&gt;=100000,INDEX($AB$1005:$AQ$1005,1,MATCH(COLUMNS($AB$1006:AF1006),$AB$1006:$AQ$1006,0))&gt;=100000), " ",IF(INDEX($AB$2:$AQ$1001,MATCH(ROWS($U$2:U527),$U$2:$U$1001,0),MATCH(COLUMNS($AB$1006:AF1006),$AB$1006:$AQ$1006,0)), HYPERLINK("#",""), HYPERLINK(CONCATENATE("#metadata!", ADDRESS(INDEX($W$2:$W$1001,MATCH(ROWS($U$2:U527),$U$2:$U$1001,0),0), INDEX($AB$1004:$AQ$1004,1,MATCH(COLUMNS($AB$1006:AF1006),$AB$1006:$AQ$1006,0)))),"Fix")))</f>
        <v>0</v>
      </c>
      <c r="G527" s="4">
        <f>IF(OR(INDEX($V$2:$V$1001,MATCH(ROWS($U$2:U527),$U$2:$U$1001,0),1)&gt;=100000,INDEX($AB$1005:$AQ$1005,1,MATCH(COLUMNS($AB$1006:AG1006),$AB$1006:$AQ$1006,0))&gt;=100000), " ",IF(INDEX($AB$2:$AQ$1001,MATCH(ROWS($U$2:U527),$U$2:$U$1001,0),MATCH(COLUMNS($AB$1006:AG1006),$AB$1006:$AQ$1006,0)), HYPERLINK("#",""), HYPERLINK(CONCATENATE("#metadata!", ADDRESS(INDEX($W$2:$W$1001,MATCH(ROWS($U$2:U527),$U$2:$U$1001,0),0), INDEX($AB$1004:$AQ$1004,1,MATCH(COLUMNS($AB$1006:AG1006),$AB$1006:$AQ$1006,0)))),"Fix")))</f>
        <v>0</v>
      </c>
      <c r="H527" s="4">
        <f>IF(OR(INDEX($V$2:$V$1001,MATCH(ROWS($U$2:U527),$U$2:$U$1001,0),1)&gt;=100000,INDEX($AB$1005:$AQ$1005,1,MATCH(COLUMNS($AB$1006:AH1006),$AB$1006:$AQ$1006,0))&gt;=100000), " ",IF(INDEX($AB$2:$AQ$1001,MATCH(ROWS($U$2:U527),$U$2:$U$1001,0),MATCH(COLUMNS($AB$1006:AH1006),$AB$1006:$AQ$1006,0)), HYPERLINK("#",""), HYPERLINK(CONCATENATE("#metadata!", ADDRESS(INDEX($W$2:$W$1001,MATCH(ROWS($U$2:U527),$U$2:$U$1001,0),0), INDEX($AB$1004:$AQ$1004,1,MATCH(COLUMNS($AB$1006:AH1006),$AB$1006:$AQ$1006,0)))),"Fix")))</f>
        <v>0</v>
      </c>
      <c r="I527" s="4">
        <f>IF(OR(INDEX($V$2:$V$1001,MATCH(ROWS($U$2:U527),$U$2:$U$1001,0),1)&gt;=100000,INDEX($AB$1005:$AQ$1005,1,MATCH(COLUMNS($AB$1006:AI1006),$AB$1006:$AQ$1006,0))&gt;=100000), " ",IF(INDEX($AB$2:$AQ$1001,MATCH(ROWS($U$2:U527),$U$2:$U$1001,0),MATCH(COLUMNS($AB$1006:AI1006),$AB$1006:$AQ$1006,0)), HYPERLINK("#",""), HYPERLINK(CONCATENATE("#metadata!", ADDRESS(INDEX($W$2:$W$1001,MATCH(ROWS($U$2:U527),$U$2:$U$1001,0),0), INDEX($AB$1004:$AQ$1004,1,MATCH(COLUMNS($AB$1006:AI1006),$AB$1006:$AQ$1006,0)))),"Fix")))</f>
        <v>0</v>
      </c>
      <c r="J527" s="4">
        <f>IF(OR(INDEX($V$2:$V$1001,MATCH(ROWS($U$2:U527),$U$2:$U$1001,0),1)&gt;=100000,INDEX($AB$1005:$AQ$1005,1,MATCH(COLUMNS($AB$1006:AJ1006),$AB$1006:$AQ$1006,0))&gt;=100000), " ",IF(INDEX($AB$2:$AQ$1001,MATCH(ROWS($U$2:U527),$U$2:$U$1001,0),MATCH(COLUMNS($AB$1006:AJ1006),$AB$1006:$AQ$1006,0)), HYPERLINK("#",""), HYPERLINK(CONCATENATE("#metadata!", ADDRESS(INDEX($W$2:$W$1001,MATCH(ROWS($U$2:U527),$U$2:$U$1001,0),0), INDEX($AB$1004:$AQ$1004,1,MATCH(COLUMNS($AB$1006:AJ1006),$AB$1006:$AQ$1006,0)))),"Fix")))</f>
        <v>0</v>
      </c>
      <c r="K527" s="4">
        <f>IF(OR(INDEX($V$2:$V$1001,MATCH(ROWS($U$2:U527),$U$2:$U$1001,0),1)&gt;=100000,INDEX($AB$1005:$AQ$1005,1,MATCH(COLUMNS($AB$1006:AK1006),$AB$1006:$AQ$1006,0))&gt;=100000), " ",IF(INDEX($AB$2:$AQ$1001,MATCH(ROWS($U$2:U527),$U$2:$U$1001,0),MATCH(COLUMNS($AB$1006:AK1006),$AB$1006:$AQ$1006,0)), HYPERLINK("#",""), HYPERLINK(CONCATENATE("#metadata!", ADDRESS(INDEX($W$2:$W$1001,MATCH(ROWS($U$2:U527),$U$2:$U$1001,0),0), INDEX($AB$1004:$AQ$1004,1,MATCH(COLUMNS($AB$1006:AK1006),$AB$1006:$AQ$1006,0)))),"Fix")))</f>
        <v>0</v>
      </c>
      <c r="L527" s="4">
        <f>IF(OR(INDEX($V$2:$V$1001,MATCH(ROWS($U$2:U527),$U$2:$U$1001,0),1)&gt;=100000,INDEX($AB$1005:$AQ$1005,1,MATCH(COLUMNS($AB$1006:AL1006),$AB$1006:$AQ$1006,0))&gt;=100000), " ",IF(INDEX($AB$2:$AQ$1001,MATCH(ROWS($U$2:U527),$U$2:$U$1001,0),MATCH(COLUMNS($AB$1006:AL1006),$AB$1006:$AQ$1006,0)), HYPERLINK("#",""), HYPERLINK(CONCATENATE("#metadata!", ADDRESS(INDEX($W$2:$W$1001,MATCH(ROWS($U$2:U527),$U$2:$U$1001,0),0), INDEX($AB$1004:$AQ$1004,1,MATCH(COLUMNS($AB$1006:AL1006),$AB$1006:$AQ$1006,0)))),"Fix")))</f>
        <v>0</v>
      </c>
      <c r="M527" s="4">
        <f>IF(OR(INDEX($V$2:$V$1001,MATCH(ROWS($U$2:U527),$U$2:$U$1001,0),1)&gt;=100000,INDEX($AB$1005:$AQ$1005,1,MATCH(COLUMNS($AB$1006:AM1006),$AB$1006:$AQ$1006,0))&gt;=100000), " ",IF(INDEX($AB$2:$AQ$1001,MATCH(ROWS($U$2:U527),$U$2:$U$1001,0),MATCH(COLUMNS($AB$1006:AM1006),$AB$1006:$AQ$1006,0)), HYPERLINK("#",""), HYPERLINK(CONCATENATE("#metadata!", ADDRESS(INDEX($W$2:$W$1001,MATCH(ROWS($U$2:U527),$U$2:$U$1001,0),0), INDEX($AB$1004:$AQ$1004,1,MATCH(COLUMNS($AB$1006:AM1006),$AB$1006:$AQ$1006,0)))),"Fix")))</f>
        <v>0</v>
      </c>
      <c r="N527" s="4">
        <f>IF(OR(INDEX($V$2:$V$1001,MATCH(ROWS($U$2:U527),$U$2:$U$1001,0),1)&gt;=100000,INDEX($AB$1005:$AQ$1005,1,MATCH(COLUMNS($AB$1006:AN1006),$AB$1006:$AQ$1006,0))&gt;=100000), " ",IF(INDEX($AB$2:$AQ$1001,MATCH(ROWS($U$2:U527),$U$2:$U$1001,0),MATCH(COLUMNS($AB$1006:AN1006),$AB$1006:$AQ$1006,0)), HYPERLINK("#",""), HYPERLINK(CONCATENATE("#metadata!", ADDRESS(INDEX($W$2:$W$1001,MATCH(ROWS($U$2:U527),$U$2:$U$1001,0),0), INDEX($AB$1004:$AQ$1004,1,MATCH(COLUMNS($AB$1006:AN1006),$AB$1006:$AQ$1006,0)))),"Fix")))</f>
        <v>0</v>
      </c>
      <c r="O527" s="4">
        <f>IF(OR(INDEX($V$2:$V$1001,MATCH(ROWS($U$2:U527),$U$2:$U$1001,0),1)&gt;=100000,INDEX($AB$1005:$AQ$1005,1,MATCH(COLUMNS($AB$1006:AO1006),$AB$1006:$AQ$1006,0))&gt;=100000), " ",IF(INDEX($AB$2:$AQ$1001,MATCH(ROWS($U$2:U527),$U$2:$U$1001,0),MATCH(COLUMNS($AB$1006:AO1006),$AB$1006:$AQ$1006,0)), HYPERLINK("#",""), HYPERLINK(CONCATENATE("#metadata!", ADDRESS(INDEX($W$2:$W$1001,MATCH(ROWS($U$2:U527),$U$2:$U$1001,0),0), INDEX($AB$1004:$AQ$1004,1,MATCH(COLUMNS($AB$1006:AO1006),$AB$1006:$AQ$1006,0)))),"Fix")))</f>
        <v>0</v>
      </c>
      <c r="P527" s="4">
        <f>IF(OR(INDEX($V$2:$V$1001,MATCH(ROWS($U$2:U527),$U$2:$U$1001,0),1)&gt;=100000,INDEX($AB$1005:$AQ$1005,1,MATCH(COLUMNS($AB$1006:AP1006),$AB$1006:$AQ$1006,0))&gt;=100000), " ",IF(INDEX($AB$2:$AQ$1001,MATCH(ROWS($U$2:U527),$U$2:$U$1001,0),MATCH(COLUMNS($AB$1006:AP1006),$AB$1006:$AQ$1006,0)), HYPERLINK("#",""), HYPERLINK(CONCATENATE("#metadata!", ADDRESS(INDEX($W$2:$W$1001,MATCH(ROWS($U$2:U527),$U$2:$U$1001,0),0), INDEX($AB$1004:$AQ$1004,1,MATCH(COLUMNS($AB$1006:AP1006),$AB$1006:$AQ$1006,0)))),"Fix")))</f>
        <v>0</v>
      </c>
      <c r="Q527" s="4">
        <f>IF(OR(INDEX($V$2:$V$1001,MATCH(ROWS($U$2:U527),$U$2:$U$1001,0),1)&gt;=100000,INDEX($AB$1005:$AQ$1005,1,MATCH(COLUMNS($AB$1006:AQ1006),$AB$1006:$AQ$1006,0))&gt;=100000), " ",IF(INDEX($AB$2:$AQ$1001,MATCH(ROWS($U$2:U527),$U$2:$U$1001,0),MATCH(COLUMNS($AB$1006:AQ1006),$AB$1006:$AQ$1006,0)), HYPERLINK("#",""), HYPERLINK(CONCATENATE("#metadata!", ADDRESS(INDEX($W$2:$W$1001,MATCH(ROWS($U$2:U527),$U$2:$U$1001,0),0), INDEX($AB$1004:$AQ$1004,1,MATCH(COLUMNS($AB$1006:AQ1006),$AB$1006:$AQ$1006,0)))),"Fix")))</f>
        <v>0</v>
      </c>
      <c r="U527">
        <v>0</v>
      </c>
      <c r="V527">
        <v>0</v>
      </c>
      <c r="W527">
        <v>0</v>
      </c>
      <c r="X527">
        <f>IF(Y527,TRUE,AND(AB527:AQ527))</f>
        <v>0</v>
      </c>
      <c r="Y527">
        <f>COUNTBLANK(metadata!B527:Q527)=COLUMNS(metadata!B527:Q527)</f>
        <v>0</v>
      </c>
      <c r="Z527">
        <v>0</v>
      </c>
      <c r="AB527">
        <f>AND(IF(metadata!B527="",FALSE,TRUE),COUNTIF(metadata!B:B, metadata!B527) = 1,NOT(ISERROR(SUMPRODUCT(SEARCH(MID(metadata!B527,ROW(INDIRECT("1:"&amp;LEN(metadata!B527))), 1),"0123456789abcdefghijklmnopqrstuvwxyzABCDEFGHIJKLMNOPQRSTUVWXYZ.")))))</f>
        <v>0</v>
      </c>
      <c r="AC527">
        <f>OR(AND(IF(metadata!C527="",FALSE,TRUE),OR(exact(metadata!C527,"missing: not collected"),exact(metadata!C527,"missing: not provided"),exact(metadata!C527,"missing: restricted access"))),AND(IF(metadata!C527="",FALSE,TRUE),AND(AND(IFERROR(INT(LEFT(metadata!C527,4))&gt;1900,FALSE),IFERROR(INT(LEFT(metadata!C527,4))&lt;=YEAR(NOW()),FALSE)), OR(MID(metadata!C527,5,1)="", AND(AND(MID(metadata!C527,5,1)="-",IFERROR(INT(MID(metadata!C527,6,1))&gt;=0,FALSE),IFERROR(INT(MID(metadata!C527,6,1))&lt;=1,FALSE),NOT(MID(metadata!C527,7,1)=""),IFERROR(INT(MID(metadata!C527,6,2))&gt;=1,FALSE),IFERROR(INT(MID(metadata!C527,6,2))&lt;=12,FALSE)), OR(MID(metadata!C527,8,1)="", AND(AND(MID(metadata!C527,8,1)="-",IFERROR(INT(MID(metadata!C527,9,1))&gt;=0,FALSE),IFERROR(INT(MID(metadata!C527,9,1))&lt;=3,FALSE),NOT(MID(metadata!C527,10,1)=""),IFERROR(INT(MID(metadata!C527,9,2))&gt;=1,FALSE),IFERROR(INT(MID(metadata!C527,9,2))&lt;=31,FALSE)), OR(MID(metadata!C527,11,1)="", AND(AND(MID(metadata!C527,11,1)=" ",IFERROR(INT(MID(metadata!C527,12,1))&gt;=0,FALSE),IFERROR(INT(MID(metadata!C527,12,1))&lt;=2,FALSE),NOT(MID(metadata!C527,13,1)=""),IFERROR(INT(MID(metadata!C527,12,2))&gt;=0,FALSE),IFERROR(INT(MID(metadata!C527,12,2))&lt;=23,FALSE)), OR(MID(metadata!C527,14,1)="", AND(AND(MID(metadata!C527,14,1)=":",IFERROR(INT(MID(metadata!C527,15,1))&gt;=0,FALSE),IFERROR(INT(MID(metadata!C527,15,1))&lt;=5,FALSE),NOT(MID(metadata!C527,16,1)=""),IFERROR(INT(MID(metadata!C527,15,2))&gt;=0,FALSE),IFERROR(INT(MID(metadata!C527,15,2))&lt;=59,FALSE)), OR(MID(metadata!C527,17,1)="", AND(AND(MID(metadata!C527,17,1)=":",IFERROR(INT(MID(metadata!C527,18,1))&gt;=0,FALSE),IFERROR(INT(MID(metadata!C527,18,1))&lt;=5,FALSE),NOT(MID(metadata!C527,19,1)=""),IFERROR(INT(MID(metadata!C527,18,2))&gt;=0,FALSE),IFERROR(INT(MID(metadata!C527,18,2))&lt;=59,FALSE)), LEN(metadata!C527)&lt;=19)))))))))))))</f>
        <v>0</v>
      </c>
      <c r="AD527">
        <f>IF(metadata!D527="",FALSE,TRUE)</f>
        <v>0</v>
      </c>
      <c r="AE527">
        <f>OR(AND(IF(metadata!E527="",FALSE,TRUE),OR(exact(metadata!E527,"missing: not collected"),exact(metadata!E527,"missing: not provided"))),AND(IF(metadata!E527="",FALSE,TRUE),OR(exact(metadata!E527,"TRUE"),exact(metadata!E527,"FALSE"))))</f>
        <v>0</v>
      </c>
      <c r="AF527">
        <f>IF(metadata!F527="",FALSE,TRUE)</f>
        <v>0</v>
      </c>
      <c r="AG527">
        <f>IF(metadata!G527="",FALSE,TRUE)</f>
        <v>0</v>
      </c>
      <c r="AH527">
        <f>IF(metadata!H527="",FALSE,TRUE)</f>
        <v>0</v>
      </c>
      <c r="AI527">
        <f>OR(AND(IF(metadata!I527="",FALSE,TRUE),OR(exact(metadata!I527,"missing: not collected"),exact(metadata!I527,"missing: not provided"),exact(metadata!I527,"missing: restricted access"))),AND(IF(metadata!I527="",FALSE,TRUE),OR(exact(metadata!I527,"air"),exact(metadata!I527,"built environment"),exact(metadata!I527,"host-associated"),exact(metadata!I527,"human-associated"),exact(metadata!I527,"human-skin"),exact(metadata!I527,"human-oral"),exact(metadata!I527,"human-gut"),exact(metadata!I527,"human-vaginal"),exact(metadata!I527,"microbial mat/biofilm"),exact(metadata!I527,"misc environment"),exact(metadata!I527,"plant-associated"),exact(metadata!I527,"sediment"),exact(metadata!I527,"soil"),exact(metadata!I527,"wastewater/sludge"),exact(metadata!I527,"water"))))</f>
        <v>0</v>
      </c>
      <c r="AJ527">
        <f>IF(metadata!J527="",FALSE,TRUE)</f>
        <v>0</v>
      </c>
      <c r="AK527">
        <f>OR(AND(IF(metadata!K527="",FALSE,TRUE),OR(exact(metadata!K527,"missing: not collected"),exact(metadata!K527,"missing: not provided"),exact(metadata!K527,"missing: restricted access"))),AND(IF(metadata!K527="",FALSE,ISNUMBER(VALUE(metadata!K527))),metadata!K527&gt;=-90.00,metadata!K527&lt;=90.00))</f>
        <v>0</v>
      </c>
      <c r="AL527">
        <f>OR(AND(IF(metadata!L527="",FALSE,TRUE),OR(exact(metadata!L527,"missing: not collected"),exact(metadata!L527,"missing: not provided"),exact(metadata!L527,"missing: restricted access"))),AND(IF(metadata!L527="",FALSE,ISNUMBER(VALUE(metadata!L527))),metadata!L527&gt;=-180.00,metadata!L527&lt;=180.00))</f>
        <v>0</v>
      </c>
      <c r="AM527">
        <f>IF(metadata!M527="",FALSE,TRUE)</f>
        <v>0</v>
      </c>
      <c r="AN527">
        <f>OR(AND(IF(metadata!N527="",FALSE,TRUE),OR(exact(metadata!N527,"missing: not collected"),exact(metadata!N527,"missing: not provided"),exact(metadata!N527,"missing: restricted access"))),AND(IF(metadata!N527="",FALSE,TRUE),OR(exact(metadata!N527,"TRUE"),exact(metadata!N527,"FALSE"))))</f>
        <v>0</v>
      </c>
      <c r="AO527">
        <f>IF(metadata!O527="",FALSE,TRUE)</f>
        <v>0</v>
      </c>
      <c r="AP527">
        <f>OR(AND(IF(metadata!P527="",FALSE,TRUE),OR(exact(metadata!P527,"missing: not collected"),exact(metadata!P527,"missing: not provided"))),AND(IF(metadata!P527="",FALSE,IF(ISERROR(INT(metadata!P527)),FALSE,INT(metadata!P527)=metadata!P527)),metadata!P527&gt;0))</f>
        <v>0</v>
      </c>
      <c r="AQ527">
        <f>IF(metadata!Q527="",FALSE,TRUE)</f>
        <v>0</v>
      </c>
    </row>
    <row r="528" spans="1:43">
      <c r="A528" s="5">
        <f>IF(B528=" "," ",HYPERLINK(CONCATENATE("#metadata!",ADDRESS(INDEX($W$2:$W$1001,MATCH(ROWS($U$2:U528),$U$2:$U$1001,0),0),1)),INDEX($Z$2:$Z$1001,MATCH(ROWS($U$2:U528),$U$2:$U$1001,0),0)))</f>
        <v>0</v>
      </c>
      <c r="B528" s="4">
        <f>IF(OR(INDEX($V$2:$V$1001,MATCH(ROWS($U$2:U528),$U$2:$U$1001,0),1)&gt;=100000,INDEX($AB$1005:$AQ$1005,1,MATCH(COLUMNS($AB$1006:AB1006),$AB$1006:$AQ$1006,0))&gt;=100000), " ",IF(INDEX($AB$2:$AQ$1001,MATCH(ROWS($U$2:U528),$U$2:$U$1001,0),MATCH(COLUMNS($AB$1006:AB1006),$AB$1006:$AQ$1006,0)), HYPERLINK("#",""), HYPERLINK(CONCATENATE("#metadata!", ADDRESS(INDEX($W$2:$W$1001,MATCH(ROWS($U$2:U528),$U$2:$U$1001,0),0), INDEX($AB$1004:$AQ$1004,1,MATCH(COLUMNS($AB$1006:AB1006),$AB$1006:$AQ$1006,0)))),"Fix")))</f>
        <v>0</v>
      </c>
      <c r="C528" s="4">
        <f>IF(OR(INDEX($V$2:$V$1001,MATCH(ROWS($U$2:U528),$U$2:$U$1001,0),1)&gt;=100000,INDEX($AB$1005:$AQ$1005,1,MATCH(COLUMNS($AB$1006:AC1006),$AB$1006:$AQ$1006,0))&gt;=100000), " ",IF(INDEX($AB$2:$AQ$1001,MATCH(ROWS($U$2:U528),$U$2:$U$1001,0),MATCH(COLUMNS($AB$1006:AC1006),$AB$1006:$AQ$1006,0)), HYPERLINK("#",""), HYPERLINK(CONCATENATE("#metadata!", ADDRESS(INDEX($W$2:$W$1001,MATCH(ROWS($U$2:U528),$U$2:$U$1001,0),0), INDEX($AB$1004:$AQ$1004,1,MATCH(COLUMNS($AB$1006:AC1006),$AB$1006:$AQ$1006,0)))),"Fix")))</f>
        <v>0</v>
      </c>
      <c r="D528" s="4">
        <f>IF(OR(INDEX($V$2:$V$1001,MATCH(ROWS($U$2:U528),$U$2:$U$1001,0),1)&gt;=100000,INDEX($AB$1005:$AQ$1005,1,MATCH(COLUMNS($AB$1006:AD1006),$AB$1006:$AQ$1006,0))&gt;=100000), " ",IF(INDEX($AB$2:$AQ$1001,MATCH(ROWS($U$2:U528),$U$2:$U$1001,0),MATCH(COLUMNS($AB$1006:AD1006),$AB$1006:$AQ$1006,0)), HYPERLINK("#",""), HYPERLINK(CONCATENATE("#metadata!", ADDRESS(INDEX($W$2:$W$1001,MATCH(ROWS($U$2:U528),$U$2:$U$1001,0),0), INDEX($AB$1004:$AQ$1004,1,MATCH(COLUMNS($AB$1006:AD1006),$AB$1006:$AQ$1006,0)))),"Fix")))</f>
        <v>0</v>
      </c>
      <c r="E528" s="4">
        <f>IF(OR(INDEX($V$2:$V$1001,MATCH(ROWS($U$2:U528),$U$2:$U$1001,0),1)&gt;=100000,INDEX($AB$1005:$AQ$1005,1,MATCH(COLUMNS($AB$1006:AE1006),$AB$1006:$AQ$1006,0))&gt;=100000), " ",IF(INDEX($AB$2:$AQ$1001,MATCH(ROWS($U$2:U528),$U$2:$U$1001,0),MATCH(COLUMNS($AB$1006:AE1006),$AB$1006:$AQ$1006,0)), HYPERLINK("#",""), HYPERLINK(CONCATENATE("#metadata!", ADDRESS(INDEX($W$2:$W$1001,MATCH(ROWS($U$2:U528),$U$2:$U$1001,0),0), INDEX($AB$1004:$AQ$1004,1,MATCH(COLUMNS($AB$1006:AE1006),$AB$1006:$AQ$1006,0)))),"Fix")))</f>
        <v>0</v>
      </c>
      <c r="F528" s="4">
        <f>IF(OR(INDEX($V$2:$V$1001,MATCH(ROWS($U$2:U528),$U$2:$U$1001,0),1)&gt;=100000,INDEX($AB$1005:$AQ$1005,1,MATCH(COLUMNS($AB$1006:AF1006),$AB$1006:$AQ$1006,0))&gt;=100000), " ",IF(INDEX($AB$2:$AQ$1001,MATCH(ROWS($U$2:U528),$U$2:$U$1001,0),MATCH(COLUMNS($AB$1006:AF1006),$AB$1006:$AQ$1006,0)), HYPERLINK("#",""), HYPERLINK(CONCATENATE("#metadata!", ADDRESS(INDEX($W$2:$W$1001,MATCH(ROWS($U$2:U528),$U$2:$U$1001,0),0), INDEX($AB$1004:$AQ$1004,1,MATCH(COLUMNS($AB$1006:AF1006),$AB$1006:$AQ$1006,0)))),"Fix")))</f>
        <v>0</v>
      </c>
      <c r="G528" s="4">
        <f>IF(OR(INDEX($V$2:$V$1001,MATCH(ROWS($U$2:U528),$U$2:$U$1001,0),1)&gt;=100000,INDEX($AB$1005:$AQ$1005,1,MATCH(COLUMNS($AB$1006:AG1006),$AB$1006:$AQ$1006,0))&gt;=100000), " ",IF(INDEX($AB$2:$AQ$1001,MATCH(ROWS($U$2:U528),$U$2:$U$1001,0),MATCH(COLUMNS($AB$1006:AG1006),$AB$1006:$AQ$1006,0)), HYPERLINK("#",""), HYPERLINK(CONCATENATE("#metadata!", ADDRESS(INDEX($W$2:$W$1001,MATCH(ROWS($U$2:U528),$U$2:$U$1001,0),0), INDEX($AB$1004:$AQ$1004,1,MATCH(COLUMNS($AB$1006:AG1006),$AB$1006:$AQ$1006,0)))),"Fix")))</f>
        <v>0</v>
      </c>
      <c r="H528" s="4">
        <f>IF(OR(INDEX($V$2:$V$1001,MATCH(ROWS($U$2:U528),$U$2:$U$1001,0),1)&gt;=100000,INDEX($AB$1005:$AQ$1005,1,MATCH(COLUMNS($AB$1006:AH1006),$AB$1006:$AQ$1006,0))&gt;=100000), " ",IF(INDEX($AB$2:$AQ$1001,MATCH(ROWS($U$2:U528),$U$2:$U$1001,0),MATCH(COLUMNS($AB$1006:AH1006),$AB$1006:$AQ$1006,0)), HYPERLINK("#",""), HYPERLINK(CONCATENATE("#metadata!", ADDRESS(INDEX($W$2:$W$1001,MATCH(ROWS($U$2:U528),$U$2:$U$1001,0),0), INDEX($AB$1004:$AQ$1004,1,MATCH(COLUMNS($AB$1006:AH1006),$AB$1006:$AQ$1006,0)))),"Fix")))</f>
        <v>0</v>
      </c>
      <c r="I528" s="4">
        <f>IF(OR(INDEX($V$2:$V$1001,MATCH(ROWS($U$2:U528),$U$2:$U$1001,0),1)&gt;=100000,INDEX($AB$1005:$AQ$1005,1,MATCH(COLUMNS($AB$1006:AI1006),$AB$1006:$AQ$1006,0))&gt;=100000), " ",IF(INDEX($AB$2:$AQ$1001,MATCH(ROWS($U$2:U528),$U$2:$U$1001,0),MATCH(COLUMNS($AB$1006:AI1006),$AB$1006:$AQ$1006,0)), HYPERLINK("#",""), HYPERLINK(CONCATENATE("#metadata!", ADDRESS(INDEX($W$2:$W$1001,MATCH(ROWS($U$2:U528),$U$2:$U$1001,0),0), INDEX($AB$1004:$AQ$1004,1,MATCH(COLUMNS($AB$1006:AI1006),$AB$1006:$AQ$1006,0)))),"Fix")))</f>
        <v>0</v>
      </c>
      <c r="J528" s="4">
        <f>IF(OR(INDEX($V$2:$V$1001,MATCH(ROWS($U$2:U528),$U$2:$U$1001,0),1)&gt;=100000,INDEX($AB$1005:$AQ$1005,1,MATCH(COLUMNS($AB$1006:AJ1006),$AB$1006:$AQ$1006,0))&gt;=100000), " ",IF(INDEX($AB$2:$AQ$1001,MATCH(ROWS($U$2:U528),$U$2:$U$1001,0),MATCH(COLUMNS($AB$1006:AJ1006),$AB$1006:$AQ$1006,0)), HYPERLINK("#",""), HYPERLINK(CONCATENATE("#metadata!", ADDRESS(INDEX($W$2:$W$1001,MATCH(ROWS($U$2:U528),$U$2:$U$1001,0),0), INDEX($AB$1004:$AQ$1004,1,MATCH(COLUMNS($AB$1006:AJ1006),$AB$1006:$AQ$1006,0)))),"Fix")))</f>
        <v>0</v>
      </c>
      <c r="K528" s="4">
        <f>IF(OR(INDEX($V$2:$V$1001,MATCH(ROWS($U$2:U528),$U$2:$U$1001,0),1)&gt;=100000,INDEX($AB$1005:$AQ$1005,1,MATCH(COLUMNS($AB$1006:AK1006),$AB$1006:$AQ$1006,0))&gt;=100000), " ",IF(INDEX($AB$2:$AQ$1001,MATCH(ROWS($U$2:U528),$U$2:$U$1001,0),MATCH(COLUMNS($AB$1006:AK1006),$AB$1006:$AQ$1006,0)), HYPERLINK("#",""), HYPERLINK(CONCATENATE("#metadata!", ADDRESS(INDEX($W$2:$W$1001,MATCH(ROWS($U$2:U528),$U$2:$U$1001,0),0), INDEX($AB$1004:$AQ$1004,1,MATCH(COLUMNS($AB$1006:AK1006),$AB$1006:$AQ$1006,0)))),"Fix")))</f>
        <v>0</v>
      </c>
      <c r="L528" s="4">
        <f>IF(OR(INDEX($V$2:$V$1001,MATCH(ROWS($U$2:U528),$U$2:$U$1001,0),1)&gt;=100000,INDEX($AB$1005:$AQ$1005,1,MATCH(COLUMNS($AB$1006:AL1006),$AB$1006:$AQ$1006,0))&gt;=100000), " ",IF(INDEX($AB$2:$AQ$1001,MATCH(ROWS($U$2:U528),$U$2:$U$1001,0),MATCH(COLUMNS($AB$1006:AL1006),$AB$1006:$AQ$1006,0)), HYPERLINK("#",""), HYPERLINK(CONCATENATE("#metadata!", ADDRESS(INDEX($W$2:$W$1001,MATCH(ROWS($U$2:U528),$U$2:$U$1001,0),0), INDEX($AB$1004:$AQ$1004,1,MATCH(COLUMNS($AB$1006:AL1006),$AB$1006:$AQ$1006,0)))),"Fix")))</f>
        <v>0</v>
      </c>
      <c r="M528" s="4">
        <f>IF(OR(INDEX($V$2:$V$1001,MATCH(ROWS($U$2:U528),$U$2:$U$1001,0),1)&gt;=100000,INDEX($AB$1005:$AQ$1005,1,MATCH(COLUMNS($AB$1006:AM1006),$AB$1006:$AQ$1006,0))&gt;=100000), " ",IF(INDEX($AB$2:$AQ$1001,MATCH(ROWS($U$2:U528),$U$2:$U$1001,0),MATCH(COLUMNS($AB$1006:AM1006),$AB$1006:$AQ$1006,0)), HYPERLINK("#",""), HYPERLINK(CONCATENATE("#metadata!", ADDRESS(INDEX($W$2:$W$1001,MATCH(ROWS($U$2:U528),$U$2:$U$1001,0),0), INDEX($AB$1004:$AQ$1004,1,MATCH(COLUMNS($AB$1006:AM1006),$AB$1006:$AQ$1006,0)))),"Fix")))</f>
        <v>0</v>
      </c>
      <c r="N528" s="4">
        <f>IF(OR(INDEX($V$2:$V$1001,MATCH(ROWS($U$2:U528),$U$2:$U$1001,0),1)&gt;=100000,INDEX($AB$1005:$AQ$1005,1,MATCH(COLUMNS($AB$1006:AN1006),$AB$1006:$AQ$1006,0))&gt;=100000), " ",IF(INDEX($AB$2:$AQ$1001,MATCH(ROWS($U$2:U528),$U$2:$U$1001,0),MATCH(COLUMNS($AB$1006:AN1006),$AB$1006:$AQ$1006,0)), HYPERLINK("#",""), HYPERLINK(CONCATENATE("#metadata!", ADDRESS(INDEX($W$2:$W$1001,MATCH(ROWS($U$2:U528),$U$2:$U$1001,0),0), INDEX($AB$1004:$AQ$1004,1,MATCH(COLUMNS($AB$1006:AN1006),$AB$1006:$AQ$1006,0)))),"Fix")))</f>
        <v>0</v>
      </c>
      <c r="O528" s="4">
        <f>IF(OR(INDEX($V$2:$V$1001,MATCH(ROWS($U$2:U528),$U$2:$U$1001,0),1)&gt;=100000,INDEX($AB$1005:$AQ$1005,1,MATCH(COLUMNS($AB$1006:AO1006),$AB$1006:$AQ$1006,0))&gt;=100000), " ",IF(INDEX($AB$2:$AQ$1001,MATCH(ROWS($U$2:U528),$U$2:$U$1001,0),MATCH(COLUMNS($AB$1006:AO1006),$AB$1006:$AQ$1006,0)), HYPERLINK("#",""), HYPERLINK(CONCATENATE("#metadata!", ADDRESS(INDEX($W$2:$W$1001,MATCH(ROWS($U$2:U528),$U$2:$U$1001,0),0), INDEX($AB$1004:$AQ$1004,1,MATCH(COLUMNS($AB$1006:AO1006),$AB$1006:$AQ$1006,0)))),"Fix")))</f>
        <v>0</v>
      </c>
      <c r="P528" s="4">
        <f>IF(OR(INDEX($V$2:$V$1001,MATCH(ROWS($U$2:U528),$U$2:$U$1001,0),1)&gt;=100000,INDEX($AB$1005:$AQ$1005,1,MATCH(COLUMNS($AB$1006:AP1006),$AB$1006:$AQ$1006,0))&gt;=100000), " ",IF(INDEX($AB$2:$AQ$1001,MATCH(ROWS($U$2:U528),$U$2:$U$1001,0),MATCH(COLUMNS($AB$1006:AP1006),$AB$1006:$AQ$1006,0)), HYPERLINK("#",""), HYPERLINK(CONCATENATE("#metadata!", ADDRESS(INDEX($W$2:$W$1001,MATCH(ROWS($U$2:U528),$U$2:$U$1001,0),0), INDEX($AB$1004:$AQ$1004,1,MATCH(COLUMNS($AB$1006:AP1006),$AB$1006:$AQ$1006,0)))),"Fix")))</f>
        <v>0</v>
      </c>
      <c r="Q528" s="4">
        <f>IF(OR(INDEX($V$2:$V$1001,MATCH(ROWS($U$2:U528),$U$2:$U$1001,0),1)&gt;=100000,INDEX($AB$1005:$AQ$1005,1,MATCH(COLUMNS($AB$1006:AQ1006),$AB$1006:$AQ$1006,0))&gt;=100000), " ",IF(INDEX($AB$2:$AQ$1001,MATCH(ROWS($U$2:U528),$U$2:$U$1001,0),MATCH(COLUMNS($AB$1006:AQ1006),$AB$1006:$AQ$1006,0)), HYPERLINK("#",""), HYPERLINK(CONCATENATE("#metadata!", ADDRESS(INDEX($W$2:$W$1001,MATCH(ROWS($U$2:U528),$U$2:$U$1001,0),0), INDEX($AB$1004:$AQ$1004,1,MATCH(COLUMNS($AB$1006:AQ1006),$AB$1006:$AQ$1006,0)))),"Fix")))</f>
        <v>0</v>
      </c>
      <c r="U528">
        <v>0</v>
      </c>
      <c r="V528">
        <v>0</v>
      </c>
      <c r="W528">
        <v>0</v>
      </c>
      <c r="X528">
        <f>IF(Y528,TRUE,AND(AB528:AQ528))</f>
        <v>0</v>
      </c>
      <c r="Y528">
        <f>COUNTBLANK(metadata!B528:Q528)=COLUMNS(metadata!B528:Q528)</f>
        <v>0</v>
      </c>
      <c r="Z528">
        <v>0</v>
      </c>
      <c r="AB528">
        <f>AND(IF(metadata!B528="",FALSE,TRUE),COUNTIF(metadata!B:B, metadata!B528) = 1,NOT(ISERROR(SUMPRODUCT(SEARCH(MID(metadata!B528,ROW(INDIRECT("1:"&amp;LEN(metadata!B528))), 1),"0123456789abcdefghijklmnopqrstuvwxyzABCDEFGHIJKLMNOPQRSTUVWXYZ.")))))</f>
        <v>0</v>
      </c>
      <c r="AC528">
        <f>OR(AND(IF(metadata!C528="",FALSE,TRUE),OR(exact(metadata!C528,"missing: not collected"),exact(metadata!C528,"missing: not provided"),exact(metadata!C528,"missing: restricted access"))),AND(IF(metadata!C528="",FALSE,TRUE),AND(AND(IFERROR(INT(LEFT(metadata!C528,4))&gt;1900,FALSE),IFERROR(INT(LEFT(metadata!C528,4))&lt;=YEAR(NOW()),FALSE)), OR(MID(metadata!C528,5,1)="", AND(AND(MID(metadata!C528,5,1)="-",IFERROR(INT(MID(metadata!C528,6,1))&gt;=0,FALSE),IFERROR(INT(MID(metadata!C528,6,1))&lt;=1,FALSE),NOT(MID(metadata!C528,7,1)=""),IFERROR(INT(MID(metadata!C528,6,2))&gt;=1,FALSE),IFERROR(INT(MID(metadata!C528,6,2))&lt;=12,FALSE)), OR(MID(metadata!C528,8,1)="", AND(AND(MID(metadata!C528,8,1)="-",IFERROR(INT(MID(metadata!C528,9,1))&gt;=0,FALSE),IFERROR(INT(MID(metadata!C528,9,1))&lt;=3,FALSE),NOT(MID(metadata!C528,10,1)=""),IFERROR(INT(MID(metadata!C528,9,2))&gt;=1,FALSE),IFERROR(INT(MID(metadata!C528,9,2))&lt;=31,FALSE)), OR(MID(metadata!C528,11,1)="", AND(AND(MID(metadata!C528,11,1)=" ",IFERROR(INT(MID(metadata!C528,12,1))&gt;=0,FALSE),IFERROR(INT(MID(metadata!C528,12,1))&lt;=2,FALSE),NOT(MID(metadata!C528,13,1)=""),IFERROR(INT(MID(metadata!C528,12,2))&gt;=0,FALSE),IFERROR(INT(MID(metadata!C528,12,2))&lt;=23,FALSE)), OR(MID(metadata!C528,14,1)="", AND(AND(MID(metadata!C528,14,1)=":",IFERROR(INT(MID(metadata!C528,15,1))&gt;=0,FALSE),IFERROR(INT(MID(metadata!C528,15,1))&lt;=5,FALSE),NOT(MID(metadata!C528,16,1)=""),IFERROR(INT(MID(metadata!C528,15,2))&gt;=0,FALSE),IFERROR(INT(MID(metadata!C528,15,2))&lt;=59,FALSE)), OR(MID(metadata!C528,17,1)="", AND(AND(MID(metadata!C528,17,1)=":",IFERROR(INT(MID(metadata!C528,18,1))&gt;=0,FALSE),IFERROR(INT(MID(metadata!C528,18,1))&lt;=5,FALSE),NOT(MID(metadata!C528,19,1)=""),IFERROR(INT(MID(metadata!C528,18,2))&gt;=0,FALSE),IFERROR(INT(MID(metadata!C528,18,2))&lt;=59,FALSE)), LEN(metadata!C528)&lt;=19)))))))))))))</f>
        <v>0</v>
      </c>
      <c r="AD528">
        <f>IF(metadata!D528="",FALSE,TRUE)</f>
        <v>0</v>
      </c>
      <c r="AE528">
        <f>OR(AND(IF(metadata!E528="",FALSE,TRUE),OR(exact(metadata!E528,"missing: not collected"),exact(metadata!E528,"missing: not provided"))),AND(IF(metadata!E528="",FALSE,TRUE),OR(exact(metadata!E528,"TRUE"),exact(metadata!E528,"FALSE"))))</f>
        <v>0</v>
      </c>
      <c r="AF528">
        <f>IF(metadata!F528="",FALSE,TRUE)</f>
        <v>0</v>
      </c>
      <c r="AG528">
        <f>IF(metadata!G528="",FALSE,TRUE)</f>
        <v>0</v>
      </c>
      <c r="AH528">
        <f>IF(metadata!H528="",FALSE,TRUE)</f>
        <v>0</v>
      </c>
      <c r="AI528">
        <f>OR(AND(IF(metadata!I528="",FALSE,TRUE),OR(exact(metadata!I528,"missing: not collected"),exact(metadata!I528,"missing: not provided"),exact(metadata!I528,"missing: restricted access"))),AND(IF(metadata!I528="",FALSE,TRUE),OR(exact(metadata!I528,"air"),exact(metadata!I528,"built environment"),exact(metadata!I528,"host-associated"),exact(metadata!I528,"human-associated"),exact(metadata!I528,"human-skin"),exact(metadata!I528,"human-oral"),exact(metadata!I528,"human-gut"),exact(metadata!I528,"human-vaginal"),exact(metadata!I528,"microbial mat/biofilm"),exact(metadata!I528,"misc environment"),exact(metadata!I528,"plant-associated"),exact(metadata!I528,"sediment"),exact(metadata!I528,"soil"),exact(metadata!I528,"wastewater/sludge"),exact(metadata!I528,"water"))))</f>
        <v>0</v>
      </c>
      <c r="AJ528">
        <f>IF(metadata!J528="",FALSE,TRUE)</f>
        <v>0</v>
      </c>
      <c r="AK528">
        <f>OR(AND(IF(metadata!K528="",FALSE,TRUE),OR(exact(metadata!K528,"missing: not collected"),exact(metadata!K528,"missing: not provided"),exact(metadata!K528,"missing: restricted access"))),AND(IF(metadata!K528="",FALSE,ISNUMBER(VALUE(metadata!K528))),metadata!K528&gt;=-90.00,metadata!K528&lt;=90.00))</f>
        <v>0</v>
      </c>
      <c r="AL528">
        <f>OR(AND(IF(metadata!L528="",FALSE,TRUE),OR(exact(metadata!L528,"missing: not collected"),exact(metadata!L528,"missing: not provided"),exact(metadata!L528,"missing: restricted access"))),AND(IF(metadata!L528="",FALSE,ISNUMBER(VALUE(metadata!L528))),metadata!L528&gt;=-180.00,metadata!L528&lt;=180.00))</f>
        <v>0</v>
      </c>
      <c r="AM528">
        <f>IF(metadata!M528="",FALSE,TRUE)</f>
        <v>0</v>
      </c>
      <c r="AN528">
        <f>OR(AND(IF(metadata!N528="",FALSE,TRUE),OR(exact(metadata!N528,"missing: not collected"),exact(metadata!N528,"missing: not provided"),exact(metadata!N528,"missing: restricted access"))),AND(IF(metadata!N528="",FALSE,TRUE),OR(exact(metadata!N528,"TRUE"),exact(metadata!N528,"FALSE"))))</f>
        <v>0</v>
      </c>
      <c r="AO528">
        <f>IF(metadata!O528="",FALSE,TRUE)</f>
        <v>0</v>
      </c>
      <c r="AP528">
        <f>OR(AND(IF(metadata!P528="",FALSE,TRUE),OR(exact(metadata!P528,"missing: not collected"),exact(metadata!P528,"missing: not provided"))),AND(IF(metadata!P528="",FALSE,IF(ISERROR(INT(metadata!P528)),FALSE,INT(metadata!P528)=metadata!P528)),metadata!P528&gt;0))</f>
        <v>0</v>
      </c>
      <c r="AQ528">
        <f>IF(metadata!Q528="",FALSE,TRUE)</f>
        <v>0</v>
      </c>
    </row>
    <row r="529" spans="1:43">
      <c r="A529" s="5">
        <f>IF(B529=" "," ",HYPERLINK(CONCATENATE("#metadata!",ADDRESS(INDEX($W$2:$W$1001,MATCH(ROWS($U$2:U529),$U$2:$U$1001,0),0),1)),INDEX($Z$2:$Z$1001,MATCH(ROWS($U$2:U529),$U$2:$U$1001,0),0)))</f>
        <v>0</v>
      </c>
      <c r="B529" s="4">
        <f>IF(OR(INDEX($V$2:$V$1001,MATCH(ROWS($U$2:U529),$U$2:$U$1001,0),1)&gt;=100000,INDEX($AB$1005:$AQ$1005,1,MATCH(COLUMNS($AB$1006:AB1006),$AB$1006:$AQ$1006,0))&gt;=100000), " ",IF(INDEX($AB$2:$AQ$1001,MATCH(ROWS($U$2:U529),$U$2:$U$1001,0),MATCH(COLUMNS($AB$1006:AB1006),$AB$1006:$AQ$1006,0)), HYPERLINK("#",""), HYPERLINK(CONCATENATE("#metadata!", ADDRESS(INDEX($W$2:$W$1001,MATCH(ROWS($U$2:U529),$U$2:$U$1001,0),0), INDEX($AB$1004:$AQ$1004,1,MATCH(COLUMNS($AB$1006:AB1006),$AB$1006:$AQ$1006,0)))),"Fix")))</f>
        <v>0</v>
      </c>
      <c r="C529" s="4">
        <f>IF(OR(INDEX($V$2:$V$1001,MATCH(ROWS($U$2:U529),$U$2:$U$1001,0),1)&gt;=100000,INDEX($AB$1005:$AQ$1005,1,MATCH(COLUMNS($AB$1006:AC1006),$AB$1006:$AQ$1006,0))&gt;=100000), " ",IF(INDEX($AB$2:$AQ$1001,MATCH(ROWS($U$2:U529),$U$2:$U$1001,0),MATCH(COLUMNS($AB$1006:AC1006),$AB$1006:$AQ$1006,0)), HYPERLINK("#",""), HYPERLINK(CONCATENATE("#metadata!", ADDRESS(INDEX($W$2:$W$1001,MATCH(ROWS($U$2:U529),$U$2:$U$1001,0),0), INDEX($AB$1004:$AQ$1004,1,MATCH(COLUMNS($AB$1006:AC1006),$AB$1006:$AQ$1006,0)))),"Fix")))</f>
        <v>0</v>
      </c>
      <c r="D529" s="4">
        <f>IF(OR(INDEX($V$2:$V$1001,MATCH(ROWS($U$2:U529),$U$2:$U$1001,0),1)&gt;=100000,INDEX($AB$1005:$AQ$1005,1,MATCH(COLUMNS($AB$1006:AD1006),$AB$1006:$AQ$1006,0))&gt;=100000), " ",IF(INDEX($AB$2:$AQ$1001,MATCH(ROWS($U$2:U529),$U$2:$U$1001,0),MATCH(COLUMNS($AB$1006:AD1006),$AB$1006:$AQ$1006,0)), HYPERLINK("#",""), HYPERLINK(CONCATENATE("#metadata!", ADDRESS(INDEX($W$2:$W$1001,MATCH(ROWS($U$2:U529),$U$2:$U$1001,0),0), INDEX($AB$1004:$AQ$1004,1,MATCH(COLUMNS($AB$1006:AD1006),$AB$1006:$AQ$1006,0)))),"Fix")))</f>
        <v>0</v>
      </c>
      <c r="E529" s="4">
        <f>IF(OR(INDEX($V$2:$V$1001,MATCH(ROWS($U$2:U529),$U$2:$U$1001,0),1)&gt;=100000,INDEX($AB$1005:$AQ$1005,1,MATCH(COLUMNS($AB$1006:AE1006),$AB$1006:$AQ$1006,0))&gt;=100000), " ",IF(INDEX($AB$2:$AQ$1001,MATCH(ROWS($U$2:U529),$U$2:$U$1001,0),MATCH(COLUMNS($AB$1006:AE1006),$AB$1006:$AQ$1006,0)), HYPERLINK("#",""), HYPERLINK(CONCATENATE("#metadata!", ADDRESS(INDEX($W$2:$W$1001,MATCH(ROWS($U$2:U529),$U$2:$U$1001,0),0), INDEX($AB$1004:$AQ$1004,1,MATCH(COLUMNS($AB$1006:AE1006),$AB$1006:$AQ$1006,0)))),"Fix")))</f>
        <v>0</v>
      </c>
      <c r="F529" s="4">
        <f>IF(OR(INDEX($V$2:$V$1001,MATCH(ROWS($U$2:U529),$U$2:$U$1001,0),1)&gt;=100000,INDEX($AB$1005:$AQ$1005,1,MATCH(COLUMNS($AB$1006:AF1006),$AB$1006:$AQ$1006,0))&gt;=100000), " ",IF(INDEX($AB$2:$AQ$1001,MATCH(ROWS($U$2:U529),$U$2:$U$1001,0),MATCH(COLUMNS($AB$1006:AF1006),$AB$1006:$AQ$1006,0)), HYPERLINK("#",""), HYPERLINK(CONCATENATE("#metadata!", ADDRESS(INDEX($W$2:$W$1001,MATCH(ROWS($U$2:U529),$U$2:$U$1001,0),0), INDEX($AB$1004:$AQ$1004,1,MATCH(COLUMNS($AB$1006:AF1006),$AB$1006:$AQ$1006,0)))),"Fix")))</f>
        <v>0</v>
      </c>
      <c r="G529" s="4">
        <f>IF(OR(INDEX($V$2:$V$1001,MATCH(ROWS($U$2:U529),$U$2:$U$1001,0),1)&gt;=100000,INDEX($AB$1005:$AQ$1005,1,MATCH(COLUMNS($AB$1006:AG1006),$AB$1006:$AQ$1006,0))&gt;=100000), " ",IF(INDEX($AB$2:$AQ$1001,MATCH(ROWS($U$2:U529),$U$2:$U$1001,0),MATCH(COLUMNS($AB$1006:AG1006),$AB$1006:$AQ$1006,0)), HYPERLINK("#",""), HYPERLINK(CONCATENATE("#metadata!", ADDRESS(INDEX($W$2:$W$1001,MATCH(ROWS($U$2:U529),$U$2:$U$1001,0),0), INDEX($AB$1004:$AQ$1004,1,MATCH(COLUMNS($AB$1006:AG1006),$AB$1006:$AQ$1006,0)))),"Fix")))</f>
        <v>0</v>
      </c>
      <c r="H529" s="4">
        <f>IF(OR(INDEX($V$2:$V$1001,MATCH(ROWS($U$2:U529),$U$2:$U$1001,0),1)&gt;=100000,INDEX($AB$1005:$AQ$1005,1,MATCH(COLUMNS($AB$1006:AH1006),$AB$1006:$AQ$1006,0))&gt;=100000), " ",IF(INDEX($AB$2:$AQ$1001,MATCH(ROWS($U$2:U529),$U$2:$U$1001,0),MATCH(COLUMNS($AB$1006:AH1006),$AB$1006:$AQ$1006,0)), HYPERLINK("#",""), HYPERLINK(CONCATENATE("#metadata!", ADDRESS(INDEX($W$2:$W$1001,MATCH(ROWS($U$2:U529),$U$2:$U$1001,0),0), INDEX($AB$1004:$AQ$1004,1,MATCH(COLUMNS($AB$1006:AH1006),$AB$1006:$AQ$1006,0)))),"Fix")))</f>
        <v>0</v>
      </c>
      <c r="I529" s="4">
        <f>IF(OR(INDEX($V$2:$V$1001,MATCH(ROWS($U$2:U529),$U$2:$U$1001,0),1)&gt;=100000,INDEX($AB$1005:$AQ$1005,1,MATCH(COLUMNS($AB$1006:AI1006),$AB$1006:$AQ$1006,0))&gt;=100000), " ",IF(INDEX($AB$2:$AQ$1001,MATCH(ROWS($U$2:U529),$U$2:$U$1001,0),MATCH(COLUMNS($AB$1006:AI1006),$AB$1006:$AQ$1006,0)), HYPERLINK("#",""), HYPERLINK(CONCATENATE("#metadata!", ADDRESS(INDEX($W$2:$W$1001,MATCH(ROWS($U$2:U529),$U$2:$U$1001,0),0), INDEX($AB$1004:$AQ$1004,1,MATCH(COLUMNS($AB$1006:AI1006),$AB$1006:$AQ$1006,0)))),"Fix")))</f>
        <v>0</v>
      </c>
      <c r="J529" s="4">
        <f>IF(OR(INDEX($V$2:$V$1001,MATCH(ROWS($U$2:U529),$U$2:$U$1001,0),1)&gt;=100000,INDEX($AB$1005:$AQ$1005,1,MATCH(COLUMNS($AB$1006:AJ1006),$AB$1006:$AQ$1006,0))&gt;=100000), " ",IF(INDEX($AB$2:$AQ$1001,MATCH(ROWS($U$2:U529),$U$2:$U$1001,0),MATCH(COLUMNS($AB$1006:AJ1006),$AB$1006:$AQ$1006,0)), HYPERLINK("#",""), HYPERLINK(CONCATENATE("#metadata!", ADDRESS(INDEX($W$2:$W$1001,MATCH(ROWS($U$2:U529),$U$2:$U$1001,0),0), INDEX($AB$1004:$AQ$1004,1,MATCH(COLUMNS($AB$1006:AJ1006),$AB$1006:$AQ$1006,0)))),"Fix")))</f>
        <v>0</v>
      </c>
      <c r="K529" s="4">
        <f>IF(OR(INDEX($V$2:$V$1001,MATCH(ROWS($U$2:U529),$U$2:$U$1001,0),1)&gt;=100000,INDEX($AB$1005:$AQ$1005,1,MATCH(COLUMNS($AB$1006:AK1006),$AB$1006:$AQ$1006,0))&gt;=100000), " ",IF(INDEX($AB$2:$AQ$1001,MATCH(ROWS($U$2:U529),$U$2:$U$1001,0),MATCH(COLUMNS($AB$1006:AK1006),$AB$1006:$AQ$1006,0)), HYPERLINK("#",""), HYPERLINK(CONCATENATE("#metadata!", ADDRESS(INDEX($W$2:$W$1001,MATCH(ROWS($U$2:U529),$U$2:$U$1001,0),0), INDEX($AB$1004:$AQ$1004,1,MATCH(COLUMNS($AB$1006:AK1006),$AB$1006:$AQ$1006,0)))),"Fix")))</f>
        <v>0</v>
      </c>
      <c r="L529" s="4">
        <f>IF(OR(INDEX($V$2:$V$1001,MATCH(ROWS($U$2:U529),$U$2:$U$1001,0),1)&gt;=100000,INDEX($AB$1005:$AQ$1005,1,MATCH(COLUMNS($AB$1006:AL1006),$AB$1006:$AQ$1006,0))&gt;=100000), " ",IF(INDEX($AB$2:$AQ$1001,MATCH(ROWS($U$2:U529),$U$2:$U$1001,0),MATCH(COLUMNS($AB$1006:AL1006),$AB$1006:$AQ$1006,0)), HYPERLINK("#",""), HYPERLINK(CONCATENATE("#metadata!", ADDRESS(INDEX($W$2:$W$1001,MATCH(ROWS($U$2:U529),$U$2:$U$1001,0),0), INDEX($AB$1004:$AQ$1004,1,MATCH(COLUMNS($AB$1006:AL1006),$AB$1006:$AQ$1006,0)))),"Fix")))</f>
        <v>0</v>
      </c>
      <c r="M529" s="4">
        <f>IF(OR(INDEX($V$2:$V$1001,MATCH(ROWS($U$2:U529),$U$2:$U$1001,0),1)&gt;=100000,INDEX($AB$1005:$AQ$1005,1,MATCH(COLUMNS($AB$1006:AM1006),$AB$1006:$AQ$1006,0))&gt;=100000), " ",IF(INDEX($AB$2:$AQ$1001,MATCH(ROWS($U$2:U529),$U$2:$U$1001,0),MATCH(COLUMNS($AB$1006:AM1006),$AB$1006:$AQ$1006,0)), HYPERLINK("#",""), HYPERLINK(CONCATENATE("#metadata!", ADDRESS(INDEX($W$2:$W$1001,MATCH(ROWS($U$2:U529),$U$2:$U$1001,0),0), INDEX($AB$1004:$AQ$1004,1,MATCH(COLUMNS($AB$1006:AM1006),$AB$1006:$AQ$1006,0)))),"Fix")))</f>
        <v>0</v>
      </c>
      <c r="N529" s="4">
        <f>IF(OR(INDEX($V$2:$V$1001,MATCH(ROWS($U$2:U529),$U$2:$U$1001,0),1)&gt;=100000,INDEX($AB$1005:$AQ$1005,1,MATCH(COLUMNS($AB$1006:AN1006),$AB$1006:$AQ$1006,0))&gt;=100000), " ",IF(INDEX($AB$2:$AQ$1001,MATCH(ROWS($U$2:U529),$U$2:$U$1001,0),MATCH(COLUMNS($AB$1006:AN1006),$AB$1006:$AQ$1006,0)), HYPERLINK("#",""), HYPERLINK(CONCATENATE("#metadata!", ADDRESS(INDEX($W$2:$W$1001,MATCH(ROWS($U$2:U529),$U$2:$U$1001,0),0), INDEX($AB$1004:$AQ$1004,1,MATCH(COLUMNS($AB$1006:AN1006),$AB$1006:$AQ$1006,0)))),"Fix")))</f>
        <v>0</v>
      </c>
      <c r="O529" s="4">
        <f>IF(OR(INDEX($V$2:$V$1001,MATCH(ROWS($U$2:U529),$U$2:$U$1001,0),1)&gt;=100000,INDEX($AB$1005:$AQ$1005,1,MATCH(COLUMNS($AB$1006:AO1006),$AB$1006:$AQ$1006,0))&gt;=100000), " ",IF(INDEX($AB$2:$AQ$1001,MATCH(ROWS($U$2:U529),$U$2:$U$1001,0),MATCH(COLUMNS($AB$1006:AO1006),$AB$1006:$AQ$1006,0)), HYPERLINK("#",""), HYPERLINK(CONCATENATE("#metadata!", ADDRESS(INDEX($W$2:$W$1001,MATCH(ROWS($U$2:U529),$U$2:$U$1001,0),0), INDEX($AB$1004:$AQ$1004,1,MATCH(COLUMNS($AB$1006:AO1006),$AB$1006:$AQ$1006,0)))),"Fix")))</f>
        <v>0</v>
      </c>
      <c r="P529" s="4">
        <f>IF(OR(INDEX($V$2:$V$1001,MATCH(ROWS($U$2:U529),$U$2:$U$1001,0),1)&gt;=100000,INDEX($AB$1005:$AQ$1005,1,MATCH(COLUMNS($AB$1006:AP1006),$AB$1006:$AQ$1006,0))&gt;=100000), " ",IF(INDEX($AB$2:$AQ$1001,MATCH(ROWS($U$2:U529),$U$2:$U$1001,0),MATCH(COLUMNS($AB$1006:AP1006),$AB$1006:$AQ$1006,0)), HYPERLINK("#",""), HYPERLINK(CONCATENATE("#metadata!", ADDRESS(INDEX($W$2:$W$1001,MATCH(ROWS($U$2:U529),$U$2:$U$1001,0),0), INDEX($AB$1004:$AQ$1004,1,MATCH(COLUMNS($AB$1006:AP1006),$AB$1006:$AQ$1006,0)))),"Fix")))</f>
        <v>0</v>
      </c>
      <c r="Q529" s="4">
        <f>IF(OR(INDEX($V$2:$V$1001,MATCH(ROWS($U$2:U529),$U$2:$U$1001,0),1)&gt;=100000,INDEX($AB$1005:$AQ$1005,1,MATCH(COLUMNS($AB$1006:AQ1006),$AB$1006:$AQ$1006,0))&gt;=100000), " ",IF(INDEX($AB$2:$AQ$1001,MATCH(ROWS($U$2:U529),$U$2:$U$1001,0),MATCH(COLUMNS($AB$1006:AQ1006),$AB$1006:$AQ$1006,0)), HYPERLINK("#",""), HYPERLINK(CONCATENATE("#metadata!", ADDRESS(INDEX($W$2:$W$1001,MATCH(ROWS($U$2:U529),$U$2:$U$1001,0),0), INDEX($AB$1004:$AQ$1004,1,MATCH(COLUMNS($AB$1006:AQ1006),$AB$1006:$AQ$1006,0)))),"Fix")))</f>
        <v>0</v>
      </c>
      <c r="U529">
        <v>0</v>
      </c>
      <c r="V529">
        <v>0</v>
      </c>
      <c r="W529">
        <v>0</v>
      </c>
      <c r="X529">
        <f>IF(Y529,TRUE,AND(AB529:AQ529))</f>
        <v>0</v>
      </c>
      <c r="Y529">
        <f>COUNTBLANK(metadata!B529:Q529)=COLUMNS(metadata!B529:Q529)</f>
        <v>0</v>
      </c>
      <c r="Z529">
        <v>0</v>
      </c>
      <c r="AB529">
        <f>AND(IF(metadata!B529="",FALSE,TRUE),COUNTIF(metadata!B:B, metadata!B529) = 1,NOT(ISERROR(SUMPRODUCT(SEARCH(MID(metadata!B529,ROW(INDIRECT("1:"&amp;LEN(metadata!B529))), 1),"0123456789abcdefghijklmnopqrstuvwxyzABCDEFGHIJKLMNOPQRSTUVWXYZ.")))))</f>
        <v>0</v>
      </c>
      <c r="AC529">
        <f>OR(AND(IF(metadata!C529="",FALSE,TRUE),OR(exact(metadata!C529,"missing: not collected"),exact(metadata!C529,"missing: not provided"),exact(metadata!C529,"missing: restricted access"))),AND(IF(metadata!C529="",FALSE,TRUE),AND(AND(IFERROR(INT(LEFT(metadata!C529,4))&gt;1900,FALSE),IFERROR(INT(LEFT(metadata!C529,4))&lt;=YEAR(NOW()),FALSE)), OR(MID(metadata!C529,5,1)="", AND(AND(MID(metadata!C529,5,1)="-",IFERROR(INT(MID(metadata!C529,6,1))&gt;=0,FALSE),IFERROR(INT(MID(metadata!C529,6,1))&lt;=1,FALSE),NOT(MID(metadata!C529,7,1)=""),IFERROR(INT(MID(metadata!C529,6,2))&gt;=1,FALSE),IFERROR(INT(MID(metadata!C529,6,2))&lt;=12,FALSE)), OR(MID(metadata!C529,8,1)="", AND(AND(MID(metadata!C529,8,1)="-",IFERROR(INT(MID(metadata!C529,9,1))&gt;=0,FALSE),IFERROR(INT(MID(metadata!C529,9,1))&lt;=3,FALSE),NOT(MID(metadata!C529,10,1)=""),IFERROR(INT(MID(metadata!C529,9,2))&gt;=1,FALSE),IFERROR(INT(MID(metadata!C529,9,2))&lt;=31,FALSE)), OR(MID(metadata!C529,11,1)="", AND(AND(MID(metadata!C529,11,1)=" ",IFERROR(INT(MID(metadata!C529,12,1))&gt;=0,FALSE),IFERROR(INT(MID(metadata!C529,12,1))&lt;=2,FALSE),NOT(MID(metadata!C529,13,1)=""),IFERROR(INT(MID(metadata!C529,12,2))&gt;=0,FALSE),IFERROR(INT(MID(metadata!C529,12,2))&lt;=23,FALSE)), OR(MID(metadata!C529,14,1)="", AND(AND(MID(metadata!C529,14,1)=":",IFERROR(INT(MID(metadata!C529,15,1))&gt;=0,FALSE),IFERROR(INT(MID(metadata!C529,15,1))&lt;=5,FALSE),NOT(MID(metadata!C529,16,1)=""),IFERROR(INT(MID(metadata!C529,15,2))&gt;=0,FALSE),IFERROR(INT(MID(metadata!C529,15,2))&lt;=59,FALSE)), OR(MID(metadata!C529,17,1)="", AND(AND(MID(metadata!C529,17,1)=":",IFERROR(INT(MID(metadata!C529,18,1))&gt;=0,FALSE),IFERROR(INT(MID(metadata!C529,18,1))&lt;=5,FALSE),NOT(MID(metadata!C529,19,1)=""),IFERROR(INT(MID(metadata!C529,18,2))&gt;=0,FALSE),IFERROR(INT(MID(metadata!C529,18,2))&lt;=59,FALSE)), LEN(metadata!C529)&lt;=19)))))))))))))</f>
        <v>0</v>
      </c>
      <c r="AD529">
        <f>IF(metadata!D529="",FALSE,TRUE)</f>
        <v>0</v>
      </c>
      <c r="AE529">
        <f>OR(AND(IF(metadata!E529="",FALSE,TRUE),OR(exact(metadata!E529,"missing: not collected"),exact(metadata!E529,"missing: not provided"))),AND(IF(metadata!E529="",FALSE,TRUE),OR(exact(metadata!E529,"TRUE"),exact(metadata!E529,"FALSE"))))</f>
        <v>0</v>
      </c>
      <c r="AF529">
        <f>IF(metadata!F529="",FALSE,TRUE)</f>
        <v>0</v>
      </c>
      <c r="AG529">
        <f>IF(metadata!G529="",FALSE,TRUE)</f>
        <v>0</v>
      </c>
      <c r="AH529">
        <f>IF(metadata!H529="",FALSE,TRUE)</f>
        <v>0</v>
      </c>
      <c r="AI529">
        <f>OR(AND(IF(metadata!I529="",FALSE,TRUE),OR(exact(metadata!I529,"missing: not collected"),exact(metadata!I529,"missing: not provided"),exact(metadata!I529,"missing: restricted access"))),AND(IF(metadata!I529="",FALSE,TRUE),OR(exact(metadata!I529,"air"),exact(metadata!I529,"built environment"),exact(metadata!I529,"host-associated"),exact(metadata!I529,"human-associated"),exact(metadata!I529,"human-skin"),exact(metadata!I529,"human-oral"),exact(metadata!I529,"human-gut"),exact(metadata!I529,"human-vaginal"),exact(metadata!I529,"microbial mat/biofilm"),exact(metadata!I529,"misc environment"),exact(metadata!I529,"plant-associated"),exact(metadata!I529,"sediment"),exact(metadata!I529,"soil"),exact(metadata!I529,"wastewater/sludge"),exact(metadata!I529,"water"))))</f>
        <v>0</v>
      </c>
      <c r="AJ529">
        <f>IF(metadata!J529="",FALSE,TRUE)</f>
        <v>0</v>
      </c>
      <c r="AK529">
        <f>OR(AND(IF(metadata!K529="",FALSE,TRUE),OR(exact(metadata!K529,"missing: not collected"),exact(metadata!K529,"missing: not provided"),exact(metadata!K529,"missing: restricted access"))),AND(IF(metadata!K529="",FALSE,ISNUMBER(VALUE(metadata!K529))),metadata!K529&gt;=-90.00,metadata!K529&lt;=90.00))</f>
        <v>0</v>
      </c>
      <c r="AL529">
        <f>OR(AND(IF(metadata!L529="",FALSE,TRUE),OR(exact(metadata!L529,"missing: not collected"),exact(metadata!L529,"missing: not provided"),exact(metadata!L529,"missing: restricted access"))),AND(IF(metadata!L529="",FALSE,ISNUMBER(VALUE(metadata!L529))),metadata!L529&gt;=-180.00,metadata!L529&lt;=180.00))</f>
        <v>0</v>
      </c>
      <c r="AM529">
        <f>IF(metadata!M529="",FALSE,TRUE)</f>
        <v>0</v>
      </c>
      <c r="AN529">
        <f>OR(AND(IF(metadata!N529="",FALSE,TRUE),OR(exact(metadata!N529,"missing: not collected"),exact(metadata!N529,"missing: not provided"),exact(metadata!N529,"missing: restricted access"))),AND(IF(metadata!N529="",FALSE,TRUE),OR(exact(metadata!N529,"TRUE"),exact(metadata!N529,"FALSE"))))</f>
        <v>0</v>
      </c>
      <c r="AO529">
        <f>IF(metadata!O529="",FALSE,TRUE)</f>
        <v>0</v>
      </c>
      <c r="AP529">
        <f>OR(AND(IF(metadata!P529="",FALSE,TRUE),OR(exact(metadata!P529,"missing: not collected"),exact(metadata!P529,"missing: not provided"))),AND(IF(metadata!P529="",FALSE,IF(ISERROR(INT(metadata!P529)),FALSE,INT(metadata!P529)=metadata!P529)),metadata!P529&gt;0))</f>
        <v>0</v>
      </c>
      <c r="AQ529">
        <f>IF(metadata!Q529="",FALSE,TRUE)</f>
        <v>0</v>
      </c>
    </row>
    <row r="530" spans="1:43">
      <c r="A530" s="5">
        <f>IF(B530=" "," ",HYPERLINK(CONCATENATE("#metadata!",ADDRESS(INDEX($W$2:$W$1001,MATCH(ROWS($U$2:U530),$U$2:$U$1001,0),0),1)),INDEX($Z$2:$Z$1001,MATCH(ROWS($U$2:U530),$U$2:$U$1001,0),0)))</f>
        <v>0</v>
      </c>
      <c r="B530" s="4">
        <f>IF(OR(INDEX($V$2:$V$1001,MATCH(ROWS($U$2:U530),$U$2:$U$1001,0),1)&gt;=100000,INDEX($AB$1005:$AQ$1005,1,MATCH(COLUMNS($AB$1006:AB1006),$AB$1006:$AQ$1006,0))&gt;=100000), " ",IF(INDEX($AB$2:$AQ$1001,MATCH(ROWS($U$2:U530),$U$2:$U$1001,0),MATCH(COLUMNS($AB$1006:AB1006),$AB$1006:$AQ$1006,0)), HYPERLINK("#",""), HYPERLINK(CONCATENATE("#metadata!", ADDRESS(INDEX($W$2:$W$1001,MATCH(ROWS($U$2:U530),$U$2:$U$1001,0),0), INDEX($AB$1004:$AQ$1004,1,MATCH(COLUMNS($AB$1006:AB1006),$AB$1006:$AQ$1006,0)))),"Fix")))</f>
        <v>0</v>
      </c>
      <c r="C530" s="4">
        <f>IF(OR(INDEX($V$2:$V$1001,MATCH(ROWS($U$2:U530),$U$2:$U$1001,0),1)&gt;=100000,INDEX($AB$1005:$AQ$1005,1,MATCH(COLUMNS($AB$1006:AC1006),$AB$1006:$AQ$1006,0))&gt;=100000), " ",IF(INDEX($AB$2:$AQ$1001,MATCH(ROWS($U$2:U530),$U$2:$U$1001,0),MATCH(COLUMNS($AB$1006:AC1006),$AB$1006:$AQ$1006,0)), HYPERLINK("#",""), HYPERLINK(CONCATENATE("#metadata!", ADDRESS(INDEX($W$2:$W$1001,MATCH(ROWS($U$2:U530),$U$2:$U$1001,0),0), INDEX($AB$1004:$AQ$1004,1,MATCH(COLUMNS($AB$1006:AC1006),$AB$1006:$AQ$1006,0)))),"Fix")))</f>
        <v>0</v>
      </c>
      <c r="D530" s="4">
        <f>IF(OR(INDEX($V$2:$V$1001,MATCH(ROWS($U$2:U530),$U$2:$U$1001,0),1)&gt;=100000,INDEX($AB$1005:$AQ$1005,1,MATCH(COLUMNS($AB$1006:AD1006),$AB$1006:$AQ$1006,0))&gt;=100000), " ",IF(INDEX($AB$2:$AQ$1001,MATCH(ROWS($U$2:U530),$U$2:$U$1001,0),MATCH(COLUMNS($AB$1006:AD1006),$AB$1006:$AQ$1006,0)), HYPERLINK("#",""), HYPERLINK(CONCATENATE("#metadata!", ADDRESS(INDEX($W$2:$W$1001,MATCH(ROWS($U$2:U530),$U$2:$U$1001,0),0), INDEX($AB$1004:$AQ$1004,1,MATCH(COLUMNS($AB$1006:AD1006),$AB$1006:$AQ$1006,0)))),"Fix")))</f>
        <v>0</v>
      </c>
      <c r="E530" s="4">
        <f>IF(OR(INDEX($V$2:$V$1001,MATCH(ROWS($U$2:U530),$U$2:$U$1001,0),1)&gt;=100000,INDEX($AB$1005:$AQ$1005,1,MATCH(COLUMNS($AB$1006:AE1006),$AB$1006:$AQ$1006,0))&gt;=100000), " ",IF(INDEX($AB$2:$AQ$1001,MATCH(ROWS($U$2:U530),$U$2:$U$1001,0),MATCH(COLUMNS($AB$1006:AE1006),$AB$1006:$AQ$1006,0)), HYPERLINK("#",""), HYPERLINK(CONCATENATE("#metadata!", ADDRESS(INDEX($W$2:$W$1001,MATCH(ROWS($U$2:U530),$U$2:$U$1001,0),0), INDEX($AB$1004:$AQ$1004,1,MATCH(COLUMNS($AB$1006:AE1006),$AB$1006:$AQ$1006,0)))),"Fix")))</f>
        <v>0</v>
      </c>
      <c r="F530" s="4">
        <f>IF(OR(INDEX($V$2:$V$1001,MATCH(ROWS($U$2:U530),$U$2:$U$1001,0),1)&gt;=100000,INDEX($AB$1005:$AQ$1005,1,MATCH(COLUMNS($AB$1006:AF1006),$AB$1006:$AQ$1006,0))&gt;=100000), " ",IF(INDEX($AB$2:$AQ$1001,MATCH(ROWS($U$2:U530),$U$2:$U$1001,0),MATCH(COLUMNS($AB$1006:AF1006),$AB$1006:$AQ$1006,0)), HYPERLINK("#",""), HYPERLINK(CONCATENATE("#metadata!", ADDRESS(INDEX($W$2:$W$1001,MATCH(ROWS($U$2:U530),$U$2:$U$1001,0),0), INDEX($AB$1004:$AQ$1004,1,MATCH(COLUMNS($AB$1006:AF1006),$AB$1006:$AQ$1006,0)))),"Fix")))</f>
        <v>0</v>
      </c>
      <c r="G530" s="4">
        <f>IF(OR(INDEX($V$2:$V$1001,MATCH(ROWS($U$2:U530),$U$2:$U$1001,0),1)&gt;=100000,INDEX($AB$1005:$AQ$1005,1,MATCH(COLUMNS($AB$1006:AG1006),$AB$1006:$AQ$1006,0))&gt;=100000), " ",IF(INDEX($AB$2:$AQ$1001,MATCH(ROWS($U$2:U530),$U$2:$U$1001,0),MATCH(COLUMNS($AB$1006:AG1006),$AB$1006:$AQ$1006,0)), HYPERLINK("#",""), HYPERLINK(CONCATENATE("#metadata!", ADDRESS(INDEX($W$2:$W$1001,MATCH(ROWS($U$2:U530),$U$2:$U$1001,0),0), INDEX($AB$1004:$AQ$1004,1,MATCH(COLUMNS($AB$1006:AG1006),$AB$1006:$AQ$1006,0)))),"Fix")))</f>
        <v>0</v>
      </c>
      <c r="H530" s="4">
        <f>IF(OR(INDEX($V$2:$V$1001,MATCH(ROWS($U$2:U530),$U$2:$U$1001,0),1)&gt;=100000,INDEX($AB$1005:$AQ$1005,1,MATCH(COLUMNS($AB$1006:AH1006),$AB$1006:$AQ$1006,0))&gt;=100000), " ",IF(INDEX($AB$2:$AQ$1001,MATCH(ROWS($U$2:U530),$U$2:$U$1001,0),MATCH(COLUMNS($AB$1006:AH1006),$AB$1006:$AQ$1006,0)), HYPERLINK("#",""), HYPERLINK(CONCATENATE("#metadata!", ADDRESS(INDEX($W$2:$W$1001,MATCH(ROWS($U$2:U530),$U$2:$U$1001,0),0), INDEX($AB$1004:$AQ$1004,1,MATCH(COLUMNS($AB$1006:AH1006),$AB$1006:$AQ$1006,0)))),"Fix")))</f>
        <v>0</v>
      </c>
      <c r="I530" s="4">
        <f>IF(OR(INDEX($V$2:$V$1001,MATCH(ROWS($U$2:U530),$U$2:$U$1001,0),1)&gt;=100000,INDEX($AB$1005:$AQ$1005,1,MATCH(COLUMNS($AB$1006:AI1006),$AB$1006:$AQ$1006,0))&gt;=100000), " ",IF(INDEX($AB$2:$AQ$1001,MATCH(ROWS($U$2:U530),$U$2:$U$1001,0),MATCH(COLUMNS($AB$1006:AI1006),$AB$1006:$AQ$1006,0)), HYPERLINK("#",""), HYPERLINK(CONCATENATE("#metadata!", ADDRESS(INDEX($W$2:$W$1001,MATCH(ROWS($U$2:U530),$U$2:$U$1001,0),0), INDEX($AB$1004:$AQ$1004,1,MATCH(COLUMNS($AB$1006:AI1006),$AB$1006:$AQ$1006,0)))),"Fix")))</f>
        <v>0</v>
      </c>
      <c r="J530" s="4">
        <f>IF(OR(INDEX($V$2:$V$1001,MATCH(ROWS($U$2:U530),$U$2:$U$1001,0),1)&gt;=100000,INDEX($AB$1005:$AQ$1005,1,MATCH(COLUMNS($AB$1006:AJ1006),$AB$1006:$AQ$1006,0))&gt;=100000), " ",IF(INDEX($AB$2:$AQ$1001,MATCH(ROWS($U$2:U530),$U$2:$U$1001,0),MATCH(COLUMNS($AB$1006:AJ1006),$AB$1006:$AQ$1006,0)), HYPERLINK("#",""), HYPERLINK(CONCATENATE("#metadata!", ADDRESS(INDEX($W$2:$W$1001,MATCH(ROWS($U$2:U530),$U$2:$U$1001,0),0), INDEX($AB$1004:$AQ$1004,1,MATCH(COLUMNS($AB$1006:AJ1006),$AB$1006:$AQ$1006,0)))),"Fix")))</f>
        <v>0</v>
      </c>
      <c r="K530" s="4">
        <f>IF(OR(INDEX($V$2:$V$1001,MATCH(ROWS($U$2:U530),$U$2:$U$1001,0),1)&gt;=100000,INDEX($AB$1005:$AQ$1005,1,MATCH(COLUMNS($AB$1006:AK1006),$AB$1006:$AQ$1006,0))&gt;=100000), " ",IF(INDEX($AB$2:$AQ$1001,MATCH(ROWS($U$2:U530),$U$2:$U$1001,0),MATCH(COLUMNS($AB$1006:AK1006),$AB$1006:$AQ$1006,0)), HYPERLINK("#",""), HYPERLINK(CONCATENATE("#metadata!", ADDRESS(INDEX($W$2:$W$1001,MATCH(ROWS($U$2:U530),$U$2:$U$1001,0),0), INDEX($AB$1004:$AQ$1004,1,MATCH(COLUMNS($AB$1006:AK1006),$AB$1006:$AQ$1006,0)))),"Fix")))</f>
        <v>0</v>
      </c>
      <c r="L530" s="4">
        <f>IF(OR(INDEX($V$2:$V$1001,MATCH(ROWS($U$2:U530),$U$2:$U$1001,0),1)&gt;=100000,INDEX($AB$1005:$AQ$1005,1,MATCH(COLUMNS($AB$1006:AL1006),$AB$1006:$AQ$1006,0))&gt;=100000), " ",IF(INDEX($AB$2:$AQ$1001,MATCH(ROWS($U$2:U530),$U$2:$U$1001,0),MATCH(COLUMNS($AB$1006:AL1006),$AB$1006:$AQ$1006,0)), HYPERLINK("#",""), HYPERLINK(CONCATENATE("#metadata!", ADDRESS(INDEX($W$2:$W$1001,MATCH(ROWS($U$2:U530),$U$2:$U$1001,0),0), INDEX($AB$1004:$AQ$1004,1,MATCH(COLUMNS($AB$1006:AL1006),$AB$1006:$AQ$1006,0)))),"Fix")))</f>
        <v>0</v>
      </c>
      <c r="M530" s="4">
        <f>IF(OR(INDEX($V$2:$V$1001,MATCH(ROWS($U$2:U530),$U$2:$U$1001,0),1)&gt;=100000,INDEX($AB$1005:$AQ$1005,1,MATCH(COLUMNS($AB$1006:AM1006),$AB$1006:$AQ$1006,0))&gt;=100000), " ",IF(INDEX($AB$2:$AQ$1001,MATCH(ROWS($U$2:U530),$U$2:$U$1001,0),MATCH(COLUMNS($AB$1006:AM1006),$AB$1006:$AQ$1006,0)), HYPERLINK("#",""), HYPERLINK(CONCATENATE("#metadata!", ADDRESS(INDEX($W$2:$W$1001,MATCH(ROWS($U$2:U530),$U$2:$U$1001,0),0), INDEX($AB$1004:$AQ$1004,1,MATCH(COLUMNS($AB$1006:AM1006),$AB$1006:$AQ$1006,0)))),"Fix")))</f>
        <v>0</v>
      </c>
      <c r="N530" s="4">
        <f>IF(OR(INDEX($V$2:$V$1001,MATCH(ROWS($U$2:U530),$U$2:$U$1001,0),1)&gt;=100000,INDEX($AB$1005:$AQ$1005,1,MATCH(COLUMNS($AB$1006:AN1006),$AB$1006:$AQ$1006,0))&gt;=100000), " ",IF(INDEX($AB$2:$AQ$1001,MATCH(ROWS($U$2:U530),$U$2:$U$1001,0),MATCH(COLUMNS($AB$1006:AN1006),$AB$1006:$AQ$1006,0)), HYPERLINK("#",""), HYPERLINK(CONCATENATE("#metadata!", ADDRESS(INDEX($W$2:$W$1001,MATCH(ROWS($U$2:U530),$U$2:$U$1001,0),0), INDEX($AB$1004:$AQ$1004,1,MATCH(COLUMNS($AB$1006:AN1006),$AB$1006:$AQ$1006,0)))),"Fix")))</f>
        <v>0</v>
      </c>
      <c r="O530" s="4">
        <f>IF(OR(INDEX($V$2:$V$1001,MATCH(ROWS($U$2:U530),$U$2:$U$1001,0),1)&gt;=100000,INDEX($AB$1005:$AQ$1005,1,MATCH(COLUMNS($AB$1006:AO1006),$AB$1006:$AQ$1006,0))&gt;=100000), " ",IF(INDEX($AB$2:$AQ$1001,MATCH(ROWS($U$2:U530),$U$2:$U$1001,0),MATCH(COLUMNS($AB$1006:AO1006),$AB$1006:$AQ$1006,0)), HYPERLINK("#",""), HYPERLINK(CONCATENATE("#metadata!", ADDRESS(INDEX($W$2:$W$1001,MATCH(ROWS($U$2:U530),$U$2:$U$1001,0),0), INDEX($AB$1004:$AQ$1004,1,MATCH(COLUMNS($AB$1006:AO1006),$AB$1006:$AQ$1006,0)))),"Fix")))</f>
        <v>0</v>
      </c>
      <c r="P530" s="4">
        <f>IF(OR(INDEX($V$2:$V$1001,MATCH(ROWS($U$2:U530),$U$2:$U$1001,0),1)&gt;=100000,INDEX($AB$1005:$AQ$1005,1,MATCH(COLUMNS($AB$1006:AP1006),$AB$1006:$AQ$1006,0))&gt;=100000), " ",IF(INDEX($AB$2:$AQ$1001,MATCH(ROWS($U$2:U530),$U$2:$U$1001,0),MATCH(COLUMNS($AB$1006:AP1006),$AB$1006:$AQ$1006,0)), HYPERLINK("#",""), HYPERLINK(CONCATENATE("#metadata!", ADDRESS(INDEX($W$2:$W$1001,MATCH(ROWS($U$2:U530),$U$2:$U$1001,0),0), INDEX($AB$1004:$AQ$1004,1,MATCH(COLUMNS($AB$1006:AP1006),$AB$1006:$AQ$1006,0)))),"Fix")))</f>
        <v>0</v>
      </c>
      <c r="Q530" s="4">
        <f>IF(OR(INDEX($V$2:$V$1001,MATCH(ROWS($U$2:U530),$U$2:$U$1001,0),1)&gt;=100000,INDEX($AB$1005:$AQ$1005,1,MATCH(COLUMNS($AB$1006:AQ1006),$AB$1006:$AQ$1006,0))&gt;=100000), " ",IF(INDEX($AB$2:$AQ$1001,MATCH(ROWS($U$2:U530),$U$2:$U$1001,0),MATCH(COLUMNS($AB$1006:AQ1006),$AB$1006:$AQ$1006,0)), HYPERLINK("#",""), HYPERLINK(CONCATENATE("#metadata!", ADDRESS(INDEX($W$2:$W$1001,MATCH(ROWS($U$2:U530),$U$2:$U$1001,0),0), INDEX($AB$1004:$AQ$1004,1,MATCH(COLUMNS($AB$1006:AQ1006),$AB$1006:$AQ$1006,0)))),"Fix")))</f>
        <v>0</v>
      </c>
      <c r="U530">
        <v>0</v>
      </c>
      <c r="V530">
        <v>0</v>
      </c>
      <c r="W530">
        <v>0</v>
      </c>
      <c r="X530">
        <f>IF(Y530,TRUE,AND(AB530:AQ530))</f>
        <v>0</v>
      </c>
      <c r="Y530">
        <f>COUNTBLANK(metadata!B530:Q530)=COLUMNS(metadata!B530:Q530)</f>
        <v>0</v>
      </c>
      <c r="Z530">
        <v>0</v>
      </c>
      <c r="AB530">
        <f>AND(IF(metadata!B530="",FALSE,TRUE),COUNTIF(metadata!B:B, metadata!B530) = 1,NOT(ISERROR(SUMPRODUCT(SEARCH(MID(metadata!B530,ROW(INDIRECT("1:"&amp;LEN(metadata!B530))), 1),"0123456789abcdefghijklmnopqrstuvwxyzABCDEFGHIJKLMNOPQRSTUVWXYZ.")))))</f>
        <v>0</v>
      </c>
      <c r="AC530">
        <f>OR(AND(IF(metadata!C530="",FALSE,TRUE),OR(exact(metadata!C530,"missing: not collected"),exact(metadata!C530,"missing: not provided"),exact(metadata!C530,"missing: restricted access"))),AND(IF(metadata!C530="",FALSE,TRUE),AND(AND(IFERROR(INT(LEFT(metadata!C530,4))&gt;1900,FALSE),IFERROR(INT(LEFT(metadata!C530,4))&lt;=YEAR(NOW()),FALSE)), OR(MID(metadata!C530,5,1)="", AND(AND(MID(metadata!C530,5,1)="-",IFERROR(INT(MID(metadata!C530,6,1))&gt;=0,FALSE),IFERROR(INT(MID(metadata!C530,6,1))&lt;=1,FALSE),NOT(MID(metadata!C530,7,1)=""),IFERROR(INT(MID(metadata!C530,6,2))&gt;=1,FALSE),IFERROR(INT(MID(metadata!C530,6,2))&lt;=12,FALSE)), OR(MID(metadata!C530,8,1)="", AND(AND(MID(metadata!C530,8,1)="-",IFERROR(INT(MID(metadata!C530,9,1))&gt;=0,FALSE),IFERROR(INT(MID(metadata!C530,9,1))&lt;=3,FALSE),NOT(MID(metadata!C530,10,1)=""),IFERROR(INT(MID(metadata!C530,9,2))&gt;=1,FALSE),IFERROR(INT(MID(metadata!C530,9,2))&lt;=31,FALSE)), OR(MID(metadata!C530,11,1)="", AND(AND(MID(metadata!C530,11,1)=" ",IFERROR(INT(MID(metadata!C530,12,1))&gt;=0,FALSE),IFERROR(INT(MID(metadata!C530,12,1))&lt;=2,FALSE),NOT(MID(metadata!C530,13,1)=""),IFERROR(INT(MID(metadata!C530,12,2))&gt;=0,FALSE),IFERROR(INT(MID(metadata!C530,12,2))&lt;=23,FALSE)), OR(MID(metadata!C530,14,1)="", AND(AND(MID(metadata!C530,14,1)=":",IFERROR(INT(MID(metadata!C530,15,1))&gt;=0,FALSE),IFERROR(INT(MID(metadata!C530,15,1))&lt;=5,FALSE),NOT(MID(metadata!C530,16,1)=""),IFERROR(INT(MID(metadata!C530,15,2))&gt;=0,FALSE),IFERROR(INT(MID(metadata!C530,15,2))&lt;=59,FALSE)), OR(MID(metadata!C530,17,1)="", AND(AND(MID(metadata!C530,17,1)=":",IFERROR(INT(MID(metadata!C530,18,1))&gt;=0,FALSE),IFERROR(INT(MID(metadata!C530,18,1))&lt;=5,FALSE),NOT(MID(metadata!C530,19,1)=""),IFERROR(INT(MID(metadata!C530,18,2))&gt;=0,FALSE),IFERROR(INT(MID(metadata!C530,18,2))&lt;=59,FALSE)), LEN(metadata!C530)&lt;=19)))))))))))))</f>
        <v>0</v>
      </c>
      <c r="AD530">
        <f>IF(metadata!D530="",FALSE,TRUE)</f>
        <v>0</v>
      </c>
      <c r="AE530">
        <f>OR(AND(IF(metadata!E530="",FALSE,TRUE),OR(exact(metadata!E530,"missing: not collected"),exact(metadata!E530,"missing: not provided"))),AND(IF(metadata!E530="",FALSE,TRUE),OR(exact(metadata!E530,"TRUE"),exact(metadata!E530,"FALSE"))))</f>
        <v>0</v>
      </c>
      <c r="AF530">
        <f>IF(metadata!F530="",FALSE,TRUE)</f>
        <v>0</v>
      </c>
      <c r="AG530">
        <f>IF(metadata!G530="",FALSE,TRUE)</f>
        <v>0</v>
      </c>
      <c r="AH530">
        <f>IF(metadata!H530="",FALSE,TRUE)</f>
        <v>0</v>
      </c>
      <c r="AI530">
        <f>OR(AND(IF(metadata!I530="",FALSE,TRUE),OR(exact(metadata!I530,"missing: not collected"),exact(metadata!I530,"missing: not provided"),exact(metadata!I530,"missing: restricted access"))),AND(IF(metadata!I530="",FALSE,TRUE),OR(exact(metadata!I530,"air"),exact(metadata!I530,"built environment"),exact(metadata!I530,"host-associated"),exact(metadata!I530,"human-associated"),exact(metadata!I530,"human-skin"),exact(metadata!I530,"human-oral"),exact(metadata!I530,"human-gut"),exact(metadata!I530,"human-vaginal"),exact(metadata!I530,"microbial mat/biofilm"),exact(metadata!I530,"misc environment"),exact(metadata!I530,"plant-associated"),exact(metadata!I530,"sediment"),exact(metadata!I530,"soil"),exact(metadata!I530,"wastewater/sludge"),exact(metadata!I530,"water"))))</f>
        <v>0</v>
      </c>
      <c r="AJ530">
        <f>IF(metadata!J530="",FALSE,TRUE)</f>
        <v>0</v>
      </c>
      <c r="AK530">
        <f>OR(AND(IF(metadata!K530="",FALSE,TRUE),OR(exact(metadata!K530,"missing: not collected"),exact(metadata!K530,"missing: not provided"),exact(metadata!K530,"missing: restricted access"))),AND(IF(metadata!K530="",FALSE,ISNUMBER(VALUE(metadata!K530))),metadata!K530&gt;=-90.00,metadata!K530&lt;=90.00))</f>
        <v>0</v>
      </c>
      <c r="AL530">
        <f>OR(AND(IF(metadata!L530="",FALSE,TRUE),OR(exact(metadata!L530,"missing: not collected"),exact(metadata!L530,"missing: not provided"),exact(metadata!L530,"missing: restricted access"))),AND(IF(metadata!L530="",FALSE,ISNUMBER(VALUE(metadata!L530))),metadata!L530&gt;=-180.00,metadata!L530&lt;=180.00))</f>
        <v>0</v>
      </c>
      <c r="AM530">
        <f>IF(metadata!M530="",FALSE,TRUE)</f>
        <v>0</v>
      </c>
      <c r="AN530">
        <f>OR(AND(IF(metadata!N530="",FALSE,TRUE),OR(exact(metadata!N530,"missing: not collected"),exact(metadata!N530,"missing: not provided"),exact(metadata!N530,"missing: restricted access"))),AND(IF(metadata!N530="",FALSE,TRUE),OR(exact(metadata!N530,"TRUE"),exact(metadata!N530,"FALSE"))))</f>
        <v>0</v>
      </c>
      <c r="AO530">
        <f>IF(metadata!O530="",FALSE,TRUE)</f>
        <v>0</v>
      </c>
      <c r="AP530">
        <f>OR(AND(IF(metadata!P530="",FALSE,TRUE),OR(exact(metadata!P530,"missing: not collected"),exact(metadata!P530,"missing: not provided"))),AND(IF(metadata!P530="",FALSE,IF(ISERROR(INT(metadata!P530)),FALSE,INT(metadata!P530)=metadata!P530)),metadata!P530&gt;0))</f>
        <v>0</v>
      </c>
      <c r="AQ530">
        <f>IF(metadata!Q530="",FALSE,TRUE)</f>
        <v>0</v>
      </c>
    </row>
    <row r="531" spans="1:43">
      <c r="A531" s="5">
        <f>IF(B531=" "," ",HYPERLINK(CONCATENATE("#metadata!",ADDRESS(INDEX($W$2:$W$1001,MATCH(ROWS($U$2:U531),$U$2:$U$1001,0),0),1)),INDEX($Z$2:$Z$1001,MATCH(ROWS($U$2:U531),$U$2:$U$1001,0),0)))</f>
        <v>0</v>
      </c>
      <c r="B531" s="4">
        <f>IF(OR(INDEX($V$2:$V$1001,MATCH(ROWS($U$2:U531),$U$2:$U$1001,0),1)&gt;=100000,INDEX($AB$1005:$AQ$1005,1,MATCH(COLUMNS($AB$1006:AB1006),$AB$1006:$AQ$1006,0))&gt;=100000), " ",IF(INDEX($AB$2:$AQ$1001,MATCH(ROWS($U$2:U531),$U$2:$U$1001,0),MATCH(COLUMNS($AB$1006:AB1006),$AB$1006:$AQ$1006,0)), HYPERLINK("#",""), HYPERLINK(CONCATENATE("#metadata!", ADDRESS(INDEX($W$2:$W$1001,MATCH(ROWS($U$2:U531),$U$2:$U$1001,0),0), INDEX($AB$1004:$AQ$1004,1,MATCH(COLUMNS($AB$1006:AB1006),$AB$1006:$AQ$1006,0)))),"Fix")))</f>
        <v>0</v>
      </c>
      <c r="C531" s="4">
        <f>IF(OR(INDEX($V$2:$V$1001,MATCH(ROWS($U$2:U531),$U$2:$U$1001,0),1)&gt;=100000,INDEX($AB$1005:$AQ$1005,1,MATCH(COLUMNS($AB$1006:AC1006),$AB$1006:$AQ$1006,0))&gt;=100000), " ",IF(INDEX($AB$2:$AQ$1001,MATCH(ROWS($U$2:U531),$U$2:$U$1001,0),MATCH(COLUMNS($AB$1006:AC1006),$AB$1006:$AQ$1006,0)), HYPERLINK("#",""), HYPERLINK(CONCATENATE("#metadata!", ADDRESS(INDEX($W$2:$W$1001,MATCH(ROWS($U$2:U531),$U$2:$U$1001,0),0), INDEX($AB$1004:$AQ$1004,1,MATCH(COLUMNS($AB$1006:AC1006),$AB$1006:$AQ$1006,0)))),"Fix")))</f>
        <v>0</v>
      </c>
      <c r="D531" s="4">
        <f>IF(OR(INDEX($V$2:$V$1001,MATCH(ROWS($U$2:U531),$U$2:$U$1001,0),1)&gt;=100000,INDEX($AB$1005:$AQ$1005,1,MATCH(COLUMNS($AB$1006:AD1006),$AB$1006:$AQ$1006,0))&gt;=100000), " ",IF(INDEX($AB$2:$AQ$1001,MATCH(ROWS($U$2:U531),$U$2:$U$1001,0),MATCH(COLUMNS($AB$1006:AD1006),$AB$1006:$AQ$1006,0)), HYPERLINK("#",""), HYPERLINK(CONCATENATE("#metadata!", ADDRESS(INDEX($W$2:$W$1001,MATCH(ROWS($U$2:U531),$U$2:$U$1001,0),0), INDEX($AB$1004:$AQ$1004,1,MATCH(COLUMNS($AB$1006:AD1006),$AB$1006:$AQ$1006,0)))),"Fix")))</f>
        <v>0</v>
      </c>
      <c r="E531" s="4">
        <f>IF(OR(INDEX($V$2:$V$1001,MATCH(ROWS($U$2:U531),$U$2:$U$1001,0),1)&gt;=100000,INDEX($AB$1005:$AQ$1005,1,MATCH(COLUMNS($AB$1006:AE1006),$AB$1006:$AQ$1006,0))&gt;=100000), " ",IF(INDEX($AB$2:$AQ$1001,MATCH(ROWS($U$2:U531),$U$2:$U$1001,0),MATCH(COLUMNS($AB$1006:AE1006),$AB$1006:$AQ$1006,0)), HYPERLINK("#",""), HYPERLINK(CONCATENATE("#metadata!", ADDRESS(INDEX($W$2:$W$1001,MATCH(ROWS($U$2:U531),$U$2:$U$1001,0),0), INDEX($AB$1004:$AQ$1004,1,MATCH(COLUMNS($AB$1006:AE1006),$AB$1006:$AQ$1006,0)))),"Fix")))</f>
        <v>0</v>
      </c>
      <c r="F531" s="4">
        <f>IF(OR(INDEX($V$2:$V$1001,MATCH(ROWS($U$2:U531),$U$2:$U$1001,0),1)&gt;=100000,INDEX($AB$1005:$AQ$1005,1,MATCH(COLUMNS($AB$1006:AF1006),$AB$1006:$AQ$1006,0))&gt;=100000), " ",IF(INDEX($AB$2:$AQ$1001,MATCH(ROWS($U$2:U531),$U$2:$U$1001,0),MATCH(COLUMNS($AB$1006:AF1006),$AB$1006:$AQ$1006,0)), HYPERLINK("#",""), HYPERLINK(CONCATENATE("#metadata!", ADDRESS(INDEX($W$2:$W$1001,MATCH(ROWS($U$2:U531),$U$2:$U$1001,0),0), INDEX($AB$1004:$AQ$1004,1,MATCH(COLUMNS($AB$1006:AF1006),$AB$1006:$AQ$1006,0)))),"Fix")))</f>
        <v>0</v>
      </c>
      <c r="G531" s="4">
        <f>IF(OR(INDEX($V$2:$V$1001,MATCH(ROWS($U$2:U531),$U$2:$U$1001,0),1)&gt;=100000,INDEX($AB$1005:$AQ$1005,1,MATCH(COLUMNS($AB$1006:AG1006),$AB$1006:$AQ$1006,0))&gt;=100000), " ",IF(INDEX($AB$2:$AQ$1001,MATCH(ROWS($U$2:U531),$U$2:$U$1001,0),MATCH(COLUMNS($AB$1006:AG1006),$AB$1006:$AQ$1006,0)), HYPERLINK("#",""), HYPERLINK(CONCATENATE("#metadata!", ADDRESS(INDEX($W$2:$W$1001,MATCH(ROWS($U$2:U531),$U$2:$U$1001,0),0), INDEX($AB$1004:$AQ$1004,1,MATCH(COLUMNS($AB$1006:AG1006),$AB$1006:$AQ$1006,0)))),"Fix")))</f>
        <v>0</v>
      </c>
      <c r="H531" s="4">
        <f>IF(OR(INDEX($V$2:$V$1001,MATCH(ROWS($U$2:U531),$U$2:$U$1001,0),1)&gt;=100000,INDEX($AB$1005:$AQ$1005,1,MATCH(COLUMNS($AB$1006:AH1006),$AB$1006:$AQ$1006,0))&gt;=100000), " ",IF(INDEX($AB$2:$AQ$1001,MATCH(ROWS($U$2:U531),$U$2:$U$1001,0),MATCH(COLUMNS($AB$1006:AH1006),$AB$1006:$AQ$1006,0)), HYPERLINK("#",""), HYPERLINK(CONCATENATE("#metadata!", ADDRESS(INDEX($W$2:$W$1001,MATCH(ROWS($U$2:U531),$U$2:$U$1001,0),0), INDEX($AB$1004:$AQ$1004,1,MATCH(COLUMNS($AB$1006:AH1006),$AB$1006:$AQ$1006,0)))),"Fix")))</f>
        <v>0</v>
      </c>
      <c r="I531" s="4">
        <f>IF(OR(INDEX($V$2:$V$1001,MATCH(ROWS($U$2:U531),$U$2:$U$1001,0),1)&gt;=100000,INDEX($AB$1005:$AQ$1005,1,MATCH(COLUMNS($AB$1006:AI1006),$AB$1006:$AQ$1006,0))&gt;=100000), " ",IF(INDEX($AB$2:$AQ$1001,MATCH(ROWS($U$2:U531),$U$2:$U$1001,0),MATCH(COLUMNS($AB$1006:AI1006),$AB$1006:$AQ$1006,0)), HYPERLINK("#",""), HYPERLINK(CONCATENATE("#metadata!", ADDRESS(INDEX($W$2:$W$1001,MATCH(ROWS($U$2:U531),$U$2:$U$1001,0),0), INDEX($AB$1004:$AQ$1004,1,MATCH(COLUMNS($AB$1006:AI1006),$AB$1006:$AQ$1006,0)))),"Fix")))</f>
        <v>0</v>
      </c>
      <c r="J531" s="4">
        <f>IF(OR(INDEX($V$2:$V$1001,MATCH(ROWS($U$2:U531),$U$2:$U$1001,0),1)&gt;=100000,INDEX($AB$1005:$AQ$1005,1,MATCH(COLUMNS($AB$1006:AJ1006),$AB$1006:$AQ$1006,0))&gt;=100000), " ",IF(INDEX($AB$2:$AQ$1001,MATCH(ROWS($U$2:U531),$U$2:$U$1001,0),MATCH(COLUMNS($AB$1006:AJ1006),$AB$1006:$AQ$1006,0)), HYPERLINK("#",""), HYPERLINK(CONCATENATE("#metadata!", ADDRESS(INDEX($W$2:$W$1001,MATCH(ROWS($U$2:U531),$U$2:$U$1001,0),0), INDEX($AB$1004:$AQ$1004,1,MATCH(COLUMNS($AB$1006:AJ1006),$AB$1006:$AQ$1006,0)))),"Fix")))</f>
        <v>0</v>
      </c>
      <c r="K531" s="4">
        <f>IF(OR(INDEX($V$2:$V$1001,MATCH(ROWS($U$2:U531),$U$2:$U$1001,0),1)&gt;=100000,INDEX($AB$1005:$AQ$1005,1,MATCH(COLUMNS($AB$1006:AK1006),$AB$1006:$AQ$1006,0))&gt;=100000), " ",IF(INDEX($AB$2:$AQ$1001,MATCH(ROWS($U$2:U531),$U$2:$U$1001,0),MATCH(COLUMNS($AB$1006:AK1006),$AB$1006:$AQ$1006,0)), HYPERLINK("#",""), HYPERLINK(CONCATENATE("#metadata!", ADDRESS(INDEX($W$2:$W$1001,MATCH(ROWS($U$2:U531),$U$2:$U$1001,0),0), INDEX($AB$1004:$AQ$1004,1,MATCH(COLUMNS($AB$1006:AK1006),$AB$1006:$AQ$1006,0)))),"Fix")))</f>
        <v>0</v>
      </c>
      <c r="L531" s="4">
        <f>IF(OR(INDEX($V$2:$V$1001,MATCH(ROWS($U$2:U531),$U$2:$U$1001,0),1)&gt;=100000,INDEX($AB$1005:$AQ$1005,1,MATCH(COLUMNS($AB$1006:AL1006),$AB$1006:$AQ$1006,0))&gt;=100000), " ",IF(INDEX($AB$2:$AQ$1001,MATCH(ROWS($U$2:U531),$U$2:$U$1001,0),MATCH(COLUMNS($AB$1006:AL1006),$AB$1006:$AQ$1006,0)), HYPERLINK("#",""), HYPERLINK(CONCATENATE("#metadata!", ADDRESS(INDEX($W$2:$W$1001,MATCH(ROWS($U$2:U531),$U$2:$U$1001,0),0), INDEX($AB$1004:$AQ$1004,1,MATCH(COLUMNS($AB$1006:AL1006),$AB$1006:$AQ$1006,0)))),"Fix")))</f>
        <v>0</v>
      </c>
      <c r="M531" s="4">
        <f>IF(OR(INDEX($V$2:$V$1001,MATCH(ROWS($U$2:U531),$U$2:$U$1001,0),1)&gt;=100000,INDEX($AB$1005:$AQ$1005,1,MATCH(COLUMNS($AB$1006:AM1006),$AB$1006:$AQ$1006,0))&gt;=100000), " ",IF(INDEX($AB$2:$AQ$1001,MATCH(ROWS($U$2:U531),$U$2:$U$1001,0),MATCH(COLUMNS($AB$1006:AM1006),$AB$1006:$AQ$1006,0)), HYPERLINK("#",""), HYPERLINK(CONCATENATE("#metadata!", ADDRESS(INDEX($W$2:$W$1001,MATCH(ROWS($U$2:U531),$U$2:$U$1001,0),0), INDEX($AB$1004:$AQ$1004,1,MATCH(COLUMNS($AB$1006:AM1006),$AB$1006:$AQ$1006,0)))),"Fix")))</f>
        <v>0</v>
      </c>
      <c r="N531" s="4">
        <f>IF(OR(INDEX($V$2:$V$1001,MATCH(ROWS($U$2:U531),$U$2:$U$1001,0),1)&gt;=100000,INDEX($AB$1005:$AQ$1005,1,MATCH(COLUMNS($AB$1006:AN1006),$AB$1006:$AQ$1006,0))&gt;=100000), " ",IF(INDEX($AB$2:$AQ$1001,MATCH(ROWS($U$2:U531),$U$2:$U$1001,0),MATCH(COLUMNS($AB$1006:AN1006),$AB$1006:$AQ$1006,0)), HYPERLINK("#",""), HYPERLINK(CONCATENATE("#metadata!", ADDRESS(INDEX($W$2:$W$1001,MATCH(ROWS($U$2:U531),$U$2:$U$1001,0),0), INDEX($AB$1004:$AQ$1004,1,MATCH(COLUMNS($AB$1006:AN1006),$AB$1006:$AQ$1006,0)))),"Fix")))</f>
        <v>0</v>
      </c>
      <c r="O531" s="4">
        <f>IF(OR(INDEX($V$2:$V$1001,MATCH(ROWS($U$2:U531),$U$2:$U$1001,0),1)&gt;=100000,INDEX($AB$1005:$AQ$1005,1,MATCH(COLUMNS($AB$1006:AO1006),$AB$1006:$AQ$1006,0))&gt;=100000), " ",IF(INDEX($AB$2:$AQ$1001,MATCH(ROWS($U$2:U531),$U$2:$U$1001,0),MATCH(COLUMNS($AB$1006:AO1006),$AB$1006:$AQ$1006,0)), HYPERLINK("#",""), HYPERLINK(CONCATENATE("#metadata!", ADDRESS(INDEX($W$2:$W$1001,MATCH(ROWS($U$2:U531),$U$2:$U$1001,0),0), INDEX($AB$1004:$AQ$1004,1,MATCH(COLUMNS($AB$1006:AO1006),$AB$1006:$AQ$1006,0)))),"Fix")))</f>
        <v>0</v>
      </c>
      <c r="P531" s="4">
        <f>IF(OR(INDEX($V$2:$V$1001,MATCH(ROWS($U$2:U531),$U$2:$U$1001,0),1)&gt;=100000,INDEX($AB$1005:$AQ$1005,1,MATCH(COLUMNS($AB$1006:AP1006),$AB$1006:$AQ$1006,0))&gt;=100000), " ",IF(INDEX($AB$2:$AQ$1001,MATCH(ROWS($U$2:U531),$U$2:$U$1001,0),MATCH(COLUMNS($AB$1006:AP1006),$AB$1006:$AQ$1006,0)), HYPERLINK("#",""), HYPERLINK(CONCATENATE("#metadata!", ADDRESS(INDEX($W$2:$W$1001,MATCH(ROWS($U$2:U531),$U$2:$U$1001,0),0), INDEX($AB$1004:$AQ$1004,1,MATCH(COLUMNS($AB$1006:AP1006),$AB$1006:$AQ$1006,0)))),"Fix")))</f>
        <v>0</v>
      </c>
      <c r="Q531" s="4">
        <f>IF(OR(INDEX($V$2:$V$1001,MATCH(ROWS($U$2:U531),$U$2:$U$1001,0),1)&gt;=100000,INDEX($AB$1005:$AQ$1005,1,MATCH(COLUMNS($AB$1006:AQ1006),$AB$1006:$AQ$1006,0))&gt;=100000), " ",IF(INDEX($AB$2:$AQ$1001,MATCH(ROWS($U$2:U531),$U$2:$U$1001,0),MATCH(COLUMNS($AB$1006:AQ1006),$AB$1006:$AQ$1006,0)), HYPERLINK("#",""), HYPERLINK(CONCATENATE("#metadata!", ADDRESS(INDEX($W$2:$W$1001,MATCH(ROWS($U$2:U531),$U$2:$U$1001,0),0), INDEX($AB$1004:$AQ$1004,1,MATCH(COLUMNS($AB$1006:AQ1006),$AB$1006:$AQ$1006,0)))),"Fix")))</f>
        <v>0</v>
      </c>
      <c r="U531">
        <v>0</v>
      </c>
      <c r="V531">
        <v>0</v>
      </c>
      <c r="W531">
        <v>0</v>
      </c>
      <c r="X531">
        <f>IF(Y531,TRUE,AND(AB531:AQ531))</f>
        <v>0</v>
      </c>
      <c r="Y531">
        <f>COUNTBLANK(metadata!B531:Q531)=COLUMNS(metadata!B531:Q531)</f>
        <v>0</v>
      </c>
      <c r="Z531">
        <v>0</v>
      </c>
      <c r="AB531">
        <f>AND(IF(metadata!B531="",FALSE,TRUE),COUNTIF(metadata!B:B, metadata!B531) = 1,NOT(ISERROR(SUMPRODUCT(SEARCH(MID(metadata!B531,ROW(INDIRECT("1:"&amp;LEN(metadata!B531))), 1),"0123456789abcdefghijklmnopqrstuvwxyzABCDEFGHIJKLMNOPQRSTUVWXYZ.")))))</f>
        <v>0</v>
      </c>
      <c r="AC531">
        <f>OR(AND(IF(metadata!C531="",FALSE,TRUE),OR(exact(metadata!C531,"missing: not collected"),exact(metadata!C531,"missing: not provided"),exact(metadata!C531,"missing: restricted access"))),AND(IF(metadata!C531="",FALSE,TRUE),AND(AND(IFERROR(INT(LEFT(metadata!C531,4))&gt;1900,FALSE),IFERROR(INT(LEFT(metadata!C531,4))&lt;=YEAR(NOW()),FALSE)), OR(MID(metadata!C531,5,1)="", AND(AND(MID(metadata!C531,5,1)="-",IFERROR(INT(MID(metadata!C531,6,1))&gt;=0,FALSE),IFERROR(INT(MID(metadata!C531,6,1))&lt;=1,FALSE),NOT(MID(metadata!C531,7,1)=""),IFERROR(INT(MID(metadata!C531,6,2))&gt;=1,FALSE),IFERROR(INT(MID(metadata!C531,6,2))&lt;=12,FALSE)), OR(MID(metadata!C531,8,1)="", AND(AND(MID(metadata!C531,8,1)="-",IFERROR(INT(MID(metadata!C531,9,1))&gt;=0,FALSE),IFERROR(INT(MID(metadata!C531,9,1))&lt;=3,FALSE),NOT(MID(metadata!C531,10,1)=""),IFERROR(INT(MID(metadata!C531,9,2))&gt;=1,FALSE),IFERROR(INT(MID(metadata!C531,9,2))&lt;=31,FALSE)), OR(MID(metadata!C531,11,1)="", AND(AND(MID(metadata!C531,11,1)=" ",IFERROR(INT(MID(metadata!C531,12,1))&gt;=0,FALSE),IFERROR(INT(MID(metadata!C531,12,1))&lt;=2,FALSE),NOT(MID(metadata!C531,13,1)=""),IFERROR(INT(MID(metadata!C531,12,2))&gt;=0,FALSE),IFERROR(INT(MID(metadata!C531,12,2))&lt;=23,FALSE)), OR(MID(metadata!C531,14,1)="", AND(AND(MID(metadata!C531,14,1)=":",IFERROR(INT(MID(metadata!C531,15,1))&gt;=0,FALSE),IFERROR(INT(MID(metadata!C531,15,1))&lt;=5,FALSE),NOT(MID(metadata!C531,16,1)=""),IFERROR(INT(MID(metadata!C531,15,2))&gt;=0,FALSE),IFERROR(INT(MID(metadata!C531,15,2))&lt;=59,FALSE)), OR(MID(metadata!C531,17,1)="", AND(AND(MID(metadata!C531,17,1)=":",IFERROR(INT(MID(metadata!C531,18,1))&gt;=0,FALSE),IFERROR(INT(MID(metadata!C531,18,1))&lt;=5,FALSE),NOT(MID(metadata!C531,19,1)=""),IFERROR(INT(MID(metadata!C531,18,2))&gt;=0,FALSE),IFERROR(INT(MID(metadata!C531,18,2))&lt;=59,FALSE)), LEN(metadata!C531)&lt;=19)))))))))))))</f>
        <v>0</v>
      </c>
      <c r="AD531">
        <f>IF(metadata!D531="",FALSE,TRUE)</f>
        <v>0</v>
      </c>
      <c r="AE531">
        <f>OR(AND(IF(metadata!E531="",FALSE,TRUE),OR(exact(metadata!E531,"missing: not collected"),exact(metadata!E531,"missing: not provided"))),AND(IF(metadata!E531="",FALSE,TRUE),OR(exact(metadata!E531,"TRUE"),exact(metadata!E531,"FALSE"))))</f>
        <v>0</v>
      </c>
      <c r="AF531">
        <f>IF(metadata!F531="",FALSE,TRUE)</f>
        <v>0</v>
      </c>
      <c r="AG531">
        <f>IF(metadata!G531="",FALSE,TRUE)</f>
        <v>0</v>
      </c>
      <c r="AH531">
        <f>IF(metadata!H531="",FALSE,TRUE)</f>
        <v>0</v>
      </c>
      <c r="AI531">
        <f>OR(AND(IF(metadata!I531="",FALSE,TRUE),OR(exact(metadata!I531,"missing: not collected"),exact(metadata!I531,"missing: not provided"),exact(metadata!I531,"missing: restricted access"))),AND(IF(metadata!I531="",FALSE,TRUE),OR(exact(metadata!I531,"air"),exact(metadata!I531,"built environment"),exact(metadata!I531,"host-associated"),exact(metadata!I531,"human-associated"),exact(metadata!I531,"human-skin"),exact(metadata!I531,"human-oral"),exact(metadata!I531,"human-gut"),exact(metadata!I531,"human-vaginal"),exact(metadata!I531,"microbial mat/biofilm"),exact(metadata!I531,"misc environment"),exact(metadata!I531,"plant-associated"),exact(metadata!I531,"sediment"),exact(metadata!I531,"soil"),exact(metadata!I531,"wastewater/sludge"),exact(metadata!I531,"water"))))</f>
        <v>0</v>
      </c>
      <c r="AJ531">
        <f>IF(metadata!J531="",FALSE,TRUE)</f>
        <v>0</v>
      </c>
      <c r="AK531">
        <f>OR(AND(IF(metadata!K531="",FALSE,TRUE),OR(exact(metadata!K531,"missing: not collected"),exact(metadata!K531,"missing: not provided"),exact(metadata!K531,"missing: restricted access"))),AND(IF(metadata!K531="",FALSE,ISNUMBER(VALUE(metadata!K531))),metadata!K531&gt;=-90.00,metadata!K531&lt;=90.00))</f>
        <v>0</v>
      </c>
      <c r="AL531">
        <f>OR(AND(IF(metadata!L531="",FALSE,TRUE),OR(exact(metadata!L531,"missing: not collected"),exact(metadata!L531,"missing: not provided"),exact(metadata!L531,"missing: restricted access"))),AND(IF(metadata!L531="",FALSE,ISNUMBER(VALUE(metadata!L531))),metadata!L531&gt;=-180.00,metadata!L531&lt;=180.00))</f>
        <v>0</v>
      </c>
      <c r="AM531">
        <f>IF(metadata!M531="",FALSE,TRUE)</f>
        <v>0</v>
      </c>
      <c r="AN531">
        <f>OR(AND(IF(metadata!N531="",FALSE,TRUE),OR(exact(metadata!N531,"missing: not collected"),exact(metadata!N531,"missing: not provided"),exact(metadata!N531,"missing: restricted access"))),AND(IF(metadata!N531="",FALSE,TRUE),OR(exact(metadata!N531,"TRUE"),exact(metadata!N531,"FALSE"))))</f>
        <v>0</v>
      </c>
      <c r="AO531">
        <f>IF(metadata!O531="",FALSE,TRUE)</f>
        <v>0</v>
      </c>
      <c r="AP531">
        <f>OR(AND(IF(metadata!P531="",FALSE,TRUE),OR(exact(metadata!P531,"missing: not collected"),exact(metadata!P531,"missing: not provided"))),AND(IF(metadata!P531="",FALSE,IF(ISERROR(INT(metadata!P531)),FALSE,INT(metadata!P531)=metadata!P531)),metadata!P531&gt;0))</f>
        <v>0</v>
      </c>
      <c r="AQ531">
        <f>IF(metadata!Q531="",FALSE,TRUE)</f>
        <v>0</v>
      </c>
    </row>
    <row r="532" spans="1:43">
      <c r="A532" s="5">
        <f>IF(B532=" "," ",HYPERLINK(CONCATENATE("#metadata!",ADDRESS(INDEX($W$2:$W$1001,MATCH(ROWS($U$2:U532),$U$2:$U$1001,0),0),1)),INDEX($Z$2:$Z$1001,MATCH(ROWS($U$2:U532),$U$2:$U$1001,0),0)))</f>
        <v>0</v>
      </c>
      <c r="B532" s="4">
        <f>IF(OR(INDEX($V$2:$V$1001,MATCH(ROWS($U$2:U532),$U$2:$U$1001,0),1)&gt;=100000,INDEX($AB$1005:$AQ$1005,1,MATCH(COLUMNS($AB$1006:AB1006),$AB$1006:$AQ$1006,0))&gt;=100000), " ",IF(INDEX($AB$2:$AQ$1001,MATCH(ROWS($U$2:U532),$U$2:$U$1001,0),MATCH(COLUMNS($AB$1006:AB1006),$AB$1006:$AQ$1006,0)), HYPERLINK("#",""), HYPERLINK(CONCATENATE("#metadata!", ADDRESS(INDEX($W$2:$W$1001,MATCH(ROWS($U$2:U532),$U$2:$U$1001,0),0), INDEX($AB$1004:$AQ$1004,1,MATCH(COLUMNS($AB$1006:AB1006),$AB$1006:$AQ$1006,0)))),"Fix")))</f>
        <v>0</v>
      </c>
      <c r="C532" s="4">
        <f>IF(OR(INDEX($V$2:$V$1001,MATCH(ROWS($U$2:U532),$U$2:$U$1001,0),1)&gt;=100000,INDEX($AB$1005:$AQ$1005,1,MATCH(COLUMNS($AB$1006:AC1006),$AB$1006:$AQ$1006,0))&gt;=100000), " ",IF(INDEX($AB$2:$AQ$1001,MATCH(ROWS($U$2:U532),$U$2:$U$1001,0),MATCH(COLUMNS($AB$1006:AC1006),$AB$1006:$AQ$1006,0)), HYPERLINK("#",""), HYPERLINK(CONCATENATE("#metadata!", ADDRESS(INDEX($W$2:$W$1001,MATCH(ROWS($U$2:U532),$U$2:$U$1001,0),0), INDEX($AB$1004:$AQ$1004,1,MATCH(COLUMNS($AB$1006:AC1006),$AB$1006:$AQ$1006,0)))),"Fix")))</f>
        <v>0</v>
      </c>
      <c r="D532" s="4">
        <f>IF(OR(INDEX($V$2:$V$1001,MATCH(ROWS($U$2:U532),$U$2:$U$1001,0),1)&gt;=100000,INDEX($AB$1005:$AQ$1005,1,MATCH(COLUMNS($AB$1006:AD1006),$AB$1006:$AQ$1006,0))&gt;=100000), " ",IF(INDEX($AB$2:$AQ$1001,MATCH(ROWS($U$2:U532),$U$2:$U$1001,0),MATCH(COLUMNS($AB$1006:AD1006),$AB$1006:$AQ$1006,0)), HYPERLINK("#",""), HYPERLINK(CONCATENATE("#metadata!", ADDRESS(INDEX($W$2:$W$1001,MATCH(ROWS($U$2:U532),$U$2:$U$1001,0),0), INDEX($AB$1004:$AQ$1004,1,MATCH(COLUMNS($AB$1006:AD1006),$AB$1006:$AQ$1006,0)))),"Fix")))</f>
        <v>0</v>
      </c>
      <c r="E532" s="4">
        <f>IF(OR(INDEX($V$2:$V$1001,MATCH(ROWS($U$2:U532),$U$2:$U$1001,0),1)&gt;=100000,INDEX($AB$1005:$AQ$1005,1,MATCH(COLUMNS($AB$1006:AE1006),$AB$1006:$AQ$1006,0))&gt;=100000), " ",IF(INDEX($AB$2:$AQ$1001,MATCH(ROWS($U$2:U532),$U$2:$U$1001,0),MATCH(COLUMNS($AB$1006:AE1006),$AB$1006:$AQ$1006,0)), HYPERLINK("#",""), HYPERLINK(CONCATENATE("#metadata!", ADDRESS(INDEX($W$2:$W$1001,MATCH(ROWS($U$2:U532),$U$2:$U$1001,0),0), INDEX($AB$1004:$AQ$1004,1,MATCH(COLUMNS($AB$1006:AE1006),$AB$1006:$AQ$1006,0)))),"Fix")))</f>
        <v>0</v>
      </c>
      <c r="F532" s="4">
        <f>IF(OR(INDEX($V$2:$V$1001,MATCH(ROWS($U$2:U532),$U$2:$U$1001,0),1)&gt;=100000,INDEX($AB$1005:$AQ$1005,1,MATCH(COLUMNS($AB$1006:AF1006),$AB$1006:$AQ$1006,0))&gt;=100000), " ",IF(INDEX($AB$2:$AQ$1001,MATCH(ROWS($U$2:U532),$U$2:$U$1001,0),MATCH(COLUMNS($AB$1006:AF1006),$AB$1006:$AQ$1006,0)), HYPERLINK("#",""), HYPERLINK(CONCATENATE("#metadata!", ADDRESS(INDEX($W$2:$W$1001,MATCH(ROWS($U$2:U532),$U$2:$U$1001,0),0), INDEX($AB$1004:$AQ$1004,1,MATCH(COLUMNS($AB$1006:AF1006),$AB$1006:$AQ$1006,0)))),"Fix")))</f>
        <v>0</v>
      </c>
      <c r="G532" s="4">
        <f>IF(OR(INDEX($V$2:$V$1001,MATCH(ROWS($U$2:U532),$U$2:$U$1001,0),1)&gt;=100000,INDEX($AB$1005:$AQ$1005,1,MATCH(COLUMNS($AB$1006:AG1006),$AB$1006:$AQ$1006,0))&gt;=100000), " ",IF(INDEX($AB$2:$AQ$1001,MATCH(ROWS($U$2:U532),$U$2:$U$1001,0),MATCH(COLUMNS($AB$1006:AG1006),$AB$1006:$AQ$1006,0)), HYPERLINK("#",""), HYPERLINK(CONCATENATE("#metadata!", ADDRESS(INDEX($W$2:$W$1001,MATCH(ROWS($U$2:U532),$U$2:$U$1001,0),0), INDEX($AB$1004:$AQ$1004,1,MATCH(COLUMNS($AB$1006:AG1006),$AB$1006:$AQ$1006,0)))),"Fix")))</f>
        <v>0</v>
      </c>
      <c r="H532" s="4">
        <f>IF(OR(INDEX($V$2:$V$1001,MATCH(ROWS($U$2:U532),$U$2:$U$1001,0),1)&gt;=100000,INDEX($AB$1005:$AQ$1005,1,MATCH(COLUMNS($AB$1006:AH1006),$AB$1006:$AQ$1006,0))&gt;=100000), " ",IF(INDEX($AB$2:$AQ$1001,MATCH(ROWS($U$2:U532),$U$2:$U$1001,0),MATCH(COLUMNS($AB$1006:AH1006),$AB$1006:$AQ$1006,0)), HYPERLINK("#",""), HYPERLINK(CONCATENATE("#metadata!", ADDRESS(INDEX($W$2:$W$1001,MATCH(ROWS($U$2:U532),$U$2:$U$1001,0),0), INDEX($AB$1004:$AQ$1004,1,MATCH(COLUMNS($AB$1006:AH1006),$AB$1006:$AQ$1006,0)))),"Fix")))</f>
        <v>0</v>
      </c>
      <c r="I532" s="4">
        <f>IF(OR(INDEX($V$2:$V$1001,MATCH(ROWS($U$2:U532),$U$2:$U$1001,0),1)&gt;=100000,INDEX($AB$1005:$AQ$1005,1,MATCH(COLUMNS($AB$1006:AI1006),$AB$1006:$AQ$1006,0))&gt;=100000), " ",IF(INDEX($AB$2:$AQ$1001,MATCH(ROWS($U$2:U532),$U$2:$U$1001,0),MATCH(COLUMNS($AB$1006:AI1006),$AB$1006:$AQ$1006,0)), HYPERLINK("#",""), HYPERLINK(CONCATENATE("#metadata!", ADDRESS(INDEX($W$2:$W$1001,MATCH(ROWS($U$2:U532),$U$2:$U$1001,0),0), INDEX($AB$1004:$AQ$1004,1,MATCH(COLUMNS($AB$1006:AI1006),$AB$1006:$AQ$1006,0)))),"Fix")))</f>
        <v>0</v>
      </c>
      <c r="J532" s="4">
        <f>IF(OR(INDEX($V$2:$V$1001,MATCH(ROWS($U$2:U532),$U$2:$U$1001,0),1)&gt;=100000,INDEX($AB$1005:$AQ$1005,1,MATCH(COLUMNS($AB$1006:AJ1006),$AB$1006:$AQ$1006,0))&gt;=100000), " ",IF(INDEX($AB$2:$AQ$1001,MATCH(ROWS($U$2:U532),$U$2:$U$1001,0),MATCH(COLUMNS($AB$1006:AJ1006),$AB$1006:$AQ$1006,0)), HYPERLINK("#",""), HYPERLINK(CONCATENATE("#metadata!", ADDRESS(INDEX($W$2:$W$1001,MATCH(ROWS($U$2:U532),$U$2:$U$1001,0),0), INDEX($AB$1004:$AQ$1004,1,MATCH(COLUMNS($AB$1006:AJ1006),$AB$1006:$AQ$1006,0)))),"Fix")))</f>
        <v>0</v>
      </c>
      <c r="K532" s="4">
        <f>IF(OR(INDEX($V$2:$V$1001,MATCH(ROWS($U$2:U532),$U$2:$U$1001,0),1)&gt;=100000,INDEX($AB$1005:$AQ$1005,1,MATCH(COLUMNS($AB$1006:AK1006),$AB$1006:$AQ$1006,0))&gt;=100000), " ",IF(INDEX($AB$2:$AQ$1001,MATCH(ROWS($U$2:U532),$U$2:$U$1001,0),MATCH(COLUMNS($AB$1006:AK1006),$AB$1006:$AQ$1006,0)), HYPERLINK("#",""), HYPERLINK(CONCATENATE("#metadata!", ADDRESS(INDEX($W$2:$W$1001,MATCH(ROWS($U$2:U532),$U$2:$U$1001,0),0), INDEX($AB$1004:$AQ$1004,1,MATCH(COLUMNS($AB$1006:AK1006),$AB$1006:$AQ$1006,0)))),"Fix")))</f>
        <v>0</v>
      </c>
      <c r="L532" s="4">
        <f>IF(OR(INDEX($V$2:$V$1001,MATCH(ROWS($U$2:U532),$U$2:$U$1001,0),1)&gt;=100000,INDEX($AB$1005:$AQ$1005,1,MATCH(COLUMNS($AB$1006:AL1006),$AB$1006:$AQ$1006,0))&gt;=100000), " ",IF(INDEX($AB$2:$AQ$1001,MATCH(ROWS($U$2:U532),$U$2:$U$1001,0),MATCH(COLUMNS($AB$1006:AL1006),$AB$1006:$AQ$1006,0)), HYPERLINK("#",""), HYPERLINK(CONCATENATE("#metadata!", ADDRESS(INDEX($W$2:$W$1001,MATCH(ROWS($U$2:U532),$U$2:$U$1001,0),0), INDEX($AB$1004:$AQ$1004,1,MATCH(COLUMNS($AB$1006:AL1006),$AB$1006:$AQ$1006,0)))),"Fix")))</f>
        <v>0</v>
      </c>
      <c r="M532" s="4">
        <f>IF(OR(INDEX($V$2:$V$1001,MATCH(ROWS($U$2:U532),$U$2:$U$1001,0),1)&gt;=100000,INDEX($AB$1005:$AQ$1005,1,MATCH(COLUMNS($AB$1006:AM1006),$AB$1006:$AQ$1006,0))&gt;=100000), " ",IF(INDEX($AB$2:$AQ$1001,MATCH(ROWS($U$2:U532),$U$2:$U$1001,0),MATCH(COLUMNS($AB$1006:AM1006),$AB$1006:$AQ$1006,0)), HYPERLINK("#",""), HYPERLINK(CONCATENATE("#metadata!", ADDRESS(INDEX($W$2:$W$1001,MATCH(ROWS($U$2:U532),$U$2:$U$1001,0),0), INDEX($AB$1004:$AQ$1004,1,MATCH(COLUMNS($AB$1006:AM1006),$AB$1006:$AQ$1006,0)))),"Fix")))</f>
        <v>0</v>
      </c>
      <c r="N532" s="4">
        <f>IF(OR(INDEX($V$2:$V$1001,MATCH(ROWS($U$2:U532),$U$2:$U$1001,0),1)&gt;=100000,INDEX($AB$1005:$AQ$1005,1,MATCH(COLUMNS($AB$1006:AN1006),$AB$1006:$AQ$1006,0))&gt;=100000), " ",IF(INDEX($AB$2:$AQ$1001,MATCH(ROWS($U$2:U532),$U$2:$U$1001,0),MATCH(COLUMNS($AB$1006:AN1006),$AB$1006:$AQ$1006,0)), HYPERLINK("#",""), HYPERLINK(CONCATENATE("#metadata!", ADDRESS(INDEX($W$2:$W$1001,MATCH(ROWS($U$2:U532),$U$2:$U$1001,0),0), INDEX($AB$1004:$AQ$1004,1,MATCH(COLUMNS($AB$1006:AN1006),$AB$1006:$AQ$1006,0)))),"Fix")))</f>
        <v>0</v>
      </c>
      <c r="O532" s="4">
        <f>IF(OR(INDEX($V$2:$V$1001,MATCH(ROWS($U$2:U532),$U$2:$U$1001,0),1)&gt;=100000,INDEX($AB$1005:$AQ$1005,1,MATCH(COLUMNS($AB$1006:AO1006),$AB$1006:$AQ$1006,0))&gt;=100000), " ",IF(INDEX($AB$2:$AQ$1001,MATCH(ROWS($U$2:U532),$U$2:$U$1001,0),MATCH(COLUMNS($AB$1006:AO1006),$AB$1006:$AQ$1006,0)), HYPERLINK("#",""), HYPERLINK(CONCATENATE("#metadata!", ADDRESS(INDEX($W$2:$W$1001,MATCH(ROWS($U$2:U532),$U$2:$U$1001,0),0), INDEX($AB$1004:$AQ$1004,1,MATCH(COLUMNS($AB$1006:AO1006),$AB$1006:$AQ$1006,0)))),"Fix")))</f>
        <v>0</v>
      </c>
      <c r="P532" s="4">
        <f>IF(OR(INDEX($V$2:$V$1001,MATCH(ROWS($U$2:U532),$U$2:$U$1001,0),1)&gt;=100000,INDEX($AB$1005:$AQ$1005,1,MATCH(COLUMNS($AB$1006:AP1006),$AB$1006:$AQ$1006,0))&gt;=100000), " ",IF(INDEX($AB$2:$AQ$1001,MATCH(ROWS($U$2:U532),$U$2:$U$1001,0),MATCH(COLUMNS($AB$1006:AP1006),$AB$1006:$AQ$1006,0)), HYPERLINK("#",""), HYPERLINK(CONCATENATE("#metadata!", ADDRESS(INDEX($W$2:$W$1001,MATCH(ROWS($U$2:U532),$U$2:$U$1001,0),0), INDEX($AB$1004:$AQ$1004,1,MATCH(COLUMNS($AB$1006:AP1006),$AB$1006:$AQ$1006,0)))),"Fix")))</f>
        <v>0</v>
      </c>
      <c r="Q532" s="4">
        <f>IF(OR(INDEX($V$2:$V$1001,MATCH(ROWS($U$2:U532),$U$2:$U$1001,0),1)&gt;=100000,INDEX($AB$1005:$AQ$1005,1,MATCH(COLUMNS($AB$1006:AQ1006),$AB$1006:$AQ$1006,0))&gt;=100000), " ",IF(INDEX($AB$2:$AQ$1001,MATCH(ROWS($U$2:U532),$U$2:$U$1001,0),MATCH(COLUMNS($AB$1006:AQ1006),$AB$1006:$AQ$1006,0)), HYPERLINK("#",""), HYPERLINK(CONCATENATE("#metadata!", ADDRESS(INDEX($W$2:$W$1001,MATCH(ROWS($U$2:U532),$U$2:$U$1001,0),0), INDEX($AB$1004:$AQ$1004,1,MATCH(COLUMNS($AB$1006:AQ1006),$AB$1006:$AQ$1006,0)))),"Fix")))</f>
        <v>0</v>
      </c>
      <c r="U532">
        <v>0</v>
      </c>
      <c r="V532">
        <v>0</v>
      </c>
      <c r="W532">
        <v>0</v>
      </c>
      <c r="X532">
        <f>IF(Y532,TRUE,AND(AB532:AQ532))</f>
        <v>0</v>
      </c>
      <c r="Y532">
        <f>COUNTBLANK(metadata!B532:Q532)=COLUMNS(metadata!B532:Q532)</f>
        <v>0</v>
      </c>
      <c r="Z532">
        <v>0</v>
      </c>
      <c r="AB532">
        <f>AND(IF(metadata!B532="",FALSE,TRUE),COUNTIF(metadata!B:B, metadata!B532) = 1,NOT(ISERROR(SUMPRODUCT(SEARCH(MID(metadata!B532,ROW(INDIRECT("1:"&amp;LEN(metadata!B532))), 1),"0123456789abcdefghijklmnopqrstuvwxyzABCDEFGHIJKLMNOPQRSTUVWXYZ.")))))</f>
        <v>0</v>
      </c>
      <c r="AC532">
        <f>OR(AND(IF(metadata!C532="",FALSE,TRUE),OR(exact(metadata!C532,"missing: not collected"),exact(metadata!C532,"missing: not provided"),exact(metadata!C532,"missing: restricted access"))),AND(IF(metadata!C532="",FALSE,TRUE),AND(AND(IFERROR(INT(LEFT(metadata!C532,4))&gt;1900,FALSE),IFERROR(INT(LEFT(metadata!C532,4))&lt;=YEAR(NOW()),FALSE)), OR(MID(metadata!C532,5,1)="", AND(AND(MID(metadata!C532,5,1)="-",IFERROR(INT(MID(metadata!C532,6,1))&gt;=0,FALSE),IFERROR(INT(MID(metadata!C532,6,1))&lt;=1,FALSE),NOT(MID(metadata!C532,7,1)=""),IFERROR(INT(MID(metadata!C532,6,2))&gt;=1,FALSE),IFERROR(INT(MID(metadata!C532,6,2))&lt;=12,FALSE)), OR(MID(metadata!C532,8,1)="", AND(AND(MID(metadata!C532,8,1)="-",IFERROR(INT(MID(metadata!C532,9,1))&gt;=0,FALSE),IFERROR(INT(MID(metadata!C532,9,1))&lt;=3,FALSE),NOT(MID(metadata!C532,10,1)=""),IFERROR(INT(MID(metadata!C532,9,2))&gt;=1,FALSE),IFERROR(INT(MID(metadata!C532,9,2))&lt;=31,FALSE)), OR(MID(metadata!C532,11,1)="", AND(AND(MID(metadata!C532,11,1)=" ",IFERROR(INT(MID(metadata!C532,12,1))&gt;=0,FALSE),IFERROR(INT(MID(metadata!C532,12,1))&lt;=2,FALSE),NOT(MID(metadata!C532,13,1)=""),IFERROR(INT(MID(metadata!C532,12,2))&gt;=0,FALSE),IFERROR(INT(MID(metadata!C532,12,2))&lt;=23,FALSE)), OR(MID(metadata!C532,14,1)="", AND(AND(MID(metadata!C532,14,1)=":",IFERROR(INT(MID(metadata!C532,15,1))&gt;=0,FALSE),IFERROR(INT(MID(metadata!C532,15,1))&lt;=5,FALSE),NOT(MID(metadata!C532,16,1)=""),IFERROR(INT(MID(metadata!C532,15,2))&gt;=0,FALSE),IFERROR(INT(MID(metadata!C532,15,2))&lt;=59,FALSE)), OR(MID(metadata!C532,17,1)="", AND(AND(MID(metadata!C532,17,1)=":",IFERROR(INT(MID(metadata!C532,18,1))&gt;=0,FALSE),IFERROR(INT(MID(metadata!C532,18,1))&lt;=5,FALSE),NOT(MID(metadata!C532,19,1)=""),IFERROR(INT(MID(metadata!C532,18,2))&gt;=0,FALSE),IFERROR(INT(MID(metadata!C532,18,2))&lt;=59,FALSE)), LEN(metadata!C532)&lt;=19)))))))))))))</f>
        <v>0</v>
      </c>
      <c r="AD532">
        <f>IF(metadata!D532="",FALSE,TRUE)</f>
        <v>0</v>
      </c>
      <c r="AE532">
        <f>OR(AND(IF(metadata!E532="",FALSE,TRUE),OR(exact(metadata!E532,"missing: not collected"),exact(metadata!E532,"missing: not provided"))),AND(IF(metadata!E532="",FALSE,TRUE),OR(exact(metadata!E532,"TRUE"),exact(metadata!E532,"FALSE"))))</f>
        <v>0</v>
      </c>
      <c r="AF532">
        <f>IF(metadata!F532="",FALSE,TRUE)</f>
        <v>0</v>
      </c>
      <c r="AG532">
        <f>IF(metadata!G532="",FALSE,TRUE)</f>
        <v>0</v>
      </c>
      <c r="AH532">
        <f>IF(metadata!H532="",FALSE,TRUE)</f>
        <v>0</v>
      </c>
      <c r="AI532">
        <f>OR(AND(IF(metadata!I532="",FALSE,TRUE),OR(exact(metadata!I532,"missing: not collected"),exact(metadata!I532,"missing: not provided"),exact(metadata!I532,"missing: restricted access"))),AND(IF(metadata!I532="",FALSE,TRUE),OR(exact(metadata!I532,"air"),exact(metadata!I532,"built environment"),exact(metadata!I532,"host-associated"),exact(metadata!I532,"human-associated"),exact(metadata!I532,"human-skin"),exact(metadata!I532,"human-oral"),exact(metadata!I532,"human-gut"),exact(metadata!I532,"human-vaginal"),exact(metadata!I532,"microbial mat/biofilm"),exact(metadata!I532,"misc environment"),exact(metadata!I532,"plant-associated"),exact(metadata!I532,"sediment"),exact(metadata!I532,"soil"),exact(metadata!I532,"wastewater/sludge"),exact(metadata!I532,"water"))))</f>
        <v>0</v>
      </c>
      <c r="AJ532">
        <f>IF(metadata!J532="",FALSE,TRUE)</f>
        <v>0</v>
      </c>
      <c r="AK532">
        <f>OR(AND(IF(metadata!K532="",FALSE,TRUE),OR(exact(metadata!K532,"missing: not collected"),exact(metadata!K532,"missing: not provided"),exact(metadata!K532,"missing: restricted access"))),AND(IF(metadata!K532="",FALSE,ISNUMBER(VALUE(metadata!K532))),metadata!K532&gt;=-90.00,metadata!K532&lt;=90.00))</f>
        <v>0</v>
      </c>
      <c r="AL532">
        <f>OR(AND(IF(metadata!L532="",FALSE,TRUE),OR(exact(metadata!L532,"missing: not collected"),exact(metadata!L532,"missing: not provided"),exact(metadata!L532,"missing: restricted access"))),AND(IF(metadata!L532="",FALSE,ISNUMBER(VALUE(metadata!L532))),metadata!L532&gt;=-180.00,metadata!L532&lt;=180.00))</f>
        <v>0</v>
      </c>
      <c r="AM532">
        <f>IF(metadata!M532="",FALSE,TRUE)</f>
        <v>0</v>
      </c>
      <c r="AN532">
        <f>OR(AND(IF(metadata!N532="",FALSE,TRUE),OR(exact(metadata!N532,"missing: not collected"),exact(metadata!N532,"missing: not provided"),exact(metadata!N532,"missing: restricted access"))),AND(IF(metadata!N532="",FALSE,TRUE),OR(exact(metadata!N532,"TRUE"),exact(metadata!N532,"FALSE"))))</f>
        <v>0</v>
      </c>
      <c r="AO532">
        <f>IF(metadata!O532="",FALSE,TRUE)</f>
        <v>0</v>
      </c>
      <c r="AP532">
        <f>OR(AND(IF(metadata!P532="",FALSE,TRUE),OR(exact(metadata!P532,"missing: not collected"),exact(metadata!P532,"missing: not provided"))),AND(IF(metadata!P532="",FALSE,IF(ISERROR(INT(metadata!P532)),FALSE,INT(metadata!P532)=metadata!P532)),metadata!P532&gt;0))</f>
        <v>0</v>
      </c>
      <c r="AQ532">
        <f>IF(metadata!Q532="",FALSE,TRUE)</f>
        <v>0</v>
      </c>
    </row>
    <row r="533" spans="1:43">
      <c r="A533" s="5">
        <f>IF(B533=" "," ",HYPERLINK(CONCATENATE("#metadata!",ADDRESS(INDEX($W$2:$W$1001,MATCH(ROWS($U$2:U533),$U$2:$U$1001,0),0),1)),INDEX($Z$2:$Z$1001,MATCH(ROWS($U$2:U533),$U$2:$U$1001,0),0)))</f>
        <v>0</v>
      </c>
      <c r="B533" s="4">
        <f>IF(OR(INDEX($V$2:$V$1001,MATCH(ROWS($U$2:U533),$U$2:$U$1001,0),1)&gt;=100000,INDEX($AB$1005:$AQ$1005,1,MATCH(COLUMNS($AB$1006:AB1006),$AB$1006:$AQ$1006,0))&gt;=100000), " ",IF(INDEX($AB$2:$AQ$1001,MATCH(ROWS($U$2:U533),$U$2:$U$1001,0),MATCH(COLUMNS($AB$1006:AB1006),$AB$1006:$AQ$1006,0)), HYPERLINK("#",""), HYPERLINK(CONCATENATE("#metadata!", ADDRESS(INDEX($W$2:$W$1001,MATCH(ROWS($U$2:U533),$U$2:$U$1001,0),0), INDEX($AB$1004:$AQ$1004,1,MATCH(COLUMNS($AB$1006:AB1006),$AB$1006:$AQ$1006,0)))),"Fix")))</f>
        <v>0</v>
      </c>
      <c r="C533" s="4">
        <f>IF(OR(INDEX($V$2:$V$1001,MATCH(ROWS($U$2:U533),$U$2:$U$1001,0),1)&gt;=100000,INDEX($AB$1005:$AQ$1005,1,MATCH(COLUMNS($AB$1006:AC1006),$AB$1006:$AQ$1006,0))&gt;=100000), " ",IF(INDEX($AB$2:$AQ$1001,MATCH(ROWS($U$2:U533),$U$2:$U$1001,0),MATCH(COLUMNS($AB$1006:AC1006),$AB$1006:$AQ$1006,0)), HYPERLINK("#",""), HYPERLINK(CONCATENATE("#metadata!", ADDRESS(INDEX($W$2:$W$1001,MATCH(ROWS($U$2:U533),$U$2:$U$1001,0),0), INDEX($AB$1004:$AQ$1004,1,MATCH(COLUMNS($AB$1006:AC1006),$AB$1006:$AQ$1006,0)))),"Fix")))</f>
        <v>0</v>
      </c>
      <c r="D533" s="4">
        <f>IF(OR(INDEX($V$2:$V$1001,MATCH(ROWS($U$2:U533),$U$2:$U$1001,0),1)&gt;=100000,INDEX($AB$1005:$AQ$1005,1,MATCH(COLUMNS($AB$1006:AD1006),$AB$1006:$AQ$1006,0))&gt;=100000), " ",IF(INDEX($AB$2:$AQ$1001,MATCH(ROWS($U$2:U533),$U$2:$U$1001,0),MATCH(COLUMNS($AB$1006:AD1006),$AB$1006:$AQ$1006,0)), HYPERLINK("#",""), HYPERLINK(CONCATENATE("#metadata!", ADDRESS(INDEX($W$2:$W$1001,MATCH(ROWS($U$2:U533),$U$2:$U$1001,0),0), INDEX($AB$1004:$AQ$1004,1,MATCH(COLUMNS($AB$1006:AD1006),$AB$1006:$AQ$1006,0)))),"Fix")))</f>
        <v>0</v>
      </c>
      <c r="E533" s="4">
        <f>IF(OR(INDEX($V$2:$V$1001,MATCH(ROWS($U$2:U533),$U$2:$U$1001,0),1)&gt;=100000,INDEX($AB$1005:$AQ$1005,1,MATCH(COLUMNS($AB$1006:AE1006),$AB$1006:$AQ$1006,0))&gt;=100000), " ",IF(INDEX($AB$2:$AQ$1001,MATCH(ROWS($U$2:U533),$U$2:$U$1001,0),MATCH(COLUMNS($AB$1006:AE1006),$AB$1006:$AQ$1006,0)), HYPERLINK("#",""), HYPERLINK(CONCATENATE("#metadata!", ADDRESS(INDEX($W$2:$W$1001,MATCH(ROWS($U$2:U533),$U$2:$U$1001,0),0), INDEX($AB$1004:$AQ$1004,1,MATCH(COLUMNS($AB$1006:AE1006),$AB$1006:$AQ$1006,0)))),"Fix")))</f>
        <v>0</v>
      </c>
      <c r="F533" s="4">
        <f>IF(OR(INDEX($V$2:$V$1001,MATCH(ROWS($U$2:U533),$U$2:$U$1001,0),1)&gt;=100000,INDEX($AB$1005:$AQ$1005,1,MATCH(COLUMNS($AB$1006:AF1006),$AB$1006:$AQ$1006,0))&gt;=100000), " ",IF(INDEX($AB$2:$AQ$1001,MATCH(ROWS($U$2:U533),$U$2:$U$1001,0),MATCH(COLUMNS($AB$1006:AF1006),$AB$1006:$AQ$1006,0)), HYPERLINK("#",""), HYPERLINK(CONCATENATE("#metadata!", ADDRESS(INDEX($W$2:$W$1001,MATCH(ROWS($U$2:U533),$U$2:$U$1001,0),0), INDEX($AB$1004:$AQ$1004,1,MATCH(COLUMNS($AB$1006:AF1006),$AB$1006:$AQ$1006,0)))),"Fix")))</f>
        <v>0</v>
      </c>
      <c r="G533" s="4">
        <f>IF(OR(INDEX($V$2:$V$1001,MATCH(ROWS($U$2:U533),$U$2:$U$1001,0),1)&gt;=100000,INDEX($AB$1005:$AQ$1005,1,MATCH(COLUMNS($AB$1006:AG1006),$AB$1006:$AQ$1006,0))&gt;=100000), " ",IF(INDEX($AB$2:$AQ$1001,MATCH(ROWS($U$2:U533),$U$2:$U$1001,0),MATCH(COLUMNS($AB$1006:AG1006),$AB$1006:$AQ$1006,0)), HYPERLINK("#",""), HYPERLINK(CONCATENATE("#metadata!", ADDRESS(INDEX($W$2:$W$1001,MATCH(ROWS($U$2:U533),$U$2:$U$1001,0),0), INDEX($AB$1004:$AQ$1004,1,MATCH(COLUMNS($AB$1006:AG1006),$AB$1006:$AQ$1006,0)))),"Fix")))</f>
        <v>0</v>
      </c>
      <c r="H533" s="4">
        <f>IF(OR(INDEX($V$2:$V$1001,MATCH(ROWS($U$2:U533),$U$2:$U$1001,0),1)&gt;=100000,INDEX($AB$1005:$AQ$1005,1,MATCH(COLUMNS($AB$1006:AH1006),$AB$1006:$AQ$1006,0))&gt;=100000), " ",IF(INDEX($AB$2:$AQ$1001,MATCH(ROWS($U$2:U533),$U$2:$U$1001,0),MATCH(COLUMNS($AB$1006:AH1006),$AB$1006:$AQ$1006,0)), HYPERLINK("#",""), HYPERLINK(CONCATENATE("#metadata!", ADDRESS(INDEX($W$2:$W$1001,MATCH(ROWS($U$2:U533),$U$2:$U$1001,0),0), INDEX($AB$1004:$AQ$1004,1,MATCH(COLUMNS($AB$1006:AH1006),$AB$1006:$AQ$1006,0)))),"Fix")))</f>
        <v>0</v>
      </c>
      <c r="I533" s="4">
        <f>IF(OR(INDEX($V$2:$V$1001,MATCH(ROWS($U$2:U533),$U$2:$U$1001,0),1)&gt;=100000,INDEX($AB$1005:$AQ$1005,1,MATCH(COLUMNS($AB$1006:AI1006),$AB$1006:$AQ$1006,0))&gt;=100000), " ",IF(INDEX($AB$2:$AQ$1001,MATCH(ROWS($U$2:U533),$U$2:$U$1001,0),MATCH(COLUMNS($AB$1006:AI1006),$AB$1006:$AQ$1006,0)), HYPERLINK("#",""), HYPERLINK(CONCATENATE("#metadata!", ADDRESS(INDEX($W$2:$W$1001,MATCH(ROWS($U$2:U533),$U$2:$U$1001,0),0), INDEX($AB$1004:$AQ$1004,1,MATCH(COLUMNS($AB$1006:AI1006),$AB$1006:$AQ$1006,0)))),"Fix")))</f>
        <v>0</v>
      </c>
      <c r="J533" s="4">
        <f>IF(OR(INDEX($V$2:$V$1001,MATCH(ROWS($U$2:U533),$U$2:$U$1001,0),1)&gt;=100000,INDEX($AB$1005:$AQ$1005,1,MATCH(COLUMNS($AB$1006:AJ1006),$AB$1006:$AQ$1006,0))&gt;=100000), " ",IF(INDEX($AB$2:$AQ$1001,MATCH(ROWS($U$2:U533),$U$2:$U$1001,0),MATCH(COLUMNS($AB$1006:AJ1006),$AB$1006:$AQ$1006,0)), HYPERLINK("#",""), HYPERLINK(CONCATENATE("#metadata!", ADDRESS(INDEX($W$2:$W$1001,MATCH(ROWS($U$2:U533),$U$2:$U$1001,0),0), INDEX($AB$1004:$AQ$1004,1,MATCH(COLUMNS($AB$1006:AJ1006),$AB$1006:$AQ$1006,0)))),"Fix")))</f>
        <v>0</v>
      </c>
      <c r="K533" s="4">
        <f>IF(OR(INDEX($V$2:$V$1001,MATCH(ROWS($U$2:U533),$U$2:$U$1001,0),1)&gt;=100000,INDEX($AB$1005:$AQ$1005,1,MATCH(COLUMNS($AB$1006:AK1006),$AB$1006:$AQ$1006,0))&gt;=100000), " ",IF(INDEX($AB$2:$AQ$1001,MATCH(ROWS($U$2:U533),$U$2:$U$1001,0),MATCH(COLUMNS($AB$1006:AK1006),$AB$1006:$AQ$1006,0)), HYPERLINK("#",""), HYPERLINK(CONCATENATE("#metadata!", ADDRESS(INDEX($W$2:$W$1001,MATCH(ROWS($U$2:U533),$U$2:$U$1001,0),0), INDEX($AB$1004:$AQ$1004,1,MATCH(COLUMNS($AB$1006:AK1006),$AB$1006:$AQ$1006,0)))),"Fix")))</f>
        <v>0</v>
      </c>
      <c r="L533" s="4">
        <f>IF(OR(INDEX($V$2:$V$1001,MATCH(ROWS($U$2:U533),$U$2:$U$1001,0),1)&gt;=100000,INDEX($AB$1005:$AQ$1005,1,MATCH(COLUMNS($AB$1006:AL1006),$AB$1006:$AQ$1006,0))&gt;=100000), " ",IF(INDEX($AB$2:$AQ$1001,MATCH(ROWS($U$2:U533),$U$2:$U$1001,0),MATCH(COLUMNS($AB$1006:AL1006),$AB$1006:$AQ$1006,0)), HYPERLINK("#",""), HYPERLINK(CONCATENATE("#metadata!", ADDRESS(INDEX($W$2:$W$1001,MATCH(ROWS($U$2:U533),$U$2:$U$1001,0),0), INDEX($AB$1004:$AQ$1004,1,MATCH(COLUMNS($AB$1006:AL1006),$AB$1006:$AQ$1006,0)))),"Fix")))</f>
        <v>0</v>
      </c>
      <c r="M533" s="4">
        <f>IF(OR(INDEX($V$2:$V$1001,MATCH(ROWS($U$2:U533),$U$2:$U$1001,0),1)&gt;=100000,INDEX($AB$1005:$AQ$1005,1,MATCH(COLUMNS($AB$1006:AM1006),$AB$1006:$AQ$1006,0))&gt;=100000), " ",IF(INDEX($AB$2:$AQ$1001,MATCH(ROWS($U$2:U533),$U$2:$U$1001,0),MATCH(COLUMNS($AB$1006:AM1006),$AB$1006:$AQ$1006,0)), HYPERLINK("#",""), HYPERLINK(CONCATENATE("#metadata!", ADDRESS(INDEX($W$2:$W$1001,MATCH(ROWS($U$2:U533),$U$2:$U$1001,0),0), INDEX($AB$1004:$AQ$1004,1,MATCH(COLUMNS($AB$1006:AM1006),$AB$1006:$AQ$1006,0)))),"Fix")))</f>
        <v>0</v>
      </c>
      <c r="N533" s="4">
        <f>IF(OR(INDEX($V$2:$V$1001,MATCH(ROWS($U$2:U533),$U$2:$U$1001,0),1)&gt;=100000,INDEX($AB$1005:$AQ$1005,1,MATCH(COLUMNS($AB$1006:AN1006),$AB$1006:$AQ$1006,0))&gt;=100000), " ",IF(INDEX($AB$2:$AQ$1001,MATCH(ROWS($U$2:U533),$U$2:$U$1001,0),MATCH(COLUMNS($AB$1006:AN1006),$AB$1006:$AQ$1006,0)), HYPERLINK("#",""), HYPERLINK(CONCATENATE("#metadata!", ADDRESS(INDEX($W$2:$W$1001,MATCH(ROWS($U$2:U533),$U$2:$U$1001,0),0), INDEX($AB$1004:$AQ$1004,1,MATCH(COLUMNS($AB$1006:AN1006),$AB$1006:$AQ$1006,0)))),"Fix")))</f>
        <v>0</v>
      </c>
      <c r="O533" s="4">
        <f>IF(OR(INDEX($V$2:$V$1001,MATCH(ROWS($U$2:U533),$U$2:$U$1001,0),1)&gt;=100000,INDEX($AB$1005:$AQ$1005,1,MATCH(COLUMNS($AB$1006:AO1006),$AB$1006:$AQ$1006,0))&gt;=100000), " ",IF(INDEX($AB$2:$AQ$1001,MATCH(ROWS($U$2:U533),$U$2:$U$1001,0),MATCH(COLUMNS($AB$1006:AO1006),$AB$1006:$AQ$1006,0)), HYPERLINK("#",""), HYPERLINK(CONCATENATE("#metadata!", ADDRESS(INDEX($W$2:$W$1001,MATCH(ROWS($U$2:U533),$U$2:$U$1001,0),0), INDEX($AB$1004:$AQ$1004,1,MATCH(COLUMNS($AB$1006:AO1006),$AB$1006:$AQ$1006,0)))),"Fix")))</f>
        <v>0</v>
      </c>
      <c r="P533" s="4">
        <f>IF(OR(INDEX($V$2:$V$1001,MATCH(ROWS($U$2:U533),$U$2:$U$1001,0),1)&gt;=100000,INDEX($AB$1005:$AQ$1005,1,MATCH(COLUMNS($AB$1006:AP1006),$AB$1006:$AQ$1006,0))&gt;=100000), " ",IF(INDEX($AB$2:$AQ$1001,MATCH(ROWS($U$2:U533),$U$2:$U$1001,0),MATCH(COLUMNS($AB$1006:AP1006),$AB$1006:$AQ$1006,0)), HYPERLINK("#",""), HYPERLINK(CONCATENATE("#metadata!", ADDRESS(INDEX($W$2:$W$1001,MATCH(ROWS($U$2:U533),$U$2:$U$1001,0),0), INDEX($AB$1004:$AQ$1004,1,MATCH(COLUMNS($AB$1006:AP1006),$AB$1006:$AQ$1006,0)))),"Fix")))</f>
        <v>0</v>
      </c>
      <c r="Q533" s="4">
        <f>IF(OR(INDEX($V$2:$V$1001,MATCH(ROWS($U$2:U533),$U$2:$U$1001,0),1)&gt;=100000,INDEX($AB$1005:$AQ$1005,1,MATCH(COLUMNS($AB$1006:AQ1006),$AB$1006:$AQ$1006,0))&gt;=100000), " ",IF(INDEX($AB$2:$AQ$1001,MATCH(ROWS($U$2:U533),$U$2:$U$1001,0),MATCH(COLUMNS($AB$1006:AQ1006),$AB$1006:$AQ$1006,0)), HYPERLINK("#",""), HYPERLINK(CONCATENATE("#metadata!", ADDRESS(INDEX($W$2:$W$1001,MATCH(ROWS($U$2:U533),$U$2:$U$1001,0),0), INDEX($AB$1004:$AQ$1004,1,MATCH(COLUMNS($AB$1006:AQ1006),$AB$1006:$AQ$1006,0)))),"Fix")))</f>
        <v>0</v>
      </c>
      <c r="U533">
        <v>0</v>
      </c>
      <c r="V533">
        <v>0</v>
      </c>
      <c r="W533">
        <v>0</v>
      </c>
      <c r="X533">
        <f>IF(Y533,TRUE,AND(AB533:AQ533))</f>
        <v>0</v>
      </c>
      <c r="Y533">
        <f>COUNTBLANK(metadata!B533:Q533)=COLUMNS(metadata!B533:Q533)</f>
        <v>0</v>
      </c>
      <c r="Z533">
        <v>0</v>
      </c>
      <c r="AB533">
        <f>AND(IF(metadata!B533="",FALSE,TRUE),COUNTIF(metadata!B:B, metadata!B533) = 1,NOT(ISERROR(SUMPRODUCT(SEARCH(MID(metadata!B533,ROW(INDIRECT("1:"&amp;LEN(metadata!B533))), 1),"0123456789abcdefghijklmnopqrstuvwxyzABCDEFGHIJKLMNOPQRSTUVWXYZ.")))))</f>
        <v>0</v>
      </c>
      <c r="AC533">
        <f>OR(AND(IF(metadata!C533="",FALSE,TRUE),OR(exact(metadata!C533,"missing: not collected"),exact(metadata!C533,"missing: not provided"),exact(metadata!C533,"missing: restricted access"))),AND(IF(metadata!C533="",FALSE,TRUE),AND(AND(IFERROR(INT(LEFT(metadata!C533,4))&gt;1900,FALSE),IFERROR(INT(LEFT(metadata!C533,4))&lt;=YEAR(NOW()),FALSE)), OR(MID(metadata!C533,5,1)="", AND(AND(MID(metadata!C533,5,1)="-",IFERROR(INT(MID(metadata!C533,6,1))&gt;=0,FALSE),IFERROR(INT(MID(metadata!C533,6,1))&lt;=1,FALSE),NOT(MID(metadata!C533,7,1)=""),IFERROR(INT(MID(metadata!C533,6,2))&gt;=1,FALSE),IFERROR(INT(MID(metadata!C533,6,2))&lt;=12,FALSE)), OR(MID(metadata!C533,8,1)="", AND(AND(MID(metadata!C533,8,1)="-",IFERROR(INT(MID(metadata!C533,9,1))&gt;=0,FALSE),IFERROR(INT(MID(metadata!C533,9,1))&lt;=3,FALSE),NOT(MID(metadata!C533,10,1)=""),IFERROR(INT(MID(metadata!C533,9,2))&gt;=1,FALSE),IFERROR(INT(MID(metadata!C533,9,2))&lt;=31,FALSE)), OR(MID(metadata!C533,11,1)="", AND(AND(MID(metadata!C533,11,1)=" ",IFERROR(INT(MID(metadata!C533,12,1))&gt;=0,FALSE),IFERROR(INT(MID(metadata!C533,12,1))&lt;=2,FALSE),NOT(MID(metadata!C533,13,1)=""),IFERROR(INT(MID(metadata!C533,12,2))&gt;=0,FALSE),IFERROR(INT(MID(metadata!C533,12,2))&lt;=23,FALSE)), OR(MID(metadata!C533,14,1)="", AND(AND(MID(metadata!C533,14,1)=":",IFERROR(INT(MID(metadata!C533,15,1))&gt;=0,FALSE),IFERROR(INT(MID(metadata!C533,15,1))&lt;=5,FALSE),NOT(MID(metadata!C533,16,1)=""),IFERROR(INT(MID(metadata!C533,15,2))&gt;=0,FALSE),IFERROR(INT(MID(metadata!C533,15,2))&lt;=59,FALSE)), OR(MID(metadata!C533,17,1)="", AND(AND(MID(metadata!C533,17,1)=":",IFERROR(INT(MID(metadata!C533,18,1))&gt;=0,FALSE),IFERROR(INT(MID(metadata!C533,18,1))&lt;=5,FALSE),NOT(MID(metadata!C533,19,1)=""),IFERROR(INT(MID(metadata!C533,18,2))&gt;=0,FALSE),IFERROR(INT(MID(metadata!C533,18,2))&lt;=59,FALSE)), LEN(metadata!C533)&lt;=19)))))))))))))</f>
        <v>0</v>
      </c>
      <c r="AD533">
        <f>IF(metadata!D533="",FALSE,TRUE)</f>
        <v>0</v>
      </c>
      <c r="AE533">
        <f>OR(AND(IF(metadata!E533="",FALSE,TRUE),OR(exact(metadata!E533,"missing: not collected"),exact(metadata!E533,"missing: not provided"))),AND(IF(metadata!E533="",FALSE,TRUE),OR(exact(metadata!E533,"TRUE"),exact(metadata!E533,"FALSE"))))</f>
        <v>0</v>
      </c>
      <c r="AF533">
        <f>IF(metadata!F533="",FALSE,TRUE)</f>
        <v>0</v>
      </c>
      <c r="AG533">
        <f>IF(metadata!G533="",FALSE,TRUE)</f>
        <v>0</v>
      </c>
      <c r="AH533">
        <f>IF(metadata!H533="",FALSE,TRUE)</f>
        <v>0</v>
      </c>
      <c r="AI533">
        <f>OR(AND(IF(metadata!I533="",FALSE,TRUE),OR(exact(metadata!I533,"missing: not collected"),exact(metadata!I533,"missing: not provided"),exact(metadata!I533,"missing: restricted access"))),AND(IF(metadata!I533="",FALSE,TRUE),OR(exact(metadata!I533,"air"),exact(metadata!I533,"built environment"),exact(metadata!I533,"host-associated"),exact(metadata!I533,"human-associated"),exact(metadata!I533,"human-skin"),exact(metadata!I533,"human-oral"),exact(metadata!I533,"human-gut"),exact(metadata!I533,"human-vaginal"),exact(metadata!I533,"microbial mat/biofilm"),exact(metadata!I533,"misc environment"),exact(metadata!I533,"plant-associated"),exact(metadata!I533,"sediment"),exact(metadata!I533,"soil"),exact(metadata!I533,"wastewater/sludge"),exact(metadata!I533,"water"))))</f>
        <v>0</v>
      </c>
      <c r="AJ533">
        <f>IF(metadata!J533="",FALSE,TRUE)</f>
        <v>0</v>
      </c>
      <c r="AK533">
        <f>OR(AND(IF(metadata!K533="",FALSE,TRUE),OR(exact(metadata!K533,"missing: not collected"),exact(metadata!K533,"missing: not provided"),exact(metadata!K533,"missing: restricted access"))),AND(IF(metadata!K533="",FALSE,ISNUMBER(VALUE(metadata!K533))),metadata!K533&gt;=-90.00,metadata!K533&lt;=90.00))</f>
        <v>0</v>
      </c>
      <c r="AL533">
        <f>OR(AND(IF(metadata!L533="",FALSE,TRUE),OR(exact(metadata!L533,"missing: not collected"),exact(metadata!L533,"missing: not provided"),exact(metadata!L533,"missing: restricted access"))),AND(IF(metadata!L533="",FALSE,ISNUMBER(VALUE(metadata!L533))),metadata!L533&gt;=-180.00,metadata!L533&lt;=180.00))</f>
        <v>0</v>
      </c>
      <c r="AM533">
        <f>IF(metadata!M533="",FALSE,TRUE)</f>
        <v>0</v>
      </c>
      <c r="AN533">
        <f>OR(AND(IF(metadata!N533="",FALSE,TRUE),OR(exact(metadata!N533,"missing: not collected"),exact(metadata!N533,"missing: not provided"),exact(metadata!N533,"missing: restricted access"))),AND(IF(metadata!N533="",FALSE,TRUE),OR(exact(metadata!N533,"TRUE"),exact(metadata!N533,"FALSE"))))</f>
        <v>0</v>
      </c>
      <c r="AO533">
        <f>IF(metadata!O533="",FALSE,TRUE)</f>
        <v>0</v>
      </c>
      <c r="AP533">
        <f>OR(AND(IF(metadata!P533="",FALSE,TRUE),OR(exact(metadata!P533,"missing: not collected"),exact(metadata!P533,"missing: not provided"))),AND(IF(metadata!P533="",FALSE,IF(ISERROR(INT(metadata!P533)),FALSE,INT(metadata!P533)=metadata!P533)),metadata!P533&gt;0))</f>
        <v>0</v>
      </c>
      <c r="AQ533">
        <f>IF(metadata!Q533="",FALSE,TRUE)</f>
        <v>0</v>
      </c>
    </row>
    <row r="534" spans="1:43">
      <c r="A534" s="5">
        <f>IF(B534=" "," ",HYPERLINK(CONCATENATE("#metadata!",ADDRESS(INDEX($W$2:$W$1001,MATCH(ROWS($U$2:U534),$U$2:$U$1001,0),0),1)),INDEX($Z$2:$Z$1001,MATCH(ROWS($U$2:U534),$U$2:$U$1001,0),0)))</f>
        <v>0</v>
      </c>
      <c r="B534" s="4">
        <f>IF(OR(INDEX($V$2:$V$1001,MATCH(ROWS($U$2:U534),$U$2:$U$1001,0),1)&gt;=100000,INDEX($AB$1005:$AQ$1005,1,MATCH(COLUMNS($AB$1006:AB1006),$AB$1006:$AQ$1006,0))&gt;=100000), " ",IF(INDEX($AB$2:$AQ$1001,MATCH(ROWS($U$2:U534),$U$2:$U$1001,0),MATCH(COLUMNS($AB$1006:AB1006),$AB$1006:$AQ$1006,0)), HYPERLINK("#",""), HYPERLINK(CONCATENATE("#metadata!", ADDRESS(INDEX($W$2:$W$1001,MATCH(ROWS($U$2:U534),$U$2:$U$1001,0),0), INDEX($AB$1004:$AQ$1004,1,MATCH(COLUMNS($AB$1006:AB1006),$AB$1006:$AQ$1006,0)))),"Fix")))</f>
        <v>0</v>
      </c>
      <c r="C534" s="4">
        <f>IF(OR(INDEX($V$2:$V$1001,MATCH(ROWS($U$2:U534),$U$2:$U$1001,0),1)&gt;=100000,INDEX($AB$1005:$AQ$1005,1,MATCH(COLUMNS($AB$1006:AC1006),$AB$1006:$AQ$1006,0))&gt;=100000), " ",IF(INDEX($AB$2:$AQ$1001,MATCH(ROWS($U$2:U534),$U$2:$U$1001,0),MATCH(COLUMNS($AB$1006:AC1006),$AB$1006:$AQ$1006,0)), HYPERLINK("#",""), HYPERLINK(CONCATENATE("#metadata!", ADDRESS(INDEX($W$2:$W$1001,MATCH(ROWS($U$2:U534),$U$2:$U$1001,0),0), INDEX($AB$1004:$AQ$1004,1,MATCH(COLUMNS($AB$1006:AC1006),$AB$1006:$AQ$1006,0)))),"Fix")))</f>
        <v>0</v>
      </c>
      <c r="D534" s="4">
        <f>IF(OR(INDEX($V$2:$V$1001,MATCH(ROWS($U$2:U534),$U$2:$U$1001,0),1)&gt;=100000,INDEX($AB$1005:$AQ$1005,1,MATCH(COLUMNS($AB$1006:AD1006),$AB$1006:$AQ$1006,0))&gt;=100000), " ",IF(INDEX($AB$2:$AQ$1001,MATCH(ROWS($U$2:U534),$U$2:$U$1001,0),MATCH(COLUMNS($AB$1006:AD1006),$AB$1006:$AQ$1006,0)), HYPERLINK("#",""), HYPERLINK(CONCATENATE("#metadata!", ADDRESS(INDEX($W$2:$W$1001,MATCH(ROWS($U$2:U534),$U$2:$U$1001,0),0), INDEX($AB$1004:$AQ$1004,1,MATCH(COLUMNS($AB$1006:AD1006),$AB$1006:$AQ$1006,0)))),"Fix")))</f>
        <v>0</v>
      </c>
      <c r="E534" s="4">
        <f>IF(OR(INDEX($V$2:$V$1001,MATCH(ROWS($U$2:U534),$U$2:$U$1001,0),1)&gt;=100000,INDEX($AB$1005:$AQ$1005,1,MATCH(COLUMNS($AB$1006:AE1006),$AB$1006:$AQ$1006,0))&gt;=100000), " ",IF(INDEX($AB$2:$AQ$1001,MATCH(ROWS($U$2:U534),$U$2:$U$1001,0),MATCH(COLUMNS($AB$1006:AE1006),$AB$1006:$AQ$1006,0)), HYPERLINK("#",""), HYPERLINK(CONCATENATE("#metadata!", ADDRESS(INDEX($W$2:$W$1001,MATCH(ROWS($U$2:U534),$U$2:$U$1001,0),0), INDEX($AB$1004:$AQ$1004,1,MATCH(COLUMNS($AB$1006:AE1006),$AB$1006:$AQ$1006,0)))),"Fix")))</f>
        <v>0</v>
      </c>
      <c r="F534" s="4">
        <f>IF(OR(INDEX($V$2:$V$1001,MATCH(ROWS($U$2:U534),$U$2:$U$1001,0),1)&gt;=100000,INDEX($AB$1005:$AQ$1005,1,MATCH(COLUMNS($AB$1006:AF1006),$AB$1006:$AQ$1006,0))&gt;=100000), " ",IF(INDEX($AB$2:$AQ$1001,MATCH(ROWS($U$2:U534),$U$2:$U$1001,0),MATCH(COLUMNS($AB$1006:AF1006),$AB$1006:$AQ$1006,0)), HYPERLINK("#",""), HYPERLINK(CONCATENATE("#metadata!", ADDRESS(INDEX($W$2:$W$1001,MATCH(ROWS($U$2:U534),$U$2:$U$1001,0),0), INDEX($AB$1004:$AQ$1004,1,MATCH(COLUMNS($AB$1006:AF1006),$AB$1006:$AQ$1006,0)))),"Fix")))</f>
        <v>0</v>
      </c>
      <c r="G534" s="4">
        <f>IF(OR(INDEX($V$2:$V$1001,MATCH(ROWS($U$2:U534),$U$2:$U$1001,0),1)&gt;=100000,INDEX($AB$1005:$AQ$1005,1,MATCH(COLUMNS($AB$1006:AG1006),$AB$1006:$AQ$1006,0))&gt;=100000), " ",IF(INDEX($AB$2:$AQ$1001,MATCH(ROWS($U$2:U534),$U$2:$U$1001,0),MATCH(COLUMNS($AB$1006:AG1006),$AB$1006:$AQ$1006,0)), HYPERLINK("#",""), HYPERLINK(CONCATENATE("#metadata!", ADDRESS(INDEX($W$2:$W$1001,MATCH(ROWS($U$2:U534),$U$2:$U$1001,0),0), INDEX($AB$1004:$AQ$1004,1,MATCH(COLUMNS($AB$1006:AG1006),$AB$1006:$AQ$1006,0)))),"Fix")))</f>
        <v>0</v>
      </c>
      <c r="H534" s="4">
        <f>IF(OR(INDEX($V$2:$V$1001,MATCH(ROWS($U$2:U534),$U$2:$U$1001,0),1)&gt;=100000,INDEX($AB$1005:$AQ$1005,1,MATCH(COLUMNS($AB$1006:AH1006),$AB$1006:$AQ$1006,0))&gt;=100000), " ",IF(INDEX($AB$2:$AQ$1001,MATCH(ROWS($U$2:U534),$U$2:$U$1001,0),MATCH(COLUMNS($AB$1006:AH1006),$AB$1006:$AQ$1006,0)), HYPERLINK("#",""), HYPERLINK(CONCATENATE("#metadata!", ADDRESS(INDEX($W$2:$W$1001,MATCH(ROWS($U$2:U534),$U$2:$U$1001,0),0), INDEX($AB$1004:$AQ$1004,1,MATCH(COLUMNS($AB$1006:AH1006),$AB$1006:$AQ$1006,0)))),"Fix")))</f>
        <v>0</v>
      </c>
      <c r="I534" s="4">
        <f>IF(OR(INDEX($V$2:$V$1001,MATCH(ROWS($U$2:U534),$U$2:$U$1001,0),1)&gt;=100000,INDEX($AB$1005:$AQ$1005,1,MATCH(COLUMNS($AB$1006:AI1006),$AB$1006:$AQ$1006,0))&gt;=100000), " ",IF(INDEX($AB$2:$AQ$1001,MATCH(ROWS($U$2:U534),$U$2:$U$1001,0),MATCH(COLUMNS($AB$1006:AI1006),$AB$1006:$AQ$1006,0)), HYPERLINK("#",""), HYPERLINK(CONCATENATE("#metadata!", ADDRESS(INDEX($W$2:$W$1001,MATCH(ROWS($U$2:U534),$U$2:$U$1001,0),0), INDEX($AB$1004:$AQ$1004,1,MATCH(COLUMNS($AB$1006:AI1006),$AB$1006:$AQ$1006,0)))),"Fix")))</f>
        <v>0</v>
      </c>
      <c r="J534" s="4">
        <f>IF(OR(INDEX($V$2:$V$1001,MATCH(ROWS($U$2:U534),$U$2:$U$1001,0),1)&gt;=100000,INDEX($AB$1005:$AQ$1005,1,MATCH(COLUMNS($AB$1006:AJ1006),$AB$1006:$AQ$1006,0))&gt;=100000), " ",IF(INDEX($AB$2:$AQ$1001,MATCH(ROWS($U$2:U534),$U$2:$U$1001,0),MATCH(COLUMNS($AB$1006:AJ1006),$AB$1006:$AQ$1006,0)), HYPERLINK("#",""), HYPERLINK(CONCATENATE("#metadata!", ADDRESS(INDEX($W$2:$W$1001,MATCH(ROWS($U$2:U534),$U$2:$U$1001,0),0), INDEX($AB$1004:$AQ$1004,1,MATCH(COLUMNS($AB$1006:AJ1006),$AB$1006:$AQ$1006,0)))),"Fix")))</f>
        <v>0</v>
      </c>
      <c r="K534" s="4">
        <f>IF(OR(INDEX($V$2:$V$1001,MATCH(ROWS($U$2:U534),$U$2:$U$1001,0),1)&gt;=100000,INDEX($AB$1005:$AQ$1005,1,MATCH(COLUMNS($AB$1006:AK1006),$AB$1006:$AQ$1006,0))&gt;=100000), " ",IF(INDEX($AB$2:$AQ$1001,MATCH(ROWS($U$2:U534),$U$2:$U$1001,0),MATCH(COLUMNS($AB$1006:AK1006),$AB$1006:$AQ$1006,0)), HYPERLINK("#",""), HYPERLINK(CONCATENATE("#metadata!", ADDRESS(INDEX($W$2:$W$1001,MATCH(ROWS($U$2:U534),$U$2:$U$1001,0),0), INDEX($AB$1004:$AQ$1004,1,MATCH(COLUMNS($AB$1006:AK1006),$AB$1006:$AQ$1006,0)))),"Fix")))</f>
        <v>0</v>
      </c>
      <c r="L534" s="4">
        <f>IF(OR(INDEX($V$2:$V$1001,MATCH(ROWS($U$2:U534),$U$2:$U$1001,0),1)&gt;=100000,INDEX($AB$1005:$AQ$1005,1,MATCH(COLUMNS($AB$1006:AL1006),$AB$1006:$AQ$1006,0))&gt;=100000), " ",IF(INDEX($AB$2:$AQ$1001,MATCH(ROWS($U$2:U534),$U$2:$U$1001,0),MATCH(COLUMNS($AB$1006:AL1006),$AB$1006:$AQ$1006,0)), HYPERLINK("#",""), HYPERLINK(CONCATENATE("#metadata!", ADDRESS(INDEX($W$2:$W$1001,MATCH(ROWS($U$2:U534),$U$2:$U$1001,0),0), INDEX($AB$1004:$AQ$1004,1,MATCH(COLUMNS($AB$1006:AL1006),$AB$1006:$AQ$1006,0)))),"Fix")))</f>
        <v>0</v>
      </c>
      <c r="M534" s="4">
        <f>IF(OR(INDEX($V$2:$V$1001,MATCH(ROWS($U$2:U534),$U$2:$U$1001,0),1)&gt;=100000,INDEX($AB$1005:$AQ$1005,1,MATCH(COLUMNS($AB$1006:AM1006),$AB$1006:$AQ$1006,0))&gt;=100000), " ",IF(INDEX($AB$2:$AQ$1001,MATCH(ROWS($U$2:U534),$U$2:$U$1001,0),MATCH(COLUMNS($AB$1006:AM1006),$AB$1006:$AQ$1006,0)), HYPERLINK("#",""), HYPERLINK(CONCATENATE("#metadata!", ADDRESS(INDEX($W$2:$W$1001,MATCH(ROWS($U$2:U534),$U$2:$U$1001,0),0), INDEX($AB$1004:$AQ$1004,1,MATCH(COLUMNS($AB$1006:AM1006),$AB$1006:$AQ$1006,0)))),"Fix")))</f>
        <v>0</v>
      </c>
      <c r="N534" s="4">
        <f>IF(OR(INDEX($V$2:$V$1001,MATCH(ROWS($U$2:U534),$U$2:$U$1001,0),1)&gt;=100000,INDEX($AB$1005:$AQ$1005,1,MATCH(COLUMNS($AB$1006:AN1006),$AB$1006:$AQ$1006,0))&gt;=100000), " ",IF(INDEX($AB$2:$AQ$1001,MATCH(ROWS($U$2:U534),$U$2:$U$1001,0),MATCH(COLUMNS($AB$1006:AN1006),$AB$1006:$AQ$1006,0)), HYPERLINK("#",""), HYPERLINK(CONCATENATE("#metadata!", ADDRESS(INDEX($W$2:$W$1001,MATCH(ROWS($U$2:U534),$U$2:$U$1001,0),0), INDEX($AB$1004:$AQ$1004,1,MATCH(COLUMNS($AB$1006:AN1006),$AB$1006:$AQ$1006,0)))),"Fix")))</f>
        <v>0</v>
      </c>
      <c r="O534" s="4">
        <f>IF(OR(INDEX($V$2:$V$1001,MATCH(ROWS($U$2:U534),$U$2:$U$1001,0),1)&gt;=100000,INDEX($AB$1005:$AQ$1005,1,MATCH(COLUMNS($AB$1006:AO1006),$AB$1006:$AQ$1006,0))&gt;=100000), " ",IF(INDEX($AB$2:$AQ$1001,MATCH(ROWS($U$2:U534),$U$2:$U$1001,0),MATCH(COLUMNS($AB$1006:AO1006),$AB$1006:$AQ$1006,0)), HYPERLINK("#",""), HYPERLINK(CONCATENATE("#metadata!", ADDRESS(INDEX($W$2:$W$1001,MATCH(ROWS($U$2:U534),$U$2:$U$1001,0),0), INDEX($AB$1004:$AQ$1004,1,MATCH(COLUMNS($AB$1006:AO1006),$AB$1006:$AQ$1006,0)))),"Fix")))</f>
        <v>0</v>
      </c>
      <c r="P534" s="4">
        <f>IF(OR(INDEX($V$2:$V$1001,MATCH(ROWS($U$2:U534),$U$2:$U$1001,0),1)&gt;=100000,INDEX($AB$1005:$AQ$1005,1,MATCH(COLUMNS($AB$1006:AP1006),$AB$1006:$AQ$1006,0))&gt;=100000), " ",IF(INDEX($AB$2:$AQ$1001,MATCH(ROWS($U$2:U534),$U$2:$U$1001,0),MATCH(COLUMNS($AB$1006:AP1006),$AB$1006:$AQ$1006,0)), HYPERLINK("#",""), HYPERLINK(CONCATENATE("#metadata!", ADDRESS(INDEX($W$2:$W$1001,MATCH(ROWS($U$2:U534),$U$2:$U$1001,0),0), INDEX($AB$1004:$AQ$1004,1,MATCH(COLUMNS($AB$1006:AP1006),$AB$1006:$AQ$1006,0)))),"Fix")))</f>
        <v>0</v>
      </c>
      <c r="Q534" s="4">
        <f>IF(OR(INDEX($V$2:$V$1001,MATCH(ROWS($U$2:U534),$U$2:$U$1001,0),1)&gt;=100000,INDEX($AB$1005:$AQ$1005,1,MATCH(COLUMNS($AB$1006:AQ1006),$AB$1006:$AQ$1006,0))&gt;=100000), " ",IF(INDEX($AB$2:$AQ$1001,MATCH(ROWS($U$2:U534),$U$2:$U$1001,0),MATCH(COLUMNS($AB$1006:AQ1006),$AB$1006:$AQ$1006,0)), HYPERLINK("#",""), HYPERLINK(CONCATENATE("#metadata!", ADDRESS(INDEX($W$2:$W$1001,MATCH(ROWS($U$2:U534),$U$2:$U$1001,0),0), INDEX($AB$1004:$AQ$1004,1,MATCH(COLUMNS($AB$1006:AQ1006),$AB$1006:$AQ$1006,0)))),"Fix")))</f>
        <v>0</v>
      </c>
      <c r="U534">
        <v>0</v>
      </c>
      <c r="V534">
        <v>0</v>
      </c>
      <c r="W534">
        <v>0</v>
      </c>
      <c r="X534">
        <f>IF(Y534,TRUE,AND(AB534:AQ534))</f>
        <v>0</v>
      </c>
      <c r="Y534">
        <f>COUNTBLANK(metadata!B534:Q534)=COLUMNS(metadata!B534:Q534)</f>
        <v>0</v>
      </c>
      <c r="Z534">
        <v>0</v>
      </c>
      <c r="AB534">
        <f>AND(IF(metadata!B534="",FALSE,TRUE),COUNTIF(metadata!B:B, metadata!B534) = 1,NOT(ISERROR(SUMPRODUCT(SEARCH(MID(metadata!B534,ROW(INDIRECT("1:"&amp;LEN(metadata!B534))), 1),"0123456789abcdefghijklmnopqrstuvwxyzABCDEFGHIJKLMNOPQRSTUVWXYZ.")))))</f>
        <v>0</v>
      </c>
      <c r="AC534">
        <f>OR(AND(IF(metadata!C534="",FALSE,TRUE),OR(exact(metadata!C534,"missing: not collected"),exact(metadata!C534,"missing: not provided"),exact(metadata!C534,"missing: restricted access"))),AND(IF(metadata!C534="",FALSE,TRUE),AND(AND(IFERROR(INT(LEFT(metadata!C534,4))&gt;1900,FALSE),IFERROR(INT(LEFT(metadata!C534,4))&lt;=YEAR(NOW()),FALSE)), OR(MID(metadata!C534,5,1)="", AND(AND(MID(metadata!C534,5,1)="-",IFERROR(INT(MID(metadata!C534,6,1))&gt;=0,FALSE),IFERROR(INT(MID(metadata!C534,6,1))&lt;=1,FALSE),NOT(MID(metadata!C534,7,1)=""),IFERROR(INT(MID(metadata!C534,6,2))&gt;=1,FALSE),IFERROR(INT(MID(metadata!C534,6,2))&lt;=12,FALSE)), OR(MID(metadata!C534,8,1)="", AND(AND(MID(metadata!C534,8,1)="-",IFERROR(INT(MID(metadata!C534,9,1))&gt;=0,FALSE),IFERROR(INT(MID(metadata!C534,9,1))&lt;=3,FALSE),NOT(MID(metadata!C534,10,1)=""),IFERROR(INT(MID(metadata!C534,9,2))&gt;=1,FALSE),IFERROR(INT(MID(metadata!C534,9,2))&lt;=31,FALSE)), OR(MID(metadata!C534,11,1)="", AND(AND(MID(metadata!C534,11,1)=" ",IFERROR(INT(MID(metadata!C534,12,1))&gt;=0,FALSE),IFERROR(INT(MID(metadata!C534,12,1))&lt;=2,FALSE),NOT(MID(metadata!C534,13,1)=""),IFERROR(INT(MID(metadata!C534,12,2))&gt;=0,FALSE),IFERROR(INT(MID(metadata!C534,12,2))&lt;=23,FALSE)), OR(MID(metadata!C534,14,1)="", AND(AND(MID(metadata!C534,14,1)=":",IFERROR(INT(MID(metadata!C534,15,1))&gt;=0,FALSE),IFERROR(INT(MID(metadata!C534,15,1))&lt;=5,FALSE),NOT(MID(metadata!C534,16,1)=""),IFERROR(INT(MID(metadata!C534,15,2))&gt;=0,FALSE),IFERROR(INT(MID(metadata!C534,15,2))&lt;=59,FALSE)), OR(MID(metadata!C534,17,1)="", AND(AND(MID(metadata!C534,17,1)=":",IFERROR(INT(MID(metadata!C534,18,1))&gt;=0,FALSE),IFERROR(INT(MID(metadata!C534,18,1))&lt;=5,FALSE),NOT(MID(metadata!C534,19,1)=""),IFERROR(INT(MID(metadata!C534,18,2))&gt;=0,FALSE),IFERROR(INT(MID(metadata!C534,18,2))&lt;=59,FALSE)), LEN(metadata!C534)&lt;=19)))))))))))))</f>
        <v>0</v>
      </c>
      <c r="AD534">
        <f>IF(metadata!D534="",FALSE,TRUE)</f>
        <v>0</v>
      </c>
      <c r="AE534">
        <f>OR(AND(IF(metadata!E534="",FALSE,TRUE),OR(exact(metadata!E534,"missing: not collected"),exact(metadata!E534,"missing: not provided"))),AND(IF(metadata!E534="",FALSE,TRUE),OR(exact(metadata!E534,"TRUE"),exact(metadata!E534,"FALSE"))))</f>
        <v>0</v>
      </c>
      <c r="AF534">
        <f>IF(metadata!F534="",FALSE,TRUE)</f>
        <v>0</v>
      </c>
      <c r="AG534">
        <f>IF(metadata!G534="",FALSE,TRUE)</f>
        <v>0</v>
      </c>
      <c r="AH534">
        <f>IF(metadata!H534="",FALSE,TRUE)</f>
        <v>0</v>
      </c>
      <c r="AI534">
        <f>OR(AND(IF(metadata!I534="",FALSE,TRUE),OR(exact(metadata!I534,"missing: not collected"),exact(metadata!I534,"missing: not provided"),exact(metadata!I534,"missing: restricted access"))),AND(IF(metadata!I534="",FALSE,TRUE),OR(exact(metadata!I534,"air"),exact(metadata!I534,"built environment"),exact(metadata!I534,"host-associated"),exact(metadata!I534,"human-associated"),exact(metadata!I534,"human-skin"),exact(metadata!I534,"human-oral"),exact(metadata!I534,"human-gut"),exact(metadata!I534,"human-vaginal"),exact(metadata!I534,"microbial mat/biofilm"),exact(metadata!I534,"misc environment"),exact(metadata!I534,"plant-associated"),exact(metadata!I534,"sediment"),exact(metadata!I534,"soil"),exact(metadata!I534,"wastewater/sludge"),exact(metadata!I534,"water"))))</f>
        <v>0</v>
      </c>
      <c r="AJ534">
        <f>IF(metadata!J534="",FALSE,TRUE)</f>
        <v>0</v>
      </c>
      <c r="AK534">
        <f>OR(AND(IF(metadata!K534="",FALSE,TRUE),OR(exact(metadata!K534,"missing: not collected"),exact(metadata!K534,"missing: not provided"),exact(metadata!K534,"missing: restricted access"))),AND(IF(metadata!K534="",FALSE,ISNUMBER(VALUE(metadata!K534))),metadata!K534&gt;=-90.00,metadata!K534&lt;=90.00))</f>
        <v>0</v>
      </c>
      <c r="AL534">
        <f>OR(AND(IF(metadata!L534="",FALSE,TRUE),OR(exact(metadata!L534,"missing: not collected"),exact(metadata!L534,"missing: not provided"),exact(metadata!L534,"missing: restricted access"))),AND(IF(metadata!L534="",FALSE,ISNUMBER(VALUE(metadata!L534))),metadata!L534&gt;=-180.00,metadata!L534&lt;=180.00))</f>
        <v>0</v>
      </c>
      <c r="AM534">
        <f>IF(metadata!M534="",FALSE,TRUE)</f>
        <v>0</v>
      </c>
      <c r="AN534">
        <f>OR(AND(IF(metadata!N534="",FALSE,TRUE),OR(exact(metadata!N534,"missing: not collected"),exact(metadata!N534,"missing: not provided"),exact(metadata!N534,"missing: restricted access"))),AND(IF(metadata!N534="",FALSE,TRUE),OR(exact(metadata!N534,"TRUE"),exact(metadata!N534,"FALSE"))))</f>
        <v>0</v>
      </c>
      <c r="AO534">
        <f>IF(metadata!O534="",FALSE,TRUE)</f>
        <v>0</v>
      </c>
      <c r="AP534">
        <f>OR(AND(IF(metadata!P534="",FALSE,TRUE),OR(exact(metadata!P534,"missing: not collected"),exact(metadata!P534,"missing: not provided"))),AND(IF(metadata!P534="",FALSE,IF(ISERROR(INT(metadata!P534)),FALSE,INT(metadata!P534)=metadata!P534)),metadata!P534&gt;0))</f>
        <v>0</v>
      </c>
      <c r="AQ534">
        <f>IF(metadata!Q534="",FALSE,TRUE)</f>
        <v>0</v>
      </c>
    </row>
    <row r="535" spans="1:43">
      <c r="A535" s="5">
        <f>IF(B535=" "," ",HYPERLINK(CONCATENATE("#metadata!",ADDRESS(INDEX($W$2:$W$1001,MATCH(ROWS($U$2:U535),$U$2:$U$1001,0),0),1)),INDEX($Z$2:$Z$1001,MATCH(ROWS($U$2:U535),$U$2:$U$1001,0),0)))</f>
        <v>0</v>
      </c>
      <c r="B535" s="4">
        <f>IF(OR(INDEX($V$2:$V$1001,MATCH(ROWS($U$2:U535),$U$2:$U$1001,0),1)&gt;=100000,INDEX($AB$1005:$AQ$1005,1,MATCH(COLUMNS($AB$1006:AB1006),$AB$1006:$AQ$1006,0))&gt;=100000), " ",IF(INDEX($AB$2:$AQ$1001,MATCH(ROWS($U$2:U535),$U$2:$U$1001,0),MATCH(COLUMNS($AB$1006:AB1006),$AB$1006:$AQ$1006,0)), HYPERLINK("#",""), HYPERLINK(CONCATENATE("#metadata!", ADDRESS(INDEX($W$2:$W$1001,MATCH(ROWS($U$2:U535),$U$2:$U$1001,0),0), INDEX($AB$1004:$AQ$1004,1,MATCH(COLUMNS($AB$1006:AB1006),$AB$1006:$AQ$1006,0)))),"Fix")))</f>
        <v>0</v>
      </c>
      <c r="C535" s="4">
        <f>IF(OR(INDEX($V$2:$V$1001,MATCH(ROWS($U$2:U535),$U$2:$U$1001,0),1)&gt;=100000,INDEX($AB$1005:$AQ$1005,1,MATCH(COLUMNS($AB$1006:AC1006),$AB$1006:$AQ$1006,0))&gt;=100000), " ",IF(INDEX($AB$2:$AQ$1001,MATCH(ROWS($U$2:U535),$U$2:$U$1001,0),MATCH(COLUMNS($AB$1006:AC1006),$AB$1006:$AQ$1006,0)), HYPERLINK("#",""), HYPERLINK(CONCATENATE("#metadata!", ADDRESS(INDEX($W$2:$W$1001,MATCH(ROWS($U$2:U535),$U$2:$U$1001,0),0), INDEX($AB$1004:$AQ$1004,1,MATCH(COLUMNS($AB$1006:AC1006),$AB$1006:$AQ$1006,0)))),"Fix")))</f>
        <v>0</v>
      </c>
      <c r="D535" s="4">
        <f>IF(OR(INDEX($V$2:$V$1001,MATCH(ROWS($U$2:U535),$U$2:$U$1001,0),1)&gt;=100000,INDEX($AB$1005:$AQ$1005,1,MATCH(COLUMNS($AB$1006:AD1006),$AB$1006:$AQ$1006,0))&gt;=100000), " ",IF(INDEX($AB$2:$AQ$1001,MATCH(ROWS($U$2:U535),$U$2:$U$1001,0),MATCH(COLUMNS($AB$1006:AD1006),$AB$1006:$AQ$1006,0)), HYPERLINK("#",""), HYPERLINK(CONCATENATE("#metadata!", ADDRESS(INDEX($W$2:$W$1001,MATCH(ROWS($U$2:U535),$U$2:$U$1001,0),0), INDEX($AB$1004:$AQ$1004,1,MATCH(COLUMNS($AB$1006:AD1006),$AB$1006:$AQ$1006,0)))),"Fix")))</f>
        <v>0</v>
      </c>
      <c r="E535" s="4">
        <f>IF(OR(INDEX($V$2:$V$1001,MATCH(ROWS($U$2:U535),$U$2:$U$1001,0),1)&gt;=100000,INDEX($AB$1005:$AQ$1005,1,MATCH(COLUMNS($AB$1006:AE1006),$AB$1006:$AQ$1006,0))&gt;=100000), " ",IF(INDEX($AB$2:$AQ$1001,MATCH(ROWS($U$2:U535),$U$2:$U$1001,0),MATCH(COLUMNS($AB$1006:AE1006),$AB$1006:$AQ$1006,0)), HYPERLINK("#",""), HYPERLINK(CONCATENATE("#metadata!", ADDRESS(INDEX($W$2:$W$1001,MATCH(ROWS($U$2:U535),$U$2:$U$1001,0),0), INDEX($AB$1004:$AQ$1004,1,MATCH(COLUMNS($AB$1006:AE1006),$AB$1006:$AQ$1006,0)))),"Fix")))</f>
        <v>0</v>
      </c>
      <c r="F535" s="4">
        <f>IF(OR(INDEX($V$2:$V$1001,MATCH(ROWS($U$2:U535),$U$2:$U$1001,0),1)&gt;=100000,INDEX($AB$1005:$AQ$1005,1,MATCH(COLUMNS($AB$1006:AF1006),$AB$1006:$AQ$1006,0))&gt;=100000), " ",IF(INDEX($AB$2:$AQ$1001,MATCH(ROWS($U$2:U535),$U$2:$U$1001,0),MATCH(COLUMNS($AB$1006:AF1006),$AB$1006:$AQ$1006,0)), HYPERLINK("#",""), HYPERLINK(CONCATENATE("#metadata!", ADDRESS(INDEX($W$2:$W$1001,MATCH(ROWS($U$2:U535),$U$2:$U$1001,0),0), INDEX($AB$1004:$AQ$1004,1,MATCH(COLUMNS($AB$1006:AF1006),$AB$1006:$AQ$1006,0)))),"Fix")))</f>
        <v>0</v>
      </c>
      <c r="G535" s="4">
        <f>IF(OR(INDEX($V$2:$V$1001,MATCH(ROWS($U$2:U535),$U$2:$U$1001,0),1)&gt;=100000,INDEX($AB$1005:$AQ$1005,1,MATCH(COLUMNS($AB$1006:AG1006),$AB$1006:$AQ$1006,0))&gt;=100000), " ",IF(INDEX($AB$2:$AQ$1001,MATCH(ROWS($U$2:U535),$U$2:$U$1001,0),MATCH(COLUMNS($AB$1006:AG1006),$AB$1006:$AQ$1006,0)), HYPERLINK("#",""), HYPERLINK(CONCATENATE("#metadata!", ADDRESS(INDEX($W$2:$W$1001,MATCH(ROWS($U$2:U535),$U$2:$U$1001,0),0), INDEX($AB$1004:$AQ$1004,1,MATCH(COLUMNS($AB$1006:AG1006),$AB$1006:$AQ$1006,0)))),"Fix")))</f>
        <v>0</v>
      </c>
      <c r="H535" s="4">
        <f>IF(OR(INDEX($V$2:$V$1001,MATCH(ROWS($U$2:U535),$U$2:$U$1001,0),1)&gt;=100000,INDEX($AB$1005:$AQ$1005,1,MATCH(COLUMNS($AB$1006:AH1006),$AB$1006:$AQ$1006,0))&gt;=100000), " ",IF(INDEX($AB$2:$AQ$1001,MATCH(ROWS($U$2:U535),$U$2:$U$1001,0),MATCH(COLUMNS($AB$1006:AH1006),$AB$1006:$AQ$1006,0)), HYPERLINK("#",""), HYPERLINK(CONCATENATE("#metadata!", ADDRESS(INDEX($W$2:$W$1001,MATCH(ROWS($U$2:U535),$U$2:$U$1001,0),0), INDEX($AB$1004:$AQ$1004,1,MATCH(COLUMNS($AB$1006:AH1006),$AB$1006:$AQ$1006,0)))),"Fix")))</f>
        <v>0</v>
      </c>
      <c r="I535" s="4">
        <f>IF(OR(INDEX($V$2:$V$1001,MATCH(ROWS($U$2:U535),$U$2:$U$1001,0),1)&gt;=100000,INDEX($AB$1005:$AQ$1005,1,MATCH(COLUMNS($AB$1006:AI1006),$AB$1006:$AQ$1006,0))&gt;=100000), " ",IF(INDEX($AB$2:$AQ$1001,MATCH(ROWS($U$2:U535),$U$2:$U$1001,0),MATCH(COLUMNS($AB$1006:AI1006),$AB$1006:$AQ$1006,0)), HYPERLINK("#",""), HYPERLINK(CONCATENATE("#metadata!", ADDRESS(INDEX($W$2:$W$1001,MATCH(ROWS($U$2:U535),$U$2:$U$1001,0),0), INDEX($AB$1004:$AQ$1004,1,MATCH(COLUMNS($AB$1006:AI1006),$AB$1006:$AQ$1006,0)))),"Fix")))</f>
        <v>0</v>
      </c>
      <c r="J535" s="4">
        <f>IF(OR(INDEX($V$2:$V$1001,MATCH(ROWS($U$2:U535),$U$2:$U$1001,0),1)&gt;=100000,INDEX($AB$1005:$AQ$1005,1,MATCH(COLUMNS($AB$1006:AJ1006),$AB$1006:$AQ$1006,0))&gt;=100000), " ",IF(INDEX($AB$2:$AQ$1001,MATCH(ROWS($U$2:U535),$U$2:$U$1001,0),MATCH(COLUMNS($AB$1006:AJ1006),$AB$1006:$AQ$1006,0)), HYPERLINK("#",""), HYPERLINK(CONCATENATE("#metadata!", ADDRESS(INDEX($W$2:$W$1001,MATCH(ROWS($U$2:U535),$U$2:$U$1001,0),0), INDEX($AB$1004:$AQ$1004,1,MATCH(COLUMNS($AB$1006:AJ1006),$AB$1006:$AQ$1006,0)))),"Fix")))</f>
        <v>0</v>
      </c>
      <c r="K535" s="4">
        <f>IF(OR(INDEX($V$2:$V$1001,MATCH(ROWS($U$2:U535),$U$2:$U$1001,0),1)&gt;=100000,INDEX($AB$1005:$AQ$1005,1,MATCH(COLUMNS($AB$1006:AK1006),$AB$1006:$AQ$1006,0))&gt;=100000), " ",IF(INDEX($AB$2:$AQ$1001,MATCH(ROWS($U$2:U535),$U$2:$U$1001,0),MATCH(COLUMNS($AB$1006:AK1006),$AB$1006:$AQ$1006,0)), HYPERLINK("#",""), HYPERLINK(CONCATENATE("#metadata!", ADDRESS(INDEX($W$2:$W$1001,MATCH(ROWS($U$2:U535),$U$2:$U$1001,0),0), INDEX($AB$1004:$AQ$1004,1,MATCH(COLUMNS($AB$1006:AK1006),$AB$1006:$AQ$1006,0)))),"Fix")))</f>
        <v>0</v>
      </c>
      <c r="L535" s="4">
        <f>IF(OR(INDEX($V$2:$V$1001,MATCH(ROWS($U$2:U535),$U$2:$U$1001,0),1)&gt;=100000,INDEX($AB$1005:$AQ$1005,1,MATCH(COLUMNS($AB$1006:AL1006),$AB$1006:$AQ$1006,0))&gt;=100000), " ",IF(INDEX($AB$2:$AQ$1001,MATCH(ROWS($U$2:U535),$U$2:$U$1001,0),MATCH(COLUMNS($AB$1006:AL1006),$AB$1006:$AQ$1006,0)), HYPERLINK("#",""), HYPERLINK(CONCATENATE("#metadata!", ADDRESS(INDEX($W$2:$W$1001,MATCH(ROWS($U$2:U535),$U$2:$U$1001,0),0), INDEX($AB$1004:$AQ$1004,1,MATCH(COLUMNS($AB$1006:AL1006),$AB$1006:$AQ$1006,0)))),"Fix")))</f>
        <v>0</v>
      </c>
      <c r="M535" s="4">
        <f>IF(OR(INDEX($V$2:$V$1001,MATCH(ROWS($U$2:U535),$U$2:$U$1001,0),1)&gt;=100000,INDEX($AB$1005:$AQ$1005,1,MATCH(COLUMNS($AB$1006:AM1006),$AB$1006:$AQ$1006,0))&gt;=100000), " ",IF(INDEX($AB$2:$AQ$1001,MATCH(ROWS($U$2:U535),$U$2:$U$1001,0),MATCH(COLUMNS($AB$1006:AM1006),$AB$1006:$AQ$1006,0)), HYPERLINK("#",""), HYPERLINK(CONCATENATE("#metadata!", ADDRESS(INDEX($W$2:$W$1001,MATCH(ROWS($U$2:U535),$U$2:$U$1001,0),0), INDEX($AB$1004:$AQ$1004,1,MATCH(COLUMNS($AB$1006:AM1006),$AB$1006:$AQ$1006,0)))),"Fix")))</f>
        <v>0</v>
      </c>
      <c r="N535" s="4">
        <f>IF(OR(INDEX($V$2:$V$1001,MATCH(ROWS($U$2:U535),$U$2:$U$1001,0),1)&gt;=100000,INDEX($AB$1005:$AQ$1005,1,MATCH(COLUMNS($AB$1006:AN1006),$AB$1006:$AQ$1006,0))&gt;=100000), " ",IF(INDEX($AB$2:$AQ$1001,MATCH(ROWS($U$2:U535),$U$2:$U$1001,0),MATCH(COLUMNS($AB$1006:AN1006),$AB$1006:$AQ$1006,0)), HYPERLINK("#",""), HYPERLINK(CONCATENATE("#metadata!", ADDRESS(INDEX($W$2:$W$1001,MATCH(ROWS($U$2:U535),$U$2:$U$1001,0),0), INDEX($AB$1004:$AQ$1004,1,MATCH(COLUMNS($AB$1006:AN1006),$AB$1006:$AQ$1006,0)))),"Fix")))</f>
        <v>0</v>
      </c>
      <c r="O535" s="4">
        <f>IF(OR(INDEX($V$2:$V$1001,MATCH(ROWS($U$2:U535),$U$2:$U$1001,0),1)&gt;=100000,INDEX($AB$1005:$AQ$1005,1,MATCH(COLUMNS($AB$1006:AO1006),$AB$1006:$AQ$1006,0))&gt;=100000), " ",IF(INDEX($AB$2:$AQ$1001,MATCH(ROWS($U$2:U535),$U$2:$U$1001,0),MATCH(COLUMNS($AB$1006:AO1006),$AB$1006:$AQ$1006,0)), HYPERLINK("#",""), HYPERLINK(CONCATENATE("#metadata!", ADDRESS(INDEX($W$2:$W$1001,MATCH(ROWS($U$2:U535),$U$2:$U$1001,0),0), INDEX($AB$1004:$AQ$1004,1,MATCH(COLUMNS($AB$1006:AO1006),$AB$1006:$AQ$1006,0)))),"Fix")))</f>
        <v>0</v>
      </c>
      <c r="P535" s="4">
        <f>IF(OR(INDEX($V$2:$V$1001,MATCH(ROWS($U$2:U535),$U$2:$U$1001,0),1)&gt;=100000,INDEX($AB$1005:$AQ$1005,1,MATCH(COLUMNS($AB$1006:AP1006),$AB$1006:$AQ$1006,0))&gt;=100000), " ",IF(INDEX($AB$2:$AQ$1001,MATCH(ROWS($U$2:U535),$U$2:$U$1001,0),MATCH(COLUMNS($AB$1006:AP1006),$AB$1006:$AQ$1006,0)), HYPERLINK("#",""), HYPERLINK(CONCATENATE("#metadata!", ADDRESS(INDEX($W$2:$W$1001,MATCH(ROWS($U$2:U535),$U$2:$U$1001,0),0), INDEX($AB$1004:$AQ$1004,1,MATCH(COLUMNS($AB$1006:AP1006),$AB$1006:$AQ$1006,0)))),"Fix")))</f>
        <v>0</v>
      </c>
      <c r="Q535" s="4">
        <f>IF(OR(INDEX($V$2:$V$1001,MATCH(ROWS($U$2:U535),$U$2:$U$1001,0),1)&gt;=100000,INDEX($AB$1005:$AQ$1005,1,MATCH(COLUMNS($AB$1006:AQ1006),$AB$1006:$AQ$1006,0))&gt;=100000), " ",IF(INDEX($AB$2:$AQ$1001,MATCH(ROWS($U$2:U535),$U$2:$U$1001,0),MATCH(COLUMNS($AB$1006:AQ1006),$AB$1006:$AQ$1006,0)), HYPERLINK("#",""), HYPERLINK(CONCATENATE("#metadata!", ADDRESS(INDEX($W$2:$W$1001,MATCH(ROWS($U$2:U535),$U$2:$U$1001,0),0), INDEX($AB$1004:$AQ$1004,1,MATCH(COLUMNS($AB$1006:AQ1006),$AB$1006:$AQ$1006,0)))),"Fix")))</f>
        <v>0</v>
      </c>
      <c r="U535">
        <v>0</v>
      </c>
      <c r="V535">
        <v>0</v>
      </c>
      <c r="W535">
        <v>0</v>
      </c>
      <c r="X535">
        <f>IF(Y535,TRUE,AND(AB535:AQ535))</f>
        <v>0</v>
      </c>
      <c r="Y535">
        <f>COUNTBLANK(metadata!B535:Q535)=COLUMNS(metadata!B535:Q535)</f>
        <v>0</v>
      </c>
      <c r="Z535">
        <v>0</v>
      </c>
      <c r="AB535">
        <f>AND(IF(metadata!B535="",FALSE,TRUE),COUNTIF(metadata!B:B, metadata!B535) = 1,NOT(ISERROR(SUMPRODUCT(SEARCH(MID(metadata!B535,ROW(INDIRECT("1:"&amp;LEN(metadata!B535))), 1),"0123456789abcdefghijklmnopqrstuvwxyzABCDEFGHIJKLMNOPQRSTUVWXYZ.")))))</f>
        <v>0</v>
      </c>
      <c r="AC535">
        <f>OR(AND(IF(metadata!C535="",FALSE,TRUE),OR(exact(metadata!C535,"missing: not collected"),exact(metadata!C535,"missing: not provided"),exact(metadata!C535,"missing: restricted access"))),AND(IF(metadata!C535="",FALSE,TRUE),AND(AND(IFERROR(INT(LEFT(metadata!C535,4))&gt;1900,FALSE),IFERROR(INT(LEFT(metadata!C535,4))&lt;=YEAR(NOW()),FALSE)), OR(MID(metadata!C535,5,1)="", AND(AND(MID(metadata!C535,5,1)="-",IFERROR(INT(MID(metadata!C535,6,1))&gt;=0,FALSE),IFERROR(INT(MID(metadata!C535,6,1))&lt;=1,FALSE),NOT(MID(metadata!C535,7,1)=""),IFERROR(INT(MID(metadata!C535,6,2))&gt;=1,FALSE),IFERROR(INT(MID(metadata!C535,6,2))&lt;=12,FALSE)), OR(MID(metadata!C535,8,1)="", AND(AND(MID(metadata!C535,8,1)="-",IFERROR(INT(MID(metadata!C535,9,1))&gt;=0,FALSE),IFERROR(INT(MID(metadata!C535,9,1))&lt;=3,FALSE),NOT(MID(metadata!C535,10,1)=""),IFERROR(INT(MID(metadata!C535,9,2))&gt;=1,FALSE),IFERROR(INT(MID(metadata!C535,9,2))&lt;=31,FALSE)), OR(MID(metadata!C535,11,1)="", AND(AND(MID(metadata!C535,11,1)=" ",IFERROR(INT(MID(metadata!C535,12,1))&gt;=0,FALSE),IFERROR(INT(MID(metadata!C535,12,1))&lt;=2,FALSE),NOT(MID(metadata!C535,13,1)=""),IFERROR(INT(MID(metadata!C535,12,2))&gt;=0,FALSE),IFERROR(INT(MID(metadata!C535,12,2))&lt;=23,FALSE)), OR(MID(metadata!C535,14,1)="", AND(AND(MID(metadata!C535,14,1)=":",IFERROR(INT(MID(metadata!C535,15,1))&gt;=0,FALSE),IFERROR(INT(MID(metadata!C535,15,1))&lt;=5,FALSE),NOT(MID(metadata!C535,16,1)=""),IFERROR(INT(MID(metadata!C535,15,2))&gt;=0,FALSE),IFERROR(INT(MID(metadata!C535,15,2))&lt;=59,FALSE)), OR(MID(metadata!C535,17,1)="", AND(AND(MID(metadata!C535,17,1)=":",IFERROR(INT(MID(metadata!C535,18,1))&gt;=0,FALSE),IFERROR(INT(MID(metadata!C535,18,1))&lt;=5,FALSE),NOT(MID(metadata!C535,19,1)=""),IFERROR(INT(MID(metadata!C535,18,2))&gt;=0,FALSE),IFERROR(INT(MID(metadata!C535,18,2))&lt;=59,FALSE)), LEN(metadata!C535)&lt;=19)))))))))))))</f>
        <v>0</v>
      </c>
      <c r="AD535">
        <f>IF(metadata!D535="",FALSE,TRUE)</f>
        <v>0</v>
      </c>
      <c r="AE535">
        <f>OR(AND(IF(metadata!E535="",FALSE,TRUE),OR(exact(metadata!E535,"missing: not collected"),exact(metadata!E535,"missing: not provided"))),AND(IF(metadata!E535="",FALSE,TRUE),OR(exact(metadata!E535,"TRUE"),exact(metadata!E535,"FALSE"))))</f>
        <v>0</v>
      </c>
      <c r="AF535">
        <f>IF(metadata!F535="",FALSE,TRUE)</f>
        <v>0</v>
      </c>
      <c r="AG535">
        <f>IF(metadata!G535="",FALSE,TRUE)</f>
        <v>0</v>
      </c>
      <c r="AH535">
        <f>IF(metadata!H535="",FALSE,TRUE)</f>
        <v>0</v>
      </c>
      <c r="AI535">
        <f>OR(AND(IF(metadata!I535="",FALSE,TRUE),OR(exact(metadata!I535,"missing: not collected"),exact(metadata!I535,"missing: not provided"),exact(metadata!I535,"missing: restricted access"))),AND(IF(metadata!I535="",FALSE,TRUE),OR(exact(metadata!I535,"air"),exact(metadata!I535,"built environment"),exact(metadata!I535,"host-associated"),exact(metadata!I535,"human-associated"),exact(metadata!I535,"human-skin"),exact(metadata!I535,"human-oral"),exact(metadata!I535,"human-gut"),exact(metadata!I535,"human-vaginal"),exact(metadata!I535,"microbial mat/biofilm"),exact(metadata!I535,"misc environment"),exact(metadata!I535,"plant-associated"),exact(metadata!I535,"sediment"),exact(metadata!I535,"soil"),exact(metadata!I535,"wastewater/sludge"),exact(metadata!I535,"water"))))</f>
        <v>0</v>
      </c>
      <c r="AJ535">
        <f>IF(metadata!J535="",FALSE,TRUE)</f>
        <v>0</v>
      </c>
      <c r="AK535">
        <f>OR(AND(IF(metadata!K535="",FALSE,TRUE),OR(exact(metadata!K535,"missing: not collected"),exact(metadata!K535,"missing: not provided"),exact(metadata!K535,"missing: restricted access"))),AND(IF(metadata!K535="",FALSE,ISNUMBER(VALUE(metadata!K535))),metadata!K535&gt;=-90.00,metadata!K535&lt;=90.00))</f>
        <v>0</v>
      </c>
      <c r="AL535">
        <f>OR(AND(IF(metadata!L535="",FALSE,TRUE),OR(exact(metadata!L535,"missing: not collected"),exact(metadata!L535,"missing: not provided"),exact(metadata!L535,"missing: restricted access"))),AND(IF(metadata!L535="",FALSE,ISNUMBER(VALUE(metadata!L535))),metadata!L535&gt;=-180.00,metadata!L535&lt;=180.00))</f>
        <v>0</v>
      </c>
      <c r="AM535">
        <f>IF(metadata!M535="",FALSE,TRUE)</f>
        <v>0</v>
      </c>
      <c r="AN535">
        <f>OR(AND(IF(metadata!N535="",FALSE,TRUE),OR(exact(metadata!N535,"missing: not collected"),exact(metadata!N535,"missing: not provided"),exact(metadata!N535,"missing: restricted access"))),AND(IF(metadata!N535="",FALSE,TRUE),OR(exact(metadata!N535,"TRUE"),exact(metadata!N535,"FALSE"))))</f>
        <v>0</v>
      </c>
      <c r="AO535">
        <f>IF(metadata!O535="",FALSE,TRUE)</f>
        <v>0</v>
      </c>
      <c r="AP535">
        <f>OR(AND(IF(metadata!P535="",FALSE,TRUE),OR(exact(metadata!P535,"missing: not collected"),exact(metadata!P535,"missing: not provided"))),AND(IF(metadata!P535="",FALSE,IF(ISERROR(INT(metadata!P535)),FALSE,INT(metadata!P535)=metadata!P535)),metadata!P535&gt;0))</f>
        <v>0</v>
      </c>
      <c r="AQ535">
        <f>IF(metadata!Q535="",FALSE,TRUE)</f>
        <v>0</v>
      </c>
    </row>
    <row r="536" spans="1:43">
      <c r="A536" s="5">
        <f>IF(B536=" "," ",HYPERLINK(CONCATENATE("#metadata!",ADDRESS(INDEX($W$2:$W$1001,MATCH(ROWS($U$2:U536),$U$2:$U$1001,0),0),1)),INDEX($Z$2:$Z$1001,MATCH(ROWS($U$2:U536),$U$2:$U$1001,0),0)))</f>
        <v>0</v>
      </c>
      <c r="B536" s="4">
        <f>IF(OR(INDEX($V$2:$V$1001,MATCH(ROWS($U$2:U536),$U$2:$U$1001,0),1)&gt;=100000,INDEX($AB$1005:$AQ$1005,1,MATCH(COLUMNS($AB$1006:AB1006),$AB$1006:$AQ$1006,0))&gt;=100000), " ",IF(INDEX($AB$2:$AQ$1001,MATCH(ROWS($U$2:U536),$U$2:$U$1001,0),MATCH(COLUMNS($AB$1006:AB1006),$AB$1006:$AQ$1006,0)), HYPERLINK("#",""), HYPERLINK(CONCATENATE("#metadata!", ADDRESS(INDEX($W$2:$W$1001,MATCH(ROWS($U$2:U536),$U$2:$U$1001,0),0), INDEX($AB$1004:$AQ$1004,1,MATCH(COLUMNS($AB$1006:AB1006),$AB$1006:$AQ$1006,0)))),"Fix")))</f>
        <v>0</v>
      </c>
      <c r="C536" s="4">
        <f>IF(OR(INDEX($V$2:$V$1001,MATCH(ROWS($U$2:U536),$U$2:$U$1001,0),1)&gt;=100000,INDEX($AB$1005:$AQ$1005,1,MATCH(COLUMNS($AB$1006:AC1006),$AB$1006:$AQ$1006,0))&gt;=100000), " ",IF(INDEX($AB$2:$AQ$1001,MATCH(ROWS($U$2:U536),$U$2:$U$1001,0),MATCH(COLUMNS($AB$1006:AC1006),$AB$1006:$AQ$1006,0)), HYPERLINK("#",""), HYPERLINK(CONCATENATE("#metadata!", ADDRESS(INDEX($W$2:$W$1001,MATCH(ROWS($U$2:U536),$U$2:$U$1001,0),0), INDEX($AB$1004:$AQ$1004,1,MATCH(COLUMNS($AB$1006:AC1006),$AB$1006:$AQ$1006,0)))),"Fix")))</f>
        <v>0</v>
      </c>
      <c r="D536" s="4">
        <f>IF(OR(INDEX($V$2:$V$1001,MATCH(ROWS($U$2:U536),$U$2:$U$1001,0),1)&gt;=100000,INDEX($AB$1005:$AQ$1005,1,MATCH(COLUMNS($AB$1006:AD1006),$AB$1006:$AQ$1006,0))&gt;=100000), " ",IF(INDEX($AB$2:$AQ$1001,MATCH(ROWS($U$2:U536),$U$2:$U$1001,0),MATCH(COLUMNS($AB$1006:AD1006),$AB$1006:$AQ$1006,0)), HYPERLINK("#",""), HYPERLINK(CONCATENATE("#metadata!", ADDRESS(INDEX($W$2:$W$1001,MATCH(ROWS($U$2:U536),$U$2:$U$1001,0),0), INDEX($AB$1004:$AQ$1004,1,MATCH(COLUMNS($AB$1006:AD1006),$AB$1006:$AQ$1006,0)))),"Fix")))</f>
        <v>0</v>
      </c>
      <c r="E536" s="4">
        <f>IF(OR(INDEX($V$2:$V$1001,MATCH(ROWS($U$2:U536),$U$2:$U$1001,0),1)&gt;=100000,INDEX($AB$1005:$AQ$1005,1,MATCH(COLUMNS($AB$1006:AE1006),$AB$1006:$AQ$1006,0))&gt;=100000), " ",IF(INDEX($AB$2:$AQ$1001,MATCH(ROWS($U$2:U536),$U$2:$U$1001,0),MATCH(COLUMNS($AB$1006:AE1006),$AB$1006:$AQ$1006,0)), HYPERLINK("#",""), HYPERLINK(CONCATENATE("#metadata!", ADDRESS(INDEX($W$2:$W$1001,MATCH(ROWS($U$2:U536),$U$2:$U$1001,0),0), INDEX($AB$1004:$AQ$1004,1,MATCH(COLUMNS($AB$1006:AE1006),$AB$1006:$AQ$1006,0)))),"Fix")))</f>
        <v>0</v>
      </c>
      <c r="F536" s="4">
        <f>IF(OR(INDEX($V$2:$V$1001,MATCH(ROWS($U$2:U536),$U$2:$U$1001,0),1)&gt;=100000,INDEX($AB$1005:$AQ$1005,1,MATCH(COLUMNS($AB$1006:AF1006),$AB$1006:$AQ$1006,0))&gt;=100000), " ",IF(INDEX($AB$2:$AQ$1001,MATCH(ROWS($U$2:U536),$U$2:$U$1001,0),MATCH(COLUMNS($AB$1006:AF1006),$AB$1006:$AQ$1006,0)), HYPERLINK("#",""), HYPERLINK(CONCATENATE("#metadata!", ADDRESS(INDEX($W$2:$W$1001,MATCH(ROWS($U$2:U536),$U$2:$U$1001,0),0), INDEX($AB$1004:$AQ$1004,1,MATCH(COLUMNS($AB$1006:AF1006),$AB$1006:$AQ$1006,0)))),"Fix")))</f>
        <v>0</v>
      </c>
      <c r="G536" s="4">
        <f>IF(OR(INDEX($V$2:$V$1001,MATCH(ROWS($U$2:U536),$U$2:$U$1001,0),1)&gt;=100000,INDEX($AB$1005:$AQ$1005,1,MATCH(COLUMNS($AB$1006:AG1006),$AB$1006:$AQ$1006,0))&gt;=100000), " ",IF(INDEX($AB$2:$AQ$1001,MATCH(ROWS($U$2:U536),$U$2:$U$1001,0),MATCH(COLUMNS($AB$1006:AG1006),$AB$1006:$AQ$1006,0)), HYPERLINK("#",""), HYPERLINK(CONCATENATE("#metadata!", ADDRESS(INDEX($W$2:$W$1001,MATCH(ROWS($U$2:U536),$U$2:$U$1001,0),0), INDEX($AB$1004:$AQ$1004,1,MATCH(COLUMNS($AB$1006:AG1006),$AB$1006:$AQ$1006,0)))),"Fix")))</f>
        <v>0</v>
      </c>
      <c r="H536" s="4">
        <f>IF(OR(INDEX($V$2:$V$1001,MATCH(ROWS($U$2:U536),$U$2:$U$1001,0),1)&gt;=100000,INDEX($AB$1005:$AQ$1005,1,MATCH(COLUMNS($AB$1006:AH1006),$AB$1006:$AQ$1006,0))&gt;=100000), " ",IF(INDEX($AB$2:$AQ$1001,MATCH(ROWS($U$2:U536),$U$2:$U$1001,0),MATCH(COLUMNS($AB$1006:AH1006),$AB$1006:$AQ$1006,0)), HYPERLINK("#",""), HYPERLINK(CONCATENATE("#metadata!", ADDRESS(INDEX($W$2:$W$1001,MATCH(ROWS($U$2:U536),$U$2:$U$1001,0),0), INDEX($AB$1004:$AQ$1004,1,MATCH(COLUMNS($AB$1006:AH1006),$AB$1006:$AQ$1006,0)))),"Fix")))</f>
        <v>0</v>
      </c>
      <c r="I536" s="4">
        <f>IF(OR(INDEX($V$2:$V$1001,MATCH(ROWS($U$2:U536),$U$2:$U$1001,0),1)&gt;=100000,INDEX($AB$1005:$AQ$1005,1,MATCH(COLUMNS($AB$1006:AI1006),$AB$1006:$AQ$1006,0))&gt;=100000), " ",IF(INDEX($AB$2:$AQ$1001,MATCH(ROWS($U$2:U536),$U$2:$U$1001,0),MATCH(COLUMNS($AB$1006:AI1006),$AB$1006:$AQ$1006,0)), HYPERLINK("#",""), HYPERLINK(CONCATENATE("#metadata!", ADDRESS(INDEX($W$2:$W$1001,MATCH(ROWS($U$2:U536),$U$2:$U$1001,0),0), INDEX($AB$1004:$AQ$1004,1,MATCH(COLUMNS($AB$1006:AI1006),$AB$1006:$AQ$1006,0)))),"Fix")))</f>
        <v>0</v>
      </c>
      <c r="J536" s="4">
        <f>IF(OR(INDEX($V$2:$V$1001,MATCH(ROWS($U$2:U536),$U$2:$U$1001,0),1)&gt;=100000,INDEX($AB$1005:$AQ$1005,1,MATCH(COLUMNS($AB$1006:AJ1006),$AB$1006:$AQ$1006,0))&gt;=100000), " ",IF(INDEX($AB$2:$AQ$1001,MATCH(ROWS($U$2:U536),$U$2:$U$1001,0),MATCH(COLUMNS($AB$1006:AJ1006),$AB$1006:$AQ$1006,0)), HYPERLINK("#",""), HYPERLINK(CONCATENATE("#metadata!", ADDRESS(INDEX($W$2:$W$1001,MATCH(ROWS($U$2:U536),$U$2:$U$1001,0),0), INDEX($AB$1004:$AQ$1004,1,MATCH(COLUMNS($AB$1006:AJ1006),$AB$1006:$AQ$1006,0)))),"Fix")))</f>
        <v>0</v>
      </c>
      <c r="K536" s="4">
        <f>IF(OR(INDEX($V$2:$V$1001,MATCH(ROWS($U$2:U536),$U$2:$U$1001,0),1)&gt;=100000,INDEX($AB$1005:$AQ$1005,1,MATCH(COLUMNS($AB$1006:AK1006),$AB$1006:$AQ$1006,0))&gt;=100000), " ",IF(INDEX($AB$2:$AQ$1001,MATCH(ROWS($U$2:U536),$U$2:$U$1001,0),MATCH(COLUMNS($AB$1006:AK1006),$AB$1006:$AQ$1006,0)), HYPERLINK("#",""), HYPERLINK(CONCATENATE("#metadata!", ADDRESS(INDEX($W$2:$W$1001,MATCH(ROWS($U$2:U536),$U$2:$U$1001,0),0), INDEX($AB$1004:$AQ$1004,1,MATCH(COLUMNS($AB$1006:AK1006),$AB$1006:$AQ$1006,0)))),"Fix")))</f>
        <v>0</v>
      </c>
      <c r="L536" s="4">
        <f>IF(OR(INDEX($V$2:$V$1001,MATCH(ROWS($U$2:U536),$U$2:$U$1001,0),1)&gt;=100000,INDEX($AB$1005:$AQ$1005,1,MATCH(COLUMNS($AB$1006:AL1006),$AB$1006:$AQ$1006,0))&gt;=100000), " ",IF(INDEX($AB$2:$AQ$1001,MATCH(ROWS($U$2:U536),$U$2:$U$1001,0),MATCH(COLUMNS($AB$1006:AL1006),$AB$1006:$AQ$1006,0)), HYPERLINK("#",""), HYPERLINK(CONCATENATE("#metadata!", ADDRESS(INDEX($W$2:$W$1001,MATCH(ROWS($U$2:U536),$U$2:$U$1001,0),0), INDEX($AB$1004:$AQ$1004,1,MATCH(COLUMNS($AB$1006:AL1006),$AB$1006:$AQ$1006,0)))),"Fix")))</f>
        <v>0</v>
      </c>
      <c r="M536" s="4">
        <f>IF(OR(INDEX($V$2:$V$1001,MATCH(ROWS($U$2:U536),$U$2:$U$1001,0),1)&gt;=100000,INDEX($AB$1005:$AQ$1005,1,MATCH(COLUMNS($AB$1006:AM1006),$AB$1006:$AQ$1006,0))&gt;=100000), " ",IF(INDEX($AB$2:$AQ$1001,MATCH(ROWS($U$2:U536),$U$2:$U$1001,0),MATCH(COLUMNS($AB$1006:AM1006),$AB$1006:$AQ$1006,0)), HYPERLINK("#",""), HYPERLINK(CONCATENATE("#metadata!", ADDRESS(INDEX($W$2:$W$1001,MATCH(ROWS($U$2:U536),$U$2:$U$1001,0),0), INDEX($AB$1004:$AQ$1004,1,MATCH(COLUMNS($AB$1006:AM1006),$AB$1006:$AQ$1006,0)))),"Fix")))</f>
        <v>0</v>
      </c>
      <c r="N536" s="4">
        <f>IF(OR(INDEX($V$2:$V$1001,MATCH(ROWS($U$2:U536),$U$2:$U$1001,0),1)&gt;=100000,INDEX($AB$1005:$AQ$1005,1,MATCH(COLUMNS($AB$1006:AN1006),$AB$1006:$AQ$1006,0))&gt;=100000), " ",IF(INDEX($AB$2:$AQ$1001,MATCH(ROWS($U$2:U536),$U$2:$U$1001,0),MATCH(COLUMNS($AB$1006:AN1006),$AB$1006:$AQ$1006,0)), HYPERLINK("#",""), HYPERLINK(CONCATENATE("#metadata!", ADDRESS(INDEX($W$2:$W$1001,MATCH(ROWS($U$2:U536),$U$2:$U$1001,0),0), INDEX($AB$1004:$AQ$1004,1,MATCH(COLUMNS($AB$1006:AN1006),$AB$1006:$AQ$1006,0)))),"Fix")))</f>
        <v>0</v>
      </c>
      <c r="O536" s="4">
        <f>IF(OR(INDEX($V$2:$V$1001,MATCH(ROWS($U$2:U536),$U$2:$U$1001,0),1)&gt;=100000,INDEX($AB$1005:$AQ$1005,1,MATCH(COLUMNS($AB$1006:AO1006),$AB$1006:$AQ$1006,0))&gt;=100000), " ",IF(INDEX($AB$2:$AQ$1001,MATCH(ROWS($U$2:U536),$U$2:$U$1001,0),MATCH(COLUMNS($AB$1006:AO1006),$AB$1006:$AQ$1006,0)), HYPERLINK("#",""), HYPERLINK(CONCATENATE("#metadata!", ADDRESS(INDEX($W$2:$W$1001,MATCH(ROWS($U$2:U536),$U$2:$U$1001,0),0), INDEX($AB$1004:$AQ$1004,1,MATCH(COLUMNS($AB$1006:AO1006),$AB$1006:$AQ$1006,0)))),"Fix")))</f>
        <v>0</v>
      </c>
      <c r="P536" s="4">
        <f>IF(OR(INDEX($V$2:$V$1001,MATCH(ROWS($U$2:U536),$U$2:$U$1001,0),1)&gt;=100000,INDEX($AB$1005:$AQ$1005,1,MATCH(COLUMNS($AB$1006:AP1006),$AB$1006:$AQ$1006,0))&gt;=100000), " ",IF(INDEX($AB$2:$AQ$1001,MATCH(ROWS($U$2:U536),$U$2:$U$1001,0),MATCH(COLUMNS($AB$1006:AP1006),$AB$1006:$AQ$1006,0)), HYPERLINK("#",""), HYPERLINK(CONCATENATE("#metadata!", ADDRESS(INDEX($W$2:$W$1001,MATCH(ROWS($U$2:U536),$U$2:$U$1001,0),0), INDEX($AB$1004:$AQ$1004,1,MATCH(COLUMNS($AB$1006:AP1006),$AB$1006:$AQ$1006,0)))),"Fix")))</f>
        <v>0</v>
      </c>
      <c r="Q536" s="4">
        <f>IF(OR(INDEX($V$2:$V$1001,MATCH(ROWS($U$2:U536),$U$2:$U$1001,0),1)&gt;=100000,INDEX($AB$1005:$AQ$1005,1,MATCH(COLUMNS($AB$1006:AQ1006),$AB$1006:$AQ$1006,0))&gt;=100000), " ",IF(INDEX($AB$2:$AQ$1001,MATCH(ROWS($U$2:U536),$U$2:$U$1001,0),MATCH(COLUMNS($AB$1006:AQ1006),$AB$1006:$AQ$1006,0)), HYPERLINK("#",""), HYPERLINK(CONCATENATE("#metadata!", ADDRESS(INDEX($W$2:$W$1001,MATCH(ROWS($U$2:U536),$U$2:$U$1001,0),0), INDEX($AB$1004:$AQ$1004,1,MATCH(COLUMNS($AB$1006:AQ1006),$AB$1006:$AQ$1006,0)))),"Fix")))</f>
        <v>0</v>
      </c>
      <c r="U536">
        <v>0</v>
      </c>
      <c r="V536">
        <v>0</v>
      </c>
      <c r="W536">
        <v>0</v>
      </c>
      <c r="X536">
        <f>IF(Y536,TRUE,AND(AB536:AQ536))</f>
        <v>0</v>
      </c>
      <c r="Y536">
        <f>COUNTBLANK(metadata!B536:Q536)=COLUMNS(metadata!B536:Q536)</f>
        <v>0</v>
      </c>
      <c r="Z536">
        <v>0</v>
      </c>
      <c r="AB536">
        <f>AND(IF(metadata!B536="",FALSE,TRUE),COUNTIF(metadata!B:B, metadata!B536) = 1,NOT(ISERROR(SUMPRODUCT(SEARCH(MID(metadata!B536,ROW(INDIRECT("1:"&amp;LEN(metadata!B536))), 1),"0123456789abcdefghijklmnopqrstuvwxyzABCDEFGHIJKLMNOPQRSTUVWXYZ.")))))</f>
        <v>0</v>
      </c>
      <c r="AC536">
        <f>OR(AND(IF(metadata!C536="",FALSE,TRUE),OR(exact(metadata!C536,"missing: not collected"),exact(metadata!C536,"missing: not provided"),exact(metadata!C536,"missing: restricted access"))),AND(IF(metadata!C536="",FALSE,TRUE),AND(AND(IFERROR(INT(LEFT(metadata!C536,4))&gt;1900,FALSE),IFERROR(INT(LEFT(metadata!C536,4))&lt;=YEAR(NOW()),FALSE)), OR(MID(metadata!C536,5,1)="", AND(AND(MID(metadata!C536,5,1)="-",IFERROR(INT(MID(metadata!C536,6,1))&gt;=0,FALSE),IFERROR(INT(MID(metadata!C536,6,1))&lt;=1,FALSE),NOT(MID(metadata!C536,7,1)=""),IFERROR(INT(MID(metadata!C536,6,2))&gt;=1,FALSE),IFERROR(INT(MID(metadata!C536,6,2))&lt;=12,FALSE)), OR(MID(metadata!C536,8,1)="", AND(AND(MID(metadata!C536,8,1)="-",IFERROR(INT(MID(metadata!C536,9,1))&gt;=0,FALSE),IFERROR(INT(MID(metadata!C536,9,1))&lt;=3,FALSE),NOT(MID(metadata!C536,10,1)=""),IFERROR(INT(MID(metadata!C536,9,2))&gt;=1,FALSE),IFERROR(INT(MID(metadata!C536,9,2))&lt;=31,FALSE)), OR(MID(metadata!C536,11,1)="", AND(AND(MID(metadata!C536,11,1)=" ",IFERROR(INT(MID(metadata!C536,12,1))&gt;=0,FALSE),IFERROR(INT(MID(metadata!C536,12,1))&lt;=2,FALSE),NOT(MID(metadata!C536,13,1)=""),IFERROR(INT(MID(metadata!C536,12,2))&gt;=0,FALSE),IFERROR(INT(MID(metadata!C536,12,2))&lt;=23,FALSE)), OR(MID(metadata!C536,14,1)="", AND(AND(MID(metadata!C536,14,1)=":",IFERROR(INT(MID(metadata!C536,15,1))&gt;=0,FALSE),IFERROR(INT(MID(metadata!C536,15,1))&lt;=5,FALSE),NOT(MID(metadata!C536,16,1)=""),IFERROR(INT(MID(metadata!C536,15,2))&gt;=0,FALSE),IFERROR(INT(MID(metadata!C536,15,2))&lt;=59,FALSE)), OR(MID(metadata!C536,17,1)="", AND(AND(MID(metadata!C536,17,1)=":",IFERROR(INT(MID(metadata!C536,18,1))&gt;=0,FALSE),IFERROR(INT(MID(metadata!C536,18,1))&lt;=5,FALSE),NOT(MID(metadata!C536,19,1)=""),IFERROR(INT(MID(metadata!C536,18,2))&gt;=0,FALSE),IFERROR(INT(MID(metadata!C536,18,2))&lt;=59,FALSE)), LEN(metadata!C536)&lt;=19)))))))))))))</f>
        <v>0</v>
      </c>
      <c r="AD536">
        <f>IF(metadata!D536="",FALSE,TRUE)</f>
        <v>0</v>
      </c>
      <c r="AE536">
        <f>OR(AND(IF(metadata!E536="",FALSE,TRUE),OR(exact(metadata!E536,"missing: not collected"),exact(metadata!E536,"missing: not provided"))),AND(IF(metadata!E536="",FALSE,TRUE),OR(exact(metadata!E536,"TRUE"),exact(metadata!E536,"FALSE"))))</f>
        <v>0</v>
      </c>
      <c r="AF536">
        <f>IF(metadata!F536="",FALSE,TRUE)</f>
        <v>0</v>
      </c>
      <c r="AG536">
        <f>IF(metadata!G536="",FALSE,TRUE)</f>
        <v>0</v>
      </c>
      <c r="AH536">
        <f>IF(metadata!H536="",FALSE,TRUE)</f>
        <v>0</v>
      </c>
      <c r="AI536">
        <f>OR(AND(IF(metadata!I536="",FALSE,TRUE),OR(exact(metadata!I536,"missing: not collected"),exact(metadata!I536,"missing: not provided"),exact(metadata!I536,"missing: restricted access"))),AND(IF(metadata!I536="",FALSE,TRUE),OR(exact(metadata!I536,"air"),exact(metadata!I536,"built environment"),exact(metadata!I536,"host-associated"),exact(metadata!I536,"human-associated"),exact(metadata!I536,"human-skin"),exact(metadata!I536,"human-oral"),exact(metadata!I536,"human-gut"),exact(metadata!I536,"human-vaginal"),exact(metadata!I536,"microbial mat/biofilm"),exact(metadata!I536,"misc environment"),exact(metadata!I536,"plant-associated"),exact(metadata!I536,"sediment"),exact(metadata!I536,"soil"),exact(metadata!I536,"wastewater/sludge"),exact(metadata!I536,"water"))))</f>
        <v>0</v>
      </c>
      <c r="AJ536">
        <f>IF(metadata!J536="",FALSE,TRUE)</f>
        <v>0</v>
      </c>
      <c r="AK536">
        <f>OR(AND(IF(metadata!K536="",FALSE,TRUE),OR(exact(metadata!K536,"missing: not collected"),exact(metadata!K536,"missing: not provided"),exact(metadata!K536,"missing: restricted access"))),AND(IF(metadata!K536="",FALSE,ISNUMBER(VALUE(metadata!K536))),metadata!K536&gt;=-90.00,metadata!K536&lt;=90.00))</f>
        <v>0</v>
      </c>
      <c r="AL536">
        <f>OR(AND(IF(metadata!L536="",FALSE,TRUE),OR(exact(metadata!L536,"missing: not collected"),exact(metadata!L536,"missing: not provided"),exact(metadata!L536,"missing: restricted access"))),AND(IF(metadata!L536="",FALSE,ISNUMBER(VALUE(metadata!L536))),metadata!L536&gt;=-180.00,metadata!L536&lt;=180.00))</f>
        <v>0</v>
      </c>
      <c r="AM536">
        <f>IF(metadata!M536="",FALSE,TRUE)</f>
        <v>0</v>
      </c>
      <c r="AN536">
        <f>OR(AND(IF(metadata!N536="",FALSE,TRUE),OR(exact(metadata!N536,"missing: not collected"),exact(metadata!N536,"missing: not provided"),exact(metadata!N536,"missing: restricted access"))),AND(IF(metadata!N536="",FALSE,TRUE),OR(exact(metadata!N536,"TRUE"),exact(metadata!N536,"FALSE"))))</f>
        <v>0</v>
      </c>
      <c r="AO536">
        <f>IF(metadata!O536="",FALSE,TRUE)</f>
        <v>0</v>
      </c>
      <c r="AP536">
        <f>OR(AND(IF(metadata!P536="",FALSE,TRUE),OR(exact(metadata!P536,"missing: not collected"),exact(metadata!P536,"missing: not provided"))),AND(IF(metadata!P536="",FALSE,IF(ISERROR(INT(metadata!P536)),FALSE,INT(metadata!P536)=metadata!P536)),metadata!P536&gt;0))</f>
        <v>0</v>
      </c>
      <c r="AQ536">
        <f>IF(metadata!Q536="",FALSE,TRUE)</f>
        <v>0</v>
      </c>
    </row>
    <row r="537" spans="1:43">
      <c r="A537" s="5">
        <f>IF(B537=" "," ",HYPERLINK(CONCATENATE("#metadata!",ADDRESS(INDEX($W$2:$W$1001,MATCH(ROWS($U$2:U537),$U$2:$U$1001,0),0),1)),INDEX($Z$2:$Z$1001,MATCH(ROWS($U$2:U537),$U$2:$U$1001,0),0)))</f>
        <v>0</v>
      </c>
      <c r="B537" s="4">
        <f>IF(OR(INDEX($V$2:$V$1001,MATCH(ROWS($U$2:U537),$U$2:$U$1001,0),1)&gt;=100000,INDEX($AB$1005:$AQ$1005,1,MATCH(COLUMNS($AB$1006:AB1006),$AB$1006:$AQ$1006,0))&gt;=100000), " ",IF(INDEX($AB$2:$AQ$1001,MATCH(ROWS($U$2:U537),$U$2:$U$1001,0),MATCH(COLUMNS($AB$1006:AB1006),$AB$1006:$AQ$1006,0)), HYPERLINK("#",""), HYPERLINK(CONCATENATE("#metadata!", ADDRESS(INDEX($W$2:$W$1001,MATCH(ROWS($U$2:U537),$U$2:$U$1001,0),0), INDEX($AB$1004:$AQ$1004,1,MATCH(COLUMNS($AB$1006:AB1006),$AB$1006:$AQ$1006,0)))),"Fix")))</f>
        <v>0</v>
      </c>
      <c r="C537" s="4">
        <f>IF(OR(INDEX($V$2:$V$1001,MATCH(ROWS($U$2:U537),$U$2:$U$1001,0),1)&gt;=100000,INDEX($AB$1005:$AQ$1005,1,MATCH(COLUMNS($AB$1006:AC1006),$AB$1006:$AQ$1006,0))&gt;=100000), " ",IF(INDEX($AB$2:$AQ$1001,MATCH(ROWS($U$2:U537),$U$2:$U$1001,0),MATCH(COLUMNS($AB$1006:AC1006),$AB$1006:$AQ$1006,0)), HYPERLINK("#",""), HYPERLINK(CONCATENATE("#metadata!", ADDRESS(INDEX($W$2:$W$1001,MATCH(ROWS($U$2:U537),$U$2:$U$1001,0),0), INDEX($AB$1004:$AQ$1004,1,MATCH(COLUMNS($AB$1006:AC1006),$AB$1006:$AQ$1006,0)))),"Fix")))</f>
        <v>0</v>
      </c>
      <c r="D537" s="4">
        <f>IF(OR(INDEX($V$2:$V$1001,MATCH(ROWS($U$2:U537),$U$2:$U$1001,0),1)&gt;=100000,INDEX($AB$1005:$AQ$1005,1,MATCH(COLUMNS($AB$1006:AD1006),$AB$1006:$AQ$1006,0))&gt;=100000), " ",IF(INDEX($AB$2:$AQ$1001,MATCH(ROWS($U$2:U537),$U$2:$U$1001,0),MATCH(COLUMNS($AB$1006:AD1006),$AB$1006:$AQ$1006,0)), HYPERLINK("#",""), HYPERLINK(CONCATENATE("#metadata!", ADDRESS(INDEX($W$2:$W$1001,MATCH(ROWS($U$2:U537),$U$2:$U$1001,0),0), INDEX($AB$1004:$AQ$1004,1,MATCH(COLUMNS($AB$1006:AD1006),$AB$1006:$AQ$1006,0)))),"Fix")))</f>
        <v>0</v>
      </c>
      <c r="E537" s="4">
        <f>IF(OR(INDEX($V$2:$V$1001,MATCH(ROWS($U$2:U537),$U$2:$U$1001,0),1)&gt;=100000,INDEX($AB$1005:$AQ$1005,1,MATCH(COLUMNS($AB$1006:AE1006),$AB$1006:$AQ$1006,0))&gt;=100000), " ",IF(INDEX($AB$2:$AQ$1001,MATCH(ROWS($U$2:U537),$U$2:$U$1001,0),MATCH(COLUMNS($AB$1006:AE1006),$AB$1006:$AQ$1006,0)), HYPERLINK("#",""), HYPERLINK(CONCATENATE("#metadata!", ADDRESS(INDEX($W$2:$W$1001,MATCH(ROWS($U$2:U537),$U$2:$U$1001,0),0), INDEX($AB$1004:$AQ$1004,1,MATCH(COLUMNS($AB$1006:AE1006),$AB$1006:$AQ$1006,0)))),"Fix")))</f>
        <v>0</v>
      </c>
      <c r="F537" s="4">
        <f>IF(OR(INDEX($V$2:$V$1001,MATCH(ROWS($U$2:U537),$U$2:$U$1001,0),1)&gt;=100000,INDEX($AB$1005:$AQ$1005,1,MATCH(COLUMNS($AB$1006:AF1006),$AB$1006:$AQ$1006,0))&gt;=100000), " ",IF(INDEX($AB$2:$AQ$1001,MATCH(ROWS($U$2:U537),$U$2:$U$1001,0),MATCH(COLUMNS($AB$1006:AF1006),$AB$1006:$AQ$1006,0)), HYPERLINK("#",""), HYPERLINK(CONCATENATE("#metadata!", ADDRESS(INDEX($W$2:$W$1001,MATCH(ROWS($U$2:U537),$U$2:$U$1001,0),0), INDEX($AB$1004:$AQ$1004,1,MATCH(COLUMNS($AB$1006:AF1006),$AB$1006:$AQ$1006,0)))),"Fix")))</f>
        <v>0</v>
      </c>
      <c r="G537" s="4">
        <f>IF(OR(INDEX($V$2:$V$1001,MATCH(ROWS($U$2:U537),$U$2:$U$1001,0),1)&gt;=100000,INDEX($AB$1005:$AQ$1005,1,MATCH(COLUMNS($AB$1006:AG1006),$AB$1006:$AQ$1006,0))&gt;=100000), " ",IF(INDEX($AB$2:$AQ$1001,MATCH(ROWS($U$2:U537),$U$2:$U$1001,0),MATCH(COLUMNS($AB$1006:AG1006),$AB$1006:$AQ$1006,0)), HYPERLINK("#",""), HYPERLINK(CONCATENATE("#metadata!", ADDRESS(INDEX($W$2:$W$1001,MATCH(ROWS($U$2:U537),$U$2:$U$1001,0),0), INDEX($AB$1004:$AQ$1004,1,MATCH(COLUMNS($AB$1006:AG1006),$AB$1006:$AQ$1006,0)))),"Fix")))</f>
        <v>0</v>
      </c>
      <c r="H537" s="4">
        <f>IF(OR(INDEX($V$2:$V$1001,MATCH(ROWS($U$2:U537),$U$2:$U$1001,0),1)&gt;=100000,INDEX($AB$1005:$AQ$1005,1,MATCH(COLUMNS($AB$1006:AH1006),$AB$1006:$AQ$1006,0))&gt;=100000), " ",IF(INDEX($AB$2:$AQ$1001,MATCH(ROWS($U$2:U537),$U$2:$U$1001,0),MATCH(COLUMNS($AB$1006:AH1006),$AB$1006:$AQ$1006,0)), HYPERLINK("#",""), HYPERLINK(CONCATENATE("#metadata!", ADDRESS(INDEX($W$2:$W$1001,MATCH(ROWS($U$2:U537),$U$2:$U$1001,0),0), INDEX($AB$1004:$AQ$1004,1,MATCH(COLUMNS($AB$1006:AH1006),$AB$1006:$AQ$1006,0)))),"Fix")))</f>
        <v>0</v>
      </c>
      <c r="I537" s="4">
        <f>IF(OR(INDEX($V$2:$V$1001,MATCH(ROWS($U$2:U537),$U$2:$U$1001,0),1)&gt;=100000,INDEX($AB$1005:$AQ$1005,1,MATCH(COLUMNS($AB$1006:AI1006),$AB$1006:$AQ$1006,0))&gt;=100000), " ",IF(INDEX($AB$2:$AQ$1001,MATCH(ROWS($U$2:U537),$U$2:$U$1001,0),MATCH(COLUMNS($AB$1006:AI1006),$AB$1006:$AQ$1006,0)), HYPERLINK("#",""), HYPERLINK(CONCATENATE("#metadata!", ADDRESS(INDEX($W$2:$W$1001,MATCH(ROWS($U$2:U537),$U$2:$U$1001,0),0), INDEX($AB$1004:$AQ$1004,1,MATCH(COLUMNS($AB$1006:AI1006),$AB$1006:$AQ$1006,0)))),"Fix")))</f>
        <v>0</v>
      </c>
      <c r="J537" s="4">
        <f>IF(OR(INDEX($V$2:$V$1001,MATCH(ROWS($U$2:U537),$U$2:$U$1001,0),1)&gt;=100000,INDEX($AB$1005:$AQ$1005,1,MATCH(COLUMNS($AB$1006:AJ1006),$AB$1006:$AQ$1006,0))&gt;=100000), " ",IF(INDEX($AB$2:$AQ$1001,MATCH(ROWS($U$2:U537),$U$2:$U$1001,0),MATCH(COLUMNS($AB$1006:AJ1006),$AB$1006:$AQ$1006,0)), HYPERLINK("#",""), HYPERLINK(CONCATENATE("#metadata!", ADDRESS(INDEX($W$2:$W$1001,MATCH(ROWS($U$2:U537),$U$2:$U$1001,0),0), INDEX($AB$1004:$AQ$1004,1,MATCH(COLUMNS($AB$1006:AJ1006),$AB$1006:$AQ$1006,0)))),"Fix")))</f>
        <v>0</v>
      </c>
      <c r="K537" s="4">
        <f>IF(OR(INDEX($V$2:$V$1001,MATCH(ROWS($U$2:U537),$U$2:$U$1001,0),1)&gt;=100000,INDEX($AB$1005:$AQ$1005,1,MATCH(COLUMNS($AB$1006:AK1006),$AB$1006:$AQ$1006,0))&gt;=100000), " ",IF(INDEX($AB$2:$AQ$1001,MATCH(ROWS($U$2:U537),$U$2:$U$1001,0),MATCH(COLUMNS($AB$1006:AK1006),$AB$1006:$AQ$1006,0)), HYPERLINK("#",""), HYPERLINK(CONCATENATE("#metadata!", ADDRESS(INDEX($W$2:$W$1001,MATCH(ROWS($U$2:U537),$U$2:$U$1001,0),0), INDEX($AB$1004:$AQ$1004,1,MATCH(COLUMNS($AB$1006:AK1006),$AB$1006:$AQ$1006,0)))),"Fix")))</f>
        <v>0</v>
      </c>
      <c r="L537" s="4">
        <f>IF(OR(INDEX($V$2:$V$1001,MATCH(ROWS($U$2:U537),$U$2:$U$1001,0),1)&gt;=100000,INDEX($AB$1005:$AQ$1005,1,MATCH(COLUMNS($AB$1006:AL1006),$AB$1006:$AQ$1006,0))&gt;=100000), " ",IF(INDEX($AB$2:$AQ$1001,MATCH(ROWS($U$2:U537),$U$2:$U$1001,0),MATCH(COLUMNS($AB$1006:AL1006),$AB$1006:$AQ$1006,0)), HYPERLINK("#",""), HYPERLINK(CONCATENATE("#metadata!", ADDRESS(INDEX($W$2:$W$1001,MATCH(ROWS($U$2:U537),$U$2:$U$1001,0),0), INDEX($AB$1004:$AQ$1004,1,MATCH(COLUMNS($AB$1006:AL1006),$AB$1006:$AQ$1006,0)))),"Fix")))</f>
        <v>0</v>
      </c>
      <c r="M537" s="4">
        <f>IF(OR(INDEX($V$2:$V$1001,MATCH(ROWS($U$2:U537),$U$2:$U$1001,0),1)&gt;=100000,INDEX($AB$1005:$AQ$1005,1,MATCH(COLUMNS($AB$1006:AM1006),$AB$1006:$AQ$1006,0))&gt;=100000), " ",IF(INDEX($AB$2:$AQ$1001,MATCH(ROWS($U$2:U537),$U$2:$U$1001,0),MATCH(COLUMNS($AB$1006:AM1006),$AB$1006:$AQ$1006,0)), HYPERLINK("#",""), HYPERLINK(CONCATENATE("#metadata!", ADDRESS(INDEX($W$2:$W$1001,MATCH(ROWS($U$2:U537),$U$2:$U$1001,0),0), INDEX($AB$1004:$AQ$1004,1,MATCH(COLUMNS($AB$1006:AM1006),$AB$1006:$AQ$1006,0)))),"Fix")))</f>
        <v>0</v>
      </c>
      <c r="N537" s="4">
        <f>IF(OR(INDEX($V$2:$V$1001,MATCH(ROWS($U$2:U537),$U$2:$U$1001,0),1)&gt;=100000,INDEX($AB$1005:$AQ$1005,1,MATCH(COLUMNS($AB$1006:AN1006),$AB$1006:$AQ$1006,0))&gt;=100000), " ",IF(INDEX($AB$2:$AQ$1001,MATCH(ROWS($U$2:U537),$U$2:$U$1001,0),MATCH(COLUMNS($AB$1006:AN1006),$AB$1006:$AQ$1006,0)), HYPERLINK("#",""), HYPERLINK(CONCATENATE("#metadata!", ADDRESS(INDEX($W$2:$W$1001,MATCH(ROWS($U$2:U537),$U$2:$U$1001,0),0), INDEX($AB$1004:$AQ$1004,1,MATCH(COLUMNS($AB$1006:AN1006),$AB$1006:$AQ$1006,0)))),"Fix")))</f>
        <v>0</v>
      </c>
      <c r="O537" s="4">
        <f>IF(OR(INDEX($V$2:$V$1001,MATCH(ROWS($U$2:U537),$U$2:$U$1001,0),1)&gt;=100000,INDEX($AB$1005:$AQ$1005,1,MATCH(COLUMNS($AB$1006:AO1006),$AB$1006:$AQ$1006,0))&gt;=100000), " ",IF(INDEX($AB$2:$AQ$1001,MATCH(ROWS($U$2:U537),$U$2:$U$1001,0),MATCH(COLUMNS($AB$1006:AO1006),$AB$1006:$AQ$1006,0)), HYPERLINK("#",""), HYPERLINK(CONCATENATE("#metadata!", ADDRESS(INDEX($W$2:$W$1001,MATCH(ROWS($U$2:U537),$U$2:$U$1001,0),0), INDEX($AB$1004:$AQ$1004,1,MATCH(COLUMNS($AB$1006:AO1006),$AB$1006:$AQ$1006,0)))),"Fix")))</f>
        <v>0</v>
      </c>
      <c r="P537" s="4">
        <f>IF(OR(INDEX($V$2:$V$1001,MATCH(ROWS($U$2:U537),$U$2:$U$1001,0),1)&gt;=100000,INDEX($AB$1005:$AQ$1005,1,MATCH(COLUMNS($AB$1006:AP1006),$AB$1006:$AQ$1006,0))&gt;=100000), " ",IF(INDEX($AB$2:$AQ$1001,MATCH(ROWS($U$2:U537),$U$2:$U$1001,0),MATCH(COLUMNS($AB$1006:AP1006),$AB$1006:$AQ$1006,0)), HYPERLINK("#",""), HYPERLINK(CONCATENATE("#metadata!", ADDRESS(INDEX($W$2:$W$1001,MATCH(ROWS($U$2:U537),$U$2:$U$1001,0),0), INDEX($AB$1004:$AQ$1004,1,MATCH(COLUMNS($AB$1006:AP1006),$AB$1006:$AQ$1006,0)))),"Fix")))</f>
        <v>0</v>
      </c>
      <c r="Q537" s="4">
        <f>IF(OR(INDEX($V$2:$V$1001,MATCH(ROWS($U$2:U537),$U$2:$U$1001,0),1)&gt;=100000,INDEX($AB$1005:$AQ$1005,1,MATCH(COLUMNS($AB$1006:AQ1006),$AB$1006:$AQ$1006,0))&gt;=100000), " ",IF(INDEX($AB$2:$AQ$1001,MATCH(ROWS($U$2:U537),$U$2:$U$1001,0),MATCH(COLUMNS($AB$1006:AQ1006),$AB$1006:$AQ$1006,0)), HYPERLINK("#",""), HYPERLINK(CONCATENATE("#metadata!", ADDRESS(INDEX($W$2:$W$1001,MATCH(ROWS($U$2:U537),$U$2:$U$1001,0),0), INDEX($AB$1004:$AQ$1004,1,MATCH(COLUMNS($AB$1006:AQ1006),$AB$1006:$AQ$1006,0)))),"Fix")))</f>
        <v>0</v>
      </c>
      <c r="U537">
        <v>0</v>
      </c>
      <c r="V537">
        <v>0</v>
      </c>
      <c r="W537">
        <v>0</v>
      </c>
      <c r="X537">
        <f>IF(Y537,TRUE,AND(AB537:AQ537))</f>
        <v>0</v>
      </c>
      <c r="Y537">
        <f>COUNTBLANK(metadata!B537:Q537)=COLUMNS(metadata!B537:Q537)</f>
        <v>0</v>
      </c>
      <c r="Z537">
        <v>0</v>
      </c>
      <c r="AB537">
        <f>AND(IF(metadata!B537="",FALSE,TRUE),COUNTIF(metadata!B:B, metadata!B537) = 1,NOT(ISERROR(SUMPRODUCT(SEARCH(MID(metadata!B537,ROW(INDIRECT("1:"&amp;LEN(metadata!B537))), 1),"0123456789abcdefghijklmnopqrstuvwxyzABCDEFGHIJKLMNOPQRSTUVWXYZ.")))))</f>
        <v>0</v>
      </c>
      <c r="AC537">
        <f>OR(AND(IF(metadata!C537="",FALSE,TRUE),OR(exact(metadata!C537,"missing: not collected"),exact(metadata!C537,"missing: not provided"),exact(metadata!C537,"missing: restricted access"))),AND(IF(metadata!C537="",FALSE,TRUE),AND(AND(IFERROR(INT(LEFT(metadata!C537,4))&gt;1900,FALSE),IFERROR(INT(LEFT(metadata!C537,4))&lt;=YEAR(NOW()),FALSE)), OR(MID(metadata!C537,5,1)="", AND(AND(MID(metadata!C537,5,1)="-",IFERROR(INT(MID(metadata!C537,6,1))&gt;=0,FALSE),IFERROR(INT(MID(metadata!C537,6,1))&lt;=1,FALSE),NOT(MID(metadata!C537,7,1)=""),IFERROR(INT(MID(metadata!C537,6,2))&gt;=1,FALSE),IFERROR(INT(MID(metadata!C537,6,2))&lt;=12,FALSE)), OR(MID(metadata!C537,8,1)="", AND(AND(MID(metadata!C537,8,1)="-",IFERROR(INT(MID(metadata!C537,9,1))&gt;=0,FALSE),IFERROR(INT(MID(metadata!C537,9,1))&lt;=3,FALSE),NOT(MID(metadata!C537,10,1)=""),IFERROR(INT(MID(metadata!C537,9,2))&gt;=1,FALSE),IFERROR(INT(MID(metadata!C537,9,2))&lt;=31,FALSE)), OR(MID(metadata!C537,11,1)="", AND(AND(MID(metadata!C537,11,1)=" ",IFERROR(INT(MID(metadata!C537,12,1))&gt;=0,FALSE),IFERROR(INT(MID(metadata!C537,12,1))&lt;=2,FALSE),NOT(MID(metadata!C537,13,1)=""),IFERROR(INT(MID(metadata!C537,12,2))&gt;=0,FALSE),IFERROR(INT(MID(metadata!C537,12,2))&lt;=23,FALSE)), OR(MID(metadata!C537,14,1)="", AND(AND(MID(metadata!C537,14,1)=":",IFERROR(INT(MID(metadata!C537,15,1))&gt;=0,FALSE),IFERROR(INT(MID(metadata!C537,15,1))&lt;=5,FALSE),NOT(MID(metadata!C537,16,1)=""),IFERROR(INT(MID(metadata!C537,15,2))&gt;=0,FALSE),IFERROR(INT(MID(metadata!C537,15,2))&lt;=59,FALSE)), OR(MID(metadata!C537,17,1)="", AND(AND(MID(metadata!C537,17,1)=":",IFERROR(INT(MID(metadata!C537,18,1))&gt;=0,FALSE),IFERROR(INT(MID(metadata!C537,18,1))&lt;=5,FALSE),NOT(MID(metadata!C537,19,1)=""),IFERROR(INT(MID(metadata!C537,18,2))&gt;=0,FALSE),IFERROR(INT(MID(metadata!C537,18,2))&lt;=59,FALSE)), LEN(metadata!C537)&lt;=19)))))))))))))</f>
        <v>0</v>
      </c>
      <c r="AD537">
        <f>IF(metadata!D537="",FALSE,TRUE)</f>
        <v>0</v>
      </c>
      <c r="AE537">
        <f>OR(AND(IF(metadata!E537="",FALSE,TRUE),OR(exact(metadata!E537,"missing: not collected"),exact(metadata!E537,"missing: not provided"))),AND(IF(metadata!E537="",FALSE,TRUE),OR(exact(metadata!E537,"TRUE"),exact(metadata!E537,"FALSE"))))</f>
        <v>0</v>
      </c>
      <c r="AF537">
        <f>IF(metadata!F537="",FALSE,TRUE)</f>
        <v>0</v>
      </c>
      <c r="AG537">
        <f>IF(metadata!G537="",FALSE,TRUE)</f>
        <v>0</v>
      </c>
      <c r="AH537">
        <f>IF(metadata!H537="",FALSE,TRUE)</f>
        <v>0</v>
      </c>
      <c r="AI537">
        <f>OR(AND(IF(metadata!I537="",FALSE,TRUE),OR(exact(metadata!I537,"missing: not collected"),exact(metadata!I537,"missing: not provided"),exact(metadata!I537,"missing: restricted access"))),AND(IF(metadata!I537="",FALSE,TRUE),OR(exact(metadata!I537,"air"),exact(metadata!I537,"built environment"),exact(metadata!I537,"host-associated"),exact(metadata!I537,"human-associated"),exact(metadata!I537,"human-skin"),exact(metadata!I537,"human-oral"),exact(metadata!I537,"human-gut"),exact(metadata!I537,"human-vaginal"),exact(metadata!I537,"microbial mat/biofilm"),exact(metadata!I537,"misc environment"),exact(metadata!I537,"plant-associated"),exact(metadata!I537,"sediment"),exact(metadata!I537,"soil"),exact(metadata!I537,"wastewater/sludge"),exact(metadata!I537,"water"))))</f>
        <v>0</v>
      </c>
      <c r="AJ537">
        <f>IF(metadata!J537="",FALSE,TRUE)</f>
        <v>0</v>
      </c>
      <c r="AK537">
        <f>OR(AND(IF(metadata!K537="",FALSE,TRUE),OR(exact(metadata!K537,"missing: not collected"),exact(metadata!K537,"missing: not provided"),exact(metadata!K537,"missing: restricted access"))),AND(IF(metadata!K537="",FALSE,ISNUMBER(VALUE(metadata!K537))),metadata!K537&gt;=-90.00,metadata!K537&lt;=90.00))</f>
        <v>0</v>
      </c>
      <c r="AL537">
        <f>OR(AND(IF(metadata!L537="",FALSE,TRUE),OR(exact(metadata!L537,"missing: not collected"),exact(metadata!L537,"missing: not provided"),exact(metadata!L537,"missing: restricted access"))),AND(IF(metadata!L537="",FALSE,ISNUMBER(VALUE(metadata!L537))),metadata!L537&gt;=-180.00,metadata!L537&lt;=180.00))</f>
        <v>0</v>
      </c>
      <c r="AM537">
        <f>IF(metadata!M537="",FALSE,TRUE)</f>
        <v>0</v>
      </c>
      <c r="AN537">
        <f>OR(AND(IF(metadata!N537="",FALSE,TRUE),OR(exact(metadata!N537,"missing: not collected"),exact(metadata!N537,"missing: not provided"),exact(metadata!N537,"missing: restricted access"))),AND(IF(metadata!N537="",FALSE,TRUE),OR(exact(metadata!N537,"TRUE"),exact(metadata!N537,"FALSE"))))</f>
        <v>0</v>
      </c>
      <c r="AO537">
        <f>IF(metadata!O537="",FALSE,TRUE)</f>
        <v>0</v>
      </c>
      <c r="AP537">
        <f>OR(AND(IF(metadata!P537="",FALSE,TRUE),OR(exact(metadata!P537,"missing: not collected"),exact(metadata!P537,"missing: not provided"))),AND(IF(metadata!P537="",FALSE,IF(ISERROR(INT(metadata!P537)),FALSE,INT(metadata!P537)=metadata!P537)),metadata!P537&gt;0))</f>
        <v>0</v>
      </c>
      <c r="AQ537">
        <f>IF(metadata!Q537="",FALSE,TRUE)</f>
        <v>0</v>
      </c>
    </row>
    <row r="538" spans="1:43">
      <c r="A538" s="5">
        <f>IF(B538=" "," ",HYPERLINK(CONCATENATE("#metadata!",ADDRESS(INDEX($W$2:$W$1001,MATCH(ROWS($U$2:U538),$U$2:$U$1001,0),0),1)),INDEX($Z$2:$Z$1001,MATCH(ROWS($U$2:U538),$U$2:$U$1001,0),0)))</f>
        <v>0</v>
      </c>
      <c r="B538" s="4">
        <f>IF(OR(INDEX($V$2:$V$1001,MATCH(ROWS($U$2:U538),$U$2:$U$1001,0),1)&gt;=100000,INDEX($AB$1005:$AQ$1005,1,MATCH(COLUMNS($AB$1006:AB1006),$AB$1006:$AQ$1006,0))&gt;=100000), " ",IF(INDEX($AB$2:$AQ$1001,MATCH(ROWS($U$2:U538),$U$2:$U$1001,0),MATCH(COLUMNS($AB$1006:AB1006),$AB$1006:$AQ$1006,0)), HYPERLINK("#",""), HYPERLINK(CONCATENATE("#metadata!", ADDRESS(INDEX($W$2:$W$1001,MATCH(ROWS($U$2:U538),$U$2:$U$1001,0),0), INDEX($AB$1004:$AQ$1004,1,MATCH(COLUMNS($AB$1006:AB1006),$AB$1006:$AQ$1006,0)))),"Fix")))</f>
        <v>0</v>
      </c>
      <c r="C538" s="4">
        <f>IF(OR(INDEX($V$2:$V$1001,MATCH(ROWS($U$2:U538),$U$2:$U$1001,0),1)&gt;=100000,INDEX($AB$1005:$AQ$1005,1,MATCH(COLUMNS($AB$1006:AC1006),$AB$1006:$AQ$1006,0))&gt;=100000), " ",IF(INDEX($AB$2:$AQ$1001,MATCH(ROWS($U$2:U538),$U$2:$U$1001,0),MATCH(COLUMNS($AB$1006:AC1006),$AB$1006:$AQ$1006,0)), HYPERLINK("#",""), HYPERLINK(CONCATENATE("#metadata!", ADDRESS(INDEX($W$2:$W$1001,MATCH(ROWS($U$2:U538),$U$2:$U$1001,0),0), INDEX($AB$1004:$AQ$1004,1,MATCH(COLUMNS($AB$1006:AC1006),$AB$1006:$AQ$1006,0)))),"Fix")))</f>
        <v>0</v>
      </c>
      <c r="D538" s="4">
        <f>IF(OR(INDEX($V$2:$V$1001,MATCH(ROWS($U$2:U538),$U$2:$U$1001,0),1)&gt;=100000,INDEX($AB$1005:$AQ$1005,1,MATCH(COLUMNS($AB$1006:AD1006),$AB$1006:$AQ$1006,0))&gt;=100000), " ",IF(INDEX($AB$2:$AQ$1001,MATCH(ROWS($U$2:U538),$U$2:$U$1001,0),MATCH(COLUMNS($AB$1006:AD1006),$AB$1006:$AQ$1006,0)), HYPERLINK("#",""), HYPERLINK(CONCATENATE("#metadata!", ADDRESS(INDEX($W$2:$W$1001,MATCH(ROWS($U$2:U538),$U$2:$U$1001,0),0), INDEX($AB$1004:$AQ$1004,1,MATCH(COLUMNS($AB$1006:AD1006),$AB$1006:$AQ$1006,0)))),"Fix")))</f>
        <v>0</v>
      </c>
      <c r="E538" s="4">
        <f>IF(OR(INDEX($V$2:$V$1001,MATCH(ROWS($U$2:U538),$U$2:$U$1001,0),1)&gt;=100000,INDEX($AB$1005:$AQ$1005,1,MATCH(COLUMNS($AB$1006:AE1006),$AB$1006:$AQ$1006,0))&gt;=100000), " ",IF(INDEX($AB$2:$AQ$1001,MATCH(ROWS($U$2:U538),$U$2:$U$1001,0),MATCH(COLUMNS($AB$1006:AE1006),$AB$1006:$AQ$1006,0)), HYPERLINK("#",""), HYPERLINK(CONCATENATE("#metadata!", ADDRESS(INDEX($W$2:$W$1001,MATCH(ROWS($U$2:U538),$U$2:$U$1001,0),0), INDEX($AB$1004:$AQ$1004,1,MATCH(COLUMNS($AB$1006:AE1006),$AB$1006:$AQ$1006,0)))),"Fix")))</f>
        <v>0</v>
      </c>
      <c r="F538" s="4">
        <f>IF(OR(INDEX($V$2:$V$1001,MATCH(ROWS($U$2:U538),$U$2:$U$1001,0),1)&gt;=100000,INDEX($AB$1005:$AQ$1005,1,MATCH(COLUMNS($AB$1006:AF1006),$AB$1006:$AQ$1006,0))&gt;=100000), " ",IF(INDEX($AB$2:$AQ$1001,MATCH(ROWS($U$2:U538),$U$2:$U$1001,0),MATCH(COLUMNS($AB$1006:AF1006),$AB$1006:$AQ$1006,0)), HYPERLINK("#",""), HYPERLINK(CONCATENATE("#metadata!", ADDRESS(INDEX($W$2:$W$1001,MATCH(ROWS($U$2:U538),$U$2:$U$1001,0),0), INDEX($AB$1004:$AQ$1004,1,MATCH(COLUMNS($AB$1006:AF1006),$AB$1006:$AQ$1006,0)))),"Fix")))</f>
        <v>0</v>
      </c>
      <c r="G538" s="4">
        <f>IF(OR(INDEX($V$2:$V$1001,MATCH(ROWS($U$2:U538),$U$2:$U$1001,0),1)&gt;=100000,INDEX($AB$1005:$AQ$1005,1,MATCH(COLUMNS($AB$1006:AG1006),$AB$1006:$AQ$1006,0))&gt;=100000), " ",IF(INDEX($AB$2:$AQ$1001,MATCH(ROWS($U$2:U538),$U$2:$U$1001,0),MATCH(COLUMNS($AB$1006:AG1006),$AB$1006:$AQ$1006,0)), HYPERLINK("#",""), HYPERLINK(CONCATENATE("#metadata!", ADDRESS(INDEX($W$2:$W$1001,MATCH(ROWS($U$2:U538),$U$2:$U$1001,0),0), INDEX($AB$1004:$AQ$1004,1,MATCH(COLUMNS($AB$1006:AG1006),$AB$1006:$AQ$1006,0)))),"Fix")))</f>
        <v>0</v>
      </c>
      <c r="H538" s="4">
        <f>IF(OR(INDEX($V$2:$V$1001,MATCH(ROWS($U$2:U538),$U$2:$U$1001,0),1)&gt;=100000,INDEX($AB$1005:$AQ$1005,1,MATCH(COLUMNS($AB$1006:AH1006),$AB$1006:$AQ$1006,0))&gt;=100000), " ",IF(INDEX($AB$2:$AQ$1001,MATCH(ROWS($U$2:U538),$U$2:$U$1001,0),MATCH(COLUMNS($AB$1006:AH1006),$AB$1006:$AQ$1006,0)), HYPERLINK("#",""), HYPERLINK(CONCATENATE("#metadata!", ADDRESS(INDEX($W$2:$W$1001,MATCH(ROWS($U$2:U538),$U$2:$U$1001,0),0), INDEX($AB$1004:$AQ$1004,1,MATCH(COLUMNS($AB$1006:AH1006),$AB$1006:$AQ$1006,0)))),"Fix")))</f>
        <v>0</v>
      </c>
      <c r="I538" s="4">
        <f>IF(OR(INDEX($V$2:$V$1001,MATCH(ROWS($U$2:U538),$U$2:$U$1001,0),1)&gt;=100000,INDEX($AB$1005:$AQ$1005,1,MATCH(COLUMNS($AB$1006:AI1006),$AB$1006:$AQ$1006,0))&gt;=100000), " ",IF(INDEX($AB$2:$AQ$1001,MATCH(ROWS($U$2:U538),$U$2:$U$1001,0),MATCH(COLUMNS($AB$1006:AI1006),$AB$1006:$AQ$1006,0)), HYPERLINK("#",""), HYPERLINK(CONCATENATE("#metadata!", ADDRESS(INDEX($W$2:$W$1001,MATCH(ROWS($U$2:U538),$U$2:$U$1001,0),0), INDEX($AB$1004:$AQ$1004,1,MATCH(COLUMNS($AB$1006:AI1006),$AB$1006:$AQ$1006,0)))),"Fix")))</f>
        <v>0</v>
      </c>
      <c r="J538" s="4">
        <f>IF(OR(INDEX($V$2:$V$1001,MATCH(ROWS($U$2:U538),$U$2:$U$1001,0),1)&gt;=100000,INDEX($AB$1005:$AQ$1005,1,MATCH(COLUMNS($AB$1006:AJ1006),$AB$1006:$AQ$1006,0))&gt;=100000), " ",IF(INDEX($AB$2:$AQ$1001,MATCH(ROWS($U$2:U538),$U$2:$U$1001,0),MATCH(COLUMNS($AB$1006:AJ1006),$AB$1006:$AQ$1006,0)), HYPERLINK("#",""), HYPERLINK(CONCATENATE("#metadata!", ADDRESS(INDEX($W$2:$W$1001,MATCH(ROWS($U$2:U538),$U$2:$U$1001,0),0), INDEX($AB$1004:$AQ$1004,1,MATCH(COLUMNS($AB$1006:AJ1006),$AB$1006:$AQ$1006,0)))),"Fix")))</f>
        <v>0</v>
      </c>
      <c r="K538" s="4">
        <f>IF(OR(INDEX($V$2:$V$1001,MATCH(ROWS($U$2:U538),$U$2:$U$1001,0),1)&gt;=100000,INDEX($AB$1005:$AQ$1005,1,MATCH(COLUMNS($AB$1006:AK1006),$AB$1006:$AQ$1006,0))&gt;=100000), " ",IF(INDEX($AB$2:$AQ$1001,MATCH(ROWS($U$2:U538),$U$2:$U$1001,0),MATCH(COLUMNS($AB$1006:AK1006),$AB$1006:$AQ$1006,0)), HYPERLINK("#",""), HYPERLINK(CONCATENATE("#metadata!", ADDRESS(INDEX($W$2:$W$1001,MATCH(ROWS($U$2:U538),$U$2:$U$1001,0),0), INDEX($AB$1004:$AQ$1004,1,MATCH(COLUMNS($AB$1006:AK1006),$AB$1006:$AQ$1006,0)))),"Fix")))</f>
        <v>0</v>
      </c>
      <c r="L538" s="4">
        <f>IF(OR(INDEX($V$2:$V$1001,MATCH(ROWS($U$2:U538),$U$2:$U$1001,0),1)&gt;=100000,INDEX($AB$1005:$AQ$1005,1,MATCH(COLUMNS($AB$1006:AL1006),$AB$1006:$AQ$1006,0))&gt;=100000), " ",IF(INDEX($AB$2:$AQ$1001,MATCH(ROWS($U$2:U538),$U$2:$U$1001,0),MATCH(COLUMNS($AB$1006:AL1006),$AB$1006:$AQ$1006,0)), HYPERLINK("#",""), HYPERLINK(CONCATENATE("#metadata!", ADDRESS(INDEX($W$2:$W$1001,MATCH(ROWS($U$2:U538),$U$2:$U$1001,0),0), INDEX($AB$1004:$AQ$1004,1,MATCH(COLUMNS($AB$1006:AL1006),$AB$1006:$AQ$1006,0)))),"Fix")))</f>
        <v>0</v>
      </c>
      <c r="M538" s="4">
        <f>IF(OR(INDEX($V$2:$V$1001,MATCH(ROWS($U$2:U538),$U$2:$U$1001,0),1)&gt;=100000,INDEX($AB$1005:$AQ$1005,1,MATCH(COLUMNS($AB$1006:AM1006),$AB$1006:$AQ$1006,0))&gt;=100000), " ",IF(INDEX($AB$2:$AQ$1001,MATCH(ROWS($U$2:U538),$U$2:$U$1001,0),MATCH(COLUMNS($AB$1006:AM1006),$AB$1006:$AQ$1006,0)), HYPERLINK("#",""), HYPERLINK(CONCATENATE("#metadata!", ADDRESS(INDEX($W$2:$W$1001,MATCH(ROWS($U$2:U538),$U$2:$U$1001,0),0), INDEX($AB$1004:$AQ$1004,1,MATCH(COLUMNS($AB$1006:AM1006),$AB$1006:$AQ$1006,0)))),"Fix")))</f>
        <v>0</v>
      </c>
      <c r="N538" s="4">
        <f>IF(OR(INDEX($V$2:$V$1001,MATCH(ROWS($U$2:U538),$U$2:$U$1001,0),1)&gt;=100000,INDEX($AB$1005:$AQ$1005,1,MATCH(COLUMNS($AB$1006:AN1006),$AB$1006:$AQ$1006,0))&gt;=100000), " ",IF(INDEX($AB$2:$AQ$1001,MATCH(ROWS($U$2:U538),$U$2:$U$1001,0),MATCH(COLUMNS($AB$1006:AN1006),$AB$1006:$AQ$1006,0)), HYPERLINK("#",""), HYPERLINK(CONCATENATE("#metadata!", ADDRESS(INDEX($W$2:$W$1001,MATCH(ROWS($U$2:U538),$U$2:$U$1001,0),0), INDEX($AB$1004:$AQ$1004,1,MATCH(COLUMNS($AB$1006:AN1006),$AB$1006:$AQ$1006,0)))),"Fix")))</f>
        <v>0</v>
      </c>
      <c r="O538" s="4">
        <f>IF(OR(INDEX($V$2:$V$1001,MATCH(ROWS($U$2:U538),$U$2:$U$1001,0),1)&gt;=100000,INDEX($AB$1005:$AQ$1005,1,MATCH(COLUMNS($AB$1006:AO1006),$AB$1006:$AQ$1006,0))&gt;=100000), " ",IF(INDEX($AB$2:$AQ$1001,MATCH(ROWS($U$2:U538),$U$2:$U$1001,0),MATCH(COLUMNS($AB$1006:AO1006),$AB$1006:$AQ$1006,0)), HYPERLINK("#",""), HYPERLINK(CONCATENATE("#metadata!", ADDRESS(INDEX($W$2:$W$1001,MATCH(ROWS($U$2:U538),$U$2:$U$1001,0),0), INDEX($AB$1004:$AQ$1004,1,MATCH(COLUMNS($AB$1006:AO1006),$AB$1006:$AQ$1006,0)))),"Fix")))</f>
        <v>0</v>
      </c>
      <c r="P538" s="4">
        <f>IF(OR(INDEX($V$2:$V$1001,MATCH(ROWS($U$2:U538),$U$2:$U$1001,0),1)&gt;=100000,INDEX($AB$1005:$AQ$1005,1,MATCH(COLUMNS($AB$1006:AP1006),$AB$1006:$AQ$1006,0))&gt;=100000), " ",IF(INDEX($AB$2:$AQ$1001,MATCH(ROWS($U$2:U538),$U$2:$U$1001,0),MATCH(COLUMNS($AB$1006:AP1006),$AB$1006:$AQ$1006,0)), HYPERLINK("#",""), HYPERLINK(CONCATENATE("#metadata!", ADDRESS(INDEX($W$2:$W$1001,MATCH(ROWS($U$2:U538),$U$2:$U$1001,0),0), INDEX($AB$1004:$AQ$1004,1,MATCH(COLUMNS($AB$1006:AP1006),$AB$1006:$AQ$1006,0)))),"Fix")))</f>
        <v>0</v>
      </c>
      <c r="Q538" s="4">
        <f>IF(OR(INDEX($V$2:$V$1001,MATCH(ROWS($U$2:U538),$U$2:$U$1001,0),1)&gt;=100000,INDEX($AB$1005:$AQ$1005,1,MATCH(COLUMNS($AB$1006:AQ1006),$AB$1006:$AQ$1006,0))&gt;=100000), " ",IF(INDEX($AB$2:$AQ$1001,MATCH(ROWS($U$2:U538),$U$2:$U$1001,0),MATCH(COLUMNS($AB$1006:AQ1006),$AB$1006:$AQ$1006,0)), HYPERLINK("#",""), HYPERLINK(CONCATENATE("#metadata!", ADDRESS(INDEX($W$2:$W$1001,MATCH(ROWS($U$2:U538),$U$2:$U$1001,0),0), INDEX($AB$1004:$AQ$1004,1,MATCH(COLUMNS($AB$1006:AQ1006),$AB$1006:$AQ$1006,0)))),"Fix")))</f>
        <v>0</v>
      </c>
      <c r="U538">
        <v>0</v>
      </c>
      <c r="V538">
        <v>0</v>
      </c>
      <c r="W538">
        <v>0</v>
      </c>
      <c r="X538">
        <f>IF(Y538,TRUE,AND(AB538:AQ538))</f>
        <v>0</v>
      </c>
      <c r="Y538">
        <f>COUNTBLANK(metadata!B538:Q538)=COLUMNS(metadata!B538:Q538)</f>
        <v>0</v>
      </c>
      <c r="Z538">
        <v>0</v>
      </c>
      <c r="AB538">
        <f>AND(IF(metadata!B538="",FALSE,TRUE),COUNTIF(metadata!B:B, metadata!B538) = 1,NOT(ISERROR(SUMPRODUCT(SEARCH(MID(metadata!B538,ROW(INDIRECT("1:"&amp;LEN(metadata!B538))), 1),"0123456789abcdefghijklmnopqrstuvwxyzABCDEFGHIJKLMNOPQRSTUVWXYZ.")))))</f>
        <v>0</v>
      </c>
      <c r="AC538">
        <f>OR(AND(IF(metadata!C538="",FALSE,TRUE),OR(exact(metadata!C538,"missing: not collected"),exact(metadata!C538,"missing: not provided"),exact(metadata!C538,"missing: restricted access"))),AND(IF(metadata!C538="",FALSE,TRUE),AND(AND(IFERROR(INT(LEFT(metadata!C538,4))&gt;1900,FALSE),IFERROR(INT(LEFT(metadata!C538,4))&lt;=YEAR(NOW()),FALSE)), OR(MID(metadata!C538,5,1)="", AND(AND(MID(metadata!C538,5,1)="-",IFERROR(INT(MID(metadata!C538,6,1))&gt;=0,FALSE),IFERROR(INT(MID(metadata!C538,6,1))&lt;=1,FALSE),NOT(MID(metadata!C538,7,1)=""),IFERROR(INT(MID(metadata!C538,6,2))&gt;=1,FALSE),IFERROR(INT(MID(metadata!C538,6,2))&lt;=12,FALSE)), OR(MID(metadata!C538,8,1)="", AND(AND(MID(metadata!C538,8,1)="-",IFERROR(INT(MID(metadata!C538,9,1))&gt;=0,FALSE),IFERROR(INT(MID(metadata!C538,9,1))&lt;=3,FALSE),NOT(MID(metadata!C538,10,1)=""),IFERROR(INT(MID(metadata!C538,9,2))&gt;=1,FALSE),IFERROR(INT(MID(metadata!C538,9,2))&lt;=31,FALSE)), OR(MID(metadata!C538,11,1)="", AND(AND(MID(metadata!C538,11,1)=" ",IFERROR(INT(MID(metadata!C538,12,1))&gt;=0,FALSE),IFERROR(INT(MID(metadata!C538,12,1))&lt;=2,FALSE),NOT(MID(metadata!C538,13,1)=""),IFERROR(INT(MID(metadata!C538,12,2))&gt;=0,FALSE),IFERROR(INT(MID(metadata!C538,12,2))&lt;=23,FALSE)), OR(MID(metadata!C538,14,1)="", AND(AND(MID(metadata!C538,14,1)=":",IFERROR(INT(MID(metadata!C538,15,1))&gt;=0,FALSE),IFERROR(INT(MID(metadata!C538,15,1))&lt;=5,FALSE),NOT(MID(metadata!C538,16,1)=""),IFERROR(INT(MID(metadata!C538,15,2))&gt;=0,FALSE),IFERROR(INT(MID(metadata!C538,15,2))&lt;=59,FALSE)), OR(MID(metadata!C538,17,1)="", AND(AND(MID(metadata!C538,17,1)=":",IFERROR(INT(MID(metadata!C538,18,1))&gt;=0,FALSE),IFERROR(INT(MID(metadata!C538,18,1))&lt;=5,FALSE),NOT(MID(metadata!C538,19,1)=""),IFERROR(INT(MID(metadata!C538,18,2))&gt;=0,FALSE),IFERROR(INT(MID(metadata!C538,18,2))&lt;=59,FALSE)), LEN(metadata!C538)&lt;=19)))))))))))))</f>
        <v>0</v>
      </c>
      <c r="AD538">
        <f>IF(metadata!D538="",FALSE,TRUE)</f>
        <v>0</v>
      </c>
      <c r="AE538">
        <f>OR(AND(IF(metadata!E538="",FALSE,TRUE),OR(exact(metadata!E538,"missing: not collected"),exact(metadata!E538,"missing: not provided"))),AND(IF(metadata!E538="",FALSE,TRUE),OR(exact(metadata!E538,"TRUE"),exact(metadata!E538,"FALSE"))))</f>
        <v>0</v>
      </c>
      <c r="AF538">
        <f>IF(metadata!F538="",FALSE,TRUE)</f>
        <v>0</v>
      </c>
      <c r="AG538">
        <f>IF(metadata!G538="",FALSE,TRUE)</f>
        <v>0</v>
      </c>
      <c r="AH538">
        <f>IF(metadata!H538="",FALSE,TRUE)</f>
        <v>0</v>
      </c>
      <c r="AI538">
        <f>OR(AND(IF(metadata!I538="",FALSE,TRUE),OR(exact(metadata!I538,"missing: not collected"),exact(metadata!I538,"missing: not provided"),exact(metadata!I538,"missing: restricted access"))),AND(IF(metadata!I538="",FALSE,TRUE),OR(exact(metadata!I538,"air"),exact(metadata!I538,"built environment"),exact(metadata!I538,"host-associated"),exact(metadata!I538,"human-associated"),exact(metadata!I538,"human-skin"),exact(metadata!I538,"human-oral"),exact(metadata!I538,"human-gut"),exact(metadata!I538,"human-vaginal"),exact(metadata!I538,"microbial mat/biofilm"),exact(metadata!I538,"misc environment"),exact(metadata!I538,"plant-associated"),exact(metadata!I538,"sediment"),exact(metadata!I538,"soil"),exact(metadata!I538,"wastewater/sludge"),exact(metadata!I538,"water"))))</f>
        <v>0</v>
      </c>
      <c r="AJ538">
        <f>IF(metadata!J538="",FALSE,TRUE)</f>
        <v>0</v>
      </c>
      <c r="AK538">
        <f>OR(AND(IF(metadata!K538="",FALSE,TRUE),OR(exact(metadata!K538,"missing: not collected"),exact(metadata!K538,"missing: not provided"),exact(metadata!K538,"missing: restricted access"))),AND(IF(metadata!K538="",FALSE,ISNUMBER(VALUE(metadata!K538))),metadata!K538&gt;=-90.00,metadata!K538&lt;=90.00))</f>
        <v>0</v>
      </c>
      <c r="AL538">
        <f>OR(AND(IF(metadata!L538="",FALSE,TRUE),OR(exact(metadata!L538,"missing: not collected"),exact(metadata!L538,"missing: not provided"),exact(metadata!L538,"missing: restricted access"))),AND(IF(metadata!L538="",FALSE,ISNUMBER(VALUE(metadata!L538))),metadata!L538&gt;=-180.00,metadata!L538&lt;=180.00))</f>
        <v>0</v>
      </c>
      <c r="AM538">
        <f>IF(metadata!M538="",FALSE,TRUE)</f>
        <v>0</v>
      </c>
      <c r="AN538">
        <f>OR(AND(IF(metadata!N538="",FALSE,TRUE),OR(exact(metadata!N538,"missing: not collected"),exact(metadata!N538,"missing: not provided"),exact(metadata!N538,"missing: restricted access"))),AND(IF(metadata!N538="",FALSE,TRUE),OR(exact(metadata!N538,"TRUE"),exact(metadata!N538,"FALSE"))))</f>
        <v>0</v>
      </c>
      <c r="AO538">
        <f>IF(metadata!O538="",FALSE,TRUE)</f>
        <v>0</v>
      </c>
      <c r="AP538">
        <f>OR(AND(IF(metadata!P538="",FALSE,TRUE),OR(exact(metadata!P538,"missing: not collected"),exact(metadata!P538,"missing: not provided"))),AND(IF(metadata!P538="",FALSE,IF(ISERROR(INT(metadata!P538)),FALSE,INT(metadata!P538)=metadata!P538)),metadata!P538&gt;0))</f>
        <v>0</v>
      </c>
      <c r="AQ538">
        <f>IF(metadata!Q538="",FALSE,TRUE)</f>
        <v>0</v>
      </c>
    </row>
    <row r="539" spans="1:43">
      <c r="A539" s="5">
        <f>IF(B539=" "," ",HYPERLINK(CONCATENATE("#metadata!",ADDRESS(INDEX($W$2:$W$1001,MATCH(ROWS($U$2:U539),$U$2:$U$1001,0),0),1)),INDEX($Z$2:$Z$1001,MATCH(ROWS($U$2:U539),$U$2:$U$1001,0),0)))</f>
        <v>0</v>
      </c>
      <c r="B539" s="4">
        <f>IF(OR(INDEX($V$2:$V$1001,MATCH(ROWS($U$2:U539),$U$2:$U$1001,0),1)&gt;=100000,INDEX($AB$1005:$AQ$1005,1,MATCH(COLUMNS($AB$1006:AB1006),$AB$1006:$AQ$1006,0))&gt;=100000), " ",IF(INDEX($AB$2:$AQ$1001,MATCH(ROWS($U$2:U539),$U$2:$U$1001,0),MATCH(COLUMNS($AB$1006:AB1006),$AB$1006:$AQ$1006,0)), HYPERLINK("#",""), HYPERLINK(CONCATENATE("#metadata!", ADDRESS(INDEX($W$2:$W$1001,MATCH(ROWS($U$2:U539),$U$2:$U$1001,0),0), INDEX($AB$1004:$AQ$1004,1,MATCH(COLUMNS($AB$1006:AB1006),$AB$1006:$AQ$1006,0)))),"Fix")))</f>
        <v>0</v>
      </c>
      <c r="C539" s="4">
        <f>IF(OR(INDEX($V$2:$V$1001,MATCH(ROWS($U$2:U539),$U$2:$U$1001,0),1)&gt;=100000,INDEX($AB$1005:$AQ$1005,1,MATCH(COLUMNS($AB$1006:AC1006),$AB$1006:$AQ$1006,0))&gt;=100000), " ",IF(INDEX($AB$2:$AQ$1001,MATCH(ROWS($U$2:U539),$U$2:$U$1001,0),MATCH(COLUMNS($AB$1006:AC1006),$AB$1006:$AQ$1006,0)), HYPERLINK("#",""), HYPERLINK(CONCATENATE("#metadata!", ADDRESS(INDEX($W$2:$W$1001,MATCH(ROWS($U$2:U539),$U$2:$U$1001,0),0), INDEX($AB$1004:$AQ$1004,1,MATCH(COLUMNS($AB$1006:AC1006),$AB$1006:$AQ$1006,0)))),"Fix")))</f>
        <v>0</v>
      </c>
      <c r="D539" s="4">
        <f>IF(OR(INDEX($V$2:$V$1001,MATCH(ROWS($U$2:U539),$U$2:$U$1001,0),1)&gt;=100000,INDEX($AB$1005:$AQ$1005,1,MATCH(COLUMNS($AB$1006:AD1006),$AB$1006:$AQ$1006,0))&gt;=100000), " ",IF(INDEX($AB$2:$AQ$1001,MATCH(ROWS($U$2:U539),$U$2:$U$1001,0),MATCH(COLUMNS($AB$1006:AD1006),$AB$1006:$AQ$1006,0)), HYPERLINK("#",""), HYPERLINK(CONCATENATE("#metadata!", ADDRESS(INDEX($W$2:$W$1001,MATCH(ROWS($U$2:U539),$U$2:$U$1001,0),0), INDEX($AB$1004:$AQ$1004,1,MATCH(COLUMNS($AB$1006:AD1006),$AB$1006:$AQ$1006,0)))),"Fix")))</f>
        <v>0</v>
      </c>
      <c r="E539" s="4">
        <f>IF(OR(INDEX($V$2:$V$1001,MATCH(ROWS($U$2:U539),$U$2:$U$1001,0),1)&gt;=100000,INDEX($AB$1005:$AQ$1005,1,MATCH(COLUMNS($AB$1006:AE1006),$AB$1006:$AQ$1006,0))&gt;=100000), " ",IF(INDEX($AB$2:$AQ$1001,MATCH(ROWS($U$2:U539),$U$2:$U$1001,0),MATCH(COLUMNS($AB$1006:AE1006),$AB$1006:$AQ$1006,0)), HYPERLINK("#",""), HYPERLINK(CONCATENATE("#metadata!", ADDRESS(INDEX($W$2:$W$1001,MATCH(ROWS($U$2:U539),$U$2:$U$1001,0),0), INDEX($AB$1004:$AQ$1004,1,MATCH(COLUMNS($AB$1006:AE1006),$AB$1006:$AQ$1006,0)))),"Fix")))</f>
        <v>0</v>
      </c>
      <c r="F539" s="4">
        <f>IF(OR(INDEX($V$2:$V$1001,MATCH(ROWS($U$2:U539),$U$2:$U$1001,0),1)&gt;=100000,INDEX($AB$1005:$AQ$1005,1,MATCH(COLUMNS($AB$1006:AF1006),$AB$1006:$AQ$1006,0))&gt;=100000), " ",IF(INDEX($AB$2:$AQ$1001,MATCH(ROWS($U$2:U539),$U$2:$U$1001,0),MATCH(COLUMNS($AB$1006:AF1006),$AB$1006:$AQ$1006,0)), HYPERLINK("#",""), HYPERLINK(CONCATENATE("#metadata!", ADDRESS(INDEX($W$2:$W$1001,MATCH(ROWS($U$2:U539),$U$2:$U$1001,0),0), INDEX($AB$1004:$AQ$1004,1,MATCH(COLUMNS($AB$1006:AF1006),$AB$1006:$AQ$1006,0)))),"Fix")))</f>
        <v>0</v>
      </c>
      <c r="G539" s="4">
        <f>IF(OR(INDEX($V$2:$V$1001,MATCH(ROWS($U$2:U539),$U$2:$U$1001,0),1)&gt;=100000,INDEX($AB$1005:$AQ$1005,1,MATCH(COLUMNS($AB$1006:AG1006),$AB$1006:$AQ$1006,0))&gt;=100000), " ",IF(INDEX($AB$2:$AQ$1001,MATCH(ROWS($U$2:U539),$U$2:$U$1001,0),MATCH(COLUMNS($AB$1006:AG1006),$AB$1006:$AQ$1006,0)), HYPERLINK("#",""), HYPERLINK(CONCATENATE("#metadata!", ADDRESS(INDEX($W$2:$W$1001,MATCH(ROWS($U$2:U539),$U$2:$U$1001,0),0), INDEX($AB$1004:$AQ$1004,1,MATCH(COLUMNS($AB$1006:AG1006),$AB$1006:$AQ$1006,0)))),"Fix")))</f>
        <v>0</v>
      </c>
      <c r="H539" s="4">
        <f>IF(OR(INDEX($V$2:$V$1001,MATCH(ROWS($U$2:U539),$U$2:$U$1001,0),1)&gt;=100000,INDEX($AB$1005:$AQ$1005,1,MATCH(COLUMNS($AB$1006:AH1006),$AB$1006:$AQ$1006,0))&gt;=100000), " ",IF(INDEX($AB$2:$AQ$1001,MATCH(ROWS($U$2:U539),$U$2:$U$1001,0),MATCH(COLUMNS($AB$1006:AH1006),$AB$1006:$AQ$1006,0)), HYPERLINK("#",""), HYPERLINK(CONCATENATE("#metadata!", ADDRESS(INDEX($W$2:$W$1001,MATCH(ROWS($U$2:U539),$U$2:$U$1001,0),0), INDEX($AB$1004:$AQ$1004,1,MATCH(COLUMNS($AB$1006:AH1006),$AB$1006:$AQ$1006,0)))),"Fix")))</f>
        <v>0</v>
      </c>
      <c r="I539" s="4">
        <f>IF(OR(INDEX($V$2:$V$1001,MATCH(ROWS($U$2:U539),$U$2:$U$1001,0),1)&gt;=100000,INDEX($AB$1005:$AQ$1005,1,MATCH(COLUMNS($AB$1006:AI1006),$AB$1006:$AQ$1006,0))&gt;=100000), " ",IF(INDEX($AB$2:$AQ$1001,MATCH(ROWS($U$2:U539),$U$2:$U$1001,0),MATCH(COLUMNS($AB$1006:AI1006),$AB$1006:$AQ$1006,0)), HYPERLINK("#",""), HYPERLINK(CONCATENATE("#metadata!", ADDRESS(INDEX($W$2:$W$1001,MATCH(ROWS($U$2:U539),$U$2:$U$1001,0),0), INDEX($AB$1004:$AQ$1004,1,MATCH(COLUMNS($AB$1006:AI1006),$AB$1006:$AQ$1006,0)))),"Fix")))</f>
        <v>0</v>
      </c>
      <c r="J539" s="4">
        <f>IF(OR(INDEX($V$2:$V$1001,MATCH(ROWS($U$2:U539),$U$2:$U$1001,0),1)&gt;=100000,INDEX($AB$1005:$AQ$1005,1,MATCH(COLUMNS($AB$1006:AJ1006),$AB$1006:$AQ$1006,0))&gt;=100000), " ",IF(INDEX($AB$2:$AQ$1001,MATCH(ROWS($U$2:U539),$U$2:$U$1001,0),MATCH(COLUMNS($AB$1006:AJ1006),$AB$1006:$AQ$1006,0)), HYPERLINK("#",""), HYPERLINK(CONCATENATE("#metadata!", ADDRESS(INDEX($W$2:$W$1001,MATCH(ROWS($U$2:U539),$U$2:$U$1001,0),0), INDEX($AB$1004:$AQ$1004,1,MATCH(COLUMNS($AB$1006:AJ1006),$AB$1006:$AQ$1006,0)))),"Fix")))</f>
        <v>0</v>
      </c>
      <c r="K539" s="4">
        <f>IF(OR(INDEX($V$2:$V$1001,MATCH(ROWS($U$2:U539),$U$2:$U$1001,0),1)&gt;=100000,INDEX($AB$1005:$AQ$1005,1,MATCH(COLUMNS($AB$1006:AK1006),$AB$1006:$AQ$1006,0))&gt;=100000), " ",IF(INDEX($AB$2:$AQ$1001,MATCH(ROWS($U$2:U539),$U$2:$U$1001,0),MATCH(COLUMNS($AB$1006:AK1006),$AB$1006:$AQ$1006,0)), HYPERLINK("#",""), HYPERLINK(CONCATENATE("#metadata!", ADDRESS(INDEX($W$2:$W$1001,MATCH(ROWS($U$2:U539),$U$2:$U$1001,0),0), INDEX($AB$1004:$AQ$1004,1,MATCH(COLUMNS($AB$1006:AK1006),$AB$1006:$AQ$1006,0)))),"Fix")))</f>
        <v>0</v>
      </c>
      <c r="L539" s="4">
        <f>IF(OR(INDEX($V$2:$V$1001,MATCH(ROWS($U$2:U539),$U$2:$U$1001,0),1)&gt;=100000,INDEX($AB$1005:$AQ$1005,1,MATCH(COLUMNS($AB$1006:AL1006),$AB$1006:$AQ$1006,0))&gt;=100000), " ",IF(INDEX($AB$2:$AQ$1001,MATCH(ROWS($U$2:U539),$U$2:$U$1001,0),MATCH(COLUMNS($AB$1006:AL1006),$AB$1006:$AQ$1006,0)), HYPERLINK("#",""), HYPERLINK(CONCATENATE("#metadata!", ADDRESS(INDEX($W$2:$W$1001,MATCH(ROWS($U$2:U539),$U$2:$U$1001,0),0), INDEX($AB$1004:$AQ$1004,1,MATCH(COLUMNS($AB$1006:AL1006),$AB$1006:$AQ$1006,0)))),"Fix")))</f>
        <v>0</v>
      </c>
      <c r="M539" s="4">
        <f>IF(OR(INDEX($V$2:$V$1001,MATCH(ROWS($U$2:U539),$U$2:$U$1001,0),1)&gt;=100000,INDEX($AB$1005:$AQ$1005,1,MATCH(COLUMNS($AB$1006:AM1006),$AB$1006:$AQ$1006,0))&gt;=100000), " ",IF(INDEX($AB$2:$AQ$1001,MATCH(ROWS($U$2:U539),$U$2:$U$1001,0),MATCH(COLUMNS($AB$1006:AM1006),$AB$1006:$AQ$1006,0)), HYPERLINK("#",""), HYPERLINK(CONCATENATE("#metadata!", ADDRESS(INDEX($W$2:$W$1001,MATCH(ROWS($U$2:U539),$U$2:$U$1001,0),0), INDEX($AB$1004:$AQ$1004,1,MATCH(COLUMNS($AB$1006:AM1006),$AB$1006:$AQ$1006,0)))),"Fix")))</f>
        <v>0</v>
      </c>
      <c r="N539" s="4">
        <f>IF(OR(INDEX($V$2:$V$1001,MATCH(ROWS($U$2:U539),$U$2:$U$1001,0),1)&gt;=100000,INDEX($AB$1005:$AQ$1005,1,MATCH(COLUMNS($AB$1006:AN1006),$AB$1006:$AQ$1006,0))&gt;=100000), " ",IF(INDEX($AB$2:$AQ$1001,MATCH(ROWS($U$2:U539),$U$2:$U$1001,0),MATCH(COLUMNS($AB$1006:AN1006),$AB$1006:$AQ$1006,0)), HYPERLINK("#",""), HYPERLINK(CONCATENATE("#metadata!", ADDRESS(INDEX($W$2:$W$1001,MATCH(ROWS($U$2:U539),$U$2:$U$1001,0),0), INDEX($AB$1004:$AQ$1004,1,MATCH(COLUMNS($AB$1006:AN1006),$AB$1006:$AQ$1006,0)))),"Fix")))</f>
        <v>0</v>
      </c>
      <c r="O539" s="4">
        <f>IF(OR(INDEX($V$2:$V$1001,MATCH(ROWS($U$2:U539),$U$2:$U$1001,0),1)&gt;=100000,INDEX($AB$1005:$AQ$1005,1,MATCH(COLUMNS($AB$1006:AO1006),$AB$1006:$AQ$1006,0))&gt;=100000), " ",IF(INDEX($AB$2:$AQ$1001,MATCH(ROWS($U$2:U539),$U$2:$U$1001,0),MATCH(COLUMNS($AB$1006:AO1006),$AB$1006:$AQ$1006,0)), HYPERLINK("#",""), HYPERLINK(CONCATENATE("#metadata!", ADDRESS(INDEX($W$2:$W$1001,MATCH(ROWS($U$2:U539),$U$2:$U$1001,0),0), INDEX($AB$1004:$AQ$1004,1,MATCH(COLUMNS($AB$1006:AO1006),$AB$1006:$AQ$1006,0)))),"Fix")))</f>
        <v>0</v>
      </c>
      <c r="P539" s="4">
        <f>IF(OR(INDEX($V$2:$V$1001,MATCH(ROWS($U$2:U539),$U$2:$U$1001,0),1)&gt;=100000,INDEX($AB$1005:$AQ$1005,1,MATCH(COLUMNS($AB$1006:AP1006),$AB$1006:$AQ$1006,0))&gt;=100000), " ",IF(INDEX($AB$2:$AQ$1001,MATCH(ROWS($U$2:U539),$U$2:$U$1001,0),MATCH(COLUMNS($AB$1006:AP1006),$AB$1006:$AQ$1006,0)), HYPERLINK("#",""), HYPERLINK(CONCATENATE("#metadata!", ADDRESS(INDEX($W$2:$W$1001,MATCH(ROWS($U$2:U539),$U$2:$U$1001,0),0), INDEX($AB$1004:$AQ$1004,1,MATCH(COLUMNS($AB$1006:AP1006),$AB$1006:$AQ$1006,0)))),"Fix")))</f>
        <v>0</v>
      </c>
      <c r="Q539" s="4">
        <f>IF(OR(INDEX($V$2:$V$1001,MATCH(ROWS($U$2:U539),$U$2:$U$1001,0),1)&gt;=100000,INDEX($AB$1005:$AQ$1005,1,MATCH(COLUMNS($AB$1006:AQ1006),$AB$1006:$AQ$1006,0))&gt;=100000), " ",IF(INDEX($AB$2:$AQ$1001,MATCH(ROWS($U$2:U539),$U$2:$U$1001,0),MATCH(COLUMNS($AB$1006:AQ1006),$AB$1006:$AQ$1006,0)), HYPERLINK("#",""), HYPERLINK(CONCATENATE("#metadata!", ADDRESS(INDEX($W$2:$W$1001,MATCH(ROWS($U$2:U539),$U$2:$U$1001,0),0), INDEX($AB$1004:$AQ$1004,1,MATCH(COLUMNS($AB$1006:AQ1006),$AB$1006:$AQ$1006,0)))),"Fix")))</f>
        <v>0</v>
      </c>
      <c r="U539">
        <v>0</v>
      </c>
      <c r="V539">
        <v>0</v>
      </c>
      <c r="W539">
        <v>0</v>
      </c>
      <c r="X539">
        <f>IF(Y539,TRUE,AND(AB539:AQ539))</f>
        <v>0</v>
      </c>
      <c r="Y539">
        <f>COUNTBLANK(metadata!B539:Q539)=COLUMNS(metadata!B539:Q539)</f>
        <v>0</v>
      </c>
      <c r="Z539">
        <v>0</v>
      </c>
      <c r="AB539">
        <f>AND(IF(metadata!B539="",FALSE,TRUE),COUNTIF(metadata!B:B, metadata!B539) = 1,NOT(ISERROR(SUMPRODUCT(SEARCH(MID(metadata!B539,ROW(INDIRECT("1:"&amp;LEN(metadata!B539))), 1),"0123456789abcdefghijklmnopqrstuvwxyzABCDEFGHIJKLMNOPQRSTUVWXYZ.")))))</f>
        <v>0</v>
      </c>
      <c r="AC539">
        <f>OR(AND(IF(metadata!C539="",FALSE,TRUE),OR(exact(metadata!C539,"missing: not collected"),exact(metadata!C539,"missing: not provided"),exact(metadata!C539,"missing: restricted access"))),AND(IF(metadata!C539="",FALSE,TRUE),AND(AND(IFERROR(INT(LEFT(metadata!C539,4))&gt;1900,FALSE),IFERROR(INT(LEFT(metadata!C539,4))&lt;=YEAR(NOW()),FALSE)), OR(MID(metadata!C539,5,1)="", AND(AND(MID(metadata!C539,5,1)="-",IFERROR(INT(MID(metadata!C539,6,1))&gt;=0,FALSE),IFERROR(INT(MID(metadata!C539,6,1))&lt;=1,FALSE),NOT(MID(metadata!C539,7,1)=""),IFERROR(INT(MID(metadata!C539,6,2))&gt;=1,FALSE),IFERROR(INT(MID(metadata!C539,6,2))&lt;=12,FALSE)), OR(MID(metadata!C539,8,1)="", AND(AND(MID(metadata!C539,8,1)="-",IFERROR(INT(MID(metadata!C539,9,1))&gt;=0,FALSE),IFERROR(INT(MID(metadata!C539,9,1))&lt;=3,FALSE),NOT(MID(metadata!C539,10,1)=""),IFERROR(INT(MID(metadata!C539,9,2))&gt;=1,FALSE),IFERROR(INT(MID(metadata!C539,9,2))&lt;=31,FALSE)), OR(MID(metadata!C539,11,1)="", AND(AND(MID(metadata!C539,11,1)=" ",IFERROR(INT(MID(metadata!C539,12,1))&gt;=0,FALSE),IFERROR(INT(MID(metadata!C539,12,1))&lt;=2,FALSE),NOT(MID(metadata!C539,13,1)=""),IFERROR(INT(MID(metadata!C539,12,2))&gt;=0,FALSE),IFERROR(INT(MID(metadata!C539,12,2))&lt;=23,FALSE)), OR(MID(metadata!C539,14,1)="", AND(AND(MID(metadata!C539,14,1)=":",IFERROR(INT(MID(metadata!C539,15,1))&gt;=0,FALSE),IFERROR(INT(MID(metadata!C539,15,1))&lt;=5,FALSE),NOT(MID(metadata!C539,16,1)=""),IFERROR(INT(MID(metadata!C539,15,2))&gt;=0,FALSE),IFERROR(INT(MID(metadata!C539,15,2))&lt;=59,FALSE)), OR(MID(metadata!C539,17,1)="", AND(AND(MID(metadata!C539,17,1)=":",IFERROR(INT(MID(metadata!C539,18,1))&gt;=0,FALSE),IFERROR(INT(MID(metadata!C539,18,1))&lt;=5,FALSE),NOT(MID(metadata!C539,19,1)=""),IFERROR(INT(MID(metadata!C539,18,2))&gt;=0,FALSE),IFERROR(INT(MID(metadata!C539,18,2))&lt;=59,FALSE)), LEN(metadata!C539)&lt;=19)))))))))))))</f>
        <v>0</v>
      </c>
      <c r="AD539">
        <f>IF(metadata!D539="",FALSE,TRUE)</f>
        <v>0</v>
      </c>
      <c r="AE539">
        <f>OR(AND(IF(metadata!E539="",FALSE,TRUE),OR(exact(metadata!E539,"missing: not collected"),exact(metadata!E539,"missing: not provided"))),AND(IF(metadata!E539="",FALSE,TRUE),OR(exact(metadata!E539,"TRUE"),exact(metadata!E539,"FALSE"))))</f>
        <v>0</v>
      </c>
      <c r="AF539">
        <f>IF(metadata!F539="",FALSE,TRUE)</f>
        <v>0</v>
      </c>
      <c r="AG539">
        <f>IF(metadata!G539="",FALSE,TRUE)</f>
        <v>0</v>
      </c>
      <c r="AH539">
        <f>IF(metadata!H539="",FALSE,TRUE)</f>
        <v>0</v>
      </c>
      <c r="AI539">
        <f>OR(AND(IF(metadata!I539="",FALSE,TRUE),OR(exact(metadata!I539,"missing: not collected"),exact(metadata!I539,"missing: not provided"),exact(metadata!I539,"missing: restricted access"))),AND(IF(metadata!I539="",FALSE,TRUE),OR(exact(metadata!I539,"air"),exact(metadata!I539,"built environment"),exact(metadata!I539,"host-associated"),exact(metadata!I539,"human-associated"),exact(metadata!I539,"human-skin"),exact(metadata!I539,"human-oral"),exact(metadata!I539,"human-gut"),exact(metadata!I539,"human-vaginal"),exact(metadata!I539,"microbial mat/biofilm"),exact(metadata!I539,"misc environment"),exact(metadata!I539,"plant-associated"),exact(metadata!I539,"sediment"),exact(metadata!I539,"soil"),exact(metadata!I539,"wastewater/sludge"),exact(metadata!I539,"water"))))</f>
        <v>0</v>
      </c>
      <c r="AJ539">
        <f>IF(metadata!J539="",FALSE,TRUE)</f>
        <v>0</v>
      </c>
      <c r="AK539">
        <f>OR(AND(IF(metadata!K539="",FALSE,TRUE),OR(exact(metadata!K539,"missing: not collected"),exact(metadata!K539,"missing: not provided"),exact(metadata!K539,"missing: restricted access"))),AND(IF(metadata!K539="",FALSE,ISNUMBER(VALUE(metadata!K539))),metadata!K539&gt;=-90.00,metadata!K539&lt;=90.00))</f>
        <v>0</v>
      </c>
      <c r="AL539">
        <f>OR(AND(IF(metadata!L539="",FALSE,TRUE),OR(exact(metadata!L539,"missing: not collected"),exact(metadata!L539,"missing: not provided"),exact(metadata!L539,"missing: restricted access"))),AND(IF(metadata!L539="",FALSE,ISNUMBER(VALUE(metadata!L539))),metadata!L539&gt;=-180.00,metadata!L539&lt;=180.00))</f>
        <v>0</v>
      </c>
      <c r="AM539">
        <f>IF(metadata!M539="",FALSE,TRUE)</f>
        <v>0</v>
      </c>
      <c r="AN539">
        <f>OR(AND(IF(metadata!N539="",FALSE,TRUE),OR(exact(metadata!N539,"missing: not collected"),exact(metadata!N539,"missing: not provided"),exact(metadata!N539,"missing: restricted access"))),AND(IF(metadata!N539="",FALSE,TRUE),OR(exact(metadata!N539,"TRUE"),exact(metadata!N539,"FALSE"))))</f>
        <v>0</v>
      </c>
      <c r="AO539">
        <f>IF(metadata!O539="",FALSE,TRUE)</f>
        <v>0</v>
      </c>
      <c r="AP539">
        <f>OR(AND(IF(metadata!P539="",FALSE,TRUE),OR(exact(metadata!P539,"missing: not collected"),exact(metadata!P539,"missing: not provided"))),AND(IF(metadata!P539="",FALSE,IF(ISERROR(INT(metadata!P539)),FALSE,INT(metadata!P539)=metadata!P539)),metadata!P539&gt;0))</f>
        <v>0</v>
      </c>
      <c r="AQ539">
        <f>IF(metadata!Q539="",FALSE,TRUE)</f>
        <v>0</v>
      </c>
    </row>
    <row r="540" spans="1:43">
      <c r="A540" s="5">
        <f>IF(B540=" "," ",HYPERLINK(CONCATENATE("#metadata!",ADDRESS(INDEX($W$2:$W$1001,MATCH(ROWS($U$2:U540),$U$2:$U$1001,0),0),1)),INDEX($Z$2:$Z$1001,MATCH(ROWS($U$2:U540),$U$2:$U$1001,0),0)))</f>
        <v>0</v>
      </c>
      <c r="B540" s="4">
        <f>IF(OR(INDEX($V$2:$V$1001,MATCH(ROWS($U$2:U540),$U$2:$U$1001,0),1)&gt;=100000,INDEX($AB$1005:$AQ$1005,1,MATCH(COLUMNS($AB$1006:AB1006),$AB$1006:$AQ$1006,0))&gt;=100000), " ",IF(INDEX($AB$2:$AQ$1001,MATCH(ROWS($U$2:U540),$U$2:$U$1001,0),MATCH(COLUMNS($AB$1006:AB1006),$AB$1006:$AQ$1006,0)), HYPERLINK("#",""), HYPERLINK(CONCATENATE("#metadata!", ADDRESS(INDEX($W$2:$W$1001,MATCH(ROWS($U$2:U540),$U$2:$U$1001,0),0), INDEX($AB$1004:$AQ$1004,1,MATCH(COLUMNS($AB$1006:AB1006),$AB$1006:$AQ$1006,0)))),"Fix")))</f>
        <v>0</v>
      </c>
      <c r="C540" s="4">
        <f>IF(OR(INDEX($V$2:$V$1001,MATCH(ROWS($U$2:U540),$U$2:$U$1001,0),1)&gt;=100000,INDEX($AB$1005:$AQ$1005,1,MATCH(COLUMNS($AB$1006:AC1006),$AB$1006:$AQ$1006,0))&gt;=100000), " ",IF(INDEX($AB$2:$AQ$1001,MATCH(ROWS($U$2:U540),$U$2:$U$1001,0),MATCH(COLUMNS($AB$1006:AC1006),$AB$1006:$AQ$1006,0)), HYPERLINK("#",""), HYPERLINK(CONCATENATE("#metadata!", ADDRESS(INDEX($W$2:$W$1001,MATCH(ROWS($U$2:U540),$U$2:$U$1001,0),0), INDEX($AB$1004:$AQ$1004,1,MATCH(COLUMNS($AB$1006:AC1006),$AB$1006:$AQ$1006,0)))),"Fix")))</f>
        <v>0</v>
      </c>
      <c r="D540" s="4">
        <f>IF(OR(INDEX($V$2:$V$1001,MATCH(ROWS($U$2:U540),$U$2:$U$1001,0),1)&gt;=100000,INDEX($AB$1005:$AQ$1005,1,MATCH(COLUMNS($AB$1006:AD1006),$AB$1006:$AQ$1006,0))&gt;=100000), " ",IF(INDEX($AB$2:$AQ$1001,MATCH(ROWS($U$2:U540),$U$2:$U$1001,0),MATCH(COLUMNS($AB$1006:AD1006),$AB$1006:$AQ$1006,0)), HYPERLINK("#",""), HYPERLINK(CONCATENATE("#metadata!", ADDRESS(INDEX($W$2:$W$1001,MATCH(ROWS($U$2:U540),$U$2:$U$1001,0),0), INDEX($AB$1004:$AQ$1004,1,MATCH(COLUMNS($AB$1006:AD1006),$AB$1006:$AQ$1006,0)))),"Fix")))</f>
        <v>0</v>
      </c>
      <c r="E540" s="4">
        <f>IF(OR(INDEX($V$2:$V$1001,MATCH(ROWS($U$2:U540),$U$2:$U$1001,0),1)&gt;=100000,INDEX($AB$1005:$AQ$1005,1,MATCH(COLUMNS($AB$1006:AE1006),$AB$1006:$AQ$1006,0))&gt;=100000), " ",IF(INDEX($AB$2:$AQ$1001,MATCH(ROWS($U$2:U540),$U$2:$U$1001,0),MATCH(COLUMNS($AB$1006:AE1006),$AB$1006:$AQ$1006,0)), HYPERLINK("#",""), HYPERLINK(CONCATENATE("#metadata!", ADDRESS(INDEX($W$2:$W$1001,MATCH(ROWS($U$2:U540),$U$2:$U$1001,0),0), INDEX($AB$1004:$AQ$1004,1,MATCH(COLUMNS($AB$1006:AE1006),$AB$1006:$AQ$1006,0)))),"Fix")))</f>
        <v>0</v>
      </c>
      <c r="F540" s="4">
        <f>IF(OR(INDEX($V$2:$V$1001,MATCH(ROWS($U$2:U540),$U$2:$U$1001,0),1)&gt;=100000,INDEX($AB$1005:$AQ$1005,1,MATCH(COLUMNS($AB$1006:AF1006),$AB$1006:$AQ$1006,0))&gt;=100000), " ",IF(INDEX($AB$2:$AQ$1001,MATCH(ROWS($U$2:U540),$U$2:$U$1001,0),MATCH(COLUMNS($AB$1006:AF1006),$AB$1006:$AQ$1006,0)), HYPERLINK("#",""), HYPERLINK(CONCATENATE("#metadata!", ADDRESS(INDEX($W$2:$W$1001,MATCH(ROWS($U$2:U540),$U$2:$U$1001,0),0), INDEX($AB$1004:$AQ$1004,1,MATCH(COLUMNS($AB$1006:AF1006),$AB$1006:$AQ$1006,0)))),"Fix")))</f>
        <v>0</v>
      </c>
      <c r="G540" s="4">
        <f>IF(OR(INDEX($V$2:$V$1001,MATCH(ROWS($U$2:U540),$U$2:$U$1001,0),1)&gt;=100000,INDEX($AB$1005:$AQ$1005,1,MATCH(COLUMNS($AB$1006:AG1006),$AB$1006:$AQ$1006,0))&gt;=100000), " ",IF(INDEX($AB$2:$AQ$1001,MATCH(ROWS($U$2:U540),$U$2:$U$1001,0),MATCH(COLUMNS($AB$1006:AG1006),$AB$1006:$AQ$1006,0)), HYPERLINK("#",""), HYPERLINK(CONCATENATE("#metadata!", ADDRESS(INDEX($W$2:$W$1001,MATCH(ROWS($U$2:U540),$U$2:$U$1001,0),0), INDEX($AB$1004:$AQ$1004,1,MATCH(COLUMNS($AB$1006:AG1006),$AB$1006:$AQ$1006,0)))),"Fix")))</f>
        <v>0</v>
      </c>
      <c r="H540" s="4">
        <f>IF(OR(INDEX($V$2:$V$1001,MATCH(ROWS($U$2:U540),$U$2:$U$1001,0),1)&gt;=100000,INDEX($AB$1005:$AQ$1005,1,MATCH(COLUMNS($AB$1006:AH1006),$AB$1006:$AQ$1006,0))&gt;=100000), " ",IF(INDEX($AB$2:$AQ$1001,MATCH(ROWS($U$2:U540),$U$2:$U$1001,0),MATCH(COLUMNS($AB$1006:AH1006),$AB$1006:$AQ$1006,0)), HYPERLINK("#",""), HYPERLINK(CONCATENATE("#metadata!", ADDRESS(INDEX($W$2:$W$1001,MATCH(ROWS($U$2:U540),$U$2:$U$1001,0),0), INDEX($AB$1004:$AQ$1004,1,MATCH(COLUMNS($AB$1006:AH1006),$AB$1006:$AQ$1006,0)))),"Fix")))</f>
        <v>0</v>
      </c>
      <c r="I540" s="4">
        <f>IF(OR(INDEX($V$2:$V$1001,MATCH(ROWS($U$2:U540),$U$2:$U$1001,0),1)&gt;=100000,INDEX($AB$1005:$AQ$1005,1,MATCH(COLUMNS($AB$1006:AI1006),$AB$1006:$AQ$1006,0))&gt;=100000), " ",IF(INDEX($AB$2:$AQ$1001,MATCH(ROWS($U$2:U540),$U$2:$U$1001,0),MATCH(COLUMNS($AB$1006:AI1006),$AB$1006:$AQ$1006,0)), HYPERLINK("#",""), HYPERLINK(CONCATENATE("#metadata!", ADDRESS(INDEX($W$2:$W$1001,MATCH(ROWS($U$2:U540),$U$2:$U$1001,0),0), INDEX($AB$1004:$AQ$1004,1,MATCH(COLUMNS($AB$1006:AI1006),$AB$1006:$AQ$1006,0)))),"Fix")))</f>
        <v>0</v>
      </c>
      <c r="J540" s="4">
        <f>IF(OR(INDEX($V$2:$V$1001,MATCH(ROWS($U$2:U540),$U$2:$U$1001,0),1)&gt;=100000,INDEX($AB$1005:$AQ$1005,1,MATCH(COLUMNS($AB$1006:AJ1006),$AB$1006:$AQ$1006,0))&gt;=100000), " ",IF(INDEX($AB$2:$AQ$1001,MATCH(ROWS($U$2:U540),$U$2:$U$1001,0),MATCH(COLUMNS($AB$1006:AJ1006),$AB$1006:$AQ$1006,0)), HYPERLINK("#",""), HYPERLINK(CONCATENATE("#metadata!", ADDRESS(INDEX($W$2:$W$1001,MATCH(ROWS($U$2:U540),$U$2:$U$1001,0),0), INDEX($AB$1004:$AQ$1004,1,MATCH(COLUMNS($AB$1006:AJ1006),$AB$1006:$AQ$1006,0)))),"Fix")))</f>
        <v>0</v>
      </c>
      <c r="K540" s="4">
        <f>IF(OR(INDEX($V$2:$V$1001,MATCH(ROWS($U$2:U540),$U$2:$U$1001,0),1)&gt;=100000,INDEX($AB$1005:$AQ$1005,1,MATCH(COLUMNS($AB$1006:AK1006),$AB$1006:$AQ$1006,0))&gt;=100000), " ",IF(INDEX($AB$2:$AQ$1001,MATCH(ROWS($U$2:U540),$U$2:$U$1001,0),MATCH(COLUMNS($AB$1006:AK1006),$AB$1006:$AQ$1006,0)), HYPERLINK("#",""), HYPERLINK(CONCATENATE("#metadata!", ADDRESS(INDEX($W$2:$W$1001,MATCH(ROWS($U$2:U540),$U$2:$U$1001,0),0), INDEX($AB$1004:$AQ$1004,1,MATCH(COLUMNS($AB$1006:AK1006),$AB$1006:$AQ$1006,0)))),"Fix")))</f>
        <v>0</v>
      </c>
      <c r="L540" s="4">
        <f>IF(OR(INDEX($V$2:$V$1001,MATCH(ROWS($U$2:U540),$U$2:$U$1001,0),1)&gt;=100000,INDEX($AB$1005:$AQ$1005,1,MATCH(COLUMNS($AB$1006:AL1006),$AB$1006:$AQ$1006,0))&gt;=100000), " ",IF(INDEX($AB$2:$AQ$1001,MATCH(ROWS($U$2:U540),$U$2:$U$1001,0),MATCH(COLUMNS($AB$1006:AL1006),$AB$1006:$AQ$1006,0)), HYPERLINK("#",""), HYPERLINK(CONCATENATE("#metadata!", ADDRESS(INDEX($W$2:$W$1001,MATCH(ROWS($U$2:U540),$U$2:$U$1001,0),0), INDEX($AB$1004:$AQ$1004,1,MATCH(COLUMNS($AB$1006:AL1006),$AB$1006:$AQ$1006,0)))),"Fix")))</f>
        <v>0</v>
      </c>
      <c r="M540" s="4">
        <f>IF(OR(INDEX($V$2:$V$1001,MATCH(ROWS($U$2:U540),$U$2:$U$1001,0),1)&gt;=100000,INDEX($AB$1005:$AQ$1005,1,MATCH(COLUMNS($AB$1006:AM1006),$AB$1006:$AQ$1006,0))&gt;=100000), " ",IF(INDEX($AB$2:$AQ$1001,MATCH(ROWS($U$2:U540),$U$2:$U$1001,0),MATCH(COLUMNS($AB$1006:AM1006),$AB$1006:$AQ$1006,0)), HYPERLINK("#",""), HYPERLINK(CONCATENATE("#metadata!", ADDRESS(INDEX($W$2:$W$1001,MATCH(ROWS($U$2:U540),$U$2:$U$1001,0),0), INDEX($AB$1004:$AQ$1004,1,MATCH(COLUMNS($AB$1006:AM1006),$AB$1006:$AQ$1006,0)))),"Fix")))</f>
        <v>0</v>
      </c>
      <c r="N540" s="4">
        <f>IF(OR(INDEX($V$2:$V$1001,MATCH(ROWS($U$2:U540),$U$2:$U$1001,0),1)&gt;=100000,INDEX($AB$1005:$AQ$1005,1,MATCH(COLUMNS($AB$1006:AN1006),$AB$1006:$AQ$1006,0))&gt;=100000), " ",IF(INDEX($AB$2:$AQ$1001,MATCH(ROWS($U$2:U540),$U$2:$U$1001,0),MATCH(COLUMNS($AB$1006:AN1006),$AB$1006:$AQ$1006,0)), HYPERLINK("#",""), HYPERLINK(CONCATENATE("#metadata!", ADDRESS(INDEX($W$2:$W$1001,MATCH(ROWS($U$2:U540),$U$2:$U$1001,0),0), INDEX($AB$1004:$AQ$1004,1,MATCH(COLUMNS($AB$1006:AN1006),$AB$1006:$AQ$1006,0)))),"Fix")))</f>
        <v>0</v>
      </c>
      <c r="O540" s="4">
        <f>IF(OR(INDEX($V$2:$V$1001,MATCH(ROWS($U$2:U540),$U$2:$U$1001,0),1)&gt;=100000,INDEX($AB$1005:$AQ$1005,1,MATCH(COLUMNS($AB$1006:AO1006),$AB$1006:$AQ$1006,0))&gt;=100000), " ",IF(INDEX($AB$2:$AQ$1001,MATCH(ROWS($U$2:U540),$U$2:$U$1001,0),MATCH(COLUMNS($AB$1006:AO1006),$AB$1006:$AQ$1006,0)), HYPERLINK("#",""), HYPERLINK(CONCATENATE("#metadata!", ADDRESS(INDEX($W$2:$W$1001,MATCH(ROWS($U$2:U540),$U$2:$U$1001,0),0), INDEX($AB$1004:$AQ$1004,1,MATCH(COLUMNS($AB$1006:AO1006),$AB$1006:$AQ$1006,0)))),"Fix")))</f>
        <v>0</v>
      </c>
      <c r="P540" s="4">
        <f>IF(OR(INDEX($V$2:$V$1001,MATCH(ROWS($U$2:U540),$U$2:$U$1001,0),1)&gt;=100000,INDEX($AB$1005:$AQ$1005,1,MATCH(COLUMNS($AB$1006:AP1006),$AB$1006:$AQ$1006,0))&gt;=100000), " ",IF(INDEX($AB$2:$AQ$1001,MATCH(ROWS($U$2:U540),$U$2:$U$1001,0),MATCH(COLUMNS($AB$1006:AP1006),$AB$1006:$AQ$1006,0)), HYPERLINK("#",""), HYPERLINK(CONCATENATE("#metadata!", ADDRESS(INDEX($W$2:$W$1001,MATCH(ROWS($U$2:U540),$U$2:$U$1001,0),0), INDEX($AB$1004:$AQ$1004,1,MATCH(COLUMNS($AB$1006:AP1006),$AB$1006:$AQ$1006,0)))),"Fix")))</f>
        <v>0</v>
      </c>
      <c r="Q540" s="4">
        <f>IF(OR(INDEX($V$2:$V$1001,MATCH(ROWS($U$2:U540),$U$2:$U$1001,0),1)&gt;=100000,INDEX($AB$1005:$AQ$1005,1,MATCH(COLUMNS($AB$1006:AQ1006),$AB$1006:$AQ$1006,0))&gt;=100000), " ",IF(INDEX($AB$2:$AQ$1001,MATCH(ROWS($U$2:U540),$U$2:$U$1001,0),MATCH(COLUMNS($AB$1006:AQ1006),$AB$1006:$AQ$1006,0)), HYPERLINK("#",""), HYPERLINK(CONCATENATE("#metadata!", ADDRESS(INDEX($W$2:$W$1001,MATCH(ROWS($U$2:U540),$U$2:$U$1001,0),0), INDEX($AB$1004:$AQ$1004,1,MATCH(COLUMNS($AB$1006:AQ1006),$AB$1006:$AQ$1006,0)))),"Fix")))</f>
        <v>0</v>
      </c>
      <c r="U540">
        <v>0</v>
      </c>
      <c r="V540">
        <v>0</v>
      </c>
      <c r="W540">
        <v>0</v>
      </c>
      <c r="X540">
        <f>IF(Y540,TRUE,AND(AB540:AQ540))</f>
        <v>0</v>
      </c>
      <c r="Y540">
        <f>COUNTBLANK(metadata!B540:Q540)=COLUMNS(metadata!B540:Q540)</f>
        <v>0</v>
      </c>
      <c r="Z540">
        <v>0</v>
      </c>
      <c r="AB540">
        <f>AND(IF(metadata!B540="",FALSE,TRUE),COUNTIF(metadata!B:B, metadata!B540) = 1,NOT(ISERROR(SUMPRODUCT(SEARCH(MID(metadata!B540,ROW(INDIRECT("1:"&amp;LEN(metadata!B540))), 1),"0123456789abcdefghijklmnopqrstuvwxyzABCDEFGHIJKLMNOPQRSTUVWXYZ.")))))</f>
        <v>0</v>
      </c>
      <c r="AC540">
        <f>OR(AND(IF(metadata!C540="",FALSE,TRUE),OR(exact(metadata!C540,"missing: not collected"),exact(metadata!C540,"missing: not provided"),exact(metadata!C540,"missing: restricted access"))),AND(IF(metadata!C540="",FALSE,TRUE),AND(AND(IFERROR(INT(LEFT(metadata!C540,4))&gt;1900,FALSE),IFERROR(INT(LEFT(metadata!C540,4))&lt;=YEAR(NOW()),FALSE)), OR(MID(metadata!C540,5,1)="", AND(AND(MID(metadata!C540,5,1)="-",IFERROR(INT(MID(metadata!C540,6,1))&gt;=0,FALSE),IFERROR(INT(MID(metadata!C540,6,1))&lt;=1,FALSE),NOT(MID(metadata!C540,7,1)=""),IFERROR(INT(MID(metadata!C540,6,2))&gt;=1,FALSE),IFERROR(INT(MID(metadata!C540,6,2))&lt;=12,FALSE)), OR(MID(metadata!C540,8,1)="", AND(AND(MID(metadata!C540,8,1)="-",IFERROR(INT(MID(metadata!C540,9,1))&gt;=0,FALSE),IFERROR(INT(MID(metadata!C540,9,1))&lt;=3,FALSE),NOT(MID(metadata!C540,10,1)=""),IFERROR(INT(MID(metadata!C540,9,2))&gt;=1,FALSE),IFERROR(INT(MID(metadata!C540,9,2))&lt;=31,FALSE)), OR(MID(metadata!C540,11,1)="", AND(AND(MID(metadata!C540,11,1)=" ",IFERROR(INT(MID(metadata!C540,12,1))&gt;=0,FALSE),IFERROR(INT(MID(metadata!C540,12,1))&lt;=2,FALSE),NOT(MID(metadata!C540,13,1)=""),IFERROR(INT(MID(metadata!C540,12,2))&gt;=0,FALSE),IFERROR(INT(MID(metadata!C540,12,2))&lt;=23,FALSE)), OR(MID(metadata!C540,14,1)="", AND(AND(MID(metadata!C540,14,1)=":",IFERROR(INT(MID(metadata!C540,15,1))&gt;=0,FALSE),IFERROR(INT(MID(metadata!C540,15,1))&lt;=5,FALSE),NOT(MID(metadata!C540,16,1)=""),IFERROR(INT(MID(metadata!C540,15,2))&gt;=0,FALSE),IFERROR(INT(MID(metadata!C540,15,2))&lt;=59,FALSE)), OR(MID(metadata!C540,17,1)="", AND(AND(MID(metadata!C540,17,1)=":",IFERROR(INT(MID(metadata!C540,18,1))&gt;=0,FALSE),IFERROR(INT(MID(metadata!C540,18,1))&lt;=5,FALSE),NOT(MID(metadata!C540,19,1)=""),IFERROR(INT(MID(metadata!C540,18,2))&gt;=0,FALSE),IFERROR(INT(MID(metadata!C540,18,2))&lt;=59,FALSE)), LEN(metadata!C540)&lt;=19)))))))))))))</f>
        <v>0</v>
      </c>
      <c r="AD540">
        <f>IF(metadata!D540="",FALSE,TRUE)</f>
        <v>0</v>
      </c>
      <c r="AE540">
        <f>OR(AND(IF(metadata!E540="",FALSE,TRUE),OR(exact(metadata!E540,"missing: not collected"),exact(metadata!E540,"missing: not provided"))),AND(IF(metadata!E540="",FALSE,TRUE),OR(exact(metadata!E540,"TRUE"),exact(metadata!E540,"FALSE"))))</f>
        <v>0</v>
      </c>
      <c r="AF540">
        <f>IF(metadata!F540="",FALSE,TRUE)</f>
        <v>0</v>
      </c>
      <c r="AG540">
        <f>IF(metadata!G540="",FALSE,TRUE)</f>
        <v>0</v>
      </c>
      <c r="AH540">
        <f>IF(metadata!H540="",FALSE,TRUE)</f>
        <v>0</v>
      </c>
      <c r="AI540">
        <f>OR(AND(IF(metadata!I540="",FALSE,TRUE),OR(exact(metadata!I540,"missing: not collected"),exact(metadata!I540,"missing: not provided"),exact(metadata!I540,"missing: restricted access"))),AND(IF(metadata!I540="",FALSE,TRUE),OR(exact(metadata!I540,"air"),exact(metadata!I540,"built environment"),exact(metadata!I540,"host-associated"),exact(metadata!I540,"human-associated"),exact(metadata!I540,"human-skin"),exact(metadata!I540,"human-oral"),exact(metadata!I540,"human-gut"),exact(metadata!I540,"human-vaginal"),exact(metadata!I540,"microbial mat/biofilm"),exact(metadata!I540,"misc environment"),exact(metadata!I540,"plant-associated"),exact(metadata!I540,"sediment"),exact(metadata!I540,"soil"),exact(metadata!I540,"wastewater/sludge"),exact(metadata!I540,"water"))))</f>
        <v>0</v>
      </c>
      <c r="AJ540">
        <f>IF(metadata!J540="",FALSE,TRUE)</f>
        <v>0</v>
      </c>
      <c r="AK540">
        <f>OR(AND(IF(metadata!K540="",FALSE,TRUE),OR(exact(metadata!K540,"missing: not collected"),exact(metadata!K540,"missing: not provided"),exact(metadata!K540,"missing: restricted access"))),AND(IF(metadata!K540="",FALSE,ISNUMBER(VALUE(metadata!K540))),metadata!K540&gt;=-90.00,metadata!K540&lt;=90.00))</f>
        <v>0</v>
      </c>
      <c r="AL540">
        <f>OR(AND(IF(metadata!L540="",FALSE,TRUE),OR(exact(metadata!L540,"missing: not collected"),exact(metadata!L540,"missing: not provided"),exact(metadata!L540,"missing: restricted access"))),AND(IF(metadata!L540="",FALSE,ISNUMBER(VALUE(metadata!L540))),metadata!L540&gt;=-180.00,metadata!L540&lt;=180.00))</f>
        <v>0</v>
      </c>
      <c r="AM540">
        <f>IF(metadata!M540="",FALSE,TRUE)</f>
        <v>0</v>
      </c>
      <c r="AN540">
        <f>OR(AND(IF(metadata!N540="",FALSE,TRUE),OR(exact(metadata!N540,"missing: not collected"),exact(metadata!N540,"missing: not provided"),exact(metadata!N540,"missing: restricted access"))),AND(IF(metadata!N540="",FALSE,TRUE),OR(exact(metadata!N540,"TRUE"),exact(metadata!N540,"FALSE"))))</f>
        <v>0</v>
      </c>
      <c r="AO540">
        <f>IF(metadata!O540="",FALSE,TRUE)</f>
        <v>0</v>
      </c>
      <c r="AP540">
        <f>OR(AND(IF(metadata!P540="",FALSE,TRUE),OR(exact(metadata!P540,"missing: not collected"),exact(metadata!P540,"missing: not provided"))),AND(IF(metadata!P540="",FALSE,IF(ISERROR(INT(metadata!P540)),FALSE,INT(metadata!P540)=metadata!P540)),metadata!P540&gt;0))</f>
        <v>0</v>
      </c>
      <c r="AQ540">
        <f>IF(metadata!Q540="",FALSE,TRUE)</f>
        <v>0</v>
      </c>
    </row>
    <row r="541" spans="1:43">
      <c r="A541" s="5">
        <f>IF(B541=" "," ",HYPERLINK(CONCATENATE("#metadata!",ADDRESS(INDEX($W$2:$W$1001,MATCH(ROWS($U$2:U541),$U$2:$U$1001,0),0),1)),INDEX($Z$2:$Z$1001,MATCH(ROWS($U$2:U541),$U$2:$U$1001,0),0)))</f>
        <v>0</v>
      </c>
      <c r="B541" s="4">
        <f>IF(OR(INDEX($V$2:$V$1001,MATCH(ROWS($U$2:U541),$U$2:$U$1001,0),1)&gt;=100000,INDEX($AB$1005:$AQ$1005,1,MATCH(COLUMNS($AB$1006:AB1006),$AB$1006:$AQ$1006,0))&gt;=100000), " ",IF(INDEX($AB$2:$AQ$1001,MATCH(ROWS($U$2:U541),$U$2:$U$1001,0),MATCH(COLUMNS($AB$1006:AB1006),$AB$1006:$AQ$1006,0)), HYPERLINK("#",""), HYPERLINK(CONCATENATE("#metadata!", ADDRESS(INDEX($W$2:$W$1001,MATCH(ROWS($U$2:U541),$U$2:$U$1001,0),0), INDEX($AB$1004:$AQ$1004,1,MATCH(COLUMNS($AB$1006:AB1006),$AB$1006:$AQ$1006,0)))),"Fix")))</f>
        <v>0</v>
      </c>
      <c r="C541" s="4">
        <f>IF(OR(INDEX($V$2:$V$1001,MATCH(ROWS($U$2:U541),$U$2:$U$1001,0),1)&gt;=100000,INDEX($AB$1005:$AQ$1005,1,MATCH(COLUMNS($AB$1006:AC1006),$AB$1006:$AQ$1006,0))&gt;=100000), " ",IF(INDEX($AB$2:$AQ$1001,MATCH(ROWS($U$2:U541),$U$2:$U$1001,0),MATCH(COLUMNS($AB$1006:AC1006),$AB$1006:$AQ$1006,0)), HYPERLINK("#",""), HYPERLINK(CONCATENATE("#metadata!", ADDRESS(INDEX($W$2:$W$1001,MATCH(ROWS($U$2:U541),$U$2:$U$1001,0),0), INDEX($AB$1004:$AQ$1004,1,MATCH(COLUMNS($AB$1006:AC1006),$AB$1006:$AQ$1006,0)))),"Fix")))</f>
        <v>0</v>
      </c>
      <c r="D541" s="4">
        <f>IF(OR(INDEX($V$2:$V$1001,MATCH(ROWS($U$2:U541),$U$2:$U$1001,0),1)&gt;=100000,INDEX($AB$1005:$AQ$1005,1,MATCH(COLUMNS($AB$1006:AD1006),$AB$1006:$AQ$1006,0))&gt;=100000), " ",IF(INDEX($AB$2:$AQ$1001,MATCH(ROWS($U$2:U541),$U$2:$U$1001,0),MATCH(COLUMNS($AB$1006:AD1006),$AB$1006:$AQ$1006,0)), HYPERLINK("#",""), HYPERLINK(CONCATENATE("#metadata!", ADDRESS(INDEX($W$2:$W$1001,MATCH(ROWS($U$2:U541),$U$2:$U$1001,0),0), INDEX($AB$1004:$AQ$1004,1,MATCH(COLUMNS($AB$1006:AD1006),$AB$1006:$AQ$1006,0)))),"Fix")))</f>
        <v>0</v>
      </c>
      <c r="E541" s="4">
        <f>IF(OR(INDEX($V$2:$V$1001,MATCH(ROWS($U$2:U541),$U$2:$U$1001,0),1)&gt;=100000,INDEX($AB$1005:$AQ$1005,1,MATCH(COLUMNS($AB$1006:AE1006),$AB$1006:$AQ$1006,0))&gt;=100000), " ",IF(INDEX($AB$2:$AQ$1001,MATCH(ROWS($U$2:U541),$U$2:$U$1001,0),MATCH(COLUMNS($AB$1006:AE1006),$AB$1006:$AQ$1006,0)), HYPERLINK("#",""), HYPERLINK(CONCATENATE("#metadata!", ADDRESS(INDEX($W$2:$W$1001,MATCH(ROWS($U$2:U541),$U$2:$U$1001,0),0), INDEX($AB$1004:$AQ$1004,1,MATCH(COLUMNS($AB$1006:AE1006),$AB$1006:$AQ$1006,0)))),"Fix")))</f>
        <v>0</v>
      </c>
      <c r="F541" s="4">
        <f>IF(OR(INDEX($V$2:$V$1001,MATCH(ROWS($U$2:U541),$U$2:$U$1001,0),1)&gt;=100000,INDEX($AB$1005:$AQ$1005,1,MATCH(COLUMNS($AB$1006:AF1006),$AB$1006:$AQ$1006,0))&gt;=100000), " ",IF(INDEX($AB$2:$AQ$1001,MATCH(ROWS($U$2:U541),$U$2:$U$1001,0),MATCH(COLUMNS($AB$1006:AF1006),$AB$1006:$AQ$1006,0)), HYPERLINK("#",""), HYPERLINK(CONCATENATE("#metadata!", ADDRESS(INDEX($W$2:$W$1001,MATCH(ROWS($U$2:U541),$U$2:$U$1001,0),0), INDEX($AB$1004:$AQ$1004,1,MATCH(COLUMNS($AB$1006:AF1006),$AB$1006:$AQ$1006,0)))),"Fix")))</f>
        <v>0</v>
      </c>
      <c r="G541" s="4">
        <f>IF(OR(INDEX($V$2:$V$1001,MATCH(ROWS($U$2:U541),$U$2:$U$1001,0),1)&gt;=100000,INDEX($AB$1005:$AQ$1005,1,MATCH(COLUMNS($AB$1006:AG1006),$AB$1006:$AQ$1006,0))&gt;=100000), " ",IF(INDEX($AB$2:$AQ$1001,MATCH(ROWS($U$2:U541),$U$2:$U$1001,0),MATCH(COLUMNS($AB$1006:AG1006),$AB$1006:$AQ$1006,0)), HYPERLINK("#",""), HYPERLINK(CONCATENATE("#metadata!", ADDRESS(INDEX($W$2:$W$1001,MATCH(ROWS($U$2:U541),$U$2:$U$1001,0),0), INDEX($AB$1004:$AQ$1004,1,MATCH(COLUMNS($AB$1006:AG1006),$AB$1006:$AQ$1006,0)))),"Fix")))</f>
        <v>0</v>
      </c>
      <c r="H541" s="4">
        <f>IF(OR(INDEX($V$2:$V$1001,MATCH(ROWS($U$2:U541),$U$2:$U$1001,0),1)&gt;=100000,INDEX($AB$1005:$AQ$1005,1,MATCH(COLUMNS($AB$1006:AH1006),$AB$1006:$AQ$1006,0))&gt;=100000), " ",IF(INDEX($AB$2:$AQ$1001,MATCH(ROWS($U$2:U541),$U$2:$U$1001,0),MATCH(COLUMNS($AB$1006:AH1006),$AB$1006:$AQ$1006,0)), HYPERLINK("#",""), HYPERLINK(CONCATENATE("#metadata!", ADDRESS(INDEX($W$2:$W$1001,MATCH(ROWS($U$2:U541),$U$2:$U$1001,0),0), INDEX($AB$1004:$AQ$1004,1,MATCH(COLUMNS($AB$1006:AH1006),$AB$1006:$AQ$1006,0)))),"Fix")))</f>
        <v>0</v>
      </c>
      <c r="I541" s="4">
        <f>IF(OR(INDEX($V$2:$V$1001,MATCH(ROWS($U$2:U541),$U$2:$U$1001,0),1)&gt;=100000,INDEX($AB$1005:$AQ$1005,1,MATCH(COLUMNS($AB$1006:AI1006),$AB$1006:$AQ$1006,0))&gt;=100000), " ",IF(INDEX($AB$2:$AQ$1001,MATCH(ROWS($U$2:U541),$U$2:$U$1001,0),MATCH(COLUMNS($AB$1006:AI1006),$AB$1006:$AQ$1006,0)), HYPERLINK("#",""), HYPERLINK(CONCATENATE("#metadata!", ADDRESS(INDEX($W$2:$W$1001,MATCH(ROWS($U$2:U541),$U$2:$U$1001,0),0), INDEX($AB$1004:$AQ$1004,1,MATCH(COLUMNS($AB$1006:AI1006),$AB$1006:$AQ$1006,0)))),"Fix")))</f>
        <v>0</v>
      </c>
      <c r="J541" s="4">
        <f>IF(OR(INDEX($V$2:$V$1001,MATCH(ROWS($U$2:U541),$U$2:$U$1001,0),1)&gt;=100000,INDEX($AB$1005:$AQ$1005,1,MATCH(COLUMNS($AB$1006:AJ1006),$AB$1006:$AQ$1006,0))&gt;=100000), " ",IF(INDEX($AB$2:$AQ$1001,MATCH(ROWS($U$2:U541),$U$2:$U$1001,0),MATCH(COLUMNS($AB$1006:AJ1006),$AB$1006:$AQ$1006,0)), HYPERLINK("#",""), HYPERLINK(CONCATENATE("#metadata!", ADDRESS(INDEX($W$2:$W$1001,MATCH(ROWS($U$2:U541),$U$2:$U$1001,0),0), INDEX($AB$1004:$AQ$1004,1,MATCH(COLUMNS($AB$1006:AJ1006),$AB$1006:$AQ$1006,0)))),"Fix")))</f>
        <v>0</v>
      </c>
      <c r="K541" s="4">
        <f>IF(OR(INDEX($V$2:$V$1001,MATCH(ROWS($U$2:U541),$U$2:$U$1001,0),1)&gt;=100000,INDEX($AB$1005:$AQ$1005,1,MATCH(COLUMNS($AB$1006:AK1006),$AB$1006:$AQ$1006,0))&gt;=100000), " ",IF(INDEX($AB$2:$AQ$1001,MATCH(ROWS($U$2:U541),$U$2:$U$1001,0),MATCH(COLUMNS($AB$1006:AK1006),$AB$1006:$AQ$1006,0)), HYPERLINK("#",""), HYPERLINK(CONCATENATE("#metadata!", ADDRESS(INDEX($W$2:$W$1001,MATCH(ROWS($U$2:U541),$U$2:$U$1001,0),0), INDEX($AB$1004:$AQ$1004,1,MATCH(COLUMNS($AB$1006:AK1006),$AB$1006:$AQ$1006,0)))),"Fix")))</f>
        <v>0</v>
      </c>
      <c r="L541" s="4">
        <f>IF(OR(INDEX($V$2:$V$1001,MATCH(ROWS($U$2:U541),$U$2:$U$1001,0),1)&gt;=100000,INDEX($AB$1005:$AQ$1005,1,MATCH(COLUMNS($AB$1006:AL1006),$AB$1006:$AQ$1006,0))&gt;=100000), " ",IF(INDEX($AB$2:$AQ$1001,MATCH(ROWS($U$2:U541),$U$2:$U$1001,0),MATCH(COLUMNS($AB$1006:AL1006),$AB$1006:$AQ$1006,0)), HYPERLINK("#",""), HYPERLINK(CONCATENATE("#metadata!", ADDRESS(INDEX($W$2:$W$1001,MATCH(ROWS($U$2:U541),$U$2:$U$1001,0),0), INDEX($AB$1004:$AQ$1004,1,MATCH(COLUMNS($AB$1006:AL1006),$AB$1006:$AQ$1006,0)))),"Fix")))</f>
        <v>0</v>
      </c>
      <c r="M541" s="4">
        <f>IF(OR(INDEX($V$2:$V$1001,MATCH(ROWS($U$2:U541),$U$2:$U$1001,0),1)&gt;=100000,INDEX($AB$1005:$AQ$1005,1,MATCH(COLUMNS($AB$1006:AM1006),$AB$1006:$AQ$1006,0))&gt;=100000), " ",IF(INDEX($AB$2:$AQ$1001,MATCH(ROWS($U$2:U541),$U$2:$U$1001,0),MATCH(COLUMNS($AB$1006:AM1006),$AB$1006:$AQ$1006,0)), HYPERLINK("#",""), HYPERLINK(CONCATENATE("#metadata!", ADDRESS(INDEX($W$2:$W$1001,MATCH(ROWS($U$2:U541),$U$2:$U$1001,0),0), INDEX($AB$1004:$AQ$1004,1,MATCH(COLUMNS($AB$1006:AM1006),$AB$1006:$AQ$1006,0)))),"Fix")))</f>
        <v>0</v>
      </c>
      <c r="N541" s="4">
        <f>IF(OR(INDEX($V$2:$V$1001,MATCH(ROWS($U$2:U541),$U$2:$U$1001,0),1)&gt;=100000,INDEX($AB$1005:$AQ$1005,1,MATCH(COLUMNS($AB$1006:AN1006),$AB$1006:$AQ$1006,0))&gt;=100000), " ",IF(INDEX($AB$2:$AQ$1001,MATCH(ROWS($U$2:U541),$U$2:$U$1001,0),MATCH(COLUMNS($AB$1006:AN1006),$AB$1006:$AQ$1006,0)), HYPERLINK("#",""), HYPERLINK(CONCATENATE("#metadata!", ADDRESS(INDEX($W$2:$W$1001,MATCH(ROWS($U$2:U541),$U$2:$U$1001,0),0), INDEX($AB$1004:$AQ$1004,1,MATCH(COLUMNS($AB$1006:AN1006),$AB$1006:$AQ$1006,0)))),"Fix")))</f>
        <v>0</v>
      </c>
      <c r="O541" s="4">
        <f>IF(OR(INDEX($V$2:$V$1001,MATCH(ROWS($U$2:U541),$U$2:$U$1001,0),1)&gt;=100000,INDEX($AB$1005:$AQ$1005,1,MATCH(COLUMNS($AB$1006:AO1006),$AB$1006:$AQ$1006,0))&gt;=100000), " ",IF(INDEX($AB$2:$AQ$1001,MATCH(ROWS($U$2:U541),$U$2:$U$1001,0),MATCH(COLUMNS($AB$1006:AO1006),$AB$1006:$AQ$1006,0)), HYPERLINK("#",""), HYPERLINK(CONCATENATE("#metadata!", ADDRESS(INDEX($W$2:$W$1001,MATCH(ROWS($U$2:U541),$U$2:$U$1001,0),0), INDEX($AB$1004:$AQ$1004,1,MATCH(COLUMNS($AB$1006:AO1006),$AB$1006:$AQ$1006,0)))),"Fix")))</f>
        <v>0</v>
      </c>
      <c r="P541" s="4">
        <f>IF(OR(INDEX($V$2:$V$1001,MATCH(ROWS($U$2:U541),$U$2:$U$1001,0),1)&gt;=100000,INDEX($AB$1005:$AQ$1005,1,MATCH(COLUMNS($AB$1006:AP1006),$AB$1006:$AQ$1006,0))&gt;=100000), " ",IF(INDEX($AB$2:$AQ$1001,MATCH(ROWS($U$2:U541),$U$2:$U$1001,0),MATCH(COLUMNS($AB$1006:AP1006),$AB$1006:$AQ$1006,0)), HYPERLINK("#",""), HYPERLINK(CONCATENATE("#metadata!", ADDRESS(INDEX($W$2:$W$1001,MATCH(ROWS($U$2:U541),$U$2:$U$1001,0),0), INDEX($AB$1004:$AQ$1004,1,MATCH(COLUMNS($AB$1006:AP1006),$AB$1006:$AQ$1006,0)))),"Fix")))</f>
        <v>0</v>
      </c>
      <c r="Q541" s="4">
        <f>IF(OR(INDEX($V$2:$V$1001,MATCH(ROWS($U$2:U541),$U$2:$U$1001,0),1)&gt;=100000,INDEX($AB$1005:$AQ$1005,1,MATCH(COLUMNS($AB$1006:AQ1006),$AB$1006:$AQ$1006,0))&gt;=100000), " ",IF(INDEX($AB$2:$AQ$1001,MATCH(ROWS($U$2:U541),$U$2:$U$1001,0),MATCH(COLUMNS($AB$1006:AQ1006),$AB$1006:$AQ$1006,0)), HYPERLINK("#",""), HYPERLINK(CONCATENATE("#metadata!", ADDRESS(INDEX($W$2:$W$1001,MATCH(ROWS($U$2:U541),$U$2:$U$1001,0),0), INDEX($AB$1004:$AQ$1004,1,MATCH(COLUMNS($AB$1006:AQ1006),$AB$1006:$AQ$1006,0)))),"Fix")))</f>
        <v>0</v>
      </c>
      <c r="U541">
        <v>0</v>
      </c>
      <c r="V541">
        <v>0</v>
      </c>
      <c r="W541">
        <v>0</v>
      </c>
      <c r="X541">
        <f>IF(Y541,TRUE,AND(AB541:AQ541))</f>
        <v>0</v>
      </c>
      <c r="Y541">
        <f>COUNTBLANK(metadata!B541:Q541)=COLUMNS(metadata!B541:Q541)</f>
        <v>0</v>
      </c>
      <c r="Z541">
        <v>0</v>
      </c>
      <c r="AB541">
        <f>AND(IF(metadata!B541="",FALSE,TRUE),COUNTIF(metadata!B:B, metadata!B541) = 1,NOT(ISERROR(SUMPRODUCT(SEARCH(MID(metadata!B541,ROW(INDIRECT("1:"&amp;LEN(metadata!B541))), 1),"0123456789abcdefghijklmnopqrstuvwxyzABCDEFGHIJKLMNOPQRSTUVWXYZ.")))))</f>
        <v>0</v>
      </c>
      <c r="AC541">
        <f>OR(AND(IF(metadata!C541="",FALSE,TRUE),OR(exact(metadata!C541,"missing: not collected"),exact(metadata!C541,"missing: not provided"),exact(metadata!C541,"missing: restricted access"))),AND(IF(metadata!C541="",FALSE,TRUE),AND(AND(IFERROR(INT(LEFT(metadata!C541,4))&gt;1900,FALSE),IFERROR(INT(LEFT(metadata!C541,4))&lt;=YEAR(NOW()),FALSE)), OR(MID(metadata!C541,5,1)="", AND(AND(MID(metadata!C541,5,1)="-",IFERROR(INT(MID(metadata!C541,6,1))&gt;=0,FALSE),IFERROR(INT(MID(metadata!C541,6,1))&lt;=1,FALSE),NOT(MID(metadata!C541,7,1)=""),IFERROR(INT(MID(metadata!C541,6,2))&gt;=1,FALSE),IFERROR(INT(MID(metadata!C541,6,2))&lt;=12,FALSE)), OR(MID(metadata!C541,8,1)="", AND(AND(MID(metadata!C541,8,1)="-",IFERROR(INT(MID(metadata!C541,9,1))&gt;=0,FALSE),IFERROR(INT(MID(metadata!C541,9,1))&lt;=3,FALSE),NOT(MID(metadata!C541,10,1)=""),IFERROR(INT(MID(metadata!C541,9,2))&gt;=1,FALSE),IFERROR(INT(MID(metadata!C541,9,2))&lt;=31,FALSE)), OR(MID(metadata!C541,11,1)="", AND(AND(MID(metadata!C541,11,1)=" ",IFERROR(INT(MID(metadata!C541,12,1))&gt;=0,FALSE),IFERROR(INT(MID(metadata!C541,12,1))&lt;=2,FALSE),NOT(MID(metadata!C541,13,1)=""),IFERROR(INT(MID(metadata!C541,12,2))&gt;=0,FALSE),IFERROR(INT(MID(metadata!C541,12,2))&lt;=23,FALSE)), OR(MID(metadata!C541,14,1)="", AND(AND(MID(metadata!C541,14,1)=":",IFERROR(INT(MID(metadata!C541,15,1))&gt;=0,FALSE),IFERROR(INT(MID(metadata!C541,15,1))&lt;=5,FALSE),NOT(MID(metadata!C541,16,1)=""),IFERROR(INT(MID(metadata!C541,15,2))&gt;=0,FALSE),IFERROR(INT(MID(metadata!C541,15,2))&lt;=59,FALSE)), OR(MID(metadata!C541,17,1)="", AND(AND(MID(metadata!C541,17,1)=":",IFERROR(INT(MID(metadata!C541,18,1))&gt;=0,FALSE),IFERROR(INT(MID(metadata!C541,18,1))&lt;=5,FALSE),NOT(MID(metadata!C541,19,1)=""),IFERROR(INT(MID(metadata!C541,18,2))&gt;=0,FALSE),IFERROR(INT(MID(metadata!C541,18,2))&lt;=59,FALSE)), LEN(metadata!C541)&lt;=19)))))))))))))</f>
        <v>0</v>
      </c>
      <c r="AD541">
        <f>IF(metadata!D541="",FALSE,TRUE)</f>
        <v>0</v>
      </c>
      <c r="AE541">
        <f>OR(AND(IF(metadata!E541="",FALSE,TRUE),OR(exact(metadata!E541,"missing: not collected"),exact(metadata!E541,"missing: not provided"))),AND(IF(metadata!E541="",FALSE,TRUE),OR(exact(metadata!E541,"TRUE"),exact(metadata!E541,"FALSE"))))</f>
        <v>0</v>
      </c>
      <c r="AF541">
        <f>IF(metadata!F541="",FALSE,TRUE)</f>
        <v>0</v>
      </c>
      <c r="AG541">
        <f>IF(metadata!G541="",FALSE,TRUE)</f>
        <v>0</v>
      </c>
      <c r="AH541">
        <f>IF(metadata!H541="",FALSE,TRUE)</f>
        <v>0</v>
      </c>
      <c r="AI541">
        <f>OR(AND(IF(metadata!I541="",FALSE,TRUE),OR(exact(metadata!I541,"missing: not collected"),exact(metadata!I541,"missing: not provided"),exact(metadata!I541,"missing: restricted access"))),AND(IF(metadata!I541="",FALSE,TRUE),OR(exact(metadata!I541,"air"),exact(metadata!I541,"built environment"),exact(metadata!I541,"host-associated"),exact(metadata!I541,"human-associated"),exact(metadata!I541,"human-skin"),exact(metadata!I541,"human-oral"),exact(metadata!I541,"human-gut"),exact(metadata!I541,"human-vaginal"),exact(metadata!I541,"microbial mat/biofilm"),exact(metadata!I541,"misc environment"),exact(metadata!I541,"plant-associated"),exact(metadata!I541,"sediment"),exact(metadata!I541,"soil"),exact(metadata!I541,"wastewater/sludge"),exact(metadata!I541,"water"))))</f>
        <v>0</v>
      </c>
      <c r="AJ541">
        <f>IF(metadata!J541="",FALSE,TRUE)</f>
        <v>0</v>
      </c>
      <c r="AK541">
        <f>OR(AND(IF(metadata!K541="",FALSE,TRUE),OR(exact(metadata!K541,"missing: not collected"),exact(metadata!K541,"missing: not provided"),exact(metadata!K541,"missing: restricted access"))),AND(IF(metadata!K541="",FALSE,ISNUMBER(VALUE(metadata!K541))),metadata!K541&gt;=-90.00,metadata!K541&lt;=90.00))</f>
        <v>0</v>
      </c>
      <c r="AL541">
        <f>OR(AND(IF(metadata!L541="",FALSE,TRUE),OR(exact(metadata!L541,"missing: not collected"),exact(metadata!L541,"missing: not provided"),exact(metadata!L541,"missing: restricted access"))),AND(IF(metadata!L541="",FALSE,ISNUMBER(VALUE(metadata!L541))),metadata!L541&gt;=-180.00,metadata!L541&lt;=180.00))</f>
        <v>0</v>
      </c>
      <c r="AM541">
        <f>IF(metadata!M541="",FALSE,TRUE)</f>
        <v>0</v>
      </c>
      <c r="AN541">
        <f>OR(AND(IF(metadata!N541="",FALSE,TRUE),OR(exact(metadata!N541,"missing: not collected"),exact(metadata!N541,"missing: not provided"),exact(metadata!N541,"missing: restricted access"))),AND(IF(metadata!N541="",FALSE,TRUE),OR(exact(metadata!N541,"TRUE"),exact(metadata!N541,"FALSE"))))</f>
        <v>0</v>
      </c>
      <c r="AO541">
        <f>IF(metadata!O541="",FALSE,TRUE)</f>
        <v>0</v>
      </c>
      <c r="AP541">
        <f>OR(AND(IF(metadata!P541="",FALSE,TRUE),OR(exact(metadata!P541,"missing: not collected"),exact(metadata!P541,"missing: not provided"))),AND(IF(metadata!P541="",FALSE,IF(ISERROR(INT(metadata!P541)),FALSE,INT(metadata!P541)=metadata!P541)),metadata!P541&gt;0))</f>
        <v>0</v>
      </c>
      <c r="AQ541">
        <f>IF(metadata!Q541="",FALSE,TRUE)</f>
        <v>0</v>
      </c>
    </row>
    <row r="542" spans="1:43">
      <c r="A542" s="5">
        <f>IF(B542=" "," ",HYPERLINK(CONCATENATE("#metadata!",ADDRESS(INDEX($W$2:$W$1001,MATCH(ROWS($U$2:U542),$U$2:$U$1001,0),0),1)),INDEX($Z$2:$Z$1001,MATCH(ROWS($U$2:U542),$U$2:$U$1001,0),0)))</f>
        <v>0</v>
      </c>
      <c r="B542" s="4">
        <f>IF(OR(INDEX($V$2:$V$1001,MATCH(ROWS($U$2:U542),$U$2:$U$1001,0),1)&gt;=100000,INDEX($AB$1005:$AQ$1005,1,MATCH(COLUMNS($AB$1006:AB1006),$AB$1006:$AQ$1006,0))&gt;=100000), " ",IF(INDEX($AB$2:$AQ$1001,MATCH(ROWS($U$2:U542),$U$2:$U$1001,0),MATCH(COLUMNS($AB$1006:AB1006),$AB$1006:$AQ$1006,0)), HYPERLINK("#",""), HYPERLINK(CONCATENATE("#metadata!", ADDRESS(INDEX($W$2:$W$1001,MATCH(ROWS($U$2:U542),$U$2:$U$1001,0),0), INDEX($AB$1004:$AQ$1004,1,MATCH(COLUMNS($AB$1006:AB1006),$AB$1006:$AQ$1006,0)))),"Fix")))</f>
        <v>0</v>
      </c>
      <c r="C542" s="4">
        <f>IF(OR(INDEX($V$2:$V$1001,MATCH(ROWS($U$2:U542),$U$2:$U$1001,0),1)&gt;=100000,INDEX($AB$1005:$AQ$1005,1,MATCH(COLUMNS($AB$1006:AC1006),$AB$1006:$AQ$1006,0))&gt;=100000), " ",IF(INDEX($AB$2:$AQ$1001,MATCH(ROWS($U$2:U542),$U$2:$U$1001,0),MATCH(COLUMNS($AB$1006:AC1006),$AB$1006:$AQ$1006,0)), HYPERLINK("#",""), HYPERLINK(CONCATENATE("#metadata!", ADDRESS(INDEX($W$2:$W$1001,MATCH(ROWS($U$2:U542),$U$2:$U$1001,0),0), INDEX($AB$1004:$AQ$1004,1,MATCH(COLUMNS($AB$1006:AC1006),$AB$1006:$AQ$1006,0)))),"Fix")))</f>
        <v>0</v>
      </c>
      <c r="D542" s="4">
        <f>IF(OR(INDEX($V$2:$V$1001,MATCH(ROWS($U$2:U542),$U$2:$U$1001,0),1)&gt;=100000,INDEX($AB$1005:$AQ$1005,1,MATCH(COLUMNS($AB$1006:AD1006),$AB$1006:$AQ$1006,0))&gt;=100000), " ",IF(INDEX($AB$2:$AQ$1001,MATCH(ROWS($U$2:U542),$U$2:$U$1001,0),MATCH(COLUMNS($AB$1006:AD1006),$AB$1006:$AQ$1006,0)), HYPERLINK("#",""), HYPERLINK(CONCATENATE("#metadata!", ADDRESS(INDEX($W$2:$W$1001,MATCH(ROWS($U$2:U542),$U$2:$U$1001,0),0), INDEX($AB$1004:$AQ$1004,1,MATCH(COLUMNS($AB$1006:AD1006),$AB$1006:$AQ$1006,0)))),"Fix")))</f>
        <v>0</v>
      </c>
      <c r="E542" s="4">
        <f>IF(OR(INDEX($V$2:$V$1001,MATCH(ROWS($U$2:U542),$U$2:$U$1001,0),1)&gt;=100000,INDEX($AB$1005:$AQ$1005,1,MATCH(COLUMNS($AB$1006:AE1006),$AB$1006:$AQ$1006,0))&gt;=100000), " ",IF(INDEX($AB$2:$AQ$1001,MATCH(ROWS($U$2:U542),$U$2:$U$1001,0),MATCH(COLUMNS($AB$1006:AE1006),$AB$1006:$AQ$1006,0)), HYPERLINK("#",""), HYPERLINK(CONCATENATE("#metadata!", ADDRESS(INDEX($W$2:$W$1001,MATCH(ROWS($U$2:U542),$U$2:$U$1001,0),0), INDEX($AB$1004:$AQ$1004,1,MATCH(COLUMNS($AB$1006:AE1006),$AB$1006:$AQ$1006,0)))),"Fix")))</f>
        <v>0</v>
      </c>
      <c r="F542" s="4">
        <f>IF(OR(INDEX($V$2:$V$1001,MATCH(ROWS($U$2:U542),$U$2:$U$1001,0),1)&gt;=100000,INDEX($AB$1005:$AQ$1005,1,MATCH(COLUMNS($AB$1006:AF1006),$AB$1006:$AQ$1006,0))&gt;=100000), " ",IF(INDEX($AB$2:$AQ$1001,MATCH(ROWS($U$2:U542),$U$2:$U$1001,0),MATCH(COLUMNS($AB$1006:AF1006),$AB$1006:$AQ$1006,0)), HYPERLINK("#",""), HYPERLINK(CONCATENATE("#metadata!", ADDRESS(INDEX($W$2:$W$1001,MATCH(ROWS($U$2:U542),$U$2:$U$1001,0),0), INDEX($AB$1004:$AQ$1004,1,MATCH(COLUMNS($AB$1006:AF1006),$AB$1006:$AQ$1006,0)))),"Fix")))</f>
        <v>0</v>
      </c>
      <c r="G542" s="4">
        <f>IF(OR(INDEX($V$2:$V$1001,MATCH(ROWS($U$2:U542),$U$2:$U$1001,0),1)&gt;=100000,INDEX($AB$1005:$AQ$1005,1,MATCH(COLUMNS($AB$1006:AG1006),$AB$1006:$AQ$1006,0))&gt;=100000), " ",IF(INDEX($AB$2:$AQ$1001,MATCH(ROWS($U$2:U542),$U$2:$U$1001,0),MATCH(COLUMNS($AB$1006:AG1006),$AB$1006:$AQ$1006,0)), HYPERLINK("#",""), HYPERLINK(CONCATENATE("#metadata!", ADDRESS(INDEX($W$2:$W$1001,MATCH(ROWS($U$2:U542),$U$2:$U$1001,0),0), INDEX($AB$1004:$AQ$1004,1,MATCH(COLUMNS($AB$1006:AG1006),$AB$1006:$AQ$1006,0)))),"Fix")))</f>
        <v>0</v>
      </c>
      <c r="H542" s="4">
        <f>IF(OR(INDEX($V$2:$V$1001,MATCH(ROWS($U$2:U542),$U$2:$U$1001,0),1)&gt;=100000,INDEX($AB$1005:$AQ$1005,1,MATCH(COLUMNS($AB$1006:AH1006),$AB$1006:$AQ$1006,0))&gt;=100000), " ",IF(INDEX($AB$2:$AQ$1001,MATCH(ROWS($U$2:U542),$U$2:$U$1001,0),MATCH(COLUMNS($AB$1006:AH1006),$AB$1006:$AQ$1006,0)), HYPERLINK("#",""), HYPERLINK(CONCATENATE("#metadata!", ADDRESS(INDEX($W$2:$W$1001,MATCH(ROWS($U$2:U542),$U$2:$U$1001,0),0), INDEX($AB$1004:$AQ$1004,1,MATCH(COLUMNS($AB$1006:AH1006),$AB$1006:$AQ$1006,0)))),"Fix")))</f>
        <v>0</v>
      </c>
      <c r="I542" s="4">
        <f>IF(OR(INDEX($V$2:$V$1001,MATCH(ROWS($U$2:U542),$U$2:$U$1001,0),1)&gt;=100000,INDEX($AB$1005:$AQ$1005,1,MATCH(COLUMNS($AB$1006:AI1006),$AB$1006:$AQ$1006,0))&gt;=100000), " ",IF(INDEX($AB$2:$AQ$1001,MATCH(ROWS($U$2:U542),$U$2:$U$1001,0),MATCH(COLUMNS($AB$1006:AI1006),$AB$1006:$AQ$1006,0)), HYPERLINK("#",""), HYPERLINK(CONCATENATE("#metadata!", ADDRESS(INDEX($W$2:$W$1001,MATCH(ROWS($U$2:U542),$U$2:$U$1001,0),0), INDEX($AB$1004:$AQ$1004,1,MATCH(COLUMNS($AB$1006:AI1006),$AB$1006:$AQ$1006,0)))),"Fix")))</f>
        <v>0</v>
      </c>
      <c r="J542" s="4">
        <f>IF(OR(INDEX($V$2:$V$1001,MATCH(ROWS($U$2:U542),$U$2:$U$1001,0),1)&gt;=100000,INDEX($AB$1005:$AQ$1005,1,MATCH(COLUMNS($AB$1006:AJ1006),$AB$1006:$AQ$1006,0))&gt;=100000), " ",IF(INDEX($AB$2:$AQ$1001,MATCH(ROWS($U$2:U542),$U$2:$U$1001,0),MATCH(COLUMNS($AB$1006:AJ1006),$AB$1006:$AQ$1006,0)), HYPERLINK("#",""), HYPERLINK(CONCATENATE("#metadata!", ADDRESS(INDEX($W$2:$W$1001,MATCH(ROWS($U$2:U542),$U$2:$U$1001,0),0), INDEX($AB$1004:$AQ$1004,1,MATCH(COLUMNS($AB$1006:AJ1006),$AB$1006:$AQ$1006,0)))),"Fix")))</f>
        <v>0</v>
      </c>
      <c r="K542" s="4">
        <f>IF(OR(INDEX($V$2:$V$1001,MATCH(ROWS($U$2:U542),$U$2:$U$1001,0),1)&gt;=100000,INDEX($AB$1005:$AQ$1005,1,MATCH(COLUMNS($AB$1006:AK1006),$AB$1006:$AQ$1006,0))&gt;=100000), " ",IF(INDEX($AB$2:$AQ$1001,MATCH(ROWS($U$2:U542),$U$2:$U$1001,0),MATCH(COLUMNS($AB$1006:AK1006),$AB$1006:$AQ$1006,0)), HYPERLINK("#",""), HYPERLINK(CONCATENATE("#metadata!", ADDRESS(INDEX($W$2:$W$1001,MATCH(ROWS($U$2:U542),$U$2:$U$1001,0),0), INDEX($AB$1004:$AQ$1004,1,MATCH(COLUMNS($AB$1006:AK1006),$AB$1006:$AQ$1006,0)))),"Fix")))</f>
        <v>0</v>
      </c>
      <c r="L542" s="4">
        <f>IF(OR(INDEX($V$2:$V$1001,MATCH(ROWS($U$2:U542),$U$2:$U$1001,0),1)&gt;=100000,INDEX($AB$1005:$AQ$1005,1,MATCH(COLUMNS($AB$1006:AL1006),$AB$1006:$AQ$1006,0))&gt;=100000), " ",IF(INDEX($AB$2:$AQ$1001,MATCH(ROWS($U$2:U542),$U$2:$U$1001,0),MATCH(COLUMNS($AB$1006:AL1006),$AB$1006:$AQ$1006,0)), HYPERLINK("#",""), HYPERLINK(CONCATENATE("#metadata!", ADDRESS(INDEX($W$2:$W$1001,MATCH(ROWS($U$2:U542),$U$2:$U$1001,0),0), INDEX($AB$1004:$AQ$1004,1,MATCH(COLUMNS($AB$1006:AL1006),$AB$1006:$AQ$1006,0)))),"Fix")))</f>
        <v>0</v>
      </c>
      <c r="M542" s="4">
        <f>IF(OR(INDEX($V$2:$V$1001,MATCH(ROWS($U$2:U542),$U$2:$U$1001,0),1)&gt;=100000,INDEX($AB$1005:$AQ$1005,1,MATCH(COLUMNS($AB$1006:AM1006),$AB$1006:$AQ$1006,0))&gt;=100000), " ",IF(INDEX($AB$2:$AQ$1001,MATCH(ROWS($U$2:U542),$U$2:$U$1001,0),MATCH(COLUMNS($AB$1006:AM1006),$AB$1006:$AQ$1006,0)), HYPERLINK("#",""), HYPERLINK(CONCATENATE("#metadata!", ADDRESS(INDEX($W$2:$W$1001,MATCH(ROWS($U$2:U542),$U$2:$U$1001,0),0), INDEX($AB$1004:$AQ$1004,1,MATCH(COLUMNS($AB$1006:AM1006),$AB$1006:$AQ$1006,0)))),"Fix")))</f>
        <v>0</v>
      </c>
      <c r="N542" s="4">
        <f>IF(OR(INDEX($V$2:$V$1001,MATCH(ROWS($U$2:U542),$U$2:$U$1001,0),1)&gt;=100000,INDEX($AB$1005:$AQ$1005,1,MATCH(COLUMNS($AB$1006:AN1006),$AB$1006:$AQ$1006,0))&gt;=100000), " ",IF(INDEX($AB$2:$AQ$1001,MATCH(ROWS($U$2:U542),$U$2:$U$1001,0),MATCH(COLUMNS($AB$1006:AN1006),$AB$1006:$AQ$1006,0)), HYPERLINK("#",""), HYPERLINK(CONCATENATE("#metadata!", ADDRESS(INDEX($W$2:$W$1001,MATCH(ROWS($U$2:U542),$U$2:$U$1001,0),0), INDEX($AB$1004:$AQ$1004,1,MATCH(COLUMNS($AB$1006:AN1006),$AB$1006:$AQ$1006,0)))),"Fix")))</f>
        <v>0</v>
      </c>
      <c r="O542" s="4">
        <f>IF(OR(INDEX($V$2:$V$1001,MATCH(ROWS($U$2:U542),$U$2:$U$1001,0),1)&gt;=100000,INDEX($AB$1005:$AQ$1005,1,MATCH(COLUMNS($AB$1006:AO1006),$AB$1006:$AQ$1006,0))&gt;=100000), " ",IF(INDEX($AB$2:$AQ$1001,MATCH(ROWS($U$2:U542),$U$2:$U$1001,0),MATCH(COLUMNS($AB$1006:AO1006),$AB$1006:$AQ$1006,0)), HYPERLINK("#",""), HYPERLINK(CONCATENATE("#metadata!", ADDRESS(INDEX($W$2:$W$1001,MATCH(ROWS($U$2:U542),$U$2:$U$1001,0),0), INDEX($AB$1004:$AQ$1004,1,MATCH(COLUMNS($AB$1006:AO1006),$AB$1006:$AQ$1006,0)))),"Fix")))</f>
        <v>0</v>
      </c>
      <c r="P542" s="4">
        <f>IF(OR(INDEX($V$2:$V$1001,MATCH(ROWS($U$2:U542),$U$2:$U$1001,0),1)&gt;=100000,INDEX($AB$1005:$AQ$1005,1,MATCH(COLUMNS($AB$1006:AP1006),$AB$1006:$AQ$1006,0))&gt;=100000), " ",IF(INDEX($AB$2:$AQ$1001,MATCH(ROWS($U$2:U542),$U$2:$U$1001,0),MATCH(COLUMNS($AB$1006:AP1006),$AB$1006:$AQ$1006,0)), HYPERLINK("#",""), HYPERLINK(CONCATENATE("#metadata!", ADDRESS(INDEX($W$2:$W$1001,MATCH(ROWS($U$2:U542),$U$2:$U$1001,0),0), INDEX($AB$1004:$AQ$1004,1,MATCH(COLUMNS($AB$1006:AP1006),$AB$1006:$AQ$1006,0)))),"Fix")))</f>
        <v>0</v>
      </c>
      <c r="Q542" s="4">
        <f>IF(OR(INDEX($V$2:$V$1001,MATCH(ROWS($U$2:U542),$U$2:$U$1001,0),1)&gt;=100000,INDEX($AB$1005:$AQ$1005,1,MATCH(COLUMNS($AB$1006:AQ1006),$AB$1006:$AQ$1006,0))&gt;=100000), " ",IF(INDEX($AB$2:$AQ$1001,MATCH(ROWS($U$2:U542),$U$2:$U$1001,0),MATCH(COLUMNS($AB$1006:AQ1006),$AB$1006:$AQ$1006,0)), HYPERLINK("#",""), HYPERLINK(CONCATENATE("#metadata!", ADDRESS(INDEX($W$2:$W$1001,MATCH(ROWS($U$2:U542),$U$2:$U$1001,0),0), INDEX($AB$1004:$AQ$1004,1,MATCH(COLUMNS($AB$1006:AQ1006),$AB$1006:$AQ$1006,0)))),"Fix")))</f>
        <v>0</v>
      </c>
      <c r="U542">
        <v>0</v>
      </c>
      <c r="V542">
        <v>0</v>
      </c>
      <c r="W542">
        <v>0</v>
      </c>
      <c r="X542">
        <f>IF(Y542,TRUE,AND(AB542:AQ542))</f>
        <v>0</v>
      </c>
      <c r="Y542">
        <f>COUNTBLANK(metadata!B542:Q542)=COLUMNS(metadata!B542:Q542)</f>
        <v>0</v>
      </c>
      <c r="Z542">
        <v>0</v>
      </c>
      <c r="AB542">
        <f>AND(IF(metadata!B542="",FALSE,TRUE),COUNTIF(metadata!B:B, metadata!B542) = 1,NOT(ISERROR(SUMPRODUCT(SEARCH(MID(metadata!B542,ROW(INDIRECT("1:"&amp;LEN(metadata!B542))), 1),"0123456789abcdefghijklmnopqrstuvwxyzABCDEFGHIJKLMNOPQRSTUVWXYZ.")))))</f>
        <v>0</v>
      </c>
      <c r="AC542">
        <f>OR(AND(IF(metadata!C542="",FALSE,TRUE),OR(exact(metadata!C542,"missing: not collected"),exact(metadata!C542,"missing: not provided"),exact(metadata!C542,"missing: restricted access"))),AND(IF(metadata!C542="",FALSE,TRUE),AND(AND(IFERROR(INT(LEFT(metadata!C542,4))&gt;1900,FALSE),IFERROR(INT(LEFT(metadata!C542,4))&lt;=YEAR(NOW()),FALSE)), OR(MID(metadata!C542,5,1)="", AND(AND(MID(metadata!C542,5,1)="-",IFERROR(INT(MID(metadata!C542,6,1))&gt;=0,FALSE),IFERROR(INT(MID(metadata!C542,6,1))&lt;=1,FALSE),NOT(MID(metadata!C542,7,1)=""),IFERROR(INT(MID(metadata!C542,6,2))&gt;=1,FALSE),IFERROR(INT(MID(metadata!C542,6,2))&lt;=12,FALSE)), OR(MID(metadata!C542,8,1)="", AND(AND(MID(metadata!C542,8,1)="-",IFERROR(INT(MID(metadata!C542,9,1))&gt;=0,FALSE),IFERROR(INT(MID(metadata!C542,9,1))&lt;=3,FALSE),NOT(MID(metadata!C542,10,1)=""),IFERROR(INT(MID(metadata!C542,9,2))&gt;=1,FALSE),IFERROR(INT(MID(metadata!C542,9,2))&lt;=31,FALSE)), OR(MID(metadata!C542,11,1)="", AND(AND(MID(metadata!C542,11,1)=" ",IFERROR(INT(MID(metadata!C542,12,1))&gt;=0,FALSE),IFERROR(INT(MID(metadata!C542,12,1))&lt;=2,FALSE),NOT(MID(metadata!C542,13,1)=""),IFERROR(INT(MID(metadata!C542,12,2))&gt;=0,FALSE),IFERROR(INT(MID(metadata!C542,12,2))&lt;=23,FALSE)), OR(MID(metadata!C542,14,1)="", AND(AND(MID(metadata!C542,14,1)=":",IFERROR(INT(MID(metadata!C542,15,1))&gt;=0,FALSE),IFERROR(INT(MID(metadata!C542,15,1))&lt;=5,FALSE),NOT(MID(metadata!C542,16,1)=""),IFERROR(INT(MID(metadata!C542,15,2))&gt;=0,FALSE),IFERROR(INT(MID(metadata!C542,15,2))&lt;=59,FALSE)), OR(MID(metadata!C542,17,1)="", AND(AND(MID(metadata!C542,17,1)=":",IFERROR(INT(MID(metadata!C542,18,1))&gt;=0,FALSE),IFERROR(INT(MID(metadata!C542,18,1))&lt;=5,FALSE),NOT(MID(metadata!C542,19,1)=""),IFERROR(INT(MID(metadata!C542,18,2))&gt;=0,FALSE),IFERROR(INT(MID(metadata!C542,18,2))&lt;=59,FALSE)), LEN(metadata!C542)&lt;=19)))))))))))))</f>
        <v>0</v>
      </c>
      <c r="AD542">
        <f>IF(metadata!D542="",FALSE,TRUE)</f>
        <v>0</v>
      </c>
      <c r="AE542">
        <f>OR(AND(IF(metadata!E542="",FALSE,TRUE),OR(exact(metadata!E542,"missing: not collected"),exact(metadata!E542,"missing: not provided"))),AND(IF(metadata!E542="",FALSE,TRUE),OR(exact(metadata!E542,"TRUE"),exact(metadata!E542,"FALSE"))))</f>
        <v>0</v>
      </c>
      <c r="AF542">
        <f>IF(metadata!F542="",FALSE,TRUE)</f>
        <v>0</v>
      </c>
      <c r="AG542">
        <f>IF(metadata!G542="",FALSE,TRUE)</f>
        <v>0</v>
      </c>
      <c r="AH542">
        <f>IF(metadata!H542="",FALSE,TRUE)</f>
        <v>0</v>
      </c>
      <c r="AI542">
        <f>OR(AND(IF(metadata!I542="",FALSE,TRUE),OR(exact(metadata!I542,"missing: not collected"),exact(metadata!I542,"missing: not provided"),exact(metadata!I542,"missing: restricted access"))),AND(IF(metadata!I542="",FALSE,TRUE),OR(exact(metadata!I542,"air"),exact(metadata!I542,"built environment"),exact(metadata!I542,"host-associated"),exact(metadata!I542,"human-associated"),exact(metadata!I542,"human-skin"),exact(metadata!I542,"human-oral"),exact(metadata!I542,"human-gut"),exact(metadata!I542,"human-vaginal"),exact(metadata!I542,"microbial mat/biofilm"),exact(metadata!I542,"misc environment"),exact(metadata!I542,"plant-associated"),exact(metadata!I542,"sediment"),exact(metadata!I542,"soil"),exact(metadata!I542,"wastewater/sludge"),exact(metadata!I542,"water"))))</f>
        <v>0</v>
      </c>
      <c r="AJ542">
        <f>IF(metadata!J542="",FALSE,TRUE)</f>
        <v>0</v>
      </c>
      <c r="AK542">
        <f>OR(AND(IF(metadata!K542="",FALSE,TRUE),OR(exact(metadata!K542,"missing: not collected"),exact(metadata!K542,"missing: not provided"),exact(metadata!K542,"missing: restricted access"))),AND(IF(metadata!K542="",FALSE,ISNUMBER(VALUE(metadata!K542))),metadata!K542&gt;=-90.00,metadata!K542&lt;=90.00))</f>
        <v>0</v>
      </c>
      <c r="AL542">
        <f>OR(AND(IF(metadata!L542="",FALSE,TRUE),OR(exact(metadata!L542,"missing: not collected"),exact(metadata!L542,"missing: not provided"),exact(metadata!L542,"missing: restricted access"))),AND(IF(metadata!L542="",FALSE,ISNUMBER(VALUE(metadata!L542))),metadata!L542&gt;=-180.00,metadata!L542&lt;=180.00))</f>
        <v>0</v>
      </c>
      <c r="AM542">
        <f>IF(metadata!M542="",FALSE,TRUE)</f>
        <v>0</v>
      </c>
      <c r="AN542">
        <f>OR(AND(IF(metadata!N542="",FALSE,TRUE),OR(exact(metadata!N542,"missing: not collected"),exact(metadata!N542,"missing: not provided"),exact(metadata!N542,"missing: restricted access"))),AND(IF(metadata!N542="",FALSE,TRUE),OR(exact(metadata!N542,"TRUE"),exact(metadata!N542,"FALSE"))))</f>
        <v>0</v>
      </c>
      <c r="AO542">
        <f>IF(metadata!O542="",FALSE,TRUE)</f>
        <v>0</v>
      </c>
      <c r="AP542">
        <f>OR(AND(IF(metadata!P542="",FALSE,TRUE),OR(exact(metadata!P542,"missing: not collected"),exact(metadata!P542,"missing: not provided"))),AND(IF(metadata!P542="",FALSE,IF(ISERROR(INT(metadata!P542)),FALSE,INT(metadata!P542)=metadata!P542)),metadata!P542&gt;0))</f>
        <v>0</v>
      </c>
      <c r="AQ542">
        <f>IF(metadata!Q542="",FALSE,TRUE)</f>
        <v>0</v>
      </c>
    </row>
    <row r="543" spans="1:43">
      <c r="A543" s="5">
        <f>IF(B543=" "," ",HYPERLINK(CONCATENATE("#metadata!",ADDRESS(INDEX($W$2:$W$1001,MATCH(ROWS($U$2:U543),$U$2:$U$1001,0),0),1)),INDEX($Z$2:$Z$1001,MATCH(ROWS($U$2:U543),$U$2:$U$1001,0),0)))</f>
        <v>0</v>
      </c>
      <c r="B543" s="4">
        <f>IF(OR(INDEX($V$2:$V$1001,MATCH(ROWS($U$2:U543),$U$2:$U$1001,0),1)&gt;=100000,INDEX($AB$1005:$AQ$1005,1,MATCH(COLUMNS($AB$1006:AB1006),$AB$1006:$AQ$1006,0))&gt;=100000), " ",IF(INDEX($AB$2:$AQ$1001,MATCH(ROWS($U$2:U543),$U$2:$U$1001,0),MATCH(COLUMNS($AB$1006:AB1006),$AB$1006:$AQ$1006,0)), HYPERLINK("#",""), HYPERLINK(CONCATENATE("#metadata!", ADDRESS(INDEX($W$2:$W$1001,MATCH(ROWS($U$2:U543),$U$2:$U$1001,0),0), INDEX($AB$1004:$AQ$1004,1,MATCH(COLUMNS($AB$1006:AB1006),$AB$1006:$AQ$1006,0)))),"Fix")))</f>
        <v>0</v>
      </c>
      <c r="C543" s="4">
        <f>IF(OR(INDEX($V$2:$V$1001,MATCH(ROWS($U$2:U543),$U$2:$U$1001,0),1)&gt;=100000,INDEX($AB$1005:$AQ$1005,1,MATCH(COLUMNS($AB$1006:AC1006),$AB$1006:$AQ$1006,0))&gt;=100000), " ",IF(INDEX($AB$2:$AQ$1001,MATCH(ROWS($U$2:U543),$U$2:$U$1001,0),MATCH(COLUMNS($AB$1006:AC1006),$AB$1006:$AQ$1006,0)), HYPERLINK("#",""), HYPERLINK(CONCATENATE("#metadata!", ADDRESS(INDEX($W$2:$W$1001,MATCH(ROWS($U$2:U543),$U$2:$U$1001,0),0), INDEX($AB$1004:$AQ$1004,1,MATCH(COLUMNS($AB$1006:AC1006),$AB$1006:$AQ$1006,0)))),"Fix")))</f>
        <v>0</v>
      </c>
      <c r="D543" s="4">
        <f>IF(OR(INDEX($V$2:$V$1001,MATCH(ROWS($U$2:U543),$U$2:$U$1001,0),1)&gt;=100000,INDEX($AB$1005:$AQ$1005,1,MATCH(COLUMNS($AB$1006:AD1006),$AB$1006:$AQ$1006,0))&gt;=100000), " ",IF(INDEX($AB$2:$AQ$1001,MATCH(ROWS($U$2:U543),$U$2:$U$1001,0),MATCH(COLUMNS($AB$1006:AD1006),$AB$1006:$AQ$1006,0)), HYPERLINK("#",""), HYPERLINK(CONCATENATE("#metadata!", ADDRESS(INDEX($W$2:$W$1001,MATCH(ROWS($U$2:U543),$U$2:$U$1001,0),0), INDEX($AB$1004:$AQ$1004,1,MATCH(COLUMNS($AB$1006:AD1006),$AB$1006:$AQ$1006,0)))),"Fix")))</f>
        <v>0</v>
      </c>
      <c r="E543" s="4">
        <f>IF(OR(INDEX($V$2:$V$1001,MATCH(ROWS($U$2:U543),$U$2:$U$1001,0),1)&gt;=100000,INDEX($AB$1005:$AQ$1005,1,MATCH(COLUMNS($AB$1006:AE1006),$AB$1006:$AQ$1006,0))&gt;=100000), " ",IF(INDEX($AB$2:$AQ$1001,MATCH(ROWS($U$2:U543),$U$2:$U$1001,0),MATCH(COLUMNS($AB$1006:AE1006),$AB$1006:$AQ$1006,0)), HYPERLINK("#",""), HYPERLINK(CONCATENATE("#metadata!", ADDRESS(INDEX($W$2:$W$1001,MATCH(ROWS($U$2:U543),$U$2:$U$1001,0),0), INDEX($AB$1004:$AQ$1004,1,MATCH(COLUMNS($AB$1006:AE1006),$AB$1006:$AQ$1006,0)))),"Fix")))</f>
        <v>0</v>
      </c>
      <c r="F543" s="4">
        <f>IF(OR(INDEX($V$2:$V$1001,MATCH(ROWS($U$2:U543),$U$2:$U$1001,0),1)&gt;=100000,INDEX($AB$1005:$AQ$1005,1,MATCH(COLUMNS($AB$1006:AF1006),$AB$1006:$AQ$1006,0))&gt;=100000), " ",IF(INDEX($AB$2:$AQ$1001,MATCH(ROWS($U$2:U543),$U$2:$U$1001,0),MATCH(COLUMNS($AB$1006:AF1006),$AB$1006:$AQ$1006,0)), HYPERLINK("#",""), HYPERLINK(CONCATENATE("#metadata!", ADDRESS(INDEX($W$2:$W$1001,MATCH(ROWS($U$2:U543),$U$2:$U$1001,0),0), INDEX($AB$1004:$AQ$1004,1,MATCH(COLUMNS($AB$1006:AF1006),$AB$1006:$AQ$1006,0)))),"Fix")))</f>
        <v>0</v>
      </c>
      <c r="G543" s="4">
        <f>IF(OR(INDEX($V$2:$V$1001,MATCH(ROWS($U$2:U543),$U$2:$U$1001,0),1)&gt;=100000,INDEX($AB$1005:$AQ$1005,1,MATCH(COLUMNS($AB$1006:AG1006),$AB$1006:$AQ$1006,0))&gt;=100000), " ",IF(INDEX($AB$2:$AQ$1001,MATCH(ROWS($U$2:U543),$U$2:$U$1001,0),MATCH(COLUMNS($AB$1006:AG1006),$AB$1006:$AQ$1006,0)), HYPERLINK("#",""), HYPERLINK(CONCATENATE("#metadata!", ADDRESS(INDEX($W$2:$W$1001,MATCH(ROWS($U$2:U543),$U$2:$U$1001,0),0), INDEX($AB$1004:$AQ$1004,1,MATCH(COLUMNS($AB$1006:AG1006),$AB$1006:$AQ$1006,0)))),"Fix")))</f>
        <v>0</v>
      </c>
      <c r="H543" s="4">
        <f>IF(OR(INDEX($V$2:$V$1001,MATCH(ROWS($U$2:U543),$U$2:$U$1001,0),1)&gt;=100000,INDEX($AB$1005:$AQ$1005,1,MATCH(COLUMNS($AB$1006:AH1006),$AB$1006:$AQ$1006,0))&gt;=100000), " ",IF(INDEX($AB$2:$AQ$1001,MATCH(ROWS($U$2:U543),$U$2:$U$1001,0),MATCH(COLUMNS($AB$1006:AH1006),$AB$1006:$AQ$1006,0)), HYPERLINK("#",""), HYPERLINK(CONCATENATE("#metadata!", ADDRESS(INDEX($W$2:$W$1001,MATCH(ROWS($U$2:U543),$U$2:$U$1001,0),0), INDEX($AB$1004:$AQ$1004,1,MATCH(COLUMNS($AB$1006:AH1006),$AB$1006:$AQ$1006,0)))),"Fix")))</f>
        <v>0</v>
      </c>
      <c r="I543" s="4">
        <f>IF(OR(INDEX($V$2:$V$1001,MATCH(ROWS($U$2:U543),$U$2:$U$1001,0),1)&gt;=100000,INDEX($AB$1005:$AQ$1005,1,MATCH(COLUMNS($AB$1006:AI1006),$AB$1006:$AQ$1006,0))&gt;=100000), " ",IF(INDEX($AB$2:$AQ$1001,MATCH(ROWS($U$2:U543),$U$2:$U$1001,0),MATCH(COLUMNS($AB$1006:AI1006),$AB$1006:$AQ$1006,0)), HYPERLINK("#",""), HYPERLINK(CONCATENATE("#metadata!", ADDRESS(INDEX($W$2:$W$1001,MATCH(ROWS($U$2:U543),$U$2:$U$1001,0),0), INDEX($AB$1004:$AQ$1004,1,MATCH(COLUMNS($AB$1006:AI1006),$AB$1006:$AQ$1006,0)))),"Fix")))</f>
        <v>0</v>
      </c>
      <c r="J543" s="4">
        <f>IF(OR(INDEX($V$2:$V$1001,MATCH(ROWS($U$2:U543),$U$2:$U$1001,0),1)&gt;=100000,INDEX($AB$1005:$AQ$1005,1,MATCH(COLUMNS($AB$1006:AJ1006),$AB$1006:$AQ$1006,0))&gt;=100000), " ",IF(INDEX($AB$2:$AQ$1001,MATCH(ROWS($U$2:U543),$U$2:$U$1001,0),MATCH(COLUMNS($AB$1006:AJ1006),$AB$1006:$AQ$1006,0)), HYPERLINK("#",""), HYPERLINK(CONCATENATE("#metadata!", ADDRESS(INDEX($W$2:$W$1001,MATCH(ROWS($U$2:U543),$U$2:$U$1001,0),0), INDEX($AB$1004:$AQ$1004,1,MATCH(COLUMNS($AB$1006:AJ1006),$AB$1006:$AQ$1006,0)))),"Fix")))</f>
        <v>0</v>
      </c>
      <c r="K543" s="4">
        <f>IF(OR(INDEX($V$2:$V$1001,MATCH(ROWS($U$2:U543),$U$2:$U$1001,0),1)&gt;=100000,INDEX($AB$1005:$AQ$1005,1,MATCH(COLUMNS($AB$1006:AK1006),$AB$1006:$AQ$1006,0))&gt;=100000), " ",IF(INDEX($AB$2:$AQ$1001,MATCH(ROWS($U$2:U543),$U$2:$U$1001,0),MATCH(COLUMNS($AB$1006:AK1006),$AB$1006:$AQ$1006,0)), HYPERLINK("#",""), HYPERLINK(CONCATENATE("#metadata!", ADDRESS(INDEX($W$2:$W$1001,MATCH(ROWS($U$2:U543),$U$2:$U$1001,0),0), INDEX($AB$1004:$AQ$1004,1,MATCH(COLUMNS($AB$1006:AK1006),$AB$1006:$AQ$1006,0)))),"Fix")))</f>
        <v>0</v>
      </c>
      <c r="L543" s="4">
        <f>IF(OR(INDEX($V$2:$V$1001,MATCH(ROWS($U$2:U543),$U$2:$U$1001,0),1)&gt;=100000,INDEX($AB$1005:$AQ$1005,1,MATCH(COLUMNS($AB$1006:AL1006),$AB$1006:$AQ$1006,0))&gt;=100000), " ",IF(INDEX($AB$2:$AQ$1001,MATCH(ROWS($U$2:U543),$U$2:$U$1001,0),MATCH(COLUMNS($AB$1006:AL1006),$AB$1006:$AQ$1006,0)), HYPERLINK("#",""), HYPERLINK(CONCATENATE("#metadata!", ADDRESS(INDEX($W$2:$W$1001,MATCH(ROWS($U$2:U543),$U$2:$U$1001,0),0), INDEX($AB$1004:$AQ$1004,1,MATCH(COLUMNS($AB$1006:AL1006),$AB$1006:$AQ$1006,0)))),"Fix")))</f>
        <v>0</v>
      </c>
      <c r="M543" s="4">
        <f>IF(OR(INDEX($V$2:$V$1001,MATCH(ROWS($U$2:U543),$U$2:$U$1001,0),1)&gt;=100000,INDEX($AB$1005:$AQ$1005,1,MATCH(COLUMNS($AB$1006:AM1006),$AB$1006:$AQ$1006,0))&gt;=100000), " ",IF(INDEX($AB$2:$AQ$1001,MATCH(ROWS($U$2:U543),$U$2:$U$1001,0),MATCH(COLUMNS($AB$1006:AM1006),$AB$1006:$AQ$1006,0)), HYPERLINK("#",""), HYPERLINK(CONCATENATE("#metadata!", ADDRESS(INDEX($W$2:$W$1001,MATCH(ROWS($U$2:U543),$U$2:$U$1001,0),0), INDEX($AB$1004:$AQ$1004,1,MATCH(COLUMNS($AB$1006:AM1006),$AB$1006:$AQ$1006,0)))),"Fix")))</f>
        <v>0</v>
      </c>
      <c r="N543" s="4">
        <f>IF(OR(INDEX($V$2:$V$1001,MATCH(ROWS($U$2:U543),$U$2:$U$1001,0),1)&gt;=100000,INDEX($AB$1005:$AQ$1005,1,MATCH(COLUMNS($AB$1006:AN1006),$AB$1006:$AQ$1006,0))&gt;=100000), " ",IF(INDEX($AB$2:$AQ$1001,MATCH(ROWS($U$2:U543),$U$2:$U$1001,0),MATCH(COLUMNS($AB$1006:AN1006),$AB$1006:$AQ$1006,0)), HYPERLINK("#",""), HYPERLINK(CONCATENATE("#metadata!", ADDRESS(INDEX($W$2:$W$1001,MATCH(ROWS($U$2:U543),$U$2:$U$1001,0),0), INDEX($AB$1004:$AQ$1004,1,MATCH(COLUMNS($AB$1006:AN1006),$AB$1006:$AQ$1006,0)))),"Fix")))</f>
        <v>0</v>
      </c>
      <c r="O543" s="4">
        <f>IF(OR(INDEX($V$2:$V$1001,MATCH(ROWS($U$2:U543),$U$2:$U$1001,0),1)&gt;=100000,INDEX($AB$1005:$AQ$1005,1,MATCH(COLUMNS($AB$1006:AO1006),$AB$1006:$AQ$1006,0))&gt;=100000), " ",IF(INDEX($AB$2:$AQ$1001,MATCH(ROWS($U$2:U543),$U$2:$U$1001,0),MATCH(COLUMNS($AB$1006:AO1006),$AB$1006:$AQ$1006,0)), HYPERLINK("#",""), HYPERLINK(CONCATENATE("#metadata!", ADDRESS(INDEX($W$2:$W$1001,MATCH(ROWS($U$2:U543),$U$2:$U$1001,0),0), INDEX($AB$1004:$AQ$1004,1,MATCH(COLUMNS($AB$1006:AO1006),$AB$1006:$AQ$1006,0)))),"Fix")))</f>
        <v>0</v>
      </c>
      <c r="P543" s="4">
        <f>IF(OR(INDEX($V$2:$V$1001,MATCH(ROWS($U$2:U543),$U$2:$U$1001,0),1)&gt;=100000,INDEX($AB$1005:$AQ$1005,1,MATCH(COLUMNS($AB$1006:AP1006),$AB$1006:$AQ$1006,0))&gt;=100000), " ",IF(INDEX($AB$2:$AQ$1001,MATCH(ROWS($U$2:U543),$U$2:$U$1001,0),MATCH(COLUMNS($AB$1006:AP1006),$AB$1006:$AQ$1006,0)), HYPERLINK("#",""), HYPERLINK(CONCATENATE("#metadata!", ADDRESS(INDEX($W$2:$W$1001,MATCH(ROWS($U$2:U543),$U$2:$U$1001,0),0), INDEX($AB$1004:$AQ$1004,1,MATCH(COLUMNS($AB$1006:AP1006),$AB$1006:$AQ$1006,0)))),"Fix")))</f>
        <v>0</v>
      </c>
      <c r="Q543" s="4">
        <f>IF(OR(INDEX($V$2:$V$1001,MATCH(ROWS($U$2:U543),$U$2:$U$1001,0),1)&gt;=100000,INDEX($AB$1005:$AQ$1005,1,MATCH(COLUMNS($AB$1006:AQ1006),$AB$1006:$AQ$1006,0))&gt;=100000), " ",IF(INDEX($AB$2:$AQ$1001,MATCH(ROWS($U$2:U543),$U$2:$U$1001,0),MATCH(COLUMNS($AB$1006:AQ1006),$AB$1006:$AQ$1006,0)), HYPERLINK("#",""), HYPERLINK(CONCATENATE("#metadata!", ADDRESS(INDEX($W$2:$W$1001,MATCH(ROWS($U$2:U543),$U$2:$U$1001,0),0), INDEX($AB$1004:$AQ$1004,1,MATCH(COLUMNS($AB$1006:AQ1006),$AB$1006:$AQ$1006,0)))),"Fix")))</f>
        <v>0</v>
      </c>
      <c r="U543">
        <v>0</v>
      </c>
      <c r="V543">
        <v>0</v>
      </c>
      <c r="W543">
        <v>0</v>
      </c>
      <c r="X543">
        <f>IF(Y543,TRUE,AND(AB543:AQ543))</f>
        <v>0</v>
      </c>
      <c r="Y543">
        <f>COUNTBLANK(metadata!B543:Q543)=COLUMNS(metadata!B543:Q543)</f>
        <v>0</v>
      </c>
      <c r="Z543">
        <v>0</v>
      </c>
      <c r="AB543">
        <f>AND(IF(metadata!B543="",FALSE,TRUE),COUNTIF(metadata!B:B, metadata!B543) = 1,NOT(ISERROR(SUMPRODUCT(SEARCH(MID(metadata!B543,ROW(INDIRECT("1:"&amp;LEN(metadata!B543))), 1),"0123456789abcdefghijklmnopqrstuvwxyzABCDEFGHIJKLMNOPQRSTUVWXYZ.")))))</f>
        <v>0</v>
      </c>
      <c r="AC543">
        <f>OR(AND(IF(metadata!C543="",FALSE,TRUE),OR(exact(metadata!C543,"missing: not collected"),exact(metadata!C543,"missing: not provided"),exact(metadata!C543,"missing: restricted access"))),AND(IF(metadata!C543="",FALSE,TRUE),AND(AND(IFERROR(INT(LEFT(metadata!C543,4))&gt;1900,FALSE),IFERROR(INT(LEFT(metadata!C543,4))&lt;=YEAR(NOW()),FALSE)), OR(MID(metadata!C543,5,1)="", AND(AND(MID(metadata!C543,5,1)="-",IFERROR(INT(MID(metadata!C543,6,1))&gt;=0,FALSE),IFERROR(INT(MID(metadata!C543,6,1))&lt;=1,FALSE),NOT(MID(metadata!C543,7,1)=""),IFERROR(INT(MID(metadata!C543,6,2))&gt;=1,FALSE),IFERROR(INT(MID(metadata!C543,6,2))&lt;=12,FALSE)), OR(MID(metadata!C543,8,1)="", AND(AND(MID(metadata!C543,8,1)="-",IFERROR(INT(MID(metadata!C543,9,1))&gt;=0,FALSE),IFERROR(INT(MID(metadata!C543,9,1))&lt;=3,FALSE),NOT(MID(metadata!C543,10,1)=""),IFERROR(INT(MID(metadata!C543,9,2))&gt;=1,FALSE),IFERROR(INT(MID(metadata!C543,9,2))&lt;=31,FALSE)), OR(MID(metadata!C543,11,1)="", AND(AND(MID(metadata!C543,11,1)=" ",IFERROR(INT(MID(metadata!C543,12,1))&gt;=0,FALSE),IFERROR(INT(MID(metadata!C543,12,1))&lt;=2,FALSE),NOT(MID(metadata!C543,13,1)=""),IFERROR(INT(MID(metadata!C543,12,2))&gt;=0,FALSE),IFERROR(INT(MID(metadata!C543,12,2))&lt;=23,FALSE)), OR(MID(metadata!C543,14,1)="", AND(AND(MID(metadata!C543,14,1)=":",IFERROR(INT(MID(metadata!C543,15,1))&gt;=0,FALSE),IFERROR(INT(MID(metadata!C543,15,1))&lt;=5,FALSE),NOT(MID(metadata!C543,16,1)=""),IFERROR(INT(MID(metadata!C543,15,2))&gt;=0,FALSE),IFERROR(INT(MID(metadata!C543,15,2))&lt;=59,FALSE)), OR(MID(metadata!C543,17,1)="", AND(AND(MID(metadata!C543,17,1)=":",IFERROR(INT(MID(metadata!C543,18,1))&gt;=0,FALSE),IFERROR(INT(MID(metadata!C543,18,1))&lt;=5,FALSE),NOT(MID(metadata!C543,19,1)=""),IFERROR(INT(MID(metadata!C543,18,2))&gt;=0,FALSE),IFERROR(INT(MID(metadata!C543,18,2))&lt;=59,FALSE)), LEN(metadata!C543)&lt;=19)))))))))))))</f>
        <v>0</v>
      </c>
      <c r="AD543">
        <f>IF(metadata!D543="",FALSE,TRUE)</f>
        <v>0</v>
      </c>
      <c r="AE543">
        <f>OR(AND(IF(metadata!E543="",FALSE,TRUE),OR(exact(metadata!E543,"missing: not collected"),exact(metadata!E543,"missing: not provided"))),AND(IF(metadata!E543="",FALSE,TRUE),OR(exact(metadata!E543,"TRUE"),exact(metadata!E543,"FALSE"))))</f>
        <v>0</v>
      </c>
      <c r="AF543">
        <f>IF(metadata!F543="",FALSE,TRUE)</f>
        <v>0</v>
      </c>
      <c r="AG543">
        <f>IF(metadata!G543="",FALSE,TRUE)</f>
        <v>0</v>
      </c>
      <c r="AH543">
        <f>IF(metadata!H543="",FALSE,TRUE)</f>
        <v>0</v>
      </c>
      <c r="AI543">
        <f>OR(AND(IF(metadata!I543="",FALSE,TRUE),OR(exact(metadata!I543,"missing: not collected"),exact(metadata!I543,"missing: not provided"),exact(metadata!I543,"missing: restricted access"))),AND(IF(metadata!I543="",FALSE,TRUE),OR(exact(metadata!I543,"air"),exact(metadata!I543,"built environment"),exact(metadata!I543,"host-associated"),exact(metadata!I543,"human-associated"),exact(metadata!I543,"human-skin"),exact(metadata!I543,"human-oral"),exact(metadata!I543,"human-gut"),exact(metadata!I543,"human-vaginal"),exact(metadata!I543,"microbial mat/biofilm"),exact(metadata!I543,"misc environment"),exact(metadata!I543,"plant-associated"),exact(metadata!I543,"sediment"),exact(metadata!I543,"soil"),exact(metadata!I543,"wastewater/sludge"),exact(metadata!I543,"water"))))</f>
        <v>0</v>
      </c>
      <c r="AJ543">
        <f>IF(metadata!J543="",FALSE,TRUE)</f>
        <v>0</v>
      </c>
      <c r="AK543">
        <f>OR(AND(IF(metadata!K543="",FALSE,TRUE),OR(exact(metadata!K543,"missing: not collected"),exact(metadata!K543,"missing: not provided"),exact(metadata!K543,"missing: restricted access"))),AND(IF(metadata!K543="",FALSE,ISNUMBER(VALUE(metadata!K543))),metadata!K543&gt;=-90.00,metadata!K543&lt;=90.00))</f>
        <v>0</v>
      </c>
      <c r="AL543">
        <f>OR(AND(IF(metadata!L543="",FALSE,TRUE),OR(exact(metadata!L543,"missing: not collected"),exact(metadata!L543,"missing: not provided"),exact(metadata!L543,"missing: restricted access"))),AND(IF(metadata!L543="",FALSE,ISNUMBER(VALUE(metadata!L543))),metadata!L543&gt;=-180.00,metadata!L543&lt;=180.00))</f>
        <v>0</v>
      </c>
      <c r="AM543">
        <f>IF(metadata!M543="",FALSE,TRUE)</f>
        <v>0</v>
      </c>
      <c r="AN543">
        <f>OR(AND(IF(metadata!N543="",FALSE,TRUE),OR(exact(metadata!N543,"missing: not collected"),exact(metadata!N543,"missing: not provided"),exact(metadata!N543,"missing: restricted access"))),AND(IF(metadata!N543="",FALSE,TRUE),OR(exact(metadata!N543,"TRUE"),exact(metadata!N543,"FALSE"))))</f>
        <v>0</v>
      </c>
      <c r="AO543">
        <f>IF(metadata!O543="",FALSE,TRUE)</f>
        <v>0</v>
      </c>
      <c r="AP543">
        <f>OR(AND(IF(metadata!P543="",FALSE,TRUE),OR(exact(metadata!P543,"missing: not collected"),exact(metadata!P543,"missing: not provided"))),AND(IF(metadata!P543="",FALSE,IF(ISERROR(INT(metadata!P543)),FALSE,INT(metadata!P543)=metadata!P543)),metadata!P543&gt;0))</f>
        <v>0</v>
      </c>
      <c r="AQ543">
        <f>IF(metadata!Q543="",FALSE,TRUE)</f>
        <v>0</v>
      </c>
    </row>
    <row r="544" spans="1:43">
      <c r="A544" s="5">
        <f>IF(B544=" "," ",HYPERLINK(CONCATENATE("#metadata!",ADDRESS(INDEX($W$2:$W$1001,MATCH(ROWS($U$2:U544),$U$2:$U$1001,0),0),1)),INDEX($Z$2:$Z$1001,MATCH(ROWS($U$2:U544),$U$2:$U$1001,0),0)))</f>
        <v>0</v>
      </c>
      <c r="B544" s="4">
        <f>IF(OR(INDEX($V$2:$V$1001,MATCH(ROWS($U$2:U544),$U$2:$U$1001,0),1)&gt;=100000,INDEX($AB$1005:$AQ$1005,1,MATCH(COLUMNS($AB$1006:AB1006),$AB$1006:$AQ$1006,0))&gt;=100000), " ",IF(INDEX($AB$2:$AQ$1001,MATCH(ROWS($U$2:U544),$U$2:$U$1001,0),MATCH(COLUMNS($AB$1006:AB1006),$AB$1006:$AQ$1006,0)), HYPERLINK("#",""), HYPERLINK(CONCATENATE("#metadata!", ADDRESS(INDEX($W$2:$W$1001,MATCH(ROWS($U$2:U544),$U$2:$U$1001,0),0), INDEX($AB$1004:$AQ$1004,1,MATCH(COLUMNS($AB$1006:AB1006),$AB$1006:$AQ$1006,0)))),"Fix")))</f>
        <v>0</v>
      </c>
      <c r="C544" s="4">
        <f>IF(OR(INDEX($V$2:$V$1001,MATCH(ROWS($U$2:U544),$U$2:$U$1001,0),1)&gt;=100000,INDEX($AB$1005:$AQ$1005,1,MATCH(COLUMNS($AB$1006:AC1006),$AB$1006:$AQ$1006,0))&gt;=100000), " ",IF(INDEX($AB$2:$AQ$1001,MATCH(ROWS($U$2:U544),$U$2:$U$1001,0),MATCH(COLUMNS($AB$1006:AC1006),$AB$1006:$AQ$1006,0)), HYPERLINK("#",""), HYPERLINK(CONCATENATE("#metadata!", ADDRESS(INDEX($W$2:$W$1001,MATCH(ROWS($U$2:U544),$U$2:$U$1001,0),0), INDEX($AB$1004:$AQ$1004,1,MATCH(COLUMNS($AB$1006:AC1006),$AB$1006:$AQ$1006,0)))),"Fix")))</f>
        <v>0</v>
      </c>
      <c r="D544" s="4">
        <f>IF(OR(INDEX($V$2:$V$1001,MATCH(ROWS($U$2:U544),$U$2:$U$1001,0),1)&gt;=100000,INDEX($AB$1005:$AQ$1005,1,MATCH(COLUMNS($AB$1006:AD1006),$AB$1006:$AQ$1006,0))&gt;=100000), " ",IF(INDEX($AB$2:$AQ$1001,MATCH(ROWS($U$2:U544),$U$2:$U$1001,0),MATCH(COLUMNS($AB$1006:AD1006),$AB$1006:$AQ$1006,0)), HYPERLINK("#",""), HYPERLINK(CONCATENATE("#metadata!", ADDRESS(INDEX($W$2:$W$1001,MATCH(ROWS($U$2:U544),$U$2:$U$1001,0),0), INDEX($AB$1004:$AQ$1004,1,MATCH(COLUMNS($AB$1006:AD1006),$AB$1006:$AQ$1006,0)))),"Fix")))</f>
        <v>0</v>
      </c>
      <c r="E544" s="4">
        <f>IF(OR(INDEX($V$2:$V$1001,MATCH(ROWS($U$2:U544),$U$2:$U$1001,0),1)&gt;=100000,INDEX($AB$1005:$AQ$1005,1,MATCH(COLUMNS($AB$1006:AE1006),$AB$1006:$AQ$1006,0))&gt;=100000), " ",IF(INDEX($AB$2:$AQ$1001,MATCH(ROWS($U$2:U544),$U$2:$U$1001,0),MATCH(COLUMNS($AB$1006:AE1006),$AB$1006:$AQ$1006,0)), HYPERLINK("#",""), HYPERLINK(CONCATENATE("#metadata!", ADDRESS(INDEX($W$2:$W$1001,MATCH(ROWS($U$2:U544),$U$2:$U$1001,0),0), INDEX($AB$1004:$AQ$1004,1,MATCH(COLUMNS($AB$1006:AE1006),$AB$1006:$AQ$1006,0)))),"Fix")))</f>
        <v>0</v>
      </c>
      <c r="F544" s="4">
        <f>IF(OR(INDEX($V$2:$V$1001,MATCH(ROWS($U$2:U544),$U$2:$U$1001,0),1)&gt;=100000,INDEX($AB$1005:$AQ$1005,1,MATCH(COLUMNS($AB$1006:AF1006),$AB$1006:$AQ$1006,0))&gt;=100000), " ",IF(INDEX($AB$2:$AQ$1001,MATCH(ROWS($U$2:U544),$U$2:$U$1001,0),MATCH(COLUMNS($AB$1006:AF1006),$AB$1006:$AQ$1006,0)), HYPERLINK("#",""), HYPERLINK(CONCATENATE("#metadata!", ADDRESS(INDEX($W$2:$W$1001,MATCH(ROWS($U$2:U544),$U$2:$U$1001,0),0), INDEX($AB$1004:$AQ$1004,1,MATCH(COLUMNS($AB$1006:AF1006),$AB$1006:$AQ$1006,0)))),"Fix")))</f>
        <v>0</v>
      </c>
      <c r="G544" s="4">
        <f>IF(OR(INDEX($V$2:$V$1001,MATCH(ROWS($U$2:U544),$U$2:$U$1001,0),1)&gt;=100000,INDEX($AB$1005:$AQ$1005,1,MATCH(COLUMNS($AB$1006:AG1006),$AB$1006:$AQ$1006,0))&gt;=100000), " ",IF(INDEX($AB$2:$AQ$1001,MATCH(ROWS($U$2:U544),$U$2:$U$1001,0),MATCH(COLUMNS($AB$1006:AG1006),$AB$1006:$AQ$1006,0)), HYPERLINK("#",""), HYPERLINK(CONCATENATE("#metadata!", ADDRESS(INDEX($W$2:$W$1001,MATCH(ROWS($U$2:U544),$U$2:$U$1001,0),0), INDEX($AB$1004:$AQ$1004,1,MATCH(COLUMNS($AB$1006:AG1006),$AB$1006:$AQ$1006,0)))),"Fix")))</f>
        <v>0</v>
      </c>
      <c r="H544" s="4">
        <f>IF(OR(INDEX($V$2:$V$1001,MATCH(ROWS($U$2:U544),$U$2:$U$1001,0),1)&gt;=100000,INDEX($AB$1005:$AQ$1005,1,MATCH(COLUMNS($AB$1006:AH1006),$AB$1006:$AQ$1006,0))&gt;=100000), " ",IF(INDEX($AB$2:$AQ$1001,MATCH(ROWS($U$2:U544),$U$2:$U$1001,0),MATCH(COLUMNS($AB$1006:AH1006),$AB$1006:$AQ$1006,0)), HYPERLINK("#",""), HYPERLINK(CONCATENATE("#metadata!", ADDRESS(INDEX($W$2:$W$1001,MATCH(ROWS($U$2:U544),$U$2:$U$1001,0),0), INDEX($AB$1004:$AQ$1004,1,MATCH(COLUMNS($AB$1006:AH1006),$AB$1006:$AQ$1006,0)))),"Fix")))</f>
        <v>0</v>
      </c>
      <c r="I544" s="4">
        <f>IF(OR(INDEX($V$2:$V$1001,MATCH(ROWS($U$2:U544),$U$2:$U$1001,0),1)&gt;=100000,INDEX($AB$1005:$AQ$1005,1,MATCH(COLUMNS($AB$1006:AI1006),$AB$1006:$AQ$1006,0))&gt;=100000), " ",IF(INDEX($AB$2:$AQ$1001,MATCH(ROWS($U$2:U544),$U$2:$U$1001,0),MATCH(COLUMNS($AB$1006:AI1006),$AB$1006:$AQ$1006,0)), HYPERLINK("#",""), HYPERLINK(CONCATENATE("#metadata!", ADDRESS(INDEX($W$2:$W$1001,MATCH(ROWS($U$2:U544),$U$2:$U$1001,0),0), INDEX($AB$1004:$AQ$1004,1,MATCH(COLUMNS($AB$1006:AI1006),$AB$1006:$AQ$1006,0)))),"Fix")))</f>
        <v>0</v>
      </c>
      <c r="J544" s="4">
        <f>IF(OR(INDEX($V$2:$V$1001,MATCH(ROWS($U$2:U544),$U$2:$U$1001,0),1)&gt;=100000,INDEX($AB$1005:$AQ$1005,1,MATCH(COLUMNS($AB$1006:AJ1006),$AB$1006:$AQ$1006,0))&gt;=100000), " ",IF(INDEX($AB$2:$AQ$1001,MATCH(ROWS($U$2:U544),$U$2:$U$1001,0),MATCH(COLUMNS($AB$1006:AJ1006),$AB$1006:$AQ$1006,0)), HYPERLINK("#",""), HYPERLINK(CONCATENATE("#metadata!", ADDRESS(INDEX($W$2:$W$1001,MATCH(ROWS($U$2:U544),$U$2:$U$1001,0),0), INDEX($AB$1004:$AQ$1004,1,MATCH(COLUMNS($AB$1006:AJ1006),$AB$1006:$AQ$1006,0)))),"Fix")))</f>
        <v>0</v>
      </c>
      <c r="K544" s="4">
        <f>IF(OR(INDEX($V$2:$V$1001,MATCH(ROWS($U$2:U544),$U$2:$U$1001,0),1)&gt;=100000,INDEX($AB$1005:$AQ$1005,1,MATCH(COLUMNS($AB$1006:AK1006),$AB$1006:$AQ$1006,0))&gt;=100000), " ",IF(INDEX($AB$2:$AQ$1001,MATCH(ROWS($U$2:U544),$U$2:$U$1001,0),MATCH(COLUMNS($AB$1006:AK1006),$AB$1006:$AQ$1006,0)), HYPERLINK("#",""), HYPERLINK(CONCATENATE("#metadata!", ADDRESS(INDEX($W$2:$W$1001,MATCH(ROWS($U$2:U544),$U$2:$U$1001,0),0), INDEX($AB$1004:$AQ$1004,1,MATCH(COLUMNS($AB$1006:AK1006),$AB$1006:$AQ$1006,0)))),"Fix")))</f>
        <v>0</v>
      </c>
      <c r="L544" s="4">
        <f>IF(OR(INDEX($V$2:$V$1001,MATCH(ROWS($U$2:U544),$U$2:$U$1001,0),1)&gt;=100000,INDEX($AB$1005:$AQ$1005,1,MATCH(COLUMNS($AB$1006:AL1006),$AB$1006:$AQ$1006,0))&gt;=100000), " ",IF(INDEX($AB$2:$AQ$1001,MATCH(ROWS($U$2:U544),$U$2:$U$1001,0),MATCH(COLUMNS($AB$1006:AL1006),$AB$1006:$AQ$1006,0)), HYPERLINK("#",""), HYPERLINK(CONCATENATE("#metadata!", ADDRESS(INDEX($W$2:$W$1001,MATCH(ROWS($U$2:U544),$U$2:$U$1001,0),0), INDEX($AB$1004:$AQ$1004,1,MATCH(COLUMNS($AB$1006:AL1006),$AB$1006:$AQ$1006,0)))),"Fix")))</f>
        <v>0</v>
      </c>
      <c r="M544" s="4">
        <f>IF(OR(INDEX($V$2:$V$1001,MATCH(ROWS($U$2:U544),$U$2:$U$1001,0),1)&gt;=100000,INDEX($AB$1005:$AQ$1005,1,MATCH(COLUMNS($AB$1006:AM1006),$AB$1006:$AQ$1006,0))&gt;=100000), " ",IF(INDEX($AB$2:$AQ$1001,MATCH(ROWS($U$2:U544),$U$2:$U$1001,0),MATCH(COLUMNS($AB$1006:AM1006),$AB$1006:$AQ$1006,0)), HYPERLINK("#",""), HYPERLINK(CONCATENATE("#metadata!", ADDRESS(INDEX($W$2:$W$1001,MATCH(ROWS($U$2:U544),$U$2:$U$1001,0),0), INDEX($AB$1004:$AQ$1004,1,MATCH(COLUMNS($AB$1006:AM1006),$AB$1006:$AQ$1006,0)))),"Fix")))</f>
        <v>0</v>
      </c>
      <c r="N544" s="4">
        <f>IF(OR(INDEX($V$2:$V$1001,MATCH(ROWS($U$2:U544),$U$2:$U$1001,0),1)&gt;=100000,INDEX($AB$1005:$AQ$1005,1,MATCH(COLUMNS($AB$1006:AN1006),$AB$1006:$AQ$1006,0))&gt;=100000), " ",IF(INDEX($AB$2:$AQ$1001,MATCH(ROWS($U$2:U544),$U$2:$U$1001,0),MATCH(COLUMNS($AB$1006:AN1006),$AB$1006:$AQ$1006,0)), HYPERLINK("#",""), HYPERLINK(CONCATENATE("#metadata!", ADDRESS(INDEX($W$2:$W$1001,MATCH(ROWS($U$2:U544),$U$2:$U$1001,0),0), INDEX($AB$1004:$AQ$1004,1,MATCH(COLUMNS($AB$1006:AN1006),$AB$1006:$AQ$1006,0)))),"Fix")))</f>
        <v>0</v>
      </c>
      <c r="O544" s="4">
        <f>IF(OR(INDEX($V$2:$V$1001,MATCH(ROWS($U$2:U544),$U$2:$U$1001,0),1)&gt;=100000,INDEX($AB$1005:$AQ$1005,1,MATCH(COLUMNS($AB$1006:AO1006),$AB$1006:$AQ$1006,0))&gt;=100000), " ",IF(INDEX($AB$2:$AQ$1001,MATCH(ROWS($U$2:U544),$U$2:$U$1001,0),MATCH(COLUMNS($AB$1006:AO1006),$AB$1006:$AQ$1006,0)), HYPERLINK("#",""), HYPERLINK(CONCATENATE("#metadata!", ADDRESS(INDEX($W$2:$W$1001,MATCH(ROWS($U$2:U544),$U$2:$U$1001,0),0), INDEX($AB$1004:$AQ$1004,1,MATCH(COLUMNS($AB$1006:AO1006),$AB$1006:$AQ$1006,0)))),"Fix")))</f>
        <v>0</v>
      </c>
      <c r="P544" s="4">
        <f>IF(OR(INDEX($V$2:$V$1001,MATCH(ROWS($U$2:U544),$U$2:$U$1001,0),1)&gt;=100000,INDEX($AB$1005:$AQ$1005,1,MATCH(COLUMNS($AB$1006:AP1006),$AB$1006:$AQ$1006,0))&gt;=100000), " ",IF(INDEX($AB$2:$AQ$1001,MATCH(ROWS($U$2:U544),$U$2:$U$1001,0),MATCH(COLUMNS($AB$1006:AP1006),$AB$1006:$AQ$1006,0)), HYPERLINK("#",""), HYPERLINK(CONCATENATE("#metadata!", ADDRESS(INDEX($W$2:$W$1001,MATCH(ROWS($U$2:U544),$U$2:$U$1001,0),0), INDEX($AB$1004:$AQ$1004,1,MATCH(COLUMNS($AB$1006:AP1006),$AB$1006:$AQ$1006,0)))),"Fix")))</f>
        <v>0</v>
      </c>
      <c r="Q544" s="4">
        <f>IF(OR(INDEX($V$2:$V$1001,MATCH(ROWS($U$2:U544),$U$2:$U$1001,0),1)&gt;=100000,INDEX($AB$1005:$AQ$1005,1,MATCH(COLUMNS($AB$1006:AQ1006),$AB$1006:$AQ$1006,0))&gt;=100000), " ",IF(INDEX($AB$2:$AQ$1001,MATCH(ROWS($U$2:U544),$U$2:$U$1001,0),MATCH(COLUMNS($AB$1006:AQ1006),$AB$1006:$AQ$1006,0)), HYPERLINK("#",""), HYPERLINK(CONCATENATE("#metadata!", ADDRESS(INDEX($W$2:$W$1001,MATCH(ROWS($U$2:U544),$U$2:$U$1001,0),0), INDEX($AB$1004:$AQ$1004,1,MATCH(COLUMNS($AB$1006:AQ1006),$AB$1006:$AQ$1006,0)))),"Fix")))</f>
        <v>0</v>
      </c>
      <c r="U544">
        <v>0</v>
      </c>
      <c r="V544">
        <v>0</v>
      </c>
      <c r="W544">
        <v>0</v>
      </c>
      <c r="X544">
        <f>IF(Y544,TRUE,AND(AB544:AQ544))</f>
        <v>0</v>
      </c>
      <c r="Y544">
        <f>COUNTBLANK(metadata!B544:Q544)=COLUMNS(metadata!B544:Q544)</f>
        <v>0</v>
      </c>
      <c r="Z544">
        <v>0</v>
      </c>
      <c r="AB544">
        <f>AND(IF(metadata!B544="",FALSE,TRUE),COUNTIF(metadata!B:B, metadata!B544) = 1,NOT(ISERROR(SUMPRODUCT(SEARCH(MID(metadata!B544,ROW(INDIRECT("1:"&amp;LEN(metadata!B544))), 1),"0123456789abcdefghijklmnopqrstuvwxyzABCDEFGHIJKLMNOPQRSTUVWXYZ.")))))</f>
        <v>0</v>
      </c>
      <c r="AC544">
        <f>OR(AND(IF(metadata!C544="",FALSE,TRUE),OR(exact(metadata!C544,"missing: not collected"),exact(metadata!C544,"missing: not provided"),exact(metadata!C544,"missing: restricted access"))),AND(IF(metadata!C544="",FALSE,TRUE),AND(AND(IFERROR(INT(LEFT(metadata!C544,4))&gt;1900,FALSE),IFERROR(INT(LEFT(metadata!C544,4))&lt;=YEAR(NOW()),FALSE)), OR(MID(metadata!C544,5,1)="", AND(AND(MID(metadata!C544,5,1)="-",IFERROR(INT(MID(metadata!C544,6,1))&gt;=0,FALSE),IFERROR(INT(MID(metadata!C544,6,1))&lt;=1,FALSE),NOT(MID(metadata!C544,7,1)=""),IFERROR(INT(MID(metadata!C544,6,2))&gt;=1,FALSE),IFERROR(INT(MID(metadata!C544,6,2))&lt;=12,FALSE)), OR(MID(metadata!C544,8,1)="", AND(AND(MID(metadata!C544,8,1)="-",IFERROR(INT(MID(metadata!C544,9,1))&gt;=0,FALSE),IFERROR(INT(MID(metadata!C544,9,1))&lt;=3,FALSE),NOT(MID(metadata!C544,10,1)=""),IFERROR(INT(MID(metadata!C544,9,2))&gt;=1,FALSE),IFERROR(INT(MID(metadata!C544,9,2))&lt;=31,FALSE)), OR(MID(metadata!C544,11,1)="", AND(AND(MID(metadata!C544,11,1)=" ",IFERROR(INT(MID(metadata!C544,12,1))&gt;=0,FALSE),IFERROR(INT(MID(metadata!C544,12,1))&lt;=2,FALSE),NOT(MID(metadata!C544,13,1)=""),IFERROR(INT(MID(metadata!C544,12,2))&gt;=0,FALSE),IFERROR(INT(MID(metadata!C544,12,2))&lt;=23,FALSE)), OR(MID(metadata!C544,14,1)="", AND(AND(MID(metadata!C544,14,1)=":",IFERROR(INT(MID(metadata!C544,15,1))&gt;=0,FALSE),IFERROR(INT(MID(metadata!C544,15,1))&lt;=5,FALSE),NOT(MID(metadata!C544,16,1)=""),IFERROR(INT(MID(metadata!C544,15,2))&gt;=0,FALSE),IFERROR(INT(MID(metadata!C544,15,2))&lt;=59,FALSE)), OR(MID(metadata!C544,17,1)="", AND(AND(MID(metadata!C544,17,1)=":",IFERROR(INT(MID(metadata!C544,18,1))&gt;=0,FALSE),IFERROR(INT(MID(metadata!C544,18,1))&lt;=5,FALSE),NOT(MID(metadata!C544,19,1)=""),IFERROR(INT(MID(metadata!C544,18,2))&gt;=0,FALSE),IFERROR(INT(MID(metadata!C544,18,2))&lt;=59,FALSE)), LEN(metadata!C544)&lt;=19)))))))))))))</f>
        <v>0</v>
      </c>
      <c r="AD544">
        <f>IF(metadata!D544="",FALSE,TRUE)</f>
        <v>0</v>
      </c>
      <c r="AE544">
        <f>OR(AND(IF(metadata!E544="",FALSE,TRUE),OR(exact(metadata!E544,"missing: not collected"),exact(metadata!E544,"missing: not provided"))),AND(IF(metadata!E544="",FALSE,TRUE),OR(exact(metadata!E544,"TRUE"),exact(metadata!E544,"FALSE"))))</f>
        <v>0</v>
      </c>
      <c r="AF544">
        <f>IF(metadata!F544="",FALSE,TRUE)</f>
        <v>0</v>
      </c>
      <c r="AG544">
        <f>IF(metadata!G544="",FALSE,TRUE)</f>
        <v>0</v>
      </c>
      <c r="AH544">
        <f>IF(metadata!H544="",FALSE,TRUE)</f>
        <v>0</v>
      </c>
      <c r="AI544">
        <f>OR(AND(IF(metadata!I544="",FALSE,TRUE),OR(exact(metadata!I544,"missing: not collected"),exact(metadata!I544,"missing: not provided"),exact(metadata!I544,"missing: restricted access"))),AND(IF(metadata!I544="",FALSE,TRUE),OR(exact(metadata!I544,"air"),exact(metadata!I544,"built environment"),exact(metadata!I544,"host-associated"),exact(metadata!I544,"human-associated"),exact(metadata!I544,"human-skin"),exact(metadata!I544,"human-oral"),exact(metadata!I544,"human-gut"),exact(metadata!I544,"human-vaginal"),exact(metadata!I544,"microbial mat/biofilm"),exact(metadata!I544,"misc environment"),exact(metadata!I544,"plant-associated"),exact(metadata!I544,"sediment"),exact(metadata!I544,"soil"),exact(metadata!I544,"wastewater/sludge"),exact(metadata!I544,"water"))))</f>
        <v>0</v>
      </c>
      <c r="AJ544">
        <f>IF(metadata!J544="",FALSE,TRUE)</f>
        <v>0</v>
      </c>
      <c r="AK544">
        <f>OR(AND(IF(metadata!K544="",FALSE,TRUE),OR(exact(metadata!K544,"missing: not collected"),exact(metadata!K544,"missing: not provided"),exact(metadata!K544,"missing: restricted access"))),AND(IF(metadata!K544="",FALSE,ISNUMBER(VALUE(metadata!K544))),metadata!K544&gt;=-90.00,metadata!K544&lt;=90.00))</f>
        <v>0</v>
      </c>
      <c r="AL544">
        <f>OR(AND(IF(metadata!L544="",FALSE,TRUE),OR(exact(metadata!L544,"missing: not collected"),exact(metadata!L544,"missing: not provided"),exact(metadata!L544,"missing: restricted access"))),AND(IF(metadata!L544="",FALSE,ISNUMBER(VALUE(metadata!L544))),metadata!L544&gt;=-180.00,metadata!L544&lt;=180.00))</f>
        <v>0</v>
      </c>
      <c r="AM544">
        <f>IF(metadata!M544="",FALSE,TRUE)</f>
        <v>0</v>
      </c>
      <c r="AN544">
        <f>OR(AND(IF(metadata!N544="",FALSE,TRUE),OR(exact(metadata!N544,"missing: not collected"),exact(metadata!N544,"missing: not provided"),exact(metadata!N544,"missing: restricted access"))),AND(IF(metadata!N544="",FALSE,TRUE),OR(exact(metadata!N544,"TRUE"),exact(metadata!N544,"FALSE"))))</f>
        <v>0</v>
      </c>
      <c r="AO544">
        <f>IF(metadata!O544="",FALSE,TRUE)</f>
        <v>0</v>
      </c>
      <c r="AP544">
        <f>OR(AND(IF(metadata!P544="",FALSE,TRUE),OR(exact(metadata!P544,"missing: not collected"),exact(metadata!P544,"missing: not provided"))),AND(IF(metadata!P544="",FALSE,IF(ISERROR(INT(metadata!P544)),FALSE,INT(metadata!P544)=metadata!P544)),metadata!P544&gt;0))</f>
        <v>0</v>
      </c>
      <c r="AQ544">
        <f>IF(metadata!Q544="",FALSE,TRUE)</f>
        <v>0</v>
      </c>
    </row>
    <row r="545" spans="1:43">
      <c r="A545" s="5">
        <f>IF(B545=" "," ",HYPERLINK(CONCATENATE("#metadata!",ADDRESS(INDEX($W$2:$W$1001,MATCH(ROWS($U$2:U545),$U$2:$U$1001,0),0),1)),INDEX($Z$2:$Z$1001,MATCH(ROWS($U$2:U545),$U$2:$U$1001,0),0)))</f>
        <v>0</v>
      </c>
      <c r="B545" s="4">
        <f>IF(OR(INDEX($V$2:$V$1001,MATCH(ROWS($U$2:U545),$U$2:$U$1001,0),1)&gt;=100000,INDEX($AB$1005:$AQ$1005,1,MATCH(COLUMNS($AB$1006:AB1006),$AB$1006:$AQ$1006,0))&gt;=100000), " ",IF(INDEX($AB$2:$AQ$1001,MATCH(ROWS($U$2:U545),$U$2:$U$1001,0),MATCH(COLUMNS($AB$1006:AB1006),$AB$1006:$AQ$1006,0)), HYPERLINK("#",""), HYPERLINK(CONCATENATE("#metadata!", ADDRESS(INDEX($W$2:$W$1001,MATCH(ROWS($U$2:U545),$U$2:$U$1001,0),0), INDEX($AB$1004:$AQ$1004,1,MATCH(COLUMNS($AB$1006:AB1006),$AB$1006:$AQ$1006,0)))),"Fix")))</f>
        <v>0</v>
      </c>
      <c r="C545" s="4">
        <f>IF(OR(INDEX($V$2:$V$1001,MATCH(ROWS($U$2:U545),$U$2:$U$1001,0),1)&gt;=100000,INDEX($AB$1005:$AQ$1005,1,MATCH(COLUMNS($AB$1006:AC1006),$AB$1006:$AQ$1006,0))&gt;=100000), " ",IF(INDEX($AB$2:$AQ$1001,MATCH(ROWS($U$2:U545),$U$2:$U$1001,0),MATCH(COLUMNS($AB$1006:AC1006),$AB$1006:$AQ$1006,0)), HYPERLINK("#",""), HYPERLINK(CONCATENATE("#metadata!", ADDRESS(INDEX($W$2:$W$1001,MATCH(ROWS($U$2:U545),$U$2:$U$1001,0),0), INDEX($AB$1004:$AQ$1004,1,MATCH(COLUMNS($AB$1006:AC1006),$AB$1006:$AQ$1006,0)))),"Fix")))</f>
        <v>0</v>
      </c>
      <c r="D545" s="4">
        <f>IF(OR(INDEX($V$2:$V$1001,MATCH(ROWS($U$2:U545),$U$2:$U$1001,0),1)&gt;=100000,INDEX($AB$1005:$AQ$1005,1,MATCH(COLUMNS($AB$1006:AD1006),$AB$1006:$AQ$1006,0))&gt;=100000), " ",IF(INDEX($AB$2:$AQ$1001,MATCH(ROWS($U$2:U545),$U$2:$U$1001,0),MATCH(COLUMNS($AB$1006:AD1006),$AB$1006:$AQ$1006,0)), HYPERLINK("#",""), HYPERLINK(CONCATENATE("#metadata!", ADDRESS(INDEX($W$2:$W$1001,MATCH(ROWS($U$2:U545),$U$2:$U$1001,0),0), INDEX($AB$1004:$AQ$1004,1,MATCH(COLUMNS($AB$1006:AD1006),$AB$1006:$AQ$1006,0)))),"Fix")))</f>
        <v>0</v>
      </c>
      <c r="E545" s="4">
        <f>IF(OR(INDEX($V$2:$V$1001,MATCH(ROWS($U$2:U545),$U$2:$U$1001,0),1)&gt;=100000,INDEX($AB$1005:$AQ$1005,1,MATCH(COLUMNS($AB$1006:AE1006),$AB$1006:$AQ$1006,0))&gt;=100000), " ",IF(INDEX($AB$2:$AQ$1001,MATCH(ROWS($U$2:U545),$U$2:$U$1001,0),MATCH(COLUMNS($AB$1006:AE1006),$AB$1006:$AQ$1006,0)), HYPERLINK("#",""), HYPERLINK(CONCATENATE("#metadata!", ADDRESS(INDEX($W$2:$W$1001,MATCH(ROWS($U$2:U545),$U$2:$U$1001,0),0), INDEX($AB$1004:$AQ$1004,1,MATCH(COLUMNS($AB$1006:AE1006),$AB$1006:$AQ$1006,0)))),"Fix")))</f>
        <v>0</v>
      </c>
      <c r="F545" s="4">
        <f>IF(OR(INDEX($V$2:$V$1001,MATCH(ROWS($U$2:U545),$U$2:$U$1001,0),1)&gt;=100000,INDEX($AB$1005:$AQ$1005,1,MATCH(COLUMNS($AB$1006:AF1006),$AB$1006:$AQ$1006,0))&gt;=100000), " ",IF(INDEX($AB$2:$AQ$1001,MATCH(ROWS($U$2:U545),$U$2:$U$1001,0),MATCH(COLUMNS($AB$1006:AF1006),$AB$1006:$AQ$1006,0)), HYPERLINK("#",""), HYPERLINK(CONCATENATE("#metadata!", ADDRESS(INDEX($W$2:$W$1001,MATCH(ROWS($U$2:U545),$U$2:$U$1001,0),0), INDEX($AB$1004:$AQ$1004,1,MATCH(COLUMNS($AB$1006:AF1006),$AB$1006:$AQ$1006,0)))),"Fix")))</f>
        <v>0</v>
      </c>
      <c r="G545" s="4">
        <f>IF(OR(INDEX($V$2:$V$1001,MATCH(ROWS($U$2:U545),$U$2:$U$1001,0),1)&gt;=100000,INDEX($AB$1005:$AQ$1005,1,MATCH(COLUMNS($AB$1006:AG1006),$AB$1006:$AQ$1006,0))&gt;=100000), " ",IF(INDEX($AB$2:$AQ$1001,MATCH(ROWS($U$2:U545),$U$2:$U$1001,0),MATCH(COLUMNS($AB$1006:AG1006),$AB$1006:$AQ$1006,0)), HYPERLINK("#",""), HYPERLINK(CONCATENATE("#metadata!", ADDRESS(INDEX($W$2:$W$1001,MATCH(ROWS($U$2:U545),$U$2:$U$1001,0),0), INDEX($AB$1004:$AQ$1004,1,MATCH(COLUMNS($AB$1006:AG1006),$AB$1006:$AQ$1006,0)))),"Fix")))</f>
        <v>0</v>
      </c>
      <c r="H545" s="4">
        <f>IF(OR(INDEX($V$2:$V$1001,MATCH(ROWS($U$2:U545),$U$2:$U$1001,0),1)&gt;=100000,INDEX($AB$1005:$AQ$1005,1,MATCH(COLUMNS($AB$1006:AH1006),$AB$1006:$AQ$1006,0))&gt;=100000), " ",IF(INDEX($AB$2:$AQ$1001,MATCH(ROWS($U$2:U545),$U$2:$U$1001,0),MATCH(COLUMNS($AB$1006:AH1006),$AB$1006:$AQ$1006,0)), HYPERLINK("#",""), HYPERLINK(CONCATENATE("#metadata!", ADDRESS(INDEX($W$2:$W$1001,MATCH(ROWS($U$2:U545),$U$2:$U$1001,0),0), INDEX($AB$1004:$AQ$1004,1,MATCH(COLUMNS($AB$1006:AH1006),$AB$1006:$AQ$1006,0)))),"Fix")))</f>
        <v>0</v>
      </c>
      <c r="I545" s="4">
        <f>IF(OR(INDEX($V$2:$V$1001,MATCH(ROWS($U$2:U545),$U$2:$U$1001,0),1)&gt;=100000,INDEX($AB$1005:$AQ$1005,1,MATCH(COLUMNS($AB$1006:AI1006),$AB$1006:$AQ$1006,0))&gt;=100000), " ",IF(INDEX($AB$2:$AQ$1001,MATCH(ROWS($U$2:U545),$U$2:$U$1001,0),MATCH(COLUMNS($AB$1006:AI1006),$AB$1006:$AQ$1006,0)), HYPERLINK("#",""), HYPERLINK(CONCATENATE("#metadata!", ADDRESS(INDEX($W$2:$W$1001,MATCH(ROWS($U$2:U545),$U$2:$U$1001,0),0), INDEX($AB$1004:$AQ$1004,1,MATCH(COLUMNS($AB$1006:AI1006),$AB$1006:$AQ$1006,0)))),"Fix")))</f>
        <v>0</v>
      </c>
      <c r="J545" s="4">
        <f>IF(OR(INDEX($V$2:$V$1001,MATCH(ROWS($U$2:U545),$U$2:$U$1001,0),1)&gt;=100000,INDEX($AB$1005:$AQ$1005,1,MATCH(COLUMNS($AB$1006:AJ1006),$AB$1006:$AQ$1006,0))&gt;=100000), " ",IF(INDEX($AB$2:$AQ$1001,MATCH(ROWS($U$2:U545),$U$2:$U$1001,0),MATCH(COLUMNS($AB$1006:AJ1006),$AB$1006:$AQ$1006,0)), HYPERLINK("#",""), HYPERLINK(CONCATENATE("#metadata!", ADDRESS(INDEX($W$2:$W$1001,MATCH(ROWS($U$2:U545),$U$2:$U$1001,0),0), INDEX($AB$1004:$AQ$1004,1,MATCH(COLUMNS($AB$1006:AJ1006),$AB$1006:$AQ$1006,0)))),"Fix")))</f>
        <v>0</v>
      </c>
      <c r="K545" s="4">
        <f>IF(OR(INDEX($V$2:$V$1001,MATCH(ROWS($U$2:U545),$U$2:$U$1001,0),1)&gt;=100000,INDEX($AB$1005:$AQ$1005,1,MATCH(COLUMNS($AB$1006:AK1006),$AB$1006:$AQ$1006,0))&gt;=100000), " ",IF(INDEX($AB$2:$AQ$1001,MATCH(ROWS($U$2:U545),$U$2:$U$1001,0),MATCH(COLUMNS($AB$1006:AK1006),$AB$1006:$AQ$1006,0)), HYPERLINK("#",""), HYPERLINK(CONCATENATE("#metadata!", ADDRESS(INDEX($W$2:$W$1001,MATCH(ROWS($U$2:U545),$U$2:$U$1001,0),0), INDEX($AB$1004:$AQ$1004,1,MATCH(COLUMNS($AB$1006:AK1006),$AB$1006:$AQ$1006,0)))),"Fix")))</f>
        <v>0</v>
      </c>
      <c r="L545" s="4">
        <f>IF(OR(INDEX($V$2:$V$1001,MATCH(ROWS($U$2:U545),$U$2:$U$1001,0),1)&gt;=100000,INDEX($AB$1005:$AQ$1005,1,MATCH(COLUMNS($AB$1006:AL1006),$AB$1006:$AQ$1006,0))&gt;=100000), " ",IF(INDEX($AB$2:$AQ$1001,MATCH(ROWS($U$2:U545),$U$2:$U$1001,0),MATCH(COLUMNS($AB$1006:AL1006),$AB$1006:$AQ$1006,0)), HYPERLINK("#",""), HYPERLINK(CONCATENATE("#metadata!", ADDRESS(INDEX($W$2:$W$1001,MATCH(ROWS($U$2:U545),$U$2:$U$1001,0),0), INDEX($AB$1004:$AQ$1004,1,MATCH(COLUMNS($AB$1006:AL1006),$AB$1006:$AQ$1006,0)))),"Fix")))</f>
        <v>0</v>
      </c>
      <c r="M545" s="4">
        <f>IF(OR(INDEX($V$2:$V$1001,MATCH(ROWS($U$2:U545),$U$2:$U$1001,0),1)&gt;=100000,INDEX($AB$1005:$AQ$1005,1,MATCH(COLUMNS($AB$1006:AM1006),$AB$1006:$AQ$1006,0))&gt;=100000), " ",IF(INDEX($AB$2:$AQ$1001,MATCH(ROWS($U$2:U545),$U$2:$U$1001,0),MATCH(COLUMNS($AB$1006:AM1006),$AB$1006:$AQ$1006,0)), HYPERLINK("#",""), HYPERLINK(CONCATENATE("#metadata!", ADDRESS(INDEX($W$2:$W$1001,MATCH(ROWS($U$2:U545),$U$2:$U$1001,0),0), INDEX($AB$1004:$AQ$1004,1,MATCH(COLUMNS($AB$1006:AM1006),$AB$1006:$AQ$1006,0)))),"Fix")))</f>
        <v>0</v>
      </c>
      <c r="N545" s="4">
        <f>IF(OR(INDEX($V$2:$V$1001,MATCH(ROWS($U$2:U545),$U$2:$U$1001,0),1)&gt;=100000,INDEX($AB$1005:$AQ$1005,1,MATCH(COLUMNS($AB$1006:AN1006),$AB$1006:$AQ$1006,0))&gt;=100000), " ",IF(INDEX($AB$2:$AQ$1001,MATCH(ROWS($U$2:U545),$U$2:$U$1001,0),MATCH(COLUMNS($AB$1006:AN1006),$AB$1006:$AQ$1006,0)), HYPERLINK("#",""), HYPERLINK(CONCATENATE("#metadata!", ADDRESS(INDEX($W$2:$W$1001,MATCH(ROWS($U$2:U545),$U$2:$U$1001,0),0), INDEX($AB$1004:$AQ$1004,1,MATCH(COLUMNS($AB$1006:AN1006),$AB$1006:$AQ$1006,0)))),"Fix")))</f>
        <v>0</v>
      </c>
      <c r="O545" s="4">
        <f>IF(OR(INDEX($V$2:$V$1001,MATCH(ROWS($U$2:U545),$U$2:$U$1001,0),1)&gt;=100000,INDEX($AB$1005:$AQ$1005,1,MATCH(COLUMNS($AB$1006:AO1006),$AB$1006:$AQ$1006,0))&gt;=100000), " ",IF(INDEX($AB$2:$AQ$1001,MATCH(ROWS($U$2:U545),$U$2:$U$1001,0),MATCH(COLUMNS($AB$1006:AO1006),$AB$1006:$AQ$1006,0)), HYPERLINK("#",""), HYPERLINK(CONCATENATE("#metadata!", ADDRESS(INDEX($W$2:$W$1001,MATCH(ROWS($U$2:U545),$U$2:$U$1001,0),0), INDEX($AB$1004:$AQ$1004,1,MATCH(COLUMNS($AB$1006:AO1006),$AB$1006:$AQ$1006,0)))),"Fix")))</f>
        <v>0</v>
      </c>
      <c r="P545" s="4">
        <f>IF(OR(INDEX($V$2:$V$1001,MATCH(ROWS($U$2:U545),$U$2:$U$1001,0),1)&gt;=100000,INDEX($AB$1005:$AQ$1005,1,MATCH(COLUMNS($AB$1006:AP1006),$AB$1006:$AQ$1006,0))&gt;=100000), " ",IF(INDEX($AB$2:$AQ$1001,MATCH(ROWS($U$2:U545),$U$2:$U$1001,0),MATCH(COLUMNS($AB$1006:AP1006),$AB$1006:$AQ$1006,0)), HYPERLINK("#",""), HYPERLINK(CONCATENATE("#metadata!", ADDRESS(INDEX($W$2:$W$1001,MATCH(ROWS($U$2:U545),$U$2:$U$1001,0),0), INDEX($AB$1004:$AQ$1004,1,MATCH(COLUMNS($AB$1006:AP1006),$AB$1006:$AQ$1006,0)))),"Fix")))</f>
        <v>0</v>
      </c>
      <c r="Q545" s="4">
        <f>IF(OR(INDEX($V$2:$V$1001,MATCH(ROWS($U$2:U545),$U$2:$U$1001,0),1)&gt;=100000,INDEX($AB$1005:$AQ$1005,1,MATCH(COLUMNS($AB$1006:AQ1006),$AB$1006:$AQ$1006,0))&gt;=100000), " ",IF(INDEX($AB$2:$AQ$1001,MATCH(ROWS($U$2:U545),$U$2:$U$1001,0),MATCH(COLUMNS($AB$1006:AQ1006),$AB$1006:$AQ$1006,0)), HYPERLINK("#",""), HYPERLINK(CONCATENATE("#metadata!", ADDRESS(INDEX($W$2:$W$1001,MATCH(ROWS($U$2:U545),$U$2:$U$1001,0),0), INDEX($AB$1004:$AQ$1004,1,MATCH(COLUMNS($AB$1006:AQ1006),$AB$1006:$AQ$1006,0)))),"Fix")))</f>
        <v>0</v>
      </c>
      <c r="U545">
        <v>0</v>
      </c>
      <c r="V545">
        <v>0</v>
      </c>
      <c r="W545">
        <v>0</v>
      </c>
      <c r="X545">
        <f>IF(Y545,TRUE,AND(AB545:AQ545))</f>
        <v>0</v>
      </c>
      <c r="Y545">
        <f>COUNTBLANK(metadata!B545:Q545)=COLUMNS(metadata!B545:Q545)</f>
        <v>0</v>
      </c>
      <c r="Z545">
        <v>0</v>
      </c>
      <c r="AB545">
        <f>AND(IF(metadata!B545="",FALSE,TRUE),COUNTIF(metadata!B:B, metadata!B545) = 1,NOT(ISERROR(SUMPRODUCT(SEARCH(MID(metadata!B545,ROW(INDIRECT("1:"&amp;LEN(metadata!B545))), 1),"0123456789abcdefghijklmnopqrstuvwxyzABCDEFGHIJKLMNOPQRSTUVWXYZ.")))))</f>
        <v>0</v>
      </c>
      <c r="AC545">
        <f>OR(AND(IF(metadata!C545="",FALSE,TRUE),OR(exact(metadata!C545,"missing: not collected"),exact(metadata!C545,"missing: not provided"),exact(metadata!C545,"missing: restricted access"))),AND(IF(metadata!C545="",FALSE,TRUE),AND(AND(IFERROR(INT(LEFT(metadata!C545,4))&gt;1900,FALSE),IFERROR(INT(LEFT(metadata!C545,4))&lt;=YEAR(NOW()),FALSE)), OR(MID(metadata!C545,5,1)="", AND(AND(MID(metadata!C545,5,1)="-",IFERROR(INT(MID(metadata!C545,6,1))&gt;=0,FALSE),IFERROR(INT(MID(metadata!C545,6,1))&lt;=1,FALSE),NOT(MID(metadata!C545,7,1)=""),IFERROR(INT(MID(metadata!C545,6,2))&gt;=1,FALSE),IFERROR(INT(MID(metadata!C545,6,2))&lt;=12,FALSE)), OR(MID(metadata!C545,8,1)="", AND(AND(MID(metadata!C545,8,1)="-",IFERROR(INT(MID(metadata!C545,9,1))&gt;=0,FALSE),IFERROR(INT(MID(metadata!C545,9,1))&lt;=3,FALSE),NOT(MID(metadata!C545,10,1)=""),IFERROR(INT(MID(metadata!C545,9,2))&gt;=1,FALSE),IFERROR(INT(MID(metadata!C545,9,2))&lt;=31,FALSE)), OR(MID(metadata!C545,11,1)="", AND(AND(MID(metadata!C545,11,1)=" ",IFERROR(INT(MID(metadata!C545,12,1))&gt;=0,FALSE),IFERROR(INT(MID(metadata!C545,12,1))&lt;=2,FALSE),NOT(MID(metadata!C545,13,1)=""),IFERROR(INT(MID(metadata!C545,12,2))&gt;=0,FALSE),IFERROR(INT(MID(metadata!C545,12,2))&lt;=23,FALSE)), OR(MID(metadata!C545,14,1)="", AND(AND(MID(metadata!C545,14,1)=":",IFERROR(INT(MID(metadata!C545,15,1))&gt;=0,FALSE),IFERROR(INT(MID(metadata!C545,15,1))&lt;=5,FALSE),NOT(MID(metadata!C545,16,1)=""),IFERROR(INT(MID(metadata!C545,15,2))&gt;=0,FALSE),IFERROR(INT(MID(metadata!C545,15,2))&lt;=59,FALSE)), OR(MID(metadata!C545,17,1)="", AND(AND(MID(metadata!C545,17,1)=":",IFERROR(INT(MID(metadata!C545,18,1))&gt;=0,FALSE),IFERROR(INT(MID(metadata!C545,18,1))&lt;=5,FALSE),NOT(MID(metadata!C545,19,1)=""),IFERROR(INT(MID(metadata!C545,18,2))&gt;=0,FALSE),IFERROR(INT(MID(metadata!C545,18,2))&lt;=59,FALSE)), LEN(metadata!C545)&lt;=19)))))))))))))</f>
        <v>0</v>
      </c>
      <c r="AD545">
        <f>IF(metadata!D545="",FALSE,TRUE)</f>
        <v>0</v>
      </c>
      <c r="AE545">
        <f>OR(AND(IF(metadata!E545="",FALSE,TRUE),OR(exact(metadata!E545,"missing: not collected"),exact(metadata!E545,"missing: not provided"))),AND(IF(metadata!E545="",FALSE,TRUE),OR(exact(metadata!E545,"TRUE"),exact(metadata!E545,"FALSE"))))</f>
        <v>0</v>
      </c>
      <c r="AF545">
        <f>IF(metadata!F545="",FALSE,TRUE)</f>
        <v>0</v>
      </c>
      <c r="AG545">
        <f>IF(metadata!G545="",FALSE,TRUE)</f>
        <v>0</v>
      </c>
      <c r="AH545">
        <f>IF(metadata!H545="",FALSE,TRUE)</f>
        <v>0</v>
      </c>
      <c r="AI545">
        <f>OR(AND(IF(metadata!I545="",FALSE,TRUE),OR(exact(metadata!I545,"missing: not collected"),exact(metadata!I545,"missing: not provided"),exact(metadata!I545,"missing: restricted access"))),AND(IF(metadata!I545="",FALSE,TRUE),OR(exact(metadata!I545,"air"),exact(metadata!I545,"built environment"),exact(metadata!I545,"host-associated"),exact(metadata!I545,"human-associated"),exact(metadata!I545,"human-skin"),exact(metadata!I545,"human-oral"),exact(metadata!I545,"human-gut"),exact(metadata!I545,"human-vaginal"),exact(metadata!I545,"microbial mat/biofilm"),exact(metadata!I545,"misc environment"),exact(metadata!I545,"plant-associated"),exact(metadata!I545,"sediment"),exact(metadata!I545,"soil"),exact(metadata!I545,"wastewater/sludge"),exact(metadata!I545,"water"))))</f>
        <v>0</v>
      </c>
      <c r="AJ545">
        <f>IF(metadata!J545="",FALSE,TRUE)</f>
        <v>0</v>
      </c>
      <c r="AK545">
        <f>OR(AND(IF(metadata!K545="",FALSE,TRUE),OR(exact(metadata!K545,"missing: not collected"),exact(metadata!K545,"missing: not provided"),exact(metadata!K545,"missing: restricted access"))),AND(IF(metadata!K545="",FALSE,ISNUMBER(VALUE(metadata!K545))),metadata!K545&gt;=-90.00,metadata!K545&lt;=90.00))</f>
        <v>0</v>
      </c>
      <c r="AL545">
        <f>OR(AND(IF(metadata!L545="",FALSE,TRUE),OR(exact(metadata!L545,"missing: not collected"),exact(metadata!L545,"missing: not provided"),exact(metadata!L545,"missing: restricted access"))),AND(IF(metadata!L545="",FALSE,ISNUMBER(VALUE(metadata!L545))),metadata!L545&gt;=-180.00,metadata!L545&lt;=180.00))</f>
        <v>0</v>
      </c>
      <c r="AM545">
        <f>IF(metadata!M545="",FALSE,TRUE)</f>
        <v>0</v>
      </c>
      <c r="AN545">
        <f>OR(AND(IF(metadata!N545="",FALSE,TRUE),OR(exact(metadata!N545,"missing: not collected"),exact(metadata!N545,"missing: not provided"),exact(metadata!N545,"missing: restricted access"))),AND(IF(metadata!N545="",FALSE,TRUE),OR(exact(metadata!N545,"TRUE"),exact(metadata!N545,"FALSE"))))</f>
        <v>0</v>
      </c>
      <c r="AO545">
        <f>IF(metadata!O545="",FALSE,TRUE)</f>
        <v>0</v>
      </c>
      <c r="AP545">
        <f>OR(AND(IF(metadata!P545="",FALSE,TRUE),OR(exact(metadata!P545,"missing: not collected"),exact(metadata!P545,"missing: not provided"))),AND(IF(metadata!P545="",FALSE,IF(ISERROR(INT(metadata!P545)),FALSE,INT(metadata!P545)=metadata!P545)),metadata!P545&gt;0))</f>
        <v>0</v>
      </c>
      <c r="AQ545">
        <f>IF(metadata!Q545="",FALSE,TRUE)</f>
        <v>0</v>
      </c>
    </row>
    <row r="546" spans="1:43">
      <c r="A546" s="5">
        <f>IF(B546=" "," ",HYPERLINK(CONCATENATE("#metadata!",ADDRESS(INDEX($W$2:$W$1001,MATCH(ROWS($U$2:U546),$U$2:$U$1001,0),0),1)),INDEX($Z$2:$Z$1001,MATCH(ROWS($U$2:U546),$U$2:$U$1001,0),0)))</f>
        <v>0</v>
      </c>
      <c r="B546" s="4">
        <f>IF(OR(INDEX($V$2:$V$1001,MATCH(ROWS($U$2:U546),$U$2:$U$1001,0),1)&gt;=100000,INDEX($AB$1005:$AQ$1005,1,MATCH(COLUMNS($AB$1006:AB1006),$AB$1006:$AQ$1006,0))&gt;=100000), " ",IF(INDEX($AB$2:$AQ$1001,MATCH(ROWS($U$2:U546),$U$2:$U$1001,0),MATCH(COLUMNS($AB$1006:AB1006),$AB$1006:$AQ$1006,0)), HYPERLINK("#",""), HYPERLINK(CONCATENATE("#metadata!", ADDRESS(INDEX($W$2:$W$1001,MATCH(ROWS($U$2:U546),$U$2:$U$1001,0),0), INDEX($AB$1004:$AQ$1004,1,MATCH(COLUMNS($AB$1006:AB1006),$AB$1006:$AQ$1006,0)))),"Fix")))</f>
        <v>0</v>
      </c>
      <c r="C546" s="4">
        <f>IF(OR(INDEX($V$2:$V$1001,MATCH(ROWS($U$2:U546),$U$2:$U$1001,0),1)&gt;=100000,INDEX($AB$1005:$AQ$1005,1,MATCH(COLUMNS($AB$1006:AC1006),$AB$1006:$AQ$1006,0))&gt;=100000), " ",IF(INDEX($AB$2:$AQ$1001,MATCH(ROWS($U$2:U546),$U$2:$U$1001,0),MATCH(COLUMNS($AB$1006:AC1006),$AB$1006:$AQ$1006,0)), HYPERLINK("#",""), HYPERLINK(CONCATENATE("#metadata!", ADDRESS(INDEX($W$2:$W$1001,MATCH(ROWS($U$2:U546),$U$2:$U$1001,0),0), INDEX($AB$1004:$AQ$1004,1,MATCH(COLUMNS($AB$1006:AC1006),$AB$1006:$AQ$1006,0)))),"Fix")))</f>
        <v>0</v>
      </c>
      <c r="D546" s="4">
        <f>IF(OR(INDEX($V$2:$V$1001,MATCH(ROWS($U$2:U546),$U$2:$U$1001,0),1)&gt;=100000,INDEX($AB$1005:$AQ$1005,1,MATCH(COLUMNS($AB$1006:AD1006),$AB$1006:$AQ$1006,0))&gt;=100000), " ",IF(INDEX($AB$2:$AQ$1001,MATCH(ROWS($U$2:U546),$U$2:$U$1001,0),MATCH(COLUMNS($AB$1006:AD1006),$AB$1006:$AQ$1006,0)), HYPERLINK("#",""), HYPERLINK(CONCATENATE("#metadata!", ADDRESS(INDEX($W$2:$W$1001,MATCH(ROWS($U$2:U546),$U$2:$U$1001,0),0), INDEX($AB$1004:$AQ$1004,1,MATCH(COLUMNS($AB$1006:AD1006),$AB$1006:$AQ$1006,0)))),"Fix")))</f>
        <v>0</v>
      </c>
      <c r="E546" s="4">
        <f>IF(OR(INDEX($V$2:$V$1001,MATCH(ROWS($U$2:U546),$U$2:$U$1001,0),1)&gt;=100000,INDEX($AB$1005:$AQ$1005,1,MATCH(COLUMNS($AB$1006:AE1006),$AB$1006:$AQ$1006,0))&gt;=100000), " ",IF(INDEX($AB$2:$AQ$1001,MATCH(ROWS($U$2:U546),$U$2:$U$1001,0),MATCH(COLUMNS($AB$1006:AE1006),$AB$1006:$AQ$1006,0)), HYPERLINK("#",""), HYPERLINK(CONCATENATE("#metadata!", ADDRESS(INDEX($W$2:$W$1001,MATCH(ROWS($U$2:U546),$U$2:$U$1001,0),0), INDEX($AB$1004:$AQ$1004,1,MATCH(COLUMNS($AB$1006:AE1006),$AB$1006:$AQ$1006,0)))),"Fix")))</f>
        <v>0</v>
      </c>
      <c r="F546" s="4">
        <f>IF(OR(INDEX($V$2:$V$1001,MATCH(ROWS($U$2:U546),$U$2:$U$1001,0),1)&gt;=100000,INDEX($AB$1005:$AQ$1005,1,MATCH(COLUMNS($AB$1006:AF1006),$AB$1006:$AQ$1006,0))&gt;=100000), " ",IF(INDEX($AB$2:$AQ$1001,MATCH(ROWS($U$2:U546),$U$2:$U$1001,0),MATCH(COLUMNS($AB$1006:AF1006),$AB$1006:$AQ$1006,0)), HYPERLINK("#",""), HYPERLINK(CONCATENATE("#metadata!", ADDRESS(INDEX($W$2:$W$1001,MATCH(ROWS($U$2:U546),$U$2:$U$1001,0),0), INDEX($AB$1004:$AQ$1004,1,MATCH(COLUMNS($AB$1006:AF1006),$AB$1006:$AQ$1006,0)))),"Fix")))</f>
        <v>0</v>
      </c>
      <c r="G546" s="4">
        <f>IF(OR(INDEX($V$2:$V$1001,MATCH(ROWS($U$2:U546),$U$2:$U$1001,0),1)&gt;=100000,INDEX($AB$1005:$AQ$1005,1,MATCH(COLUMNS($AB$1006:AG1006),$AB$1006:$AQ$1006,0))&gt;=100000), " ",IF(INDEX($AB$2:$AQ$1001,MATCH(ROWS($U$2:U546),$U$2:$U$1001,0),MATCH(COLUMNS($AB$1006:AG1006),$AB$1006:$AQ$1006,0)), HYPERLINK("#",""), HYPERLINK(CONCATENATE("#metadata!", ADDRESS(INDEX($W$2:$W$1001,MATCH(ROWS($U$2:U546),$U$2:$U$1001,0),0), INDEX($AB$1004:$AQ$1004,1,MATCH(COLUMNS($AB$1006:AG1006),$AB$1006:$AQ$1006,0)))),"Fix")))</f>
        <v>0</v>
      </c>
      <c r="H546" s="4">
        <f>IF(OR(INDEX($V$2:$V$1001,MATCH(ROWS($U$2:U546),$U$2:$U$1001,0),1)&gt;=100000,INDEX($AB$1005:$AQ$1005,1,MATCH(COLUMNS($AB$1006:AH1006),$AB$1006:$AQ$1006,0))&gt;=100000), " ",IF(INDEX($AB$2:$AQ$1001,MATCH(ROWS($U$2:U546),$U$2:$U$1001,0),MATCH(COLUMNS($AB$1006:AH1006),$AB$1006:$AQ$1006,0)), HYPERLINK("#",""), HYPERLINK(CONCATENATE("#metadata!", ADDRESS(INDEX($W$2:$W$1001,MATCH(ROWS($U$2:U546),$U$2:$U$1001,0),0), INDEX($AB$1004:$AQ$1004,1,MATCH(COLUMNS($AB$1006:AH1006),$AB$1006:$AQ$1006,0)))),"Fix")))</f>
        <v>0</v>
      </c>
      <c r="I546" s="4">
        <f>IF(OR(INDEX($V$2:$V$1001,MATCH(ROWS($U$2:U546),$U$2:$U$1001,0),1)&gt;=100000,INDEX($AB$1005:$AQ$1005,1,MATCH(COLUMNS($AB$1006:AI1006),$AB$1006:$AQ$1006,0))&gt;=100000), " ",IF(INDEX($AB$2:$AQ$1001,MATCH(ROWS($U$2:U546),$U$2:$U$1001,0),MATCH(COLUMNS($AB$1006:AI1006),$AB$1006:$AQ$1006,0)), HYPERLINK("#",""), HYPERLINK(CONCATENATE("#metadata!", ADDRESS(INDEX($W$2:$W$1001,MATCH(ROWS($U$2:U546),$U$2:$U$1001,0),0), INDEX($AB$1004:$AQ$1004,1,MATCH(COLUMNS($AB$1006:AI1006),$AB$1006:$AQ$1006,0)))),"Fix")))</f>
        <v>0</v>
      </c>
      <c r="J546" s="4">
        <f>IF(OR(INDEX($V$2:$V$1001,MATCH(ROWS($U$2:U546),$U$2:$U$1001,0),1)&gt;=100000,INDEX($AB$1005:$AQ$1005,1,MATCH(COLUMNS($AB$1006:AJ1006),$AB$1006:$AQ$1006,0))&gt;=100000), " ",IF(INDEX($AB$2:$AQ$1001,MATCH(ROWS($U$2:U546),$U$2:$U$1001,0),MATCH(COLUMNS($AB$1006:AJ1006),$AB$1006:$AQ$1006,0)), HYPERLINK("#",""), HYPERLINK(CONCATENATE("#metadata!", ADDRESS(INDEX($W$2:$W$1001,MATCH(ROWS($U$2:U546),$U$2:$U$1001,0),0), INDEX($AB$1004:$AQ$1004,1,MATCH(COLUMNS($AB$1006:AJ1006),$AB$1006:$AQ$1006,0)))),"Fix")))</f>
        <v>0</v>
      </c>
      <c r="K546" s="4">
        <f>IF(OR(INDEX($V$2:$V$1001,MATCH(ROWS($U$2:U546),$U$2:$U$1001,0),1)&gt;=100000,INDEX($AB$1005:$AQ$1005,1,MATCH(COLUMNS($AB$1006:AK1006),$AB$1006:$AQ$1006,0))&gt;=100000), " ",IF(INDEX($AB$2:$AQ$1001,MATCH(ROWS($U$2:U546),$U$2:$U$1001,0),MATCH(COLUMNS($AB$1006:AK1006),$AB$1006:$AQ$1006,0)), HYPERLINK("#",""), HYPERLINK(CONCATENATE("#metadata!", ADDRESS(INDEX($W$2:$W$1001,MATCH(ROWS($U$2:U546),$U$2:$U$1001,0),0), INDEX($AB$1004:$AQ$1004,1,MATCH(COLUMNS($AB$1006:AK1006),$AB$1006:$AQ$1006,0)))),"Fix")))</f>
        <v>0</v>
      </c>
      <c r="L546" s="4">
        <f>IF(OR(INDEX($V$2:$V$1001,MATCH(ROWS($U$2:U546),$U$2:$U$1001,0),1)&gt;=100000,INDEX($AB$1005:$AQ$1005,1,MATCH(COLUMNS($AB$1006:AL1006),$AB$1006:$AQ$1006,0))&gt;=100000), " ",IF(INDEX($AB$2:$AQ$1001,MATCH(ROWS($U$2:U546),$U$2:$U$1001,0),MATCH(COLUMNS($AB$1006:AL1006),$AB$1006:$AQ$1006,0)), HYPERLINK("#",""), HYPERLINK(CONCATENATE("#metadata!", ADDRESS(INDEX($W$2:$W$1001,MATCH(ROWS($U$2:U546),$U$2:$U$1001,0),0), INDEX($AB$1004:$AQ$1004,1,MATCH(COLUMNS($AB$1006:AL1006),$AB$1006:$AQ$1006,0)))),"Fix")))</f>
        <v>0</v>
      </c>
      <c r="M546" s="4">
        <f>IF(OR(INDEX($V$2:$V$1001,MATCH(ROWS($U$2:U546),$U$2:$U$1001,0),1)&gt;=100000,INDEX($AB$1005:$AQ$1005,1,MATCH(COLUMNS($AB$1006:AM1006),$AB$1006:$AQ$1006,0))&gt;=100000), " ",IF(INDEX($AB$2:$AQ$1001,MATCH(ROWS($U$2:U546),$U$2:$U$1001,0),MATCH(COLUMNS($AB$1006:AM1006),$AB$1006:$AQ$1006,0)), HYPERLINK("#",""), HYPERLINK(CONCATENATE("#metadata!", ADDRESS(INDEX($W$2:$W$1001,MATCH(ROWS($U$2:U546),$U$2:$U$1001,0),0), INDEX($AB$1004:$AQ$1004,1,MATCH(COLUMNS($AB$1006:AM1006),$AB$1006:$AQ$1006,0)))),"Fix")))</f>
        <v>0</v>
      </c>
      <c r="N546" s="4">
        <f>IF(OR(INDEX($V$2:$V$1001,MATCH(ROWS($U$2:U546),$U$2:$U$1001,0),1)&gt;=100000,INDEX($AB$1005:$AQ$1005,1,MATCH(COLUMNS($AB$1006:AN1006),$AB$1006:$AQ$1006,0))&gt;=100000), " ",IF(INDEX($AB$2:$AQ$1001,MATCH(ROWS($U$2:U546),$U$2:$U$1001,0),MATCH(COLUMNS($AB$1006:AN1006),$AB$1006:$AQ$1006,0)), HYPERLINK("#",""), HYPERLINK(CONCATENATE("#metadata!", ADDRESS(INDEX($W$2:$W$1001,MATCH(ROWS($U$2:U546),$U$2:$U$1001,0),0), INDEX($AB$1004:$AQ$1004,1,MATCH(COLUMNS($AB$1006:AN1006),$AB$1006:$AQ$1006,0)))),"Fix")))</f>
        <v>0</v>
      </c>
      <c r="O546" s="4">
        <f>IF(OR(INDEX($V$2:$V$1001,MATCH(ROWS($U$2:U546),$U$2:$U$1001,0),1)&gt;=100000,INDEX($AB$1005:$AQ$1005,1,MATCH(COLUMNS($AB$1006:AO1006),$AB$1006:$AQ$1006,0))&gt;=100000), " ",IF(INDEX($AB$2:$AQ$1001,MATCH(ROWS($U$2:U546),$U$2:$U$1001,0),MATCH(COLUMNS($AB$1006:AO1006),$AB$1006:$AQ$1006,0)), HYPERLINK("#",""), HYPERLINK(CONCATENATE("#metadata!", ADDRESS(INDEX($W$2:$W$1001,MATCH(ROWS($U$2:U546),$U$2:$U$1001,0),0), INDEX($AB$1004:$AQ$1004,1,MATCH(COLUMNS($AB$1006:AO1006),$AB$1006:$AQ$1006,0)))),"Fix")))</f>
        <v>0</v>
      </c>
      <c r="P546" s="4">
        <f>IF(OR(INDEX($V$2:$V$1001,MATCH(ROWS($U$2:U546),$U$2:$U$1001,0),1)&gt;=100000,INDEX($AB$1005:$AQ$1005,1,MATCH(COLUMNS($AB$1006:AP1006),$AB$1006:$AQ$1006,0))&gt;=100000), " ",IF(INDEX($AB$2:$AQ$1001,MATCH(ROWS($U$2:U546),$U$2:$U$1001,0),MATCH(COLUMNS($AB$1006:AP1006),$AB$1006:$AQ$1006,0)), HYPERLINK("#",""), HYPERLINK(CONCATENATE("#metadata!", ADDRESS(INDEX($W$2:$W$1001,MATCH(ROWS($U$2:U546),$U$2:$U$1001,0),0), INDEX($AB$1004:$AQ$1004,1,MATCH(COLUMNS($AB$1006:AP1006),$AB$1006:$AQ$1006,0)))),"Fix")))</f>
        <v>0</v>
      </c>
      <c r="Q546" s="4">
        <f>IF(OR(INDEX($V$2:$V$1001,MATCH(ROWS($U$2:U546),$U$2:$U$1001,0),1)&gt;=100000,INDEX($AB$1005:$AQ$1005,1,MATCH(COLUMNS($AB$1006:AQ1006),$AB$1006:$AQ$1006,0))&gt;=100000), " ",IF(INDEX($AB$2:$AQ$1001,MATCH(ROWS($U$2:U546),$U$2:$U$1001,0),MATCH(COLUMNS($AB$1006:AQ1006),$AB$1006:$AQ$1006,0)), HYPERLINK("#",""), HYPERLINK(CONCATENATE("#metadata!", ADDRESS(INDEX($W$2:$W$1001,MATCH(ROWS($U$2:U546),$U$2:$U$1001,0),0), INDEX($AB$1004:$AQ$1004,1,MATCH(COLUMNS($AB$1006:AQ1006),$AB$1006:$AQ$1006,0)))),"Fix")))</f>
        <v>0</v>
      </c>
      <c r="U546">
        <v>0</v>
      </c>
      <c r="V546">
        <v>0</v>
      </c>
      <c r="W546">
        <v>0</v>
      </c>
      <c r="X546">
        <f>IF(Y546,TRUE,AND(AB546:AQ546))</f>
        <v>0</v>
      </c>
      <c r="Y546">
        <f>COUNTBLANK(metadata!B546:Q546)=COLUMNS(metadata!B546:Q546)</f>
        <v>0</v>
      </c>
      <c r="Z546">
        <v>0</v>
      </c>
      <c r="AB546">
        <f>AND(IF(metadata!B546="",FALSE,TRUE),COUNTIF(metadata!B:B, metadata!B546) = 1,NOT(ISERROR(SUMPRODUCT(SEARCH(MID(metadata!B546,ROW(INDIRECT("1:"&amp;LEN(metadata!B546))), 1),"0123456789abcdefghijklmnopqrstuvwxyzABCDEFGHIJKLMNOPQRSTUVWXYZ.")))))</f>
        <v>0</v>
      </c>
      <c r="AC546">
        <f>OR(AND(IF(metadata!C546="",FALSE,TRUE),OR(exact(metadata!C546,"missing: not collected"),exact(metadata!C546,"missing: not provided"),exact(metadata!C546,"missing: restricted access"))),AND(IF(metadata!C546="",FALSE,TRUE),AND(AND(IFERROR(INT(LEFT(metadata!C546,4))&gt;1900,FALSE),IFERROR(INT(LEFT(metadata!C546,4))&lt;=YEAR(NOW()),FALSE)), OR(MID(metadata!C546,5,1)="", AND(AND(MID(metadata!C546,5,1)="-",IFERROR(INT(MID(metadata!C546,6,1))&gt;=0,FALSE),IFERROR(INT(MID(metadata!C546,6,1))&lt;=1,FALSE),NOT(MID(metadata!C546,7,1)=""),IFERROR(INT(MID(metadata!C546,6,2))&gt;=1,FALSE),IFERROR(INT(MID(metadata!C546,6,2))&lt;=12,FALSE)), OR(MID(metadata!C546,8,1)="", AND(AND(MID(metadata!C546,8,1)="-",IFERROR(INT(MID(metadata!C546,9,1))&gt;=0,FALSE),IFERROR(INT(MID(metadata!C546,9,1))&lt;=3,FALSE),NOT(MID(metadata!C546,10,1)=""),IFERROR(INT(MID(metadata!C546,9,2))&gt;=1,FALSE),IFERROR(INT(MID(metadata!C546,9,2))&lt;=31,FALSE)), OR(MID(metadata!C546,11,1)="", AND(AND(MID(metadata!C546,11,1)=" ",IFERROR(INT(MID(metadata!C546,12,1))&gt;=0,FALSE),IFERROR(INT(MID(metadata!C546,12,1))&lt;=2,FALSE),NOT(MID(metadata!C546,13,1)=""),IFERROR(INT(MID(metadata!C546,12,2))&gt;=0,FALSE),IFERROR(INT(MID(metadata!C546,12,2))&lt;=23,FALSE)), OR(MID(metadata!C546,14,1)="", AND(AND(MID(metadata!C546,14,1)=":",IFERROR(INT(MID(metadata!C546,15,1))&gt;=0,FALSE),IFERROR(INT(MID(metadata!C546,15,1))&lt;=5,FALSE),NOT(MID(metadata!C546,16,1)=""),IFERROR(INT(MID(metadata!C546,15,2))&gt;=0,FALSE),IFERROR(INT(MID(metadata!C546,15,2))&lt;=59,FALSE)), OR(MID(metadata!C546,17,1)="", AND(AND(MID(metadata!C546,17,1)=":",IFERROR(INT(MID(metadata!C546,18,1))&gt;=0,FALSE),IFERROR(INT(MID(metadata!C546,18,1))&lt;=5,FALSE),NOT(MID(metadata!C546,19,1)=""),IFERROR(INT(MID(metadata!C546,18,2))&gt;=0,FALSE),IFERROR(INT(MID(metadata!C546,18,2))&lt;=59,FALSE)), LEN(metadata!C546)&lt;=19)))))))))))))</f>
        <v>0</v>
      </c>
      <c r="AD546">
        <f>IF(metadata!D546="",FALSE,TRUE)</f>
        <v>0</v>
      </c>
      <c r="AE546">
        <f>OR(AND(IF(metadata!E546="",FALSE,TRUE),OR(exact(metadata!E546,"missing: not collected"),exact(metadata!E546,"missing: not provided"))),AND(IF(metadata!E546="",FALSE,TRUE),OR(exact(metadata!E546,"TRUE"),exact(metadata!E546,"FALSE"))))</f>
        <v>0</v>
      </c>
      <c r="AF546">
        <f>IF(metadata!F546="",FALSE,TRUE)</f>
        <v>0</v>
      </c>
      <c r="AG546">
        <f>IF(metadata!G546="",FALSE,TRUE)</f>
        <v>0</v>
      </c>
      <c r="AH546">
        <f>IF(metadata!H546="",FALSE,TRUE)</f>
        <v>0</v>
      </c>
      <c r="AI546">
        <f>OR(AND(IF(metadata!I546="",FALSE,TRUE),OR(exact(metadata!I546,"missing: not collected"),exact(metadata!I546,"missing: not provided"),exact(metadata!I546,"missing: restricted access"))),AND(IF(metadata!I546="",FALSE,TRUE),OR(exact(metadata!I546,"air"),exact(metadata!I546,"built environment"),exact(metadata!I546,"host-associated"),exact(metadata!I546,"human-associated"),exact(metadata!I546,"human-skin"),exact(metadata!I546,"human-oral"),exact(metadata!I546,"human-gut"),exact(metadata!I546,"human-vaginal"),exact(metadata!I546,"microbial mat/biofilm"),exact(metadata!I546,"misc environment"),exact(metadata!I546,"plant-associated"),exact(metadata!I546,"sediment"),exact(metadata!I546,"soil"),exact(metadata!I546,"wastewater/sludge"),exact(metadata!I546,"water"))))</f>
        <v>0</v>
      </c>
      <c r="AJ546">
        <f>IF(metadata!J546="",FALSE,TRUE)</f>
        <v>0</v>
      </c>
      <c r="AK546">
        <f>OR(AND(IF(metadata!K546="",FALSE,TRUE),OR(exact(metadata!K546,"missing: not collected"),exact(metadata!K546,"missing: not provided"),exact(metadata!K546,"missing: restricted access"))),AND(IF(metadata!K546="",FALSE,ISNUMBER(VALUE(metadata!K546))),metadata!K546&gt;=-90.00,metadata!K546&lt;=90.00))</f>
        <v>0</v>
      </c>
      <c r="AL546">
        <f>OR(AND(IF(metadata!L546="",FALSE,TRUE),OR(exact(metadata!L546,"missing: not collected"),exact(metadata!L546,"missing: not provided"),exact(metadata!L546,"missing: restricted access"))),AND(IF(metadata!L546="",FALSE,ISNUMBER(VALUE(metadata!L546))),metadata!L546&gt;=-180.00,metadata!L546&lt;=180.00))</f>
        <v>0</v>
      </c>
      <c r="AM546">
        <f>IF(metadata!M546="",FALSE,TRUE)</f>
        <v>0</v>
      </c>
      <c r="AN546">
        <f>OR(AND(IF(metadata!N546="",FALSE,TRUE),OR(exact(metadata!N546,"missing: not collected"),exact(metadata!N546,"missing: not provided"),exact(metadata!N546,"missing: restricted access"))),AND(IF(metadata!N546="",FALSE,TRUE),OR(exact(metadata!N546,"TRUE"),exact(metadata!N546,"FALSE"))))</f>
        <v>0</v>
      </c>
      <c r="AO546">
        <f>IF(metadata!O546="",FALSE,TRUE)</f>
        <v>0</v>
      </c>
      <c r="AP546">
        <f>OR(AND(IF(metadata!P546="",FALSE,TRUE),OR(exact(metadata!P546,"missing: not collected"),exact(metadata!P546,"missing: not provided"))),AND(IF(metadata!P546="",FALSE,IF(ISERROR(INT(metadata!P546)),FALSE,INT(metadata!P546)=metadata!P546)),metadata!P546&gt;0))</f>
        <v>0</v>
      </c>
      <c r="AQ546">
        <f>IF(metadata!Q546="",FALSE,TRUE)</f>
        <v>0</v>
      </c>
    </row>
    <row r="547" spans="1:43">
      <c r="A547" s="5">
        <f>IF(B547=" "," ",HYPERLINK(CONCATENATE("#metadata!",ADDRESS(INDEX($W$2:$W$1001,MATCH(ROWS($U$2:U547),$U$2:$U$1001,0),0),1)),INDEX($Z$2:$Z$1001,MATCH(ROWS($U$2:U547),$U$2:$U$1001,0),0)))</f>
        <v>0</v>
      </c>
      <c r="B547" s="4">
        <f>IF(OR(INDEX($V$2:$V$1001,MATCH(ROWS($U$2:U547),$U$2:$U$1001,0),1)&gt;=100000,INDEX($AB$1005:$AQ$1005,1,MATCH(COLUMNS($AB$1006:AB1006),$AB$1006:$AQ$1006,0))&gt;=100000), " ",IF(INDEX($AB$2:$AQ$1001,MATCH(ROWS($U$2:U547),$U$2:$U$1001,0),MATCH(COLUMNS($AB$1006:AB1006),$AB$1006:$AQ$1006,0)), HYPERLINK("#",""), HYPERLINK(CONCATENATE("#metadata!", ADDRESS(INDEX($W$2:$W$1001,MATCH(ROWS($U$2:U547),$U$2:$U$1001,0),0), INDEX($AB$1004:$AQ$1004,1,MATCH(COLUMNS($AB$1006:AB1006),$AB$1006:$AQ$1006,0)))),"Fix")))</f>
        <v>0</v>
      </c>
      <c r="C547" s="4">
        <f>IF(OR(INDEX($V$2:$V$1001,MATCH(ROWS($U$2:U547),$U$2:$U$1001,0),1)&gt;=100000,INDEX($AB$1005:$AQ$1005,1,MATCH(COLUMNS($AB$1006:AC1006),$AB$1006:$AQ$1006,0))&gt;=100000), " ",IF(INDEX($AB$2:$AQ$1001,MATCH(ROWS($U$2:U547),$U$2:$U$1001,0),MATCH(COLUMNS($AB$1006:AC1006),$AB$1006:$AQ$1006,0)), HYPERLINK("#",""), HYPERLINK(CONCATENATE("#metadata!", ADDRESS(INDEX($W$2:$W$1001,MATCH(ROWS($U$2:U547),$U$2:$U$1001,0),0), INDEX($AB$1004:$AQ$1004,1,MATCH(COLUMNS($AB$1006:AC1006),$AB$1006:$AQ$1006,0)))),"Fix")))</f>
        <v>0</v>
      </c>
      <c r="D547" s="4">
        <f>IF(OR(INDEX($V$2:$V$1001,MATCH(ROWS($U$2:U547),$U$2:$U$1001,0),1)&gt;=100000,INDEX($AB$1005:$AQ$1005,1,MATCH(COLUMNS($AB$1006:AD1006),$AB$1006:$AQ$1006,0))&gt;=100000), " ",IF(INDEX($AB$2:$AQ$1001,MATCH(ROWS($U$2:U547),$U$2:$U$1001,0),MATCH(COLUMNS($AB$1006:AD1006),$AB$1006:$AQ$1006,0)), HYPERLINK("#",""), HYPERLINK(CONCATENATE("#metadata!", ADDRESS(INDEX($W$2:$W$1001,MATCH(ROWS($U$2:U547),$U$2:$U$1001,0),0), INDEX($AB$1004:$AQ$1004,1,MATCH(COLUMNS($AB$1006:AD1006),$AB$1006:$AQ$1006,0)))),"Fix")))</f>
        <v>0</v>
      </c>
      <c r="E547" s="4">
        <f>IF(OR(INDEX($V$2:$V$1001,MATCH(ROWS($U$2:U547),$U$2:$U$1001,0),1)&gt;=100000,INDEX($AB$1005:$AQ$1005,1,MATCH(COLUMNS($AB$1006:AE1006),$AB$1006:$AQ$1006,0))&gt;=100000), " ",IF(INDEX($AB$2:$AQ$1001,MATCH(ROWS($U$2:U547),$U$2:$U$1001,0),MATCH(COLUMNS($AB$1006:AE1006),$AB$1006:$AQ$1006,0)), HYPERLINK("#",""), HYPERLINK(CONCATENATE("#metadata!", ADDRESS(INDEX($W$2:$W$1001,MATCH(ROWS($U$2:U547),$U$2:$U$1001,0),0), INDEX($AB$1004:$AQ$1004,1,MATCH(COLUMNS($AB$1006:AE1006),$AB$1006:$AQ$1006,0)))),"Fix")))</f>
        <v>0</v>
      </c>
      <c r="F547" s="4">
        <f>IF(OR(INDEX($V$2:$V$1001,MATCH(ROWS($U$2:U547),$U$2:$U$1001,0),1)&gt;=100000,INDEX($AB$1005:$AQ$1005,1,MATCH(COLUMNS($AB$1006:AF1006),$AB$1006:$AQ$1006,0))&gt;=100000), " ",IF(INDEX($AB$2:$AQ$1001,MATCH(ROWS($U$2:U547),$U$2:$U$1001,0),MATCH(COLUMNS($AB$1006:AF1006),$AB$1006:$AQ$1006,0)), HYPERLINK("#",""), HYPERLINK(CONCATENATE("#metadata!", ADDRESS(INDEX($W$2:$W$1001,MATCH(ROWS($U$2:U547),$U$2:$U$1001,0),0), INDEX($AB$1004:$AQ$1004,1,MATCH(COLUMNS($AB$1006:AF1006),$AB$1006:$AQ$1006,0)))),"Fix")))</f>
        <v>0</v>
      </c>
      <c r="G547" s="4">
        <f>IF(OR(INDEX($V$2:$V$1001,MATCH(ROWS($U$2:U547),$U$2:$U$1001,0),1)&gt;=100000,INDEX($AB$1005:$AQ$1005,1,MATCH(COLUMNS($AB$1006:AG1006),$AB$1006:$AQ$1006,0))&gt;=100000), " ",IF(INDEX($AB$2:$AQ$1001,MATCH(ROWS($U$2:U547),$U$2:$U$1001,0),MATCH(COLUMNS($AB$1006:AG1006),$AB$1006:$AQ$1006,0)), HYPERLINK("#",""), HYPERLINK(CONCATENATE("#metadata!", ADDRESS(INDEX($W$2:$W$1001,MATCH(ROWS($U$2:U547),$U$2:$U$1001,0),0), INDEX($AB$1004:$AQ$1004,1,MATCH(COLUMNS($AB$1006:AG1006),$AB$1006:$AQ$1006,0)))),"Fix")))</f>
        <v>0</v>
      </c>
      <c r="H547" s="4">
        <f>IF(OR(INDEX($V$2:$V$1001,MATCH(ROWS($U$2:U547),$U$2:$U$1001,0),1)&gt;=100000,INDEX($AB$1005:$AQ$1005,1,MATCH(COLUMNS($AB$1006:AH1006),$AB$1006:$AQ$1006,0))&gt;=100000), " ",IF(INDEX($AB$2:$AQ$1001,MATCH(ROWS($U$2:U547),$U$2:$U$1001,0),MATCH(COLUMNS($AB$1006:AH1006),$AB$1006:$AQ$1006,0)), HYPERLINK("#",""), HYPERLINK(CONCATENATE("#metadata!", ADDRESS(INDEX($W$2:$W$1001,MATCH(ROWS($U$2:U547),$U$2:$U$1001,0),0), INDEX($AB$1004:$AQ$1004,1,MATCH(COLUMNS($AB$1006:AH1006),$AB$1006:$AQ$1006,0)))),"Fix")))</f>
        <v>0</v>
      </c>
      <c r="I547" s="4">
        <f>IF(OR(INDEX($V$2:$V$1001,MATCH(ROWS($U$2:U547),$U$2:$U$1001,0),1)&gt;=100000,INDEX($AB$1005:$AQ$1005,1,MATCH(COLUMNS($AB$1006:AI1006),$AB$1006:$AQ$1006,0))&gt;=100000), " ",IF(INDEX($AB$2:$AQ$1001,MATCH(ROWS($U$2:U547),$U$2:$U$1001,0),MATCH(COLUMNS($AB$1006:AI1006),$AB$1006:$AQ$1006,0)), HYPERLINK("#",""), HYPERLINK(CONCATENATE("#metadata!", ADDRESS(INDEX($W$2:$W$1001,MATCH(ROWS($U$2:U547),$U$2:$U$1001,0),0), INDEX($AB$1004:$AQ$1004,1,MATCH(COLUMNS($AB$1006:AI1006),$AB$1006:$AQ$1006,0)))),"Fix")))</f>
        <v>0</v>
      </c>
      <c r="J547" s="4">
        <f>IF(OR(INDEX($V$2:$V$1001,MATCH(ROWS($U$2:U547),$U$2:$U$1001,0),1)&gt;=100000,INDEX($AB$1005:$AQ$1005,1,MATCH(COLUMNS($AB$1006:AJ1006),$AB$1006:$AQ$1006,0))&gt;=100000), " ",IF(INDEX($AB$2:$AQ$1001,MATCH(ROWS($U$2:U547),$U$2:$U$1001,0),MATCH(COLUMNS($AB$1006:AJ1006),$AB$1006:$AQ$1006,0)), HYPERLINK("#",""), HYPERLINK(CONCATENATE("#metadata!", ADDRESS(INDEX($W$2:$W$1001,MATCH(ROWS($U$2:U547),$U$2:$U$1001,0),0), INDEX($AB$1004:$AQ$1004,1,MATCH(COLUMNS($AB$1006:AJ1006),$AB$1006:$AQ$1006,0)))),"Fix")))</f>
        <v>0</v>
      </c>
      <c r="K547" s="4">
        <f>IF(OR(INDEX($V$2:$V$1001,MATCH(ROWS($U$2:U547),$U$2:$U$1001,0),1)&gt;=100000,INDEX($AB$1005:$AQ$1005,1,MATCH(COLUMNS($AB$1006:AK1006),$AB$1006:$AQ$1006,0))&gt;=100000), " ",IF(INDEX($AB$2:$AQ$1001,MATCH(ROWS($U$2:U547),$U$2:$U$1001,0),MATCH(COLUMNS($AB$1006:AK1006),$AB$1006:$AQ$1006,0)), HYPERLINK("#",""), HYPERLINK(CONCATENATE("#metadata!", ADDRESS(INDEX($W$2:$W$1001,MATCH(ROWS($U$2:U547),$U$2:$U$1001,0),0), INDEX($AB$1004:$AQ$1004,1,MATCH(COLUMNS($AB$1006:AK1006),$AB$1006:$AQ$1006,0)))),"Fix")))</f>
        <v>0</v>
      </c>
      <c r="L547" s="4">
        <f>IF(OR(INDEX($V$2:$V$1001,MATCH(ROWS($U$2:U547),$U$2:$U$1001,0),1)&gt;=100000,INDEX($AB$1005:$AQ$1005,1,MATCH(COLUMNS($AB$1006:AL1006),$AB$1006:$AQ$1006,0))&gt;=100000), " ",IF(INDEX($AB$2:$AQ$1001,MATCH(ROWS($U$2:U547),$U$2:$U$1001,0),MATCH(COLUMNS($AB$1006:AL1006),$AB$1006:$AQ$1006,0)), HYPERLINK("#",""), HYPERLINK(CONCATENATE("#metadata!", ADDRESS(INDEX($W$2:$W$1001,MATCH(ROWS($U$2:U547),$U$2:$U$1001,0),0), INDEX($AB$1004:$AQ$1004,1,MATCH(COLUMNS($AB$1006:AL1006),$AB$1006:$AQ$1006,0)))),"Fix")))</f>
        <v>0</v>
      </c>
      <c r="M547" s="4">
        <f>IF(OR(INDEX($V$2:$V$1001,MATCH(ROWS($U$2:U547),$U$2:$U$1001,0),1)&gt;=100000,INDEX($AB$1005:$AQ$1005,1,MATCH(COLUMNS($AB$1006:AM1006),$AB$1006:$AQ$1006,0))&gt;=100000), " ",IF(INDEX($AB$2:$AQ$1001,MATCH(ROWS($U$2:U547),$U$2:$U$1001,0),MATCH(COLUMNS($AB$1006:AM1006),$AB$1006:$AQ$1006,0)), HYPERLINK("#",""), HYPERLINK(CONCATENATE("#metadata!", ADDRESS(INDEX($W$2:$W$1001,MATCH(ROWS($U$2:U547),$U$2:$U$1001,0),0), INDEX($AB$1004:$AQ$1004,1,MATCH(COLUMNS($AB$1006:AM1006),$AB$1006:$AQ$1006,0)))),"Fix")))</f>
        <v>0</v>
      </c>
      <c r="N547" s="4">
        <f>IF(OR(INDEX($V$2:$V$1001,MATCH(ROWS($U$2:U547),$U$2:$U$1001,0),1)&gt;=100000,INDEX($AB$1005:$AQ$1005,1,MATCH(COLUMNS($AB$1006:AN1006),$AB$1006:$AQ$1006,0))&gt;=100000), " ",IF(INDEX($AB$2:$AQ$1001,MATCH(ROWS($U$2:U547),$U$2:$U$1001,0),MATCH(COLUMNS($AB$1006:AN1006),$AB$1006:$AQ$1006,0)), HYPERLINK("#",""), HYPERLINK(CONCATENATE("#metadata!", ADDRESS(INDEX($W$2:$W$1001,MATCH(ROWS($U$2:U547),$U$2:$U$1001,0),0), INDEX($AB$1004:$AQ$1004,1,MATCH(COLUMNS($AB$1006:AN1006),$AB$1006:$AQ$1006,0)))),"Fix")))</f>
        <v>0</v>
      </c>
      <c r="O547" s="4">
        <f>IF(OR(INDEX($V$2:$V$1001,MATCH(ROWS($U$2:U547),$U$2:$U$1001,0),1)&gt;=100000,INDEX($AB$1005:$AQ$1005,1,MATCH(COLUMNS($AB$1006:AO1006),$AB$1006:$AQ$1006,0))&gt;=100000), " ",IF(INDEX($AB$2:$AQ$1001,MATCH(ROWS($U$2:U547),$U$2:$U$1001,0),MATCH(COLUMNS($AB$1006:AO1006),$AB$1006:$AQ$1006,0)), HYPERLINK("#",""), HYPERLINK(CONCATENATE("#metadata!", ADDRESS(INDEX($W$2:$W$1001,MATCH(ROWS($U$2:U547),$U$2:$U$1001,0),0), INDEX($AB$1004:$AQ$1004,1,MATCH(COLUMNS($AB$1006:AO1006),$AB$1006:$AQ$1006,0)))),"Fix")))</f>
        <v>0</v>
      </c>
      <c r="P547" s="4">
        <f>IF(OR(INDEX($V$2:$V$1001,MATCH(ROWS($U$2:U547),$U$2:$U$1001,0),1)&gt;=100000,INDEX($AB$1005:$AQ$1005,1,MATCH(COLUMNS($AB$1006:AP1006),$AB$1006:$AQ$1006,0))&gt;=100000), " ",IF(INDEX($AB$2:$AQ$1001,MATCH(ROWS($U$2:U547),$U$2:$U$1001,0),MATCH(COLUMNS($AB$1006:AP1006),$AB$1006:$AQ$1006,0)), HYPERLINK("#",""), HYPERLINK(CONCATENATE("#metadata!", ADDRESS(INDEX($W$2:$W$1001,MATCH(ROWS($U$2:U547),$U$2:$U$1001,0),0), INDEX($AB$1004:$AQ$1004,1,MATCH(COLUMNS($AB$1006:AP1006),$AB$1006:$AQ$1006,0)))),"Fix")))</f>
        <v>0</v>
      </c>
      <c r="Q547" s="4">
        <f>IF(OR(INDEX($V$2:$V$1001,MATCH(ROWS($U$2:U547),$U$2:$U$1001,0),1)&gt;=100000,INDEX($AB$1005:$AQ$1005,1,MATCH(COLUMNS($AB$1006:AQ1006),$AB$1006:$AQ$1006,0))&gt;=100000), " ",IF(INDEX($AB$2:$AQ$1001,MATCH(ROWS($U$2:U547),$U$2:$U$1001,0),MATCH(COLUMNS($AB$1006:AQ1006),$AB$1006:$AQ$1006,0)), HYPERLINK("#",""), HYPERLINK(CONCATENATE("#metadata!", ADDRESS(INDEX($W$2:$W$1001,MATCH(ROWS($U$2:U547),$U$2:$U$1001,0),0), INDEX($AB$1004:$AQ$1004,1,MATCH(COLUMNS($AB$1006:AQ1006),$AB$1006:$AQ$1006,0)))),"Fix")))</f>
        <v>0</v>
      </c>
      <c r="U547">
        <v>0</v>
      </c>
      <c r="V547">
        <v>0</v>
      </c>
      <c r="W547">
        <v>0</v>
      </c>
      <c r="X547">
        <f>IF(Y547,TRUE,AND(AB547:AQ547))</f>
        <v>0</v>
      </c>
      <c r="Y547">
        <f>COUNTBLANK(metadata!B547:Q547)=COLUMNS(metadata!B547:Q547)</f>
        <v>0</v>
      </c>
      <c r="Z547">
        <v>0</v>
      </c>
      <c r="AB547">
        <f>AND(IF(metadata!B547="",FALSE,TRUE),COUNTIF(metadata!B:B, metadata!B547) = 1,NOT(ISERROR(SUMPRODUCT(SEARCH(MID(metadata!B547,ROW(INDIRECT("1:"&amp;LEN(metadata!B547))), 1),"0123456789abcdefghijklmnopqrstuvwxyzABCDEFGHIJKLMNOPQRSTUVWXYZ.")))))</f>
        <v>0</v>
      </c>
      <c r="AC547">
        <f>OR(AND(IF(metadata!C547="",FALSE,TRUE),OR(exact(metadata!C547,"missing: not collected"),exact(metadata!C547,"missing: not provided"),exact(metadata!C547,"missing: restricted access"))),AND(IF(metadata!C547="",FALSE,TRUE),AND(AND(IFERROR(INT(LEFT(metadata!C547,4))&gt;1900,FALSE),IFERROR(INT(LEFT(metadata!C547,4))&lt;=YEAR(NOW()),FALSE)), OR(MID(metadata!C547,5,1)="", AND(AND(MID(metadata!C547,5,1)="-",IFERROR(INT(MID(metadata!C547,6,1))&gt;=0,FALSE),IFERROR(INT(MID(metadata!C547,6,1))&lt;=1,FALSE),NOT(MID(metadata!C547,7,1)=""),IFERROR(INT(MID(metadata!C547,6,2))&gt;=1,FALSE),IFERROR(INT(MID(metadata!C547,6,2))&lt;=12,FALSE)), OR(MID(metadata!C547,8,1)="", AND(AND(MID(metadata!C547,8,1)="-",IFERROR(INT(MID(metadata!C547,9,1))&gt;=0,FALSE),IFERROR(INT(MID(metadata!C547,9,1))&lt;=3,FALSE),NOT(MID(metadata!C547,10,1)=""),IFERROR(INT(MID(metadata!C547,9,2))&gt;=1,FALSE),IFERROR(INT(MID(metadata!C547,9,2))&lt;=31,FALSE)), OR(MID(metadata!C547,11,1)="", AND(AND(MID(metadata!C547,11,1)=" ",IFERROR(INT(MID(metadata!C547,12,1))&gt;=0,FALSE),IFERROR(INT(MID(metadata!C547,12,1))&lt;=2,FALSE),NOT(MID(metadata!C547,13,1)=""),IFERROR(INT(MID(metadata!C547,12,2))&gt;=0,FALSE),IFERROR(INT(MID(metadata!C547,12,2))&lt;=23,FALSE)), OR(MID(metadata!C547,14,1)="", AND(AND(MID(metadata!C547,14,1)=":",IFERROR(INT(MID(metadata!C547,15,1))&gt;=0,FALSE),IFERROR(INT(MID(metadata!C547,15,1))&lt;=5,FALSE),NOT(MID(metadata!C547,16,1)=""),IFERROR(INT(MID(metadata!C547,15,2))&gt;=0,FALSE),IFERROR(INT(MID(metadata!C547,15,2))&lt;=59,FALSE)), OR(MID(metadata!C547,17,1)="", AND(AND(MID(metadata!C547,17,1)=":",IFERROR(INT(MID(metadata!C547,18,1))&gt;=0,FALSE),IFERROR(INT(MID(metadata!C547,18,1))&lt;=5,FALSE),NOT(MID(metadata!C547,19,1)=""),IFERROR(INT(MID(metadata!C547,18,2))&gt;=0,FALSE),IFERROR(INT(MID(metadata!C547,18,2))&lt;=59,FALSE)), LEN(metadata!C547)&lt;=19)))))))))))))</f>
        <v>0</v>
      </c>
      <c r="AD547">
        <f>IF(metadata!D547="",FALSE,TRUE)</f>
        <v>0</v>
      </c>
      <c r="AE547">
        <f>OR(AND(IF(metadata!E547="",FALSE,TRUE),OR(exact(metadata!E547,"missing: not collected"),exact(metadata!E547,"missing: not provided"))),AND(IF(metadata!E547="",FALSE,TRUE),OR(exact(metadata!E547,"TRUE"),exact(metadata!E547,"FALSE"))))</f>
        <v>0</v>
      </c>
      <c r="AF547">
        <f>IF(metadata!F547="",FALSE,TRUE)</f>
        <v>0</v>
      </c>
      <c r="AG547">
        <f>IF(metadata!G547="",FALSE,TRUE)</f>
        <v>0</v>
      </c>
      <c r="AH547">
        <f>IF(metadata!H547="",FALSE,TRUE)</f>
        <v>0</v>
      </c>
      <c r="AI547">
        <f>OR(AND(IF(metadata!I547="",FALSE,TRUE),OR(exact(metadata!I547,"missing: not collected"),exact(metadata!I547,"missing: not provided"),exact(metadata!I547,"missing: restricted access"))),AND(IF(metadata!I547="",FALSE,TRUE),OR(exact(metadata!I547,"air"),exact(metadata!I547,"built environment"),exact(metadata!I547,"host-associated"),exact(metadata!I547,"human-associated"),exact(metadata!I547,"human-skin"),exact(metadata!I547,"human-oral"),exact(metadata!I547,"human-gut"),exact(metadata!I547,"human-vaginal"),exact(metadata!I547,"microbial mat/biofilm"),exact(metadata!I547,"misc environment"),exact(metadata!I547,"plant-associated"),exact(metadata!I547,"sediment"),exact(metadata!I547,"soil"),exact(metadata!I547,"wastewater/sludge"),exact(metadata!I547,"water"))))</f>
        <v>0</v>
      </c>
      <c r="AJ547">
        <f>IF(metadata!J547="",FALSE,TRUE)</f>
        <v>0</v>
      </c>
      <c r="AK547">
        <f>OR(AND(IF(metadata!K547="",FALSE,TRUE),OR(exact(metadata!K547,"missing: not collected"),exact(metadata!K547,"missing: not provided"),exact(metadata!K547,"missing: restricted access"))),AND(IF(metadata!K547="",FALSE,ISNUMBER(VALUE(metadata!K547))),metadata!K547&gt;=-90.00,metadata!K547&lt;=90.00))</f>
        <v>0</v>
      </c>
      <c r="AL547">
        <f>OR(AND(IF(metadata!L547="",FALSE,TRUE),OR(exact(metadata!L547,"missing: not collected"),exact(metadata!L547,"missing: not provided"),exact(metadata!L547,"missing: restricted access"))),AND(IF(metadata!L547="",FALSE,ISNUMBER(VALUE(metadata!L547))),metadata!L547&gt;=-180.00,metadata!L547&lt;=180.00))</f>
        <v>0</v>
      </c>
      <c r="AM547">
        <f>IF(metadata!M547="",FALSE,TRUE)</f>
        <v>0</v>
      </c>
      <c r="AN547">
        <f>OR(AND(IF(metadata!N547="",FALSE,TRUE),OR(exact(metadata!N547,"missing: not collected"),exact(metadata!N547,"missing: not provided"),exact(metadata!N547,"missing: restricted access"))),AND(IF(metadata!N547="",FALSE,TRUE),OR(exact(metadata!N547,"TRUE"),exact(metadata!N547,"FALSE"))))</f>
        <v>0</v>
      </c>
      <c r="AO547">
        <f>IF(metadata!O547="",FALSE,TRUE)</f>
        <v>0</v>
      </c>
      <c r="AP547">
        <f>OR(AND(IF(metadata!P547="",FALSE,TRUE),OR(exact(metadata!P547,"missing: not collected"),exact(metadata!P547,"missing: not provided"))),AND(IF(metadata!P547="",FALSE,IF(ISERROR(INT(metadata!P547)),FALSE,INT(metadata!P547)=metadata!P547)),metadata!P547&gt;0))</f>
        <v>0</v>
      </c>
      <c r="AQ547">
        <f>IF(metadata!Q547="",FALSE,TRUE)</f>
        <v>0</v>
      </c>
    </row>
    <row r="548" spans="1:43">
      <c r="A548" s="5">
        <f>IF(B548=" "," ",HYPERLINK(CONCATENATE("#metadata!",ADDRESS(INDEX($W$2:$W$1001,MATCH(ROWS($U$2:U548),$U$2:$U$1001,0),0),1)),INDEX($Z$2:$Z$1001,MATCH(ROWS($U$2:U548),$U$2:$U$1001,0),0)))</f>
        <v>0</v>
      </c>
      <c r="B548" s="4">
        <f>IF(OR(INDEX($V$2:$V$1001,MATCH(ROWS($U$2:U548),$U$2:$U$1001,0),1)&gt;=100000,INDEX($AB$1005:$AQ$1005,1,MATCH(COLUMNS($AB$1006:AB1006),$AB$1006:$AQ$1006,0))&gt;=100000), " ",IF(INDEX($AB$2:$AQ$1001,MATCH(ROWS($U$2:U548),$U$2:$U$1001,0),MATCH(COLUMNS($AB$1006:AB1006),$AB$1006:$AQ$1006,0)), HYPERLINK("#",""), HYPERLINK(CONCATENATE("#metadata!", ADDRESS(INDEX($W$2:$W$1001,MATCH(ROWS($U$2:U548),$U$2:$U$1001,0),0), INDEX($AB$1004:$AQ$1004,1,MATCH(COLUMNS($AB$1006:AB1006),$AB$1006:$AQ$1006,0)))),"Fix")))</f>
        <v>0</v>
      </c>
      <c r="C548" s="4">
        <f>IF(OR(INDEX($V$2:$V$1001,MATCH(ROWS($U$2:U548),$U$2:$U$1001,0),1)&gt;=100000,INDEX($AB$1005:$AQ$1005,1,MATCH(COLUMNS($AB$1006:AC1006),$AB$1006:$AQ$1006,0))&gt;=100000), " ",IF(INDEX($AB$2:$AQ$1001,MATCH(ROWS($U$2:U548),$U$2:$U$1001,0),MATCH(COLUMNS($AB$1006:AC1006),$AB$1006:$AQ$1006,0)), HYPERLINK("#",""), HYPERLINK(CONCATENATE("#metadata!", ADDRESS(INDEX($W$2:$W$1001,MATCH(ROWS($U$2:U548),$U$2:$U$1001,0),0), INDEX($AB$1004:$AQ$1004,1,MATCH(COLUMNS($AB$1006:AC1006),$AB$1006:$AQ$1006,0)))),"Fix")))</f>
        <v>0</v>
      </c>
      <c r="D548" s="4">
        <f>IF(OR(INDEX($V$2:$V$1001,MATCH(ROWS($U$2:U548),$U$2:$U$1001,0),1)&gt;=100000,INDEX($AB$1005:$AQ$1005,1,MATCH(COLUMNS($AB$1006:AD1006),$AB$1006:$AQ$1006,0))&gt;=100000), " ",IF(INDEX($AB$2:$AQ$1001,MATCH(ROWS($U$2:U548),$U$2:$U$1001,0),MATCH(COLUMNS($AB$1006:AD1006),$AB$1006:$AQ$1006,0)), HYPERLINK("#",""), HYPERLINK(CONCATENATE("#metadata!", ADDRESS(INDEX($W$2:$W$1001,MATCH(ROWS($U$2:U548),$U$2:$U$1001,0),0), INDEX($AB$1004:$AQ$1004,1,MATCH(COLUMNS($AB$1006:AD1006),$AB$1006:$AQ$1006,0)))),"Fix")))</f>
        <v>0</v>
      </c>
      <c r="E548" s="4">
        <f>IF(OR(INDEX($V$2:$V$1001,MATCH(ROWS($U$2:U548),$U$2:$U$1001,0),1)&gt;=100000,INDEX($AB$1005:$AQ$1005,1,MATCH(COLUMNS($AB$1006:AE1006),$AB$1006:$AQ$1006,0))&gt;=100000), " ",IF(INDEX($AB$2:$AQ$1001,MATCH(ROWS($U$2:U548),$U$2:$U$1001,0),MATCH(COLUMNS($AB$1006:AE1006),$AB$1006:$AQ$1006,0)), HYPERLINK("#",""), HYPERLINK(CONCATENATE("#metadata!", ADDRESS(INDEX($W$2:$W$1001,MATCH(ROWS($U$2:U548),$U$2:$U$1001,0),0), INDEX($AB$1004:$AQ$1004,1,MATCH(COLUMNS($AB$1006:AE1006),$AB$1006:$AQ$1006,0)))),"Fix")))</f>
        <v>0</v>
      </c>
      <c r="F548" s="4">
        <f>IF(OR(INDEX($V$2:$V$1001,MATCH(ROWS($U$2:U548),$U$2:$U$1001,0),1)&gt;=100000,INDEX($AB$1005:$AQ$1005,1,MATCH(COLUMNS($AB$1006:AF1006),$AB$1006:$AQ$1006,0))&gt;=100000), " ",IF(INDEX($AB$2:$AQ$1001,MATCH(ROWS($U$2:U548),$U$2:$U$1001,0),MATCH(COLUMNS($AB$1006:AF1006),$AB$1006:$AQ$1006,0)), HYPERLINK("#",""), HYPERLINK(CONCATENATE("#metadata!", ADDRESS(INDEX($W$2:$W$1001,MATCH(ROWS($U$2:U548),$U$2:$U$1001,0),0), INDEX($AB$1004:$AQ$1004,1,MATCH(COLUMNS($AB$1006:AF1006),$AB$1006:$AQ$1006,0)))),"Fix")))</f>
        <v>0</v>
      </c>
      <c r="G548" s="4">
        <f>IF(OR(INDEX($V$2:$V$1001,MATCH(ROWS($U$2:U548),$U$2:$U$1001,0),1)&gt;=100000,INDEX($AB$1005:$AQ$1005,1,MATCH(COLUMNS($AB$1006:AG1006),$AB$1006:$AQ$1006,0))&gt;=100000), " ",IF(INDEX($AB$2:$AQ$1001,MATCH(ROWS($U$2:U548),$U$2:$U$1001,0),MATCH(COLUMNS($AB$1006:AG1006),$AB$1006:$AQ$1006,0)), HYPERLINK("#",""), HYPERLINK(CONCATENATE("#metadata!", ADDRESS(INDEX($W$2:$W$1001,MATCH(ROWS($U$2:U548),$U$2:$U$1001,0),0), INDEX($AB$1004:$AQ$1004,1,MATCH(COLUMNS($AB$1006:AG1006),$AB$1006:$AQ$1006,0)))),"Fix")))</f>
        <v>0</v>
      </c>
      <c r="H548" s="4">
        <f>IF(OR(INDEX($V$2:$V$1001,MATCH(ROWS($U$2:U548),$U$2:$U$1001,0),1)&gt;=100000,INDEX($AB$1005:$AQ$1005,1,MATCH(COLUMNS($AB$1006:AH1006),$AB$1006:$AQ$1006,0))&gt;=100000), " ",IF(INDEX($AB$2:$AQ$1001,MATCH(ROWS($U$2:U548),$U$2:$U$1001,0),MATCH(COLUMNS($AB$1006:AH1006),$AB$1006:$AQ$1006,0)), HYPERLINK("#",""), HYPERLINK(CONCATENATE("#metadata!", ADDRESS(INDEX($W$2:$W$1001,MATCH(ROWS($U$2:U548),$U$2:$U$1001,0),0), INDEX($AB$1004:$AQ$1004,1,MATCH(COLUMNS($AB$1006:AH1006),$AB$1006:$AQ$1006,0)))),"Fix")))</f>
        <v>0</v>
      </c>
      <c r="I548" s="4">
        <f>IF(OR(INDEX($V$2:$V$1001,MATCH(ROWS($U$2:U548),$U$2:$U$1001,0),1)&gt;=100000,INDEX($AB$1005:$AQ$1005,1,MATCH(COLUMNS($AB$1006:AI1006),$AB$1006:$AQ$1006,0))&gt;=100000), " ",IF(INDEX($AB$2:$AQ$1001,MATCH(ROWS($U$2:U548),$U$2:$U$1001,0),MATCH(COLUMNS($AB$1006:AI1006),$AB$1006:$AQ$1006,0)), HYPERLINK("#",""), HYPERLINK(CONCATENATE("#metadata!", ADDRESS(INDEX($W$2:$W$1001,MATCH(ROWS($U$2:U548),$U$2:$U$1001,0),0), INDEX($AB$1004:$AQ$1004,1,MATCH(COLUMNS($AB$1006:AI1006),$AB$1006:$AQ$1006,0)))),"Fix")))</f>
        <v>0</v>
      </c>
      <c r="J548" s="4">
        <f>IF(OR(INDEX($V$2:$V$1001,MATCH(ROWS($U$2:U548),$U$2:$U$1001,0),1)&gt;=100000,INDEX($AB$1005:$AQ$1005,1,MATCH(COLUMNS($AB$1006:AJ1006),$AB$1006:$AQ$1006,0))&gt;=100000), " ",IF(INDEX($AB$2:$AQ$1001,MATCH(ROWS($U$2:U548),$U$2:$U$1001,0),MATCH(COLUMNS($AB$1006:AJ1006),$AB$1006:$AQ$1006,0)), HYPERLINK("#",""), HYPERLINK(CONCATENATE("#metadata!", ADDRESS(INDEX($W$2:$W$1001,MATCH(ROWS($U$2:U548),$U$2:$U$1001,0),0), INDEX($AB$1004:$AQ$1004,1,MATCH(COLUMNS($AB$1006:AJ1006),$AB$1006:$AQ$1006,0)))),"Fix")))</f>
        <v>0</v>
      </c>
      <c r="K548" s="4">
        <f>IF(OR(INDEX($V$2:$V$1001,MATCH(ROWS($U$2:U548),$U$2:$U$1001,0),1)&gt;=100000,INDEX($AB$1005:$AQ$1005,1,MATCH(COLUMNS($AB$1006:AK1006),$AB$1006:$AQ$1006,0))&gt;=100000), " ",IF(INDEX($AB$2:$AQ$1001,MATCH(ROWS($U$2:U548),$U$2:$U$1001,0),MATCH(COLUMNS($AB$1006:AK1006),$AB$1006:$AQ$1006,0)), HYPERLINK("#",""), HYPERLINK(CONCATENATE("#metadata!", ADDRESS(INDEX($W$2:$W$1001,MATCH(ROWS($U$2:U548),$U$2:$U$1001,0),0), INDEX($AB$1004:$AQ$1004,1,MATCH(COLUMNS($AB$1006:AK1006),$AB$1006:$AQ$1006,0)))),"Fix")))</f>
        <v>0</v>
      </c>
      <c r="L548" s="4">
        <f>IF(OR(INDEX($V$2:$V$1001,MATCH(ROWS($U$2:U548),$U$2:$U$1001,0),1)&gt;=100000,INDEX($AB$1005:$AQ$1005,1,MATCH(COLUMNS($AB$1006:AL1006),$AB$1006:$AQ$1006,0))&gt;=100000), " ",IF(INDEX($AB$2:$AQ$1001,MATCH(ROWS($U$2:U548),$U$2:$U$1001,0),MATCH(COLUMNS($AB$1006:AL1006),$AB$1006:$AQ$1006,0)), HYPERLINK("#",""), HYPERLINK(CONCATENATE("#metadata!", ADDRESS(INDEX($W$2:$W$1001,MATCH(ROWS($U$2:U548),$U$2:$U$1001,0),0), INDEX($AB$1004:$AQ$1004,1,MATCH(COLUMNS($AB$1006:AL1006),$AB$1006:$AQ$1006,0)))),"Fix")))</f>
        <v>0</v>
      </c>
      <c r="M548" s="4">
        <f>IF(OR(INDEX($V$2:$V$1001,MATCH(ROWS($U$2:U548),$U$2:$U$1001,0),1)&gt;=100000,INDEX($AB$1005:$AQ$1005,1,MATCH(COLUMNS($AB$1006:AM1006),$AB$1006:$AQ$1006,0))&gt;=100000), " ",IF(INDEX($AB$2:$AQ$1001,MATCH(ROWS($U$2:U548),$U$2:$U$1001,0),MATCH(COLUMNS($AB$1006:AM1006),$AB$1006:$AQ$1006,0)), HYPERLINK("#",""), HYPERLINK(CONCATENATE("#metadata!", ADDRESS(INDEX($W$2:$W$1001,MATCH(ROWS($U$2:U548),$U$2:$U$1001,0),0), INDEX($AB$1004:$AQ$1004,1,MATCH(COLUMNS($AB$1006:AM1006),$AB$1006:$AQ$1006,0)))),"Fix")))</f>
        <v>0</v>
      </c>
      <c r="N548" s="4">
        <f>IF(OR(INDEX($V$2:$V$1001,MATCH(ROWS($U$2:U548),$U$2:$U$1001,0),1)&gt;=100000,INDEX($AB$1005:$AQ$1005,1,MATCH(COLUMNS($AB$1006:AN1006),$AB$1006:$AQ$1006,0))&gt;=100000), " ",IF(INDEX($AB$2:$AQ$1001,MATCH(ROWS($U$2:U548),$U$2:$U$1001,0),MATCH(COLUMNS($AB$1006:AN1006),$AB$1006:$AQ$1006,0)), HYPERLINK("#",""), HYPERLINK(CONCATENATE("#metadata!", ADDRESS(INDEX($W$2:$W$1001,MATCH(ROWS($U$2:U548),$U$2:$U$1001,0),0), INDEX($AB$1004:$AQ$1004,1,MATCH(COLUMNS($AB$1006:AN1006),$AB$1006:$AQ$1006,0)))),"Fix")))</f>
        <v>0</v>
      </c>
      <c r="O548" s="4">
        <f>IF(OR(INDEX($V$2:$V$1001,MATCH(ROWS($U$2:U548),$U$2:$U$1001,0),1)&gt;=100000,INDEX($AB$1005:$AQ$1005,1,MATCH(COLUMNS($AB$1006:AO1006),$AB$1006:$AQ$1006,0))&gt;=100000), " ",IF(INDEX($AB$2:$AQ$1001,MATCH(ROWS($U$2:U548),$U$2:$U$1001,0),MATCH(COLUMNS($AB$1006:AO1006),$AB$1006:$AQ$1006,0)), HYPERLINK("#",""), HYPERLINK(CONCATENATE("#metadata!", ADDRESS(INDEX($W$2:$W$1001,MATCH(ROWS($U$2:U548),$U$2:$U$1001,0),0), INDEX($AB$1004:$AQ$1004,1,MATCH(COLUMNS($AB$1006:AO1006),$AB$1006:$AQ$1006,0)))),"Fix")))</f>
        <v>0</v>
      </c>
      <c r="P548" s="4">
        <f>IF(OR(INDEX($V$2:$V$1001,MATCH(ROWS($U$2:U548),$U$2:$U$1001,0),1)&gt;=100000,INDEX($AB$1005:$AQ$1005,1,MATCH(COLUMNS($AB$1006:AP1006),$AB$1006:$AQ$1006,0))&gt;=100000), " ",IF(INDEX($AB$2:$AQ$1001,MATCH(ROWS($U$2:U548),$U$2:$U$1001,0),MATCH(COLUMNS($AB$1006:AP1006),$AB$1006:$AQ$1006,0)), HYPERLINK("#",""), HYPERLINK(CONCATENATE("#metadata!", ADDRESS(INDEX($W$2:$W$1001,MATCH(ROWS($U$2:U548),$U$2:$U$1001,0),0), INDEX($AB$1004:$AQ$1004,1,MATCH(COLUMNS($AB$1006:AP1006),$AB$1006:$AQ$1006,0)))),"Fix")))</f>
        <v>0</v>
      </c>
      <c r="Q548" s="4">
        <f>IF(OR(INDEX($V$2:$V$1001,MATCH(ROWS($U$2:U548),$U$2:$U$1001,0),1)&gt;=100000,INDEX($AB$1005:$AQ$1005,1,MATCH(COLUMNS($AB$1006:AQ1006),$AB$1006:$AQ$1006,0))&gt;=100000), " ",IF(INDEX($AB$2:$AQ$1001,MATCH(ROWS($U$2:U548),$U$2:$U$1001,0),MATCH(COLUMNS($AB$1006:AQ1006),$AB$1006:$AQ$1006,0)), HYPERLINK("#",""), HYPERLINK(CONCATENATE("#metadata!", ADDRESS(INDEX($W$2:$W$1001,MATCH(ROWS($U$2:U548),$U$2:$U$1001,0),0), INDEX($AB$1004:$AQ$1004,1,MATCH(COLUMNS($AB$1006:AQ1006),$AB$1006:$AQ$1006,0)))),"Fix")))</f>
        <v>0</v>
      </c>
      <c r="U548">
        <v>0</v>
      </c>
      <c r="V548">
        <v>0</v>
      </c>
      <c r="W548">
        <v>0</v>
      </c>
      <c r="X548">
        <f>IF(Y548,TRUE,AND(AB548:AQ548))</f>
        <v>0</v>
      </c>
      <c r="Y548">
        <f>COUNTBLANK(metadata!B548:Q548)=COLUMNS(metadata!B548:Q548)</f>
        <v>0</v>
      </c>
      <c r="Z548">
        <v>0</v>
      </c>
      <c r="AB548">
        <f>AND(IF(metadata!B548="",FALSE,TRUE),COUNTIF(metadata!B:B, metadata!B548) = 1,NOT(ISERROR(SUMPRODUCT(SEARCH(MID(metadata!B548,ROW(INDIRECT("1:"&amp;LEN(metadata!B548))), 1),"0123456789abcdefghijklmnopqrstuvwxyzABCDEFGHIJKLMNOPQRSTUVWXYZ.")))))</f>
        <v>0</v>
      </c>
      <c r="AC548">
        <f>OR(AND(IF(metadata!C548="",FALSE,TRUE),OR(exact(metadata!C548,"missing: not collected"),exact(metadata!C548,"missing: not provided"),exact(metadata!C548,"missing: restricted access"))),AND(IF(metadata!C548="",FALSE,TRUE),AND(AND(IFERROR(INT(LEFT(metadata!C548,4))&gt;1900,FALSE),IFERROR(INT(LEFT(metadata!C548,4))&lt;=YEAR(NOW()),FALSE)), OR(MID(metadata!C548,5,1)="", AND(AND(MID(metadata!C548,5,1)="-",IFERROR(INT(MID(metadata!C548,6,1))&gt;=0,FALSE),IFERROR(INT(MID(metadata!C548,6,1))&lt;=1,FALSE),NOT(MID(metadata!C548,7,1)=""),IFERROR(INT(MID(metadata!C548,6,2))&gt;=1,FALSE),IFERROR(INT(MID(metadata!C548,6,2))&lt;=12,FALSE)), OR(MID(metadata!C548,8,1)="", AND(AND(MID(metadata!C548,8,1)="-",IFERROR(INT(MID(metadata!C548,9,1))&gt;=0,FALSE),IFERROR(INT(MID(metadata!C548,9,1))&lt;=3,FALSE),NOT(MID(metadata!C548,10,1)=""),IFERROR(INT(MID(metadata!C548,9,2))&gt;=1,FALSE),IFERROR(INT(MID(metadata!C548,9,2))&lt;=31,FALSE)), OR(MID(metadata!C548,11,1)="", AND(AND(MID(metadata!C548,11,1)=" ",IFERROR(INT(MID(metadata!C548,12,1))&gt;=0,FALSE),IFERROR(INT(MID(metadata!C548,12,1))&lt;=2,FALSE),NOT(MID(metadata!C548,13,1)=""),IFERROR(INT(MID(metadata!C548,12,2))&gt;=0,FALSE),IFERROR(INT(MID(metadata!C548,12,2))&lt;=23,FALSE)), OR(MID(metadata!C548,14,1)="", AND(AND(MID(metadata!C548,14,1)=":",IFERROR(INT(MID(metadata!C548,15,1))&gt;=0,FALSE),IFERROR(INT(MID(metadata!C548,15,1))&lt;=5,FALSE),NOT(MID(metadata!C548,16,1)=""),IFERROR(INT(MID(metadata!C548,15,2))&gt;=0,FALSE),IFERROR(INT(MID(metadata!C548,15,2))&lt;=59,FALSE)), OR(MID(metadata!C548,17,1)="", AND(AND(MID(metadata!C548,17,1)=":",IFERROR(INT(MID(metadata!C548,18,1))&gt;=0,FALSE),IFERROR(INT(MID(metadata!C548,18,1))&lt;=5,FALSE),NOT(MID(metadata!C548,19,1)=""),IFERROR(INT(MID(metadata!C548,18,2))&gt;=0,FALSE),IFERROR(INT(MID(metadata!C548,18,2))&lt;=59,FALSE)), LEN(metadata!C548)&lt;=19)))))))))))))</f>
        <v>0</v>
      </c>
      <c r="AD548">
        <f>IF(metadata!D548="",FALSE,TRUE)</f>
        <v>0</v>
      </c>
      <c r="AE548">
        <f>OR(AND(IF(metadata!E548="",FALSE,TRUE),OR(exact(metadata!E548,"missing: not collected"),exact(metadata!E548,"missing: not provided"))),AND(IF(metadata!E548="",FALSE,TRUE),OR(exact(metadata!E548,"TRUE"),exact(metadata!E548,"FALSE"))))</f>
        <v>0</v>
      </c>
      <c r="AF548">
        <f>IF(metadata!F548="",FALSE,TRUE)</f>
        <v>0</v>
      </c>
      <c r="AG548">
        <f>IF(metadata!G548="",FALSE,TRUE)</f>
        <v>0</v>
      </c>
      <c r="AH548">
        <f>IF(metadata!H548="",FALSE,TRUE)</f>
        <v>0</v>
      </c>
      <c r="AI548">
        <f>OR(AND(IF(metadata!I548="",FALSE,TRUE),OR(exact(metadata!I548,"missing: not collected"),exact(metadata!I548,"missing: not provided"),exact(metadata!I548,"missing: restricted access"))),AND(IF(metadata!I548="",FALSE,TRUE),OR(exact(metadata!I548,"air"),exact(metadata!I548,"built environment"),exact(metadata!I548,"host-associated"),exact(metadata!I548,"human-associated"),exact(metadata!I548,"human-skin"),exact(metadata!I548,"human-oral"),exact(metadata!I548,"human-gut"),exact(metadata!I548,"human-vaginal"),exact(metadata!I548,"microbial mat/biofilm"),exact(metadata!I548,"misc environment"),exact(metadata!I548,"plant-associated"),exact(metadata!I548,"sediment"),exact(metadata!I548,"soil"),exact(metadata!I548,"wastewater/sludge"),exact(metadata!I548,"water"))))</f>
        <v>0</v>
      </c>
      <c r="AJ548">
        <f>IF(metadata!J548="",FALSE,TRUE)</f>
        <v>0</v>
      </c>
      <c r="AK548">
        <f>OR(AND(IF(metadata!K548="",FALSE,TRUE),OR(exact(metadata!K548,"missing: not collected"),exact(metadata!K548,"missing: not provided"),exact(metadata!K548,"missing: restricted access"))),AND(IF(metadata!K548="",FALSE,ISNUMBER(VALUE(metadata!K548))),metadata!K548&gt;=-90.00,metadata!K548&lt;=90.00))</f>
        <v>0</v>
      </c>
      <c r="AL548">
        <f>OR(AND(IF(metadata!L548="",FALSE,TRUE),OR(exact(metadata!L548,"missing: not collected"),exact(metadata!L548,"missing: not provided"),exact(metadata!L548,"missing: restricted access"))),AND(IF(metadata!L548="",FALSE,ISNUMBER(VALUE(metadata!L548))),metadata!L548&gt;=-180.00,metadata!L548&lt;=180.00))</f>
        <v>0</v>
      </c>
      <c r="AM548">
        <f>IF(metadata!M548="",FALSE,TRUE)</f>
        <v>0</v>
      </c>
      <c r="AN548">
        <f>OR(AND(IF(metadata!N548="",FALSE,TRUE),OR(exact(metadata!N548,"missing: not collected"),exact(metadata!N548,"missing: not provided"),exact(metadata!N548,"missing: restricted access"))),AND(IF(metadata!N548="",FALSE,TRUE),OR(exact(metadata!N548,"TRUE"),exact(metadata!N548,"FALSE"))))</f>
        <v>0</v>
      </c>
      <c r="AO548">
        <f>IF(metadata!O548="",FALSE,TRUE)</f>
        <v>0</v>
      </c>
      <c r="AP548">
        <f>OR(AND(IF(metadata!P548="",FALSE,TRUE),OR(exact(metadata!P548,"missing: not collected"),exact(metadata!P548,"missing: not provided"))),AND(IF(metadata!P548="",FALSE,IF(ISERROR(INT(metadata!P548)),FALSE,INT(metadata!P548)=metadata!P548)),metadata!P548&gt;0))</f>
        <v>0</v>
      </c>
      <c r="AQ548">
        <f>IF(metadata!Q548="",FALSE,TRUE)</f>
        <v>0</v>
      </c>
    </row>
    <row r="549" spans="1:43">
      <c r="A549" s="5">
        <f>IF(B549=" "," ",HYPERLINK(CONCATENATE("#metadata!",ADDRESS(INDEX($W$2:$W$1001,MATCH(ROWS($U$2:U549),$U$2:$U$1001,0),0),1)),INDEX($Z$2:$Z$1001,MATCH(ROWS($U$2:U549),$U$2:$U$1001,0),0)))</f>
        <v>0</v>
      </c>
      <c r="B549" s="4">
        <f>IF(OR(INDEX($V$2:$V$1001,MATCH(ROWS($U$2:U549),$U$2:$U$1001,0),1)&gt;=100000,INDEX($AB$1005:$AQ$1005,1,MATCH(COLUMNS($AB$1006:AB1006),$AB$1006:$AQ$1006,0))&gt;=100000), " ",IF(INDEX($AB$2:$AQ$1001,MATCH(ROWS($U$2:U549),$U$2:$U$1001,0),MATCH(COLUMNS($AB$1006:AB1006),$AB$1006:$AQ$1006,0)), HYPERLINK("#",""), HYPERLINK(CONCATENATE("#metadata!", ADDRESS(INDEX($W$2:$W$1001,MATCH(ROWS($U$2:U549),$U$2:$U$1001,0),0), INDEX($AB$1004:$AQ$1004,1,MATCH(COLUMNS($AB$1006:AB1006),$AB$1006:$AQ$1006,0)))),"Fix")))</f>
        <v>0</v>
      </c>
      <c r="C549" s="4">
        <f>IF(OR(INDEX($V$2:$V$1001,MATCH(ROWS($U$2:U549),$U$2:$U$1001,0),1)&gt;=100000,INDEX($AB$1005:$AQ$1005,1,MATCH(COLUMNS($AB$1006:AC1006),$AB$1006:$AQ$1006,0))&gt;=100000), " ",IF(INDEX($AB$2:$AQ$1001,MATCH(ROWS($U$2:U549),$U$2:$U$1001,0),MATCH(COLUMNS($AB$1006:AC1006),$AB$1006:$AQ$1006,0)), HYPERLINK("#",""), HYPERLINK(CONCATENATE("#metadata!", ADDRESS(INDEX($W$2:$W$1001,MATCH(ROWS($U$2:U549),$U$2:$U$1001,0),0), INDEX($AB$1004:$AQ$1004,1,MATCH(COLUMNS($AB$1006:AC1006),$AB$1006:$AQ$1006,0)))),"Fix")))</f>
        <v>0</v>
      </c>
      <c r="D549" s="4">
        <f>IF(OR(INDEX($V$2:$V$1001,MATCH(ROWS($U$2:U549),$U$2:$U$1001,0),1)&gt;=100000,INDEX($AB$1005:$AQ$1005,1,MATCH(COLUMNS($AB$1006:AD1006),$AB$1006:$AQ$1006,0))&gt;=100000), " ",IF(INDEX($AB$2:$AQ$1001,MATCH(ROWS($U$2:U549),$U$2:$U$1001,0),MATCH(COLUMNS($AB$1006:AD1006),$AB$1006:$AQ$1006,0)), HYPERLINK("#",""), HYPERLINK(CONCATENATE("#metadata!", ADDRESS(INDEX($W$2:$W$1001,MATCH(ROWS($U$2:U549),$U$2:$U$1001,0),0), INDEX($AB$1004:$AQ$1004,1,MATCH(COLUMNS($AB$1006:AD1006),$AB$1006:$AQ$1006,0)))),"Fix")))</f>
        <v>0</v>
      </c>
      <c r="E549" s="4">
        <f>IF(OR(INDEX($V$2:$V$1001,MATCH(ROWS($U$2:U549),$U$2:$U$1001,0),1)&gt;=100000,INDEX($AB$1005:$AQ$1005,1,MATCH(COLUMNS($AB$1006:AE1006),$AB$1006:$AQ$1006,0))&gt;=100000), " ",IF(INDEX($AB$2:$AQ$1001,MATCH(ROWS($U$2:U549),$U$2:$U$1001,0),MATCH(COLUMNS($AB$1006:AE1006),$AB$1006:$AQ$1006,0)), HYPERLINK("#",""), HYPERLINK(CONCATENATE("#metadata!", ADDRESS(INDEX($W$2:$W$1001,MATCH(ROWS($U$2:U549),$U$2:$U$1001,0),0), INDEX($AB$1004:$AQ$1004,1,MATCH(COLUMNS($AB$1006:AE1006),$AB$1006:$AQ$1006,0)))),"Fix")))</f>
        <v>0</v>
      </c>
      <c r="F549" s="4">
        <f>IF(OR(INDEX($V$2:$V$1001,MATCH(ROWS($U$2:U549),$U$2:$U$1001,0),1)&gt;=100000,INDEX($AB$1005:$AQ$1005,1,MATCH(COLUMNS($AB$1006:AF1006),$AB$1006:$AQ$1006,0))&gt;=100000), " ",IF(INDEX($AB$2:$AQ$1001,MATCH(ROWS($U$2:U549),$U$2:$U$1001,0),MATCH(COLUMNS($AB$1006:AF1006),$AB$1006:$AQ$1006,0)), HYPERLINK("#",""), HYPERLINK(CONCATENATE("#metadata!", ADDRESS(INDEX($W$2:$W$1001,MATCH(ROWS($U$2:U549),$U$2:$U$1001,0),0), INDEX($AB$1004:$AQ$1004,1,MATCH(COLUMNS($AB$1006:AF1006),$AB$1006:$AQ$1006,0)))),"Fix")))</f>
        <v>0</v>
      </c>
      <c r="G549" s="4">
        <f>IF(OR(INDEX($V$2:$V$1001,MATCH(ROWS($U$2:U549),$U$2:$U$1001,0),1)&gt;=100000,INDEX($AB$1005:$AQ$1005,1,MATCH(COLUMNS($AB$1006:AG1006),$AB$1006:$AQ$1006,0))&gt;=100000), " ",IF(INDEX($AB$2:$AQ$1001,MATCH(ROWS($U$2:U549),$U$2:$U$1001,0),MATCH(COLUMNS($AB$1006:AG1006),$AB$1006:$AQ$1006,0)), HYPERLINK("#",""), HYPERLINK(CONCATENATE("#metadata!", ADDRESS(INDEX($W$2:$W$1001,MATCH(ROWS($U$2:U549),$U$2:$U$1001,0),0), INDEX($AB$1004:$AQ$1004,1,MATCH(COLUMNS($AB$1006:AG1006),$AB$1006:$AQ$1006,0)))),"Fix")))</f>
        <v>0</v>
      </c>
      <c r="H549" s="4">
        <f>IF(OR(INDEX($V$2:$V$1001,MATCH(ROWS($U$2:U549),$U$2:$U$1001,0),1)&gt;=100000,INDEX($AB$1005:$AQ$1005,1,MATCH(COLUMNS($AB$1006:AH1006),$AB$1006:$AQ$1006,0))&gt;=100000), " ",IF(INDEX($AB$2:$AQ$1001,MATCH(ROWS($U$2:U549),$U$2:$U$1001,0),MATCH(COLUMNS($AB$1006:AH1006),$AB$1006:$AQ$1006,0)), HYPERLINK("#",""), HYPERLINK(CONCATENATE("#metadata!", ADDRESS(INDEX($W$2:$W$1001,MATCH(ROWS($U$2:U549),$U$2:$U$1001,0),0), INDEX($AB$1004:$AQ$1004,1,MATCH(COLUMNS($AB$1006:AH1006),$AB$1006:$AQ$1006,0)))),"Fix")))</f>
        <v>0</v>
      </c>
      <c r="I549" s="4">
        <f>IF(OR(INDEX($V$2:$V$1001,MATCH(ROWS($U$2:U549),$U$2:$U$1001,0),1)&gt;=100000,INDEX($AB$1005:$AQ$1005,1,MATCH(COLUMNS($AB$1006:AI1006),$AB$1006:$AQ$1006,0))&gt;=100000), " ",IF(INDEX($AB$2:$AQ$1001,MATCH(ROWS($U$2:U549),$U$2:$U$1001,0),MATCH(COLUMNS($AB$1006:AI1006),$AB$1006:$AQ$1006,0)), HYPERLINK("#",""), HYPERLINK(CONCATENATE("#metadata!", ADDRESS(INDEX($W$2:$W$1001,MATCH(ROWS($U$2:U549),$U$2:$U$1001,0),0), INDEX($AB$1004:$AQ$1004,1,MATCH(COLUMNS($AB$1006:AI1006),$AB$1006:$AQ$1006,0)))),"Fix")))</f>
        <v>0</v>
      </c>
      <c r="J549" s="4">
        <f>IF(OR(INDEX($V$2:$V$1001,MATCH(ROWS($U$2:U549),$U$2:$U$1001,0),1)&gt;=100000,INDEX($AB$1005:$AQ$1005,1,MATCH(COLUMNS($AB$1006:AJ1006),$AB$1006:$AQ$1006,0))&gt;=100000), " ",IF(INDEX($AB$2:$AQ$1001,MATCH(ROWS($U$2:U549),$U$2:$U$1001,0),MATCH(COLUMNS($AB$1006:AJ1006),$AB$1006:$AQ$1006,0)), HYPERLINK("#",""), HYPERLINK(CONCATENATE("#metadata!", ADDRESS(INDEX($W$2:$W$1001,MATCH(ROWS($U$2:U549),$U$2:$U$1001,0),0), INDEX($AB$1004:$AQ$1004,1,MATCH(COLUMNS($AB$1006:AJ1006),$AB$1006:$AQ$1006,0)))),"Fix")))</f>
        <v>0</v>
      </c>
      <c r="K549" s="4">
        <f>IF(OR(INDEX($V$2:$V$1001,MATCH(ROWS($U$2:U549),$U$2:$U$1001,0),1)&gt;=100000,INDEX($AB$1005:$AQ$1005,1,MATCH(COLUMNS($AB$1006:AK1006),$AB$1006:$AQ$1006,0))&gt;=100000), " ",IF(INDEX($AB$2:$AQ$1001,MATCH(ROWS($U$2:U549),$U$2:$U$1001,0),MATCH(COLUMNS($AB$1006:AK1006),$AB$1006:$AQ$1006,0)), HYPERLINK("#",""), HYPERLINK(CONCATENATE("#metadata!", ADDRESS(INDEX($W$2:$W$1001,MATCH(ROWS($U$2:U549),$U$2:$U$1001,0),0), INDEX($AB$1004:$AQ$1004,1,MATCH(COLUMNS($AB$1006:AK1006),$AB$1006:$AQ$1006,0)))),"Fix")))</f>
        <v>0</v>
      </c>
      <c r="L549" s="4">
        <f>IF(OR(INDEX($V$2:$V$1001,MATCH(ROWS($U$2:U549),$U$2:$U$1001,0),1)&gt;=100000,INDEX($AB$1005:$AQ$1005,1,MATCH(COLUMNS($AB$1006:AL1006),$AB$1006:$AQ$1006,0))&gt;=100000), " ",IF(INDEX($AB$2:$AQ$1001,MATCH(ROWS($U$2:U549),$U$2:$U$1001,0),MATCH(COLUMNS($AB$1006:AL1006),$AB$1006:$AQ$1006,0)), HYPERLINK("#",""), HYPERLINK(CONCATENATE("#metadata!", ADDRESS(INDEX($W$2:$W$1001,MATCH(ROWS($U$2:U549),$U$2:$U$1001,0),0), INDEX($AB$1004:$AQ$1004,1,MATCH(COLUMNS($AB$1006:AL1006),$AB$1006:$AQ$1006,0)))),"Fix")))</f>
        <v>0</v>
      </c>
      <c r="M549" s="4">
        <f>IF(OR(INDEX($V$2:$V$1001,MATCH(ROWS($U$2:U549),$U$2:$U$1001,0),1)&gt;=100000,INDEX($AB$1005:$AQ$1005,1,MATCH(COLUMNS($AB$1006:AM1006),$AB$1006:$AQ$1006,0))&gt;=100000), " ",IF(INDEX($AB$2:$AQ$1001,MATCH(ROWS($U$2:U549),$U$2:$U$1001,0),MATCH(COLUMNS($AB$1006:AM1006),$AB$1006:$AQ$1006,0)), HYPERLINK("#",""), HYPERLINK(CONCATENATE("#metadata!", ADDRESS(INDEX($W$2:$W$1001,MATCH(ROWS($U$2:U549),$U$2:$U$1001,0),0), INDEX($AB$1004:$AQ$1004,1,MATCH(COLUMNS($AB$1006:AM1006),$AB$1006:$AQ$1006,0)))),"Fix")))</f>
        <v>0</v>
      </c>
      <c r="N549" s="4">
        <f>IF(OR(INDEX($V$2:$V$1001,MATCH(ROWS($U$2:U549),$U$2:$U$1001,0),1)&gt;=100000,INDEX($AB$1005:$AQ$1005,1,MATCH(COLUMNS($AB$1006:AN1006),$AB$1006:$AQ$1006,0))&gt;=100000), " ",IF(INDEX($AB$2:$AQ$1001,MATCH(ROWS($U$2:U549),$U$2:$U$1001,0),MATCH(COLUMNS($AB$1006:AN1006),$AB$1006:$AQ$1006,0)), HYPERLINK("#",""), HYPERLINK(CONCATENATE("#metadata!", ADDRESS(INDEX($W$2:$W$1001,MATCH(ROWS($U$2:U549),$U$2:$U$1001,0),0), INDEX($AB$1004:$AQ$1004,1,MATCH(COLUMNS($AB$1006:AN1006),$AB$1006:$AQ$1006,0)))),"Fix")))</f>
        <v>0</v>
      </c>
      <c r="O549" s="4">
        <f>IF(OR(INDEX($V$2:$V$1001,MATCH(ROWS($U$2:U549),$U$2:$U$1001,0),1)&gt;=100000,INDEX($AB$1005:$AQ$1005,1,MATCH(COLUMNS($AB$1006:AO1006),$AB$1006:$AQ$1006,0))&gt;=100000), " ",IF(INDEX($AB$2:$AQ$1001,MATCH(ROWS($U$2:U549),$U$2:$U$1001,0),MATCH(COLUMNS($AB$1006:AO1006),$AB$1006:$AQ$1006,0)), HYPERLINK("#",""), HYPERLINK(CONCATENATE("#metadata!", ADDRESS(INDEX($W$2:$W$1001,MATCH(ROWS($U$2:U549),$U$2:$U$1001,0),0), INDEX($AB$1004:$AQ$1004,1,MATCH(COLUMNS($AB$1006:AO1006),$AB$1006:$AQ$1006,0)))),"Fix")))</f>
        <v>0</v>
      </c>
      <c r="P549" s="4">
        <f>IF(OR(INDEX($V$2:$V$1001,MATCH(ROWS($U$2:U549),$U$2:$U$1001,0),1)&gt;=100000,INDEX($AB$1005:$AQ$1005,1,MATCH(COLUMNS($AB$1006:AP1006),$AB$1006:$AQ$1006,0))&gt;=100000), " ",IF(INDEX($AB$2:$AQ$1001,MATCH(ROWS($U$2:U549),$U$2:$U$1001,0),MATCH(COLUMNS($AB$1006:AP1006),$AB$1006:$AQ$1006,0)), HYPERLINK("#",""), HYPERLINK(CONCATENATE("#metadata!", ADDRESS(INDEX($W$2:$W$1001,MATCH(ROWS($U$2:U549),$U$2:$U$1001,0),0), INDEX($AB$1004:$AQ$1004,1,MATCH(COLUMNS($AB$1006:AP1006),$AB$1006:$AQ$1006,0)))),"Fix")))</f>
        <v>0</v>
      </c>
      <c r="Q549" s="4">
        <f>IF(OR(INDEX($V$2:$V$1001,MATCH(ROWS($U$2:U549),$U$2:$U$1001,0),1)&gt;=100000,INDEX($AB$1005:$AQ$1005,1,MATCH(COLUMNS($AB$1006:AQ1006),$AB$1006:$AQ$1006,0))&gt;=100000), " ",IF(INDEX($AB$2:$AQ$1001,MATCH(ROWS($U$2:U549),$U$2:$U$1001,0),MATCH(COLUMNS($AB$1006:AQ1006),$AB$1006:$AQ$1006,0)), HYPERLINK("#",""), HYPERLINK(CONCATENATE("#metadata!", ADDRESS(INDEX($W$2:$W$1001,MATCH(ROWS($U$2:U549),$U$2:$U$1001,0),0), INDEX($AB$1004:$AQ$1004,1,MATCH(COLUMNS($AB$1006:AQ1006),$AB$1006:$AQ$1006,0)))),"Fix")))</f>
        <v>0</v>
      </c>
      <c r="U549">
        <v>0</v>
      </c>
      <c r="V549">
        <v>0</v>
      </c>
      <c r="W549">
        <v>0</v>
      </c>
      <c r="X549">
        <f>IF(Y549,TRUE,AND(AB549:AQ549))</f>
        <v>0</v>
      </c>
      <c r="Y549">
        <f>COUNTBLANK(metadata!B549:Q549)=COLUMNS(metadata!B549:Q549)</f>
        <v>0</v>
      </c>
      <c r="Z549">
        <v>0</v>
      </c>
      <c r="AB549">
        <f>AND(IF(metadata!B549="",FALSE,TRUE),COUNTIF(metadata!B:B, metadata!B549) = 1,NOT(ISERROR(SUMPRODUCT(SEARCH(MID(metadata!B549,ROW(INDIRECT("1:"&amp;LEN(metadata!B549))), 1),"0123456789abcdefghijklmnopqrstuvwxyzABCDEFGHIJKLMNOPQRSTUVWXYZ.")))))</f>
        <v>0</v>
      </c>
      <c r="AC549">
        <f>OR(AND(IF(metadata!C549="",FALSE,TRUE),OR(exact(metadata!C549,"missing: not collected"),exact(metadata!C549,"missing: not provided"),exact(metadata!C549,"missing: restricted access"))),AND(IF(metadata!C549="",FALSE,TRUE),AND(AND(IFERROR(INT(LEFT(metadata!C549,4))&gt;1900,FALSE),IFERROR(INT(LEFT(metadata!C549,4))&lt;=YEAR(NOW()),FALSE)), OR(MID(metadata!C549,5,1)="", AND(AND(MID(metadata!C549,5,1)="-",IFERROR(INT(MID(metadata!C549,6,1))&gt;=0,FALSE),IFERROR(INT(MID(metadata!C549,6,1))&lt;=1,FALSE),NOT(MID(metadata!C549,7,1)=""),IFERROR(INT(MID(metadata!C549,6,2))&gt;=1,FALSE),IFERROR(INT(MID(metadata!C549,6,2))&lt;=12,FALSE)), OR(MID(metadata!C549,8,1)="", AND(AND(MID(metadata!C549,8,1)="-",IFERROR(INT(MID(metadata!C549,9,1))&gt;=0,FALSE),IFERROR(INT(MID(metadata!C549,9,1))&lt;=3,FALSE),NOT(MID(metadata!C549,10,1)=""),IFERROR(INT(MID(metadata!C549,9,2))&gt;=1,FALSE),IFERROR(INT(MID(metadata!C549,9,2))&lt;=31,FALSE)), OR(MID(metadata!C549,11,1)="", AND(AND(MID(metadata!C549,11,1)=" ",IFERROR(INT(MID(metadata!C549,12,1))&gt;=0,FALSE),IFERROR(INT(MID(metadata!C549,12,1))&lt;=2,FALSE),NOT(MID(metadata!C549,13,1)=""),IFERROR(INT(MID(metadata!C549,12,2))&gt;=0,FALSE),IFERROR(INT(MID(metadata!C549,12,2))&lt;=23,FALSE)), OR(MID(metadata!C549,14,1)="", AND(AND(MID(metadata!C549,14,1)=":",IFERROR(INT(MID(metadata!C549,15,1))&gt;=0,FALSE),IFERROR(INT(MID(metadata!C549,15,1))&lt;=5,FALSE),NOT(MID(metadata!C549,16,1)=""),IFERROR(INT(MID(metadata!C549,15,2))&gt;=0,FALSE),IFERROR(INT(MID(metadata!C549,15,2))&lt;=59,FALSE)), OR(MID(metadata!C549,17,1)="", AND(AND(MID(metadata!C549,17,1)=":",IFERROR(INT(MID(metadata!C549,18,1))&gt;=0,FALSE),IFERROR(INT(MID(metadata!C549,18,1))&lt;=5,FALSE),NOT(MID(metadata!C549,19,1)=""),IFERROR(INT(MID(metadata!C549,18,2))&gt;=0,FALSE),IFERROR(INT(MID(metadata!C549,18,2))&lt;=59,FALSE)), LEN(metadata!C549)&lt;=19)))))))))))))</f>
        <v>0</v>
      </c>
      <c r="AD549">
        <f>IF(metadata!D549="",FALSE,TRUE)</f>
        <v>0</v>
      </c>
      <c r="AE549">
        <f>OR(AND(IF(metadata!E549="",FALSE,TRUE),OR(exact(metadata!E549,"missing: not collected"),exact(metadata!E549,"missing: not provided"))),AND(IF(metadata!E549="",FALSE,TRUE),OR(exact(metadata!E549,"TRUE"),exact(metadata!E549,"FALSE"))))</f>
        <v>0</v>
      </c>
      <c r="AF549">
        <f>IF(metadata!F549="",FALSE,TRUE)</f>
        <v>0</v>
      </c>
      <c r="AG549">
        <f>IF(metadata!G549="",FALSE,TRUE)</f>
        <v>0</v>
      </c>
      <c r="AH549">
        <f>IF(metadata!H549="",FALSE,TRUE)</f>
        <v>0</v>
      </c>
      <c r="AI549">
        <f>OR(AND(IF(metadata!I549="",FALSE,TRUE),OR(exact(metadata!I549,"missing: not collected"),exact(metadata!I549,"missing: not provided"),exact(metadata!I549,"missing: restricted access"))),AND(IF(metadata!I549="",FALSE,TRUE),OR(exact(metadata!I549,"air"),exact(metadata!I549,"built environment"),exact(metadata!I549,"host-associated"),exact(metadata!I549,"human-associated"),exact(metadata!I549,"human-skin"),exact(metadata!I549,"human-oral"),exact(metadata!I549,"human-gut"),exact(metadata!I549,"human-vaginal"),exact(metadata!I549,"microbial mat/biofilm"),exact(metadata!I549,"misc environment"),exact(metadata!I549,"plant-associated"),exact(metadata!I549,"sediment"),exact(metadata!I549,"soil"),exact(metadata!I549,"wastewater/sludge"),exact(metadata!I549,"water"))))</f>
        <v>0</v>
      </c>
      <c r="AJ549">
        <f>IF(metadata!J549="",FALSE,TRUE)</f>
        <v>0</v>
      </c>
      <c r="AK549">
        <f>OR(AND(IF(metadata!K549="",FALSE,TRUE),OR(exact(metadata!K549,"missing: not collected"),exact(metadata!K549,"missing: not provided"),exact(metadata!K549,"missing: restricted access"))),AND(IF(metadata!K549="",FALSE,ISNUMBER(VALUE(metadata!K549))),metadata!K549&gt;=-90.00,metadata!K549&lt;=90.00))</f>
        <v>0</v>
      </c>
      <c r="AL549">
        <f>OR(AND(IF(metadata!L549="",FALSE,TRUE),OR(exact(metadata!L549,"missing: not collected"),exact(metadata!L549,"missing: not provided"),exact(metadata!L549,"missing: restricted access"))),AND(IF(metadata!L549="",FALSE,ISNUMBER(VALUE(metadata!L549))),metadata!L549&gt;=-180.00,metadata!L549&lt;=180.00))</f>
        <v>0</v>
      </c>
      <c r="AM549">
        <f>IF(metadata!M549="",FALSE,TRUE)</f>
        <v>0</v>
      </c>
      <c r="AN549">
        <f>OR(AND(IF(metadata!N549="",FALSE,TRUE),OR(exact(metadata!N549,"missing: not collected"),exact(metadata!N549,"missing: not provided"),exact(metadata!N549,"missing: restricted access"))),AND(IF(metadata!N549="",FALSE,TRUE),OR(exact(metadata!N549,"TRUE"),exact(metadata!N549,"FALSE"))))</f>
        <v>0</v>
      </c>
      <c r="AO549">
        <f>IF(metadata!O549="",FALSE,TRUE)</f>
        <v>0</v>
      </c>
      <c r="AP549">
        <f>OR(AND(IF(metadata!P549="",FALSE,TRUE),OR(exact(metadata!P549,"missing: not collected"),exact(metadata!P549,"missing: not provided"))),AND(IF(metadata!P549="",FALSE,IF(ISERROR(INT(metadata!P549)),FALSE,INT(metadata!P549)=metadata!P549)),metadata!P549&gt;0))</f>
        <v>0</v>
      </c>
      <c r="AQ549">
        <f>IF(metadata!Q549="",FALSE,TRUE)</f>
        <v>0</v>
      </c>
    </row>
    <row r="550" spans="1:43">
      <c r="A550" s="5">
        <f>IF(B550=" "," ",HYPERLINK(CONCATENATE("#metadata!",ADDRESS(INDEX($W$2:$W$1001,MATCH(ROWS($U$2:U550),$U$2:$U$1001,0),0),1)),INDEX($Z$2:$Z$1001,MATCH(ROWS($U$2:U550),$U$2:$U$1001,0),0)))</f>
        <v>0</v>
      </c>
      <c r="B550" s="4">
        <f>IF(OR(INDEX($V$2:$V$1001,MATCH(ROWS($U$2:U550),$U$2:$U$1001,0),1)&gt;=100000,INDEX($AB$1005:$AQ$1005,1,MATCH(COLUMNS($AB$1006:AB1006),$AB$1006:$AQ$1006,0))&gt;=100000), " ",IF(INDEX($AB$2:$AQ$1001,MATCH(ROWS($U$2:U550),$U$2:$U$1001,0),MATCH(COLUMNS($AB$1006:AB1006),$AB$1006:$AQ$1006,0)), HYPERLINK("#",""), HYPERLINK(CONCATENATE("#metadata!", ADDRESS(INDEX($W$2:$W$1001,MATCH(ROWS($U$2:U550),$U$2:$U$1001,0),0), INDEX($AB$1004:$AQ$1004,1,MATCH(COLUMNS($AB$1006:AB1006),$AB$1006:$AQ$1006,0)))),"Fix")))</f>
        <v>0</v>
      </c>
      <c r="C550" s="4">
        <f>IF(OR(INDEX($V$2:$V$1001,MATCH(ROWS($U$2:U550),$U$2:$U$1001,0),1)&gt;=100000,INDEX($AB$1005:$AQ$1005,1,MATCH(COLUMNS($AB$1006:AC1006),$AB$1006:$AQ$1006,0))&gt;=100000), " ",IF(INDEX($AB$2:$AQ$1001,MATCH(ROWS($U$2:U550),$U$2:$U$1001,0),MATCH(COLUMNS($AB$1006:AC1006),$AB$1006:$AQ$1006,0)), HYPERLINK("#",""), HYPERLINK(CONCATENATE("#metadata!", ADDRESS(INDEX($W$2:$W$1001,MATCH(ROWS($U$2:U550),$U$2:$U$1001,0),0), INDEX($AB$1004:$AQ$1004,1,MATCH(COLUMNS($AB$1006:AC1006),$AB$1006:$AQ$1006,0)))),"Fix")))</f>
        <v>0</v>
      </c>
      <c r="D550" s="4">
        <f>IF(OR(INDEX($V$2:$V$1001,MATCH(ROWS($U$2:U550),$U$2:$U$1001,0),1)&gt;=100000,INDEX($AB$1005:$AQ$1005,1,MATCH(COLUMNS($AB$1006:AD1006),$AB$1006:$AQ$1006,0))&gt;=100000), " ",IF(INDEX($AB$2:$AQ$1001,MATCH(ROWS($U$2:U550),$U$2:$U$1001,0),MATCH(COLUMNS($AB$1006:AD1006),$AB$1006:$AQ$1006,0)), HYPERLINK("#",""), HYPERLINK(CONCATENATE("#metadata!", ADDRESS(INDEX($W$2:$W$1001,MATCH(ROWS($U$2:U550),$U$2:$U$1001,0),0), INDEX($AB$1004:$AQ$1004,1,MATCH(COLUMNS($AB$1006:AD1006),$AB$1006:$AQ$1006,0)))),"Fix")))</f>
        <v>0</v>
      </c>
      <c r="E550" s="4">
        <f>IF(OR(INDEX($V$2:$V$1001,MATCH(ROWS($U$2:U550),$U$2:$U$1001,0),1)&gt;=100000,INDEX($AB$1005:$AQ$1005,1,MATCH(COLUMNS($AB$1006:AE1006),$AB$1006:$AQ$1006,0))&gt;=100000), " ",IF(INDEX($AB$2:$AQ$1001,MATCH(ROWS($U$2:U550),$U$2:$U$1001,0),MATCH(COLUMNS($AB$1006:AE1006),$AB$1006:$AQ$1006,0)), HYPERLINK("#",""), HYPERLINK(CONCATENATE("#metadata!", ADDRESS(INDEX($W$2:$W$1001,MATCH(ROWS($U$2:U550),$U$2:$U$1001,0),0), INDEX($AB$1004:$AQ$1004,1,MATCH(COLUMNS($AB$1006:AE1006),$AB$1006:$AQ$1006,0)))),"Fix")))</f>
        <v>0</v>
      </c>
      <c r="F550" s="4">
        <f>IF(OR(INDEX($V$2:$V$1001,MATCH(ROWS($U$2:U550),$U$2:$U$1001,0),1)&gt;=100000,INDEX($AB$1005:$AQ$1005,1,MATCH(COLUMNS($AB$1006:AF1006),$AB$1006:$AQ$1006,0))&gt;=100000), " ",IF(INDEX($AB$2:$AQ$1001,MATCH(ROWS($U$2:U550),$U$2:$U$1001,0),MATCH(COLUMNS($AB$1006:AF1006),$AB$1006:$AQ$1006,0)), HYPERLINK("#",""), HYPERLINK(CONCATENATE("#metadata!", ADDRESS(INDEX($W$2:$W$1001,MATCH(ROWS($U$2:U550),$U$2:$U$1001,0),0), INDEX($AB$1004:$AQ$1004,1,MATCH(COLUMNS($AB$1006:AF1006),$AB$1006:$AQ$1006,0)))),"Fix")))</f>
        <v>0</v>
      </c>
      <c r="G550" s="4">
        <f>IF(OR(INDEX($V$2:$V$1001,MATCH(ROWS($U$2:U550),$U$2:$U$1001,0),1)&gt;=100000,INDEX($AB$1005:$AQ$1005,1,MATCH(COLUMNS($AB$1006:AG1006),$AB$1006:$AQ$1006,0))&gt;=100000), " ",IF(INDEX($AB$2:$AQ$1001,MATCH(ROWS($U$2:U550),$U$2:$U$1001,0),MATCH(COLUMNS($AB$1006:AG1006),$AB$1006:$AQ$1006,0)), HYPERLINK("#",""), HYPERLINK(CONCATENATE("#metadata!", ADDRESS(INDEX($W$2:$W$1001,MATCH(ROWS($U$2:U550),$U$2:$U$1001,0),0), INDEX($AB$1004:$AQ$1004,1,MATCH(COLUMNS($AB$1006:AG1006),$AB$1006:$AQ$1006,0)))),"Fix")))</f>
        <v>0</v>
      </c>
      <c r="H550" s="4">
        <f>IF(OR(INDEX($V$2:$V$1001,MATCH(ROWS($U$2:U550),$U$2:$U$1001,0),1)&gt;=100000,INDEX($AB$1005:$AQ$1005,1,MATCH(COLUMNS($AB$1006:AH1006),$AB$1006:$AQ$1006,0))&gt;=100000), " ",IF(INDEX($AB$2:$AQ$1001,MATCH(ROWS($U$2:U550),$U$2:$U$1001,0),MATCH(COLUMNS($AB$1006:AH1006),$AB$1006:$AQ$1006,0)), HYPERLINK("#",""), HYPERLINK(CONCATENATE("#metadata!", ADDRESS(INDEX($W$2:$W$1001,MATCH(ROWS($U$2:U550),$U$2:$U$1001,0),0), INDEX($AB$1004:$AQ$1004,1,MATCH(COLUMNS($AB$1006:AH1006),$AB$1006:$AQ$1006,0)))),"Fix")))</f>
        <v>0</v>
      </c>
      <c r="I550" s="4">
        <f>IF(OR(INDEX($V$2:$V$1001,MATCH(ROWS($U$2:U550),$U$2:$U$1001,0),1)&gt;=100000,INDEX($AB$1005:$AQ$1005,1,MATCH(COLUMNS($AB$1006:AI1006),$AB$1006:$AQ$1006,0))&gt;=100000), " ",IF(INDEX($AB$2:$AQ$1001,MATCH(ROWS($U$2:U550),$U$2:$U$1001,0),MATCH(COLUMNS($AB$1006:AI1006),$AB$1006:$AQ$1006,0)), HYPERLINK("#",""), HYPERLINK(CONCATENATE("#metadata!", ADDRESS(INDEX($W$2:$W$1001,MATCH(ROWS($U$2:U550),$U$2:$U$1001,0),0), INDEX($AB$1004:$AQ$1004,1,MATCH(COLUMNS($AB$1006:AI1006),$AB$1006:$AQ$1006,0)))),"Fix")))</f>
        <v>0</v>
      </c>
      <c r="J550" s="4">
        <f>IF(OR(INDEX($V$2:$V$1001,MATCH(ROWS($U$2:U550),$U$2:$U$1001,0),1)&gt;=100000,INDEX($AB$1005:$AQ$1005,1,MATCH(COLUMNS($AB$1006:AJ1006),$AB$1006:$AQ$1006,0))&gt;=100000), " ",IF(INDEX($AB$2:$AQ$1001,MATCH(ROWS($U$2:U550),$U$2:$U$1001,0),MATCH(COLUMNS($AB$1006:AJ1006),$AB$1006:$AQ$1006,0)), HYPERLINK("#",""), HYPERLINK(CONCATENATE("#metadata!", ADDRESS(INDEX($W$2:$W$1001,MATCH(ROWS($U$2:U550),$U$2:$U$1001,0),0), INDEX($AB$1004:$AQ$1004,1,MATCH(COLUMNS($AB$1006:AJ1006),$AB$1006:$AQ$1006,0)))),"Fix")))</f>
        <v>0</v>
      </c>
      <c r="K550" s="4">
        <f>IF(OR(INDEX($V$2:$V$1001,MATCH(ROWS($U$2:U550),$U$2:$U$1001,0),1)&gt;=100000,INDEX($AB$1005:$AQ$1005,1,MATCH(COLUMNS($AB$1006:AK1006),$AB$1006:$AQ$1006,0))&gt;=100000), " ",IF(INDEX($AB$2:$AQ$1001,MATCH(ROWS($U$2:U550),$U$2:$U$1001,0),MATCH(COLUMNS($AB$1006:AK1006),$AB$1006:$AQ$1006,0)), HYPERLINK("#",""), HYPERLINK(CONCATENATE("#metadata!", ADDRESS(INDEX($W$2:$W$1001,MATCH(ROWS($U$2:U550),$U$2:$U$1001,0),0), INDEX($AB$1004:$AQ$1004,1,MATCH(COLUMNS($AB$1006:AK1006),$AB$1006:$AQ$1006,0)))),"Fix")))</f>
        <v>0</v>
      </c>
      <c r="L550" s="4">
        <f>IF(OR(INDEX($V$2:$V$1001,MATCH(ROWS($U$2:U550),$U$2:$U$1001,0),1)&gt;=100000,INDEX($AB$1005:$AQ$1005,1,MATCH(COLUMNS($AB$1006:AL1006),$AB$1006:$AQ$1006,0))&gt;=100000), " ",IF(INDEX($AB$2:$AQ$1001,MATCH(ROWS($U$2:U550),$U$2:$U$1001,0),MATCH(COLUMNS($AB$1006:AL1006),$AB$1006:$AQ$1006,0)), HYPERLINK("#",""), HYPERLINK(CONCATENATE("#metadata!", ADDRESS(INDEX($W$2:$W$1001,MATCH(ROWS($U$2:U550),$U$2:$U$1001,0),0), INDEX($AB$1004:$AQ$1004,1,MATCH(COLUMNS($AB$1006:AL1006),$AB$1006:$AQ$1006,0)))),"Fix")))</f>
        <v>0</v>
      </c>
      <c r="M550" s="4">
        <f>IF(OR(INDEX($V$2:$V$1001,MATCH(ROWS($U$2:U550),$U$2:$U$1001,0),1)&gt;=100000,INDEX($AB$1005:$AQ$1005,1,MATCH(COLUMNS($AB$1006:AM1006),$AB$1006:$AQ$1006,0))&gt;=100000), " ",IF(INDEX($AB$2:$AQ$1001,MATCH(ROWS($U$2:U550),$U$2:$U$1001,0),MATCH(COLUMNS($AB$1006:AM1006),$AB$1006:$AQ$1006,0)), HYPERLINK("#",""), HYPERLINK(CONCATENATE("#metadata!", ADDRESS(INDEX($W$2:$W$1001,MATCH(ROWS($U$2:U550),$U$2:$U$1001,0),0), INDEX($AB$1004:$AQ$1004,1,MATCH(COLUMNS($AB$1006:AM1006),$AB$1006:$AQ$1006,0)))),"Fix")))</f>
        <v>0</v>
      </c>
      <c r="N550" s="4">
        <f>IF(OR(INDEX($V$2:$V$1001,MATCH(ROWS($U$2:U550),$U$2:$U$1001,0),1)&gt;=100000,INDEX($AB$1005:$AQ$1005,1,MATCH(COLUMNS($AB$1006:AN1006),$AB$1006:$AQ$1006,0))&gt;=100000), " ",IF(INDEX($AB$2:$AQ$1001,MATCH(ROWS($U$2:U550),$U$2:$U$1001,0),MATCH(COLUMNS($AB$1006:AN1006),$AB$1006:$AQ$1006,0)), HYPERLINK("#",""), HYPERLINK(CONCATENATE("#metadata!", ADDRESS(INDEX($W$2:$W$1001,MATCH(ROWS($U$2:U550),$U$2:$U$1001,0),0), INDEX($AB$1004:$AQ$1004,1,MATCH(COLUMNS($AB$1006:AN1006),$AB$1006:$AQ$1006,0)))),"Fix")))</f>
        <v>0</v>
      </c>
      <c r="O550" s="4">
        <f>IF(OR(INDEX($V$2:$V$1001,MATCH(ROWS($U$2:U550),$U$2:$U$1001,0),1)&gt;=100000,INDEX($AB$1005:$AQ$1005,1,MATCH(COLUMNS($AB$1006:AO1006),$AB$1006:$AQ$1006,0))&gt;=100000), " ",IF(INDEX($AB$2:$AQ$1001,MATCH(ROWS($U$2:U550),$U$2:$U$1001,0),MATCH(COLUMNS($AB$1006:AO1006),$AB$1006:$AQ$1006,0)), HYPERLINK("#",""), HYPERLINK(CONCATENATE("#metadata!", ADDRESS(INDEX($W$2:$W$1001,MATCH(ROWS($U$2:U550),$U$2:$U$1001,0),0), INDEX($AB$1004:$AQ$1004,1,MATCH(COLUMNS($AB$1006:AO1006),$AB$1006:$AQ$1006,0)))),"Fix")))</f>
        <v>0</v>
      </c>
      <c r="P550" s="4">
        <f>IF(OR(INDEX($V$2:$V$1001,MATCH(ROWS($U$2:U550),$U$2:$U$1001,0),1)&gt;=100000,INDEX($AB$1005:$AQ$1005,1,MATCH(COLUMNS($AB$1006:AP1006),$AB$1006:$AQ$1006,0))&gt;=100000), " ",IF(INDEX($AB$2:$AQ$1001,MATCH(ROWS($U$2:U550),$U$2:$U$1001,0),MATCH(COLUMNS($AB$1006:AP1006),$AB$1006:$AQ$1006,0)), HYPERLINK("#",""), HYPERLINK(CONCATENATE("#metadata!", ADDRESS(INDEX($W$2:$W$1001,MATCH(ROWS($U$2:U550),$U$2:$U$1001,0),0), INDEX($AB$1004:$AQ$1004,1,MATCH(COLUMNS($AB$1006:AP1006),$AB$1006:$AQ$1006,0)))),"Fix")))</f>
        <v>0</v>
      </c>
      <c r="Q550" s="4">
        <f>IF(OR(INDEX($V$2:$V$1001,MATCH(ROWS($U$2:U550),$U$2:$U$1001,0),1)&gt;=100000,INDEX($AB$1005:$AQ$1005,1,MATCH(COLUMNS($AB$1006:AQ1006),$AB$1006:$AQ$1006,0))&gt;=100000), " ",IF(INDEX($AB$2:$AQ$1001,MATCH(ROWS($U$2:U550),$U$2:$U$1001,0),MATCH(COLUMNS($AB$1006:AQ1006),$AB$1006:$AQ$1006,0)), HYPERLINK("#",""), HYPERLINK(CONCATENATE("#metadata!", ADDRESS(INDEX($W$2:$W$1001,MATCH(ROWS($U$2:U550),$U$2:$U$1001,0),0), INDEX($AB$1004:$AQ$1004,1,MATCH(COLUMNS($AB$1006:AQ1006),$AB$1006:$AQ$1006,0)))),"Fix")))</f>
        <v>0</v>
      </c>
      <c r="U550">
        <v>0</v>
      </c>
      <c r="V550">
        <v>0</v>
      </c>
      <c r="W550">
        <v>0</v>
      </c>
      <c r="X550">
        <f>IF(Y550,TRUE,AND(AB550:AQ550))</f>
        <v>0</v>
      </c>
      <c r="Y550">
        <f>COUNTBLANK(metadata!B550:Q550)=COLUMNS(metadata!B550:Q550)</f>
        <v>0</v>
      </c>
      <c r="Z550">
        <v>0</v>
      </c>
      <c r="AB550">
        <f>AND(IF(metadata!B550="",FALSE,TRUE),COUNTIF(metadata!B:B, metadata!B550) = 1,NOT(ISERROR(SUMPRODUCT(SEARCH(MID(metadata!B550,ROW(INDIRECT("1:"&amp;LEN(metadata!B550))), 1),"0123456789abcdefghijklmnopqrstuvwxyzABCDEFGHIJKLMNOPQRSTUVWXYZ.")))))</f>
        <v>0</v>
      </c>
      <c r="AC550">
        <f>OR(AND(IF(metadata!C550="",FALSE,TRUE),OR(exact(metadata!C550,"missing: not collected"),exact(metadata!C550,"missing: not provided"),exact(metadata!C550,"missing: restricted access"))),AND(IF(metadata!C550="",FALSE,TRUE),AND(AND(IFERROR(INT(LEFT(metadata!C550,4))&gt;1900,FALSE),IFERROR(INT(LEFT(metadata!C550,4))&lt;=YEAR(NOW()),FALSE)), OR(MID(metadata!C550,5,1)="", AND(AND(MID(metadata!C550,5,1)="-",IFERROR(INT(MID(metadata!C550,6,1))&gt;=0,FALSE),IFERROR(INT(MID(metadata!C550,6,1))&lt;=1,FALSE),NOT(MID(metadata!C550,7,1)=""),IFERROR(INT(MID(metadata!C550,6,2))&gt;=1,FALSE),IFERROR(INT(MID(metadata!C550,6,2))&lt;=12,FALSE)), OR(MID(metadata!C550,8,1)="", AND(AND(MID(metadata!C550,8,1)="-",IFERROR(INT(MID(metadata!C550,9,1))&gt;=0,FALSE),IFERROR(INT(MID(metadata!C550,9,1))&lt;=3,FALSE),NOT(MID(metadata!C550,10,1)=""),IFERROR(INT(MID(metadata!C550,9,2))&gt;=1,FALSE),IFERROR(INT(MID(metadata!C550,9,2))&lt;=31,FALSE)), OR(MID(metadata!C550,11,1)="", AND(AND(MID(metadata!C550,11,1)=" ",IFERROR(INT(MID(metadata!C550,12,1))&gt;=0,FALSE),IFERROR(INT(MID(metadata!C550,12,1))&lt;=2,FALSE),NOT(MID(metadata!C550,13,1)=""),IFERROR(INT(MID(metadata!C550,12,2))&gt;=0,FALSE),IFERROR(INT(MID(metadata!C550,12,2))&lt;=23,FALSE)), OR(MID(metadata!C550,14,1)="", AND(AND(MID(metadata!C550,14,1)=":",IFERROR(INT(MID(metadata!C550,15,1))&gt;=0,FALSE),IFERROR(INT(MID(metadata!C550,15,1))&lt;=5,FALSE),NOT(MID(metadata!C550,16,1)=""),IFERROR(INT(MID(metadata!C550,15,2))&gt;=0,FALSE),IFERROR(INT(MID(metadata!C550,15,2))&lt;=59,FALSE)), OR(MID(metadata!C550,17,1)="", AND(AND(MID(metadata!C550,17,1)=":",IFERROR(INT(MID(metadata!C550,18,1))&gt;=0,FALSE),IFERROR(INT(MID(metadata!C550,18,1))&lt;=5,FALSE),NOT(MID(metadata!C550,19,1)=""),IFERROR(INT(MID(metadata!C550,18,2))&gt;=0,FALSE),IFERROR(INT(MID(metadata!C550,18,2))&lt;=59,FALSE)), LEN(metadata!C550)&lt;=19)))))))))))))</f>
        <v>0</v>
      </c>
      <c r="AD550">
        <f>IF(metadata!D550="",FALSE,TRUE)</f>
        <v>0</v>
      </c>
      <c r="AE550">
        <f>OR(AND(IF(metadata!E550="",FALSE,TRUE),OR(exact(metadata!E550,"missing: not collected"),exact(metadata!E550,"missing: not provided"))),AND(IF(metadata!E550="",FALSE,TRUE),OR(exact(metadata!E550,"TRUE"),exact(metadata!E550,"FALSE"))))</f>
        <v>0</v>
      </c>
      <c r="AF550">
        <f>IF(metadata!F550="",FALSE,TRUE)</f>
        <v>0</v>
      </c>
      <c r="AG550">
        <f>IF(metadata!G550="",FALSE,TRUE)</f>
        <v>0</v>
      </c>
      <c r="AH550">
        <f>IF(metadata!H550="",FALSE,TRUE)</f>
        <v>0</v>
      </c>
      <c r="AI550">
        <f>OR(AND(IF(metadata!I550="",FALSE,TRUE),OR(exact(metadata!I550,"missing: not collected"),exact(metadata!I550,"missing: not provided"),exact(metadata!I550,"missing: restricted access"))),AND(IF(metadata!I550="",FALSE,TRUE),OR(exact(metadata!I550,"air"),exact(metadata!I550,"built environment"),exact(metadata!I550,"host-associated"),exact(metadata!I550,"human-associated"),exact(metadata!I550,"human-skin"),exact(metadata!I550,"human-oral"),exact(metadata!I550,"human-gut"),exact(metadata!I550,"human-vaginal"),exact(metadata!I550,"microbial mat/biofilm"),exact(metadata!I550,"misc environment"),exact(metadata!I550,"plant-associated"),exact(metadata!I550,"sediment"),exact(metadata!I550,"soil"),exact(metadata!I550,"wastewater/sludge"),exact(metadata!I550,"water"))))</f>
        <v>0</v>
      </c>
      <c r="AJ550">
        <f>IF(metadata!J550="",FALSE,TRUE)</f>
        <v>0</v>
      </c>
      <c r="AK550">
        <f>OR(AND(IF(metadata!K550="",FALSE,TRUE),OR(exact(metadata!K550,"missing: not collected"),exact(metadata!K550,"missing: not provided"),exact(metadata!K550,"missing: restricted access"))),AND(IF(metadata!K550="",FALSE,ISNUMBER(VALUE(metadata!K550))),metadata!K550&gt;=-90.00,metadata!K550&lt;=90.00))</f>
        <v>0</v>
      </c>
      <c r="AL550">
        <f>OR(AND(IF(metadata!L550="",FALSE,TRUE),OR(exact(metadata!L550,"missing: not collected"),exact(metadata!L550,"missing: not provided"),exact(metadata!L550,"missing: restricted access"))),AND(IF(metadata!L550="",FALSE,ISNUMBER(VALUE(metadata!L550))),metadata!L550&gt;=-180.00,metadata!L550&lt;=180.00))</f>
        <v>0</v>
      </c>
      <c r="AM550">
        <f>IF(metadata!M550="",FALSE,TRUE)</f>
        <v>0</v>
      </c>
      <c r="AN550">
        <f>OR(AND(IF(metadata!N550="",FALSE,TRUE),OR(exact(metadata!N550,"missing: not collected"),exact(metadata!N550,"missing: not provided"),exact(metadata!N550,"missing: restricted access"))),AND(IF(metadata!N550="",FALSE,TRUE),OR(exact(metadata!N550,"TRUE"),exact(metadata!N550,"FALSE"))))</f>
        <v>0</v>
      </c>
      <c r="AO550">
        <f>IF(metadata!O550="",FALSE,TRUE)</f>
        <v>0</v>
      </c>
      <c r="AP550">
        <f>OR(AND(IF(metadata!P550="",FALSE,TRUE),OR(exact(metadata!P550,"missing: not collected"),exact(metadata!P550,"missing: not provided"))),AND(IF(metadata!P550="",FALSE,IF(ISERROR(INT(metadata!P550)),FALSE,INT(metadata!P550)=metadata!P550)),metadata!P550&gt;0))</f>
        <v>0</v>
      </c>
      <c r="AQ550">
        <f>IF(metadata!Q550="",FALSE,TRUE)</f>
        <v>0</v>
      </c>
    </row>
    <row r="551" spans="1:43">
      <c r="A551" s="5">
        <f>IF(B551=" "," ",HYPERLINK(CONCATENATE("#metadata!",ADDRESS(INDEX($W$2:$W$1001,MATCH(ROWS($U$2:U551),$U$2:$U$1001,0),0),1)),INDEX($Z$2:$Z$1001,MATCH(ROWS($U$2:U551),$U$2:$U$1001,0),0)))</f>
        <v>0</v>
      </c>
      <c r="B551" s="4">
        <f>IF(OR(INDEX($V$2:$V$1001,MATCH(ROWS($U$2:U551),$U$2:$U$1001,0),1)&gt;=100000,INDEX($AB$1005:$AQ$1005,1,MATCH(COLUMNS($AB$1006:AB1006),$AB$1006:$AQ$1006,0))&gt;=100000), " ",IF(INDEX($AB$2:$AQ$1001,MATCH(ROWS($U$2:U551),$U$2:$U$1001,0),MATCH(COLUMNS($AB$1006:AB1006),$AB$1006:$AQ$1006,0)), HYPERLINK("#",""), HYPERLINK(CONCATENATE("#metadata!", ADDRESS(INDEX($W$2:$W$1001,MATCH(ROWS($U$2:U551),$U$2:$U$1001,0),0), INDEX($AB$1004:$AQ$1004,1,MATCH(COLUMNS($AB$1006:AB1006),$AB$1006:$AQ$1006,0)))),"Fix")))</f>
        <v>0</v>
      </c>
      <c r="C551" s="4">
        <f>IF(OR(INDEX($V$2:$V$1001,MATCH(ROWS($U$2:U551),$U$2:$U$1001,0),1)&gt;=100000,INDEX($AB$1005:$AQ$1005,1,MATCH(COLUMNS($AB$1006:AC1006),$AB$1006:$AQ$1006,0))&gt;=100000), " ",IF(INDEX($AB$2:$AQ$1001,MATCH(ROWS($U$2:U551),$U$2:$U$1001,0),MATCH(COLUMNS($AB$1006:AC1006),$AB$1006:$AQ$1006,0)), HYPERLINK("#",""), HYPERLINK(CONCATENATE("#metadata!", ADDRESS(INDEX($W$2:$W$1001,MATCH(ROWS($U$2:U551),$U$2:$U$1001,0),0), INDEX($AB$1004:$AQ$1004,1,MATCH(COLUMNS($AB$1006:AC1006),$AB$1006:$AQ$1006,0)))),"Fix")))</f>
        <v>0</v>
      </c>
      <c r="D551" s="4">
        <f>IF(OR(INDEX($V$2:$V$1001,MATCH(ROWS($U$2:U551),$U$2:$U$1001,0),1)&gt;=100000,INDEX($AB$1005:$AQ$1005,1,MATCH(COLUMNS($AB$1006:AD1006),$AB$1006:$AQ$1006,0))&gt;=100000), " ",IF(INDEX($AB$2:$AQ$1001,MATCH(ROWS($U$2:U551),$U$2:$U$1001,0),MATCH(COLUMNS($AB$1006:AD1006),$AB$1006:$AQ$1006,0)), HYPERLINK("#",""), HYPERLINK(CONCATENATE("#metadata!", ADDRESS(INDEX($W$2:$W$1001,MATCH(ROWS($U$2:U551),$U$2:$U$1001,0),0), INDEX($AB$1004:$AQ$1004,1,MATCH(COLUMNS($AB$1006:AD1006),$AB$1006:$AQ$1006,0)))),"Fix")))</f>
        <v>0</v>
      </c>
      <c r="E551" s="4">
        <f>IF(OR(INDEX($V$2:$V$1001,MATCH(ROWS($U$2:U551),$U$2:$U$1001,0),1)&gt;=100000,INDEX($AB$1005:$AQ$1005,1,MATCH(COLUMNS($AB$1006:AE1006),$AB$1006:$AQ$1006,0))&gt;=100000), " ",IF(INDEX($AB$2:$AQ$1001,MATCH(ROWS($U$2:U551),$U$2:$U$1001,0),MATCH(COLUMNS($AB$1006:AE1006),$AB$1006:$AQ$1006,0)), HYPERLINK("#",""), HYPERLINK(CONCATENATE("#metadata!", ADDRESS(INDEX($W$2:$W$1001,MATCH(ROWS($U$2:U551),$U$2:$U$1001,0),0), INDEX($AB$1004:$AQ$1004,1,MATCH(COLUMNS($AB$1006:AE1006),$AB$1006:$AQ$1006,0)))),"Fix")))</f>
        <v>0</v>
      </c>
      <c r="F551" s="4">
        <f>IF(OR(INDEX($V$2:$V$1001,MATCH(ROWS($U$2:U551),$U$2:$U$1001,0),1)&gt;=100000,INDEX($AB$1005:$AQ$1005,1,MATCH(COLUMNS($AB$1006:AF1006),$AB$1006:$AQ$1006,0))&gt;=100000), " ",IF(INDEX($AB$2:$AQ$1001,MATCH(ROWS($U$2:U551),$U$2:$U$1001,0),MATCH(COLUMNS($AB$1006:AF1006),$AB$1006:$AQ$1006,0)), HYPERLINK("#",""), HYPERLINK(CONCATENATE("#metadata!", ADDRESS(INDEX($W$2:$W$1001,MATCH(ROWS($U$2:U551),$U$2:$U$1001,0),0), INDEX($AB$1004:$AQ$1004,1,MATCH(COLUMNS($AB$1006:AF1006),$AB$1006:$AQ$1006,0)))),"Fix")))</f>
        <v>0</v>
      </c>
      <c r="G551" s="4">
        <f>IF(OR(INDEX($V$2:$V$1001,MATCH(ROWS($U$2:U551),$U$2:$U$1001,0),1)&gt;=100000,INDEX($AB$1005:$AQ$1005,1,MATCH(COLUMNS($AB$1006:AG1006),$AB$1006:$AQ$1006,0))&gt;=100000), " ",IF(INDEX($AB$2:$AQ$1001,MATCH(ROWS($U$2:U551),$U$2:$U$1001,0),MATCH(COLUMNS($AB$1006:AG1006),$AB$1006:$AQ$1006,0)), HYPERLINK("#",""), HYPERLINK(CONCATENATE("#metadata!", ADDRESS(INDEX($W$2:$W$1001,MATCH(ROWS($U$2:U551),$U$2:$U$1001,0),0), INDEX($AB$1004:$AQ$1004,1,MATCH(COLUMNS($AB$1006:AG1006),$AB$1006:$AQ$1006,0)))),"Fix")))</f>
        <v>0</v>
      </c>
      <c r="H551" s="4">
        <f>IF(OR(INDEX($V$2:$V$1001,MATCH(ROWS($U$2:U551),$U$2:$U$1001,0),1)&gt;=100000,INDEX($AB$1005:$AQ$1005,1,MATCH(COLUMNS($AB$1006:AH1006),$AB$1006:$AQ$1006,0))&gt;=100000), " ",IF(INDEX($AB$2:$AQ$1001,MATCH(ROWS($U$2:U551),$U$2:$U$1001,0),MATCH(COLUMNS($AB$1006:AH1006),$AB$1006:$AQ$1006,0)), HYPERLINK("#",""), HYPERLINK(CONCATENATE("#metadata!", ADDRESS(INDEX($W$2:$W$1001,MATCH(ROWS($U$2:U551),$U$2:$U$1001,0),0), INDEX($AB$1004:$AQ$1004,1,MATCH(COLUMNS($AB$1006:AH1006),$AB$1006:$AQ$1006,0)))),"Fix")))</f>
        <v>0</v>
      </c>
      <c r="I551" s="4">
        <f>IF(OR(INDEX($V$2:$V$1001,MATCH(ROWS($U$2:U551),$U$2:$U$1001,0),1)&gt;=100000,INDEX($AB$1005:$AQ$1005,1,MATCH(COLUMNS($AB$1006:AI1006),$AB$1006:$AQ$1006,0))&gt;=100000), " ",IF(INDEX($AB$2:$AQ$1001,MATCH(ROWS($U$2:U551),$U$2:$U$1001,0),MATCH(COLUMNS($AB$1006:AI1006),$AB$1006:$AQ$1006,0)), HYPERLINK("#",""), HYPERLINK(CONCATENATE("#metadata!", ADDRESS(INDEX($W$2:$W$1001,MATCH(ROWS($U$2:U551),$U$2:$U$1001,0),0), INDEX($AB$1004:$AQ$1004,1,MATCH(COLUMNS($AB$1006:AI1006),$AB$1006:$AQ$1006,0)))),"Fix")))</f>
        <v>0</v>
      </c>
      <c r="J551" s="4">
        <f>IF(OR(INDEX($V$2:$V$1001,MATCH(ROWS($U$2:U551),$U$2:$U$1001,0),1)&gt;=100000,INDEX($AB$1005:$AQ$1005,1,MATCH(COLUMNS($AB$1006:AJ1006),$AB$1006:$AQ$1006,0))&gt;=100000), " ",IF(INDEX($AB$2:$AQ$1001,MATCH(ROWS($U$2:U551),$U$2:$U$1001,0),MATCH(COLUMNS($AB$1006:AJ1006),$AB$1006:$AQ$1006,0)), HYPERLINK("#",""), HYPERLINK(CONCATENATE("#metadata!", ADDRESS(INDEX($W$2:$W$1001,MATCH(ROWS($U$2:U551),$U$2:$U$1001,0),0), INDEX($AB$1004:$AQ$1004,1,MATCH(COLUMNS($AB$1006:AJ1006),$AB$1006:$AQ$1006,0)))),"Fix")))</f>
        <v>0</v>
      </c>
      <c r="K551" s="4">
        <f>IF(OR(INDEX($V$2:$V$1001,MATCH(ROWS($U$2:U551),$U$2:$U$1001,0),1)&gt;=100000,INDEX($AB$1005:$AQ$1005,1,MATCH(COLUMNS($AB$1006:AK1006),$AB$1006:$AQ$1006,0))&gt;=100000), " ",IF(INDEX($AB$2:$AQ$1001,MATCH(ROWS($U$2:U551),$U$2:$U$1001,0),MATCH(COLUMNS($AB$1006:AK1006),$AB$1006:$AQ$1006,0)), HYPERLINK("#",""), HYPERLINK(CONCATENATE("#metadata!", ADDRESS(INDEX($W$2:$W$1001,MATCH(ROWS($U$2:U551),$U$2:$U$1001,0),0), INDEX($AB$1004:$AQ$1004,1,MATCH(COLUMNS($AB$1006:AK1006),$AB$1006:$AQ$1006,0)))),"Fix")))</f>
        <v>0</v>
      </c>
      <c r="L551" s="4">
        <f>IF(OR(INDEX($V$2:$V$1001,MATCH(ROWS($U$2:U551),$U$2:$U$1001,0),1)&gt;=100000,INDEX($AB$1005:$AQ$1005,1,MATCH(COLUMNS($AB$1006:AL1006),$AB$1006:$AQ$1006,0))&gt;=100000), " ",IF(INDEX($AB$2:$AQ$1001,MATCH(ROWS($U$2:U551),$U$2:$U$1001,0),MATCH(COLUMNS($AB$1006:AL1006),$AB$1006:$AQ$1006,0)), HYPERLINK("#",""), HYPERLINK(CONCATENATE("#metadata!", ADDRESS(INDEX($W$2:$W$1001,MATCH(ROWS($U$2:U551),$U$2:$U$1001,0),0), INDEX($AB$1004:$AQ$1004,1,MATCH(COLUMNS($AB$1006:AL1006),$AB$1006:$AQ$1006,0)))),"Fix")))</f>
        <v>0</v>
      </c>
      <c r="M551" s="4">
        <f>IF(OR(INDEX($V$2:$V$1001,MATCH(ROWS($U$2:U551),$U$2:$U$1001,0),1)&gt;=100000,INDEX($AB$1005:$AQ$1005,1,MATCH(COLUMNS($AB$1006:AM1006),$AB$1006:$AQ$1006,0))&gt;=100000), " ",IF(INDEX($AB$2:$AQ$1001,MATCH(ROWS($U$2:U551),$U$2:$U$1001,0),MATCH(COLUMNS($AB$1006:AM1006),$AB$1006:$AQ$1006,0)), HYPERLINK("#",""), HYPERLINK(CONCATENATE("#metadata!", ADDRESS(INDEX($W$2:$W$1001,MATCH(ROWS($U$2:U551),$U$2:$U$1001,0),0), INDEX($AB$1004:$AQ$1004,1,MATCH(COLUMNS($AB$1006:AM1006),$AB$1006:$AQ$1006,0)))),"Fix")))</f>
        <v>0</v>
      </c>
      <c r="N551" s="4">
        <f>IF(OR(INDEX($V$2:$V$1001,MATCH(ROWS($U$2:U551),$U$2:$U$1001,0),1)&gt;=100000,INDEX($AB$1005:$AQ$1005,1,MATCH(COLUMNS($AB$1006:AN1006),$AB$1006:$AQ$1006,0))&gt;=100000), " ",IF(INDEX($AB$2:$AQ$1001,MATCH(ROWS($U$2:U551),$U$2:$U$1001,0),MATCH(COLUMNS($AB$1006:AN1006),$AB$1006:$AQ$1006,0)), HYPERLINK("#",""), HYPERLINK(CONCATENATE("#metadata!", ADDRESS(INDEX($W$2:$W$1001,MATCH(ROWS($U$2:U551),$U$2:$U$1001,0),0), INDEX($AB$1004:$AQ$1004,1,MATCH(COLUMNS($AB$1006:AN1006),$AB$1006:$AQ$1006,0)))),"Fix")))</f>
        <v>0</v>
      </c>
      <c r="O551" s="4">
        <f>IF(OR(INDEX($V$2:$V$1001,MATCH(ROWS($U$2:U551),$U$2:$U$1001,0),1)&gt;=100000,INDEX($AB$1005:$AQ$1005,1,MATCH(COLUMNS($AB$1006:AO1006),$AB$1006:$AQ$1006,0))&gt;=100000), " ",IF(INDEX($AB$2:$AQ$1001,MATCH(ROWS($U$2:U551),$U$2:$U$1001,0),MATCH(COLUMNS($AB$1006:AO1006),$AB$1006:$AQ$1006,0)), HYPERLINK("#",""), HYPERLINK(CONCATENATE("#metadata!", ADDRESS(INDEX($W$2:$W$1001,MATCH(ROWS($U$2:U551),$U$2:$U$1001,0),0), INDEX($AB$1004:$AQ$1004,1,MATCH(COLUMNS($AB$1006:AO1006),$AB$1006:$AQ$1006,0)))),"Fix")))</f>
        <v>0</v>
      </c>
      <c r="P551" s="4">
        <f>IF(OR(INDEX($V$2:$V$1001,MATCH(ROWS($U$2:U551),$U$2:$U$1001,0),1)&gt;=100000,INDEX($AB$1005:$AQ$1005,1,MATCH(COLUMNS($AB$1006:AP1006),$AB$1006:$AQ$1006,0))&gt;=100000), " ",IF(INDEX($AB$2:$AQ$1001,MATCH(ROWS($U$2:U551),$U$2:$U$1001,0),MATCH(COLUMNS($AB$1006:AP1006),$AB$1006:$AQ$1006,0)), HYPERLINK("#",""), HYPERLINK(CONCATENATE("#metadata!", ADDRESS(INDEX($W$2:$W$1001,MATCH(ROWS($U$2:U551),$U$2:$U$1001,0),0), INDEX($AB$1004:$AQ$1004,1,MATCH(COLUMNS($AB$1006:AP1006),$AB$1006:$AQ$1006,0)))),"Fix")))</f>
        <v>0</v>
      </c>
      <c r="Q551" s="4">
        <f>IF(OR(INDEX($V$2:$V$1001,MATCH(ROWS($U$2:U551),$U$2:$U$1001,0),1)&gt;=100000,INDEX($AB$1005:$AQ$1005,1,MATCH(COLUMNS($AB$1006:AQ1006),$AB$1006:$AQ$1006,0))&gt;=100000), " ",IF(INDEX($AB$2:$AQ$1001,MATCH(ROWS($U$2:U551),$U$2:$U$1001,0),MATCH(COLUMNS($AB$1006:AQ1006),$AB$1006:$AQ$1006,0)), HYPERLINK("#",""), HYPERLINK(CONCATENATE("#metadata!", ADDRESS(INDEX($W$2:$W$1001,MATCH(ROWS($U$2:U551),$U$2:$U$1001,0),0), INDEX($AB$1004:$AQ$1004,1,MATCH(COLUMNS($AB$1006:AQ1006),$AB$1006:$AQ$1006,0)))),"Fix")))</f>
        <v>0</v>
      </c>
      <c r="U551">
        <v>0</v>
      </c>
      <c r="V551">
        <v>0</v>
      </c>
      <c r="W551">
        <v>0</v>
      </c>
      <c r="X551">
        <f>IF(Y551,TRUE,AND(AB551:AQ551))</f>
        <v>0</v>
      </c>
      <c r="Y551">
        <f>COUNTBLANK(metadata!B551:Q551)=COLUMNS(metadata!B551:Q551)</f>
        <v>0</v>
      </c>
      <c r="Z551">
        <v>0</v>
      </c>
      <c r="AB551">
        <f>AND(IF(metadata!B551="",FALSE,TRUE),COUNTIF(metadata!B:B, metadata!B551) = 1,NOT(ISERROR(SUMPRODUCT(SEARCH(MID(metadata!B551,ROW(INDIRECT("1:"&amp;LEN(metadata!B551))), 1),"0123456789abcdefghijklmnopqrstuvwxyzABCDEFGHIJKLMNOPQRSTUVWXYZ.")))))</f>
        <v>0</v>
      </c>
      <c r="AC551">
        <f>OR(AND(IF(metadata!C551="",FALSE,TRUE),OR(exact(metadata!C551,"missing: not collected"),exact(metadata!C551,"missing: not provided"),exact(metadata!C551,"missing: restricted access"))),AND(IF(metadata!C551="",FALSE,TRUE),AND(AND(IFERROR(INT(LEFT(metadata!C551,4))&gt;1900,FALSE),IFERROR(INT(LEFT(metadata!C551,4))&lt;=YEAR(NOW()),FALSE)), OR(MID(metadata!C551,5,1)="", AND(AND(MID(metadata!C551,5,1)="-",IFERROR(INT(MID(metadata!C551,6,1))&gt;=0,FALSE),IFERROR(INT(MID(metadata!C551,6,1))&lt;=1,FALSE),NOT(MID(metadata!C551,7,1)=""),IFERROR(INT(MID(metadata!C551,6,2))&gt;=1,FALSE),IFERROR(INT(MID(metadata!C551,6,2))&lt;=12,FALSE)), OR(MID(metadata!C551,8,1)="", AND(AND(MID(metadata!C551,8,1)="-",IFERROR(INT(MID(metadata!C551,9,1))&gt;=0,FALSE),IFERROR(INT(MID(metadata!C551,9,1))&lt;=3,FALSE),NOT(MID(metadata!C551,10,1)=""),IFERROR(INT(MID(metadata!C551,9,2))&gt;=1,FALSE),IFERROR(INT(MID(metadata!C551,9,2))&lt;=31,FALSE)), OR(MID(metadata!C551,11,1)="", AND(AND(MID(metadata!C551,11,1)=" ",IFERROR(INT(MID(metadata!C551,12,1))&gt;=0,FALSE),IFERROR(INT(MID(metadata!C551,12,1))&lt;=2,FALSE),NOT(MID(metadata!C551,13,1)=""),IFERROR(INT(MID(metadata!C551,12,2))&gt;=0,FALSE),IFERROR(INT(MID(metadata!C551,12,2))&lt;=23,FALSE)), OR(MID(metadata!C551,14,1)="", AND(AND(MID(metadata!C551,14,1)=":",IFERROR(INT(MID(metadata!C551,15,1))&gt;=0,FALSE),IFERROR(INT(MID(metadata!C551,15,1))&lt;=5,FALSE),NOT(MID(metadata!C551,16,1)=""),IFERROR(INT(MID(metadata!C551,15,2))&gt;=0,FALSE),IFERROR(INT(MID(metadata!C551,15,2))&lt;=59,FALSE)), OR(MID(metadata!C551,17,1)="", AND(AND(MID(metadata!C551,17,1)=":",IFERROR(INT(MID(metadata!C551,18,1))&gt;=0,FALSE),IFERROR(INT(MID(metadata!C551,18,1))&lt;=5,FALSE),NOT(MID(metadata!C551,19,1)=""),IFERROR(INT(MID(metadata!C551,18,2))&gt;=0,FALSE),IFERROR(INT(MID(metadata!C551,18,2))&lt;=59,FALSE)), LEN(metadata!C551)&lt;=19)))))))))))))</f>
        <v>0</v>
      </c>
      <c r="AD551">
        <f>IF(metadata!D551="",FALSE,TRUE)</f>
        <v>0</v>
      </c>
      <c r="AE551">
        <f>OR(AND(IF(metadata!E551="",FALSE,TRUE),OR(exact(metadata!E551,"missing: not collected"),exact(metadata!E551,"missing: not provided"))),AND(IF(metadata!E551="",FALSE,TRUE),OR(exact(metadata!E551,"TRUE"),exact(metadata!E551,"FALSE"))))</f>
        <v>0</v>
      </c>
      <c r="AF551">
        <f>IF(metadata!F551="",FALSE,TRUE)</f>
        <v>0</v>
      </c>
      <c r="AG551">
        <f>IF(metadata!G551="",FALSE,TRUE)</f>
        <v>0</v>
      </c>
      <c r="AH551">
        <f>IF(metadata!H551="",FALSE,TRUE)</f>
        <v>0</v>
      </c>
      <c r="AI551">
        <f>OR(AND(IF(metadata!I551="",FALSE,TRUE),OR(exact(metadata!I551,"missing: not collected"),exact(metadata!I551,"missing: not provided"),exact(metadata!I551,"missing: restricted access"))),AND(IF(metadata!I551="",FALSE,TRUE),OR(exact(metadata!I551,"air"),exact(metadata!I551,"built environment"),exact(metadata!I551,"host-associated"),exact(metadata!I551,"human-associated"),exact(metadata!I551,"human-skin"),exact(metadata!I551,"human-oral"),exact(metadata!I551,"human-gut"),exact(metadata!I551,"human-vaginal"),exact(metadata!I551,"microbial mat/biofilm"),exact(metadata!I551,"misc environment"),exact(metadata!I551,"plant-associated"),exact(metadata!I551,"sediment"),exact(metadata!I551,"soil"),exact(metadata!I551,"wastewater/sludge"),exact(metadata!I551,"water"))))</f>
        <v>0</v>
      </c>
      <c r="AJ551">
        <f>IF(metadata!J551="",FALSE,TRUE)</f>
        <v>0</v>
      </c>
      <c r="AK551">
        <f>OR(AND(IF(metadata!K551="",FALSE,TRUE),OR(exact(metadata!K551,"missing: not collected"),exact(metadata!K551,"missing: not provided"),exact(metadata!K551,"missing: restricted access"))),AND(IF(metadata!K551="",FALSE,ISNUMBER(VALUE(metadata!K551))),metadata!K551&gt;=-90.00,metadata!K551&lt;=90.00))</f>
        <v>0</v>
      </c>
      <c r="AL551">
        <f>OR(AND(IF(metadata!L551="",FALSE,TRUE),OR(exact(metadata!L551,"missing: not collected"),exact(metadata!L551,"missing: not provided"),exact(metadata!L551,"missing: restricted access"))),AND(IF(metadata!L551="",FALSE,ISNUMBER(VALUE(metadata!L551))),metadata!L551&gt;=-180.00,metadata!L551&lt;=180.00))</f>
        <v>0</v>
      </c>
      <c r="AM551">
        <f>IF(metadata!M551="",FALSE,TRUE)</f>
        <v>0</v>
      </c>
      <c r="AN551">
        <f>OR(AND(IF(metadata!N551="",FALSE,TRUE),OR(exact(metadata!N551,"missing: not collected"),exact(metadata!N551,"missing: not provided"),exact(metadata!N551,"missing: restricted access"))),AND(IF(metadata!N551="",FALSE,TRUE),OR(exact(metadata!N551,"TRUE"),exact(metadata!N551,"FALSE"))))</f>
        <v>0</v>
      </c>
      <c r="AO551">
        <f>IF(metadata!O551="",FALSE,TRUE)</f>
        <v>0</v>
      </c>
      <c r="AP551">
        <f>OR(AND(IF(metadata!P551="",FALSE,TRUE),OR(exact(metadata!P551,"missing: not collected"),exact(metadata!P551,"missing: not provided"))),AND(IF(metadata!P551="",FALSE,IF(ISERROR(INT(metadata!P551)),FALSE,INT(metadata!P551)=metadata!P551)),metadata!P551&gt;0))</f>
        <v>0</v>
      </c>
      <c r="AQ551">
        <f>IF(metadata!Q551="",FALSE,TRUE)</f>
        <v>0</v>
      </c>
    </row>
    <row r="552" spans="1:43">
      <c r="A552" s="5">
        <f>IF(B552=" "," ",HYPERLINK(CONCATENATE("#metadata!",ADDRESS(INDEX($W$2:$W$1001,MATCH(ROWS($U$2:U552),$U$2:$U$1001,0),0),1)),INDEX($Z$2:$Z$1001,MATCH(ROWS($U$2:U552),$U$2:$U$1001,0),0)))</f>
        <v>0</v>
      </c>
      <c r="B552" s="4">
        <f>IF(OR(INDEX($V$2:$V$1001,MATCH(ROWS($U$2:U552),$U$2:$U$1001,0),1)&gt;=100000,INDEX($AB$1005:$AQ$1005,1,MATCH(COLUMNS($AB$1006:AB1006),$AB$1006:$AQ$1006,0))&gt;=100000), " ",IF(INDEX($AB$2:$AQ$1001,MATCH(ROWS($U$2:U552),$U$2:$U$1001,0),MATCH(COLUMNS($AB$1006:AB1006),$AB$1006:$AQ$1006,0)), HYPERLINK("#",""), HYPERLINK(CONCATENATE("#metadata!", ADDRESS(INDEX($W$2:$W$1001,MATCH(ROWS($U$2:U552),$U$2:$U$1001,0),0), INDEX($AB$1004:$AQ$1004,1,MATCH(COLUMNS($AB$1006:AB1006),$AB$1006:$AQ$1006,0)))),"Fix")))</f>
        <v>0</v>
      </c>
      <c r="C552" s="4">
        <f>IF(OR(INDEX($V$2:$V$1001,MATCH(ROWS($U$2:U552),$U$2:$U$1001,0),1)&gt;=100000,INDEX($AB$1005:$AQ$1005,1,MATCH(COLUMNS($AB$1006:AC1006),$AB$1006:$AQ$1006,0))&gt;=100000), " ",IF(INDEX($AB$2:$AQ$1001,MATCH(ROWS($U$2:U552),$U$2:$U$1001,0),MATCH(COLUMNS($AB$1006:AC1006),$AB$1006:$AQ$1006,0)), HYPERLINK("#",""), HYPERLINK(CONCATENATE("#metadata!", ADDRESS(INDEX($W$2:$W$1001,MATCH(ROWS($U$2:U552),$U$2:$U$1001,0),0), INDEX($AB$1004:$AQ$1004,1,MATCH(COLUMNS($AB$1006:AC1006),$AB$1006:$AQ$1006,0)))),"Fix")))</f>
        <v>0</v>
      </c>
      <c r="D552" s="4">
        <f>IF(OR(INDEX($V$2:$V$1001,MATCH(ROWS($U$2:U552),$U$2:$U$1001,0),1)&gt;=100000,INDEX($AB$1005:$AQ$1005,1,MATCH(COLUMNS($AB$1006:AD1006),$AB$1006:$AQ$1006,0))&gt;=100000), " ",IF(INDEX($AB$2:$AQ$1001,MATCH(ROWS($U$2:U552),$U$2:$U$1001,0),MATCH(COLUMNS($AB$1006:AD1006),$AB$1006:$AQ$1006,0)), HYPERLINK("#",""), HYPERLINK(CONCATENATE("#metadata!", ADDRESS(INDEX($W$2:$W$1001,MATCH(ROWS($U$2:U552),$U$2:$U$1001,0),0), INDEX($AB$1004:$AQ$1004,1,MATCH(COLUMNS($AB$1006:AD1006),$AB$1006:$AQ$1006,0)))),"Fix")))</f>
        <v>0</v>
      </c>
      <c r="E552" s="4">
        <f>IF(OR(INDEX($V$2:$V$1001,MATCH(ROWS($U$2:U552),$U$2:$U$1001,0),1)&gt;=100000,INDEX($AB$1005:$AQ$1005,1,MATCH(COLUMNS($AB$1006:AE1006),$AB$1006:$AQ$1006,0))&gt;=100000), " ",IF(INDEX($AB$2:$AQ$1001,MATCH(ROWS($U$2:U552),$U$2:$U$1001,0),MATCH(COLUMNS($AB$1006:AE1006),$AB$1006:$AQ$1006,0)), HYPERLINK("#",""), HYPERLINK(CONCATENATE("#metadata!", ADDRESS(INDEX($W$2:$W$1001,MATCH(ROWS($U$2:U552),$U$2:$U$1001,0),0), INDEX($AB$1004:$AQ$1004,1,MATCH(COLUMNS($AB$1006:AE1006),$AB$1006:$AQ$1006,0)))),"Fix")))</f>
        <v>0</v>
      </c>
      <c r="F552" s="4">
        <f>IF(OR(INDEX($V$2:$V$1001,MATCH(ROWS($U$2:U552),$U$2:$U$1001,0),1)&gt;=100000,INDEX($AB$1005:$AQ$1005,1,MATCH(COLUMNS($AB$1006:AF1006),$AB$1006:$AQ$1006,0))&gt;=100000), " ",IF(INDEX($AB$2:$AQ$1001,MATCH(ROWS($U$2:U552),$U$2:$U$1001,0),MATCH(COLUMNS($AB$1006:AF1006),$AB$1006:$AQ$1006,0)), HYPERLINK("#",""), HYPERLINK(CONCATENATE("#metadata!", ADDRESS(INDEX($W$2:$W$1001,MATCH(ROWS($U$2:U552),$U$2:$U$1001,0),0), INDEX($AB$1004:$AQ$1004,1,MATCH(COLUMNS($AB$1006:AF1006),$AB$1006:$AQ$1006,0)))),"Fix")))</f>
        <v>0</v>
      </c>
      <c r="G552" s="4">
        <f>IF(OR(INDEX($V$2:$V$1001,MATCH(ROWS($U$2:U552),$U$2:$U$1001,0),1)&gt;=100000,INDEX($AB$1005:$AQ$1005,1,MATCH(COLUMNS($AB$1006:AG1006),$AB$1006:$AQ$1006,0))&gt;=100000), " ",IF(INDEX($AB$2:$AQ$1001,MATCH(ROWS($U$2:U552),$U$2:$U$1001,0),MATCH(COLUMNS($AB$1006:AG1006),$AB$1006:$AQ$1006,0)), HYPERLINK("#",""), HYPERLINK(CONCATENATE("#metadata!", ADDRESS(INDEX($W$2:$W$1001,MATCH(ROWS($U$2:U552),$U$2:$U$1001,0),0), INDEX($AB$1004:$AQ$1004,1,MATCH(COLUMNS($AB$1006:AG1006),$AB$1006:$AQ$1006,0)))),"Fix")))</f>
        <v>0</v>
      </c>
      <c r="H552" s="4">
        <f>IF(OR(INDEX($V$2:$V$1001,MATCH(ROWS($U$2:U552),$U$2:$U$1001,0),1)&gt;=100000,INDEX($AB$1005:$AQ$1005,1,MATCH(COLUMNS($AB$1006:AH1006),$AB$1006:$AQ$1006,0))&gt;=100000), " ",IF(INDEX($AB$2:$AQ$1001,MATCH(ROWS($U$2:U552),$U$2:$U$1001,0),MATCH(COLUMNS($AB$1006:AH1006),$AB$1006:$AQ$1006,0)), HYPERLINK("#",""), HYPERLINK(CONCATENATE("#metadata!", ADDRESS(INDEX($W$2:$W$1001,MATCH(ROWS($U$2:U552),$U$2:$U$1001,0),0), INDEX($AB$1004:$AQ$1004,1,MATCH(COLUMNS($AB$1006:AH1006),$AB$1006:$AQ$1006,0)))),"Fix")))</f>
        <v>0</v>
      </c>
      <c r="I552" s="4">
        <f>IF(OR(INDEX($V$2:$V$1001,MATCH(ROWS($U$2:U552),$U$2:$U$1001,0),1)&gt;=100000,INDEX($AB$1005:$AQ$1005,1,MATCH(COLUMNS($AB$1006:AI1006),$AB$1006:$AQ$1006,0))&gt;=100000), " ",IF(INDEX($AB$2:$AQ$1001,MATCH(ROWS($U$2:U552),$U$2:$U$1001,0),MATCH(COLUMNS($AB$1006:AI1006),$AB$1006:$AQ$1006,0)), HYPERLINK("#",""), HYPERLINK(CONCATENATE("#metadata!", ADDRESS(INDEX($W$2:$W$1001,MATCH(ROWS($U$2:U552),$U$2:$U$1001,0),0), INDEX($AB$1004:$AQ$1004,1,MATCH(COLUMNS($AB$1006:AI1006),$AB$1006:$AQ$1006,0)))),"Fix")))</f>
        <v>0</v>
      </c>
      <c r="J552" s="4">
        <f>IF(OR(INDEX($V$2:$V$1001,MATCH(ROWS($U$2:U552),$U$2:$U$1001,0),1)&gt;=100000,INDEX($AB$1005:$AQ$1005,1,MATCH(COLUMNS($AB$1006:AJ1006),$AB$1006:$AQ$1006,0))&gt;=100000), " ",IF(INDEX($AB$2:$AQ$1001,MATCH(ROWS($U$2:U552),$U$2:$U$1001,0),MATCH(COLUMNS($AB$1006:AJ1006),$AB$1006:$AQ$1006,0)), HYPERLINK("#",""), HYPERLINK(CONCATENATE("#metadata!", ADDRESS(INDEX($W$2:$W$1001,MATCH(ROWS($U$2:U552),$U$2:$U$1001,0),0), INDEX($AB$1004:$AQ$1004,1,MATCH(COLUMNS($AB$1006:AJ1006),$AB$1006:$AQ$1006,0)))),"Fix")))</f>
        <v>0</v>
      </c>
      <c r="K552" s="4">
        <f>IF(OR(INDEX($V$2:$V$1001,MATCH(ROWS($U$2:U552),$U$2:$U$1001,0),1)&gt;=100000,INDEX($AB$1005:$AQ$1005,1,MATCH(COLUMNS($AB$1006:AK1006),$AB$1006:$AQ$1006,0))&gt;=100000), " ",IF(INDEX($AB$2:$AQ$1001,MATCH(ROWS($U$2:U552),$U$2:$U$1001,0),MATCH(COLUMNS($AB$1006:AK1006),$AB$1006:$AQ$1006,0)), HYPERLINK("#",""), HYPERLINK(CONCATENATE("#metadata!", ADDRESS(INDEX($W$2:$W$1001,MATCH(ROWS($U$2:U552),$U$2:$U$1001,0),0), INDEX($AB$1004:$AQ$1004,1,MATCH(COLUMNS($AB$1006:AK1006),$AB$1006:$AQ$1006,0)))),"Fix")))</f>
        <v>0</v>
      </c>
      <c r="L552" s="4">
        <f>IF(OR(INDEX($V$2:$V$1001,MATCH(ROWS($U$2:U552),$U$2:$U$1001,0),1)&gt;=100000,INDEX($AB$1005:$AQ$1005,1,MATCH(COLUMNS($AB$1006:AL1006),$AB$1006:$AQ$1006,0))&gt;=100000), " ",IF(INDEX($AB$2:$AQ$1001,MATCH(ROWS($U$2:U552),$U$2:$U$1001,0),MATCH(COLUMNS($AB$1006:AL1006),$AB$1006:$AQ$1006,0)), HYPERLINK("#",""), HYPERLINK(CONCATENATE("#metadata!", ADDRESS(INDEX($W$2:$W$1001,MATCH(ROWS($U$2:U552),$U$2:$U$1001,0),0), INDEX($AB$1004:$AQ$1004,1,MATCH(COLUMNS($AB$1006:AL1006),$AB$1006:$AQ$1006,0)))),"Fix")))</f>
        <v>0</v>
      </c>
      <c r="M552" s="4">
        <f>IF(OR(INDEX($V$2:$V$1001,MATCH(ROWS($U$2:U552),$U$2:$U$1001,0),1)&gt;=100000,INDEX($AB$1005:$AQ$1005,1,MATCH(COLUMNS($AB$1006:AM1006),$AB$1006:$AQ$1006,0))&gt;=100000), " ",IF(INDEX($AB$2:$AQ$1001,MATCH(ROWS($U$2:U552),$U$2:$U$1001,0),MATCH(COLUMNS($AB$1006:AM1006),$AB$1006:$AQ$1006,0)), HYPERLINK("#",""), HYPERLINK(CONCATENATE("#metadata!", ADDRESS(INDEX($W$2:$W$1001,MATCH(ROWS($U$2:U552),$U$2:$U$1001,0),0), INDEX($AB$1004:$AQ$1004,1,MATCH(COLUMNS($AB$1006:AM1006),$AB$1006:$AQ$1006,0)))),"Fix")))</f>
        <v>0</v>
      </c>
      <c r="N552" s="4">
        <f>IF(OR(INDEX($V$2:$V$1001,MATCH(ROWS($U$2:U552),$U$2:$U$1001,0),1)&gt;=100000,INDEX($AB$1005:$AQ$1005,1,MATCH(COLUMNS($AB$1006:AN1006),$AB$1006:$AQ$1006,0))&gt;=100000), " ",IF(INDEX($AB$2:$AQ$1001,MATCH(ROWS($U$2:U552),$U$2:$U$1001,0),MATCH(COLUMNS($AB$1006:AN1006),$AB$1006:$AQ$1006,0)), HYPERLINK("#",""), HYPERLINK(CONCATENATE("#metadata!", ADDRESS(INDEX($W$2:$W$1001,MATCH(ROWS($U$2:U552),$U$2:$U$1001,0),0), INDEX($AB$1004:$AQ$1004,1,MATCH(COLUMNS($AB$1006:AN1006),$AB$1006:$AQ$1006,0)))),"Fix")))</f>
        <v>0</v>
      </c>
      <c r="O552" s="4">
        <f>IF(OR(INDEX($V$2:$V$1001,MATCH(ROWS($U$2:U552),$U$2:$U$1001,0),1)&gt;=100000,INDEX($AB$1005:$AQ$1005,1,MATCH(COLUMNS($AB$1006:AO1006),$AB$1006:$AQ$1006,0))&gt;=100000), " ",IF(INDEX($AB$2:$AQ$1001,MATCH(ROWS($U$2:U552),$U$2:$U$1001,0),MATCH(COLUMNS($AB$1006:AO1006),$AB$1006:$AQ$1006,0)), HYPERLINK("#",""), HYPERLINK(CONCATENATE("#metadata!", ADDRESS(INDEX($W$2:$W$1001,MATCH(ROWS($U$2:U552),$U$2:$U$1001,0),0), INDEX($AB$1004:$AQ$1004,1,MATCH(COLUMNS($AB$1006:AO1006),$AB$1006:$AQ$1006,0)))),"Fix")))</f>
        <v>0</v>
      </c>
      <c r="P552" s="4">
        <f>IF(OR(INDEX($V$2:$V$1001,MATCH(ROWS($U$2:U552),$U$2:$U$1001,0),1)&gt;=100000,INDEX($AB$1005:$AQ$1005,1,MATCH(COLUMNS($AB$1006:AP1006),$AB$1006:$AQ$1006,0))&gt;=100000), " ",IF(INDEX($AB$2:$AQ$1001,MATCH(ROWS($U$2:U552),$U$2:$U$1001,0),MATCH(COLUMNS($AB$1006:AP1006),$AB$1006:$AQ$1006,0)), HYPERLINK("#",""), HYPERLINK(CONCATENATE("#metadata!", ADDRESS(INDEX($W$2:$W$1001,MATCH(ROWS($U$2:U552),$U$2:$U$1001,0),0), INDEX($AB$1004:$AQ$1004,1,MATCH(COLUMNS($AB$1006:AP1006),$AB$1006:$AQ$1006,0)))),"Fix")))</f>
        <v>0</v>
      </c>
      <c r="Q552" s="4">
        <f>IF(OR(INDEX($V$2:$V$1001,MATCH(ROWS($U$2:U552),$U$2:$U$1001,0),1)&gt;=100000,INDEX($AB$1005:$AQ$1005,1,MATCH(COLUMNS($AB$1006:AQ1006),$AB$1006:$AQ$1006,0))&gt;=100000), " ",IF(INDEX($AB$2:$AQ$1001,MATCH(ROWS($U$2:U552),$U$2:$U$1001,0),MATCH(COLUMNS($AB$1006:AQ1006),$AB$1006:$AQ$1006,0)), HYPERLINK("#",""), HYPERLINK(CONCATENATE("#metadata!", ADDRESS(INDEX($W$2:$W$1001,MATCH(ROWS($U$2:U552),$U$2:$U$1001,0),0), INDEX($AB$1004:$AQ$1004,1,MATCH(COLUMNS($AB$1006:AQ1006),$AB$1006:$AQ$1006,0)))),"Fix")))</f>
        <v>0</v>
      </c>
      <c r="U552">
        <v>0</v>
      </c>
      <c r="V552">
        <v>0</v>
      </c>
      <c r="W552">
        <v>0</v>
      </c>
      <c r="X552">
        <f>IF(Y552,TRUE,AND(AB552:AQ552))</f>
        <v>0</v>
      </c>
      <c r="Y552">
        <f>COUNTBLANK(metadata!B552:Q552)=COLUMNS(metadata!B552:Q552)</f>
        <v>0</v>
      </c>
      <c r="Z552">
        <v>0</v>
      </c>
      <c r="AB552">
        <f>AND(IF(metadata!B552="",FALSE,TRUE),COUNTIF(metadata!B:B, metadata!B552) = 1,NOT(ISERROR(SUMPRODUCT(SEARCH(MID(metadata!B552,ROW(INDIRECT("1:"&amp;LEN(metadata!B552))), 1),"0123456789abcdefghijklmnopqrstuvwxyzABCDEFGHIJKLMNOPQRSTUVWXYZ.")))))</f>
        <v>0</v>
      </c>
      <c r="AC552">
        <f>OR(AND(IF(metadata!C552="",FALSE,TRUE),OR(exact(metadata!C552,"missing: not collected"),exact(metadata!C552,"missing: not provided"),exact(metadata!C552,"missing: restricted access"))),AND(IF(metadata!C552="",FALSE,TRUE),AND(AND(IFERROR(INT(LEFT(metadata!C552,4))&gt;1900,FALSE),IFERROR(INT(LEFT(metadata!C552,4))&lt;=YEAR(NOW()),FALSE)), OR(MID(metadata!C552,5,1)="", AND(AND(MID(metadata!C552,5,1)="-",IFERROR(INT(MID(metadata!C552,6,1))&gt;=0,FALSE),IFERROR(INT(MID(metadata!C552,6,1))&lt;=1,FALSE),NOT(MID(metadata!C552,7,1)=""),IFERROR(INT(MID(metadata!C552,6,2))&gt;=1,FALSE),IFERROR(INT(MID(metadata!C552,6,2))&lt;=12,FALSE)), OR(MID(metadata!C552,8,1)="", AND(AND(MID(metadata!C552,8,1)="-",IFERROR(INT(MID(metadata!C552,9,1))&gt;=0,FALSE),IFERROR(INT(MID(metadata!C552,9,1))&lt;=3,FALSE),NOT(MID(metadata!C552,10,1)=""),IFERROR(INT(MID(metadata!C552,9,2))&gt;=1,FALSE),IFERROR(INT(MID(metadata!C552,9,2))&lt;=31,FALSE)), OR(MID(metadata!C552,11,1)="", AND(AND(MID(metadata!C552,11,1)=" ",IFERROR(INT(MID(metadata!C552,12,1))&gt;=0,FALSE),IFERROR(INT(MID(metadata!C552,12,1))&lt;=2,FALSE),NOT(MID(metadata!C552,13,1)=""),IFERROR(INT(MID(metadata!C552,12,2))&gt;=0,FALSE),IFERROR(INT(MID(metadata!C552,12,2))&lt;=23,FALSE)), OR(MID(metadata!C552,14,1)="", AND(AND(MID(metadata!C552,14,1)=":",IFERROR(INT(MID(metadata!C552,15,1))&gt;=0,FALSE),IFERROR(INT(MID(metadata!C552,15,1))&lt;=5,FALSE),NOT(MID(metadata!C552,16,1)=""),IFERROR(INT(MID(metadata!C552,15,2))&gt;=0,FALSE),IFERROR(INT(MID(metadata!C552,15,2))&lt;=59,FALSE)), OR(MID(metadata!C552,17,1)="", AND(AND(MID(metadata!C552,17,1)=":",IFERROR(INT(MID(metadata!C552,18,1))&gt;=0,FALSE),IFERROR(INT(MID(metadata!C552,18,1))&lt;=5,FALSE),NOT(MID(metadata!C552,19,1)=""),IFERROR(INT(MID(metadata!C552,18,2))&gt;=0,FALSE),IFERROR(INT(MID(metadata!C552,18,2))&lt;=59,FALSE)), LEN(metadata!C552)&lt;=19)))))))))))))</f>
        <v>0</v>
      </c>
      <c r="AD552">
        <f>IF(metadata!D552="",FALSE,TRUE)</f>
        <v>0</v>
      </c>
      <c r="AE552">
        <f>OR(AND(IF(metadata!E552="",FALSE,TRUE),OR(exact(metadata!E552,"missing: not collected"),exact(metadata!E552,"missing: not provided"))),AND(IF(metadata!E552="",FALSE,TRUE),OR(exact(metadata!E552,"TRUE"),exact(metadata!E552,"FALSE"))))</f>
        <v>0</v>
      </c>
      <c r="AF552">
        <f>IF(metadata!F552="",FALSE,TRUE)</f>
        <v>0</v>
      </c>
      <c r="AG552">
        <f>IF(metadata!G552="",FALSE,TRUE)</f>
        <v>0</v>
      </c>
      <c r="AH552">
        <f>IF(metadata!H552="",FALSE,TRUE)</f>
        <v>0</v>
      </c>
      <c r="AI552">
        <f>OR(AND(IF(metadata!I552="",FALSE,TRUE),OR(exact(metadata!I552,"missing: not collected"),exact(metadata!I552,"missing: not provided"),exact(metadata!I552,"missing: restricted access"))),AND(IF(metadata!I552="",FALSE,TRUE),OR(exact(metadata!I552,"air"),exact(metadata!I552,"built environment"),exact(metadata!I552,"host-associated"),exact(metadata!I552,"human-associated"),exact(metadata!I552,"human-skin"),exact(metadata!I552,"human-oral"),exact(metadata!I552,"human-gut"),exact(metadata!I552,"human-vaginal"),exact(metadata!I552,"microbial mat/biofilm"),exact(metadata!I552,"misc environment"),exact(metadata!I552,"plant-associated"),exact(metadata!I552,"sediment"),exact(metadata!I552,"soil"),exact(metadata!I552,"wastewater/sludge"),exact(metadata!I552,"water"))))</f>
        <v>0</v>
      </c>
      <c r="AJ552">
        <f>IF(metadata!J552="",FALSE,TRUE)</f>
        <v>0</v>
      </c>
      <c r="AK552">
        <f>OR(AND(IF(metadata!K552="",FALSE,TRUE),OR(exact(metadata!K552,"missing: not collected"),exact(metadata!K552,"missing: not provided"),exact(metadata!K552,"missing: restricted access"))),AND(IF(metadata!K552="",FALSE,ISNUMBER(VALUE(metadata!K552))),metadata!K552&gt;=-90.00,metadata!K552&lt;=90.00))</f>
        <v>0</v>
      </c>
      <c r="AL552">
        <f>OR(AND(IF(metadata!L552="",FALSE,TRUE),OR(exact(metadata!L552,"missing: not collected"),exact(metadata!L552,"missing: not provided"),exact(metadata!L552,"missing: restricted access"))),AND(IF(metadata!L552="",FALSE,ISNUMBER(VALUE(metadata!L552))),metadata!L552&gt;=-180.00,metadata!L552&lt;=180.00))</f>
        <v>0</v>
      </c>
      <c r="AM552">
        <f>IF(metadata!M552="",FALSE,TRUE)</f>
        <v>0</v>
      </c>
      <c r="AN552">
        <f>OR(AND(IF(metadata!N552="",FALSE,TRUE),OR(exact(metadata!N552,"missing: not collected"),exact(metadata!N552,"missing: not provided"),exact(metadata!N552,"missing: restricted access"))),AND(IF(metadata!N552="",FALSE,TRUE),OR(exact(metadata!N552,"TRUE"),exact(metadata!N552,"FALSE"))))</f>
        <v>0</v>
      </c>
      <c r="AO552">
        <f>IF(metadata!O552="",FALSE,TRUE)</f>
        <v>0</v>
      </c>
      <c r="AP552">
        <f>OR(AND(IF(metadata!P552="",FALSE,TRUE),OR(exact(metadata!P552,"missing: not collected"),exact(metadata!P552,"missing: not provided"))),AND(IF(metadata!P552="",FALSE,IF(ISERROR(INT(metadata!P552)),FALSE,INT(metadata!P552)=metadata!P552)),metadata!P552&gt;0))</f>
        <v>0</v>
      </c>
      <c r="AQ552">
        <f>IF(metadata!Q552="",FALSE,TRUE)</f>
        <v>0</v>
      </c>
    </row>
    <row r="553" spans="1:43">
      <c r="A553" s="5">
        <f>IF(B553=" "," ",HYPERLINK(CONCATENATE("#metadata!",ADDRESS(INDEX($W$2:$W$1001,MATCH(ROWS($U$2:U553),$U$2:$U$1001,0),0),1)),INDEX($Z$2:$Z$1001,MATCH(ROWS($U$2:U553),$U$2:$U$1001,0),0)))</f>
        <v>0</v>
      </c>
      <c r="B553" s="4">
        <f>IF(OR(INDEX($V$2:$V$1001,MATCH(ROWS($U$2:U553),$U$2:$U$1001,0),1)&gt;=100000,INDEX($AB$1005:$AQ$1005,1,MATCH(COLUMNS($AB$1006:AB1006),$AB$1006:$AQ$1006,0))&gt;=100000), " ",IF(INDEX($AB$2:$AQ$1001,MATCH(ROWS($U$2:U553),$U$2:$U$1001,0),MATCH(COLUMNS($AB$1006:AB1006),$AB$1006:$AQ$1006,0)), HYPERLINK("#",""), HYPERLINK(CONCATENATE("#metadata!", ADDRESS(INDEX($W$2:$W$1001,MATCH(ROWS($U$2:U553),$U$2:$U$1001,0),0), INDEX($AB$1004:$AQ$1004,1,MATCH(COLUMNS($AB$1006:AB1006),$AB$1006:$AQ$1006,0)))),"Fix")))</f>
        <v>0</v>
      </c>
      <c r="C553" s="4">
        <f>IF(OR(INDEX($V$2:$V$1001,MATCH(ROWS($U$2:U553),$U$2:$U$1001,0),1)&gt;=100000,INDEX($AB$1005:$AQ$1005,1,MATCH(COLUMNS($AB$1006:AC1006),$AB$1006:$AQ$1006,0))&gt;=100000), " ",IF(INDEX($AB$2:$AQ$1001,MATCH(ROWS($U$2:U553),$U$2:$U$1001,0),MATCH(COLUMNS($AB$1006:AC1006),$AB$1006:$AQ$1006,0)), HYPERLINK("#",""), HYPERLINK(CONCATENATE("#metadata!", ADDRESS(INDEX($W$2:$W$1001,MATCH(ROWS($U$2:U553),$U$2:$U$1001,0),0), INDEX($AB$1004:$AQ$1004,1,MATCH(COLUMNS($AB$1006:AC1006),$AB$1006:$AQ$1006,0)))),"Fix")))</f>
        <v>0</v>
      </c>
      <c r="D553" s="4">
        <f>IF(OR(INDEX($V$2:$V$1001,MATCH(ROWS($U$2:U553),$U$2:$U$1001,0),1)&gt;=100000,INDEX($AB$1005:$AQ$1005,1,MATCH(COLUMNS($AB$1006:AD1006),$AB$1006:$AQ$1006,0))&gt;=100000), " ",IF(INDEX($AB$2:$AQ$1001,MATCH(ROWS($U$2:U553),$U$2:$U$1001,0),MATCH(COLUMNS($AB$1006:AD1006),$AB$1006:$AQ$1006,0)), HYPERLINK("#",""), HYPERLINK(CONCATENATE("#metadata!", ADDRESS(INDEX($W$2:$W$1001,MATCH(ROWS($U$2:U553),$U$2:$U$1001,0),0), INDEX($AB$1004:$AQ$1004,1,MATCH(COLUMNS($AB$1006:AD1006),$AB$1006:$AQ$1006,0)))),"Fix")))</f>
        <v>0</v>
      </c>
      <c r="E553" s="4">
        <f>IF(OR(INDEX($V$2:$V$1001,MATCH(ROWS($U$2:U553),$U$2:$U$1001,0),1)&gt;=100000,INDEX($AB$1005:$AQ$1005,1,MATCH(COLUMNS($AB$1006:AE1006),$AB$1006:$AQ$1006,0))&gt;=100000), " ",IF(INDEX($AB$2:$AQ$1001,MATCH(ROWS($U$2:U553),$U$2:$U$1001,0),MATCH(COLUMNS($AB$1006:AE1006),$AB$1006:$AQ$1006,0)), HYPERLINK("#",""), HYPERLINK(CONCATENATE("#metadata!", ADDRESS(INDEX($W$2:$W$1001,MATCH(ROWS($U$2:U553),$U$2:$U$1001,0),0), INDEX($AB$1004:$AQ$1004,1,MATCH(COLUMNS($AB$1006:AE1006),$AB$1006:$AQ$1006,0)))),"Fix")))</f>
        <v>0</v>
      </c>
      <c r="F553" s="4">
        <f>IF(OR(INDEX($V$2:$V$1001,MATCH(ROWS($U$2:U553),$U$2:$U$1001,0),1)&gt;=100000,INDEX($AB$1005:$AQ$1005,1,MATCH(COLUMNS($AB$1006:AF1006),$AB$1006:$AQ$1006,0))&gt;=100000), " ",IF(INDEX($AB$2:$AQ$1001,MATCH(ROWS($U$2:U553),$U$2:$U$1001,0),MATCH(COLUMNS($AB$1006:AF1006),$AB$1006:$AQ$1006,0)), HYPERLINK("#",""), HYPERLINK(CONCATENATE("#metadata!", ADDRESS(INDEX($W$2:$W$1001,MATCH(ROWS($U$2:U553),$U$2:$U$1001,0),0), INDEX($AB$1004:$AQ$1004,1,MATCH(COLUMNS($AB$1006:AF1006),$AB$1006:$AQ$1006,0)))),"Fix")))</f>
        <v>0</v>
      </c>
      <c r="G553" s="4">
        <f>IF(OR(INDEX($V$2:$V$1001,MATCH(ROWS($U$2:U553),$U$2:$U$1001,0),1)&gt;=100000,INDEX($AB$1005:$AQ$1005,1,MATCH(COLUMNS($AB$1006:AG1006),$AB$1006:$AQ$1006,0))&gt;=100000), " ",IF(INDEX($AB$2:$AQ$1001,MATCH(ROWS($U$2:U553),$U$2:$U$1001,0),MATCH(COLUMNS($AB$1006:AG1006),$AB$1006:$AQ$1006,0)), HYPERLINK("#",""), HYPERLINK(CONCATENATE("#metadata!", ADDRESS(INDEX($W$2:$W$1001,MATCH(ROWS($U$2:U553),$U$2:$U$1001,0),0), INDEX($AB$1004:$AQ$1004,1,MATCH(COLUMNS($AB$1006:AG1006),$AB$1006:$AQ$1006,0)))),"Fix")))</f>
        <v>0</v>
      </c>
      <c r="H553" s="4">
        <f>IF(OR(INDEX($V$2:$V$1001,MATCH(ROWS($U$2:U553),$U$2:$U$1001,0),1)&gt;=100000,INDEX($AB$1005:$AQ$1005,1,MATCH(COLUMNS($AB$1006:AH1006),$AB$1006:$AQ$1006,0))&gt;=100000), " ",IF(INDEX($AB$2:$AQ$1001,MATCH(ROWS($U$2:U553),$U$2:$U$1001,0),MATCH(COLUMNS($AB$1006:AH1006),$AB$1006:$AQ$1006,0)), HYPERLINK("#",""), HYPERLINK(CONCATENATE("#metadata!", ADDRESS(INDEX($W$2:$W$1001,MATCH(ROWS($U$2:U553),$U$2:$U$1001,0),0), INDEX($AB$1004:$AQ$1004,1,MATCH(COLUMNS($AB$1006:AH1006),$AB$1006:$AQ$1006,0)))),"Fix")))</f>
        <v>0</v>
      </c>
      <c r="I553" s="4">
        <f>IF(OR(INDEX($V$2:$V$1001,MATCH(ROWS($U$2:U553),$U$2:$U$1001,0),1)&gt;=100000,INDEX($AB$1005:$AQ$1005,1,MATCH(COLUMNS($AB$1006:AI1006),$AB$1006:$AQ$1006,0))&gt;=100000), " ",IF(INDEX($AB$2:$AQ$1001,MATCH(ROWS($U$2:U553),$U$2:$U$1001,0),MATCH(COLUMNS($AB$1006:AI1006),$AB$1006:$AQ$1006,0)), HYPERLINK("#",""), HYPERLINK(CONCATENATE("#metadata!", ADDRESS(INDEX($W$2:$W$1001,MATCH(ROWS($U$2:U553),$U$2:$U$1001,0),0), INDEX($AB$1004:$AQ$1004,1,MATCH(COLUMNS($AB$1006:AI1006),$AB$1006:$AQ$1006,0)))),"Fix")))</f>
        <v>0</v>
      </c>
      <c r="J553" s="4">
        <f>IF(OR(INDEX($V$2:$V$1001,MATCH(ROWS($U$2:U553),$U$2:$U$1001,0),1)&gt;=100000,INDEX($AB$1005:$AQ$1005,1,MATCH(COLUMNS($AB$1006:AJ1006),$AB$1006:$AQ$1006,0))&gt;=100000), " ",IF(INDEX($AB$2:$AQ$1001,MATCH(ROWS($U$2:U553),$U$2:$U$1001,0),MATCH(COLUMNS($AB$1006:AJ1006),$AB$1006:$AQ$1006,0)), HYPERLINK("#",""), HYPERLINK(CONCATENATE("#metadata!", ADDRESS(INDEX($W$2:$W$1001,MATCH(ROWS($U$2:U553),$U$2:$U$1001,0),0), INDEX($AB$1004:$AQ$1004,1,MATCH(COLUMNS($AB$1006:AJ1006),$AB$1006:$AQ$1006,0)))),"Fix")))</f>
        <v>0</v>
      </c>
      <c r="K553" s="4">
        <f>IF(OR(INDEX($V$2:$V$1001,MATCH(ROWS($U$2:U553),$U$2:$U$1001,0),1)&gt;=100000,INDEX($AB$1005:$AQ$1005,1,MATCH(COLUMNS($AB$1006:AK1006),$AB$1006:$AQ$1006,0))&gt;=100000), " ",IF(INDEX($AB$2:$AQ$1001,MATCH(ROWS($U$2:U553),$U$2:$U$1001,0),MATCH(COLUMNS($AB$1006:AK1006),$AB$1006:$AQ$1006,0)), HYPERLINK("#",""), HYPERLINK(CONCATENATE("#metadata!", ADDRESS(INDEX($W$2:$W$1001,MATCH(ROWS($U$2:U553),$U$2:$U$1001,0),0), INDEX($AB$1004:$AQ$1004,1,MATCH(COLUMNS($AB$1006:AK1006),$AB$1006:$AQ$1006,0)))),"Fix")))</f>
        <v>0</v>
      </c>
      <c r="L553" s="4">
        <f>IF(OR(INDEX($V$2:$V$1001,MATCH(ROWS($U$2:U553),$U$2:$U$1001,0),1)&gt;=100000,INDEX($AB$1005:$AQ$1005,1,MATCH(COLUMNS($AB$1006:AL1006),$AB$1006:$AQ$1006,0))&gt;=100000), " ",IF(INDEX($AB$2:$AQ$1001,MATCH(ROWS($U$2:U553),$U$2:$U$1001,0),MATCH(COLUMNS($AB$1006:AL1006),$AB$1006:$AQ$1006,0)), HYPERLINK("#",""), HYPERLINK(CONCATENATE("#metadata!", ADDRESS(INDEX($W$2:$W$1001,MATCH(ROWS($U$2:U553),$U$2:$U$1001,0),0), INDEX($AB$1004:$AQ$1004,1,MATCH(COLUMNS($AB$1006:AL1006),$AB$1006:$AQ$1006,0)))),"Fix")))</f>
        <v>0</v>
      </c>
      <c r="M553" s="4">
        <f>IF(OR(INDEX($V$2:$V$1001,MATCH(ROWS($U$2:U553),$U$2:$U$1001,0),1)&gt;=100000,INDEX($AB$1005:$AQ$1005,1,MATCH(COLUMNS($AB$1006:AM1006),$AB$1006:$AQ$1006,0))&gt;=100000), " ",IF(INDEX($AB$2:$AQ$1001,MATCH(ROWS($U$2:U553),$U$2:$U$1001,0),MATCH(COLUMNS($AB$1006:AM1006),$AB$1006:$AQ$1006,0)), HYPERLINK("#",""), HYPERLINK(CONCATENATE("#metadata!", ADDRESS(INDEX($W$2:$W$1001,MATCH(ROWS($U$2:U553),$U$2:$U$1001,0),0), INDEX($AB$1004:$AQ$1004,1,MATCH(COLUMNS($AB$1006:AM1006),$AB$1006:$AQ$1006,0)))),"Fix")))</f>
        <v>0</v>
      </c>
      <c r="N553" s="4">
        <f>IF(OR(INDEX($V$2:$V$1001,MATCH(ROWS($U$2:U553),$U$2:$U$1001,0),1)&gt;=100000,INDEX($AB$1005:$AQ$1005,1,MATCH(COLUMNS($AB$1006:AN1006),$AB$1006:$AQ$1006,0))&gt;=100000), " ",IF(INDEX($AB$2:$AQ$1001,MATCH(ROWS($U$2:U553),$U$2:$U$1001,0),MATCH(COLUMNS($AB$1006:AN1006),$AB$1006:$AQ$1006,0)), HYPERLINK("#",""), HYPERLINK(CONCATENATE("#metadata!", ADDRESS(INDEX($W$2:$W$1001,MATCH(ROWS($U$2:U553),$U$2:$U$1001,0),0), INDEX($AB$1004:$AQ$1004,1,MATCH(COLUMNS($AB$1006:AN1006),$AB$1006:$AQ$1006,0)))),"Fix")))</f>
        <v>0</v>
      </c>
      <c r="O553" s="4">
        <f>IF(OR(INDEX($V$2:$V$1001,MATCH(ROWS($U$2:U553),$U$2:$U$1001,0),1)&gt;=100000,INDEX($AB$1005:$AQ$1005,1,MATCH(COLUMNS($AB$1006:AO1006),$AB$1006:$AQ$1006,0))&gt;=100000), " ",IF(INDEX($AB$2:$AQ$1001,MATCH(ROWS($U$2:U553),$U$2:$U$1001,0),MATCH(COLUMNS($AB$1006:AO1006),$AB$1006:$AQ$1006,0)), HYPERLINK("#",""), HYPERLINK(CONCATENATE("#metadata!", ADDRESS(INDEX($W$2:$W$1001,MATCH(ROWS($U$2:U553),$U$2:$U$1001,0),0), INDEX($AB$1004:$AQ$1004,1,MATCH(COLUMNS($AB$1006:AO1006),$AB$1006:$AQ$1006,0)))),"Fix")))</f>
        <v>0</v>
      </c>
      <c r="P553" s="4">
        <f>IF(OR(INDEX($V$2:$V$1001,MATCH(ROWS($U$2:U553),$U$2:$U$1001,0),1)&gt;=100000,INDEX($AB$1005:$AQ$1005,1,MATCH(COLUMNS($AB$1006:AP1006),$AB$1006:$AQ$1006,0))&gt;=100000), " ",IF(INDEX($AB$2:$AQ$1001,MATCH(ROWS($U$2:U553),$U$2:$U$1001,0),MATCH(COLUMNS($AB$1006:AP1006),$AB$1006:$AQ$1006,0)), HYPERLINK("#",""), HYPERLINK(CONCATENATE("#metadata!", ADDRESS(INDEX($W$2:$W$1001,MATCH(ROWS($U$2:U553),$U$2:$U$1001,0),0), INDEX($AB$1004:$AQ$1004,1,MATCH(COLUMNS($AB$1006:AP1006),$AB$1006:$AQ$1006,0)))),"Fix")))</f>
        <v>0</v>
      </c>
      <c r="Q553" s="4">
        <f>IF(OR(INDEX($V$2:$V$1001,MATCH(ROWS($U$2:U553),$U$2:$U$1001,0),1)&gt;=100000,INDEX($AB$1005:$AQ$1005,1,MATCH(COLUMNS($AB$1006:AQ1006),$AB$1006:$AQ$1006,0))&gt;=100000), " ",IF(INDEX($AB$2:$AQ$1001,MATCH(ROWS($U$2:U553),$U$2:$U$1001,0),MATCH(COLUMNS($AB$1006:AQ1006),$AB$1006:$AQ$1006,0)), HYPERLINK("#",""), HYPERLINK(CONCATENATE("#metadata!", ADDRESS(INDEX($W$2:$W$1001,MATCH(ROWS($U$2:U553),$U$2:$U$1001,0),0), INDEX($AB$1004:$AQ$1004,1,MATCH(COLUMNS($AB$1006:AQ1006),$AB$1006:$AQ$1006,0)))),"Fix")))</f>
        <v>0</v>
      </c>
      <c r="U553">
        <v>0</v>
      </c>
      <c r="V553">
        <v>0</v>
      </c>
      <c r="W553">
        <v>0</v>
      </c>
      <c r="X553">
        <f>IF(Y553,TRUE,AND(AB553:AQ553))</f>
        <v>0</v>
      </c>
      <c r="Y553">
        <f>COUNTBLANK(metadata!B553:Q553)=COLUMNS(metadata!B553:Q553)</f>
        <v>0</v>
      </c>
      <c r="Z553">
        <v>0</v>
      </c>
      <c r="AB553">
        <f>AND(IF(metadata!B553="",FALSE,TRUE),COUNTIF(metadata!B:B, metadata!B553) = 1,NOT(ISERROR(SUMPRODUCT(SEARCH(MID(metadata!B553,ROW(INDIRECT("1:"&amp;LEN(metadata!B553))), 1),"0123456789abcdefghijklmnopqrstuvwxyzABCDEFGHIJKLMNOPQRSTUVWXYZ.")))))</f>
        <v>0</v>
      </c>
      <c r="AC553">
        <f>OR(AND(IF(metadata!C553="",FALSE,TRUE),OR(exact(metadata!C553,"missing: not collected"),exact(metadata!C553,"missing: not provided"),exact(metadata!C553,"missing: restricted access"))),AND(IF(metadata!C553="",FALSE,TRUE),AND(AND(IFERROR(INT(LEFT(metadata!C553,4))&gt;1900,FALSE),IFERROR(INT(LEFT(metadata!C553,4))&lt;=YEAR(NOW()),FALSE)), OR(MID(metadata!C553,5,1)="", AND(AND(MID(metadata!C553,5,1)="-",IFERROR(INT(MID(metadata!C553,6,1))&gt;=0,FALSE),IFERROR(INT(MID(metadata!C553,6,1))&lt;=1,FALSE),NOT(MID(metadata!C553,7,1)=""),IFERROR(INT(MID(metadata!C553,6,2))&gt;=1,FALSE),IFERROR(INT(MID(metadata!C553,6,2))&lt;=12,FALSE)), OR(MID(metadata!C553,8,1)="", AND(AND(MID(metadata!C553,8,1)="-",IFERROR(INT(MID(metadata!C553,9,1))&gt;=0,FALSE),IFERROR(INT(MID(metadata!C553,9,1))&lt;=3,FALSE),NOT(MID(metadata!C553,10,1)=""),IFERROR(INT(MID(metadata!C553,9,2))&gt;=1,FALSE),IFERROR(INT(MID(metadata!C553,9,2))&lt;=31,FALSE)), OR(MID(metadata!C553,11,1)="", AND(AND(MID(metadata!C553,11,1)=" ",IFERROR(INT(MID(metadata!C553,12,1))&gt;=0,FALSE),IFERROR(INT(MID(metadata!C553,12,1))&lt;=2,FALSE),NOT(MID(metadata!C553,13,1)=""),IFERROR(INT(MID(metadata!C553,12,2))&gt;=0,FALSE),IFERROR(INT(MID(metadata!C553,12,2))&lt;=23,FALSE)), OR(MID(metadata!C553,14,1)="", AND(AND(MID(metadata!C553,14,1)=":",IFERROR(INT(MID(metadata!C553,15,1))&gt;=0,FALSE),IFERROR(INT(MID(metadata!C553,15,1))&lt;=5,FALSE),NOT(MID(metadata!C553,16,1)=""),IFERROR(INT(MID(metadata!C553,15,2))&gt;=0,FALSE),IFERROR(INT(MID(metadata!C553,15,2))&lt;=59,FALSE)), OR(MID(metadata!C553,17,1)="", AND(AND(MID(metadata!C553,17,1)=":",IFERROR(INT(MID(metadata!C553,18,1))&gt;=0,FALSE),IFERROR(INT(MID(metadata!C553,18,1))&lt;=5,FALSE),NOT(MID(metadata!C553,19,1)=""),IFERROR(INT(MID(metadata!C553,18,2))&gt;=0,FALSE),IFERROR(INT(MID(metadata!C553,18,2))&lt;=59,FALSE)), LEN(metadata!C553)&lt;=19)))))))))))))</f>
        <v>0</v>
      </c>
      <c r="AD553">
        <f>IF(metadata!D553="",FALSE,TRUE)</f>
        <v>0</v>
      </c>
      <c r="AE553">
        <f>OR(AND(IF(metadata!E553="",FALSE,TRUE),OR(exact(metadata!E553,"missing: not collected"),exact(metadata!E553,"missing: not provided"))),AND(IF(metadata!E553="",FALSE,TRUE),OR(exact(metadata!E553,"TRUE"),exact(metadata!E553,"FALSE"))))</f>
        <v>0</v>
      </c>
      <c r="AF553">
        <f>IF(metadata!F553="",FALSE,TRUE)</f>
        <v>0</v>
      </c>
      <c r="AG553">
        <f>IF(metadata!G553="",FALSE,TRUE)</f>
        <v>0</v>
      </c>
      <c r="AH553">
        <f>IF(metadata!H553="",FALSE,TRUE)</f>
        <v>0</v>
      </c>
      <c r="AI553">
        <f>OR(AND(IF(metadata!I553="",FALSE,TRUE),OR(exact(metadata!I553,"missing: not collected"),exact(metadata!I553,"missing: not provided"),exact(metadata!I553,"missing: restricted access"))),AND(IF(metadata!I553="",FALSE,TRUE),OR(exact(metadata!I553,"air"),exact(metadata!I553,"built environment"),exact(metadata!I553,"host-associated"),exact(metadata!I553,"human-associated"),exact(metadata!I553,"human-skin"),exact(metadata!I553,"human-oral"),exact(metadata!I553,"human-gut"),exact(metadata!I553,"human-vaginal"),exact(metadata!I553,"microbial mat/biofilm"),exact(metadata!I553,"misc environment"),exact(metadata!I553,"plant-associated"),exact(metadata!I553,"sediment"),exact(metadata!I553,"soil"),exact(metadata!I553,"wastewater/sludge"),exact(metadata!I553,"water"))))</f>
        <v>0</v>
      </c>
      <c r="AJ553">
        <f>IF(metadata!J553="",FALSE,TRUE)</f>
        <v>0</v>
      </c>
      <c r="AK553">
        <f>OR(AND(IF(metadata!K553="",FALSE,TRUE),OR(exact(metadata!K553,"missing: not collected"),exact(metadata!K553,"missing: not provided"),exact(metadata!K553,"missing: restricted access"))),AND(IF(metadata!K553="",FALSE,ISNUMBER(VALUE(metadata!K553))),metadata!K553&gt;=-90.00,metadata!K553&lt;=90.00))</f>
        <v>0</v>
      </c>
      <c r="AL553">
        <f>OR(AND(IF(metadata!L553="",FALSE,TRUE),OR(exact(metadata!L553,"missing: not collected"),exact(metadata!L553,"missing: not provided"),exact(metadata!L553,"missing: restricted access"))),AND(IF(metadata!L553="",FALSE,ISNUMBER(VALUE(metadata!L553))),metadata!L553&gt;=-180.00,metadata!L553&lt;=180.00))</f>
        <v>0</v>
      </c>
      <c r="AM553">
        <f>IF(metadata!M553="",FALSE,TRUE)</f>
        <v>0</v>
      </c>
      <c r="AN553">
        <f>OR(AND(IF(metadata!N553="",FALSE,TRUE),OR(exact(metadata!N553,"missing: not collected"),exact(metadata!N553,"missing: not provided"),exact(metadata!N553,"missing: restricted access"))),AND(IF(metadata!N553="",FALSE,TRUE),OR(exact(metadata!N553,"TRUE"),exact(metadata!N553,"FALSE"))))</f>
        <v>0</v>
      </c>
      <c r="AO553">
        <f>IF(metadata!O553="",FALSE,TRUE)</f>
        <v>0</v>
      </c>
      <c r="AP553">
        <f>OR(AND(IF(metadata!P553="",FALSE,TRUE),OR(exact(metadata!P553,"missing: not collected"),exact(metadata!P553,"missing: not provided"))),AND(IF(metadata!P553="",FALSE,IF(ISERROR(INT(metadata!P553)),FALSE,INT(metadata!P553)=metadata!P553)),metadata!P553&gt;0))</f>
        <v>0</v>
      </c>
      <c r="AQ553">
        <f>IF(metadata!Q553="",FALSE,TRUE)</f>
        <v>0</v>
      </c>
    </row>
    <row r="554" spans="1:43">
      <c r="A554" s="5">
        <f>IF(B554=" "," ",HYPERLINK(CONCATENATE("#metadata!",ADDRESS(INDEX($W$2:$W$1001,MATCH(ROWS($U$2:U554),$U$2:$U$1001,0),0),1)),INDEX($Z$2:$Z$1001,MATCH(ROWS($U$2:U554),$U$2:$U$1001,0),0)))</f>
        <v>0</v>
      </c>
      <c r="B554" s="4">
        <f>IF(OR(INDEX($V$2:$V$1001,MATCH(ROWS($U$2:U554),$U$2:$U$1001,0),1)&gt;=100000,INDEX($AB$1005:$AQ$1005,1,MATCH(COLUMNS($AB$1006:AB1006),$AB$1006:$AQ$1006,0))&gt;=100000), " ",IF(INDEX($AB$2:$AQ$1001,MATCH(ROWS($U$2:U554),$U$2:$U$1001,0),MATCH(COLUMNS($AB$1006:AB1006),$AB$1006:$AQ$1006,0)), HYPERLINK("#",""), HYPERLINK(CONCATENATE("#metadata!", ADDRESS(INDEX($W$2:$W$1001,MATCH(ROWS($U$2:U554),$U$2:$U$1001,0),0), INDEX($AB$1004:$AQ$1004,1,MATCH(COLUMNS($AB$1006:AB1006),$AB$1006:$AQ$1006,0)))),"Fix")))</f>
        <v>0</v>
      </c>
      <c r="C554" s="4">
        <f>IF(OR(INDEX($V$2:$V$1001,MATCH(ROWS($U$2:U554),$U$2:$U$1001,0),1)&gt;=100000,INDEX($AB$1005:$AQ$1005,1,MATCH(COLUMNS($AB$1006:AC1006),$AB$1006:$AQ$1006,0))&gt;=100000), " ",IF(INDEX($AB$2:$AQ$1001,MATCH(ROWS($U$2:U554),$U$2:$U$1001,0),MATCH(COLUMNS($AB$1006:AC1006),$AB$1006:$AQ$1006,0)), HYPERLINK("#",""), HYPERLINK(CONCATENATE("#metadata!", ADDRESS(INDEX($W$2:$W$1001,MATCH(ROWS($U$2:U554),$U$2:$U$1001,0),0), INDEX($AB$1004:$AQ$1004,1,MATCH(COLUMNS($AB$1006:AC1006),$AB$1006:$AQ$1006,0)))),"Fix")))</f>
        <v>0</v>
      </c>
      <c r="D554" s="4">
        <f>IF(OR(INDEX($V$2:$V$1001,MATCH(ROWS($U$2:U554),$U$2:$U$1001,0),1)&gt;=100000,INDEX($AB$1005:$AQ$1005,1,MATCH(COLUMNS($AB$1006:AD1006),$AB$1006:$AQ$1006,0))&gt;=100000), " ",IF(INDEX($AB$2:$AQ$1001,MATCH(ROWS($U$2:U554),$U$2:$U$1001,0),MATCH(COLUMNS($AB$1006:AD1006),$AB$1006:$AQ$1006,0)), HYPERLINK("#",""), HYPERLINK(CONCATENATE("#metadata!", ADDRESS(INDEX($W$2:$W$1001,MATCH(ROWS($U$2:U554),$U$2:$U$1001,0),0), INDEX($AB$1004:$AQ$1004,1,MATCH(COLUMNS($AB$1006:AD1006),$AB$1006:$AQ$1006,0)))),"Fix")))</f>
        <v>0</v>
      </c>
      <c r="E554" s="4">
        <f>IF(OR(INDEX($V$2:$V$1001,MATCH(ROWS($U$2:U554),$U$2:$U$1001,0),1)&gt;=100000,INDEX($AB$1005:$AQ$1005,1,MATCH(COLUMNS($AB$1006:AE1006),$AB$1006:$AQ$1006,0))&gt;=100000), " ",IF(INDEX($AB$2:$AQ$1001,MATCH(ROWS($U$2:U554),$U$2:$U$1001,0),MATCH(COLUMNS($AB$1006:AE1006),$AB$1006:$AQ$1006,0)), HYPERLINK("#",""), HYPERLINK(CONCATENATE("#metadata!", ADDRESS(INDEX($W$2:$W$1001,MATCH(ROWS($U$2:U554),$U$2:$U$1001,0),0), INDEX($AB$1004:$AQ$1004,1,MATCH(COLUMNS($AB$1006:AE1006),$AB$1006:$AQ$1006,0)))),"Fix")))</f>
        <v>0</v>
      </c>
      <c r="F554" s="4">
        <f>IF(OR(INDEX($V$2:$V$1001,MATCH(ROWS($U$2:U554),$U$2:$U$1001,0),1)&gt;=100000,INDEX($AB$1005:$AQ$1005,1,MATCH(COLUMNS($AB$1006:AF1006),$AB$1006:$AQ$1006,0))&gt;=100000), " ",IF(INDEX($AB$2:$AQ$1001,MATCH(ROWS($U$2:U554),$U$2:$U$1001,0),MATCH(COLUMNS($AB$1006:AF1006),$AB$1006:$AQ$1006,0)), HYPERLINK("#",""), HYPERLINK(CONCATENATE("#metadata!", ADDRESS(INDEX($W$2:$W$1001,MATCH(ROWS($U$2:U554),$U$2:$U$1001,0),0), INDEX($AB$1004:$AQ$1004,1,MATCH(COLUMNS($AB$1006:AF1006),$AB$1006:$AQ$1006,0)))),"Fix")))</f>
        <v>0</v>
      </c>
      <c r="G554" s="4">
        <f>IF(OR(INDEX($V$2:$V$1001,MATCH(ROWS($U$2:U554),$U$2:$U$1001,0),1)&gt;=100000,INDEX($AB$1005:$AQ$1005,1,MATCH(COLUMNS($AB$1006:AG1006),$AB$1006:$AQ$1006,0))&gt;=100000), " ",IF(INDEX($AB$2:$AQ$1001,MATCH(ROWS($U$2:U554),$U$2:$U$1001,0),MATCH(COLUMNS($AB$1006:AG1006),$AB$1006:$AQ$1006,0)), HYPERLINK("#",""), HYPERLINK(CONCATENATE("#metadata!", ADDRESS(INDEX($W$2:$W$1001,MATCH(ROWS($U$2:U554),$U$2:$U$1001,0),0), INDEX($AB$1004:$AQ$1004,1,MATCH(COLUMNS($AB$1006:AG1006),$AB$1006:$AQ$1006,0)))),"Fix")))</f>
        <v>0</v>
      </c>
      <c r="H554" s="4">
        <f>IF(OR(INDEX($V$2:$V$1001,MATCH(ROWS($U$2:U554),$U$2:$U$1001,0),1)&gt;=100000,INDEX($AB$1005:$AQ$1005,1,MATCH(COLUMNS($AB$1006:AH1006),$AB$1006:$AQ$1006,0))&gt;=100000), " ",IF(INDEX($AB$2:$AQ$1001,MATCH(ROWS($U$2:U554),$U$2:$U$1001,0),MATCH(COLUMNS($AB$1006:AH1006),$AB$1006:$AQ$1006,0)), HYPERLINK("#",""), HYPERLINK(CONCATENATE("#metadata!", ADDRESS(INDEX($W$2:$W$1001,MATCH(ROWS($U$2:U554),$U$2:$U$1001,0),0), INDEX($AB$1004:$AQ$1004,1,MATCH(COLUMNS($AB$1006:AH1006),$AB$1006:$AQ$1006,0)))),"Fix")))</f>
        <v>0</v>
      </c>
      <c r="I554" s="4">
        <f>IF(OR(INDEX($V$2:$V$1001,MATCH(ROWS($U$2:U554),$U$2:$U$1001,0),1)&gt;=100000,INDEX($AB$1005:$AQ$1005,1,MATCH(COLUMNS($AB$1006:AI1006),$AB$1006:$AQ$1006,0))&gt;=100000), " ",IF(INDEX($AB$2:$AQ$1001,MATCH(ROWS($U$2:U554),$U$2:$U$1001,0),MATCH(COLUMNS($AB$1006:AI1006),$AB$1006:$AQ$1006,0)), HYPERLINK("#",""), HYPERLINK(CONCATENATE("#metadata!", ADDRESS(INDEX($W$2:$W$1001,MATCH(ROWS($U$2:U554),$U$2:$U$1001,0),0), INDEX($AB$1004:$AQ$1004,1,MATCH(COLUMNS($AB$1006:AI1006),$AB$1006:$AQ$1006,0)))),"Fix")))</f>
        <v>0</v>
      </c>
      <c r="J554" s="4">
        <f>IF(OR(INDEX($V$2:$V$1001,MATCH(ROWS($U$2:U554),$U$2:$U$1001,0),1)&gt;=100000,INDEX($AB$1005:$AQ$1005,1,MATCH(COLUMNS($AB$1006:AJ1006),$AB$1006:$AQ$1006,0))&gt;=100000), " ",IF(INDEX($AB$2:$AQ$1001,MATCH(ROWS($U$2:U554),$U$2:$U$1001,0),MATCH(COLUMNS($AB$1006:AJ1006),$AB$1006:$AQ$1006,0)), HYPERLINK("#",""), HYPERLINK(CONCATENATE("#metadata!", ADDRESS(INDEX($W$2:$W$1001,MATCH(ROWS($U$2:U554),$U$2:$U$1001,0),0), INDEX($AB$1004:$AQ$1004,1,MATCH(COLUMNS($AB$1006:AJ1006),$AB$1006:$AQ$1006,0)))),"Fix")))</f>
        <v>0</v>
      </c>
      <c r="K554" s="4">
        <f>IF(OR(INDEX($V$2:$V$1001,MATCH(ROWS($U$2:U554),$U$2:$U$1001,0),1)&gt;=100000,INDEX($AB$1005:$AQ$1005,1,MATCH(COLUMNS($AB$1006:AK1006),$AB$1006:$AQ$1006,0))&gt;=100000), " ",IF(INDEX($AB$2:$AQ$1001,MATCH(ROWS($U$2:U554),$U$2:$U$1001,0),MATCH(COLUMNS($AB$1006:AK1006),$AB$1006:$AQ$1006,0)), HYPERLINK("#",""), HYPERLINK(CONCATENATE("#metadata!", ADDRESS(INDEX($W$2:$W$1001,MATCH(ROWS($U$2:U554),$U$2:$U$1001,0),0), INDEX($AB$1004:$AQ$1004,1,MATCH(COLUMNS($AB$1006:AK1006),$AB$1006:$AQ$1006,0)))),"Fix")))</f>
        <v>0</v>
      </c>
      <c r="L554" s="4">
        <f>IF(OR(INDEX($V$2:$V$1001,MATCH(ROWS($U$2:U554),$U$2:$U$1001,0),1)&gt;=100000,INDEX($AB$1005:$AQ$1005,1,MATCH(COLUMNS($AB$1006:AL1006),$AB$1006:$AQ$1006,0))&gt;=100000), " ",IF(INDEX($AB$2:$AQ$1001,MATCH(ROWS($U$2:U554),$U$2:$U$1001,0),MATCH(COLUMNS($AB$1006:AL1006),$AB$1006:$AQ$1006,0)), HYPERLINK("#",""), HYPERLINK(CONCATENATE("#metadata!", ADDRESS(INDEX($W$2:$W$1001,MATCH(ROWS($U$2:U554),$U$2:$U$1001,0),0), INDEX($AB$1004:$AQ$1004,1,MATCH(COLUMNS($AB$1006:AL1006),$AB$1006:$AQ$1006,0)))),"Fix")))</f>
        <v>0</v>
      </c>
      <c r="M554" s="4">
        <f>IF(OR(INDEX($V$2:$V$1001,MATCH(ROWS($U$2:U554),$U$2:$U$1001,0),1)&gt;=100000,INDEX($AB$1005:$AQ$1005,1,MATCH(COLUMNS($AB$1006:AM1006),$AB$1006:$AQ$1006,0))&gt;=100000), " ",IF(INDEX($AB$2:$AQ$1001,MATCH(ROWS($U$2:U554),$U$2:$U$1001,0),MATCH(COLUMNS($AB$1006:AM1006),$AB$1006:$AQ$1006,0)), HYPERLINK("#",""), HYPERLINK(CONCATENATE("#metadata!", ADDRESS(INDEX($W$2:$W$1001,MATCH(ROWS($U$2:U554),$U$2:$U$1001,0),0), INDEX($AB$1004:$AQ$1004,1,MATCH(COLUMNS($AB$1006:AM1006),$AB$1006:$AQ$1006,0)))),"Fix")))</f>
        <v>0</v>
      </c>
      <c r="N554" s="4">
        <f>IF(OR(INDEX($V$2:$V$1001,MATCH(ROWS($U$2:U554),$U$2:$U$1001,0),1)&gt;=100000,INDEX($AB$1005:$AQ$1005,1,MATCH(COLUMNS($AB$1006:AN1006),$AB$1006:$AQ$1006,0))&gt;=100000), " ",IF(INDEX($AB$2:$AQ$1001,MATCH(ROWS($U$2:U554),$U$2:$U$1001,0),MATCH(COLUMNS($AB$1006:AN1006),$AB$1006:$AQ$1006,0)), HYPERLINK("#",""), HYPERLINK(CONCATENATE("#metadata!", ADDRESS(INDEX($W$2:$W$1001,MATCH(ROWS($U$2:U554),$U$2:$U$1001,0),0), INDEX($AB$1004:$AQ$1004,1,MATCH(COLUMNS($AB$1006:AN1006),$AB$1006:$AQ$1006,0)))),"Fix")))</f>
        <v>0</v>
      </c>
      <c r="O554" s="4">
        <f>IF(OR(INDEX($V$2:$V$1001,MATCH(ROWS($U$2:U554),$U$2:$U$1001,0),1)&gt;=100000,INDEX($AB$1005:$AQ$1005,1,MATCH(COLUMNS($AB$1006:AO1006),$AB$1006:$AQ$1006,0))&gt;=100000), " ",IF(INDEX($AB$2:$AQ$1001,MATCH(ROWS($U$2:U554),$U$2:$U$1001,0),MATCH(COLUMNS($AB$1006:AO1006),$AB$1006:$AQ$1006,0)), HYPERLINK("#",""), HYPERLINK(CONCATENATE("#metadata!", ADDRESS(INDEX($W$2:$W$1001,MATCH(ROWS($U$2:U554),$U$2:$U$1001,0),0), INDEX($AB$1004:$AQ$1004,1,MATCH(COLUMNS($AB$1006:AO1006),$AB$1006:$AQ$1006,0)))),"Fix")))</f>
        <v>0</v>
      </c>
      <c r="P554" s="4">
        <f>IF(OR(INDEX($V$2:$V$1001,MATCH(ROWS($U$2:U554),$U$2:$U$1001,0),1)&gt;=100000,INDEX($AB$1005:$AQ$1005,1,MATCH(COLUMNS($AB$1006:AP1006),$AB$1006:$AQ$1006,0))&gt;=100000), " ",IF(INDEX($AB$2:$AQ$1001,MATCH(ROWS($U$2:U554),$U$2:$U$1001,0),MATCH(COLUMNS($AB$1006:AP1006),$AB$1006:$AQ$1006,0)), HYPERLINK("#",""), HYPERLINK(CONCATENATE("#metadata!", ADDRESS(INDEX($W$2:$W$1001,MATCH(ROWS($U$2:U554),$U$2:$U$1001,0),0), INDEX($AB$1004:$AQ$1004,1,MATCH(COLUMNS($AB$1006:AP1006),$AB$1006:$AQ$1006,0)))),"Fix")))</f>
        <v>0</v>
      </c>
      <c r="Q554" s="4">
        <f>IF(OR(INDEX($V$2:$V$1001,MATCH(ROWS($U$2:U554),$U$2:$U$1001,0),1)&gt;=100000,INDEX($AB$1005:$AQ$1005,1,MATCH(COLUMNS($AB$1006:AQ1006),$AB$1006:$AQ$1006,0))&gt;=100000), " ",IF(INDEX($AB$2:$AQ$1001,MATCH(ROWS($U$2:U554),$U$2:$U$1001,0),MATCH(COLUMNS($AB$1006:AQ1006),$AB$1006:$AQ$1006,0)), HYPERLINK("#",""), HYPERLINK(CONCATENATE("#metadata!", ADDRESS(INDEX($W$2:$W$1001,MATCH(ROWS($U$2:U554),$U$2:$U$1001,0),0), INDEX($AB$1004:$AQ$1004,1,MATCH(COLUMNS($AB$1006:AQ1006),$AB$1006:$AQ$1006,0)))),"Fix")))</f>
        <v>0</v>
      </c>
      <c r="U554">
        <v>0</v>
      </c>
      <c r="V554">
        <v>0</v>
      </c>
      <c r="W554">
        <v>0</v>
      </c>
      <c r="X554">
        <f>IF(Y554,TRUE,AND(AB554:AQ554))</f>
        <v>0</v>
      </c>
      <c r="Y554">
        <f>COUNTBLANK(metadata!B554:Q554)=COLUMNS(metadata!B554:Q554)</f>
        <v>0</v>
      </c>
      <c r="Z554">
        <v>0</v>
      </c>
      <c r="AB554">
        <f>AND(IF(metadata!B554="",FALSE,TRUE),COUNTIF(metadata!B:B, metadata!B554) = 1,NOT(ISERROR(SUMPRODUCT(SEARCH(MID(metadata!B554,ROW(INDIRECT("1:"&amp;LEN(metadata!B554))), 1),"0123456789abcdefghijklmnopqrstuvwxyzABCDEFGHIJKLMNOPQRSTUVWXYZ.")))))</f>
        <v>0</v>
      </c>
      <c r="AC554">
        <f>OR(AND(IF(metadata!C554="",FALSE,TRUE),OR(exact(metadata!C554,"missing: not collected"),exact(metadata!C554,"missing: not provided"),exact(metadata!C554,"missing: restricted access"))),AND(IF(metadata!C554="",FALSE,TRUE),AND(AND(IFERROR(INT(LEFT(metadata!C554,4))&gt;1900,FALSE),IFERROR(INT(LEFT(metadata!C554,4))&lt;=YEAR(NOW()),FALSE)), OR(MID(metadata!C554,5,1)="", AND(AND(MID(metadata!C554,5,1)="-",IFERROR(INT(MID(metadata!C554,6,1))&gt;=0,FALSE),IFERROR(INT(MID(metadata!C554,6,1))&lt;=1,FALSE),NOT(MID(metadata!C554,7,1)=""),IFERROR(INT(MID(metadata!C554,6,2))&gt;=1,FALSE),IFERROR(INT(MID(metadata!C554,6,2))&lt;=12,FALSE)), OR(MID(metadata!C554,8,1)="", AND(AND(MID(metadata!C554,8,1)="-",IFERROR(INT(MID(metadata!C554,9,1))&gt;=0,FALSE),IFERROR(INT(MID(metadata!C554,9,1))&lt;=3,FALSE),NOT(MID(metadata!C554,10,1)=""),IFERROR(INT(MID(metadata!C554,9,2))&gt;=1,FALSE),IFERROR(INT(MID(metadata!C554,9,2))&lt;=31,FALSE)), OR(MID(metadata!C554,11,1)="", AND(AND(MID(metadata!C554,11,1)=" ",IFERROR(INT(MID(metadata!C554,12,1))&gt;=0,FALSE),IFERROR(INT(MID(metadata!C554,12,1))&lt;=2,FALSE),NOT(MID(metadata!C554,13,1)=""),IFERROR(INT(MID(metadata!C554,12,2))&gt;=0,FALSE),IFERROR(INT(MID(metadata!C554,12,2))&lt;=23,FALSE)), OR(MID(metadata!C554,14,1)="", AND(AND(MID(metadata!C554,14,1)=":",IFERROR(INT(MID(metadata!C554,15,1))&gt;=0,FALSE),IFERROR(INT(MID(metadata!C554,15,1))&lt;=5,FALSE),NOT(MID(metadata!C554,16,1)=""),IFERROR(INT(MID(metadata!C554,15,2))&gt;=0,FALSE),IFERROR(INT(MID(metadata!C554,15,2))&lt;=59,FALSE)), OR(MID(metadata!C554,17,1)="", AND(AND(MID(metadata!C554,17,1)=":",IFERROR(INT(MID(metadata!C554,18,1))&gt;=0,FALSE),IFERROR(INT(MID(metadata!C554,18,1))&lt;=5,FALSE),NOT(MID(metadata!C554,19,1)=""),IFERROR(INT(MID(metadata!C554,18,2))&gt;=0,FALSE),IFERROR(INT(MID(metadata!C554,18,2))&lt;=59,FALSE)), LEN(metadata!C554)&lt;=19)))))))))))))</f>
        <v>0</v>
      </c>
      <c r="AD554">
        <f>IF(metadata!D554="",FALSE,TRUE)</f>
        <v>0</v>
      </c>
      <c r="AE554">
        <f>OR(AND(IF(metadata!E554="",FALSE,TRUE),OR(exact(metadata!E554,"missing: not collected"),exact(metadata!E554,"missing: not provided"))),AND(IF(metadata!E554="",FALSE,TRUE),OR(exact(metadata!E554,"TRUE"),exact(metadata!E554,"FALSE"))))</f>
        <v>0</v>
      </c>
      <c r="AF554">
        <f>IF(metadata!F554="",FALSE,TRUE)</f>
        <v>0</v>
      </c>
      <c r="AG554">
        <f>IF(metadata!G554="",FALSE,TRUE)</f>
        <v>0</v>
      </c>
      <c r="AH554">
        <f>IF(metadata!H554="",FALSE,TRUE)</f>
        <v>0</v>
      </c>
      <c r="AI554">
        <f>OR(AND(IF(metadata!I554="",FALSE,TRUE),OR(exact(metadata!I554,"missing: not collected"),exact(metadata!I554,"missing: not provided"),exact(metadata!I554,"missing: restricted access"))),AND(IF(metadata!I554="",FALSE,TRUE),OR(exact(metadata!I554,"air"),exact(metadata!I554,"built environment"),exact(metadata!I554,"host-associated"),exact(metadata!I554,"human-associated"),exact(metadata!I554,"human-skin"),exact(metadata!I554,"human-oral"),exact(metadata!I554,"human-gut"),exact(metadata!I554,"human-vaginal"),exact(metadata!I554,"microbial mat/biofilm"),exact(metadata!I554,"misc environment"),exact(metadata!I554,"plant-associated"),exact(metadata!I554,"sediment"),exact(metadata!I554,"soil"),exact(metadata!I554,"wastewater/sludge"),exact(metadata!I554,"water"))))</f>
        <v>0</v>
      </c>
      <c r="AJ554">
        <f>IF(metadata!J554="",FALSE,TRUE)</f>
        <v>0</v>
      </c>
      <c r="AK554">
        <f>OR(AND(IF(metadata!K554="",FALSE,TRUE),OR(exact(metadata!K554,"missing: not collected"),exact(metadata!K554,"missing: not provided"),exact(metadata!K554,"missing: restricted access"))),AND(IF(metadata!K554="",FALSE,ISNUMBER(VALUE(metadata!K554))),metadata!K554&gt;=-90.00,metadata!K554&lt;=90.00))</f>
        <v>0</v>
      </c>
      <c r="AL554">
        <f>OR(AND(IF(metadata!L554="",FALSE,TRUE),OR(exact(metadata!L554,"missing: not collected"),exact(metadata!L554,"missing: not provided"),exact(metadata!L554,"missing: restricted access"))),AND(IF(metadata!L554="",FALSE,ISNUMBER(VALUE(metadata!L554))),metadata!L554&gt;=-180.00,metadata!L554&lt;=180.00))</f>
        <v>0</v>
      </c>
      <c r="AM554">
        <f>IF(metadata!M554="",FALSE,TRUE)</f>
        <v>0</v>
      </c>
      <c r="AN554">
        <f>OR(AND(IF(metadata!N554="",FALSE,TRUE),OR(exact(metadata!N554,"missing: not collected"),exact(metadata!N554,"missing: not provided"),exact(metadata!N554,"missing: restricted access"))),AND(IF(metadata!N554="",FALSE,TRUE),OR(exact(metadata!N554,"TRUE"),exact(metadata!N554,"FALSE"))))</f>
        <v>0</v>
      </c>
      <c r="AO554">
        <f>IF(metadata!O554="",FALSE,TRUE)</f>
        <v>0</v>
      </c>
      <c r="AP554">
        <f>OR(AND(IF(metadata!P554="",FALSE,TRUE),OR(exact(metadata!P554,"missing: not collected"),exact(metadata!P554,"missing: not provided"))),AND(IF(metadata!P554="",FALSE,IF(ISERROR(INT(metadata!P554)),FALSE,INT(metadata!P554)=metadata!P554)),metadata!P554&gt;0))</f>
        <v>0</v>
      </c>
      <c r="AQ554">
        <f>IF(metadata!Q554="",FALSE,TRUE)</f>
        <v>0</v>
      </c>
    </row>
    <row r="555" spans="1:43">
      <c r="A555" s="5">
        <f>IF(B555=" "," ",HYPERLINK(CONCATENATE("#metadata!",ADDRESS(INDEX($W$2:$W$1001,MATCH(ROWS($U$2:U555),$U$2:$U$1001,0),0),1)),INDEX($Z$2:$Z$1001,MATCH(ROWS($U$2:U555),$U$2:$U$1001,0),0)))</f>
        <v>0</v>
      </c>
      <c r="B555" s="4">
        <f>IF(OR(INDEX($V$2:$V$1001,MATCH(ROWS($U$2:U555),$U$2:$U$1001,0),1)&gt;=100000,INDEX($AB$1005:$AQ$1005,1,MATCH(COLUMNS($AB$1006:AB1006),$AB$1006:$AQ$1006,0))&gt;=100000), " ",IF(INDEX($AB$2:$AQ$1001,MATCH(ROWS($U$2:U555),$U$2:$U$1001,0),MATCH(COLUMNS($AB$1006:AB1006),$AB$1006:$AQ$1006,0)), HYPERLINK("#",""), HYPERLINK(CONCATENATE("#metadata!", ADDRESS(INDEX($W$2:$W$1001,MATCH(ROWS($U$2:U555),$U$2:$U$1001,0),0), INDEX($AB$1004:$AQ$1004,1,MATCH(COLUMNS($AB$1006:AB1006),$AB$1006:$AQ$1006,0)))),"Fix")))</f>
        <v>0</v>
      </c>
      <c r="C555" s="4">
        <f>IF(OR(INDEX($V$2:$V$1001,MATCH(ROWS($U$2:U555),$U$2:$U$1001,0),1)&gt;=100000,INDEX($AB$1005:$AQ$1005,1,MATCH(COLUMNS($AB$1006:AC1006),$AB$1006:$AQ$1006,0))&gt;=100000), " ",IF(INDEX($AB$2:$AQ$1001,MATCH(ROWS($U$2:U555),$U$2:$U$1001,0),MATCH(COLUMNS($AB$1006:AC1006),$AB$1006:$AQ$1006,0)), HYPERLINK("#",""), HYPERLINK(CONCATENATE("#metadata!", ADDRESS(INDEX($W$2:$W$1001,MATCH(ROWS($U$2:U555),$U$2:$U$1001,0),0), INDEX($AB$1004:$AQ$1004,1,MATCH(COLUMNS($AB$1006:AC1006),$AB$1006:$AQ$1006,0)))),"Fix")))</f>
        <v>0</v>
      </c>
      <c r="D555" s="4">
        <f>IF(OR(INDEX($V$2:$V$1001,MATCH(ROWS($U$2:U555),$U$2:$U$1001,0),1)&gt;=100000,INDEX($AB$1005:$AQ$1005,1,MATCH(COLUMNS($AB$1006:AD1006),$AB$1006:$AQ$1006,0))&gt;=100000), " ",IF(INDEX($AB$2:$AQ$1001,MATCH(ROWS($U$2:U555),$U$2:$U$1001,0),MATCH(COLUMNS($AB$1006:AD1006),$AB$1006:$AQ$1006,0)), HYPERLINK("#",""), HYPERLINK(CONCATENATE("#metadata!", ADDRESS(INDEX($W$2:$W$1001,MATCH(ROWS($U$2:U555),$U$2:$U$1001,0),0), INDEX($AB$1004:$AQ$1004,1,MATCH(COLUMNS($AB$1006:AD1006),$AB$1006:$AQ$1006,0)))),"Fix")))</f>
        <v>0</v>
      </c>
      <c r="E555" s="4">
        <f>IF(OR(INDEX($V$2:$V$1001,MATCH(ROWS($U$2:U555),$U$2:$U$1001,0),1)&gt;=100000,INDEX($AB$1005:$AQ$1005,1,MATCH(COLUMNS($AB$1006:AE1006),$AB$1006:$AQ$1006,0))&gt;=100000), " ",IF(INDEX($AB$2:$AQ$1001,MATCH(ROWS($U$2:U555),$U$2:$U$1001,0),MATCH(COLUMNS($AB$1006:AE1006),$AB$1006:$AQ$1006,0)), HYPERLINK("#",""), HYPERLINK(CONCATENATE("#metadata!", ADDRESS(INDEX($W$2:$W$1001,MATCH(ROWS($U$2:U555),$U$2:$U$1001,0),0), INDEX($AB$1004:$AQ$1004,1,MATCH(COLUMNS($AB$1006:AE1006),$AB$1006:$AQ$1006,0)))),"Fix")))</f>
        <v>0</v>
      </c>
      <c r="F555" s="4">
        <f>IF(OR(INDEX($V$2:$V$1001,MATCH(ROWS($U$2:U555),$U$2:$U$1001,0),1)&gt;=100000,INDEX($AB$1005:$AQ$1005,1,MATCH(COLUMNS($AB$1006:AF1006),$AB$1006:$AQ$1006,0))&gt;=100000), " ",IF(INDEX($AB$2:$AQ$1001,MATCH(ROWS($U$2:U555),$U$2:$U$1001,0),MATCH(COLUMNS($AB$1006:AF1006),$AB$1006:$AQ$1006,0)), HYPERLINK("#",""), HYPERLINK(CONCATENATE("#metadata!", ADDRESS(INDEX($W$2:$W$1001,MATCH(ROWS($U$2:U555),$U$2:$U$1001,0),0), INDEX($AB$1004:$AQ$1004,1,MATCH(COLUMNS($AB$1006:AF1006),$AB$1006:$AQ$1006,0)))),"Fix")))</f>
        <v>0</v>
      </c>
      <c r="G555" s="4">
        <f>IF(OR(INDEX($V$2:$V$1001,MATCH(ROWS($U$2:U555),$U$2:$U$1001,0),1)&gt;=100000,INDEX($AB$1005:$AQ$1005,1,MATCH(COLUMNS($AB$1006:AG1006),$AB$1006:$AQ$1006,0))&gt;=100000), " ",IF(INDEX($AB$2:$AQ$1001,MATCH(ROWS($U$2:U555),$U$2:$U$1001,0),MATCH(COLUMNS($AB$1006:AG1006),$AB$1006:$AQ$1006,0)), HYPERLINK("#",""), HYPERLINK(CONCATENATE("#metadata!", ADDRESS(INDEX($W$2:$W$1001,MATCH(ROWS($U$2:U555),$U$2:$U$1001,0),0), INDEX($AB$1004:$AQ$1004,1,MATCH(COLUMNS($AB$1006:AG1006),$AB$1006:$AQ$1006,0)))),"Fix")))</f>
        <v>0</v>
      </c>
      <c r="H555" s="4">
        <f>IF(OR(INDEX($V$2:$V$1001,MATCH(ROWS($U$2:U555),$U$2:$U$1001,0),1)&gt;=100000,INDEX($AB$1005:$AQ$1005,1,MATCH(COLUMNS($AB$1006:AH1006),$AB$1006:$AQ$1006,0))&gt;=100000), " ",IF(INDEX($AB$2:$AQ$1001,MATCH(ROWS($U$2:U555),$U$2:$U$1001,0),MATCH(COLUMNS($AB$1006:AH1006),$AB$1006:$AQ$1006,0)), HYPERLINK("#",""), HYPERLINK(CONCATENATE("#metadata!", ADDRESS(INDEX($W$2:$W$1001,MATCH(ROWS($U$2:U555),$U$2:$U$1001,0),0), INDEX($AB$1004:$AQ$1004,1,MATCH(COLUMNS($AB$1006:AH1006),$AB$1006:$AQ$1006,0)))),"Fix")))</f>
        <v>0</v>
      </c>
      <c r="I555" s="4">
        <f>IF(OR(INDEX($V$2:$V$1001,MATCH(ROWS($U$2:U555),$U$2:$U$1001,0),1)&gt;=100000,INDEX($AB$1005:$AQ$1005,1,MATCH(COLUMNS($AB$1006:AI1006),$AB$1006:$AQ$1006,0))&gt;=100000), " ",IF(INDEX($AB$2:$AQ$1001,MATCH(ROWS($U$2:U555),$U$2:$U$1001,0),MATCH(COLUMNS($AB$1006:AI1006),$AB$1006:$AQ$1006,0)), HYPERLINK("#",""), HYPERLINK(CONCATENATE("#metadata!", ADDRESS(INDEX($W$2:$W$1001,MATCH(ROWS($U$2:U555),$U$2:$U$1001,0),0), INDEX($AB$1004:$AQ$1004,1,MATCH(COLUMNS($AB$1006:AI1006),$AB$1006:$AQ$1006,0)))),"Fix")))</f>
        <v>0</v>
      </c>
      <c r="J555" s="4">
        <f>IF(OR(INDEX($V$2:$V$1001,MATCH(ROWS($U$2:U555),$U$2:$U$1001,0),1)&gt;=100000,INDEX($AB$1005:$AQ$1005,1,MATCH(COLUMNS($AB$1006:AJ1006),$AB$1006:$AQ$1006,0))&gt;=100000), " ",IF(INDEX($AB$2:$AQ$1001,MATCH(ROWS($U$2:U555),$U$2:$U$1001,0),MATCH(COLUMNS($AB$1006:AJ1006),$AB$1006:$AQ$1006,0)), HYPERLINK("#",""), HYPERLINK(CONCATENATE("#metadata!", ADDRESS(INDEX($W$2:$W$1001,MATCH(ROWS($U$2:U555),$U$2:$U$1001,0),0), INDEX($AB$1004:$AQ$1004,1,MATCH(COLUMNS($AB$1006:AJ1006),$AB$1006:$AQ$1006,0)))),"Fix")))</f>
        <v>0</v>
      </c>
      <c r="K555" s="4">
        <f>IF(OR(INDEX($V$2:$V$1001,MATCH(ROWS($U$2:U555),$U$2:$U$1001,0),1)&gt;=100000,INDEX($AB$1005:$AQ$1005,1,MATCH(COLUMNS($AB$1006:AK1006),$AB$1006:$AQ$1006,0))&gt;=100000), " ",IF(INDEX($AB$2:$AQ$1001,MATCH(ROWS($U$2:U555),$U$2:$U$1001,0),MATCH(COLUMNS($AB$1006:AK1006),$AB$1006:$AQ$1006,0)), HYPERLINK("#",""), HYPERLINK(CONCATENATE("#metadata!", ADDRESS(INDEX($W$2:$W$1001,MATCH(ROWS($U$2:U555),$U$2:$U$1001,0),0), INDEX($AB$1004:$AQ$1004,1,MATCH(COLUMNS($AB$1006:AK1006),$AB$1006:$AQ$1006,0)))),"Fix")))</f>
        <v>0</v>
      </c>
      <c r="L555" s="4">
        <f>IF(OR(INDEX($V$2:$V$1001,MATCH(ROWS($U$2:U555),$U$2:$U$1001,0),1)&gt;=100000,INDEX($AB$1005:$AQ$1005,1,MATCH(COLUMNS($AB$1006:AL1006),$AB$1006:$AQ$1006,0))&gt;=100000), " ",IF(INDEX($AB$2:$AQ$1001,MATCH(ROWS($U$2:U555),$U$2:$U$1001,0),MATCH(COLUMNS($AB$1006:AL1006),$AB$1006:$AQ$1006,0)), HYPERLINK("#",""), HYPERLINK(CONCATENATE("#metadata!", ADDRESS(INDEX($W$2:$W$1001,MATCH(ROWS($U$2:U555),$U$2:$U$1001,0),0), INDEX($AB$1004:$AQ$1004,1,MATCH(COLUMNS($AB$1006:AL1006),$AB$1006:$AQ$1006,0)))),"Fix")))</f>
        <v>0</v>
      </c>
      <c r="M555" s="4">
        <f>IF(OR(INDEX($V$2:$V$1001,MATCH(ROWS($U$2:U555),$U$2:$U$1001,0),1)&gt;=100000,INDEX($AB$1005:$AQ$1005,1,MATCH(COLUMNS($AB$1006:AM1006),$AB$1006:$AQ$1006,0))&gt;=100000), " ",IF(INDEX($AB$2:$AQ$1001,MATCH(ROWS($U$2:U555),$U$2:$U$1001,0),MATCH(COLUMNS($AB$1006:AM1006),$AB$1006:$AQ$1006,0)), HYPERLINK("#",""), HYPERLINK(CONCATENATE("#metadata!", ADDRESS(INDEX($W$2:$W$1001,MATCH(ROWS($U$2:U555),$U$2:$U$1001,0),0), INDEX($AB$1004:$AQ$1004,1,MATCH(COLUMNS($AB$1006:AM1006),$AB$1006:$AQ$1006,0)))),"Fix")))</f>
        <v>0</v>
      </c>
      <c r="N555" s="4">
        <f>IF(OR(INDEX($V$2:$V$1001,MATCH(ROWS($U$2:U555),$U$2:$U$1001,0),1)&gt;=100000,INDEX($AB$1005:$AQ$1005,1,MATCH(COLUMNS($AB$1006:AN1006),$AB$1006:$AQ$1006,0))&gt;=100000), " ",IF(INDEX($AB$2:$AQ$1001,MATCH(ROWS($U$2:U555),$U$2:$U$1001,0),MATCH(COLUMNS($AB$1006:AN1006),$AB$1006:$AQ$1006,0)), HYPERLINK("#",""), HYPERLINK(CONCATENATE("#metadata!", ADDRESS(INDEX($W$2:$W$1001,MATCH(ROWS($U$2:U555),$U$2:$U$1001,0),0), INDEX($AB$1004:$AQ$1004,1,MATCH(COLUMNS($AB$1006:AN1006),$AB$1006:$AQ$1006,0)))),"Fix")))</f>
        <v>0</v>
      </c>
      <c r="O555" s="4">
        <f>IF(OR(INDEX($V$2:$V$1001,MATCH(ROWS($U$2:U555),$U$2:$U$1001,0),1)&gt;=100000,INDEX($AB$1005:$AQ$1005,1,MATCH(COLUMNS($AB$1006:AO1006),$AB$1006:$AQ$1006,0))&gt;=100000), " ",IF(INDEX($AB$2:$AQ$1001,MATCH(ROWS($U$2:U555),$U$2:$U$1001,0),MATCH(COLUMNS($AB$1006:AO1006),$AB$1006:$AQ$1006,0)), HYPERLINK("#",""), HYPERLINK(CONCATENATE("#metadata!", ADDRESS(INDEX($W$2:$W$1001,MATCH(ROWS($U$2:U555),$U$2:$U$1001,0),0), INDEX($AB$1004:$AQ$1004,1,MATCH(COLUMNS($AB$1006:AO1006),$AB$1006:$AQ$1006,0)))),"Fix")))</f>
        <v>0</v>
      </c>
      <c r="P555" s="4">
        <f>IF(OR(INDEX($V$2:$V$1001,MATCH(ROWS($U$2:U555),$U$2:$U$1001,0),1)&gt;=100000,INDEX($AB$1005:$AQ$1005,1,MATCH(COLUMNS($AB$1006:AP1006),$AB$1006:$AQ$1006,0))&gt;=100000), " ",IF(INDEX($AB$2:$AQ$1001,MATCH(ROWS($U$2:U555),$U$2:$U$1001,0),MATCH(COLUMNS($AB$1006:AP1006),$AB$1006:$AQ$1006,0)), HYPERLINK("#",""), HYPERLINK(CONCATENATE("#metadata!", ADDRESS(INDEX($W$2:$W$1001,MATCH(ROWS($U$2:U555),$U$2:$U$1001,0),0), INDEX($AB$1004:$AQ$1004,1,MATCH(COLUMNS($AB$1006:AP1006),$AB$1006:$AQ$1006,0)))),"Fix")))</f>
        <v>0</v>
      </c>
      <c r="Q555" s="4">
        <f>IF(OR(INDEX($V$2:$V$1001,MATCH(ROWS($U$2:U555),$U$2:$U$1001,0),1)&gt;=100000,INDEX($AB$1005:$AQ$1005,1,MATCH(COLUMNS($AB$1006:AQ1006),$AB$1006:$AQ$1006,0))&gt;=100000), " ",IF(INDEX($AB$2:$AQ$1001,MATCH(ROWS($U$2:U555),$U$2:$U$1001,0),MATCH(COLUMNS($AB$1006:AQ1006),$AB$1006:$AQ$1006,0)), HYPERLINK("#",""), HYPERLINK(CONCATENATE("#metadata!", ADDRESS(INDEX($W$2:$W$1001,MATCH(ROWS($U$2:U555),$U$2:$U$1001,0),0), INDEX($AB$1004:$AQ$1004,1,MATCH(COLUMNS($AB$1006:AQ1006),$AB$1006:$AQ$1006,0)))),"Fix")))</f>
        <v>0</v>
      </c>
      <c r="U555">
        <v>0</v>
      </c>
      <c r="V555">
        <v>0</v>
      </c>
      <c r="W555">
        <v>0</v>
      </c>
      <c r="X555">
        <f>IF(Y555,TRUE,AND(AB555:AQ555))</f>
        <v>0</v>
      </c>
      <c r="Y555">
        <f>COUNTBLANK(metadata!B555:Q555)=COLUMNS(metadata!B555:Q555)</f>
        <v>0</v>
      </c>
      <c r="Z555">
        <v>0</v>
      </c>
      <c r="AB555">
        <f>AND(IF(metadata!B555="",FALSE,TRUE),COUNTIF(metadata!B:B, metadata!B555) = 1,NOT(ISERROR(SUMPRODUCT(SEARCH(MID(metadata!B555,ROW(INDIRECT("1:"&amp;LEN(metadata!B555))), 1),"0123456789abcdefghijklmnopqrstuvwxyzABCDEFGHIJKLMNOPQRSTUVWXYZ.")))))</f>
        <v>0</v>
      </c>
      <c r="AC555">
        <f>OR(AND(IF(metadata!C555="",FALSE,TRUE),OR(exact(metadata!C555,"missing: not collected"),exact(metadata!C555,"missing: not provided"),exact(metadata!C555,"missing: restricted access"))),AND(IF(metadata!C555="",FALSE,TRUE),AND(AND(IFERROR(INT(LEFT(metadata!C555,4))&gt;1900,FALSE),IFERROR(INT(LEFT(metadata!C555,4))&lt;=YEAR(NOW()),FALSE)), OR(MID(metadata!C555,5,1)="", AND(AND(MID(metadata!C555,5,1)="-",IFERROR(INT(MID(metadata!C555,6,1))&gt;=0,FALSE),IFERROR(INT(MID(metadata!C555,6,1))&lt;=1,FALSE),NOT(MID(metadata!C555,7,1)=""),IFERROR(INT(MID(metadata!C555,6,2))&gt;=1,FALSE),IFERROR(INT(MID(metadata!C555,6,2))&lt;=12,FALSE)), OR(MID(metadata!C555,8,1)="", AND(AND(MID(metadata!C555,8,1)="-",IFERROR(INT(MID(metadata!C555,9,1))&gt;=0,FALSE),IFERROR(INT(MID(metadata!C555,9,1))&lt;=3,FALSE),NOT(MID(metadata!C555,10,1)=""),IFERROR(INT(MID(metadata!C555,9,2))&gt;=1,FALSE),IFERROR(INT(MID(metadata!C555,9,2))&lt;=31,FALSE)), OR(MID(metadata!C555,11,1)="", AND(AND(MID(metadata!C555,11,1)=" ",IFERROR(INT(MID(metadata!C555,12,1))&gt;=0,FALSE),IFERROR(INT(MID(metadata!C555,12,1))&lt;=2,FALSE),NOT(MID(metadata!C555,13,1)=""),IFERROR(INT(MID(metadata!C555,12,2))&gt;=0,FALSE),IFERROR(INT(MID(metadata!C555,12,2))&lt;=23,FALSE)), OR(MID(metadata!C555,14,1)="", AND(AND(MID(metadata!C555,14,1)=":",IFERROR(INT(MID(metadata!C555,15,1))&gt;=0,FALSE),IFERROR(INT(MID(metadata!C555,15,1))&lt;=5,FALSE),NOT(MID(metadata!C555,16,1)=""),IFERROR(INT(MID(metadata!C555,15,2))&gt;=0,FALSE),IFERROR(INT(MID(metadata!C555,15,2))&lt;=59,FALSE)), OR(MID(metadata!C555,17,1)="", AND(AND(MID(metadata!C555,17,1)=":",IFERROR(INT(MID(metadata!C555,18,1))&gt;=0,FALSE),IFERROR(INT(MID(metadata!C555,18,1))&lt;=5,FALSE),NOT(MID(metadata!C555,19,1)=""),IFERROR(INT(MID(metadata!C555,18,2))&gt;=0,FALSE),IFERROR(INT(MID(metadata!C555,18,2))&lt;=59,FALSE)), LEN(metadata!C555)&lt;=19)))))))))))))</f>
        <v>0</v>
      </c>
      <c r="AD555">
        <f>IF(metadata!D555="",FALSE,TRUE)</f>
        <v>0</v>
      </c>
      <c r="AE555">
        <f>OR(AND(IF(metadata!E555="",FALSE,TRUE),OR(exact(metadata!E555,"missing: not collected"),exact(metadata!E555,"missing: not provided"))),AND(IF(metadata!E555="",FALSE,TRUE),OR(exact(metadata!E555,"TRUE"),exact(metadata!E555,"FALSE"))))</f>
        <v>0</v>
      </c>
      <c r="AF555">
        <f>IF(metadata!F555="",FALSE,TRUE)</f>
        <v>0</v>
      </c>
      <c r="AG555">
        <f>IF(metadata!G555="",FALSE,TRUE)</f>
        <v>0</v>
      </c>
      <c r="AH555">
        <f>IF(metadata!H555="",FALSE,TRUE)</f>
        <v>0</v>
      </c>
      <c r="AI555">
        <f>OR(AND(IF(metadata!I555="",FALSE,TRUE),OR(exact(metadata!I555,"missing: not collected"),exact(metadata!I555,"missing: not provided"),exact(metadata!I555,"missing: restricted access"))),AND(IF(metadata!I555="",FALSE,TRUE),OR(exact(metadata!I555,"air"),exact(metadata!I555,"built environment"),exact(metadata!I555,"host-associated"),exact(metadata!I555,"human-associated"),exact(metadata!I555,"human-skin"),exact(metadata!I555,"human-oral"),exact(metadata!I555,"human-gut"),exact(metadata!I555,"human-vaginal"),exact(metadata!I555,"microbial mat/biofilm"),exact(metadata!I555,"misc environment"),exact(metadata!I555,"plant-associated"),exact(metadata!I555,"sediment"),exact(metadata!I555,"soil"),exact(metadata!I555,"wastewater/sludge"),exact(metadata!I555,"water"))))</f>
        <v>0</v>
      </c>
      <c r="AJ555">
        <f>IF(metadata!J555="",FALSE,TRUE)</f>
        <v>0</v>
      </c>
      <c r="AK555">
        <f>OR(AND(IF(metadata!K555="",FALSE,TRUE),OR(exact(metadata!K555,"missing: not collected"),exact(metadata!K555,"missing: not provided"),exact(metadata!K555,"missing: restricted access"))),AND(IF(metadata!K555="",FALSE,ISNUMBER(VALUE(metadata!K555))),metadata!K555&gt;=-90.00,metadata!K555&lt;=90.00))</f>
        <v>0</v>
      </c>
      <c r="AL555">
        <f>OR(AND(IF(metadata!L555="",FALSE,TRUE),OR(exact(metadata!L555,"missing: not collected"),exact(metadata!L555,"missing: not provided"),exact(metadata!L555,"missing: restricted access"))),AND(IF(metadata!L555="",FALSE,ISNUMBER(VALUE(metadata!L555))),metadata!L555&gt;=-180.00,metadata!L555&lt;=180.00))</f>
        <v>0</v>
      </c>
      <c r="AM555">
        <f>IF(metadata!M555="",FALSE,TRUE)</f>
        <v>0</v>
      </c>
      <c r="AN555">
        <f>OR(AND(IF(metadata!N555="",FALSE,TRUE),OR(exact(metadata!N555,"missing: not collected"),exact(metadata!N555,"missing: not provided"),exact(metadata!N555,"missing: restricted access"))),AND(IF(metadata!N555="",FALSE,TRUE),OR(exact(metadata!N555,"TRUE"),exact(metadata!N555,"FALSE"))))</f>
        <v>0</v>
      </c>
      <c r="AO555">
        <f>IF(metadata!O555="",FALSE,TRUE)</f>
        <v>0</v>
      </c>
      <c r="AP555">
        <f>OR(AND(IF(metadata!P555="",FALSE,TRUE),OR(exact(metadata!P555,"missing: not collected"),exact(metadata!P555,"missing: not provided"))),AND(IF(metadata!P555="",FALSE,IF(ISERROR(INT(metadata!P555)),FALSE,INT(metadata!P555)=metadata!P555)),metadata!P555&gt;0))</f>
        <v>0</v>
      </c>
      <c r="AQ555">
        <f>IF(metadata!Q555="",FALSE,TRUE)</f>
        <v>0</v>
      </c>
    </row>
    <row r="556" spans="1:43">
      <c r="A556" s="5">
        <f>IF(B556=" "," ",HYPERLINK(CONCATENATE("#metadata!",ADDRESS(INDEX($W$2:$W$1001,MATCH(ROWS($U$2:U556),$U$2:$U$1001,0),0),1)),INDEX($Z$2:$Z$1001,MATCH(ROWS($U$2:U556),$U$2:$U$1001,0),0)))</f>
        <v>0</v>
      </c>
      <c r="B556" s="4">
        <f>IF(OR(INDEX($V$2:$V$1001,MATCH(ROWS($U$2:U556),$U$2:$U$1001,0),1)&gt;=100000,INDEX($AB$1005:$AQ$1005,1,MATCH(COLUMNS($AB$1006:AB1006),$AB$1006:$AQ$1006,0))&gt;=100000), " ",IF(INDEX($AB$2:$AQ$1001,MATCH(ROWS($U$2:U556),$U$2:$U$1001,0),MATCH(COLUMNS($AB$1006:AB1006),$AB$1006:$AQ$1006,0)), HYPERLINK("#",""), HYPERLINK(CONCATENATE("#metadata!", ADDRESS(INDEX($W$2:$W$1001,MATCH(ROWS($U$2:U556),$U$2:$U$1001,0),0), INDEX($AB$1004:$AQ$1004,1,MATCH(COLUMNS($AB$1006:AB1006),$AB$1006:$AQ$1006,0)))),"Fix")))</f>
        <v>0</v>
      </c>
      <c r="C556" s="4">
        <f>IF(OR(INDEX($V$2:$V$1001,MATCH(ROWS($U$2:U556),$U$2:$U$1001,0),1)&gt;=100000,INDEX($AB$1005:$AQ$1005,1,MATCH(COLUMNS($AB$1006:AC1006),$AB$1006:$AQ$1006,0))&gt;=100000), " ",IF(INDEX($AB$2:$AQ$1001,MATCH(ROWS($U$2:U556),$U$2:$U$1001,0),MATCH(COLUMNS($AB$1006:AC1006),$AB$1006:$AQ$1006,0)), HYPERLINK("#",""), HYPERLINK(CONCATENATE("#metadata!", ADDRESS(INDEX($W$2:$W$1001,MATCH(ROWS($U$2:U556),$U$2:$U$1001,0),0), INDEX($AB$1004:$AQ$1004,1,MATCH(COLUMNS($AB$1006:AC1006),$AB$1006:$AQ$1006,0)))),"Fix")))</f>
        <v>0</v>
      </c>
      <c r="D556" s="4">
        <f>IF(OR(INDEX($V$2:$V$1001,MATCH(ROWS($U$2:U556),$U$2:$U$1001,0),1)&gt;=100000,INDEX($AB$1005:$AQ$1005,1,MATCH(COLUMNS($AB$1006:AD1006),$AB$1006:$AQ$1006,0))&gt;=100000), " ",IF(INDEX($AB$2:$AQ$1001,MATCH(ROWS($U$2:U556),$U$2:$U$1001,0),MATCH(COLUMNS($AB$1006:AD1006),$AB$1006:$AQ$1006,0)), HYPERLINK("#",""), HYPERLINK(CONCATENATE("#metadata!", ADDRESS(INDEX($W$2:$W$1001,MATCH(ROWS($U$2:U556),$U$2:$U$1001,0),0), INDEX($AB$1004:$AQ$1004,1,MATCH(COLUMNS($AB$1006:AD1006),$AB$1006:$AQ$1006,0)))),"Fix")))</f>
        <v>0</v>
      </c>
      <c r="E556" s="4">
        <f>IF(OR(INDEX($V$2:$V$1001,MATCH(ROWS($U$2:U556),$U$2:$U$1001,0),1)&gt;=100000,INDEX($AB$1005:$AQ$1005,1,MATCH(COLUMNS($AB$1006:AE1006),$AB$1006:$AQ$1006,0))&gt;=100000), " ",IF(INDEX($AB$2:$AQ$1001,MATCH(ROWS($U$2:U556),$U$2:$U$1001,0),MATCH(COLUMNS($AB$1006:AE1006),$AB$1006:$AQ$1006,0)), HYPERLINK("#",""), HYPERLINK(CONCATENATE("#metadata!", ADDRESS(INDEX($W$2:$W$1001,MATCH(ROWS($U$2:U556),$U$2:$U$1001,0),0), INDEX($AB$1004:$AQ$1004,1,MATCH(COLUMNS($AB$1006:AE1006),$AB$1006:$AQ$1006,0)))),"Fix")))</f>
        <v>0</v>
      </c>
      <c r="F556" s="4">
        <f>IF(OR(INDEX($V$2:$V$1001,MATCH(ROWS($U$2:U556),$U$2:$U$1001,0),1)&gt;=100000,INDEX($AB$1005:$AQ$1005,1,MATCH(COLUMNS($AB$1006:AF1006),$AB$1006:$AQ$1006,0))&gt;=100000), " ",IF(INDEX($AB$2:$AQ$1001,MATCH(ROWS($U$2:U556),$U$2:$U$1001,0),MATCH(COLUMNS($AB$1006:AF1006),$AB$1006:$AQ$1006,0)), HYPERLINK("#",""), HYPERLINK(CONCATENATE("#metadata!", ADDRESS(INDEX($W$2:$W$1001,MATCH(ROWS($U$2:U556),$U$2:$U$1001,0),0), INDEX($AB$1004:$AQ$1004,1,MATCH(COLUMNS($AB$1006:AF1006),$AB$1006:$AQ$1006,0)))),"Fix")))</f>
        <v>0</v>
      </c>
      <c r="G556" s="4">
        <f>IF(OR(INDEX($V$2:$V$1001,MATCH(ROWS($U$2:U556),$U$2:$U$1001,0),1)&gt;=100000,INDEX($AB$1005:$AQ$1005,1,MATCH(COLUMNS($AB$1006:AG1006),$AB$1006:$AQ$1006,0))&gt;=100000), " ",IF(INDEX($AB$2:$AQ$1001,MATCH(ROWS($U$2:U556),$U$2:$U$1001,0),MATCH(COLUMNS($AB$1006:AG1006),$AB$1006:$AQ$1006,0)), HYPERLINK("#",""), HYPERLINK(CONCATENATE("#metadata!", ADDRESS(INDEX($W$2:$W$1001,MATCH(ROWS($U$2:U556),$U$2:$U$1001,0),0), INDEX($AB$1004:$AQ$1004,1,MATCH(COLUMNS($AB$1006:AG1006),$AB$1006:$AQ$1006,0)))),"Fix")))</f>
        <v>0</v>
      </c>
      <c r="H556" s="4">
        <f>IF(OR(INDEX($V$2:$V$1001,MATCH(ROWS($U$2:U556),$U$2:$U$1001,0),1)&gt;=100000,INDEX($AB$1005:$AQ$1005,1,MATCH(COLUMNS($AB$1006:AH1006),$AB$1006:$AQ$1006,0))&gt;=100000), " ",IF(INDEX($AB$2:$AQ$1001,MATCH(ROWS($U$2:U556),$U$2:$U$1001,0),MATCH(COLUMNS($AB$1006:AH1006),$AB$1006:$AQ$1006,0)), HYPERLINK("#",""), HYPERLINK(CONCATENATE("#metadata!", ADDRESS(INDEX($W$2:$W$1001,MATCH(ROWS($U$2:U556),$U$2:$U$1001,0),0), INDEX($AB$1004:$AQ$1004,1,MATCH(COLUMNS($AB$1006:AH1006),$AB$1006:$AQ$1006,0)))),"Fix")))</f>
        <v>0</v>
      </c>
      <c r="I556" s="4">
        <f>IF(OR(INDEX($V$2:$V$1001,MATCH(ROWS($U$2:U556),$U$2:$U$1001,0),1)&gt;=100000,INDEX($AB$1005:$AQ$1005,1,MATCH(COLUMNS($AB$1006:AI1006),$AB$1006:$AQ$1006,0))&gt;=100000), " ",IF(INDEX($AB$2:$AQ$1001,MATCH(ROWS($U$2:U556),$U$2:$U$1001,0),MATCH(COLUMNS($AB$1006:AI1006),$AB$1006:$AQ$1006,0)), HYPERLINK("#",""), HYPERLINK(CONCATENATE("#metadata!", ADDRESS(INDEX($W$2:$W$1001,MATCH(ROWS($U$2:U556),$U$2:$U$1001,0),0), INDEX($AB$1004:$AQ$1004,1,MATCH(COLUMNS($AB$1006:AI1006),$AB$1006:$AQ$1006,0)))),"Fix")))</f>
        <v>0</v>
      </c>
      <c r="J556" s="4">
        <f>IF(OR(INDEX($V$2:$V$1001,MATCH(ROWS($U$2:U556),$U$2:$U$1001,0),1)&gt;=100000,INDEX($AB$1005:$AQ$1005,1,MATCH(COLUMNS($AB$1006:AJ1006),$AB$1006:$AQ$1006,0))&gt;=100000), " ",IF(INDEX($AB$2:$AQ$1001,MATCH(ROWS($U$2:U556),$U$2:$U$1001,0),MATCH(COLUMNS($AB$1006:AJ1006),$AB$1006:$AQ$1006,0)), HYPERLINK("#",""), HYPERLINK(CONCATENATE("#metadata!", ADDRESS(INDEX($W$2:$W$1001,MATCH(ROWS($U$2:U556),$U$2:$U$1001,0),0), INDEX($AB$1004:$AQ$1004,1,MATCH(COLUMNS($AB$1006:AJ1006),$AB$1006:$AQ$1006,0)))),"Fix")))</f>
        <v>0</v>
      </c>
      <c r="K556" s="4">
        <f>IF(OR(INDEX($V$2:$V$1001,MATCH(ROWS($U$2:U556),$U$2:$U$1001,0),1)&gt;=100000,INDEX($AB$1005:$AQ$1005,1,MATCH(COLUMNS($AB$1006:AK1006),$AB$1006:$AQ$1006,0))&gt;=100000), " ",IF(INDEX($AB$2:$AQ$1001,MATCH(ROWS($U$2:U556),$U$2:$U$1001,0),MATCH(COLUMNS($AB$1006:AK1006),$AB$1006:$AQ$1006,0)), HYPERLINK("#",""), HYPERLINK(CONCATENATE("#metadata!", ADDRESS(INDEX($W$2:$W$1001,MATCH(ROWS($U$2:U556),$U$2:$U$1001,0),0), INDEX($AB$1004:$AQ$1004,1,MATCH(COLUMNS($AB$1006:AK1006),$AB$1006:$AQ$1006,0)))),"Fix")))</f>
        <v>0</v>
      </c>
      <c r="L556" s="4">
        <f>IF(OR(INDEX($V$2:$V$1001,MATCH(ROWS($U$2:U556),$U$2:$U$1001,0),1)&gt;=100000,INDEX($AB$1005:$AQ$1005,1,MATCH(COLUMNS($AB$1006:AL1006),$AB$1006:$AQ$1006,0))&gt;=100000), " ",IF(INDEX($AB$2:$AQ$1001,MATCH(ROWS($U$2:U556),$U$2:$U$1001,0),MATCH(COLUMNS($AB$1006:AL1006),$AB$1006:$AQ$1006,0)), HYPERLINK("#",""), HYPERLINK(CONCATENATE("#metadata!", ADDRESS(INDEX($W$2:$W$1001,MATCH(ROWS($U$2:U556),$U$2:$U$1001,0),0), INDEX($AB$1004:$AQ$1004,1,MATCH(COLUMNS($AB$1006:AL1006),$AB$1006:$AQ$1006,0)))),"Fix")))</f>
        <v>0</v>
      </c>
      <c r="M556" s="4">
        <f>IF(OR(INDEX($V$2:$V$1001,MATCH(ROWS($U$2:U556),$U$2:$U$1001,0),1)&gt;=100000,INDEX($AB$1005:$AQ$1005,1,MATCH(COLUMNS($AB$1006:AM1006),$AB$1006:$AQ$1006,0))&gt;=100000), " ",IF(INDEX($AB$2:$AQ$1001,MATCH(ROWS($U$2:U556),$U$2:$U$1001,0),MATCH(COLUMNS($AB$1006:AM1006),$AB$1006:$AQ$1006,0)), HYPERLINK("#",""), HYPERLINK(CONCATENATE("#metadata!", ADDRESS(INDEX($W$2:$W$1001,MATCH(ROWS($U$2:U556),$U$2:$U$1001,0),0), INDEX($AB$1004:$AQ$1004,1,MATCH(COLUMNS($AB$1006:AM1006),$AB$1006:$AQ$1006,0)))),"Fix")))</f>
        <v>0</v>
      </c>
      <c r="N556" s="4">
        <f>IF(OR(INDEX($V$2:$V$1001,MATCH(ROWS($U$2:U556),$U$2:$U$1001,0),1)&gt;=100000,INDEX($AB$1005:$AQ$1005,1,MATCH(COLUMNS($AB$1006:AN1006),$AB$1006:$AQ$1006,0))&gt;=100000), " ",IF(INDEX($AB$2:$AQ$1001,MATCH(ROWS($U$2:U556),$U$2:$U$1001,0),MATCH(COLUMNS($AB$1006:AN1006),$AB$1006:$AQ$1006,0)), HYPERLINK("#",""), HYPERLINK(CONCATENATE("#metadata!", ADDRESS(INDEX($W$2:$W$1001,MATCH(ROWS($U$2:U556),$U$2:$U$1001,0),0), INDEX($AB$1004:$AQ$1004,1,MATCH(COLUMNS($AB$1006:AN1006),$AB$1006:$AQ$1006,0)))),"Fix")))</f>
        <v>0</v>
      </c>
      <c r="O556" s="4">
        <f>IF(OR(INDEX($V$2:$V$1001,MATCH(ROWS($U$2:U556),$U$2:$U$1001,0),1)&gt;=100000,INDEX($AB$1005:$AQ$1005,1,MATCH(COLUMNS($AB$1006:AO1006),$AB$1006:$AQ$1006,0))&gt;=100000), " ",IF(INDEX($AB$2:$AQ$1001,MATCH(ROWS($U$2:U556),$U$2:$U$1001,0),MATCH(COLUMNS($AB$1006:AO1006),$AB$1006:$AQ$1006,0)), HYPERLINK("#",""), HYPERLINK(CONCATENATE("#metadata!", ADDRESS(INDEX($W$2:$W$1001,MATCH(ROWS($U$2:U556),$U$2:$U$1001,0),0), INDEX($AB$1004:$AQ$1004,1,MATCH(COLUMNS($AB$1006:AO1006),$AB$1006:$AQ$1006,0)))),"Fix")))</f>
        <v>0</v>
      </c>
      <c r="P556" s="4">
        <f>IF(OR(INDEX($V$2:$V$1001,MATCH(ROWS($U$2:U556),$U$2:$U$1001,0),1)&gt;=100000,INDEX($AB$1005:$AQ$1005,1,MATCH(COLUMNS($AB$1006:AP1006),$AB$1006:$AQ$1006,0))&gt;=100000), " ",IF(INDEX($AB$2:$AQ$1001,MATCH(ROWS($U$2:U556),$U$2:$U$1001,0),MATCH(COLUMNS($AB$1006:AP1006),$AB$1006:$AQ$1006,0)), HYPERLINK("#",""), HYPERLINK(CONCATENATE("#metadata!", ADDRESS(INDEX($W$2:$W$1001,MATCH(ROWS($U$2:U556),$U$2:$U$1001,0),0), INDEX($AB$1004:$AQ$1004,1,MATCH(COLUMNS($AB$1006:AP1006),$AB$1006:$AQ$1006,0)))),"Fix")))</f>
        <v>0</v>
      </c>
      <c r="Q556" s="4">
        <f>IF(OR(INDEX($V$2:$V$1001,MATCH(ROWS($U$2:U556),$U$2:$U$1001,0),1)&gt;=100000,INDEX($AB$1005:$AQ$1005,1,MATCH(COLUMNS($AB$1006:AQ1006),$AB$1006:$AQ$1006,0))&gt;=100000), " ",IF(INDEX($AB$2:$AQ$1001,MATCH(ROWS($U$2:U556),$U$2:$U$1001,0),MATCH(COLUMNS($AB$1006:AQ1006),$AB$1006:$AQ$1006,0)), HYPERLINK("#",""), HYPERLINK(CONCATENATE("#metadata!", ADDRESS(INDEX($W$2:$W$1001,MATCH(ROWS($U$2:U556),$U$2:$U$1001,0),0), INDEX($AB$1004:$AQ$1004,1,MATCH(COLUMNS($AB$1006:AQ1006),$AB$1006:$AQ$1006,0)))),"Fix")))</f>
        <v>0</v>
      </c>
      <c r="U556">
        <v>0</v>
      </c>
      <c r="V556">
        <v>0</v>
      </c>
      <c r="W556">
        <v>0</v>
      </c>
      <c r="X556">
        <f>IF(Y556,TRUE,AND(AB556:AQ556))</f>
        <v>0</v>
      </c>
      <c r="Y556">
        <f>COUNTBLANK(metadata!B556:Q556)=COLUMNS(metadata!B556:Q556)</f>
        <v>0</v>
      </c>
      <c r="Z556">
        <v>0</v>
      </c>
      <c r="AB556">
        <f>AND(IF(metadata!B556="",FALSE,TRUE),COUNTIF(metadata!B:B, metadata!B556) = 1,NOT(ISERROR(SUMPRODUCT(SEARCH(MID(metadata!B556,ROW(INDIRECT("1:"&amp;LEN(metadata!B556))), 1),"0123456789abcdefghijklmnopqrstuvwxyzABCDEFGHIJKLMNOPQRSTUVWXYZ.")))))</f>
        <v>0</v>
      </c>
      <c r="AC556">
        <f>OR(AND(IF(metadata!C556="",FALSE,TRUE),OR(exact(metadata!C556,"missing: not collected"),exact(metadata!C556,"missing: not provided"),exact(metadata!C556,"missing: restricted access"))),AND(IF(metadata!C556="",FALSE,TRUE),AND(AND(IFERROR(INT(LEFT(metadata!C556,4))&gt;1900,FALSE),IFERROR(INT(LEFT(metadata!C556,4))&lt;=YEAR(NOW()),FALSE)), OR(MID(metadata!C556,5,1)="", AND(AND(MID(metadata!C556,5,1)="-",IFERROR(INT(MID(metadata!C556,6,1))&gt;=0,FALSE),IFERROR(INT(MID(metadata!C556,6,1))&lt;=1,FALSE),NOT(MID(metadata!C556,7,1)=""),IFERROR(INT(MID(metadata!C556,6,2))&gt;=1,FALSE),IFERROR(INT(MID(metadata!C556,6,2))&lt;=12,FALSE)), OR(MID(metadata!C556,8,1)="", AND(AND(MID(metadata!C556,8,1)="-",IFERROR(INT(MID(metadata!C556,9,1))&gt;=0,FALSE),IFERROR(INT(MID(metadata!C556,9,1))&lt;=3,FALSE),NOT(MID(metadata!C556,10,1)=""),IFERROR(INT(MID(metadata!C556,9,2))&gt;=1,FALSE),IFERROR(INT(MID(metadata!C556,9,2))&lt;=31,FALSE)), OR(MID(metadata!C556,11,1)="", AND(AND(MID(metadata!C556,11,1)=" ",IFERROR(INT(MID(metadata!C556,12,1))&gt;=0,FALSE),IFERROR(INT(MID(metadata!C556,12,1))&lt;=2,FALSE),NOT(MID(metadata!C556,13,1)=""),IFERROR(INT(MID(metadata!C556,12,2))&gt;=0,FALSE),IFERROR(INT(MID(metadata!C556,12,2))&lt;=23,FALSE)), OR(MID(metadata!C556,14,1)="", AND(AND(MID(metadata!C556,14,1)=":",IFERROR(INT(MID(metadata!C556,15,1))&gt;=0,FALSE),IFERROR(INT(MID(metadata!C556,15,1))&lt;=5,FALSE),NOT(MID(metadata!C556,16,1)=""),IFERROR(INT(MID(metadata!C556,15,2))&gt;=0,FALSE),IFERROR(INT(MID(metadata!C556,15,2))&lt;=59,FALSE)), OR(MID(metadata!C556,17,1)="", AND(AND(MID(metadata!C556,17,1)=":",IFERROR(INT(MID(metadata!C556,18,1))&gt;=0,FALSE),IFERROR(INT(MID(metadata!C556,18,1))&lt;=5,FALSE),NOT(MID(metadata!C556,19,1)=""),IFERROR(INT(MID(metadata!C556,18,2))&gt;=0,FALSE),IFERROR(INT(MID(metadata!C556,18,2))&lt;=59,FALSE)), LEN(metadata!C556)&lt;=19)))))))))))))</f>
        <v>0</v>
      </c>
      <c r="AD556">
        <f>IF(metadata!D556="",FALSE,TRUE)</f>
        <v>0</v>
      </c>
      <c r="AE556">
        <f>OR(AND(IF(metadata!E556="",FALSE,TRUE),OR(exact(metadata!E556,"missing: not collected"),exact(metadata!E556,"missing: not provided"))),AND(IF(metadata!E556="",FALSE,TRUE),OR(exact(metadata!E556,"TRUE"),exact(metadata!E556,"FALSE"))))</f>
        <v>0</v>
      </c>
      <c r="AF556">
        <f>IF(metadata!F556="",FALSE,TRUE)</f>
        <v>0</v>
      </c>
      <c r="AG556">
        <f>IF(metadata!G556="",FALSE,TRUE)</f>
        <v>0</v>
      </c>
      <c r="AH556">
        <f>IF(metadata!H556="",FALSE,TRUE)</f>
        <v>0</v>
      </c>
      <c r="AI556">
        <f>OR(AND(IF(metadata!I556="",FALSE,TRUE),OR(exact(metadata!I556,"missing: not collected"),exact(metadata!I556,"missing: not provided"),exact(metadata!I556,"missing: restricted access"))),AND(IF(metadata!I556="",FALSE,TRUE),OR(exact(metadata!I556,"air"),exact(metadata!I556,"built environment"),exact(metadata!I556,"host-associated"),exact(metadata!I556,"human-associated"),exact(metadata!I556,"human-skin"),exact(metadata!I556,"human-oral"),exact(metadata!I556,"human-gut"),exact(metadata!I556,"human-vaginal"),exact(metadata!I556,"microbial mat/biofilm"),exact(metadata!I556,"misc environment"),exact(metadata!I556,"plant-associated"),exact(metadata!I556,"sediment"),exact(metadata!I556,"soil"),exact(metadata!I556,"wastewater/sludge"),exact(metadata!I556,"water"))))</f>
        <v>0</v>
      </c>
      <c r="AJ556">
        <f>IF(metadata!J556="",FALSE,TRUE)</f>
        <v>0</v>
      </c>
      <c r="AK556">
        <f>OR(AND(IF(metadata!K556="",FALSE,TRUE),OR(exact(metadata!K556,"missing: not collected"),exact(metadata!K556,"missing: not provided"),exact(metadata!K556,"missing: restricted access"))),AND(IF(metadata!K556="",FALSE,ISNUMBER(VALUE(metadata!K556))),metadata!K556&gt;=-90.00,metadata!K556&lt;=90.00))</f>
        <v>0</v>
      </c>
      <c r="AL556">
        <f>OR(AND(IF(metadata!L556="",FALSE,TRUE),OR(exact(metadata!L556,"missing: not collected"),exact(metadata!L556,"missing: not provided"),exact(metadata!L556,"missing: restricted access"))),AND(IF(metadata!L556="",FALSE,ISNUMBER(VALUE(metadata!L556))),metadata!L556&gt;=-180.00,metadata!L556&lt;=180.00))</f>
        <v>0</v>
      </c>
      <c r="AM556">
        <f>IF(metadata!M556="",FALSE,TRUE)</f>
        <v>0</v>
      </c>
      <c r="AN556">
        <f>OR(AND(IF(metadata!N556="",FALSE,TRUE),OR(exact(metadata!N556,"missing: not collected"),exact(metadata!N556,"missing: not provided"),exact(metadata!N556,"missing: restricted access"))),AND(IF(metadata!N556="",FALSE,TRUE),OR(exact(metadata!N556,"TRUE"),exact(metadata!N556,"FALSE"))))</f>
        <v>0</v>
      </c>
      <c r="AO556">
        <f>IF(metadata!O556="",FALSE,TRUE)</f>
        <v>0</v>
      </c>
      <c r="AP556">
        <f>OR(AND(IF(metadata!P556="",FALSE,TRUE),OR(exact(metadata!P556,"missing: not collected"),exact(metadata!P556,"missing: not provided"))),AND(IF(metadata!P556="",FALSE,IF(ISERROR(INT(metadata!P556)),FALSE,INT(metadata!P556)=metadata!P556)),metadata!P556&gt;0))</f>
        <v>0</v>
      </c>
      <c r="AQ556">
        <f>IF(metadata!Q556="",FALSE,TRUE)</f>
        <v>0</v>
      </c>
    </row>
    <row r="557" spans="1:43">
      <c r="A557" s="5">
        <f>IF(B557=" "," ",HYPERLINK(CONCATENATE("#metadata!",ADDRESS(INDEX($W$2:$W$1001,MATCH(ROWS($U$2:U557),$U$2:$U$1001,0),0),1)),INDEX($Z$2:$Z$1001,MATCH(ROWS($U$2:U557),$U$2:$U$1001,0),0)))</f>
        <v>0</v>
      </c>
      <c r="B557" s="4">
        <f>IF(OR(INDEX($V$2:$V$1001,MATCH(ROWS($U$2:U557),$U$2:$U$1001,0),1)&gt;=100000,INDEX($AB$1005:$AQ$1005,1,MATCH(COLUMNS($AB$1006:AB1006),$AB$1006:$AQ$1006,0))&gt;=100000), " ",IF(INDEX($AB$2:$AQ$1001,MATCH(ROWS($U$2:U557),$U$2:$U$1001,0),MATCH(COLUMNS($AB$1006:AB1006),$AB$1006:$AQ$1006,0)), HYPERLINK("#",""), HYPERLINK(CONCATENATE("#metadata!", ADDRESS(INDEX($W$2:$W$1001,MATCH(ROWS($U$2:U557),$U$2:$U$1001,0),0), INDEX($AB$1004:$AQ$1004,1,MATCH(COLUMNS($AB$1006:AB1006),$AB$1006:$AQ$1006,0)))),"Fix")))</f>
        <v>0</v>
      </c>
      <c r="C557" s="4">
        <f>IF(OR(INDEX($V$2:$V$1001,MATCH(ROWS($U$2:U557),$U$2:$U$1001,0),1)&gt;=100000,INDEX($AB$1005:$AQ$1005,1,MATCH(COLUMNS($AB$1006:AC1006),$AB$1006:$AQ$1006,0))&gt;=100000), " ",IF(INDEX($AB$2:$AQ$1001,MATCH(ROWS($U$2:U557),$U$2:$U$1001,0),MATCH(COLUMNS($AB$1006:AC1006),$AB$1006:$AQ$1006,0)), HYPERLINK("#",""), HYPERLINK(CONCATENATE("#metadata!", ADDRESS(INDEX($W$2:$W$1001,MATCH(ROWS($U$2:U557),$U$2:$U$1001,0),0), INDEX($AB$1004:$AQ$1004,1,MATCH(COLUMNS($AB$1006:AC1006),$AB$1006:$AQ$1006,0)))),"Fix")))</f>
        <v>0</v>
      </c>
      <c r="D557" s="4">
        <f>IF(OR(INDEX($V$2:$V$1001,MATCH(ROWS($U$2:U557),$U$2:$U$1001,0),1)&gt;=100000,INDEX($AB$1005:$AQ$1005,1,MATCH(COLUMNS($AB$1006:AD1006),$AB$1006:$AQ$1006,0))&gt;=100000), " ",IF(INDEX($AB$2:$AQ$1001,MATCH(ROWS($U$2:U557),$U$2:$U$1001,0),MATCH(COLUMNS($AB$1006:AD1006),$AB$1006:$AQ$1006,0)), HYPERLINK("#",""), HYPERLINK(CONCATENATE("#metadata!", ADDRESS(INDEX($W$2:$W$1001,MATCH(ROWS($U$2:U557),$U$2:$U$1001,0),0), INDEX($AB$1004:$AQ$1004,1,MATCH(COLUMNS($AB$1006:AD1006),$AB$1006:$AQ$1006,0)))),"Fix")))</f>
        <v>0</v>
      </c>
      <c r="E557" s="4">
        <f>IF(OR(INDEX($V$2:$V$1001,MATCH(ROWS($U$2:U557),$U$2:$U$1001,0),1)&gt;=100000,INDEX($AB$1005:$AQ$1005,1,MATCH(COLUMNS($AB$1006:AE1006),$AB$1006:$AQ$1006,0))&gt;=100000), " ",IF(INDEX($AB$2:$AQ$1001,MATCH(ROWS($U$2:U557),$U$2:$U$1001,0),MATCH(COLUMNS($AB$1006:AE1006),$AB$1006:$AQ$1006,0)), HYPERLINK("#",""), HYPERLINK(CONCATENATE("#metadata!", ADDRESS(INDEX($W$2:$W$1001,MATCH(ROWS($U$2:U557),$U$2:$U$1001,0),0), INDEX($AB$1004:$AQ$1004,1,MATCH(COLUMNS($AB$1006:AE1006),$AB$1006:$AQ$1006,0)))),"Fix")))</f>
        <v>0</v>
      </c>
      <c r="F557" s="4">
        <f>IF(OR(INDEX($V$2:$V$1001,MATCH(ROWS($U$2:U557),$U$2:$U$1001,0),1)&gt;=100000,INDEX($AB$1005:$AQ$1005,1,MATCH(COLUMNS($AB$1006:AF1006),$AB$1006:$AQ$1006,0))&gt;=100000), " ",IF(INDEX($AB$2:$AQ$1001,MATCH(ROWS($U$2:U557),$U$2:$U$1001,0),MATCH(COLUMNS($AB$1006:AF1006),$AB$1006:$AQ$1006,0)), HYPERLINK("#",""), HYPERLINK(CONCATENATE("#metadata!", ADDRESS(INDEX($W$2:$W$1001,MATCH(ROWS($U$2:U557),$U$2:$U$1001,0),0), INDEX($AB$1004:$AQ$1004,1,MATCH(COLUMNS($AB$1006:AF1006),$AB$1006:$AQ$1006,0)))),"Fix")))</f>
        <v>0</v>
      </c>
      <c r="G557" s="4">
        <f>IF(OR(INDEX($V$2:$V$1001,MATCH(ROWS($U$2:U557),$U$2:$U$1001,0),1)&gt;=100000,INDEX($AB$1005:$AQ$1005,1,MATCH(COLUMNS($AB$1006:AG1006),$AB$1006:$AQ$1006,0))&gt;=100000), " ",IF(INDEX($AB$2:$AQ$1001,MATCH(ROWS($U$2:U557),$U$2:$U$1001,0),MATCH(COLUMNS($AB$1006:AG1006),$AB$1006:$AQ$1006,0)), HYPERLINK("#",""), HYPERLINK(CONCATENATE("#metadata!", ADDRESS(INDEX($W$2:$W$1001,MATCH(ROWS($U$2:U557),$U$2:$U$1001,0),0), INDEX($AB$1004:$AQ$1004,1,MATCH(COLUMNS($AB$1006:AG1006),$AB$1006:$AQ$1006,0)))),"Fix")))</f>
        <v>0</v>
      </c>
      <c r="H557" s="4">
        <f>IF(OR(INDEX($V$2:$V$1001,MATCH(ROWS($U$2:U557),$U$2:$U$1001,0),1)&gt;=100000,INDEX($AB$1005:$AQ$1005,1,MATCH(COLUMNS($AB$1006:AH1006),$AB$1006:$AQ$1006,0))&gt;=100000), " ",IF(INDEX($AB$2:$AQ$1001,MATCH(ROWS($U$2:U557),$U$2:$U$1001,0),MATCH(COLUMNS($AB$1006:AH1006),$AB$1006:$AQ$1006,0)), HYPERLINK("#",""), HYPERLINK(CONCATENATE("#metadata!", ADDRESS(INDEX($W$2:$W$1001,MATCH(ROWS($U$2:U557),$U$2:$U$1001,0),0), INDEX($AB$1004:$AQ$1004,1,MATCH(COLUMNS($AB$1006:AH1006),$AB$1006:$AQ$1006,0)))),"Fix")))</f>
        <v>0</v>
      </c>
      <c r="I557" s="4">
        <f>IF(OR(INDEX($V$2:$V$1001,MATCH(ROWS($U$2:U557),$U$2:$U$1001,0),1)&gt;=100000,INDEX($AB$1005:$AQ$1005,1,MATCH(COLUMNS($AB$1006:AI1006),$AB$1006:$AQ$1006,0))&gt;=100000), " ",IF(INDEX($AB$2:$AQ$1001,MATCH(ROWS($U$2:U557),$U$2:$U$1001,0),MATCH(COLUMNS($AB$1006:AI1006),$AB$1006:$AQ$1006,0)), HYPERLINK("#",""), HYPERLINK(CONCATENATE("#metadata!", ADDRESS(INDEX($W$2:$W$1001,MATCH(ROWS($U$2:U557),$U$2:$U$1001,0),0), INDEX($AB$1004:$AQ$1004,1,MATCH(COLUMNS($AB$1006:AI1006),$AB$1006:$AQ$1006,0)))),"Fix")))</f>
        <v>0</v>
      </c>
      <c r="J557" s="4">
        <f>IF(OR(INDEX($V$2:$V$1001,MATCH(ROWS($U$2:U557),$U$2:$U$1001,0),1)&gt;=100000,INDEX($AB$1005:$AQ$1005,1,MATCH(COLUMNS($AB$1006:AJ1006),$AB$1006:$AQ$1006,0))&gt;=100000), " ",IF(INDEX($AB$2:$AQ$1001,MATCH(ROWS($U$2:U557),$U$2:$U$1001,0),MATCH(COLUMNS($AB$1006:AJ1006),$AB$1006:$AQ$1006,0)), HYPERLINK("#",""), HYPERLINK(CONCATENATE("#metadata!", ADDRESS(INDEX($W$2:$W$1001,MATCH(ROWS($U$2:U557),$U$2:$U$1001,0),0), INDEX($AB$1004:$AQ$1004,1,MATCH(COLUMNS($AB$1006:AJ1006),$AB$1006:$AQ$1006,0)))),"Fix")))</f>
        <v>0</v>
      </c>
      <c r="K557" s="4">
        <f>IF(OR(INDEX($V$2:$V$1001,MATCH(ROWS($U$2:U557),$U$2:$U$1001,0),1)&gt;=100000,INDEX($AB$1005:$AQ$1005,1,MATCH(COLUMNS($AB$1006:AK1006),$AB$1006:$AQ$1006,0))&gt;=100000), " ",IF(INDEX($AB$2:$AQ$1001,MATCH(ROWS($U$2:U557),$U$2:$U$1001,0),MATCH(COLUMNS($AB$1006:AK1006),$AB$1006:$AQ$1006,0)), HYPERLINK("#",""), HYPERLINK(CONCATENATE("#metadata!", ADDRESS(INDEX($W$2:$W$1001,MATCH(ROWS($U$2:U557),$U$2:$U$1001,0),0), INDEX($AB$1004:$AQ$1004,1,MATCH(COLUMNS($AB$1006:AK1006),$AB$1006:$AQ$1006,0)))),"Fix")))</f>
        <v>0</v>
      </c>
      <c r="L557" s="4">
        <f>IF(OR(INDEX($V$2:$V$1001,MATCH(ROWS($U$2:U557),$U$2:$U$1001,0),1)&gt;=100000,INDEX($AB$1005:$AQ$1005,1,MATCH(COLUMNS($AB$1006:AL1006),$AB$1006:$AQ$1006,0))&gt;=100000), " ",IF(INDEX($AB$2:$AQ$1001,MATCH(ROWS($U$2:U557),$U$2:$U$1001,0),MATCH(COLUMNS($AB$1006:AL1006),$AB$1006:$AQ$1006,0)), HYPERLINK("#",""), HYPERLINK(CONCATENATE("#metadata!", ADDRESS(INDEX($W$2:$W$1001,MATCH(ROWS($U$2:U557),$U$2:$U$1001,0),0), INDEX($AB$1004:$AQ$1004,1,MATCH(COLUMNS($AB$1006:AL1006),$AB$1006:$AQ$1006,0)))),"Fix")))</f>
        <v>0</v>
      </c>
      <c r="M557" s="4">
        <f>IF(OR(INDEX($V$2:$V$1001,MATCH(ROWS($U$2:U557),$U$2:$U$1001,0),1)&gt;=100000,INDEX($AB$1005:$AQ$1005,1,MATCH(COLUMNS($AB$1006:AM1006),$AB$1006:$AQ$1006,0))&gt;=100000), " ",IF(INDEX($AB$2:$AQ$1001,MATCH(ROWS($U$2:U557),$U$2:$U$1001,0),MATCH(COLUMNS($AB$1006:AM1006),$AB$1006:$AQ$1006,0)), HYPERLINK("#",""), HYPERLINK(CONCATENATE("#metadata!", ADDRESS(INDEX($W$2:$W$1001,MATCH(ROWS($U$2:U557),$U$2:$U$1001,0),0), INDEX($AB$1004:$AQ$1004,1,MATCH(COLUMNS($AB$1006:AM1006),$AB$1006:$AQ$1006,0)))),"Fix")))</f>
        <v>0</v>
      </c>
      <c r="N557" s="4">
        <f>IF(OR(INDEX($V$2:$V$1001,MATCH(ROWS($U$2:U557),$U$2:$U$1001,0),1)&gt;=100000,INDEX($AB$1005:$AQ$1005,1,MATCH(COLUMNS($AB$1006:AN1006),$AB$1006:$AQ$1006,0))&gt;=100000), " ",IF(INDEX($AB$2:$AQ$1001,MATCH(ROWS($U$2:U557),$U$2:$U$1001,0),MATCH(COLUMNS($AB$1006:AN1006),$AB$1006:$AQ$1006,0)), HYPERLINK("#",""), HYPERLINK(CONCATENATE("#metadata!", ADDRESS(INDEX($W$2:$W$1001,MATCH(ROWS($U$2:U557),$U$2:$U$1001,0),0), INDEX($AB$1004:$AQ$1004,1,MATCH(COLUMNS($AB$1006:AN1006),$AB$1006:$AQ$1006,0)))),"Fix")))</f>
        <v>0</v>
      </c>
      <c r="O557" s="4">
        <f>IF(OR(INDEX($V$2:$V$1001,MATCH(ROWS($U$2:U557),$U$2:$U$1001,0),1)&gt;=100000,INDEX($AB$1005:$AQ$1005,1,MATCH(COLUMNS($AB$1006:AO1006),$AB$1006:$AQ$1006,0))&gt;=100000), " ",IF(INDEX($AB$2:$AQ$1001,MATCH(ROWS($U$2:U557),$U$2:$U$1001,0),MATCH(COLUMNS($AB$1006:AO1006),$AB$1006:$AQ$1006,0)), HYPERLINK("#",""), HYPERLINK(CONCATENATE("#metadata!", ADDRESS(INDEX($W$2:$W$1001,MATCH(ROWS($U$2:U557),$U$2:$U$1001,0),0), INDEX($AB$1004:$AQ$1004,1,MATCH(COLUMNS($AB$1006:AO1006),$AB$1006:$AQ$1006,0)))),"Fix")))</f>
        <v>0</v>
      </c>
      <c r="P557" s="4">
        <f>IF(OR(INDEX($V$2:$V$1001,MATCH(ROWS($U$2:U557),$U$2:$U$1001,0),1)&gt;=100000,INDEX($AB$1005:$AQ$1005,1,MATCH(COLUMNS($AB$1006:AP1006),$AB$1006:$AQ$1006,0))&gt;=100000), " ",IF(INDEX($AB$2:$AQ$1001,MATCH(ROWS($U$2:U557),$U$2:$U$1001,0),MATCH(COLUMNS($AB$1006:AP1006),$AB$1006:$AQ$1006,0)), HYPERLINK("#",""), HYPERLINK(CONCATENATE("#metadata!", ADDRESS(INDEX($W$2:$W$1001,MATCH(ROWS($U$2:U557),$U$2:$U$1001,0),0), INDEX($AB$1004:$AQ$1004,1,MATCH(COLUMNS($AB$1006:AP1006),$AB$1006:$AQ$1006,0)))),"Fix")))</f>
        <v>0</v>
      </c>
      <c r="Q557" s="4">
        <f>IF(OR(INDEX($V$2:$V$1001,MATCH(ROWS($U$2:U557),$U$2:$U$1001,0),1)&gt;=100000,INDEX($AB$1005:$AQ$1005,1,MATCH(COLUMNS($AB$1006:AQ1006),$AB$1006:$AQ$1006,0))&gt;=100000), " ",IF(INDEX($AB$2:$AQ$1001,MATCH(ROWS($U$2:U557),$U$2:$U$1001,0),MATCH(COLUMNS($AB$1006:AQ1006),$AB$1006:$AQ$1006,0)), HYPERLINK("#",""), HYPERLINK(CONCATENATE("#metadata!", ADDRESS(INDEX($W$2:$W$1001,MATCH(ROWS($U$2:U557),$U$2:$U$1001,0),0), INDEX($AB$1004:$AQ$1004,1,MATCH(COLUMNS($AB$1006:AQ1006),$AB$1006:$AQ$1006,0)))),"Fix")))</f>
        <v>0</v>
      </c>
      <c r="U557">
        <v>0</v>
      </c>
      <c r="V557">
        <v>0</v>
      </c>
      <c r="W557">
        <v>0</v>
      </c>
      <c r="X557">
        <f>IF(Y557,TRUE,AND(AB557:AQ557))</f>
        <v>0</v>
      </c>
      <c r="Y557">
        <f>COUNTBLANK(metadata!B557:Q557)=COLUMNS(metadata!B557:Q557)</f>
        <v>0</v>
      </c>
      <c r="Z557">
        <v>0</v>
      </c>
      <c r="AB557">
        <f>AND(IF(metadata!B557="",FALSE,TRUE),COUNTIF(metadata!B:B, metadata!B557) = 1,NOT(ISERROR(SUMPRODUCT(SEARCH(MID(metadata!B557,ROW(INDIRECT("1:"&amp;LEN(metadata!B557))), 1),"0123456789abcdefghijklmnopqrstuvwxyzABCDEFGHIJKLMNOPQRSTUVWXYZ.")))))</f>
        <v>0</v>
      </c>
      <c r="AC557">
        <f>OR(AND(IF(metadata!C557="",FALSE,TRUE),OR(exact(metadata!C557,"missing: not collected"),exact(metadata!C557,"missing: not provided"),exact(metadata!C557,"missing: restricted access"))),AND(IF(metadata!C557="",FALSE,TRUE),AND(AND(IFERROR(INT(LEFT(metadata!C557,4))&gt;1900,FALSE),IFERROR(INT(LEFT(metadata!C557,4))&lt;=YEAR(NOW()),FALSE)), OR(MID(metadata!C557,5,1)="", AND(AND(MID(metadata!C557,5,1)="-",IFERROR(INT(MID(metadata!C557,6,1))&gt;=0,FALSE),IFERROR(INT(MID(metadata!C557,6,1))&lt;=1,FALSE),NOT(MID(metadata!C557,7,1)=""),IFERROR(INT(MID(metadata!C557,6,2))&gt;=1,FALSE),IFERROR(INT(MID(metadata!C557,6,2))&lt;=12,FALSE)), OR(MID(metadata!C557,8,1)="", AND(AND(MID(metadata!C557,8,1)="-",IFERROR(INT(MID(metadata!C557,9,1))&gt;=0,FALSE),IFERROR(INT(MID(metadata!C557,9,1))&lt;=3,FALSE),NOT(MID(metadata!C557,10,1)=""),IFERROR(INT(MID(metadata!C557,9,2))&gt;=1,FALSE),IFERROR(INT(MID(metadata!C557,9,2))&lt;=31,FALSE)), OR(MID(metadata!C557,11,1)="", AND(AND(MID(metadata!C557,11,1)=" ",IFERROR(INT(MID(metadata!C557,12,1))&gt;=0,FALSE),IFERROR(INT(MID(metadata!C557,12,1))&lt;=2,FALSE),NOT(MID(metadata!C557,13,1)=""),IFERROR(INT(MID(metadata!C557,12,2))&gt;=0,FALSE),IFERROR(INT(MID(metadata!C557,12,2))&lt;=23,FALSE)), OR(MID(metadata!C557,14,1)="", AND(AND(MID(metadata!C557,14,1)=":",IFERROR(INT(MID(metadata!C557,15,1))&gt;=0,FALSE),IFERROR(INT(MID(metadata!C557,15,1))&lt;=5,FALSE),NOT(MID(metadata!C557,16,1)=""),IFERROR(INT(MID(metadata!C557,15,2))&gt;=0,FALSE),IFERROR(INT(MID(metadata!C557,15,2))&lt;=59,FALSE)), OR(MID(metadata!C557,17,1)="", AND(AND(MID(metadata!C557,17,1)=":",IFERROR(INT(MID(metadata!C557,18,1))&gt;=0,FALSE),IFERROR(INT(MID(metadata!C557,18,1))&lt;=5,FALSE),NOT(MID(metadata!C557,19,1)=""),IFERROR(INT(MID(metadata!C557,18,2))&gt;=0,FALSE),IFERROR(INT(MID(metadata!C557,18,2))&lt;=59,FALSE)), LEN(metadata!C557)&lt;=19)))))))))))))</f>
        <v>0</v>
      </c>
      <c r="AD557">
        <f>IF(metadata!D557="",FALSE,TRUE)</f>
        <v>0</v>
      </c>
      <c r="AE557">
        <f>OR(AND(IF(metadata!E557="",FALSE,TRUE),OR(exact(metadata!E557,"missing: not collected"),exact(metadata!E557,"missing: not provided"))),AND(IF(metadata!E557="",FALSE,TRUE),OR(exact(metadata!E557,"TRUE"),exact(metadata!E557,"FALSE"))))</f>
        <v>0</v>
      </c>
      <c r="AF557">
        <f>IF(metadata!F557="",FALSE,TRUE)</f>
        <v>0</v>
      </c>
      <c r="AG557">
        <f>IF(metadata!G557="",FALSE,TRUE)</f>
        <v>0</v>
      </c>
      <c r="AH557">
        <f>IF(metadata!H557="",FALSE,TRUE)</f>
        <v>0</v>
      </c>
      <c r="AI557">
        <f>OR(AND(IF(metadata!I557="",FALSE,TRUE),OR(exact(metadata!I557,"missing: not collected"),exact(metadata!I557,"missing: not provided"),exact(metadata!I557,"missing: restricted access"))),AND(IF(metadata!I557="",FALSE,TRUE),OR(exact(metadata!I557,"air"),exact(metadata!I557,"built environment"),exact(metadata!I557,"host-associated"),exact(metadata!I557,"human-associated"),exact(metadata!I557,"human-skin"),exact(metadata!I557,"human-oral"),exact(metadata!I557,"human-gut"),exact(metadata!I557,"human-vaginal"),exact(metadata!I557,"microbial mat/biofilm"),exact(metadata!I557,"misc environment"),exact(metadata!I557,"plant-associated"),exact(metadata!I557,"sediment"),exact(metadata!I557,"soil"),exact(metadata!I557,"wastewater/sludge"),exact(metadata!I557,"water"))))</f>
        <v>0</v>
      </c>
      <c r="AJ557">
        <f>IF(metadata!J557="",FALSE,TRUE)</f>
        <v>0</v>
      </c>
      <c r="AK557">
        <f>OR(AND(IF(metadata!K557="",FALSE,TRUE),OR(exact(metadata!K557,"missing: not collected"),exact(metadata!K557,"missing: not provided"),exact(metadata!K557,"missing: restricted access"))),AND(IF(metadata!K557="",FALSE,ISNUMBER(VALUE(metadata!K557))),metadata!K557&gt;=-90.00,metadata!K557&lt;=90.00))</f>
        <v>0</v>
      </c>
      <c r="AL557">
        <f>OR(AND(IF(metadata!L557="",FALSE,TRUE),OR(exact(metadata!L557,"missing: not collected"),exact(metadata!L557,"missing: not provided"),exact(metadata!L557,"missing: restricted access"))),AND(IF(metadata!L557="",FALSE,ISNUMBER(VALUE(metadata!L557))),metadata!L557&gt;=-180.00,metadata!L557&lt;=180.00))</f>
        <v>0</v>
      </c>
      <c r="AM557">
        <f>IF(metadata!M557="",FALSE,TRUE)</f>
        <v>0</v>
      </c>
      <c r="AN557">
        <f>OR(AND(IF(metadata!N557="",FALSE,TRUE),OR(exact(metadata!N557,"missing: not collected"),exact(metadata!N557,"missing: not provided"),exact(metadata!N557,"missing: restricted access"))),AND(IF(metadata!N557="",FALSE,TRUE),OR(exact(metadata!N557,"TRUE"),exact(metadata!N557,"FALSE"))))</f>
        <v>0</v>
      </c>
      <c r="AO557">
        <f>IF(metadata!O557="",FALSE,TRUE)</f>
        <v>0</v>
      </c>
      <c r="AP557">
        <f>OR(AND(IF(metadata!P557="",FALSE,TRUE),OR(exact(metadata!P557,"missing: not collected"),exact(metadata!P557,"missing: not provided"))),AND(IF(metadata!P557="",FALSE,IF(ISERROR(INT(metadata!P557)),FALSE,INT(metadata!P557)=metadata!P557)),metadata!P557&gt;0))</f>
        <v>0</v>
      </c>
      <c r="AQ557">
        <f>IF(metadata!Q557="",FALSE,TRUE)</f>
        <v>0</v>
      </c>
    </row>
    <row r="558" spans="1:43">
      <c r="A558" s="5">
        <f>IF(B558=" "," ",HYPERLINK(CONCATENATE("#metadata!",ADDRESS(INDEX($W$2:$W$1001,MATCH(ROWS($U$2:U558),$U$2:$U$1001,0),0),1)),INDEX($Z$2:$Z$1001,MATCH(ROWS($U$2:U558),$U$2:$U$1001,0),0)))</f>
        <v>0</v>
      </c>
      <c r="B558" s="4">
        <f>IF(OR(INDEX($V$2:$V$1001,MATCH(ROWS($U$2:U558),$U$2:$U$1001,0),1)&gt;=100000,INDEX($AB$1005:$AQ$1005,1,MATCH(COLUMNS($AB$1006:AB1006),$AB$1006:$AQ$1006,0))&gt;=100000), " ",IF(INDEX($AB$2:$AQ$1001,MATCH(ROWS($U$2:U558),$U$2:$U$1001,0),MATCH(COLUMNS($AB$1006:AB1006),$AB$1006:$AQ$1006,0)), HYPERLINK("#",""), HYPERLINK(CONCATENATE("#metadata!", ADDRESS(INDEX($W$2:$W$1001,MATCH(ROWS($U$2:U558),$U$2:$U$1001,0),0), INDEX($AB$1004:$AQ$1004,1,MATCH(COLUMNS($AB$1006:AB1006),$AB$1006:$AQ$1006,0)))),"Fix")))</f>
        <v>0</v>
      </c>
      <c r="C558" s="4">
        <f>IF(OR(INDEX($V$2:$V$1001,MATCH(ROWS($U$2:U558),$U$2:$U$1001,0),1)&gt;=100000,INDEX($AB$1005:$AQ$1005,1,MATCH(COLUMNS($AB$1006:AC1006),$AB$1006:$AQ$1006,0))&gt;=100000), " ",IF(INDEX($AB$2:$AQ$1001,MATCH(ROWS($U$2:U558),$U$2:$U$1001,0),MATCH(COLUMNS($AB$1006:AC1006),$AB$1006:$AQ$1006,0)), HYPERLINK("#",""), HYPERLINK(CONCATENATE("#metadata!", ADDRESS(INDEX($W$2:$W$1001,MATCH(ROWS($U$2:U558),$U$2:$U$1001,0),0), INDEX($AB$1004:$AQ$1004,1,MATCH(COLUMNS($AB$1006:AC1006),$AB$1006:$AQ$1006,0)))),"Fix")))</f>
        <v>0</v>
      </c>
      <c r="D558" s="4">
        <f>IF(OR(INDEX($V$2:$V$1001,MATCH(ROWS($U$2:U558),$U$2:$U$1001,0),1)&gt;=100000,INDEX($AB$1005:$AQ$1005,1,MATCH(COLUMNS($AB$1006:AD1006),$AB$1006:$AQ$1006,0))&gt;=100000), " ",IF(INDEX($AB$2:$AQ$1001,MATCH(ROWS($U$2:U558),$U$2:$U$1001,0),MATCH(COLUMNS($AB$1006:AD1006),$AB$1006:$AQ$1006,0)), HYPERLINK("#",""), HYPERLINK(CONCATENATE("#metadata!", ADDRESS(INDEX($W$2:$W$1001,MATCH(ROWS($U$2:U558),$U$2:$U$1001,0),0), INDEX($AB$1004:$AQ$1004,1,MATCH(COLUMNS($AB$1006:AD1006),$AB$1006:$AQ$1006,0)))),"Fix")))</f>
        <v>0</v>
      </c>
      <c r="E558" s="4">
        <f>IF(OR(INDEX($V$2:$V$1001,MATCH(ROWS($U$2:U558),$U$2:$U$1001,0),1)&gt;=100000,INDEX($AB$1005:$AQ$1005,1,MATCH(COLUMNS($AB$1006:AE1006),$AB$1006:$AQ$1006,0))&gt;=100000), " ",IF(INDEX($AB$2:$AQ$1001,MATCH(ROWS($U$2:U558),$U$2:$U$1001,0),MATCH(COLUMNS($AB$1006:AE1006),$AB$1006:$AQ$1006,0)), HYPERLINK("#",""), HYPERLINK(CONCATENATE("#metadata!", ADDRESS(INDEX($W$2:$W$1001,MATCH(ROWS($U$2:U558),$U$2:$U$1001,0),0), INDEX($AB$1004:$AQ$1004,1,MATCH(COLUMNS($AB$1006:AE1006),$AB$1006:$AQ$1006,0)))),"Fix")))</f>
        <v>0</v>
      </c>
      <c r="F558" s="4">
        <f>IF(OR(INDEX($V$2:$V$1001,MATCH(ROWS($U$2:U558),$U$2:$U$1001,0),1)&gt;=100000,INDEX($AB$1005:$AQ$1005,1,MATCH(COLUMNS($AB$1006:AF1006),$AB$1006:$AQ$1006,0))&gt;=100000), " ",IF(INDEX($AB$2:$AQ$1001,MATCH(ROWS($U$2:U558),$U$2:$U$1001,0),MATCH(COLUMNS($AB$1006:AF1006),$AB$1006:$AQ$1006,0)), HYPERLINK("#",""), HYPERLINK(CONCATENATE("#metadata!", ADDRESS(INDEX($W$2:$W$1001,MATCH(ROWS($U$2:U558),$U$2:$U$1001,0),0), INDEX($AB$1004:$AQ$1004,1,MATCH(COLUMNS($AB$1006:AF1006),$AB$1006:$AQ$1006,0)))),"Fix")))</f>
        <v>0</v>
      </c>
      <c r="G558" s="4">
        <f>IF(OR(INDEX($V$2:$V$1001,MATCH(ROWS($U$2:U558),$U$2:$U$1001,0),1)&gt;=100000,INDEX($AB$1005:$AQ$1005,1,MATCH(COLUMNS($AB$1006:AG1006),$AB$1006:$AQ$1006,0))&gt;=100000), " ",IF(INDEX($AB$2:$AQ$1001,MATCH(ROWS($U$2:U558),$U$2:$U$1001,0),MATCH(COLUMNS($AB$1006:AG1006),$AB$1006:$AQ$1006,0)), HYPERLINK("#",""), HYPERLINK(CONCATENATE("#metadata!", ADDRESS(INDEX($W$2:$W$1001,MATCH(ROWS($U$2:U558),$U$2:$U$1001,0),0), INDEX($AB$1004:$AQ$1004,1,MATCH(COLUMNS($AB$1006:AG1006),$AB$1006:$AQ$1006,0)))),"Fix")))</f>
        <v>0</v>
      </c>
      <c r="H558" s="4">
        <f>IF(OR(INDEX($V$2:$V$1001,MATCH(ROWS($U$2:U558),$U$2:$U$1001,0),1)&gt;=100000,INDEX($AB$1005:$AQ$1005,1,MATCH(COLUMNS($AB$1006:AH1006),$AB$1006:$AQ$1006,0))&gt;=100000), " ",IF(INDEX($AB$2:$AQ$1001,MATCH(ROWS($U$2:U558),$U$2:$U$1001,0),MATCH(COLUMNS($AB$1006:AH1006),$AB$1006:$AQ$1006,0)), HYPERLINK("#",""), HYPERLINK(CONCATENATE("#metadata!", ADDRESS(INDEX($W$2:$W$1001,MATCH(ROWS($U$2:U558),$U$2:$U$1001,0),0), INDEX($AB$1004:$AQ$1004,1,MATCH(COLUMNS($AB$1006:AH1006),$AB$1006:$AQ$1006,0)))),"Fix")))</f>
        <v>0</v>
      </c>
      <c r="I558" s="4">
        <f>IF(OR(INDEX($V$2:$V$1001,MATCH(ROWS($U$2:U558),$U$2:$U$1001,0),1)&gt;=100000,INDEX($AB$1005:$AQ$1005,1,MATCH(COLUMNS($AB$1006:AI1006),$AB$1006:$AQ$1006,0))&gt;=100000), " ",IF(INDEX($AB$2:$AQ$1001,MATCH(ROWS($U$2:U558),$U$2:$U$1001,0),MATCH(COLUMNS($AB$1006:AI1006),$AB$1006:$AQ$1006,0)), HYPERLINK("#",""), HYPERLINK(CONCATENATE("#metadata!", ADDRESS(INDEX($W$2:$W$1001,MATCH(ROWS($U$2:U558),$U$2:$U$1001,0),0), INDEX($AB$1004:$AQ$1004,1,MATCH(COLUMNS($AB$1006:AI1006),$AB$1006:$AQ$1006,0)))),"Fix")))</f>
        <v>0</v>
      </c>
      <c r="J558" s="4">
        <f>IF(OR(INDEX($V$2:$V$1001,MATCH(ROWS($U$2:U558),$U$2:$U$1001,0),1)&gt;=100000,INDEX($AB$1005:$AQ$1005,1,MATCH(COLUMNS($AB$1006:AJ1006),$AB$1006:$AQ$1006,0))&gt;=100000), " ",IF(INDEX($AB$2:$AQ$1001,MATCH(ROWS($U$2:U558),$U$2:$U$1001,0),MATCH(COLUMNS($AB$1006:AJ1006),$AB$1006:$AQ$1006,0)), HYPERLINK("#",""), HYPERLINK(CONCATENATE("#metadata!", ADDRESS(INDEX($W$2:$W$1001,MATCH(ROWS($U$2:U558),$U$2:$U$1001,0),0), INDEX($AB$1004:$AQ$1004,1,MATCH(COLUMNS($AB$1006:AJ1006),$AB$1006:$AQ$1006,0)))),"Fix")))</f>
        <v>0</v>
      </c>
      <c r="K558" s="4">
        <f>IF(OR(INDEX($V$2:$V$1001,MATCH(ROWS($U$2:U558),$U$2:$U$1001,0),1)&gt;=100000,INDEX($AB$1005:$AQ$1005,1,MATCH(COLUMNS($AB$1006:AK1006),$AB$1006:$AQ$1006,0))&gt;=100000), " ",IF(INDEX($AB$2:$AQ$1001,MATCH(ROWS($U$2:U558),$U$2:$U$1001,0),MATCH(COLUMNS($AB$1006:AK1006),$AB$1006:$AQ$1006,0)), HYPERLINK("#",""), HYPERLINK(CONCATENATE("#metadata!", ADDRESS(INDEX($W$2:$W$1001,MATCH(ROWS($U$2:U558),$U$2:$U$1001,0),0), INDEX($AB$1004:$AQ$1004,1,MATCH(COLUMNS($AB$1006:AK1006),$AB$1006:$AQ$1006,0)))),"Fix")))</f>
        <v>0</v>
      </c>
      <c r="L558" s="4">
        <f>IF(OR(INDEX($V$2:$V$1001,MATCH(ROWS($U$2:U558),$U$2:$U$1001,0),1)&gt;=100000,INDEX($AB$1005:$AQ$1005,1,MATCH(COLUMNS($AB$1006:AL1006),$AB$1006:$AQ$1006,0))&gt;=100000), " ",IF(INDEX($AB$2:$AQ$1001,MATCH(ROWS($U$2:U558),$U$2:$U$1001,0),MATCH(COLUMNS($AB$1006:AL1006),$AB$1006:$AQ$1006,0)), HYPERLINK("#",""), HYPERLINK(CONCATENATE("#metadata!", ADDRESS(INDEX($W$2:$W$1001,MATCH(ROWS($U$2:U558),$U$2:$U$1001,0),0), INDEX($AB$1004:$AQ$1004,1,MATCH(COLUMNS($AB$1006:AL1006),$AB$1006:$AQ$1006,0)))),"Fix")))</f>
        <v>0</v>
      </c>
      <c r="M558" s="4">
        <f>IF(OR(INDEX($V$2:$V$1001,MATCH(ROWS($U$2:U558),$U$2:$U$1001,0),1)&gt;=100000,INDEX($AB$1005:$AQ$1005,1,MATCH(COLUMNS($AB$1006:AM1006),$AB$1006:$AQ$1006,0))&gt;=100000), " ",IF(INDEX($AB$2:$AQ$1001,MATCH(ROWS($U$2:U558),$U$2:$U$1001,0),MATCH(COLUMNS($AB$1006:AM1006),$AB$1006:$AQ$1006,0)), HYPERLINK("#",""), HYPERLINK(CONCATENATE("#metadata!", ADDRESS(INDEX($W$2:$W$1001,MATCH(ROWS($U$2:U558),$U$2:$U$1001,0),0), INDEX($AB$1004:$AQ$1004,1,MATCH(COLUMNS($AB$1006:AM1006),$AB$1006:$AQ$1006,0)))),"Fix")))</f>
        <v>0</v>
      </c>
      <c r="N558" s="4">
        <f>IF(OR(INDEX($V$2:$V$1001,MATCH(ROWS($U$2:U558),$U$2:$U$1001,0),1)&gt;=100000,INDEX($AB$1005:$AQ$1005,1,MATCH(COLUMNS($AB$1006:AN1006),$AB$1006:$AQ$1006,0))&gt;=100000), " ",IF(INDEX($AB$2:$AQ$1001,MATCH(ROWS($U$2:U558),$U$2:$U$1001,0),MATCH(COLUMNS($AB$1006:AN1006),$AB$1006:$AQ$1006,0)), HYPERLINK("#",""), HYPERLINK(CONCATENATE("#metadata!", ADDRESS(INDEX($W$2:$W$1001,MATCH(ROWS($U$2:U558),$U$2:$U$1001,0),0), INDEX($AB$1004:$AQ$1004,1,MATCH(COLUMNS($AB$1006:AN1006),$AB$1006:$AQ$1006,0)))),"Fix")))</f>
        <v>0</v>
      </c>
      <c r="O558" s="4">
        <f>IF(OR(INDEX($V$2:$V$1001,MATCH(ROWS($U$2:U558),$U$2:$U$1001,0),1)&gt;=100000,INDEX($AB$1005:$AQ$1005,1,MATCH(COLUMNS($AB$1006:AO1006),$AB$1006:$AQ$1006,0))&gt;=100000), " ",IF(INDEX($AB$2:$AQ$1001,MATCH(ROWS($U$2:U558),$U$2:$U$1001,0),MATCH(COLUMNS($AB$1006:AO1006),$AB$1006:$AQ$1006,0)), HYPERLINK("#",""), HYPERLINK(CONCATENATE("#metadata!", ADDRESS(INDEX($W$2:$W$1001,MATCH(ROWS($U$2:U558),$U$2:$U$1001,0),0), INDEX($AB$1004:$AQ$1004,1,MATCH(COLUMNS($AB$1006:AO1006),$AB$1006:$AQ$1006,0)))),"Fix")))</f>
        <v>0</v>
      </c>
      <c r="P558" s="4">
        <f>IF(OR(INDEX($V$2:$V$1001,MATCH(ROWS($U$2:U558),$U$2:$U$1001,0),1)&gt;=100000,INDEX($AB$1005:$AQ$1005,1,MATCH(COLUMNS($AB$1006:AP1006),$AB$1006:$AQ$1006,0))&gt;=100000), " ",IF(INDEX($AB$2:$AQ$1001,MATCH(ROWS($U$2:U558),$U$2:$U$1001,0),MATCH(COLUMNS($AB$1006:AP1006),$AB$1006:$AQ$1006,0)), HYPERLINK("#",""), HYPERLINK(CONCATENATE("#metadata!", ADDRESS(INDEX($W$2:$W$1001,MATCH(ROWS($U$2:U558),$U$2:$U$1001,0),0), INDEX($AB$1004:$AQ$1004,1,MATCH(COLUMNS($AB$1006:AP1006),$AB$1006:$AQ$1006,0)))),"Fix")))</f>
        <v>0</v>
      </c>
      <c r="Q558" s="4">
        <f>IF(OR(INDEX($V$2:$V$1001,MATCH(ROWS($U$2:U558),$U$2:$U$1001,0),1)&gt;=100000,INDEX($AB$1005:$AQ$1005,1,MATCH(COLUMNS($AB$1006:AQ1006),$AB$1006:$AQ$1006,0))&gt;=100000), " ",IF(INDEX($AB$2:$AQ$1001,MATCH(ROWS($U$2:U558),$U$2:$U$1001,0),MATCH(COLUMNS($AB$1006:AQ1006),$AB$1006:$AQ$1006,0)), HYPERLINK("#",""), HYPERLINK(CONCATENATE("#metadata!", ADDRESS(INDEX($W$2:$W$1001,MATCH(ROWS($U$2:U558),$U$2:$U$1001,0),0), INDEX($AB$1004:$AQ$1004,1,MATCH(COLUMNS($AB$1006:AQ1006),$AB$1006:$AQ$1006,0)))),"Fix")))</f>
        <v>0</v>
      </c>
      <c r="U558">
        <v>0</v>
      </c>
      <c r="V558">
        <v>0</v>
      </c>
      <c r="W558">
        <v>0</v>
      </c>
      <c r="X558">
        <f>IF(Y558,TRUE,AND(AB558:AQ558))</f>
        <v>0</v>
      </c>
      <c r="Y558">
        <f>COUNTBLANK(metadata!B558:Q558)=COLUMNS(metadata!B558:Q558)</f>
        <v>0</v>
      </c>
      <c r="Z558">
        <v>0</v>
      </c>
      <c r="AB558">
        <f>AND(IF(metadata!B558="",FALSE,TRUE),COUNTIF(metadata!B:B, metadata!B558) = 1,NOT(ISERROR(SUMPRODUCT(SEARCH(MID(metadata!B558,ROW(INDIRECT("1:"&amp;LEN(metadata!B558))), 1),"0123456789abcdefghijklmnopqrstuvwxyzABCDEFGHIJKLMNOPQRSTUVWXYZ.")))))</f>
        <v>0</v>
      </c>
      <c r="AC558">
        <f>OR(AND(IF(metadata!C558="",FALSE,TRUE),OR(exact(metadata!C558,"missing: not collected"),exact(metadata!C558,"missing: not provided"),exact(metadata!C558,"missing: restricted access"))),AND(IF(metadata!C558="",FALSE,TRUE),AND(AND(IFERROR(INT(LEFT(metadata!C558,4))&gt;1900,FALSE),IFERROR(INT(LEFT(metadata!C558,4))&lt;=YEAR(NOW()),FALSE)), OR(MID(metadata!C558,5,1)="", AND(AND(MID(metadata!C558,5,1)="-",IFERROR(INT(MID(metadata!C558,6,1))&gt;=0,FALSE),IFERROR(INT(MID(metadata!C558,6,1))&lt;=1,FALSE),NOT(MID(metadata!C558,7,1)=""),IFERROR(INT(MID(metadata!C558,6,2))&gt;=1,FALSE),IFERROR(INT(MID(metadata!C558,6,2))&lt;=12,FALSE)), OR(MID(metadata!C558,8,1)="", AND(AND(MID(metadata!C558,8,1)="-",IFERROR(INT(MID(metadata!C558,9,1))&gt;=0,FALSE),IFERROR(INT(MID(metadata!C558,9,1))&lt;=3,FALSE),NOT(MID(metadata!C558,10,1)=""),IFERROR(INT(MID(metadata!C558,9,2))&gt;=1,FALSE),IFERROR(INT(MID(metadata!C558,9,2))&lt;=31,FALSE)), OR(MID(metadata!C558,11,1)="", AND(AND(MID(metadata!C558,11,1)=" ",IFERROR(INT(MID(metadata!C558,12,1))&gt;=0,FALSE),IFERROR(INT(MID(metadata!C558,12,1))&lt;=2,FALSE),NOT(MID(metadata!C558,13,1)=""),IFERROR(INT(MID(metadata!C558,12,2))&gt;=0,FALSE),IFERROR(INT(MID(metadata!C558,12,2))&lt;=23,FALSE)), OR(MID(metadata!C558,14,1)="", AND(AND(MID(metadata!C558,14,1)=":",IFERROR(INT(MID(metadata!C558,15,1))&gt;=0,FALSE),IFERROR(INT(MID(metadata!C558,15,1))&lt;=5,FALSE),NOT(MID(metadata!C558,16,1)=""),IFERROR(INT(MID(metadata!C558,15,2))&gt;=0,FALSE),IFERROR(INT(MID(metadata!C558,15,2))&lt;=59,FALSE)), OR(MID(metadata!C558,17,1)="", AND(AND(MID(metadata!C558,17,1)=":",IFERROR(INT(MID(metadata!C558,18,1))&gt;=0,FALSE),IFERROR(INT(MID(metadata!C558,18,1))&lt;=5,FALSE),NOT(MID(metadata!C558,19,1)=""),IFERROR(INT(MID(metadata!C558,18,2))&gt;=0,FALSE),IFERROR(INT(MID(metadata!C558,18,2))&lt;=59,FALSE)), LEN(metadata!C558)&lt;=19)))))))))))))</f>
        <v>0</v>
      </c>
      <c r="AD558">
        <f>IF(metadata!D558="",FALSE,TRUE)</f>
        <v>0</v>
      </c>
      <c r="AE558">
        <f>OR(AND(IF(metadata!E558="",FALSE,TRUE),OR(exact(metadata!E558,"missing: not collected"),exact(metadata!E558,"missing: not provided"))),AND(IF(metadata!E558="",FALSE,TRUE),OR(exact(metadata!E558,"TRUE"),exact(metadata!E558,"FALSE"))))</f>
        <v>0</v>
      </c>
      <c r="AF558">
        <f>IF(metadata!F558="",FALSE,TRUE)</f>
        <v>0</v>
      </c>
      <c r="AG558">
        <f>IF(metadata!G558="",FALSE,TRUE)</f>
        <v>0</v>
      </c>
      <c r="AH558">
        <f>IF(metadata!H558="",FALSE,TRUE)</f>
        <v>0</v>
      </c>
      <c r="AI558">
        <f>OR(AND(IF(metadata!I558="",FALSE,TRUE),OR(exact(metadata!I558,"missing: not collected"),exact(metadata!I558,"missing: not provided"),exact(metadata!I558,"missing: restricted access"))),AND(IF(metadata!I558="",FALSE,TRUE),OR(exact(metadata!I558,"air"),exact(metadata!I558,"built environment"),exact(metadata!I558,"host-associated"),exact(metadata!I558,"human-associated"),exact(metadata!I558,"human-skin"),exact(metadata!I558,"human-oral"),exact(metadata!I558,"human-gut"),exact(metadata!I558,"human-vaginal"),exact(metadata!I558,"microbial mat/biofilm"),exact(metadata!I558,"misc environment"),exact(metadata!I558,"plant-associated"),exact(metadata!I558,"sediment"),exact(metadata!I558,"soil"),exact(metadata!I558,"wastewater/sludge"),exact(metadata!I558,"water"))))</f>
        <v>0</v>
      </c>
      <c r="AJ558">
        <f>IF(metadata!J558="",FALSE,TRUE)</f>
        <v>0</v>
      </c>
      <c r="AK558">
        <f>OR(AND(IF(metadata!K558="",FALSE,TRUE),OR(exact(metadata!K558,"missing: not collected"),exact(metadata!K558,"missing: not provided"),exact(metadata!K558,"missing: restricted access"))),AND(IF(metadata!K558="",FALSE,ISNUMBER(VALUE(metadata!K558))),metadata!K558&gt;=-90.00,metadata!K558&lt;=90.00))</f>
        <v>0</v>
      </c>
      <c r="AL558">
        <f>OR(AND(IF(metadata!L558="",FALSE,TRUE),OR(exact(metadata!L558,"missing: not collected"),exact(metadata!L558,"missing: not provided"),exact(metadata!L558,"missing: restricted access"))),AND(IF(metadata!L558="",FALSE,ISNUMBER(VALUE(metadata!L558))),metadata!L558&gt;=-180.00,metadata!L558&lt;=180.00))</f>
        <v>0</v>
      </c>
      <c r="AM558">
        <f>IF(metadata!M558="",FALSE,TRUE)</f>
        <v>0</v>
      </c>
      <c r="AN558">
        <f>OR(AND(IF(metadata!N558="",FALSE,TRUE),OR(exact(metadata!N558,"missing: not collected"),exact(metadata!N558,"missing: not provided"),exact(metadata!N558,"missing: restricted access"))),AND(IF(metadata!N558="",FALSE,TRUE),OR(exact(metadata!N558,"TRUE"),exact(metadata!N558,"FALSE"))))</f>
        <v>0</v>
      </c>
      <c r="AO558">
        <f>IF(metadata!O558="",FALSE,TRUE)</f>
        <v>0</v>
      </c>
      <c r="AP558">
        <f>OR(AND(IF(metadata!P558="",FALSE,TRUE),OR(exact(metadata!P558,"missing: not collected"),exact(metadata!P558,"missing: not provided"))),AND(IF(metadata!P558="",FALSE,IF(ISERROR(INT(metadata!P558)),FALSE,INT(metadata!P558)=metadata!P558)),metadata!P558&gt;0))</f>
        <v>0</v>
      </c>
      <c r="AQ558">
        <f>IF(metadata!Q558="",FALSE,TRUE)</f>
        <v>0</v>
      </c>
    </row>
    <row r="559" spans="1:43">
      <c r="A559" s="5">
        <f>IF(B559=" "," ",HYPERLINK(CONCATENATE("#metadata!",ADDRESS(INDEX($W$2:$W$1001,MATCH(ROWS($U$2:U559),$U$2:$U$1001,0),0),1)),INDEX($Z$2:$Z$1001,MATCH(ROWS($U$2:U559),$U$2:$U$1001,0),0)))</f>
        <v>0</v>
      </c>
      <c r="B559" s="4">
        <f>IF(OR(INDEX($V$2:$V$1001,MATCH(ROWS($U$2:U559),$U$2:$U$1001,0),1)&gt;=100000,INDEX($AB$1005:$AQ$1005,1,MATCH(COLUMNS($AB$1006:AB1006),$AB$1006:$AQ$1006,0))&gt;=100000), " ",IF(INDEX($AB$2:$AQ$1001,MATCH(ROWS($U$2:U559),$U$2:$U$1001,0),MATCH(COLUMNS($AB$1006:AB1006),$AB$1006:$AQ$1006,0)), HYPERLINK("#",""), HYPERLINK(CONCATENATE("#metadata!", ADDRESS(INDEX($W$2:$W$1001,MATCH(ROWS($U$2:U559),$U$2:$U$1001,0),0), INDEX($AB$1004:$AQ$1004,1,MATCH(COLUMNS($AB$1006:AB1006),$AB$1006:$AQ$1006,0)))),"Fix")))</f>
        <v>0</v>
      </c>
      <c r="C559" s="4">
        <f>IF(OR(INDEX($V$2:$V$1001,MATCH(ROWS($U$2:U559),$U$2:$U$1001,0),1)&gt;=100000,INDEX($AB$1005:$AQ$1005,1,MATCH(COLUMNS($AB$1006:AC1006),$AB$1006:$AQ$1006,0))&gt;=100000), " ",IF(INDEX($AB$2:$AQ$1001,MATCH(ROWS($U$2:U559),$U$2:$U$1001,0),MATCH(COLUMNS($AB$1006:AC1006),$AB$1006:$AQ$1006,0)), HYPERLINK("#",""), HYPERLINK(CONCATENATE("#metadata!", ADDRESS(INDEX($W$2:$W$1001,MATCH(ROWS($U$2:U559),$U$2:$U$1001,0),0), INDEX($AB$1004:$AQ$1004,1,MATCH(COLUMNS($AB$1006:AC1006),$AB$1006:$AQ$1006,0)))),"Fix")))</f>
        <v>0</v>
      </c>
      <c r="D559" s="4">
        <f>IF(OR(INDEX($V$2:$V$1001,MATCH(ROWS($U$2:U559),$U$2:$U$1001,0),1)&gt;=100000,INDEX($AB$1005:$AQ$1005,1,MATCH(COLUMNS($AB$1006:AD1006),$AB$1006:$AQ$1006,0))&gt;=100000), " ",IF(INDEX($AB$2:$AQ$1001,MATCH(ROWS($U$2:U559),$U$2:$U$1001,0),MATCH(COLUMNS($AB$1006:AD1006),$AB$1006:$AQ$1006,0)), HYPERLINK("#",""), HYPERLINK(CONCATENATE("#metadata!", ADDRESS(INDEX($W$2:$W$1001,MATCH(ROWS($U$2:U559),$U$2:$U$1001,0),0), INDEX($AB$1004:$AQ$1004,1,MATCH(COLUMNS($AB$1006:AD1006),$AB$1006:$AQ$1006,0)))),"Fix")))</f>
        <v>0</v>
      </c>
      <c r="E559" s="4">
        <f>IF(OR(INDEX($V$2:$V$1001,MATCH(ROWS($U$2:U559),$U$2:$U$1001,0),1)&gt;=100000,INDEX($AB$1005:$AQ$1005,1,MATCH(COLUMNS($AB$1006:AE1006),$AB$1006:$AQ$1006,0))&gt;=100000), " ",IF(INDEX($AB$2:$AQ$1001,MATCH(ROWS($U$2:U559),$U$2:$U$1001,0),MATCH(COLUMNS($AB$1006:AE1006),$AB$1006:$AQ$1006,0)), HYPERLINK("#",""), HYPERLINK(CONCATENATE("#metadata!", ADDRESS(INDEX($W$2:$W$1001,MATCH(ROWS($U$2:U559),$U$2:$U$1001,0),0), INDEX($AB$1004:$AQ$1004,1,MATCH(COLUMNS($AB$1006:AE1006),$AB$1006:$AQ$1006,0)))),"Fix")))</f>
        <v>0</v>
      </c>
      <c r="F559" s="4">
        <f>IF(OR(INDEX($V$2:$V$1001,MATCH(ROWS($U$2:U559),$U$2:$U$1001,0),1)&gt;=100000,INDEX($AB$1005:$AQ$1005,1,MATCH(COLUMNS($AB$1006:AF1006),$AB$1006:$AQ$1006,0))&gt;=100000), " ",IF(INDEX($AB$2:$AQ$1001,MATCH(ROWS($U$2:U559),$U$2:$U$1001,0),MATCH(COLUMNS($AB$1006:AF1006),$AB$1006:$AQ$1006,0)), HYPERLINK("#",""), HYPERLINK(CONCATENATE("#metadata!", ADDRESS(INDEX($W$2:$W$1001,MATCH(ROWS($U$2:U559),$U$2:$U$1001,0),0), INDEX($AB$1004:$AQ$1004,1,MATCH(COLUMNS($AB$1006:AF1006),$AB$1006:$AQ$1006,0)))),"Fix")))</f>
        <v>0</v>
      </c>
      <c r="G559" s="4">
        <f>IF(OR(INDEX($V$2:$V$1001,MATCH(ROWS($U$2:U559),$U$2:$U$1001,0),1)&gt;=100000,INDEX($AB$1005:$AQ$1005,1,MATCH(COLUMNS($AB$1006:AG1006),$AB$1006:$AQ$1006,0))&gt;=100000), " ",IF(INDEX($AB$2:$AQ$1001,MATCH(ROWS($U$2:U559),$U$2:$U$1001,0),MATCH(COLUMNS($AB$1006:AG1006),$AB$1006:$AQ$1006,0)), HYPERLINK("#",""), HYPERLINK(CONCATENATE("#metadata!", ADDRESS(INDEX($W$2:$W$1001,MATCH(ROWS($U$2:U559),$U$2:$U$1001,0),0), INDEX($AB$1004:$AQ$1004,1,MATCH(COLUMNS($AB$1006:AG1006),$AB$1006:$AQ$1006,0)))),"Fix")))</f>
        <v>0</v>
      </c>
      <c r="H559" s="4">
        <f>IF(OR(INDEX($V$2:$V$1001,MATCH(ROWS($U$2:U559),$U$2:$U$1001,0),1)&gt;=100000,INDEX($AB$1005:$AQ$1005,1,MATCH(COLUMNS($AB$1006:AH1006),$AB$1006:$AQ$1006,0))&gt;=100000), " ",IF(INDEX($AB$2:$AQ$1001,MATCH(ROWS($U$2:U559),$U$2:$U$1001,0),MATCH(COLUMNS($AB$1006:AH1006),$AB$1006:$AQ$1006,0)), HYPERLINK("#",""), HYPERLINK(CONCATENATE("#metadata!", ADDRESS(INDEX($W$2:$W$1001,MATCH(ROWS($U$2:U559),$U$2:$U$1001,0),0), INDEX($AB$1004:$AQ$1004,1,MATCH(COLUMNS($AB$1006:AH1006),$AB$1006:$AQ$1006,0)))),"Fix")))</f>
        <v>0</v>
      </c>
      <c r="I559" s="4">
        <f>IF(OR(INDEX($V$2:$V$1001,MATCH(ROWS($U$2:U559),$U$2:$U$1001,0),1)&gt;=100000,INDEX($AB$1005:$AQ$1005,1,MATCH(COLUMNS($AB$1006:AI1006),$AB$1006:$AQ$1006,0))&gt;=100000), " ",IF(INDEX($AB$2:$AQ$1001,MATCH(ROWS($U$2:U559),$U$2:$U$1001,0),MATCH(COLUMNS($AB$1006:AI1006),$AB$1006:$AQ$1006,0)), HYPERLINK("#",""), HYPERLINK(CONCATENATE("#metadata!", ADDRESS(INDEX($W$2:$W$1001,MATCH(ROWS($U$2:U559),$U$2:$U$1001,0),0), INDEX($AB$1004:$AQ$1004,1,MATCH(COLUMNS($AB$1006:AI1006),$AB$1006:$AQ$1006,0)))),"Fix")))</f>
        <v>0</v>
      </c>
      <c r="J559" s="4">
        <f>IF(OR(INDEX($V$2:$V$1001,MATCH(ROWS($U$2:U559),$U$2:$U$1001,0),1)&gt;=100000,INDEX($AB$1005:$AQ$1005,1,MATCH(COLUMNS($AB$1006:AJ1006),$AB$1006:$AQ$1006,0))&gt;=100000), " ",IF(INDEX($AB$2:$AQ$1001,MATCH(ROWS($U$2:U559),$U$2:$U$1001,0),MATCH(COLUMNS($AB$1006:AJ1006),$AB$1006:$AQ$1006,0)), HYPERLINK("#",""), HYPERLINK(CONCATENATE("#metadata!", ADDRESS(INDEX($W$2:$W$1001,MATCH(ROWS($U$2:U559),$U$2:$U$1001,0),0), INDEX($AB$1004:$AQ$1004,1,MATCH(COLUMNS($AB$1006:AJ1006),$AB$1006:$AQ$1006,0)))),"Fix")))</f>
        <v>0</v>
      </c>
      <c r="K559" s="4">
        <f>IF(OR(INDEX($V$2:$V$1001,MATCH(ROWS($U$2:U559),$U$2:$U$1001,0),1)&gt;=100000,INDEX($AB$1005:$AQ$1005,1,MATCH(COLUMNS($AB$1006:AK1006),$AB$1006:$AQ$1006,0))&gt;=100000), " ",IF(INDEX($AB$2:$AQ$1001,MATCH(ROWS($U$2:U559),$U$2:$U$1001,0),MATCH(COLUMNS($AB$1006:AK1006),$AB$1006:$AQ$1006,0)), HYPERLINK("#",""), HYPERLINK(CONCATENATE("#metadata!", ADDRESS(INDEX($W$2:$W$1001,MATCH(ROWS($U$2:U559),$U$2:$U$1001,0),0), INDEX($AB$1004:$AQ$1004,1,MATCH(COLUMNS($AB$1006:AK1006),$AB$1006:$AQ$1006,0)))),"Fix")))</f>
        <v>0</v>
      </c>
      <c r="L559" s="4">
        <f>IF(OR(INDEX($V$2:$V$1001,MATCH(ROWS($U$2:U559),$U$2:$U$1001,0),1)&gt;=100000,INDEX($AB$1005:$AQ$1005,1,MATCH(COLUMNS($AB$1006:AL1006),$AB$1006:$AQ$1006,0))&gt;=100000), " ",IF(INDEX($AB$2:$AQ$1001,MATCH(ROWS($U$2:U559),$U$2:$U$1001,0),MATCH(COLUMNS($AB$1006:AL1006),$AB$1006:$AQ$1006,0)), HYPERLINK("#",""), HYPERLINK(CONCATENATE("#metadata!", ADDRESS(INDEX($W$2:$W$1001,MATCH(ROWS($U$2:U559),$U$2:$U$1001,0),0), INDEX($AB$1004:$AQ$1004,1,MATCH(COLUMNS($AB$1006:AL1006),$AB$1006:$AQ$1006,0)))),"Fix")))</f>
        <v>0</v>
      </c>
      <c r="M559" s="4">
        <f>IF(OR(INDEX($V$2:$V$1001,MATCH(ROWS($U$2:U559),$U$2:$U$1001,0),1)&gt;=100000,INDEX($AB$1005:$AQ$1005,1,MATCH(COLUMNS($AB$1006:AM1006),$AB$1006:$AQ$1006,0))&gt;=100000), " ",IF(INDEX($AB$2:$AQ$1001,MATCH(ROWS($U$2:U559),$U$2:$U$1001,0),MATCH(COLUMNS($AB$1006:AM1006),$AB$1006:$AQ$1006,0)), HYPERLINK("#",""), HYPERLINK(CONCATENATE("#metadata!", ADDRESS(INDEX($W$2:$W$1001,MATCH(ROWS($U$2:U559),$U$2:$U$1001,0),0), INDEX($AB$1004:$AQ$1004,1,MATCH(COLUMNS($AB$1006:AM1006),$AB$1006:$AQ$1006,0)))),"Fix")))</f>
        <v>0</v>
      </c>
      <c r="N559" s="4">
        <f>IF(OR(INDEX($V$2:$V$1001,MATCH(ROWS($U$2:U559),$U$2:$U$1001,0),1)&gt;=100000,INDEX($AB$1005:$AQ$1005,1,MATCH(COLUMNS($AB$1006:AN1006),$AB$1006:$AQ$1006,0))&gt;=100000), " ",IF(INDEX($AB$2:$AQ$1001,MATCH(ROWS($U$2:U559),$U$2:$U$1001,0),MATCH(COLUMNS($AB$1006:AN1006),$AB$1006:$AQ$1006,0)), HYPERLINK("#",""), HYPERLINK(CONCATENATE("#metadata!", ADDRESS(INDEX($W$2:$W$1001,MATCH(ROWS($U$2:U559),$U$2:$U$1001,0),0), INDEX($AB$1004:$AQ$1004,1,MATCH(COLUMNS($AB$1006:AN1006),$AB$1006:$AQ$1006,0)))),"Fix")))</f>
        <v>0</v>
      </c>
      <c r="O559" s="4">
        <f>IF(OR(INDEX($V$2:$V$1001,MATCH(ROWS($U$2:U559),$U$2:$U$1001,0),1)&gt;=100000,INDEX($AB$1005:$AQ$1005,1,MATCH(COLUMNS($AB$1006:AO1006),$AB$1006:$AQ$1006,0))&gt;=100000), " ",IF(INDEX($AB$2:$AQ$1001,MATCH(ROWS($U$2:U559),$U$2:$U$1001,0),MATCH(COLUMNS($AB$1006:AO1006),$AB$1006:$AQ$1006,0)), HYPERLINK("#",""), HYPERLINK(CONCATENATE("#metadata!", ADDRESS(INDEX($W$2:$W$1001,MATCH(ROWS($U$2:U559),$U$2:$U$1001,0),0), INDEX($AB$1004:$AQ$1004,1,MATCH(COLUMNS($AB$1006:AO1006),$AB$1006:$AQ$1006,0)))),"Fix")))</f>
        <v>0</v>
      </c>
      <c r="P559" s="4">
        <f>IF(OR(INDEX($V$2:$V$1001,MATCH(ROWS($U$2:U559),$U$2:$U$1001,0),1)&gt;=100000,INDEX($AB$1005:$AQ$1005,1,MATCH(COLUMNS($AB$1006:AP1006),$AB$1006:$AQ$1006,0))&gt;=100000), " ",IF(INDEX($AB$2:$AQ$1001,MATCH(ROWS($U$2:U559),$U$2:$U$1001,0),MATCH(COLUMNS($AB$1006:AP1006),$AB$1006:$AQ$1006,0)), HYPERLINK("#",""), HYPERLINK(CONCATENATE("#metadata!", ADDRESS(INDEX($W$2:$W$1001,MATCH(ROWS($U$2:U559),$U$2:$U$1001,0),0), INDEX($AB$1004:$AQ$1004,1,MATCH(COLUMNS($AB$1006:AP1006),$AB$1006:$AQ$1006,0)))),"Fix")))</f>
        <v>0</v>
      </c>
      <c r="Q559" s="4">
        <f>IF(OR(INDEX($V$2:$V$1001,MATCH(ROWS($U$2:U559),$U$2:$U$1001,0),1)&gt;=100000,INDEX($AB$1005:$AQ$1005,1,MATCH(COLUMNS($AB$1006:AQ1006),$AB$1006:$AQ$1006,0))&gt;=100000), " ",IF(INDEX($AB$2:$AQ$1001,MATCH(ROWS($U$2:U559),$U$2:$U$1001,0),MATCH(COLUMNS($AB$1006:AQ1006),$AB$1006:$AQ$1006,0)), HYPERLINK("#",""), HYPERLINK(CONCATENATE("#metadata!", ADDRESS(INDEX($W$2:$W$1001,MATCH(ROWS($U$2:U559),$U$2:$U$1001,0),0), INDEX($AB$1004:$AQ$1004,1,MATCH(COLUMNS($AB$1006:AQ1006),$AB$1006:$AQ$1006,0)))),"Fix")))</f>
        <v>0</v>
      </c>
      <c r="U559">
        <v>0</v>
      </c>
      <c r="V559">
        <v>0</v>
      </c>
      <c r="W559">
        <v>0</v>
      </c>
      <c r="X559">
        <f>IF(Y559,TRUE,AND(AB559:AQ559))</f>
        <v>0</v>
      </c>
      <c r="Y559">
        <f>COUNTBLANK(metadata!B559:Q559)=COLUMNS(metadata!B559:Q559)</f>
        <v>0</v>
      </c>
      <c r="Z559">
        <v>0</v>
      </c>
      <c r="AB559">
        <f>AND(IF(metadata!B559="",FALSE,TRUE),COUNTIF(metadata!B:B, metadata!B559) = 1,NOT(ISERROR(SUMPRODUCT(SEARCH(MID(metadata!B559,ROW(INDIRECT("1:"&amp;LEN(metadata!B559))), 1),"0123456789abcdefghijklmnopqrstuvwxyzABCDEFGHIJKLMNOPQRSTUVWXYZ.")))))</f>
        <v>0</v>
      </c>
      <c r="AC559">
        <f>OR(AND(IF(metadata!C559="",FALSE,TRUE),OR(exact(metadata!C559,"missing: not collected"),exact(metadata!C559,"missing: not provided"),exact(metadata!C559,"missing: restricted access"))),AND(IF(metadata!C559="",FALSE,TRUE),AND(AND(IFERROR(INT(LEFT(metadata!C559,4))&gt;1900,FALSE),IFERROR(INT(LEFT(metadata!C559,4))&lt;=YEAR(NOW()),FALSE)), OR(MID(metadata!C559,5,1)="", AND(AND(MID(metadata!C559,5,1)="-",IFERROR(INT(MID(metadata!C559,6,1))&gt;=0,FALSE),IFERROR(INT(MID(metadata!C559,6,1))&lt;=1,FALSE),NOT(MID(metadata!C559,7,1)=""),IFERROR(INT(MID(metadata!C559,6,2))&gt;=1,FALSE),IFERROR(INT(MID(metadata!C559,6,2))&lt;=12,FALSE)), OR(MID(metadata!C559,8,1)="", AND(AND(MID(metadata!C559,8,1)="-",IFERROR(INT(MID(metadata!C559,9,1))&gt;=0,FALSE),IFERROR(INT(MID(metadata!C559,9,1))&lt;=3,FALSE),NOT(MID(metadata!C559,10,1)=""),IFERROR(INT(MID(metadata!C559,9,2))&gt;=1,FALSE),IFERROR(INT(MID(metadata!C559,9,2))&lt;=31,FALSE)), OR(MID(metadata!C559,11,1)="", AND(AND(MID(metadata!C559,11,1)=" ",IFERROR(INT(MID(metadata!C559,12,1))&gt;=0,FALSE),IFERROR(INT(MID(metadata!C559,12,1))&lt;=2,FALSE),NOT(MID(metadata!C559,13,1)=""),IFERROR(INT(MID(metadata!C559,12,2))&gt;=0,FALSE),IFERROR(INT(MID(metadata!C559,12,2))&lt;=23,FALSE)), OR(MID(metadata!C559,14,1)="", AND(AND(MID(metadata!C559,14,1)=":",IFERROR(INT(MID(metadata!C559,15,1))&gt;=0,FALSE),IFERROR(INT(MID(metadata!C559,15,1))&lt;=5,FALSE),NOT(MID(metadata!C559,16,1)=""),IFERROR(INT(MID(metadata!C559,15,2))&gt;=0,FALSE),IFERROR(INT(MID(metadata!C559,15,2))&lt;=59,FALSE)), OR(MID(metadata!C559,17,1)="", AND(AND(MID(metadata!C559,17,1)=":",IFERROR(INT(MID(metadata!C559,18,1))&gt;=0,FALSE),IFERROR(INT(MID(metadata!C559,18,1))&lt;=5,FALSE),NOT(MID(metadata!C559,19,1)=""),IFERROR(INT(MID(metadata!C559,18,2))&gt;=0,FALSE),IFERROR(INT(MID(metadata!C559,18,2))&lt;=59,FALSE)), LEN(metadata!C559)&lt;=19)))))))))))))</f>
        <v>0</v>
      </c>
      <c r="AD559">
        <f>IF(metadata!D559="",FALSE,TRUE)</f>
        <v>0</v>
      </c>
      <c r="AE559">
        <f>OR(AND(IF(metadata!E559="",FALSE,TRUE),OR(exact(metadata!E559,"missing: not collected"),exact(metadata!E559,"missing: not provided"))),AND(IF(metadata!E559="",FALSE,TRUE),OR(exact(metadata!E559,"TRUE"),exact(metadata!E559,"FALSE"))))</f>
        <v>0</v>
      </c>
      <c r="AF559">
        <f>IF(metadata!F559="",FALSE,TRUE)</f>
        <v>0</v>
      </c>
      <c r="AG559">
        <f>IF(metadata!G559="",FALSE,TRUE)</f>
        <v>0</v>
      </c>
      <c r="AH559">
        <f>IF(metadata!H559="",FALSE,TRUE)</f>
        <v>0</v>
      </c>
      <c r="AI559">
        <f>OR(AND(IF(metadata!I559="",FALSE,TRUE),OR(exact(metadata!I559,"missing: not collected"),exact(metadata!I559,"missing: not provided"),exact(metadata!I559,"missing: restricted access"))),AND(IF(metadata!I559="",FALSE,TRUE),OR(exact(metadata!I559,"air"),exact(metadata!I559,"built environment"),exact(metadata!I559,"host-associated"),exact(metadata!I559,"human-associated"),exact(metadata!I559,"human-skin"),exact(metadata!I559,"human-oral"),exact(metadata!I559,"human-gut"),exact(metadata!I559,"human-vaginal"),exact(metadata!I559,"microbial mat/biofilm"),exact(metadata!I559,"misc environment"),exact(metadata!I559,"plant-associated"),exact(metadata!I559,"sediment"),exact(metadata!I559,"soil"),exact(metadata!I559,"wastewater/sludge"),exact(metadata!I559,"water"))))</f>
        <v>0</v>
      </c>
      <c r="AJ559">
        <f>IF(metadata!J559="",FALSE,TRUE)</f>
        <v>0</v>
      </c>
      <c r="AK559">
        <f>OR(AND(IF(metadata!K559="",FALSE,TRUE),OR(exact(metadata!K559,"missing: not collected"),exact(metadata!K559,"missing: not provided"),exact(metadata!K559,"missing: restricted access"))),AND(IF(metadata!K559="",FALSE,ISNUMBER(VALUE(metadata!K559))),metadata!K559&gt;=-90.00,metadata!K559&lt;=90.00))</f>
        <v>0</v>
      </c>
      <c r="AL559">
        <f>OR(AND(IF(metadata!L559="",FALSE,TRUE),OR(exact(metadata!L559,"missing: not collected"),exact(metadata!L559,"missing: not provided"),exact(metadata!L559,"missing: restricted access"))),AND(IF(metadata!L559="",FALSE,ISNUMBER(VALUE(metadata!L559))),metadata!L559&gt;=-180.00,metadata!L559&lt;=180.00))</f>
        <v>0</v>
      </c>
      <c r="AM559">
        <f>IF(metadata!M559="",FALSE,TRUE)</f>
        <v>0</v>
      </c>
      <c r="AN559">
        <f>OR(AND(IF(metadata!N559="",FALSE,TRUE),OR(exact(metadata!N559,"missing: not collected"),exact(metadata!N559,"missing: not provided"),exact(metadata!N559,"missing: restricted access"))),AND(IF(metadata!N559="",FALSE,TRUE),OR(exact(metadata!N559,"TRUE"),exact(metadata!N559,"FALSE"))))</f>
        <v>0</v>
      </c>
      <c r="AO559">
        <f>IF(metadata!O559="",FALSE,TRUE)</f>
        <v>0</v>
      </c>
      <c r="AP559">
        <f>OR(AND(IF(metadata!P559="",FALSE,TRUE),OR(exact(metadata!P559,"missing: not collected"),exact(metadata!P559,"missing: not provided"))),AND(IF(metadata!P559="",FALSE,IF(ISERROR(INT(metadata!P559)),FALSE,INT(metadata!P559)=metadata!P559)),metadata!P559&gt;0))</f>
        <v>0</v>
      </c>
      <c r="AQ559">
        <f>IF(metadata!Q559="",FALSE,TRUE)</f>
        <v>0</v>
      </c>
    </row>
    <row r="560" spans="1:43">
      <c r="A560" s="5">
        <f>IF(B560=" "," ",HYPERLINK(CONCATENATE("#metadata!",ADDRESS(INDEX($W$2:$W$1001,MATCH(ROWS($U$2:U560),$U$2:$U$1001,0),0),1)),INDEX($Z$2:$Z$1001,MATCH(ROWS($U$2:U560),$U$2:$U$1001,0),0)))</f>
        <v>0</v>
      </c>
      <c r="B560" s="4">
        <f>IF(OR(INDEX($V$2:$V$1001,MATCH(ROWS($U$2:U560),$U$2:$U$1001,0),1)&gt;=100000,INDEX($AB$1005:$AQ$1005,1,MATCH(COLUMNS($AB$1006:AB1006),$AB$1006:$AQ$1006,0))&gt;=100000), " ",IF(INDEX($AB$2:$AQ$1001,MATCH(ROWS($U$2:U560),$U$2:$U$1001,0),MATCH(COLUMNS($AB$1006:AB1006),$AB$1006:$AQ$1006,0)), HYPERLINK("#",""), HYPERLINK(CONCATENATE("#metadata!", ADDRESS(INDEX($W$2:$W$1001,MATCH(ROWS($U$2:U560),$U$2:$U$1001,0),0), INDEX($AB$1004:$AQ$1004,1,MATCH(COLUMNS($AB$1006:AB1006),$AB$1006:$AQ$1006,0)))),"Fix")))</f>
        <v>0</v>
      </c>
      <c r="C560" s="4">
        <f>IF(OR(INDEX($V$2:$V$1001,MATCH(ROWS($U$2:U560),$U$2:$U$1001,0),1)&gt;=100000,INDEX($AB$1005:$AQ$1005,1,MATCH(COLUMNS($AB$1006:AC1006),$AB$1006:$AQ$1006,0))&gt;=100000), " ",IF(INDEX($AB$2:$AQ$1001,MATCH(ROWS($U$2:U560),$U$2:$U$1001,0),MATCH(COLUMNS($AB$1006:AC1006),$AB$1006:$AQ$1006,0)), HYPERLINK("#",""), HYPERLINK(CONCATENATE("#metadata!", ADDRESS(INDEX($W$2:$W$1001,MATCH(ROWS($U$2:U560),$U$2:$U$1001,0),0), INDEX($AB$1004:$AQ$1004,1,MATCH(COLUMNS($AB$1006:AC1006),$AB$1006:$AQ$1006,0)))),"Fix")))</f>
        <v>0</v>
      </c>
      <c r="D560" s="4">
        <f>IF(OR(INDEX($V$2:$V$1001,MATCH(ROWS($U$2:U560),$U$2:$U$1001,0),1)&gt;=100000,INDEX($AB$1005:$AQ$1005,1,MATCH(COLUMNS($AB$1006:AD1006),$AB$1006:$AQ$1006,0))&gt;=100000), " ",IF(INDEX($AB$2:$AQ$1001,MATCH(ROWS($U$2:U560),$U$2:$U$1001,0),MATCH(COLUMNS($AB$1006:AD1006),$AB$1006:$AQ$1006,0)), HYPERLINK("#",""), HYPERLINK(CONCATENATE("#metadata!", ADDRESS(INDEX($W$2:$W$1001,MATCH(ROWS($U$2:U560),$U$2:$U$1001,0),0), INDEX($AB$1004:$AQ$1004,1,MATCH(COLUMNS($AB$1006:AD1006),$AB$1006:$AQ$1006,0)))),"Fix")))</f>
        <v>0</v>
      </c>
      <c r="E560" s="4">
        <f>IF(OR(INDEX($V$2:$V$1001,MATCH(ROWS($U$2:U560),$U$2:$U$1001,0),1)&gt;=100000,INDEX($AB$1005:$AQ$1005,1,MATCH(COLUMNS($AB$1006:AE1006),$AB$1006:$AQ$1006,0))&gt;=100000), " ",IF(INDEX($AB$2:$AQ$1001,MATCH(ROWS($U$2:U560),$U$2:$U$1001,0),MATCH(COLUMNS($AB$1006:AE1006),$AB$1006:$AQ$1006,0)), HYPERLINK("#",""), HYPERLINK(CONCATENATE("#metadata!", ADDRESS(INDEX($W$2:$W$1001,MATCH(ROWS($U$2:U560),$U$2:$U$1001,0),0), INDEX($AB$1004:$AQ$1004,1,MATCH(COLUMNS($AB$1006:AE1006),$AB$1006:$AQ$1006,0)))),"Fix")))</f>
        <v>0</v>
      </c>
      <c r="F560" s="4">
        <f>IF(OR(INDEX($V$2:$V$1001,MATCH(ROWS($U$2:U560),$U$2:$U$1001,0),1)&gt;=100000,INDEX($AB$1005:$AQ$1005,1,MATCH(COLUMNS($AB$1006:AF1006),$AB$1006:$AQ$1006,0))&gt;=100000), " ",IF(INDEX($AB$2:$AQ$1001,MATCH(ROWS($U$2:U560),$U$2:$U$1001,0),MATCH(COLUMNS($AB$1006:AF1006),$AB$1006:$AQ$1006,0)), HYPERLINK("#",""), HYPERLINK(CONCATENATE("#metadata!", ADDRESS(INDEX($W$2:$W$1001,MATCH(ROWS($U$2:U560),$U$2:$U$1001,0),0), INDEX($AB$1004:$AQ$1004,1,MATCH(COLUMNS($AB$1006:AF1006),$AB$1006:$AQ$1006,0)))),"Fix")))</f>
        <v>0</v>
      </c>
      <c r="G560" s="4">
        <f>IF(OR(INDEX($V$2:$V$1001,MATCH(ROWS($U$2:U560),$U$2:$U$1001,0),1)&gt;=100000,INDEX($AB$1005:$AQ$1005,1,MATCH(COLUMNS($AB$1006:AG1006),$AB$1006:$AQ$1006,0))&gt;=100000), " ",IF(INDEX($AB$2:$AQ$1001,MATCH(ROWS($U$2:U560),$U$2:$U$1001,0),MATCH(COLUMNS($AB$1006:AG1006),$AB$1006:$AQ$1006,0)), HYPERLINK("#",""), HYPERLINK(CONCATENATE("#metadata!", ADDRESS(INDEX($W$2:$W$1001,MATCH(ROWS($U$2:U560),$U$2:$U$1001,0),0), INDEX($AB$1004:$AQ$1004,1,MATCH(COLUMNS($AB$1006:AG1006),$AB$1006:$AQ$1006,0)))),"Fix")))</f>
        <v>0</v>
      </c>
      <c r="H560" s="4">
        <f>IF(OR(INDEX($V$2:$V$1001,MATCH(ROWS($U$2:U560),$U$2:$U$1001,0),1)&gt;=100000,INDEX($AB$1005:$AQ$1005,1,MATCH(COLUMNS($AB$1006:AH1006),$AB$1006:$AQ$1006,0))&gt;=100000), " ",IF(INDEX($AB$2:$AQ$1001,MATCH(ROWS($U$2:U560),$U$2:$U$1001,0),MATCH(COLUMNS($AB$1006:AH1006),$AB$1006:$AQ$1006,0)), HYPERLINK("#",""), HYPERLINK(CONCATENATE("#metadata!", ADDRESS(INDEX($W$2:$W$1001,MATCH(ROWS($U$2:U560),$U$2:$U$1001,0),0), INDEX($AB$1004:$AQ$1004,1,MATCH(COLUMNS($AB$1006:AH1006),$AB$1006:$AQ$1006,0)))),"Fix")))</f>
        <v>0</v>
      </c>
      <c r="I560" s="4">
        <f>IF(OR(INDEX($V$2:$V$1001,MATCH(ROWS($U$2:U560),$U$2:$U$1001,0),1)&gt;=100000,INDEX($AB$1005:$AQ$1005,1,MATCH(COLUMNS($AB$1006:AI1006),$AB$1006:$AQ$1006,0))&gt;=100000), " ",IF(INDEX($AB$2:$AQ$1001,MATCH(ROWS($U$2:U560),$U$2:$U$1001,0),MATCH(COLUMNS($AB$1006:AI1006),$AB$1006:$AQ$1006,0)), HYPERLINK("#",""), HYPERLINK(CONCATENATE("#metadata!", ADDRESS(INDEX($W$2:$W$1001,MATCH(ROWS($U$2:U560),$U$2:$U$1001,0),0), INDEX($AB$1004:$AQ$1004,1,MATCH(COLUMNS($AB$1006:AI1006),$AB$1006:$AQ$1006,0)))),"Fix")))</f>
        <v>0</v>
      </c>
      <c r="J560" s="4">
        <f>IF(OR(INDEX($V$2:$V$1001,MATCH(ROWS($U$2:U560),$U$2:$U$1001,0),1)&gt;=100000,INDEX($AB$1005:$AQ$1005,1,MATCH(COLUMNS($AB$1006:AJ1006),$AB$1006:$AQ$1006,0))&gt;=100000), " ",IF(INDEX($AB$2:$AQ$1001,MATCH(ROWS($U$2:U560),$U$2:$U$1001,0),MATCH(COLUMNS($AB$1006:AJ1006),$AB$1006:$AQ$1006,0)), HYPERLINK("#",""), HYPERLINK(CONCATENATE("#metadata!", ADDRESS(INDEX($W$2:$W$1001,MATCH(ROWS($U$2:U560),$U$2:$U$1001,0),0), INDEX($AB$1004:$AQ$1004,1,MATCH(COLUMNS($AB$1006:AJ1006),$AB$1006:$AQ$1006,0)))),"Fix")))</f>
        <v>0</v>
      </c>
      <c r="K560" s="4">
        <f>IF(OR(INDEX($V$2:$V$1001,MATCH(ROWS($U$2:U560),$U$2:$U$1001,0),1)&gt;=100000,INDEX($AB$1005:$AQ$1005,1,MATCH(COLUMNS($AB$1006:AK1006),$AB$1006:$AQ$1006,0))&gt;=100000), " ",IF(INDEX($AB$2:$AQ$1001,MATCH(ROWS($U$2:U560),$U$2:$U$1001,0),MATCH(COLUMNS($AB$1006:AK1006),$AB$1006:$AQ$1006,0)), HYPERLINK("#",""), HYPERLINK(CONCATENATE("#metadata!", ADDRESS(INDEX($W$2:$W$1001,MATCH(ROWS($U$2:U560),$U$2:$U$1001,0),0), INDEX($AB$1004:$AQ$1004,1,MATCH(COLUMNS($AB$1006:AK1006),$AB$1006:$AQ$1006,0)))),"Fix")))</f>
        <v>0</v>
      </c>
      <c r="L560" s="4">
        <f>IF(OR(INDEX($V$2:$V$1001,MATCH(ROWS($U$2:U560),$U$2:$U$1001,0),1)&gt;=100000,INDEX($AB$1005:$AQ$1005,1,MATCH(COLUMNS($AB$1006:AL1006),$AB$1006:$AQ$1006,0))&gt;=100000), " ",IF(INDEX($AB$2:$AQ$1001,MATCH(ROWS($U$2:U560),$U$2:$U$1001,0),MATCH(COLUMNS($AB$1006:AL1006),$AB$1006:$AQ$1006,0)), HYPERLINK("#",""), HYPERLINK(CONCATENATE("#metadata!", ADDRESS(INDEX($W$2:$W$1001,MATCH(ROWS($U$2:U560),$U$2:$U$1001,0),0), INDEX($AB$1004:$AQ$1004,1,MATCH(COLUMNS($AB$1006:AL1006),$AB$1006:$AQ$1006,0)))),"Fix")))</f>
        <v>0</v>
      </c>
      <c r="M560" s="4">
        <f>IF(OR(INDEX($V$2:$V$1001,MATCH(ROWS($U$2:U560),$U$2:$U$1001,0),1)&gt;=100000,INDEX($AB$1005:$AQ$1005,1,MATCH(COLUMNS($AB$1006:AM1006),$AB$1006:$AQ$1006,0))&gt;=100000), " ",IF(INDEX($AB$2:$AQ$1001,MATCH(ROWS($U$2:U560),$U$2:$U$1001,0),MATCH(COLUMNS($AB$1006:AM1006),$AB$1006:$AQ$1006,0)), HYPERLINK("#",""), HYPERLINK(CONCATENATE("#metadata!", ADDRESS(INDEX($W$2:$W$1001,MATCH(ROWS($U$2:U560),$U$2:$U$1001,0),0), INDEX($AB$1004:$AQ$1004,1,MATCH(COLUMNS($AB$1006:AM1006),$AB$1006:$AQ$1006,0)))),"Fix")))</f>
        <v>0</v>
      </c>
      <c r="N560" s="4">
        <f>IF(OR(INDEX($V$2:$V$1001,MATCH(ROWS($U$2:U560),$U$2:$U$1001,0),1)&gt;=100000,INDEX($AB$1005:$AQ$1005,1,MATCH(COLUMNS($AB$1006:AN1006),$AB$1006:$AQ$1006,0))&gt;=100000), " ",IF(INDEX($AB$2:$AQ$1001,MATCH(ROWS($U$2:U560),$U$2:$U$1001,0),MATCH(COLUMNS($AB$1006:AN1006),$AB$1006:$AQ$1006,0)), HYPERLINK("#",""), HYPERLINK(CONCATENATE("#metadata!", ADDRESS(INDEX($W$2:$W$1001,MATCH(ROWS($U$2:U560),$U$2:$U$1001,0),0), INDEX($AB$1004:$AQ$1004,1,MATCH(COLUMNS($AB$1006:AN1006),$AB$1006:$AQ$1006,0)))),"Fix")))</f>
        <v>0</v>
      </c>
      <c r="O560" s="4">
        <f>IF(OR(INDEX($V$2:$V$1001,MATCH(ROWS($U$2:U560),$U$2:$U$1001,0),1)&gt;=100000,INDEX($AB$1005:$AQ$1005,1,MATCH(COLUMNS($AB$1006:AO1006),$AB$1006:$AQ$1006,0))&gt;=100000), " ",IF(INDEX($AB$2:$AQ$1001,MATCH(ROWS($U$2:U560),$U$2:$U$1001,0),MATCH(COLUMNS($AB$1006:AO1006),$AB$1006:$AQ$1006,0)), HYPERLINK("#",""), HYPERLINK(CONCATENATE("#metadata!", ADDRESS(INDEX($W$2:$W$1001,MATCH(ROWS($U$2:U560),$U$2:$U$1001,0),0), INDEX($AB$1004:$AQ$1004,1,MATCH(COLUMNS($AB$1006:AO1006),$AB$1006:$AQ$1006,0)))),"Fix")))</f>
        <v>0</v>
      </c>
      <c r="P560" s="4">
        <f>IF(OR(INDEX($V$2:$V$1001,MATCH(ROWS($U$2:U560),$U$2:$U$1001,0),1)&gt;=100000,INDEX($AB$1005:$AQ$1005,1,MATCH(COLUMNS($AB$1006:AP1006),$AB$1006:$AQ$1006,0))&gt;=100000), " ",IF(INDEX($AB$2:$AQ$1001,MATCH(ROWS($U$2:U560),$U$2:$U$1001,0),MATCH(COLUMNS($AB$1006:AP1006),$AB$1006:$AQ$1006,0)), HYPERLINK("#",""), HYPERLINK(CONCATENATE("#metadata!", ADDRESS(INDEX($W$2:$W$1001,MATCH(ROWS($U$2:U560),$U$2:$U$1001,0),0), INDEX($AB$1004:$AQ$1004,1,MATCH(COLUMNS($AB$1006:AP1006),$AB$1006:$AQ$1006,0)))),"Fix")))</f>
        <v>0</v>
      </c>
      <c r="Q560" s="4">
        <f>IF(OR(INDEX($V$2:$V$1001,MATCH(ROWS($U$2:U560),$U$2:$U$1001,0),1)&gt;=100000,INDEX($AB$1005:$AQ$1005,1,MATCH(COLUMNS($AB$1006:AQ1006),$AB$1006:$AQ$1006,0))&gt;=100000), " ",IF(INDEX($AB$2:$AQ$1001,MATCH(ROWS($U$2:U560),$U$2:$U$1001,0),MATCH(COLUMNS($AB$1006:AQ1006),$AB$1006:$AQ$1006,0)), HYPERLINK("#",""), HYPERLINK(CONCATENATE("#metadata!", ADDRESS(INDEX($W$2:$W$1001,MATCH(ROWS($U$2:U560),$U$2:$U$1001,0),0), INDEX($AB$1004:$AQ$1004,1,MATCH(COLUMNS($AB$1006:AQ1006),$AB$1006:$AQ$1006,0)))),"Fix")))</f>
        <v>0</v>
      </c>
      <c r="U560">
        <v>0</v>
      </c>
      <c r="V560">
        <v>0</v>
      </c>
      <c r="W560">
        <v>0</v>
      </c>
      <c r="X560">
        <f>IF(Y560,TRUE,AND(AB560:AQ560))</f>
        <v>0</v>
      </c>
      <c r="Y560">
        <f>COUNTBLANK(metadata!B560:Q560)=COLUMNS(metadata!B560:Q560)</f>
        <v>0</v>
      </c>
      <c r="Z560">
        <v>0</v>
      </c>
      <c r="AB560">
        <f>AND(IF(metadata!B560="",FALSE,TRUE),COUNTIF(metadata!B:B, metadata!B560) = 1,NOT(ISERROR(SUMPRODUCT(SEARCH(MID(metadata!B560,ROW(INDIRECT("1:"&amp;LEN(metadata!B560))), 1),"0123456789abcdefghijklmnopqrstuvwxyzABCDEFGHIJKLMNOPQRSTUVWXYZ.")))))</f>
        <v>0</v>
      </c>
      <c r="AC560">
        <f>OR(AND(IF(metadata!C560="",FALSE,TRUE),OR(exact(metadata!C560,"missing: not collected"),exact(metadata!C560,"missing: not provided"),exact(metadata!C560,"missing: restricted access"))),AND(IF(metadata!C560="",FALSE,TRUE),AND(AND(IFERROR(INT(LEFT(metadata!C560,4))&gt;1900,FALSE),IFERROR(INT(LEFT(metadata!C560,4))&lt;=YEAR(NOW()),FALSE)), OR(MID(metadata!C560,5,1)="", AND(AND(MID(metadata!C560,5,1)="-",IFERROR(INT(MID(metadata!C560,6,1))&gt;=0,FALSE),IFERROR(INT(MID(metadata!C560,6,1))&lt;=1,FALSE),NOT(MID(metadata!C560,7,1)=""),IFERROR(INT(MID(metadata!C560,6,2))&gt;=1,FALSE),IFERROR(INT(MID(metadata!C560,6,2))&lt;=12,FALSE)), OR(MID(metadata!C560,8,1)="", AND(AND(MID(metadata!C560,8,1)="-",IFERROR(INT(MID(metadata!C560,9,1))&gt;=0,FALSE),IFERROR(INT(MID(metadata!C560,9,1))&lt;=3,FALSE),NOT(MID(metadata!C560,10,1)=""),IFERROR(INT(MID(metadata!C560,9,2))&gt;=1,FALSE),IFERROR(INT(MID(metadata!C560,9,2))&lt;=31,FALSE)), OR(MID(metadata!C560,11,1)="", AND(AND(MID(metadata!C560,11,1)=" ",IFERROR(INT(MID(metadata!C560,12,1))&gt;=0,FALSE),IFERROR(INT(MID(metadata!C560,12,1))&lt;=2,FALSE),NOT(MID(metadata!C560,13,1)=""),IFERROR(INT(MID(metadata!C560,12,2))&gt;=0,FALSE),IFERROR(INT(MID(metadata!C560,12,2))&lt;=23,FALSE)), OR(MID(metadata!C560,14,1)="", AND(AND(MID(metadata!C560,14,1)=":",IFERROR(INT(MID(metadata!C560,15,1))&gt;=0,FALSE),IFERROR(INT(MID(metadata!C560,15,1))&lt;=5,FALSE),NOT(MID(metadata!C560,16,1)=""),IFERROR(INT(MID(metadata!C560,15,2))&gt;=0,FALSE),IFERROR(INT(MID(metadata!C560,15,2))&lt;=59,FALSE)), OR(MID(metadata!C560,17,1)="", AND(AND(MID(metadata!C560,17,1)=":",IFERROR(INT(MID(metadata!C560,18,1))&gt;=0,FALSE),IFERROR(INT(MID(metadata!C560,18,1))&lt;=5,FALSE),NOT(MID(metadata!C560,19,1)=""),IFERROR(INT(MID(metadata!C560,18,2))&gt;=0,FALSE),IFERROR(INT(MID(metadata!C560,18,2))&lt;=59,FALSE)), LEN(metadata!C560)&lt;=19)))))))))))))</f>
        <v>0</v>
      </c>
      <c r="AD560">
        <f>IF(metadata!D560="",FALSE,TRUE)</f>
        <v>0</v>
      </c>
      <c r="AE560">
        <f>OR(AND(IF(metadata!E560="",FALSE,TRUE),OR(exact(metadata!E560,"missing: not collected"),exact(metadata!E560,"missing: not provided"))),AND(IF(metadata!E560="",FALSE,TRUE),OR(exact(metadata!E560,"TRUE"),exact(metadata!E560,"FALSE"))))</f>
        <v>0</v>
      </c>
      <c r="AF560">
        <f>IF(metadata!F560="",FALSE,TRUE)</f>
        <v>0</v>
      </c>
      <c r="AG560">
        <f>IF(metadata!G560="",FALSE,TRUE)</f>
        <v>0</v>
      </c>
      <c r="AH560">
        <f>IF(metadata!H560="",FALSE,TRUE)</f>
        <v>0</v>
      </c>
      <c r="AI560">
        <f>OR(AND(IF(metadata!I560="",FALSE,TRUE),OR(exact(metadata!I560,"missing: not collected"),exact(metadata!I560,"missing: not provided"),exact(metadata!I560,"missing: restricted access"))),AND(IF(metadata!I560="",FALSE,TRUE),OR(exact(metadata!I560,"air"),exact(metadata!I560,"built environment"),exact(metadata!I560,"host-associated"),exact(metadata!I560,"human-associated"),exact(metadata!I560,"human-skin"),exact(metadata!I560,"human-oral"),exact(metadata!I560,"human-gut"),exact(metadata!I560,"human-vaginal"),exact(metadata!I560,"microbial mat/biofilm"),exact(metadata!I560,"misc environment"),exact(metadata!I560,"plant-associated"),exact(metadata!I560,"sediment"),exact(metadata!I560,"soil"),exact(metadata!I560,"wastewater/sludge"),exact(metadata!I560,"water"))))</f>
        <v>0</v>
      </c>
      <c r="AJ560">
        <f>IF(metadata!J560="",FALSE,TRUE)</f>
        <v>0</v>
      </c>
      <c r="AK560">
        <f>OR(AND(IF(metadata!K560="",FALSE,TRUE),OR(exact(metadata!K560,"missing: not collected"),exact(metadata!K560,"missing: not provided"),exact(metadata!K560,"missing: restricted access"))),AND(IF(metadata!K560="",FALSE,ISNUMBER(VALUE(metadata!K560))),metadata!K560&gt;=-90.00,metadata!K560&lt;=90.00))</f>
        <v>0</v>
      </c>
      <c r="AL560">
        <f>OR(AND(IF(metadata!L560="",FALSE,TRUE),OR(exact(metadata!L560,"missing: not collected"),exact(metadata!L560,"missing: not provided"),exact(metadata!L560,"missing: restricted access"))),AND(IF(metadata!L560="",FALSE,ISNUMBER(VALUE(metadata!L560))),metadata!L560&gt;=-180.00,metadata!L560&lt;=180.00))</f>
        <v>0</v>
      </c>
      <c r="AM560">
        <f>IF(metadata!M560="",FALSE,TRUE)</f>
        <v>0</v>
      </c>
      <c r="AN560">
        <f>OR(AND(IF(metadata!N560="",FALSE,TRUE),OR(exact(metadata!N560,"missing: not collected"),exact(metadata!N560,"missing: not provided"),exact(metadata!N560,"missing: restricted access"))),AND(IF(metadata!N560="",FALSE,TRUE),OR(exact(metadata!N560,"TRUE"),exact(metadata!N560,"FALSE"))))</f>
        <v>0</v>
      </c>
      <c r="AO560">
        <f>IF(metadata!O560="",FALSE,TRUE)</f>
        <v>0</v>
      </c>
      <c r="AP560">
        <f>OR(AND(IF(metadata!P560="",FALSE,TRUE),OR(exact(metadata!P560,"missing: not collected"),exact(metadata!P560,"missing: not provided"))),AND(IF(metadata!P560="",FALSE,IF(ISERROR(INT(metadata!P560)),FALSE,INT(metadata!P560)=metadata!P560)),metadata!P560&gt;0))</f>
        <v>0</v>
      </c>
      <c r="AQ560">
        <f>IF(metadata!Q560="",FALSE,TRUE)</f>
        <v>0</v>
      </c>
    </row>
    <row r="561" spans="1:43">
      <c r="A561" s="5">
        <f>IF(B561=" "," ",HYPERLINK(CONCATENATE("#metadata!",ADDRESS(INDEX($W$2:$W$1001,MATCH(ROWS($U$2:U561),$U$2:$U$1001,0),0),1)),INDEX($Z$2:$Z$1001,MATCH(ROWS($U$2:U561),$U$2:$U$1001,0),0)))</f>
        <v>0</v>
      </c>
      <c r="B561" s="4">
        <f>IF(OR(INDEX($V$2:$V$1001,MATCH(ROWS($U$2:U561),$U$2:$U$1001,0),1)&gt;=100000,INDEX($AB$1005:$AQ$1005,1,MATCH(COLUMNS($AB$1006:AB1006),$AB$1006:$AQ$1006,0))&gt;=100000), " ",IF(INDEX($AB$2:$AQ$1001,MATCH(ROWS($U$2:U561),$U$2:$U$1001,0),MATCH(COLUMNS($AB$1006:AB1006),$AB$1006:$AQ$1006,0)), HYPERLINK("#",""), HYPERLINK(CONCATENATE("#metadata!", ADDRESS(INDEX($W$2:$W$1001,MATCH(ROWS($U$2:U561),$U$2:$U$1001,0),0), INDEX($AB$1004:$AQ$1004,1,MATCH(COLUMNS($AB$1006:AB1006),$AB$1006:$AQ$1006,0)))),"Fix")))</f>
        <v>0</v>
      </c>
      <c r="C561" s="4">
        <f>IF(OR(INDEX($V$2:$V$1001,MATCH(ROWS($U$2:U561),$U$2:$U$1001,0),1)&gt;=100000,INDEX($AB$1005:$AQ$1005,1,MATCH(COLUMNS($AB$1006:AC1006),$AB$1006:$AQ$1006,0))&gt;=100000), " ",IF(INDEX($AB$2:$AQ$1001,MATCH(ROWS($U$2:U561),$U$2:$U$1001,0),MATCH(COLUMNS($AB$1006:AC1006),$AB$1006:$AQ$1006,0)), HYPERLINK("#",""), HYPERLINK(CONCATENATE("#metadata!", ADDRESS(INDEX($W$2:$W$1001,MATCH(ROWS($U$2:U561),$U$2:$U$1001,0),0), INDEX($AB$1004:$AQ$1004,1,MATCH(COLUMNS($AB$1006:AC1006),$AB$1006:$AQ$1006,0)))),"Fix")))</f>
        <v>0</v>
      </c>
      <c r="D561" s="4">
        <f>IF(OR(INDEX($V$2:$V$1001,MATCH(ROWS($U$2:U561),$U$2:$U$1001,0),1)&gt;=100000,INDEX($AB$1005:$AQ$1005,1,MATCH(COLUMNS($AB$1006:AD1006),$AB$1006:$AQ$1006,0))&gt;=100000), " ",IF(INDEX($AB$2:$AQ$1001,MATCH(ROWS($U$2:U561),$U$2:$U$1001,0),MATCH(COLUMNS($AB$1006:AD1006),$AB$1006:$AQ$1006,0)), HYPERLINK("#",""), HYPERLINK(CONCATENATE("#metadata!", ADDRESS(INDEX($W$2:$W$1001,MATCH(ROWS($U$2:U561),$U$2:$U$1001,0),0), INDEX($AB$1004:$AQ$1004,1,MATCH(COLUMNS($AB$1006:AD1006),$AB$1006:$AQ$1006,0)))),"Fix")))</f>
        <v>0</v>
      </c>
      <c r="E561" s="4">
        <f>IF(OR(INDEX($V$2:$V$1001,MATCH(ROWS($U$2:U561),$U$2:$U$1001,0),1)&gt;=100000,INDEX($AB$1005:$AQ$1005,1,MATCH(COLUMNS($AB$1006:AE1006),$AB$1006:$AQ$1006,0))&gt;=100000), " ",IF(INDEX($AB$2:$AQ$1001,MATCH(ROWS($U$2:U561),$U$2:$U$1001,0),MATCH(COLUMNS($AB$1006:AE1006),$AB$1006:$AQ$1006,0)), HYPERLINK("#",""), HYPERLINK(CONCATENATE("#metadata!", ADDRESS(INDEX($W$2:$W$1001,MATCH(ROWS($U$2:U561),$U$2:$U$1001,0),0), INDEX($AB$1004:$AQ$1004,1,MATCH(COLUMNS($AB$1006:AE1006),$AB$1006:$AQ$1006,0)))),"Fix")))</f>
        <v>0</v>
      </c>
      <c r="F561" s="4">
        <f>IF(OR(INDEX($V$2:$V$1001,MATCH(ROWS($U$2:U561),$U$2:$U$1001,0),1)&gt;=100000,INDEX($AB$1005:$AQ$1005,1,MATCH(COLUMNS($AB$1006:AF1006),$AB$1006:$AQ$1006,0))&gt;=100000), " ",IF(INDEX($AB$2:$AQ$1001,MATCH(ROWS($U$2:U561),$U$2:$U$1001,0),MATCH(COLUMNS($AB$1006:AF1006),$AB$1006:$AQ$1006,0)), HYPERLINK("#",""), HYPERLINK(CONCATENATE("#metadata!", ADDRESS(INDEX($W$2:$W$1001,MATCH(ROWS($U$2:U561),$U$2:$U$1001,0),0), INDEX($AB$1004:$AQ$1004,1,MATCH(COLUMNS($AB$1006:AF1006),$AB$1006:$AQ$1006,0)))),"Fix")))</f>
        <v>0</v>
      </c>
      <c r="G561" s="4">
        <f>IF(OR(INDEX($V$2:$V$1001,MATCH(ROWS($U$2:U561),$U$2:$U$1001,0),1)&gt;=100000,INDEX($AB$1005:$AQ$1005,1,MATCH(COLUMNS($AB$1006:AG1006),$AB$1006:$AQ$1006,0))&gt;=100000), " ",IF(INDEX($AB$2:$AQ$1001,MATCH(ROWS($U$2:U561),$U$2:$U$1001,0),MATCH(COLUMNS($AB$1006:AG1006),$AB$1006:$AQ$1006,0)), HYPERLINK("#",""), HYPERLINK(CONCATENATE("#metadata!", ADDRESS(INDEX($W$2:$W$1001,MATCH(ROWS($U$2:U561),$U$2:$U$1001,0),0), INDEX($AB$1004:$AQ$1004,1,MATCH(COLUMNS($AB$1006:AG1006),$AB$1006:$AQ$1006,0)))),"Fix")))</f>
        <v>0</v>
      </c>
      <c r="H561" s="4">
        <f>IF(OR(INDEX($V$2:$V$1001,MATCH(ROWS($U$2:U561),$U$2:$U$1001,0),1)&gt;=100000,INDEX($AB$1005:$AQ$1005,1,MATCH(COLUMNS($AB$1006:AH1006),$AB$1006:$AQ$1006,0))&gt;=100000), " ",IF(INDEX($AB$2:$AQ$1001,MATCH(ROWS($U$2:U561),$U$2:$U$1001,0),MATCH(COLUMNS($AB$1006:AH1006),$AB$1006:$AQ$1006,0)), HYPERLINK("#",""), HYPERLINK(CONCATENATE("#metadata!", ADDRESS(INDEX($W$2:$W$1001,MATCH(ROWS($U$2:U561),$U$2:$U$1001,0),0), INDEX($AB$1004:$AQ$1004,1,MATCH(COLUMNS($AB$1006:AH1006),$AB$1006:$AQ$1006,0)))),"Fix")))</f>
        <v>0</v>
      </c>
      <c r="I561" s="4">
        <f>IF(OR(INDEX($V$2:$V$1001,MATCH(ROWS($U$2:U561),$U$2:$U$1001,0),1)&gt;=100000,INDEX($AB$1005:$AQ$1005,1,MATCH(COLUMNS($AB$1006:AI1006),$AB$1006:$AQ$1006,0))&gt;=100000), " ",IF(INDEX($AB$2:$AQ$1001,MATCH(ROWS($U$2:U561),$U$2:$U$1001,0),MATCH(COLUMNS($AB$1006:AI1006),$AB$1006:$AQ$1006,0)), HYPERLINK("#",""), HYPERLINK(CONCATENATE("#metadata!", ADDRESS(INDEX($W$2:$W$1001,MATCH(ROWS($U$2:U561),$U$2:$U$1001,0),0), INDEX($AB$1004:$AQ$1004,1,MATCH(COLUMNS($AB$1006:AI1006),$AB$1006:$AQ$1006,0)))),"Fix")))</f>
        <v>0</v>
      </c>
      <c r="J561" s="4">
        <f>IF(OR(INDEX($V$2:$V$1001,MATCH(ROWS($U$2:U561),$U$2:$U$1001,0),1)&gt;=100000,INDEX($AB$1005:$AQ$1005,1,MATCH(COLUMNS($AB$1006:AJ1006),$AB$1006:$AQ$1006,0))&gt;=100000), " ",IF(INDEX($AB$2:$AQ$1001,MATCH(ROWS($U$2:U561),$U$2:$U$1001,0),MATCH(COLUMNS($AB$1006:AJ1006),$AB$1006:$AQ$1006,0)), HYPERLINK("#",""), HYPERLINK(CONCATENATE("#metadata!", ADDRESS(INDEX($W$2:$W$1001,MATCH(ROWS($U$2:U561),$U$2:$U$1001,0),0), INDEX($AB$1004:$AQ$1004,1,MATCH(COLUMNS($AB$1006:AJ1006),$AB$1006:$AQ$1006,0)))),"Fix")))</f>
        <v>0</v>
      </c>
      <c r="K561" s="4">
        <f>IF(OR(INDEX($V$2:$V$1001,MATCH(ROWS($U$2:U561),$U$2:$U$1001,0),1)&gt;=100000,INDEX($AB$1005:$AQ$1005,1,MATCH(COLUMNS($AB$1006:AK1006),$AB$1006:$AQ$1006,0))&gt;=100000), " ",IF(INDEX($AB$2:$AQ$1001,MATCH(ROWS($U$2:U561),$U$2:$U$1001,0),MATCH(COLUMNS($AB$1006:AK1006),$AB$1006:$AQ$1006,0)), HYPERLINK("#",""), HYPERLINK(CONCATENATE("#metadata!", ADDRESS(INDEX($W$2:$W$1001,MATCH(ROWS($U$2:U561),$U$2:$U$1001,0),0), INDEX($AB$1004:$AQ$1004,1,MATCH(COLUMNS($AB$1006:AK1006),$AB$1006:$AQ$1006,0)))),"Fix")))</f>
        <v>0</v>
      </c>
      <c r="L561" s="4">
        <f>IF(OR(INDEX($V$2:$V$1001,MATCH(ROWS($U$2:U561),$U$2:$U$1001,0),1)&gt;=100000,INDEX($AB$1005:$AQ$1005,1,MATCH(COLUMNS($AB$1006:AL1006),$AB$1006:$AQ$1006,0))&gt;=100000), " ",IF(INDEX($AB$2:$AQ$1001,MATCH(ROWS($U$2:U561),$U$2:$U$1001,0),MATCH(COLUMNS($AB$1006:AL1006),$AB$1006:$AQ$1006,0)), HYPERLINK("#",""), HYPERLINK(CONCATENATE("#metadata!", ADDRESS(INDEX($W$2:$W$1001,MATCH(ROWS($U$2:U561),$U$2:$U$1001,0),0), INDEX($AB$1004:$AQ$1004,1,MATCH(COLUMNS($AB$1006:AL1006),$AB$1006:$AQ$1006,0)))),"Fix")))</f>
        <v>0</v>
      </c>
      <c r="M561" s="4">
        <f>IF(OR(INDEX($V$2:$V$1001,MATCH(ROWS($U$2:U561),$U$2:$U$1001,0),1)&gt;=100000,INDEX($AB$1005:$AQ$1005,1,MATCH(COLUMNS($AB$1006:AM1006),$AB$1006:$AQ$1006,0))&gt;=100000), " ",IF(INDEX($AB$2:$AQ$1001,MATCH(ROWS($U$2:U561),$U$2:$U$1001,0),MATCH(COLUMNS($AB$1006:AM1006),$AB$1006:$AQ$1006,0)), HYPERLINK("#",""), HYPERLINK(CONCATENATE("#metadata!", ADDRESS(INDEX($W$2:$W$1001,MATCH(ROWS($U$2:U561),$U$2:$U$1001,0),0), INDEX($AB$1004:$AQ$1004,1,MATCH(COLUMNS($AB$1006:AM1006),$AB$1006:$AQ$1006,0)))),"Fix")))</f>
        <v>0</v>
      </c>
      <c r="N561" s="4">
        <f>IF(OR(INDEX($V$2:$V$1001,MATCH(ROWS($U$2:U561),$U$2:$U$1001,0),1)&gt;=100000,INDEX($AB$1005:$AQ$1005,1,MATCH(COLUMNS($AB$1006:AN1006),$AB$1006:$AQ$1006,0))&gt;=100000), " ",IF(INDEX($AB$2:$AQ$1001,MATCH(ROWS($U$2:U561),$U$2:$U$1001,0),MATCH(COLUMNS($AB$1006:AN1006),$AB$1006:$AQ$1006,0)), HYPERLINK("#",""), HYPERLINK(CONCATENATE("#metadata!", ADDRESS(INDEX($W$2:$W$1001,MATCH(ROWS($U$2:U561),$U$2:$U$1001,0),0), INDEX($AB$1004:$AQ$1004,1,MATCH(COLUMNS($AB$1006:AN1006),$AB$1006:$AQ$1006,0)))),"Fix")))</f>
        <v>0</v>
      </c>
      <c r="O561" s="4">
        <f>IF(OR(INDEX($V$2:$V$1001,MATCH(ROWS($U$2:U561),$U$2:$U$1001,0),1)&gt;=100000,INDEX($AB$1005:$AQ$1005,1,MATCH(COLUMNS($AB$1006:AO1006),$AB$1006:$AQ$1006,0))&gt;=100000), " ",IF(INDEX($AB$2:$AQ$1001,MATCH(ROWS($U$2:U561),$U$2:$U$1001,0),MATCH(COLUMNS($AB$1006:AO1006),$AB$1006:$AQ$1006,0)), HYPERLINK("#",""), HYPERLINK(CONCATENATE("#metadata!", ADDRESS(INDEX($W$2:$W$1001,MATCH(ROWS($U$2:U561),$U$2:$U$1001,0),0), INDEX($AB$1004:$AQ$1004,1,MATCH(COLUMNS($AB$1006:AO1006),$AB$1006:$AQ$1006,0)))),"Fix")))</f>
        <v>0</v>
      </c>
      <c r="P561" s="4">
        <f>IF(OR(INDEX($V$2:$V$1001,MATCH(ROWS($U$2:U561),$U$2:$U$1001,0),1)&gt;=100000,INDEX($AB$1005:$AQ$1005,1,MATCH(COLUMNS($AB$1006:AP1006),$AB$1006:$AQ$1006,0))&gt;=100000), " ",IF(INDEX($AB$2:$AQ$1001,MATCH(ROWS($U$2:U561),$U$2:$U$1001,0),MATCH(COLUMNS($AB$1006:AP1006),$AB$1006:$AQ$1006,0)), HYPERLINK("#",""), HYPERLINK(CONCATENATE("#metadata!", ADDRESS(INDEX($W$2:$W$1001,MATCH(ROWS($U$2:U561),$U$2:$U$1001,0),0), INDEX($AB$1004:$AQ$1004,1,MATCH(COLUMNS($AB$1006:AP1006),$AB$1006:$AQ$1006,0)))),"Fix")))</f>
        <v>0</v>
      </c>
      <c r="Q561" s="4">
        <f>IF(OR(INDEX($V$2:$V$1001,MATCH(ROWS($U$2:U561),$U$2:$U$1001,0),1)&gt;=100000,INDEX($AB$1005:$AQ$1005,1,MATCH(COLUMNS($AB$1006:AQ1006),$AB$1006:$AQ$1006,0))&gt;=100000), " ",IF(INDEX($AB$2:$AQ$1001,MATCH(ROWS($U$2:U561),$U$2:$U$1001,0),MATCH(COLUMNS($AB$1006:AQ1006),$AB$1006:$AQ$1006,0)), HYPERLINK("#",""), HYPERLINK(CONCATENATE("#metadata!", ADDRESS(INDEX($W$2:$W$1001,MATCH(ROWS($U$2:U561),$U$2:$U$1001,0),0), INDEX($AB$1004:$AQ$1004,1,MATCH(COLUMNS($AB$1006:AQ1006),$AB$1006:$AQ$1006,0)))),"Fix")))</f>
        <v>0</v>
      </c>
      <c r="U561">
        <v>0</v>
      </c>
      <c r="V561">
        <v>0</v>
      </c>
      <c r="W561">
        <v>0</v>
      </c>
      <c r="X561">
        <f>IF(Y561,TRUE,AND(AB561:AQ561))</f>
        <v>0</v>
      </c>
      <c r="Y561">
        <f>COUNTBLANK(metadata!B561:Q561)=COLUMNS(metadata!B561:Q561)</f>
        <v>0</v>
      </c>
      <c r="Z561">
        <v>0</v>
      </c>
      <c r="AB561">
        <f>AND(IF(metadata!B561="",FALSE,TRUE),COUNTIF(metadata!B:B, metadata!B561) = 1,NOT(ISERROR(SUMPRODUCT(SEARCH(MID(metadata!B561,ROW(INDIRECT("1:"&amp;LEN(metadata!B561))), 1),"0123456789abcdefghijklmnopqrstuvwxyzABCDEFGHIJKLMNOPQRSTUVWXYZ.")))))</f>
        <v>0</v>
      </c>
      <c r="AC561">
        <f>OR(AND(IF(metadata!C561="",FALSE,TRUE),OR(exact(metadata!C561,"missing: not collected"),exact(metadata!C561,"missing: not provided"),exact(metadata!C561,"missing: restricted access"))),AND(IF(metadata!C561="",FALSE,TRUE),AND(AND(IFERROR(INT(LEFT(metadata!C561,4))&gt;1900,FALSE),IFERROR(INT(LEFT(metadata!C561,4))&lt;=YEAR(NOW()),FALSE)), OR(MID(metadata!C561,5,1)="", AND(AND(MID(metadata!C561,5,1)="-",IFERROR(INT(MID(metadata!C561,6,1))&gt;=0,FALSE),IFERROR(INT(MID(metadata!C561,6,1))&lt;=1,FALSE),NOT(MID(metadata!C561,7,1)=""),IFERROR(INT(MID(metadata!C561,6,2))&gt;=1,FALSE),IFERROR(INT(MID(metadata!C561,6,2))&lt;=12,FALSE)), OR(MID(metadata!C561,8,1)="", AND(AND(MID(metadata!C561,8,1)="-",IFERROR(INT(MID(metadata!C561,9,1))&gt;=0,FALSE),IFERROR(INT(MID(metadata!C561,9,1))&lt;=3,FALSE),NOT(MID(metadata!C561,10,1)=""),IFERROR(INT(MID(metadata!C561,9,2))&gt;=1,FALSE),IFERROR(INT(MID(metadata!C561,9,2))&lt;=31,FALSE)), OR(MID(metadata!C561,11,1)="", AND(AND(MID(metadata!C561,11,1)=" ",IFERROR(INT(MID(metadata!C561,12,1))&gt;=0,FALSE),IFERROR(INT(MID(metadata!C561,12,1))&lt;=2,FALSE),NOT(MID(metadata!C561,13,1)=""),IFERROR(INT(MID(metadata!C561,12,2))&gt;=0,FALSE),IFERROR(INT(MID(metadata!C561,12,2))&lt;=23,FALSE)), OR(MID(metadata!C561,14,1)="", AND(AND(MID(metadata!C561,14,1)=":",IFERROR(INT(MID(metadata!C561,15,1))&gt;=0,FALSE),IFERROR(INT(MID(metadata!C561,15,1))&lt;=5,FALSE),NOT(MID(metadata!C561,16,1)=""),IFERROR(INT(MID(metadata!C561,15,2))&gt;=0,FALSE),IFERROR(INT(MID(metadata!C561,15,2))&lt;=59,FALSE)), OR(MID(metadata!C561,17,1)="", AND(AND(MID(metadata!C561,17,1)=":",IFERROR(INT(MID(metadata!C561,18,1))&gt;=0,FALSE),IFERROR(INT(MID(metadata!C561,18,1))&lt;=5,FALSE),NOT(MID(metadata!C561,19,1)=""),IFERROR(INT(MID(metadata!C561,18,2))&gt;=0,FALSE),IFERROR(INT(MID(metadata!C561,18,2))&lt;=59,FALSE)), LEN(metadata!C561)&lt;=19)))))))))))))</f>
        <v>0</v>
      </c>
      <c r="AD561">
        <f>IF(metadata!D561="",FALSE,TRUE)</f>
        <v>0</v>
      </c>
      <c r="AE561">
        <f>OR(AND(IF(metadata!E561="",FALSE,TRUE),OR(exact(metadata!E561,"missing: not collected"),exact(metadata!E561,"missing: not provided"))),AND(IF(metadata!E561="",FALSE,TRUE),OR(exact(metadata!E561,"TRUE"),exact(metadata!E561,"FALSE"))))</f>
        <v>0</v>
      </c>
      <c r="AF561">
        <f>IF(metadata!F561="",FALSE,TRUE)</f>
        <v>0</v>
      </c>
      <c r="AG561">
        <f>IF(metadata!G561="",FALSE,TRUE)</f>
        <v>0</v>
      </c>
      <c r="AH561">
        <f>IF(metadata!H561="",FALSE,TRUE)</f>
        <v>0</v>
      </c>
      <c r="AI561">
        <f>OR(AND(IF(metadata!I561="",FALSE,TRUE),OR(exact(metadata!I561,"missing: not collected"),exact(metadata!I561,"missing: not provided"),exact(metadata!I561,"missing: restricted access"))),AND(IF(metadata!I561="",FALSE,TRUE),OR(exact(metadata!I561,"air"),exact(metadata!I561,"built environment"),exact(metadata!I561,"host-associated"),exact(metadata!I561,"human-associated"),exact(metadata!I561,"human-skin"),exact(metadata!I561,"human-oral"),exact(metadata!I561,"human-gut"),exact(metadata!I561,"human-vaginal"),exact(metadata!I561,"microbial mat/biofilm"),exact(metadata!I561,"misc environment"),exact(metadata!I561,"plant-associated"),exact(metadata!I561,"sediment"),exact(metadata!I561,"soil"),exact(metadata!I561,"wastewater/sludge"),exact(metadata!I561,"water"))))</f>
        <v>0</v>
      </c>
      <c r="AJ561">
        <f>IF(metadata!J561="",FALSE,TRUE)</f>
        <v>0</v>
      </c>
      <c r="AK561">
        <f>OR(AND(IF(metadata!K561="",FALSE,TRUE),OR(exact(metadata!K561,"missing: not collected"),exact(metadata!K561,"missing: not provided"),exact(metadata!K561,"missing: restricted access"))),AND(IF(metadata!K561="",FALSE,ISNUMBER(VALUE(metadata!K561))),metadata!K561&gt;=-90.00,metadata!K561&lt;=90.00))</f>
        <v>0</v>
      </c>
      <c r="AL561">
        <f>OR(AND(IF(metadata!L561="",FALSE,TRUE),OR(exact(metadata!L561,"missing: not collected"),exact(metadata!L561,"missing: not provided"),exact(metadata!L561,"missing: restricted access"))),AND(IF(metadata!L561="",FALSE,ISNUMBER(VALUE(metadata!L561))),metadata!L561&gt;=-180.00,metadata!L561&lt;=180.00))</f>
        <v>0</v>
      </c>
      <c r="AM561">
        <f>IF(metadata!M561="",FALSE,TRUE)</f>
        <v>0</v>
      </c>
      <c r="AN561">
        <f>OR(AND(IF(metadata!N561="",FALSE,TRUE),OR(exact(metadata!N561,"missing: not collected"),exact(metadata!N561,"missing: not provided"),exact(metadata!N561,"missing: restricted access"))),AND(IF(metadata!N561="",FALSE,TRUE),OR(exact(metadata!N561,"TRUE"),exact(metadata!N561,"FALSE"))))</f>
        <v>0</v>
      </c>
      <c r="AO561">
        <f>IF(metadata!O561="",FALSE,TRUE)</f>
        <v>0</v>
      </c>
      <c r="AP561">
        <f>OR(AND(IF(metadata!P561="",FALSE,TRUE),OR(exact(metadata!P561,"missing: not collected"),exact(metadata!P561,"missing: not provided"))),AND(IF(metadata!P561="",FALSE,IF(ISERROR(INT(metadata!P561)),FALSE,INT(metadata!P561)=metadata!P561)),metadata!P561&gt;0))</f>
        <v>0</v>
      </c>
      <c r="AQ561">
        <f>IF(metadata!Q561="",FALSE,TRUE)</f>
        <v>0</v>
      </c>
    </row>
    <row r="562" spans="1:43">
      <c r="A562" s="5">
        <f>IF(B562=" "," ",HYPERLINK(CONCATENATE("#metadata!",ADDRESS(INDEX($W$2:$W$1001,MATCH(ROWS($U$2:U562),$U$2:$U$1001,0),0),1)),INDEX($Z$2:$Z$1001,MATCH(ROWS($U$2:U562),$U$2:$U$1001,0),0)))</f>
        <v>0</v>
      </c>
      <c r="B562" s="4">
        <f>IF(OR(INDEX($V$2:$V$1001,MATCH(ROWS($U$2:U562),$U$2:$U$1001,0),1)&gt;=100000,INDEX($AB$1005:$AQ$1005,1,MATCH(COLUMNS($AB$1006:AB1006),$AB$1006:$AQ$1006,0))&gt;=100000), " ",IF(INDEX($AB$2:$AQ$1001,MATCH(ROWS($U$2:U562),$U$2:$U$1001,0),MATCH(COLUMNS($AB$1006:AB1006),$AB$1006:$AQ$1006,0)), HYPERLINK("#",""), HYPERLINK(CONCATENATE("#metadata!", ADDRESS(INDEX($W$2:$W$1001,MATCH(ROWS($U$2:U562),$U$2:$U$1001,0),0), INDEX($AB$1004:$AQ$1004,1,MATCH(COLUMNS($AB$1006:AB1006),$AB$1006:$AQ$1006,0)))),"Fix")))</f>
        <v>0</v>
      </c>
      <c r="C562" s="4">
        <f>IF(OR(INDEX($V$2:$V$1001,MATCH(ROWS($U$2:U562),$U$2:$U$1001,0),1)&gt;=100000,INDEX($AB$1005:$AQ$1005,1,MATCH(COLUMNS($AB$1006:AC1006),$AB$1006:$AQ$1006,0))&gt;=100000), " ",IF(INDEX($AB$2:$AQ$1001,MATCH(ROWS($U$2:U562),$U$2:$U$1001,0),MATCH(COLUMNS($AB$1006:AC1006),$AB$1006:$AQ$1006,0)), HYPERLINK("#",""), HYPERLINK(CONCATENATE("#metadata!", ADDRESS(INDEX($W$2:$W$1001,MATCH(ROWS($U$2:U562),$U$2:$U$1001,0),0), INDEX($AB$1004:$AQ$1004,1,MATCH(COLUMNS($AB$1006:AC1006),$AB$1006:$AQ$1006,0)))),"Fix")))</f>
        <v>0</v>
      </c>
      <c r="D562" s="4">
        <f>IF(OR(INDEX($V$2:$V$1001,MATCH(ROWS($U$2:U562),$U$2:$U$1001,0),1)&gt;=100000,INDEX($AB$1005:$AQ$1005,1,MATCH(COLUMNS($AB$1006:AD1006),$AB$1006:$AQ$1006,0))&gt;=100000), " ",IF(INDEX($AB$2:$AQ$1001,MATCH(ROWS($U$2:U562),$U$2:$U$1001,0),MATCH(COLUMNS($AB$1006:AD1006),$AB$1006:$AQ$1006,0)), HYPERLINK("#",""), HYPERLINK(CONCATENATE("#metadata!", ADDRESS(INDEX($W$2:$W$1001,MATCH(ROWS($U$2:U562),$U$2:$U$1001,0),0), INDEX($AB$1004:$AQ$1004,1,MATCH(COLUMNS($AB$1006:AD1006),$AB$1006:$AQ$1006,0)))),"Fix")))</f>
        <v>0</v>
      </c>
      <c r="E562" s="4">
        <f>IF(OR(INDEX($V$2:$V$1001,MATCH(ROWS($U$2:U562),$U$2:$U$1001,0),1)&gt;=100000,INDEX($AB$1005:$AQ$1005,1,MATCH(COLUMNS($AB$1006:AE1006),$AB$1006:$AQ$1006,0))&gt;=100000), " ",IF(INDEX($AB$2:$AQ$1001,MATCH(ROWS($U$2:U562),$U$2:$U$1001,0),MATCH(COLUMNS($AB$1006:AE1006),$AB$1006:$AQ$1006,0)), HYPERLINK("#",""), HYPERLINK(CONCATENATE("#metadata!", ADDRESS(INDEX($W$2:$W$1001,MATCH(ROWS($U$2:U562),$U$2:$U$1001,0),0), INDEX($AB$1004:$AQ$1004,1,MATCH(COLUMNS($AB$1006:AE1006),$AB$1006:$AQ$1006,0)))),"Fix")))</f>
        <v>0</v>
      </c>
      <c r="F562" s="4">
        <f>IF(OR(INDEX($V$2:$V$1001,MATCH(ROWS($U$2:U562),$U$2:$U$1001,0),1)&gt;=100000,INDEX($AB$1005:$AQ$1005,1,MATCH(COLUMNS($AB$1006:AF1006),$AB$1006:$AQ$1006,0))&gt;=100000), " ",IF(INDEX($AB$2:$AQ$1001,MATCH(ROWS($U$2:U562),$U$2:$U$1001,0),MATCH(COLUMNS($AB$1006:AF1006),$AB$1006:$AQ$1006,0)), HYPERLINK("#",""), HYPERLINK(CONCATENATE("#metadata!", ADDRESS(INDEX($W$2:$W$1001,MATCH(ROWS($U$2:U562),$U$2:$U$1001,0),0), INDEX($AB$1004:$AQ$1004,1,MATCH(COLUMNS($AB$1006:AF1006),$AB$1006:$AQ$1006,0)))),"Fix")))</f>
        <v>0</v>
      </c>
      <c r="G562" s="4">
        <f>IF(OR(INDEX($V$2:$V$1001,MATCH(ROWS($U$2:U562),$U$2:$U$1001,0),1)&gt;=100000,INDEX($AB$1005:$AQ$1005,1,MATCH(COLUMNS($AB$1006:AG1006),$AB$1006:$AQ$1006,0))&gt;=100000), " ",IF(INDEX($AB$2:$AQ$1001,MATCH(ROWS($U$2:U562),$U$2:$U$1001,0),MATCH(COLUMNS($AB$1006:AG1006),$AB$1006:$AQ$1006,0)), HYPERLINK("#",""), HYPERLINK(CONCATENATE("#metadata!", ADDRESS(INDEX($W$2:$W$1001,MATCH(ROWS($U$2:U562),$U$2:$U$1001,0),0), INDEX($AB$1004:$AQ$1004,1,MATCH(COLUMNS($AB$1006:AG1006),$AB$1006:$AQ$1006,0)))),"Fix")))</f>
        <v>0</v>
      </c>
      <c r="H562" s="4">
        <f>IF(OR(INDEX($V$2:$V$1001,MATCH(ROWS($U$2:U562),$U$2:$U$1001,0),1)&gt;=100000,INDEX($AB$1005:$AQ$1005,1,MATCH(COLUMNS($AB$1006:AH1006),$AB$1006:$AQ$1006,0))&gt;=100000), " ",IF(INDEX($AB$2:$AQ$1001,MATCH(ROWS($U$2:U562),$U$2:$U$1001,0),MATCH(COLUMNS($AB$1006:AH1006),$AB$1006:$AQ$1006,0)), HYPERLINK("#",""), HYPERLINK(CONCATENATE("#metadata!", ADDRESS(INDEX($W$2:$W$1001,MATCH(ROWS($U$2:U562),$U$2:$U$1001,0),0), INDEX($AB$1004:$AQ$1004,1,MATCH(COLUMNS($AB$1006:AH1006),$AB$1006:$AQ$1006,0)))),"Fix")))</f>
        <v>0</v>
      </c>
      <c r="I562" s="4">
        <f>IF(OR(INDEX($V$2:$V$1001,MATCH(ROWS($U$2:U562),$U$2:$U$1001,0),1)&gt;=100000,INDEX($AB$1005:$AQ$1005,1,MATCH(COLUMNS($AB$1006:AI1006),$AB$1006:$AQ$1006,0))&gt;=100000), " ",IF(INDEX($AB$2:$AQ$1001,MATCH(ROWS($U$2:U562),$U$2:$U$1001,0),MATCH(COLUMNS($AB$1006:AI1006),$AB$1006:$AQ$1006,0)), HYPERLINK("#",""), HYPERLINK(CONCATENATE("#metadata!", ADDRESS(INDEX($W$2:$W$1001,MATCH(ROWS($U$2:U562),$U$2:$U$1001,0),0), INDEX($AB$1004:$AQ$1004,1,MATCH(COLUMNS($AB$1006:AI1006),$AB$1006:$AQ$1006,0)))),"Fix")))</f>
        <v>0</v>
      </c>
      <c r="J562" s="4">
        <f>IF(OR(INDEX($V$2:$V$1001,MATCH(ROWS($U$2:U562),$U$2:$U$1001,0),1)&gt;=100000,INDEX($AB$1005:$AQ$1005,1,MATCH(COLUMNS($AB$1006:AJ1006),$AB$1006:$AQ$1006,0))&gt;=100000), " ",IF(INDEX($AB$2:$AQ$1001,MATCH(ROWS($U$2:U562),$U$2:$U$1001,0),MATCH(COLUMNS($AB$1006:AJ1006),$AB$1006:$AQ$1006,0)), HYPERLINK("#",""), HYPERLINK(CONCATENATE("#metadata!", ADDRESS(INDEX($W$2:$W$1001,MATCH(ROWS($U$2:U562),$U$2:$U$1001,0),0), INDEX($AB$1004:$AQ$1004,1,MATCH(COLUMNS($AB$1006:AJ1006),$AB$1006:$AQ$1006,0)))),"Fix")))</f>
        <v>0</v>
      </c>
      <c r="K562" s="4">
        <f>IF(OR(INDEX($V$2:$V$1001,MATCH(ROWS($U$2:U562),$U$2:$U$1001,0),1)&gt;=100000,INDEX($AB$1005:$AQ$1005,1,MATCH(COLUMNS($AB$1006:AK1006),$AB$1006:$AQ$1006,0))&gt;=100000), " ",IF(INDEX($AB$2:$AQ$1001,MATCH(ROWS($U$2:U562),$U$2:$U$1001,0),MATCH(COLUMNS($AB$1006:AK1006),$AB$1006:$AQ$1006,0)), HYPERLINK("#",""), HYPERLINK(CONCATENATE("#metadata!", ADDRESS(INDEX($W$2:$W$1001,MATCH(ROWS($U$2:U562),$U$2:$U$1001,0),0), INDEX($AB$1004:$AQ$1004,1,MATCH(COLUMNS($AB$1006:AK1006),$AB$1006:$AQ$1006,0)))),"Fix")))</f>
        <v>0</v>
      </c>
      <c r="L562" s="4">
        <f>IF(OR(INDEX($V$2:$V$1001,MATCH(ROWS($U$2:U562),$U$2:$U$1001,0),1)&gt;=100000,INDEX($AB$1005:$AQ$1005,1,MATCH(COLUMNS($AB$1006:AL1006),$AB$1006:$AQ$1006,0))&gt;=100000), " ",IF(INDEX($AB$2:$AQ$1001,MATCH(ROWS($U$2:U562),$U$2:$U$1001,0),MATCH(COLUMNS($AB$1006:AL1006),$AB$1006:$AQ$1006,0)), HYPERLINK("#",""), HYPERLINK(CONCATENATE("#metadata!", ADDRESS(INDEX($W$2:$W$1001,MATCH(ROWS($U$2:U562),$U$2:$U$1001,0),0), INDEX($AB$1004:$AQ$1004,1,MATCH(COLUMNS($AB$1006:AL1006),$AB$1006:$AQ$1006,0)))),"Fix")))</f>
        <v>0</v>
      </c>
      <c r="M562" s="4">
        <f>IF(OR(INDEX($V$2:$V$1001,MATCH(ROWS($U$2:U562),$U$2:$U$1001,0),1)&gt;=100000,INDEX($AB$1005:$AQ$1005,1,MATCH(COLUMNS($AB$1006:AM1006),$AB$1006:$AQ$1006,0))&gt;=100000), " ",IF(INDEX($AB$2:$AQ$1001,MATCH(ROWS($U$2:U562),$U$2:$U$1001,0),MATCH(COLUMNS($AB$1006:AM1006),$AB$1006:$AQ$1006,0)), HYPERLINK("#",""), HYPERLINK(CONCATENATE("#metadata!", ADDRESS(INDEX($W$2:$W$1001,MATCH(ROWS($U$2:U562),$U$2:$U$1001,0),0), INDEX($AB$1004:$AQ$1004,1,MATCH(COLUMNS($AB$1006:AM1006),$AB$1006:$AQ$1006,0)))),"Fix")))</f>
        <v>0</v>
      </c>
      <c r="N562" s="4">
        <f>IF(OR(INDEX($V$2:$V$1001,MATCH(ROWS($U$2:U562),$U$2:$U$1001,0),1)&gt;=100000,INDEX($AB$1005:$AQ$1005,1,MATCH(COLUMNS($AB$1006:AN1006),$AB$1006:$AQ$1006,0))&gt;=100000), " ",IF(INDEX($AB$2:$AQ$1001,MATCH(ROWS($U$2:U562),$U$2:$U$1001,0),MATCH(COLUMNS($AB$1006:AN1006),$AB$1006:$AQ$1006,0)), HYPERLINK("#",""), HYPERLINK(CONCATENATE("#metadata!", ADDRESS(INDEX($W$2:$W$1001,MATCH(ROWS($U$2:U562),$U$2:$U$1001,0),0), INDEX($AB$1004:$AQ$1004,1,MATCH(COLUMNS($AB$1006:AN1006),$AB$1006:$AQ$1006,0)))),"Fix")))</f>
        <v>0</v>
      </c>
      <c r="O562" s="4">
        <f>IF(OR(INDEX($V$2:$V$1001,MATCH(ROWS($U$2:U562),$U$2:$U$1001,0),1)&gt;=100000,INDEX($AB$1005:$AQ$1005,1,MATCH(COLUMNS($AB$1006:AO1006),$AB$1006:$AQ$1006,0))&gt;=100000), " ",IF(INDEX($AB$2:$AQ$1001,MATCH(ROWS($U$2:U562),$U$2:$U$1001,0),MATCH(COLUMNS($AB$1006:AO1006),$AB$1006:$AQ$1006,0)), HYPERLINK("#",""), HYPERLINK(CONCATENATE("#metadata!", ADDRESS(INDEX($W$2:$W$1001,MATCH(ROWS($U$2:U562),$U$2:$U$1001,0),0), INDEX($AB$1004:$AQ$1004,1,MATCH(COLUMNS($AB$1006:AO1006),$AB$1006:$AQ$1006,0)))),"Fix")))</f>
        <v>0</v>
      </c>
      <c r="P562" s="4">
        <f>IF(OR(INDEX($V$2:$V$1001,MATCH(ROWS($U$2:U562),$U$2:$U$1001,0),1)&gt;=100000,INDEX($AB$1005:$AQ$1005,1,MATCH(COLUMNS($AB$1006:AP1006),$AB$1006:$AQ$1006,0))&gt;=100000), " ",IF(INDEX($AB$2:$AQ$1001,MATCH(ROWS($U$2:U562),$U$2:$U$1001,0),MATCH(COLUMNS($AB$1006:AP1006),$AB$1006:$AQ$1006,0)), HYPERLINK("#",""), HYPERLINK(CONCATENATE("#metadata!", ADDRESS(INDEX($W$2:$W$1001,MATCH(ROWS($U$2:U562),$U$2:$U$1001,0),0), INDEX($AB$1004:$AQ$1004,1,MATCH(COLUMNS($AB$1006:AP1006),$AB$1006:$AQ$1006,0)))),"Fix")))</f>
        <v>0</v>
      </c>
      <c r="Q562" s="4">
        <f>IF(OR(INDEX($V$2:$V$1001,MATCH(ROWS($U$2:U562),$U$2:$U$1001,0),1)&gt;=100000,INDEX($AB$1005:$AQ$1005,1,MATCH(COLUMNS($AB$1006:AQ1006),$AB$1006:$AQ$1006,0))&gt;=100000), " ",IF(INDEX($AB$2:$AQ$1001,MATCH(ROWS($U$2:U562),$U$2:$U$1001,0),MATCH(COLUMNS($AB$1006:AQ1006),$AB$1006:$AQ$1006,0)), HYPERLINK("#",""), HYPERLINK(CONCATENATE("#metadata!", ADDRESS(INDEX($W$2:$W$1001,MATCH(ROWS($U$2:U562),$U$2:$U$1001,0),0), INDEX($AB$1004:$AQ$1004,1,MATCH(COLUMNS($AB$1006:AQ1006),$AB$1006:$AQ$1006,0)))),"Fix")))</f>
        <v>0</v>
      </c>
      <c r="U562">
        <v>0</v>
      </c>
      <c r="V562">
        <v>0</v>
      </c>
      <c r="W562">
        <v>0</v>
      </c>
      <c r="X562">
        <f>IF(Y562,TRUE,AND(AB562:AQ562))</f>
        <v>0</v>
      </c>
      <c r="Y562">
        <f>COUNTBLANK(metadata!B562:Q562)=COLUMNS(metadata!B562:Q562)</f>
        <v>0</v>
      </c>
      <c r="Z562">
        <v>0</v>
      </c>
      <c r="AB562">
        <f>AND(IF(metadata!B562="",FALSE,TRUE),COUNTIF(metadata!B:B, metadata!B562) = 1,NOT(ISERROR(SUMPRODUCT(SEARCH(MID(metadata!B562,ROW(INDIRECT("1:"&amp;LEN(metadata!B562))), 1),"0123456789abcdefghijklmnopqrstuvwxyzABCDEFGHIJKLMNOPQRSTUVWXYZ.")))))</f>
        <v>0</v>
      </c>
      <c r="AC562">
        <f>OR(AND(IF(metadata!C562="",FALSE,TRUE),OR(exact(metadata!C562,"missing: not collected"),exact(metadata!C562,"missing: not provided"),exact(metadata!C562,"missing: restricted access"))),AND(IF(metadata!C562="",FALSE,TRUE),AND(AND(IFERROR(INT(LEFT(metadata!C562,4))&gt;1900,FALSE),IFERROR(INT(LEFT(metadata!C562,4))&lt;=YEAR(NOW()),FALSE)), OR(MID(metadata!C562,5,1)="", AND(AND(MID(metadata!C562,5,1)="-",IFERROR(INT(MID(metadata!C562,6,1))&gt;=0,FALSE),IFERROR(INT(MID(metadata!C562,6,1))&lt;=1,FALSE),NOT(MID(metadata!C562,7,1)=""),IFERROR(INT(MID(metadata!C562,6,2))&gt;=1,FALSE),IFERROR(INT(MID(metadata!C562,6,2))&lt;=12,FALSE)), OR(MID(metadata!C562,8,1)="", AND(AND(MID(metadata!C562,8,1)="-",IFERROR(INT(MID(metadata!C562,9,1))&gt;=0,FALSE),IFERROR(INT(MID(metadata!C562,9,1))&lt;=3,FALSE),NOT(MID(metadata!C562,10,1)=""),IFERROR(INT(MID(metadata!C562,9,2))&gt;=1,FALSE),IFERROR(INT(MID(metadata!C562,9,2))&lt;=31,FALSE)), OR(MID(metadata!C562,11,1)="", AND(AND(MID(metadata!C562,11,1)=" ",IFERROR(INT(MID(metadata!C562,12,1))&gt;=0,FALSE),IFERROR(INT(MID(metadata!C562,12,1))&lt;=2,FALSE),NOT(MID(metadata!C562,13,1)=""),IFERROR(INT(MID(metadata!C562,12,2))&gt;=0,FALSE),IFERROR(INT(MID(metadata!C562,12,2))&lt;=23,FALSE)), OR(MID(metadata!C562,14,1)="", AND(AND(MID(metadata!C562,14,1)=":",IFERROR(INT(MID(metadata!C562,15,1))&gt;=0,FALSE),IFERROR(INT(MID(metadata!C562,15,1))&lt;=5,FALSE),NOT(MID(metadata!C562,16,1)=""),IFERROR(INT(MID(metadata!C562,15,2))&gt;=0,FALSE),IFERROR(INT(MID(metadata!C562,15,2))&lt;=59,FALSE)), OR(MID(metadata!C562,17,1)="", AND(AND(MID(metadata!C562,17,1)=":",IFERROR(INT(MID(metadata!C562,18,1))&gt;=0,FALSE),IFERROR(INT(MID(metadata!C562,18,1))&lt;=5,FALSE),NOT(MID(metadata!C562,19,1)=""),IFERROR(INT(MID(metadata!C562,18,2))&gt;=0,FALSE),IFERROR(INT(MID(metadata!C562,18,2))&lt;=59,FALSE)), LEN(metadata!C562)&lt;=19)))))))))))))</f>
        <v>0</v>
      </c>
      <c r="AD562">
        <f>IF(metadata!D562="",FALSE,TRUE)</f>
        <v>0</v>
      </c>
      <c r="AE562">
        <f>OR(AND(IF(metadata!E562="",FALSE,TRUE),OR(exact(metadata!E562,"missing: not collected"),exact(metadata!E562,"missing: not provided"))),AND(IF(metadata!E562="",FALSE,TRUE),OR(exact(metadata!E562,"TRUE"),exact(metadata!E562,"FALSE"))))</f>
        <v>0</v>
      </c>
      <c r="AF562">
        <f>IF(metadata!F562="",FALSE,TRUE)</f>
        <v>0</v>
      </c>
      <c r="AG562">
        <f>IF(metadata!G562="",FALSE,TRUE)</f>
        <v>0</v>
      </c>
      <c r="AH562">
        <f>IF(metadata!H562="",FALSE,TRUE)</f>
        <v>0</v>
      </c>
      <c r="AI562">
        <f>OR(AND(IF(metadata!I562="",FALSE,TRUE),OR(exact(metadata!I562,"missing: not collected"),exact(metadata!I562,"missing: not provided"),exact(metadata!I562,"missing: restricted access"))),AND(IF(metadata!I562="",FALSE,TRUE),OR(exact(metadata!I562,"air"),exact(metadata!I562,"built environment"),exact(metadata!I562,"host-associated"),exact(metadata!I562,"human-associated"),exact(metadata!I562,"human-skin"),exact(metadata!I562,"human-oral"),exact(metadata!I562,"human-gut"),exact(metadata!I562,"human-vaginal"),exact(metadata!I562,"microbial mat/biofilm"),exact(metadata!I562,"misc environment"),exact(metadata!I562,"plant-associated"),exact(metadata!I562,"sediment"),exact(metadata!I562,"soil"),exact(metadata!I562,"wastewater/sludge"),exact(metadata!I562,"water"))))</f>
        <v>0</v>
      </c>
      <c r="AJ562">
        <f>IF(metadata!J562="",FALSE,TRUE)</f>
        <v>0</v>
      </c>
      <c r="AK562">
        <f>OR(AND(IF(metadata!K562="",FALSE,TRUE),OR(exact(metadata!K562,"missing: not collected"),exact(metadata!K562,"missing: not provided"),exact(metadata!K562,"missing: restricted access"))),AND(IF(metadata!K562="",FALSE,ISNUMBER(VALUE(metadata!K562))),metadata!K562&gt;=-90.00,metadata!K562&lt;=90.00))</f>
        <v>0</v>
      </c>
      <c r="AL562">
        <f>OR(AND(IF(metadata!L562="",FALSE,TRUE),OR(exact(metadata!L562,"missing: not collected"),exact(metadata!L562,"missing: not provided"),exact(metadata!L562,"missing: restricted access"))),AND(IF(metadata!L562="",FALSE,ISNUMBER(VALUE(metadata!L562))),metadata!L562&gt;=-180.00,metadata!L562&lt;=180.00))</f>
        <v>0</v>
      </c>
      <c r="AM562">
        <f>IF(metadata!M562="",FALSE,TRUE)</f>
        <v>0</v>
      </c>
      <c r="AN562">
        <f>OR(AND(IF(metadata!N562="",FALSE,TRUE),OR(exact(metadata!N562,"missing: not collected"),exact(metadata!N562,"missing: not provided"),exact(metadata!N562,"missing: restricted access"))),AND(IF(metadata!N562="",FALSE,TRUE),OR(exact(metadata!N562,"TRUE"),exact(metadata!N562,"FALSE"))))</f>
        <v>0</v>
      </c>
      <c r="AO562">
        <f>IF(metadata!O562="",FALSE,TRUE)</f>
        <v>0</v>
      </c>
      <c r="AP562">
        <f>OR(AND(IF(metadata!P562="",FALSE,TRUE),OR(exact(metadata!P562,"missing: not collected"),exact(metadata!P562,"missing: not provided"))),AND(IF(metadata!P562="",FALSE,IF(ISERROR(INT(metadata!P562)),FALSE,INT(metadata!P562)=metadata!P562)),metadata!P562&gt;0))</f>
        <v>0</v>
      </c>
      <c r="AQ562">
        <f>IF(metadata!Q562="",FALSE,TRUE)</f>
        <v>0</v>
      </c>
    </row>
    <row r="563" spans="1:43">
      <c r="A563" s="5">
        <f>IF(B563=" "," ",HYPERLINK(CONCATENATE("#metadata!",ADDRESS(INDEX($W$2:$W$1001,MATCH(ROWS($U$2:U563),$U$2:$U$1001,0),0),1)),INDEX($Z$2:$Z$1001,MATCH(ROWS($U$2:U563),$U$2:$U$1001,0),0)))</f>
        <v>0</v>
      </c>
      <c r="B563" s="4">
        <f>IF(OR(INDEX($V$2:$V$1001,MATCH(ROWS($U$2:U563),$U$2:$U$1001,0),1)&gt;=100000,INDEX($AB$1005:$AQ$1005,1,MATCH(COLUMNS($AB$1006:AB1006),$AB$1006:$AQ$1006,0))&gt;=100000), " ",IF(INDEX($AB$2:$AQ$1001,MATCH(ROWS($U$2:U563),$U$2:$U$1001,0),MATCH(COLUMNS($AB$1006:AB1006),$AB$1006:$AQ$1006,0)), HYPERLINK("#",""), HYPERLINK(CONCATENATE("#metadata!", ADDRESS(INDEX($W$2:$W$1001,MATCH(ROWS($U$2:U563),$U$2:$U$1001,0),0), INDEX($AB$1004:$AQ$1004,1,MATCH(COLUMNS($AB$1006:AB1006),$AB$1006:$AQ$1006,0)))),"Fix")))</f>
        <v>0</v>
      </c>
      <c r="C563" s="4">
        <f>IF(OR(INDEX($V$2:$V$1001,MATCH(ROWS($U$2:U563),$U$2:$U$1001,0),1)&gt;=100000,INDEX($AB$1005:$AQ$1005,1,MATCH(COLUMNS($AB$1006:AC1006),$AB$1006:$AQ$1006,0))&gt;=100000), " ",IF(INDEX($AB$2:$AQ$1001,MATCH(ROWS($U$2:U563),$U$2:$U$1001,0),MATCH(COLUMNS($AB$1006:AC1006),$AB$1006:$AQ$1006,0)), HYPERLINK("#",""), HYPERLINK(CONCATENATE("#metadata!", ADDRESS(INDEX($W$2:$W$1001,MATCH(ROWS($U$2:U563),$U$2:$U$1001,0),0), INDEX($AB$1004:$AQ$1004,1,MATCH(COLUMNS($AB$1006:AC1006),$AB$1006:$AQ$1006,0)))),"Fix")))</f>
        <v>0</v>
      </c>
      <c r="D563" s="4">
        <f>IF(OR(INDEX($V$2:$V$1001,MATCH(ROWS($U$2:U563),$U$2:$U$1001,0),1)&gt;=100000,INDEX($AB$1005:$AQ$1005,1,MATCH(COLUMNS($AB$1006:AD1006),$AB$1006:$AQ$1006,0))&gt;=100000), " ",IF(INDEX($AB$2:$AQ$1001,MATCH(ROWS($U$2:U563),$U$2:$U$1001,0),MATCH(COLUMNS($AB$1006:AD1006),$AB$1006:$AQ$1006,0)), HYPERLINK("#",""), HYPERLINK(CONCATENATE("#metadata!", ADDRESS(INDEX($W$2:$W$1001,MATCH(ROWS($U$2:U563),$U$2:$U$1001,0),0), INDEX($AB$1004:$AQ$1004,1,MATCH(COLUMNS($AB$1006:AD1006),$AB$1006:$AQ$1006,0)))),"Fix")))</f>
        <v>0</v>
      </c>
      <c r="E563" s="4">
        <f>IF(OR(INDEX($V$2:$V$1001,MATCH(ROWS($U$2:U563),$U$2:$U$1001,0),1)&gt;=100000,INDEX($AB$1005:$AQ$1005,1,MATCH(COLUMNS($AB$1006:AE1006),$AB$1006:$AQ$1006,0))&gt;=100000), " ",IF(INDEX($AB$2:$AQ$1001,MATCH(ROWS($U$2:U563),$U$2:$U$1001,0),MATCH(COLUMNS($AB$1006:AE1006),$AB$1006:$AQ$1006,0)), HYPERLINK("#",""), HYPERLINK(CONCATENATE("#metadata!", ADDRESS(INDEX($W$2:$W$1001,MATCH(ROWS($U$2:U563),$U$2:$U$1001,0),0), INDEX($AB$1004:$AQ$1004,1,MATCH(COLUMNS($AB$1006:AE1006),$AB$1006:$AQ$1006,0)))),"Fix")))</f>
        <v>0</v>
      </c>
      <c r="F563" s="4">
        <f>IF(OR(INDEX($V$2:$V$1001,MATCH(ROWS($U$2:U563),$U$2:$U$1001,0),1)&gt;=100000,INDEX($AB$1005:$AQ$1005,1,MATCH(COLUMNS($AB$1006:AF1006),$AB$1006:$AQ$1006,0))&gt;=100000), " ",IF(INDEX($AB$2:$AQ$1001,MATCH(ROWS($U$2:U563),$U$2:$U$1001,0),MATCH(COLUMNS($AB$1006:AF1006),$AB$1006:$AQ$1006,0)), HYPERLINK("#",""), HYPERLINK(CONCATENATE("#metadata!", ADDRESS(INDEX($W$2:$W$1001,MATCH(ROWS($U$2:U563),$U$2:$U$1001,0),0), INDEX($AB$1004:$AQ$1004,1,MATCH(COLUMNS($AB$1006:AF1006),$AB$1006:$AQ$1006,0)))),"Fix")))</f>
        <v>0</v>
      </c>
      <c r="G563" s="4">
        <f>IF(OR(INDEX($V$2:$V$1001,MATCH(ROWS($U$2:U563),$U$2:$U$1001,0),1)&gt;=100000,INDEX($AB$1005:$AQ$1005,1,MATCH(COLUMNS($AB$1006:AG1006),$AB$1006:$AQ$1006,0))&gt;=100000), " ",IF(INDEX($AB$2:$AQ$1001,MATCH(ROWS($U$2:U563),$U$2:$U$1001,0),MATCH(COLUMNS($AB$1006:AG1006),$AB$1006:$AQ$1006,0)), HYPERLINK("#",""), HYPERLINK(CONCATENATE("#metadata!", ADDRESS(INDEX($W$2:$W$1001,MATCH(ROWS($U$2:U563),$U$2:$U$1001,0),0), INDEX($AB$1004:$AQ$1004,1,MATCH(COLUMNS($AB$1006:AG1006),$AB$1006:$AQ$1006,0)))),"Fix")))</f>
        <v>0</v>
      </c>
      <c r="H563" s="4">
        <f>IF(OR(INDEX($V$2:$V$1001,MATCH(ROWS($U$2:U563),$U$2:$U$1001,0),1)&gt;=100000,INDEX($AB$1005:$AQ$1005,1,MATCH(COLUMNS($AB$1006:AH1006),$AB$1006:$AQ$1006,0))&gt;=100000), " ",IF(INDEX($AB$2:$AQ$1001,MATCH(ROWS($U$2:U563),$U$2:$U$1001,0),MATCH(COLUMNS($AB$1006:AH1006),$AB$1006:$AQ$1006,0)), HYPERLINK("#",""), HYPERLINK(CONCATENATE("#metadata!", ADDRESS(INDEX($W$2:$W$1001,MATCH(ROWS($U$2:U563),$U$2:$U$1001,0),0), INDEX($AB$1004:$AQ$1004,1,MATCH(COLUMNS($AB$1006:AH1006),$AB$1006:$AQ$1006,0)))),"Fix")))</f>
        <v>0</v>
      </c>
      <c r="I563" s="4">
        <f>IF(OR(INDEX($V$2:$V$1001,MATCH(ROWS($U$2:U563),$U$2:$U$1001,0),1)&gt;=100000,INDEX($AB$1005:$AQ$1005,1,MATCH(COLUMNS($AB$1006:AI1006),$AB$1006:$AQ$1006,0))&gt;=100000), " ",IF(INDEX($AB$2:$AQ$1001,MATCH(ROWS($U$2:U563),$U$2:$U$1001,0),MATCH(COLUMNS($AB$1006:AI1006),$AB$1006:$AQ$1006,0)), HYPERLINK("#",""), HYPERLINK(CONCATENATE("#metadata!", ADDRESS(INDEX($W$2:$W$1001,MATCH(ROWS($U$2:U563),$U$2:$U$1001,0),0), INDEX($AB$1004:$AQ$1004,1,MATCH(COLUMNS($AB$1006:AI1006),$AB$1006:$AQ$1006,0)))),"Fix")))</f>
        <v>0</v>
      </c>
      <c r="J563" s="4">
        <f>IF(OR(INDEX($V$2:$V$1001,MATCH(ROWS($U$2:U563),$U$2:$U$1001,0),1)&gt;=100000,INDEX($AB$1005:$AQ$1005,1,MATCH(COLUMNS($AB$1006:AJ1006),$AB$1006:$AQ$1006,0))&gt;=100000), " ",IF(INDEX($AB$2:$AQ$1001,MATCH(ROWS($U$2:U563),$U$2:$U$1001,0),MATCH(COLUMNS($AB$1006:AJ1006),$AB$1006:$AQ$1006,0)), HYPERLINK("#",""), HYPERLINK(CONCATENATE("#metadata!", ADDRESS(INDEX($W$2:$W$1001,MATCH(ROWS($U$2:U563),$U$2:$U$1001,0),0), INDEX($AB$1004:$AQ$1004,1,MATCH(COLUMNS($AB$1006:AJ1006),$AB$1006:$AQ$1006,0)))),"Fix")))</f>
        <v>0</v>
      </c>
      <c r="K563" s="4">
        <f>IF(OR(INDEX($V$2:$V$1001,MATCH(ROWS($U$2:U563),$U$2:$U$1001,0),1)&gt;=100000,INDEX($AB$1005:$AQ$1005,1,MATCH(COLUMNS($AB$1006:AK1006),$AB$1006:$AQ$1006,0))&gt;=100000), " ",IF(INDEX($AB$2:$AQ$1001,MATCH(ROWS($U$2:U563),$U$2:$U$1001,0),MATCH(COLUMNS($AB$1006:AK1006),$AB$1006:$AQ$1006,0)), HYPERLINK("#",""), HYPERLINK(CONCATENATE("#metadata!", ADDRESS(INDEX($W$2:$W$1001,MATCH(ROWS($U$2:U563),$U$2:$U$1001,0),0), INDEX($AB$1004:$AQ$1004,1,MATCH(COLUMNS($AB$1006:AK1006),$AB$1006:$AQ$1006,0)))),"Fix")))</f>
        <v>0</v>
      </c>
      <c r="L563" s="4">
        <f>IF(OR(INDEX($V$2:$V$1001,MATCH(ROWS($U$2:U563),$U$2:$U$1001,0),1)&gt;=100000,INDEX($AB$1005:$AQ$1005,1,MATCH(COLUMNS($AB$1006:AL1006),$AB$1006:$AQ$1006,0))&gt;=100000), " ",IF(INDEX($AB$2:$AQ$1001,MATCH(ROWS($U$2:U563),$U$2:$U$1001,0),MATCH(COLUMNS($AB$1006:AL1006),$AB$1006:$AQ$1006,0)), HYPERLINK("#",""), HYPERLINK(CONCATENATE("#metadata!", ADDRESS(INDEX($W$2:$W$1001,MATCH(ROWS($U$2:U563),$U$2:$U$1001,0),0), INDEX($AB$1004:$AQ$1004,1,MATCH(COLUMNS($AB$1006:AL1006),$AB$1006:$AQ$1006,0)))),"Fix")))</f>
        <v>0</v>
      </c>
      <c r="M563" s="4">
        <f>IF(OR(INDEX($V$2:$V$1001,MATCH(ROWS($U$2:U563),$U$2:$U$1001,0),1)&gt;=100000,INDEX($AB$1005:$AQ$1005,1,MATCH(COLUMNS($AB$1006:AM1006),$AB$1006:$AQ$1006,0))&gt;=100000), " ",IF(INDEX($AB$2:$AQ$1001,MATCH(ROWS($U$2:U563),$U$2:$U$1001,0),MATCH(COLUMNS($AB$1006:AM1006),$AB$1006:$AQ$1006,0)), HYPERLINK("#",""), HYPERLINK(CONCATENATE("#metadata!", ADDRESS(INDEX($W$2:$W$1001,MATCH(ROWS($U$2:U563),$U$2:$U$1001,0),0), INDEX($AB$1004:$AQ$1004,1,MATCH(COLUMNS($AB$1006:AM1006),$AB$1006:$AQ$1006,0)))),"Fix")))</f>
        <v>0</v>
      </c>
      <c r="N563" s="4">
        <f>IF(OR(INDEX($V$2:$V$1001,MATCH(ROWS($U$2:U563),$U$2:$U$1001,0),1)&gt;=100000,INDEX($AB$1005:$AQ$1005,1,MATCH(COLUMNS($AB$1006:AN1006),$AB$1006:$AQ$1006,0))&gt;=100000), " ",IF(INDEX($AB$2:$AQ$1001,MATCH(ROWS($U$2:U563),$U$2:$U$1001,0),MATCH(COLUMNS($AB$1006:AN1006),$AB$1006:$AQ$1006,0)), HYPERLINK("#",""), HYPERLINK(CONCATENATE("#metadata!", ADDRESS(INDEX($W$2:$W$1001,MATCH(ROWS($U$2:U563),$U$2:$U$1001,0),0), INDEX($AB$1004:$AQ$1004,1,MATCH(COLUMNS($AB$1006:AN1006),$AB$1006:$AQ$1006,0)))),"Fix")))</f>
        <v>0</v>
      </c>
      <c r="O563" s="4">
        <f>IF(OR(INDEX($V$2:$V$1001,MATCH(ROWS($U$2:U563),$U$2:$U$1001,0),1)&gt;=100000,INDEX($AB$1005:$AQ$1005,1,MATCH(COLUMNS($AB$1006:AO1006),$AB$1006:$AQ$1006,0))&gt;=100000), " ",IF(INDEX($AB$2:$AQ$1001,MATCH(ROWS($U$2:U563),$U$2:$U$1001,0),MATCH(COLUMNS($AB$1006:AO1006),$AB$1006:$AQ$1006,0)), HYPERLINK("#",""), HYPERLINK(CONCATENATE("#metadata!", ADDRESS(INDEX($W$2:$W$1001,MATCH(ROWS($U$2:U563),$U$2:$U$1001,0),0), INDEX($AB$1004:$AQ$1004,1,MATCH(COLUMNS($AB$1006:AO1006),$AB$1006:$AQ$1006,0)))),"Fix")))</f>
        <v>0</v>
      </c>
      <c r="P563" s="4">
        <f>IF(OR(INDEX($V$2:$V$1001,MATCH(ROWS($U$2:U563),$U$2:$U$1001,0),1)&gt;=100000,INDEX($AB$1005:$AQ$1005,1,MATCH(COLUMNS($AB$1006:AP1006),$AB$1006:$AQ$1006,0))&gt;=100000), " ",IF(INDEX($AB$2:$AQ$1001,MATCH(ROWS($U$2:U563),$U$2:$U$1001,0),MATCH(COLUMNS($AB$1006:AP1006),$AB$1006:$AQ$1006,0)), HYPERLINK("#",""), HYPERLINK(CONCATENATE("#metadata!", ADDRESS(INDEX($W$2:$W$1001,MATCH(ROWS($U$2:U563),$U$2:$U$1001,0),0), INDEX($AB$1004:$AQ$1004,1,MATCH(COLUMNS($AB$1006:AP1006),$AB$1006:$AQ$1006,0)))),"Fix")))</f>
        <v>0</v>
      </c>
      <c r="Q563" s="4">
        <f>IF(OR(INDEX($V$2:$V$1001,MATCH(ROWS($U$2:U563),$U$2:$U$1001,0),1)&gt;=100000,INDEX($AB$1005:$AQ$1005,1,MATCH(COLUMNS($AB$1006:AQ1006),$AB$1006:$AQ$1006,0))&gt;=100000), " ",IF(INDEX($AB$2:$AQ$1001,MATCH(ROWS($U$2:U563),$U$2:$U$1001,0),MATCH(COLUMNS($AB$1006:AQ1006),$AB$1006:$AQ$1006,0)), HYPERLINK("#",""), HYPERLINK(CONCATENATE("#metadata!", ADDRESS(INDEX($W$2:$W$1001,MATCH(ROWS($U$2:U563),$U$2:$U$1001,0),0), INDEX($AB$1004:$AQ$1004,1,MATCH(COLUMNS($AB$1006:AQ1006),$AB$1006:$AQ$1006,0)))),"Fix")))</f>
        <v>0</v>
      </c>
      <c r="U563">
        <v>0</v>
      </c>
      <c r="V563">
        <v>0</v>
      </c>
      <c r="W563">
        <v>0</v>
      </c>
      <c r="X563">
        <f>IF(Y563,TRUE,AND(AB563:AQ563))</f>
        <v>0</v>
      </c>
      <c r="Y563">
        <f>COUNTBLANK(metadata!B563:Q563)=COLUMNS(metadata!B563:Q563)</f>
        <v>0</v>
      </c>
      <c r="Z563">
        <v>0</v>
      </c>
      <c r="AB563">
        <f>AND(IF(metadata!B563="",FALSE,TRUE),COUNTIF(metadata!B:B, metadata!B563) = 1,NOT(ISERROR(SUMPRODUCT(SEARCH(MID(metadata!B563,ROW(INDIRECT("1:"&amp;LEN(metadata!B563))), 1),"0123456789abcdefghijklmnopqrstuvwxyzABCDEFGHIJKLMNOPQRSTUVWXYZ.")))))</f>
        <v>0</v>
      </c>
      <c r="AC563">
        <f>OR(AND(IF(metadata!C563="",FALSE,TRUE),OR(exact(metadata!C563,"missing: not collected"),exact(metadata!C563,"missing: not provided"),exact(metadata!C563,"missing: restricted access"))),AND(IF(metadata!C563="",FALSE,TRUE),AND(AND(IFERROR(INT(LEFT(metadata!C563,4))&gt;1900,FALSE),IFERROR(INT(LEFT(metadata!C563,4))&lt;=YEAR(NOW()),FALSE)), OR(MID(metadata!C563,5,1)="", AND(AND(MID(metadata!C563,5,1)="-",IFERROR(INT(MID(metadata!C563,6,1))&gt;=0,FALSE),IFERROR(INT(MID(metadata!C563,6,1))&lt;=1,FALSE),NOT(MID(metadata!C563,7,1)=""),IFERROR(INT(MID(metadata!C563,6,2))&gt;=1,FALSE),IFERROR(INT(MID(metadata!C563,6,2))&lt;=12,FALSE)), OR(MID(metadata!C563,8,1)="", AND(AND(MID(metadata!C563,8,1)="-",IFERROR(INT(MID(metadata!C563,9,1))&gt;=0,FALSE),IFERROR(INT(MID(metadata!C563,9,1))&lt;=3,FALSE),NOT(MID(metadata!C563,10,1)=""),IFERROR(INT(MID(metadata!C563,9,2))&gt;=1,FALSE),IFERROR(INT(MID(metadata!C563,9,2))&lt;=31,FALSE)), OR(MID(metadata!C563,11,1)="", AND(AND(MID(metadata!C563,11,1)=" ",IFERROR(INT(MID(metadata!C563,12,1))&gt;=0,FALSE),IFERROR(INT(MID(metadata!C563,12,1))&lt;=2,FALSE),NOT(MID(metadata!C563,13,1)=""),IFERROR(INT(MID(metadata!C563,12,2))&gt;=0,FALSE),IFERROR(INT(MID(metadata!C563,12,2))&lt;=23,FALSE)), OR(MID(metadata!C563,14,1)="", AND(AND(MID(metadata!C563,14,1)=":",IFERROR(INT(MID(metadata!C563,15,1))&gt;=0,FALSE),IFERROR(INT(MID(metadata!C563,15,1))&lt;=5,FALSE),NOT(MID(metadata!C563,16,1)=""),IFERROR(INT(MID(metadata!C563,15,2))&gt;=0,FALSE),IFERROR(INT(MID(metadata!C563,15,2))&lt;=59,FALSE)), OR(MID(metadata!C563,17,1)="", AND(AND(MID(metadata!C563,17,1)=":",IFERROR(INT(MID(metadata!C563,18,1))&gt;=0,FALSE),IFERROR(INT(MID(metadata!C563,18,1))&lt;=5,FALSE),NOT(MID(metadata!C563,19,1)=""),IFERROR(INT(MID(metadata!C563,18,2))&gt;=0,FALSE),IFERROR(INT(MID(metadata!C563,18,2))&lt;=59,FALSE)), LEN(metadata!C563)&lt;=19)))))))))))))</f>
        <v>0</v>
      </c>
      <c r="AD563">
        <f>IF(metadata!D563="",FALSE,TRUE)</f>
        <v>0</v>
      </c>
      <c r="AE563">
        <f>OR(AND(IF(metadata!E563="",FALSE,TRUE),OR(exact(metadata!E563,"missing: not collected"),exact(metadata!E563,"missing: not provided"))),AND(IF(metadata!E563="",FALSE,TRUE),OR(exact(metadata!E563,"TRUE"),exact(metadata!E563,"FALSE"))))</f>
        <v>0</v>
      </c>
      <c r="AF563">
        <f>IF(metadata!F563="",FALSE,TRUE)</f>
        <v>0</v>
      </c>
      <c r="AG563">
        <f>IF(metadata!G563="",FALSE,TRUE)</f>
        <v>0</v>
      </c>
      <c r="AH563">
        <f>IF(metadata!H563="",FALSE,TRUE)</f>
        <v>0</v>
      </c>
      <c r="AI563">
        <f>OR(AND(IF(metadata!I563="",FALSE,TRUE),OR(exact(metadata!I563,"missing: not collected"),exact(metadata!I563,"missing: not provided"),exact(metadata!I563,"missing: restricted access"))),AND(IF(metadata!I563="",FALSE,TRUE),OR(exact(metadata!I563,"air"),exact(metadata!I563,"built environment"),exact(metadata!I563,"host-associated"),exact(metadata!I563,"human-associated"),exact(metadata!I563,"human-skin"),exact(metadata!I563,"human-oral"),exact(metadata!I563,"human-gut"),exact(metadata!I563,"human-vaginal"),exact(metadata!I563,"microbial mat/biofilm"),exact(metadata!I563,"misc environment"),exact(metadata!I563,"plant-associated"),exact(metadata!I563,"sediment"),exact(metadata!I563,"soil"),exact(metadata!I563,"wastewater/sludge"),exact(metadata!I563,"water"))))</f>
        <v>0</v>
      </c>
      <c r="AJ563">
        <f>IF(metadata!J563="",FALSE,TRUE)</f>
        <v>0</v>
      </c>
      <c r="AK563">
        <f>OR(AND(IF(metadata!K563="",FALSE,TRUE),OR(exact(metadata!K563,"missing: not collected"),exact(metadata!K563,"missing: not provided"),exact(metadata!K563,"missing: restricted access"))),AND(IF(metadata!K563="",FALSE,ISNUMBER(VALUE(metadata!K563))),metadata!K563&gt;=-90.00,metadata!K563&lt;=90.00))</f>
        <v>0</v>
      </c>
      <c r="AL563">
        <f>OR(AND(IF(metadata!L563="",FALSE,TRUE),OR(exact(metadata!L563,"missing: not collected"),exact(metadata!L563,"missing: not provided"),exact(metadata!L563,"missing: restricted access"))),AND(IF(metadata!L563="",FALSE,ISNUMBER(VALUE(metadata!L563))),metadata!L563&gt;=-180.00,metadata!L563&lt;=180.00))</f>
        <v>0</v>
      </c>
      <c r="AM563">
        <f>IF(metadata!M563="",FALSE,TRUE)</f>
        <v>0</v>
      </c>
      <c r="AN563">
        <f>OR(AND(IF(metadata!N563="",FALSE,TRUE),OR(exact(metadata!N563,"missing: not collected"),exact(metadata!N563,"missing: not provided"),exact(metadata!N563,"missing: restricted access"))),AND(IF(metadata!N563="",FALSE,TRUE),OR(exact(metadata!N563,"TRUE"),exact(metadata!N563,"FALSE"))))</f>
        <v>0</v>
      </c>
      <c r="AO563">
        <f>IF(metadata!O563="",FALSE,TRUE)</f>
        <v>0</v>
      </c>
      <c r="AP563">
        <f>OR(AND(IF(metadata!P563="",FALSE,TRUE),OR(exact(metadata!P563,"missing: not collected"),exact(metadata!P563,"missing: not provided"))),AND(IF(metadata!P563="",FALSE,IF(ISERROR(INT(metadata!P563)),FALSE,INT(metadata!P563)=metadata!P563)),metadata!P563&gt;0))</f>
        <v>0</v>
      </c>
      <c r="AQ563">
        <f>IF(metadata!Q563="",FALSE,TRUE)</f>
        <v>0</v>
      </c>
    </row>
    <row r="564" spans="1:43">
      <c r="A564" s="5">
        <f>IF(B564=" "," ",HYPERLINK(CONCATENATE("#metadata!",ADDRESS(INDEX($W$2:$W$1001,MATCH(ROWS($U$2:U564),$U$2:$U$1001,0),0),1)),INDEX($Z$2:$Z$1001,MATCH(ROWS($U$2:U564),$U$2:$U$1001,0),0)))</f>
        <v>0</v>
      </c>
      <c r="B564" s="4">
        <f>IF(OR(INDEX($V$2:$V$1001,MATCH(ROWS($U$2:U564),$U$2:$U$1001,0),1)&gt;=100000,INDEX($AB$1005:$AQ$1005,1,MATCH(COLUMNS($AB$1006:AB1006),$AB$1006:$AQ$1006,0))&gt;=100000), " ",IF(INDEX($AB$2:$AQ$1001,MATCH(ROWS($U$2:U564),$U$2:$U$1001,0),MATCH(COLUMNS($AB$1006:AB1006),$AB$1006:$AQ$1006,0)), HYPERLINK("#",""), HYPERLINK(CONCATENATE("#metadata!", ADDRESS(INDEX($W$2:$W$1001,MATCH(ROWS($U$2:U564),$U$2:$U$1001,0),0), INDEX($AB$1004:$AQ$1004,1,MATCH(COLUMNS($AB$1006:AB1006),$AB$1006:$AQ$1006,0)))),"Fix")))</f>
        <v>0</v>
      </c>
      <c r="C564" s="4">
        <f>IF(OR(INDEX($V$2:$V$1001,MATCH(ROWS($U$2:U564),$U$2:$U$1001,0),1)&gt;=100000,INDEX($AB$1005:$AQ$1005,1,MATCH(COLUMNS($AB$1006:AC1006),$AB$1006:$AQ$1006,0))&gt;=100000), " ",IF(INDEX($AB$2:$AQ$1001,MATCH(ROWS($U$2:U564),$U$2:$U$1001,0),MATCH(COLUMNS($AB$1006:AC1006),$AB$1006:$AQ$1006,0)), HYPERLINK("#",""), HYPERLINK(CONCATENATE("#metadata!", ADDRESS(INDEX($W$2:$W$1001,MATCH(ROWS($U$2:U564),$U$2:$U$1001,0),0), INDEX($AB$1004:$AQ$1004,1,MATCH(COLUMNS($AB$1006:AC1006),$AB$1006:$AQ$1006,0)))),"Fix")))</f>
        <v>0</v>
      </c>
      <c r="D564" s="4">
        <f>IF(OR(INDEX($V$2:$V$1001,MATCH(ROWS($U$2:U564),$U$2:$U$1001,0),1)&gt;=100000,INDEX($AB$1005:$AQ$1005,1,MATCH(COLUMNS($AB$1006:AD1006),$AB$1006:$AQ$1006,0))&gt;=100000), " ",IF(INDEX($AB$2:$AQ$1001,MATCH(ROWS($U$2:U564),$U$2:$U$1001,0),MATCH(COLUMNS($AB$1006:AD1006),$AB$1006:$AQ$1006,0)), HYPERLINK("#",""), HYPERLINK(CONCATENATE("#metadata!", ADDRESS(INDEX($W$2:$W$1001,MATCH(ROWS($U$2:U564),$U$2:$U$1001,0),0), INDEX($AB$1004:$AQ$1004,1,MATCH(COLUMNS($AB$1006:AD1006),$AB$1006:$AQ$1006,0)))),"Fix")))</f>
        <v>0</v>
      </c>
      <c r="E564" s="4">
        <f>IF(OR(INDEX($V$2:$V$1001,MATCH(ROWS($U$2:U564),$U$2:$U$1001,0),1)&gt;=100000,INDEX($AB$1005:$AQ$1005,1,MATCH(COLUMNS($AB$1006:AE1006),$AB$1006:$AQ$1006,0))&gt;=100000), " ",IF(INDEX($AB$2:$AQ$1001,MATCH(ROWS($U$2:U564),$U$2:$U$1001,0),MATCH(COLUMNS($AB$1006:AE1006),$AB$1006:$AQ$1006,0)), HYPERLINK("#",""), HYPERLINK(CONCATENATE("#metadata!", ADDRESS(INDEX($W$2:$W$1001,MATCH(ROWS($U$2:U564),$U$2:$U$1001,0),0), INDEX($AB$1004:$AQ$1004,1,MATCH(COLUMNS($AB$1006:AE1006),$AB$1006:$AQ$1006,0)))),"Fix")))</f>
        <v>0</v>
      </c>
      <c r="F564" s="4">
        <f>IF(OR(INDEX($V$2:$V$1001,MATCH(ROWS($U$2:U564),$U$2:$U$1001,0),1)&gt;=100000,INDEX($AB$1005:$AQ$1005,1,MATCH(COLUMNS($AB$1006:AF1006),$AB$1006:$AQ$1006,0))&gt;=100000), " ",IF(INDEX($AB$2:$AQ$1001,MATCH(ROWS($U$2:U564),$U$2:$U$1001,0),MATCH(COLUMNS($AB$1006:AF1006),$AB$1006:$AQ$1006,0)), HYPERLINK("#",""), HYPERLINK(CONCATENATE("#metadata!", ADDRESS(INDEX($W$2:$W$1001,MATCH(ROWS($U$2:U564),$U$2:$U$1001,0),0), INDEX($AB$1004:$AQ$1004,1,MATCH(COLUMNS($AB$1006:AF1006),$AB$1006:$AQ$1006,0)))),"Fix")))</f>
        <v>0</v>
      </c>
      <c r="G564" s="4">
        <f>IF(OR(INDEX($V$2:$V$1001,MATCH(ROWS($U$2:U564),$U$2:$U$1001,0),1)&gt;=100000,INDEX($AB$1005:$AQ$1005,1,MATCH(COLUMNS($AB$1006:AG1006),$AB$1006:$AQ$1006,0))&gt;=100000), " ",IF(INDEX($AB$2:$AQ$1001,MATCH(ROWS($U$2:U564),$U$2:$U$1001,0),MATCH(COLUMNS($AB$1006:AG1006),$AB$1006:$AQ$1006,0)), HYPERLINK("#",""), HYPERLINK(CONCATENATE("#metadata!", ADDRESS(INDEX($W$2:$W$1001,MATCH(ROWS($U$2:U564),$U$2:$U$1001,0),0), INDEX($AB$1004:$AQ$1004,1,MATCH(COLUMNS($AB$1006:AG1006),$AB$1006:$AQ$1006,0)))),"Fix")))</f>
        <v>0</v>
      </c>
      <c r="H564" s="4">
        <f>IF(OR(INDEX($V$2:$V$1001,MATCH(ROWS($U$2:U564),$U$2:$U$1001,0),1)&gt;=100000,INDEX($AB$1005:$AQ$1005,1,MATCH(COLUMNS($AB$1006:AH1006),$AB$1006:$AQ$1006,0))&gt;=100000), " ",IF(INDEX($AB$2:$AQ$1001,MATCH(ROWS($U$2:U564),$U$2:$U$1001,0),MATCH(COLUMNS($AB$1006:AH1006),$AB$1006:$AQ$1006,0)), HYPERLINK("#",""), HYPERLINK(CONCATENATE("#metadata!", ADDRESS(INDEX($W$2:$W$1001,MATCH(ROWS($U$2:U564),$U$2:$U$1001,0),0), INDEX($AB$1004:$AQ$1004,1,MATCH(COLUMNS($AB$1006:AH1006),$AB$1006:$AQ$1006,0)))),"Fix")))</f>
        <v>0</v>
      </c>
      <c r="I564" s="4">
        <f>IF(OR(INDEX($V$2:$V$1001,MATCH(ROWS($U$2:U564),$U$2:$U$1001,0),1)&gt;=100000,INDEX($AB$1005:$AQ$1005,1,MATCH(COLUMNS($AB$1006:AI1006),$AB$1006:$AQ$1006,0))&gt;=100000), " ",IF(INDEX($AB$2:$AQ$1001,MATCH(ROWS($U$2:U564),$U$2:$U$1001,0),MATCH(COLUMNS($AB$1006:AI1006),$AB$1006:$AQ$1006,0)), HYPERLINK("#",""), HYPERLINK(CONCATENATE("#metadata!", ADDRESS(INDEX($W$2:$W$1001,MATCH(ROWS($U$2:U564),$U$2:$U$1001,0),0), INDEX($AB$1004:$AQ$1004,1,MATCH(COLUMNS($AB$1006:AI1006),$AB$1006:$AQ$1006,0)))),"Fix")))</f>
        <v>0</v>
      </c>
      <c r="J564" s="4">
        <f>IF(OR(INDEX($V$2:$V$1001,MATCH(ROWS($U$2:U564),$U$2:$U$1001,0),1)&gt;=100000,INDEX($AB$1005:$AQ$1005,1,MATCH(COLUMNS($AB$1006:AJ1006),$AB$1006:$AQ$1006,0))&gt;=100000), " ",IF(INDEX($AB$2:$AQ$1001,MATCH(ROWS($U$2:U564),$U$2:$U$1001,0),MATCH(COLUMNS($AB$1006:AJ1006),$AB$1006:$AQ$1006,0)), HYPERLINK("#",""), HYPERLINK(CONCATENATE("#metadata!", ADDRESS(INDEX($W$2:$W$1001,MATCH(ROWS($U$2:U564),$U$2:$U$1001,0),0), INDEX($AB$1004:$AQ$1004,1,MATCH(COLUMNS($AB$1006:AJ1006),$AB$1006:$AQ$1006,0)))),"Fix")))</f>
        <v>0</v>
      </c>
      <c r="K564" s="4">
        <f>IF(OR(INDEX($V$2:$V$1001,MATCH(ROWS($U$2:U564),$U$2:$U$1001,0),1)&gt;=100000,INDEX($AB$1005:$AQ$1005,1,MATCH(COLUMNS($AB$1006:AK1006),$AB$1006:$AQ$1006,0))&gt;=100000), " ",IF(INDEX($AB$2:$AQ$1001,MATCH(ROWS($U$2:U564),$U$2:$U$1001,0),MATCH(COLUMNS($AB$1006:AK1006),$AB$1006:$AQ$1006,0)), HYPERLINK("#",""), HYPERLINK(CONCATENATE("#metadata!", ADDRESS(INDEX($W$2:$W$1001,MATCH(ROWS($U$2:U564),$U$2:$U$1001,0),0), INDEX($AB$1004:$AQ$1004,1,MATCH(COLUMNS($AB$1006:AK1006),$AB$1006:$AQ$1006,0)))),"Fix")))</f>
        <v>0</v>
      </c>
      <c r="L564" s="4">
        <f>IF(OR(INDEX($V$2:$V$1001,MATCH(ROWS($U$2:U564),$U$2:$U$1001,0),1)&gt;=100000,INDEX($AB$1005:$AQ$1005,1,MATCH(COLUMNS($AB$1006:AL1006),$AB$1006:$AQ$1006,0))&gt;=100000), " ",IF(INDEX($AB$2:$AQ$1001,MATCH(ROWS($U$2:U564),$U$2:$U$1001,0),MATCH(COLUMNS($AB$1006:AL1006),$AB$1006:$AQ$1006,0)), HYPERLINK("#",""), HYPERLINK(CONCATENATE("#metadata!", ADDRESS(INDEX($W$2:$W$1001,MATCH(ROWS($U$2:U564),$U$2:$U$1001,0),0), INDEX($AB$1004:$AQ$1004,1,MATCH(COLUMNS($AB$1006:AL1006),$AB$1006:$AQ$1006,0)))),"Fix")))</f>
        <v>0</v>
      </c>
      <c r="M564" s="4">
        <f>IF(OR(INDEX($V$2:$V$1001,MATCH(ROWS($U$2:U564),$U$2:$U$1001,0),1)&gt;=100000,INDEX($AB$1005:$AQ$1005,1,MATCH(COLUMNS($AB$1006:AM1006),$AB$1006:$AQ$1006,0))&gt;=100000), " ",IF(INDEX($AB$2:$AQ$1001,MATCH(ROWS($U$2:U564),$U$2:$U$1001,0),MATCH(COLUMNS($AB$1006:AM1006),$AB$1006:$AQ$1006,0)), HYPERLINK("#",""), HYPERLINK(CONCATENATE("#metadata!", ADDRESS(INDEX($W$2:$W$1001,MATCH(ROWS($U$2:U564),$U$2:$U$1001,0),0), INDEX($AB$1004:$AQ$1004,1,MATCH(COLUMNS($AB$1006:AM1006),$AB$1006:$AQ$1006,0)))),"Fix")))</f>
        <v>0</v>
      </c>
      <c r="N564" s="4">
        <f>IF(OR(INDEX($V$2:$V$1001,MATCH(ROWS($U$2:U564),$U$2:$U$1001,0),1)&gt;=100000,INDEX($AB$1005:$AQ$1005,1,MATCH(COLUMNS($AB$1006:AN1006),$AB$1006:$AQ$1006,0))&gt;=100000), " ",IF(INDEX($AB$2:$AQ$1001,MATCH(ROWS($U$2:U564),$U$2:$U$1001,0),MATCH(COLUMNS($AB$1006:AN1006),$AB$1006:$AQ$1006,0)), HYPERLINK("#",""), HYPERLINK(CONCATENATE("#metadata!", ADDRESS(INDEX($W$2:$W$1001,MATCH(ROWS($U$2:U564),$U$2:$U$1001,0),0), INDEX($AB$1004:$AQ$1004,1,MATCH(COLUMNS($AB$1006:AN1006),$AB$1006:$AQ$1006,0)))),"Fix")))</f>
        <v>0</v>
      </c>
      <c r="O564" s="4">
        <f>IF(OR(INDEX($V$2:$V$1001,MATCH(ROWS($U$2:U564),$U$2:$U$1001,0),1)&gt;=100000,INDEX($AB$1005:$AQ$1005,1,MATCH(COLUMNS($AB$1006:AO1006),$AB$1006:$AQ$1006,0))&gt;=100000), " ",IF(INDEX($AB$2:$AQ$1001,MATCH(ROWS($U$2:U564),$U$2:$U$1001,0),MATCH(COLUMNS($AB$1006:AO1006),$AB$1006:$AQ$1006,0)), HYPERLINK("#",""), HYPERLINK(CONCATENATE("#metadata!", ADDRESS(INDEX($W$2:$W$1001,MATCH(ROWS($U$2:U564),$U$2:$U$1001,0),0), INDEX($AB$1004:$AQ$1004,1,MATCH(COLUMNS($AB$1006:AO1006),$AB$1006:$AQ$1006,0)))),"Fix")))</f>
        <v>0</v>
      </c>
      <c r="P564" s="4">
        <f>IF(OR(INDEX($V$2:$V$1001,MATCH(ROWS($U$2:U564),$U$2:$U$1001,0),1)&gt;=100000,INDEX($AB$1005:$AQ$1005,1,MATCH(COLUMNS($AB$1006:AP1006),$AB$1006:$AQ$1006,0))&gt;=100000), " ",IF(INDEX($AB$2:$AQ$1001,MATCH(ROWS($U$2:U564),$U$2:$U$1001,0),MATCH(COLUMNS($AB$1006:AP1006),$AB$1006:$AQ$1006,0)), HYPERLINK("#",""), HYPERLINK(CONCATENATE("#metadata!", ADDRESS(INDEX($W$2:$W$1001,MATCH(ROWS($U$2:U564),$U$2:$U$1001,0),0), INDEX($AB$1004:$AQ$1004,1,MATCH(COLUMNS($AB$1006:AP1006),$AB$1006:$AQ$1006,0)))),"Fix")))</f>
        <v>0</v>
      </c>
      <c r="Q564" s="4">
        <f>IF(OR(INDEX($V$2:$V$1001,MATCH(ROWS($U$2:U564),$U$2:$U$1001,0),1)&gt;=100000,INDEX($AB$1005:$AQ$1005,1,MATCH(COLUMNS($AB$1006:AQ1006),$AB$1006:$AQ$1006,0))&gt;=100000), " ",IF(INDEX($AB$2:$AQ$1001,MATCH(ROWS($U$2:U564),$U$2:$U$1001,0),MATCH(COLUMNS($AB$1006:AQ1006),$AB$1006:$AQ$1006,0)), HYPERLINK("#",""), HYPERLINK(CONCATENATE("#metadata!", ADDRESS(INDEX($W$2:$W$1001,MATCH(ROWS($U$2:U564),$U$2:$U$1001,0),0), INDEX($AB$1004:$AQ$1004,1,MATCH(COLUMNS($AB$1006:AQ1006),$AB$1006:$AQ$1006,0)))),"Fix")))</f>
        <v>0</v>
      </c>
      <c r="U564">
        <v>0</v>
      </c>
      <c r="V564">
        <v>0</v>
      </c>
      <c r="W564">
        <v>0</v>
      </c>
      <c r="X564">
        <f>IF(Y564,TRUE,AND(AB564:AQ564))</f>
        <v>0</v>
      </c>
      <c r="Y564">
        <f>COUNTBLANK(metadata!B564:Q564)=COLUMNS(metadata!B564:Q564)</f>
        <v>0</v>
      </c>
      <c r="Z564">
        <v>0</v>
      </c>
      <c r="AB564">
        <f>AND(IF(metadata!B564="",FALSE,TRUE),COUNTIF(metadata!B:B, metadata!B564) = 1,NOT(ISERROR(SUMPRODUCT(SEARCH(MID(metadata!B564,ROW(INDIRECT("1:"&amp;LEN(metadata!B564))), 1),"0123456789abcdefghijklmnopqrstuvwxyzABCDEFGHIJKLMNOPQRSTUVWXYZ.")))))</f>
        <v>0</v>
      </c>
      <c r="AC564">
        <f>OR(AND(IF(metadata!C564="",FALSE,TRUE),OR(exact(metadata!C564,"missing: not collected"),exact(metadata!C564,"missing: not provided"),exact(metadata!C564,"missing: restricted access"))),AND(IF(metadata!C564="",FALSE,TRUE),AND(AND(IFERROR(INT(LEFT(metadata!C564,4))&gt;1900,FALSE),IFERROR(INT(LEFT(metadata!C564,4))&lt;=YEAR(NOW()),FALSE)), OR(MID(metadata!C564,5,1)="", AND(AND(MID(metadata!C564,5,1)="-",IFERROR(INT(MID(metadata!C564,6,1))&gt;=0,FALSE),IFERROR(INT(MID(metadata!C564,6,1))&lt;=1,FALSE),NOT(MID(metadata!C564,7,1)=""),IFERROR(INT(MID(metadata!C564,6,2))&gt;=1,FALSE),IFERROR(INT(MID(metadata!C564,6,2))&lt;=12,FALSE)), OR(MID(metadata!C564,8,1)="", AND(AND(MID(metadata!C564,8,1)="-",IFERROR(INT(MID(metadata!C564,9,1))&gt;=0,FALSE),IFERROR(INT(MID(metadata!C564,9,1))&lt;=3,FALSE),NOT(MID(metadata!C564,10,1)=""),IFERROR(INT(MID(metadata!C564,9,2))&gt;=1,FALSE),IFERROR(INT(MID(metadata!C564,9,2))&lt;=31,FALSE)), OR(MID(metadata!C564,11,1)="", AND(AND(MID(metadata!C564,11,1)=" ",IFERROR(INT(MID(metadata!C564,12,1))&gt;=0,FALSE),IFERROR(INT(MID(metadata!C564,12,1))&lt;=2,FALSE),NOT(MID(metadata!C564,13,1)=""),IFERROR(INT(MID(metadata!C564,12,2))&gt;=0,FALSE),IFERROR(INT(MID(metadata!C564,12,2))&lt;=23,FALSE)), OR(MID(metadata!C564,14,1)="", AND(AND(MID(metadata!C564,14,1)=":",IFERROR(INT(MID(metadata!C564,15,1))&gt;=0,FALSE),IFERROR(INT(MID(metadata!C564,15,1))&lt;=5,FALSE),NOT(MID(metadata!C564,16,1)=""),IFERROR(INT(MID(metadata!C564,15,2))&gt;=0,FALSE),IFERROR(INT(MID(metadata!C564,15,2))&lt;=59,FALSE)), OR(MID(metadata!C564,17,1)="", AND(AND(MID(metadata!C564,17,1)=":",IFERROR(INT(MID(metadata!C564,18,1))&gt;=0,FALSE),IFERROR(INT(MID(metadata!C564,18,1))&lt;=5,FALSE),NOT(MID(metadata!C564,19,1)=""),IFERROR(INT(MID(metadata!C564,18,2))&gt;=0,FALSE),IFERROR(INT(MID(metadata!C564,18,2))&lt;=59,FALSE)), LEN(metadata!C564)&lt;=19)))))))))))))</f>
        <v>0</v>
      </c>
      <c r="AD564">
        <f>IF(metadata!D564="",FALSE,TRUE)</f>
        <v>0</v>
      </c>
      <c r="AE564">
        <f>OR(AND(IF(metadata!E564="",FALSE,TRUE),OR(exact(metadata!E564,"missing: not collected"),exact(metadata!E564,"missing: not provided"))),AND(IF(metadata!E564="",FALSE,TRUE),OR(exact(metadata!E564,"TRUE"),exact(metadata!E564,"FALSE"))))</f>
        <v>0</v>
      </c>
      <c r="AF564">
        <f>IF(metadata!F564="",FALSE,TRUE)</f>
        <v>0</v>
      </c>
      <c r="AG564">
        <f>IF(metadata!G564="",FALSE,TRUE)</f>
        <v>0</v>
      </c>
      <c r="AH564">
        <f>IF(metadata!H564="",FALSE,TRUE)</f>
        <v>0</v>
      </c>
      <c r="AI564">
        <f>OR(AND(IF(metadata!I564="",FALSE,TRUE),OR(exact(metadata!I564,"missing: not collected"),exact(metadata!I564,"missing: not provided"),exact(metadata!I564,"missing: restricted access"))),AND(IF(metadata!I564="",FALSE,TRUE),OR(exact(metadata!I564,"air"),exact(metadata!I564,"built environment"),exact(metadata!I564,"host-associated"),exact(metadata!I564,"human-associated"),exact(metadata!I564,"human-skin"),exact(metadata!I564,"human-oral"),exact(metadata!I564,"human-gut"),exact(metadata!I564,"human-vaginal"),exact(metadata!I564,"microbial mat/biofilm"),exact(metadata!I564,"misc environment"),exact(metadata!I564,"plant-associated"),exact(metadata!I564,"sediment"),exact(metadata!I564,"soil"),exact(metadata!I564,"wastewater/sludge"),exact(metadata!I564,"water"))))</f>
        <v>0</v>
      </c>
      <c r="AJ564">
        <f>IF(metadata!J564="",FALSE,TRUE)</f>
        <v>0</v>
      </c>
      <c r="AK564">
        <f>OR(AND(IF(metadata!K564="",FALSE,TRUE),OR(exact(metadata!K564,"missing: not collected"),exact(metadata!K564,"missing: not provided"),exact(metadata!K564,"missing: restricted access"))),AND(IF(metadata!K564="",FALSE,ISNUMBER(VALUE(metadata!K564))),metadata!K564&gt;=-90.00,metadata!K564&lt;=90.00))</f>
        <v>0</v>
      </c>
      <c r="AL564">
        <f>OR(AND(IF(metadata!L564="",FALSE,TRUE),OR(exact(metadata!L564,"missing: not collected"),exact(metadata!L564,"missing: not provided"),exact(metadata!L564,"missing: restricted access"))),AND(IF(metadata!L564="",FALSE,ISNUMBER(VALUE(metadata!L564))),metadata!L564&gt;=-180.00,metadata!L564&lt;=180.00))</f>
        <v>0</v>
      </c>
      <c r="AM564">
        <f>IF(metadata!M564="",FALSE,TRUE)</f>
        <v>0</v>
      </c>
      <c r="AN564">
        <f>OR(AND(IF(metadata!N564="",FALSE,TRUE),OR(exact(metadata!N564,"missing: not collected"),exact(metadata!N564,"missing: not provided"),exact(metadata!N564,"missing: restricted access"))),AND(IF(metadata!N564="",FALSE,TRUE),OR(exact(metadata!N564,"TRUE"),exact(metadata!N564,"FALSE"))))</f>
        <v>0</v>
      </c>
      <c r="AO564">
        <f>IF(metadata!O564="",FALSE,TRUE)</f>
        <v>0</v>
      </c>
      <c r="AP564">
        <f>OR(AND(IF(metadata!P564="",FALSE,TRUE),OR(exact(metadata!P564,"missing: not collected"),exact(metadata!P564,"missing: not provided"))),AND(IF(metadata!P564="",FALSE,IF(ISERROR(INT(metadata!P564)),FALSE,INT(metadata!P564)=metadata!P564)),metadata!P564&gt;0))</f>
        <v>0</v>
      </c>
      <c r="AQ564">
        <f>IF(metadata!Q564="",FALSE,TRUE)</f>
        <v>0</v>
      </c>
    </row>
    <row r="565" spans="1:43">
      <c r="A565" s="5">
        <f>IF(B565=" "," ",HYPERLINK(CONCATENATE("#metadata!",ADDRESS(INDEX($W$2:$W$1001,MATCH(ROWS($U$2:U565),$U$2:$U$1001,0),0),1)),INDEX($Z$2:$Z$1001,MATCH(ROWS($U$2:U565),$U$2:$U$1001,0),0)))</f>
        <v>0</v>
      </c>
      <c r="B565" s="4">
        <f>IF(OR(INDEX($V$2:$V$1001,MATCH(ROWS($U$2:U565),$U$2:$U$1001,0),1)&gt;=100000,INDEX($AB$1005:$AQ$1005,1,MATCH(COLUMNS($AB$1006:AB1006),$AB$1006:$AQ$1006,0))&gt;=100000), " ",IF(INDEX($AB$2:$AQ$1001,MATCH(ROWS($U$2:U565),$U$2:$U$1001,0),MATCH(COLUMNS($AB$1006:AB1006),$AB$1006:$AQ$1006,0)), HYPERLINK("#",""), HYPERLINK(CONCATENATE("#metadata!", ADDRESS(INDEX($W$2:$W$1001,MATCH(ROWS($U$2:U565),$U$2:$U$1001,0),0), INDEX($AB$1004:$AQ$1004,1,MATCH(COLUMNS($AB$1006:AB1006),$AB$1006:$AQ$1006,0)))),"Fix")))</f>
        <v>0</v>
      </c>
      <c r="C565" s="4">
        <f>IF(OR(INDEX($V$2:$V$1001,MATCH(ROWS($U$2:U565),$U$2:$U$1001,0),1)&gt;=100000,INDEX($AB$1005:$AQ$1005,1,MATCH(COLUMNS($AB$1006:AC1006),$AB$1006:$AQ$1006,0))&gt;=100000), " ",IF(INDEX($AB$2:$AQ$1001,MATCH(ROWS($U$2:U565),$U$2:$U$1001,0),MATCH(COLUMNS($AB$1006:AC1006),$AB$1006:$AQ$1006,0)), HYPERLINK("#",""), HYPERLINK(CONCATENATE("#metadata!", ADDRESS(INDEX($W$2:$W$1001,MATCH(ROWS($U$2:U565),$U$2:$U$1001,0),0), INDEX($AB$1004:$AQ$1004,1,MATCH(COLUMNS($AB$1006:AC1006),$AB$1006:$AQ$1006,0)))),"Fix")))</f>
        <v>0</v>
      </c>
      <c r="D565" s="4">
        <f>IF(OR(INDEX($V$2:$V$1001,MATCH(ROWS($U$2:U565),$U$2:$U$1001,0),1)&gt;=100000,INDEX($AB$1005:$AQ$1005,1,MATCH(COLUMNS($AB$1006:AD1006),$AB$1006:$AQ$1006,0))&gt;=100000), " ",IF(INDEX($AB$2:$AQ$1001,MATCH(ROWS($U$2:U565),$U$2:$U$1001,0),MATCH(COLUMNS($AB$1006:AD1006),$AB$1006:$AQ$1006,0)), HYPERLINK("#",""), HYPERLINK(CONCATENATE("#metadata!", ADDRESS(INDEX($W$2:$W$1001,MATCH(ROWS($U$2:U565),$U$2:$U$1001,0),0), INDEX($AB$1004:$AQ$1004,1,MATCH(COLUMNS($AB$1006:AD1006),$AB$1006:$AQ$1006,0)))),"Fix")))</f>
        <v>0</v>
      </c>
      <c r="E565" s="4">
        <f>IF(OR(INDEX($V$2:$V$1001,MATCH(ROWS($U$2:U565),$U$2:$U$1001,0),1)&gt;=100000,INDEX($AB$1005:$AQ$1005,1,MATCH(COLUMNS($AB$1006:AE1006),$AB$1006:$AQ$1006,0))&gt;=100000), " ",IF(INDEX($AB$2:$AQ$1001,MATCH(ROWS($U$2:U565),$U$2:$U$1001,0),MATCH(COLUMNS($AB$1006:AE1006),$AB$1006:$AQ$1006,0)), HYPERLINK("#",""), HYPERLINK(CONCATENATE("#metadata!", ADDRESS(INDEX($W$2:$W$1001,MATCH(ROWS($U$2:U565),$U$2:$U$1001,0),0), INDEX($AB$1004:$AQ$1004,1,MATCH(COLUMNS($AB$1006:AE1006),$AB$1006:$AQ$1006,0)))),"Fix")))</f>
        <v>0</v>
      </c>
      <c r="F565" s="4">
        <f>IF(OR(INDEX($V$2:$V$1001,MATCH(ROWS($U$2:U565),$U$2:$U$1001,0),1)&gt;=100000,INDEX($AB$1005:$AQ$1005,1,MATCH(COLUMNS($AB$1006:AF1006),$AB$1006:$AQ$1006,0))&gt;=100000), " ",IF(INDEX($AB$2:$AQ$1001,MATCH(ROWS($U$2:U565),$U$2:$U$1001,0),MATCH(COLUMNS($AB$1006:AF1006),$AB$1006:$AQ$1006,0)), HYPERLINK("#",""), HYPERLINK(CONCATENATE("#metadata!", ADDRESS(INDEX($W$2:$W$1001,MATCH(ROWS($U$2:U565),$U$2:$U$1001,0),0), INDEX($AB$1004:$AQ$1004,1,MATCH(COLUMNS($AB$1006:AF1006),$AB$1006:$AQ$1006,0)))),"Fix")))</f>
        <v>0</v>
      </c>
      <c r="G565" s="4">
        <f>IF(OR(INDEX($V$2:$V$1001,MATCH(ROWS($U$2:U565),$U$2:$U$1001,0),1)&gt;=100000,INDEX($AB$1005:$AQ$1005,1,MATCH(COLUMNS($AB$1006:AG1006),$AB$1006:$AQ$1006,0))&gt;=100000), " ",IF(INDEX($AB$2:$AQ$1001,MATCH(ROWS($U$2:U565),$U$2:$U$1001,0),MATCH(COLUMNS($AB$1006:AG1006),$AB$1006:$AQ$1006,0)), HYPERLINK("#",""), HYPERLINK(CONCATENATE("#metadata!", ADDRESS(INDEX($W$2:$W$1001,MATCH(ROWS($U$2:U565),$U$2:$U$1001,0),0), INDEX($AB$1004:$AQ$1004,1,MATCH(COLUMNS($AB$1006:AG1006),$AB$1006:$AQ$1006,0)))),"Fix")))</f>
        <v>0</v>
      </c>
      <c r="H565" s="4">
        <f>IF(OR(INDEX($V$2:$V$1001,MATCH(ROWS($U$2:U565),$U$2:$U$1001,0),1)&gt;=100000,INDEX($AB$1005:$AQ$1005,1,MATCH(COLUMNS($AB$1006:AH1006),$AB$1006:$AQ$1006,0))&gt;=100000), " ",IF(INDEX($AB$2:$AQ$1001,MATCH(ROWS($U$2:U565),$U$2:$U$1001,0),MATCH(COLUMNS($AB$1006:AH1006),$AB$1006:$AQ$1006,0)), HYPERLINK("#",""), HYPERLINK(CONCATENATE("#metadata!", ADDRESS(INDEX($W$2:$W$1001,MATCH(ROWS($U$2:U565),$U$2:$U$1001,0),0), INDEX($AB$1004:$AQ$1004,1,MATCH(COLUMNS($AB$1006:AH1006),$AB$1006:$AQ$1006,0)))),"Fix")))</f>
        <v>0</v>
      </c>
      <c r="I565" s="4">
        <f>IF(OR(INDEX($V$2:$V$1001,MATCH(ROWS($U$2:U565),$U$2:$U$1001,0),1)&gt;=100000,INDEX($AB$1005:$AQ$1005,1,MATCH(COLUMNS($AB$1006:AI1006),$AB$1006:$AQ$1006,0))&gt;=100000), " ",IF(INDEX($AB$2:$AQ$1001,MATCH(ROWS($U$2:U565),$U$2:$U$1001,0),MATCH(COLUMNS($AB$1006:AI1006),$AB$1006:$AQ$1006,0)), HYPERLINK("#",""), HYPERLINK(CONCATENATE("#metadata!", ADDRESS(INDEX($W$2:$W$1001,MATCH(ROWS($U$2:U565),$U$2:$U$1001,0),0), INDEX($AB$1004:$AQ$1004,1,MATCH(COLUMNS($AB$1006:AI1006),$AB$1006:$AQ$1006,0)))),"Fix")))</f>
        <v>0</v>
      </c>
      <c r="J565" s="4">
        <f>IF(OR(INDEX($V$2:$V$1001,MATCH(ROWS($U$2:U565),$U$2:$U$1001,0),1)&gt;=100000,INDEX($AB$1005:$AQ$1005,1,MATCH(COLUMNS($AB$1006:AJ1006),$AB$1006:$AQ$1006,0))&gt;=100000), " ",IF(INDEX($AB$2:$AQ$1001,MATCH(ROWS($U$2:U565),$U$2:$U$1001,0),MATCH(COLUMNS($AB$1006:AJ1006),$AB$1006:$AQ$1006,0)), HYPERLINK("#",""), HYPERLINK(CONCATENATE("#metadata!", ADDRESS(INDEX($W$2:$W$1001,MATCH(ROWS($U$2:U565),$U$2:$U$1001,0),0), INDEX($AB$1004:$AQ$1004,1,MATCH(COLUMNS($AB$1006:AJ1006),$AB$1006:$AQ$1006,0)))),"Fix")))</f>
        <v>0</v>
      </c>
      <c r="K565" s="4">
        <f>IF(OR(INDEX($V$2:$V$1001,MATCH(ROWS($U$2:U565),$U$2:$U$1001,0),1)&gt;=100000,INDEX($AB$1005:$AQ$1005,1,MATCH(COLUMNS($AB$1006:AK1006),$AB$1006:$AQ$1006,0))&gt;=100000), " ",IF(INDEX($AB$2:$AQ$1001,MATCH(ROWS($U$2:U565),$U$2:$U$1001,0),MATCH(COLUMNS($AB$1006:AK1006),$AB$1006:$AQ$1006,0)), HYPERLINK("#",""), HYPERLINK(CONCATENATE("#metadata!", ADDRESS(INDEX($W$2:$W$1001,MATCH(ROWS($U$2:U565),$U$2:$U$1001,0),0), INDEX($AB$1004:$AQ$1004,1,MATCH(COLUMNS($AB$1006:AK1006),$AB$1006:$AQ$1006,0)))),"Fix")))</f>
        <v>0</v>
      </c>
      <c r="L565" s="4">
        <f>IF(OR(INDEX($V$2:$V$1001,MATCH(ROWS($U$2:U565),$U$2:$U$1001,0),1)&gt;=100000,INDEX($AB$1005:$AQ$1005,1,MATCH(COLUMNS($AB$1006:AL1006),$AB$1006:$AQ$1006,0))&gt;=100000), " ",IF(INDEX($AB$2:$AQ$1001,MATCH(ROWS($U$2:U565),$U$2:$U$1001,0),MATCH(COLUMNS($AB$1006:AL1006),$AB$1006:$AQ$1006,0)), HYPERLINK("#",""), HYPERLINK(CONCATENATE("#metadata!", ADDRESS(INDEX($W$2:$W$1001,MATCH(ROWS($U$2:U565),$U$2:$U$1001,0),0), INDEX($AB$1004:$AQ$1004,1,MATCH(COLUMNS($AB$1006:AL1006),$AB$1006:$AQ$1006,0)))),"Fix")))</f>
        <v>0</v>
      </c>
      <c r="M565" s="4">
        <f>IF(OR(INDEX($V$2:$V$1001,MATCH(ROWS($U$2:U565),$U$2:$U$1001,0),1)&gt;=100000,INDEX($AB$1005:$AQ$1005,1,MATCH(COLUMNS($AB$1006:AM1006),$AB$1006:$AQ$1006,0))&gt;=100000), " ",IF(INDEX($AB$2:$AQ$1001,MATCH(ROWS($U$2:U565),$U$2:$U$1001,0),MATCH(COLUMNS($AB$1006:AM1006),$AB$1006:$AQ$1006,0)), HYPERLINK("#",""), HYPERLINK(CONCATENATE("#metadata!", ADDRESS(INDEX($W$2:$W$1001,MATCH(ROWS($U$2:U565),$U$2:$U$1001,0),0), INDEX($AB$1004:$AQ$1004,1,MATCH(COLUMNS($AB$1006:AM1006),$AB$1006:$AQ$1006,0)))),"Fix")))</f>
        <v>0</v>
      </c>
      <c r="N565" s="4">
        <f>IF(OR(INDEX($V$2:$V$1001,MATCH(ROWS($U$2:U565),$U$2:$U$1001,0),1)&gt;=100000,INDEX($AB$1005:$AQ$1005,1,MATCH(COLUMNS($AB$1006:AN1006),$AB$1006:$AQ$1006,0))&gt;=100000), " ",IF(INDEX($AB$2:$AQ$1001,MATCH(ROWS($U$2:U565),$U$2:$U$1001,0),MATCH(COLUMNS($AB$1006:AN1006),$AB$1006:$AQ$1006,0)), HYPERLINK("#",""), HYPERLINK(CONCATENATE("#metadata!", ADDRESS(INDEX($W$2:$W$1001,MATCH(ROWS($U$2:U565),$U$2:$U$1001,0),0), INDEX($AB$1004:$AQ$1004,1,MATCH(COLUMNS($AB$1006:AN1006),$AB$1006:$AQ$1006,0)))),"Fix")))</f>
        <v>0</v>
      </c>
      <c r="O565" s="4">
        <f>IF(OR(INDEX($V$2:$V$1001,MATCH(ROWS($U$2:U565),$U$2:$U$1001,0),1)&gt;=100000,INDEX($AB$1005:$AQ$1005,1,MATCH(COLUMNS($AB$1006:AO1006),$AB$1006:$AQ$1006,0))&gt;=100000), " ",IF(INDEX($AB$2:$AQ$1001,MATCH(ROWS($U$2:U565),$U$2:$U$1001,0),MATCH(COLUMNS($AB$1006:AO1006),$AB$1006:$AQ$1006,0)), HYPERLINK("#",""), HYPERLINK(CONCATENATE("#metadata!", ADDRESS(INDEX($W$2:$W$1001,MATCH(ROWS($U$2:U565),$U$2:$U$1001,0),0), INDEX($AB$1004:$AQ$1004,1,MATCH(COLUMNS($AB$1006:AO1006),$AB$1006:$AQ$1006,0)))),"Fix")))</f>
        <v>0</v>
      </c>
      <c r="P565" s="4">
        <f>IF(OR(INDEX($V$2:$V$1001,MATCH(ROWS($U$2:U565),$U$2:$U$1001,0),1)&gt;=100000,INDEX($AB$1005:$AQ$1005,1,MATCH(COLUMNS($AB$1006:AP1006),$AB$1006:$AQ$1006,0))&gt;=100000), " ",IF(INDEX($AB$2:$AQ$1001,MATCH(ROWS($U$2:U565),$U$2:$U$1001,0),MATCH(COLUMNS($AB$1006:AP1006),$AB$1006:$AQ$1006,0)), HYPERLINK("#",""), HYPERLINK(CONCATENATE("#metadata!", ADDRESS(INDEX($W$2:$W$1001,MATCH(ROWS($U$2:U565),$U$2:$U$1001,0),0), INDEX($AB$1004:$AQ$1004,1,MATCH(COLUMNS($AB$1006:AP1006),$AB$1006:$AQ$1006,0)))),"Fix")))</f>
        <v>0</v>
      </c>
      <c r="Q565" s="4">
        <f>IF(OR(INDEX($V$2:$V$1001,MATCH(ROWS($U$2:U565),$U$2:$U$1001,0),1)&gt;=100000,INDEX($AB$1005:$AQ$1005,1,MATCH(COLUMNS($AB$1006:AQ1006),$AB$1006:$AQ$1006,0))&gt;=100000), " ",IF(INDEX($AB$2:$AQ$1001,MATCH(ROWS($U$2:U565),$U$2:$U$1001,0),MATCH(COLUMNS($AB$1006:AQ1006),$AB$1006:$AQ$1006,0)), HYPERLINK("#",""), HYPERLINK(CONCATENATE("#metadata!", ADDRESS(INDEX($W$2:$W$1001,MATCH(ROWS($U$2:U565),$U$2:$U$1001,0),0), INDEX($AB$1004:$AQ$1004,1,MATCH(COLUMNS($AB$1006:AQ1006),$AB$1006:$AQ$1006,0)))),"Fix")))</f>
        <v>0</v>
      </c>
      <c r="U565">
        <v>0</v>
      </c>
      <c r="V565">
        <v>0</v>
      </c>
      <c r="W565">
        <v>0</v>
      </c>
      <c r="X565">
        <f>IF(Y565,TRUE,AND(AB565:AQ565))</f>
        <v>0</v>
      </c>
      <c r="Y565">
        <f>COUNTBLANK(metadata!B565:Q565)=COLUMNS(metadata!B565:Q565)</f>
        <v>0</v>
      </c>
      <c r="Z565">
        <v>0</v>
      </c>
      <c r="AB565">
        <f>AND(IF(metadata!B565="",FALSE,TRUE),COUNTIF(metadata!B:B, metadata!B565) = 1,NOT(ISERROR(SUMPRODUCT(SEARCH(MID(metadata!B565,ROW(INDIRECT("1:"&amp;LEN(metadata!B565))), 1),"0123456789abcdefghijklmnopqrstuvwxyzABCDEFGHIJKLMNOPQRSTUVWXYZ.")))))</f>
        <v>0</v>
      </c>
      <c r="AC565">
        <f>OR(AND(IF(metadata!C565="",FALSE,TRUE),OR(exact(metadata!C565,"missing: not collected"),exact(metadata!C565,"missing: not provided"),exact(metadata!C565,"missing: restricted access"))),AND(IF(metadata!C565="",FALSE,TRUE),AND(AND(IFERROR(INT(LEFT(metadata!C565,4))&gt;1900,FALSE),IFERROR(INT(LEFT(metadata!C565,4))&lt;=YEAR(NOW()),FALSE)), OR(MID(metadata!C565,5,1)="", AND(AND(MID(metadata!C565,5,1)="-",IFERROR(INT(MID(metadata!C565,6,1))&gt;=0,FALSE),IFERROR(INT(MID(metadata!C565,6,1))&lt;=1,FALSE),NOT(MID(metadata!C565,7,1)=""),IFERROR(INT(MID(metadata!C565,6,2))&gt;=1,FALSE),IFERROR(INT(MID(metadata!C565,6,2))&lt;=12,FALSE)), OR(MID(metadata!C565,8,1)="", AND(AND(MID(metadata!C565,8,1)="-",IFERROR(INT(MID(metadata!C565,9,1))&gt;=0,FALSE),IFERROR(INT(MID(metadata!C565,9,1))&lt;=3,FALSE),NOT(MID(metadata!C565,10,1)=""),IFERROR(INT(MID(metadata!C565,9,2))&gt;=1,FALSE),IFERROR(INT(MID(metadata!C565,9,2))&lt;=31,FALSE)), OR(MID(metadata!C565,11,1)="", AND(AND(MID(metadata!C565,11,1)=" ",IFERROR(INT(MID(metadata!C565,12,1))&gt;=0,FALSE),IFERROR(INT(MID(metadata!C565,12,1))&lt;=2,FALSE),NOT(MID(metadata!C565,13,1)=""),IFERROR(INT(MID(metadata!C565,12,2))&gt;=0,FALSE),IFERROR(INT(MID(metadata!C565,12,2))&lt;=23,FALSE)), OR(MID(metadata!C565,14,1)="", AND(AND(MID(metadata!C565,14,1)=":",IFERROR(INT(MID(metadata!C565,15,1))&gt;=0,FALSE),IFERROR(INT(MID(metadata!C565,15,1))&lt;=5,FALSE),NOT(MID(metadata!C565,16,1)=""),IFERROR(INT(MID(metadata!C565,15,2))&gt;=0,FALSE),IFERROR(INT(MID(metadata!C565,15,2))&lt;=59,FALSE)), OR(MID(metadata!C565,17,1)="", AND(AND(MID(metadata!C565,17,1)=":",IFERROR(INT(MID(metadata!C565,18,1))&gt;=0,FALSE),IFERROR(INT(MID(metadata!C565,18,1))&lt;=5,FALSE),NOT(MID(metadata!C565,19,1)=""),IFERROR(INT(MID(metadata!C565,18,2))&gt;=0,FALSE),IFERROR(INT(MID(metadata!C565,18,2))&lt;=59,FALSE)), LEN(metadata!C565)&lt;=19)))))))))))))</f>
        <v>0</v>
      </c>
      <c r="AD565">
        <f>IF(metadata!D565="",FALSE,TRUE)</f>
        <v>0</v>
      </c>
      <c r="AE565">
        <f>OR(AND(IF(metadata!E565="",FALSE,TRUE),OR(exact(metadata!E565,"missing: not collected"),exact(metadata!E565,"missing: not provided"))),AND(IF(metadata!E565="",FALSE,TRUE),OR(exact(metadata!E565,"TRUE"),exact(metadata!E565,"FALSE"))))</f>
        <v>0</v>
      </c>
      <c r="AF565">
        <f>IF(metadata!F565="",FALSE,TRUE)</f>
        <v>0</v>
      </c>
      <c r="AG565">
        <f>IF(metadata!G565="",FALSE,TRUE)</f>
        <v>0</v>
      </c>
      <c r="AH565">
        <f>IF(metadata!H565="",FALSE,TRUE)</f>
        <v>0</v>
      </c>
      <c r="AI565">
        <f>OR(AND(IF(metadata!I565="",FALSE,TRUE),OR(exact(metadata!I565,"missing: not collected"),exact(metadata!I565,"missing: not provided"),exact(metadata!I565,"missing: restricted access"))),AND(IF(metadata!I565="",FALSE,TRUE),OR(exact(metadata!I565,"air"),exact(metadata!I565,"built environment"),exact(metadata!I565,"host-associated"),exact(metadata!I565,"human-associated"),exact(metadata!I565,"human-skin"),exact(metadata!I565,"human-oral"),exact(metadata!I565,"human-gut"),exact(metadata!I565,"human-vaginal"),exact(metadata!I565,"microbial mat/biofilm"),exact(metadata!I565,"misc environment"),exact(metadata!I565,"plant-associated"),exact(metadata!I565,"sediment"),exact(metadata!I565,"soil"),exact(metadata!I565,"wastewater/sludge"),exact(metadata!I565,"water"))))</f>
        <v>0</v>
      </c>
      <c r="AJ565">
        <f>IF(metadata!J565="",FALSE,TRUE)</f>
        <v>0</v>
      </c>
      <c r="AK565">
        <f>OR(AND(IF(metadata!K565="",FALSE,TRUE),OR(exact(metadata!K565,"missing: not collected"),exact(metadata!K565,"missing: not provided"),exact(metadata!K565,"missing: restricted access"))),AND(IF(metadata!K565="",FALSE,ISNUMBER(VALUE(metadata!K565))),metadata!K565&gt;=-90.00,metadata!K565&lt;=90.00))</f>
        <v>0</v>
      </c>
      <c r="AL565">
        <f>OR(AND(IF(metadata!L565="",FALSE,TRUE),OR(exact(metadata!L565,"missing: not collected"),exact(metadata!L565,"missing: not provided"),exact(metadata!L565,"missing: restricted access"))),AND(IF(metadata!L565="",FALSE,ISNUMBER(VALUE(metadata!L565))),metadata!L565&gt;=-180.00,metadata!L565&lt;=180.00))</f>
        <v>0</v>
      </c>
      <c r="AM565">
        <f>IF(metadata!M565="",FALSE,TRUE)</f>
        <v>0</v>
      </c>
      <c r="AN565">
        <f>OR(AND(IF(metadata!N565="",FALSE,TRUE),OR(exact(metadata!N565,"missing: not collected"),exact(metadata!N565,"missing: not provided"),exact(metadata!N565,"missing: restricted access"))),AND(IF(metadata!N565="",FALSE,TRUE),OR(exact(metadata!N565,"TRUE"),exact(metadata!N565,"FALSE"))))</f>
        <v>0</v>
      </c>
      <c r="AO565">
        <f>IF(metadata!O565="",FALSE,TRUE)</f>
        <v>0</v>
      </c>
      <c r="AP565">
        <f>OR(AND(IF(metadata!P565="",FALSE,TRUE),OR(exact(metadata!P565,"missing: not collected"),exact(metadata!P565,"missing: not provided"))),AND(IF(metadata!P565="",FALSE,IF(ISERROR(INT(metadata!P565)),FALSE,INT(metadata!P565)=metadata!P565)),metadata!P565&gt;0))</f>
        <v>0</v>
      </c>
      <c r="AQ565">
        <f>IF(metadata!Q565="",FALSE,TRUE)</f>
        <v>0</v>
      </c>
    </row>
    <row r="566" spans="1:43">
      <c r="A566" s="5">
        <f>IF(B566=" "," ",HYPERLINK(CONCATENATE("#metadata!",ADDRESS(INDEX($W$2:$W$1001,MATCH(ROWS($U$2:U566),$U$2:$U$1001,0),0),1)),INDEX($Z$2:$Z$1001,MATCH(ROWS($U$2:U566),$U$2:$U$1001,0),0)))</f>
        <v>0</v>
      </c>
      <c r="B566" s="4">
        <f>IF(OR(INDEX($V$2:$V$1001,MATCH(ROWS($U$2:U566),$U$2:$U$1001,0),1)&gt;=100000,INDEX($AB$1005:$AQ$1005,1,MATCH(COLUMNS($AB$1006:AB1006),$AB$1006:$AQ$1006,0))&gt;=100000), " ",IF(INDEX($AB$2:$AQ$1001,MATCH(ROWS($U$2:U566),$U$2:$U$1001,0),MATCH(COLUMNS($AB$1006:AB1006),$AB$1006:$AQ$1006,0)), HYPERLINK("#",""), HYPERLINK(CONCATENATE("#metadata!", ADDRESS(INDEX($W$2:$W$1001,MATCH(ROWS($U$2:U566),$U$2:$U$1001,0),0), INDEX($AB$1004:$AQ$1004,1,MATCH(COLUMNS($AB$1006:AB1006),$AB$1006:$AQ$1006,0)))),"Fix")))</f>
        <v>0</v>
      </c>
      <c r="C566" s="4">
        <f>IF(OR(INDEX($V$2:$V$1001,MATCH(ROWS($U$2:U566),$U$2:$U$1001,0),1)&gt;=100000,INDEX($AB$1005:$AQ$1005,1,MATCH(COLUMNS($AB$1006:AC1006),$AB$1006:$AQ$1006,0))&gt;=100000), " ",IF(INDEX($AB$2:$AQ$1001,MATCH(ROWS($U$2:U566),$U$2:$U$1001,0),MATCH(COLUMNS($AB$1006:AC1006),$AB$1006:$AQ$1006,0)), HYPERLINK("#",""), HYPERLINK(CONCATENATE("#metadata!", ADDRESS(INDEX($W$2:$W$1001,MATCH(ROWS($U$2:U566),$U$2:$U$1001,0),0), INDEX($AB$1004:$AQ$1004,1,MATCH(COLUMNS($AB$1006:AC1006),$AB$1006:$AQ$1006,0)))),"Fix")))</f>
        <v>0</v>
      </c>
      <c r="D566" s="4">
        <f>IF(OR(INDEX($V$2:$V$1001,MATCH(ROWS($U$2:U566),$U$2:$U$1001,0),1)&gt;=100000,INDEX($AB$1005:$AQ$1005,1,MATCH(COLUMNS($AB$1006:AD1006),$AB$1006:$AQ$1006,0))&gt;=100000), " ",IF(INDEX($AB$2:$AQ$1001,MATCH(ROWS($U$2:U566),$U$2:$U$1001,0),MATCH(COLUMNS($AB$1006:AD1006),$AB$1006:$AQ$1006,0)), HYPERLINK("#",""), HYPERLINK(CONCATENATE("#metadata!", ADDRESS(INDEX($W$2:$W$1001,MATCH(ROWS($U$2:U566),$U$2:$U$1001,0),0), INDEX($AB$1004:$AQ$1004,1,MATCH(COLUMNS($AB$1006:AD1006),$AB$1006:$AQ$1006,0)))),"Fix")))</f>
        <v>0</v>
      </c>
      <c r="E566" s="4">
        <f>IF(OR(INDEX($V$2:$V$1001,MATCH(ROWS($U$2:U566),$U$2:$U$1001,0),1)&gt;=100000,INDEX($AB$1005:$AQ$1005,1,MATCH(COLUMNS($AB$1006:AE1006),$AB$1006:$AQ$1006,0))&gt;=100000), " ",IF(INDEX($AB$2:$AQ$1001,MATCH(ROWS($U$2:U566),$U$2:$U$1001,0),MATCH(COLUMNS($AB$1006:AE1006),$AB$1006:$AQ$1006,0)), HYPERLINK("#",""), HYPERLINK(CONCATENATE("#metadata!", ADDRESS(INDEX($W$2:$W$1001,MATCH(ROWS($U$2:U566),$U$2:$U$1001,0),0), INDEX($AB$1004:$AQ$1004,1,MATCH(COLUMNS($AB$1006:AE1006),$AB$1006:$AQ$1006,0)))),"Fix")))</f>
        <v>0</v>
      </c>
      <c r="F566" s="4">
        <f>IF(OR(INDEX($V$2:$V$1001,MATCH(ROWS($U$2:U566),$U$2:$U$1001,0),1)&gt;=100000,INDEX($AB$1005:$AQ$1005,1,MATCH(COLUMNS($AB$1006:AF1006),$AB$1006:$AQ$1006,0))&gt;=100000), " ",IF(INDEX($AB$2:$AQ$1001,MATCH(ROWS($U$2:U566),$U$2:$U$1001,0),MATCH(COLUMNS($AB$1006:AF1006),$AB$1006:$AQ$1006,0)), HYPERLINK("#",""), HYPERLINK(CONCATENATE("#metadata!", ADDRESS(INDEX($W$2:$W$1001,MATCH(ROWS($U$2:U566),$U$2:$U$1001,0),0), INDEX($AB$1004:$AQ$1004,1,MATCH(COLUMNS($AB$1006:AF1006),$AB$1006:$AQ$1006,0)))),"Fix")))</f>
        <v>0</v>
      </c>
      <c r="G566" s="4">
        <f>IF(OR(INDEX($V$2:$V$1001,MATCH(ROWS($U$2:U566),$U$2:$U$1001,0),1)&gt;=100000,INDEX($AB$1005:$AQ$1005,1,MATCH(COLUMNS($AB$1006:AG1006),$AB$1006:$AQ$1006,0))&gt;=100000), " ",IF(INDEX($AB$2:$AQ$1001,MATCH(ROWS($U$2:U566),$U$2:$U$1001,0),MATCH(COLUMNS($AB$1006:AG1006),$AB$1006:$AQ$1006,0)), HYPERLINK("#",""), HYPERLINK(CONCATENATE("#metadata!", ADDRESS(INDEX($W$2:$W$1001,MATCH(ROWS($U$2:U566),$U$2:$U$1001,0),0), INDEX($AB$1004:$AQ$1004,1,MATCH(COLUMNS($AB$1006:AG1006),$AB$1006:$AQ$1006,0)))),"Fix")))</f>
        <v>0</v>
      </c>
      <c r="H566" s="4">
        <f>IF(OR(INDEX($V$2:$V$1001,MATCH(ROWS($U$2:U566),$U$2:$U$1001,0),1)&gt;=100000,INDEX($AB$1005:$AQ$1005,1,MATCH(COLUMNS($AB$1006:AH1006),$AB$1006:$AQ$1006,0))&gt;=100000), " ",IF(INDEX($AB$2:$AQ$1001,MATCH(ROWS($U$2:U566),$U$2:$U$1001,0),MATCH(COLUMNS($AB$1006:AH1006),$AB$1006:$AQ$1006,0)), HYPERLINK("#",""), HYPERLINK(CONCATENATE("#metadata!", ADDRESS(INDEX($W$2:$W$1001,MATCH(ROWS($U$2:U566),$U$2:$U$1001,0),0), INDEX($AB$1004:$AQ$1004,1,MATCH(COLUMNS($AB$1006:AH1006),$AB$1006:$AQ$1006,0)))),"Fix")))</f>
        <v>0</v>
      </c>
      <c r="I566" s="4">
        <f>IF(OR(INDEX($V$2:$V$1001,MATCH(ROWS($U$2:U566),$U$2:$U$1001,0),1)&gt;=100000,INDEX($AB$1005:$AQ$1005,1,MATCH(COLUMNS($AB$1006:AI1006),$AB$1006:$AQ$1006,0))&gt;=100000), " ",IF(INDEX($AB$2:$AQ$1001,MATCH(ROWS($U$2:U566),$U$2:$U$1001,0),MATCH(COLUMNS($AB$1006:AI1006),$AB$1006:$AQ$1006,0)), HYPERLINK("#",""), HYPERLINK(CONCATENATE("#metadata!", ADDRESS(INDEX($W$2:$W$1001,MATCH(ROWS($U$2:U566),$U$2:$U$1001,0),0), INDEX($AB$1004:$AQ$1004,1,MATCH(COLUMNS($AB$1006:AI1006),$AB$1006:$AQ$1006,0)))),"Fix")))</f>
        <v>0</v>
      </c>
      <c r="J566" s="4">
        <f>IF(OR(INDEX($V$2:$V$1001,MATCH(ROWS($U$2:U566),$U$2:$U$1001,0),1)&gt;=100000,INDEX($AB$1005:$AQ$1005,1,MATCH(COLUMNS($AB$1006:AJ1006),$AB$1006:$AQ$1006,0))&gt;=100000), " ",IF(INDEX($AB$2:$AQ$1001,MATCH(ROWS($U$2:U566),$U$2:$U$1001,0),MATCH(COLUMNS($AB$1006:AJ1006),$AB$1006:$AQ$1006,0)), HYPERLINK("#",""), HYPERLINK(CONCATENATE("#metadata!", ADDRESS(INDEX($W$2:$W$1001,MATCH(ROWS($U$2:U566),$U$2:$U$1001,0),0), INDEX($AB$1004:$AQ$1004,1,MATCH(COLUMNS($AB$1006:AJ1006),$AB$1006:$AQ$1006,0)))),"Fix")))</f>
        <v>0</v>
      </c>
      <c r="K566" s="4">
        <f>IF(OR(INDEX($V$2:$V$1001,MATCH(ROWS($U$2:U566),$U$2:$U$1001,0),1)&gt;=100000,INDEX($AB$1005:$AQ$1005,1,MATCH(COLUMNS($AB$1006:AK1006),$AB$1006:$AQ$1006,0))&gt;=100000), " ",IF(INDEX($AB$2:$AQ$1001,MATCH(ROWS($U$2:U566),$U$2:$U$1001,0),MATCH(COLUMNS($AB$1006:AK1006),$AB$1006:$AQ$1006,0)), HYPERLINK("#",""), HYPERLINK(CONCATENATE("#metadata!", ADDRESS(INDEX($W$2:$W$1001,MATCH(ROWS($U$2:U566),$U$2:$U$1001,0),0), INDEX($AB$1004:$AQ$1004,1,MATCH(COLUMNS($AB$1006:AK1006),$AB$1006:$AQ$1006,0)))),"Fix")))</f>
        <v>0</v>
      </c>
      <c r="L566" s="4">
        <f>IF(OR(INDEX($V$2:$V$1001,MATCH(ROWS($U$2:U566),$U$2:$U$1001,0),1)&gt;=100000,INDEX($AB$1005:$AQ$1005,1,MATCH(COLUMNS($AB$1006:AL1006),$AB$1006:$AQ$1006,0))&gt;=100000), " ",IF(INDEX($AB$2:$AQ$1001,MATCH(ROWS($U$2:U566),$U$2:$U$1001,0),MATCH(COLUMNS($AB$1006:AL1006),$AB$1006:$AQ$1006,0)), HYPERLINK("#",""), HYPERLINK(CONCATENATE("#metadata!", ADDRESS(INDEX($W$2:$W$1001,MATCH(ROWS($U$2:U566),$U$2:$U$1001,0),0), INDEX($AB$1004:$AQ$1004,1,MATCH(COLUMNS($AB$1006:AL1006),$AB$1006:$AQ$1006,0)))),"Fix")))</f>
        <v>0</v>
      </c>
      <c r="M566" s="4">
        <f>IF(OR(INDEX($V$2:$V$1001,MATCH(ROWS($U$2:U566),$U$2:$U$1001,0),1)&gt;=100000,INDEX($AB$1005:$AQ$1005,1,MATCH(COLUMNS($AB$1006:AM1006),$AB$1006:$AQ$1006,0))&gt;=100000), " ",IF(INDEX($AB$2:$AQ$1001,MATCH(ROWS($U$2:U566),$U$2:$U$1001,0),MATCH(COLUMNS($AB$1006:AM1006),$AB$1006:$AQ$1006,0)), HYPERLINK("#",""), HYPERLINK(CONCATENATE("#metadata!", ADDRESS(INDEX($W$2:$W$1001,MATCH(ROWS($U$2:U566),$U$2:$U$1001,0),0), INDEX($AB$1004:$AQ$1004,1,MATCH(COLUMNS($AB$1006:AM1006),$AB$1006:$AQ$1006,0)))),"Fix")))</f>
        <v>0</v>
      </c>
      <c r="N566" s="4">
        <f>IF(OR(INDEX($V$2:$V$1001,MATCH(ROWS($U$2:U566),$U$2:$U$1001,0),1)&gt;=100000,INDEX($AB$1005:$AQ$1005,1,MATCH(COLUMNS($AB$1006:AN1006),$AB$1006:$AQ$1006,0))&gt;=100000), " ",IF(INDEX($AB$2:$AQ$1001,MATCH(ROWS($U$2:U566),$U$2:$U$1001,0),MATCH(COLUMNS($AB$1006:AN1006),$AB$1006:$AQ$1006,0)), HYPERLINK("#",""), HYPERLINK(CONCATENATE("#metadata!", ADDRESS(INDEX($W$2:$W$1001,MATCH(ROWS($U$2:U566),$U$2:$U$1001,0),0), INDEX($AB$1004:$AQ$1004,1,MATCH(COLUMNS($AB$1006:AN1006),$AB$1006:$AQ$1006,0)))),"Fix")))</f>
        <v>0</v>
      </c>
      <c r="O566" s="4">
        <f>IF(OR(INDEX($V$2:$V$1001,MATCH(ROWS($U$2:U566),$U$2:$U$1001,0),1)&gt;=100000,INDEX($AB$1005:$AQ$1005,1,MATCH(COLUMNS($AB$1006:AO1006),$AB$1006:$AQ$1006,0))&gt;=100000), " ",IF(INDEX($AB$2:$AQ$1001,MATCH(ROWS($U$2:U566),$U$2:$U$1001,0),MATCH(COLUMNS($AB$1006:AO1006),$AB$1006:$AQ$1006,0)), HYPERLINK("#",""), HYPERLINK(CONCATENATE("#metadata!", ADDRESS(INDEX($W$2:$W$1001,MATCH(ROWS($U$2:U566),$U$2:$U$1001,0),0), INDEX($AB$1004:$AQ$1004,1,MATCH(COLUMNS($AB$1006:AO1006),$AB$1006:$AQ$1006,0)))),"Fix")))</f>
        <v>0</v>
      </c>
      <c r="P566" s="4">
        <f>IF(OR(INDEX($V$2:$V$1001,MATCH(ROWS($U$2:U566),$U$2:$U$1001,0),1)&gt;=100000,INDEX($AB$1005:$AQ$1005,1,MATCH(COLUMNS($AB$1006:AP1006),$AB$1006:$AQ$1006,0))&gt;=100000), " ",IF(INDEX($AB$2:$AQ$1001,MATCH(ROWS($U$2:U566),$U$2:$U$1001,0),MATCH(COLUMNS($AB$1006:AP1006),$AB$1006:$AQ$1006,0)), HYPERLINK("#",""), HYPERLINK(CONCATENATE("#metadata!", ADDRESS(INDEX($W$2:$W$1001,MATCH(ROWS($U$2:U566),$U$2:$U$1001,0),0), INDEX($AB$1004:$AQ$1004,1,MATCH(COLUMNS($AB$1006:AP1006),$AB$1006:$AQ$1006,0)))),"Fix")))</f>
        <v>0</v>
      </c>
      <c r="Q566" s="4">
        <f>IF(OR(INDEX($V$2:$V$1001,MATCH(ROWS($U$2:U566),$U$2:$U$1001,0),1)&gt;=100000,INDEX($AB$1005:$AQ$1005,1,MATCH(COLUMNS($AB$1006:AQ1006),$AB$1006:$AQ$1006,0))&gt;=100000), " ",IF(INDEX($AB$2:$AQ$1001,MATCH(ROWS($U$2:U566),$U$2:$U$1001,0),MATCH(COLUMNS($AB$1006:AQ1006),$AB$1006:$AQ$1006,0)), HYPERLINK("#",""), HYPERLINK(CONCATENATE("#metadata!", ADDRESS(INDEX($W$2:$W$1001,MATCH(ROWS($U$2:U566),$U$2:$U$1001,0),0), INDEX($AB$1004:$AQ$1004,1,MATCH(COLUMNS($AB$1006:AQ1006),$AB$1006:$AQ$1006,0)))),"Fix")))</f>
        <v>0</v>
      </c>
      <c r="U566">
        <v>0</v>
      </c>
      <c r="V566">
        <v>0</v>
      </c>
      <c r="W566">
        <v>0</v>
      </c>
      <c r="X566">
        <f>IF(Y566,TRUE,AND(AB566:AQ566))</f>
        <v>0</v>
      </c>
      <c r="Y566">
        <f>COUNTBLANK(metadata!B566:Q566)=COLUMNS(metadata!B566:Q566)</f>
        <v>0</v>
      </c>
      <c r="Z566">
        <v>0</v>
      </c>
      <c r="AB566">
        <f>AND(IF(metadata!B566="",FALSE,TRUE),COUNTIF(metadata!B:B, metadata!B566) = 1,NOT(ISERROR(SUMPRODUCT(SEARCH(MID(metadata!B566,ROW(INDIRECT("1:"&amp;LEN(metadata!B566))), 1),"0123456789abcdefghijklmnopqrstuvwxyzABCDEFGHIJKLMNOPQRSTUVWXYZ.")))))</f>
        <v>0</v>
      </c>
      <c r="AC566">
        <f>OR(AND(IF(metadata!C566="",FALSE,TRUE),OR(exact(metadata!C566,"missing: not collected"),exact(metadata!C566,"missing: not provided"),exact(metadata!C566,"missing: restricted access"))),AND(IF(metadata!C566="",FALSE,TRUE),AND(AND(IFERROR(INT(LEFT(metadata!C566,4))&gt;1900,FALSE),IFERROR(INT(LEFT(metadata!C566,4))&lt;=YEAR(NOW()),FALSE)), OR(MID(metadata!C566,5,1)="", AND(AND(MID(metadata!C566,5,1)="-",IFERROR(INT(MID(metadata!C566,6,1))&gt;=0,FALSE),IFERROR(INT(MID(metadata!C566,6,1))&lt;=1,FALSE),NOT(MID(metadata!C566,7,1)=""),IFERROR(INT(MID(metadata!C566,6,2))&gt;=1,FALSE),IFERROR(INT(MID(metadata!C566,6,2))&lt;=12,FALSE)), OR(MID(metadata!C566,8,1)="", AND(AND(MID(metadata!C566,8,1)="-",IFERROR(INT(MID(metadata!C566,9,1))&gt;=0,FALSE),IFERROR(INT(MID(metadata!C566,9,1))&lt;=3,FALSE),NOT(MID(metadata!C566,10,1)=""),IFERROR(INT(MID(metadata!C566,9,2))&gt;=1,FALSE),IFERROR(INT(MID(metadata!C566,9,2))&lt;=31,FALSE)), OR(MID(metadata!C566,11,1)="", AND(AND(MID(metadata!C566,11,1)=" ",IFERROR(INT(MID(metadata!C566,12,1))&gt;=0,FALSE),IFERROR(INT(MID(metadata!C566,12,1))&lt;=2,FALSE),NOT(MID(metadata!C566,13,1)=""),IFERROR(INT(MID(metadata!C566,12,2))&gt;=0,FALSE),IFERROR(INT(MID(metadata!C566,12,2))&lt;=23,FALSE)), OR(MID(metadata!C566,14,1)="", AND(AND(MID(metadata!C566,14,1)=":",IFERROR(INT(MID(metadata!C566,15,1))&gt;=0,FALSE),IFERROR(INT(MID(metadata!C566,15,1))&lt;=5,FALSE),NOT(MID(metadata!C566,16,1)=""),IFERROR(INT(MID(metadata!C566,15,2))&gt;=0,FALSE),IFERROR(INT(MID(metadata!C566,15,2))&lt;=59,FALSE)), OR(MID(metadata!C566,17,1)="", AND(AND(MID(metadata!C566,17,1)=":",IFERROR(INT(MID(metadata!C566,18,1))&gt;=0,FALSE),IFERROR(INT(MID(metadata!C566,18,1))&lt;=5,FALSE),NOT(MID(metadata!C566,19,1)=""),IFERROR(INT(MID(metadata!C566,18,2))&gt;=0,FALSE),IFERROR(INT(MID(metadata!C566,18,2))&lt;=59,FALSE)), LEN(metadata!C566)&lt;=19)))))))))))))</f>
        <v>0</v>
      </c>
      <c r="AD566">
        <f>IF(metadata!D566="",FALSE,TRUE)</f>
        <v>0</v>
      </c>
      <c r="AE566">
        <f>OR(AND(IF(metadata!E566="",FALSE,TRUE),OR(exact(metadata!E566,"missing: not collected"),exact(metadata!E566,"missing: not provided"))),AND(IF(metadata!E566="",FALSE,TRUE),OR(exact(metadata!E566,"TRUE"),exact(metadata!E566,"FALSE"))))</f>
        <v>0</v>
      </c>
      <c r="AF566">
        <f>IF(metadata!F566="",FALSE,TRUE)</f>
        <v>0</v>
      </c>
      <c r="AG566">
        <f>IF(metadata!G566="",FALSE,TRUE)</f>
        <v>0</v>
      </c>
      <c r="AH566">
        <f>IF(metadata!H566="",FALSE,TRUE)</f>
        <v>0</v>
      </c>
      <c r="AI566">
        <f>OR(AND(IF(metadata!I566="",FALSE,TRUE),OR(exact(metadata!I566,"missing: not collected"),exact(metadata!I566,"missing: not provided"),exact(metadata!I566,"missing: restricted access"))),AND(IF(metadata!I566="",FALSE,TRUE),OR(exact(metadata!I566,"air"),exact(metadata!I566,"built environment"),exact(metadata!I566,"host-associated"),exact(metadata!I566,"human-associated"),exact(metadata!I566,"human-skin"),exact(metadata!I566,"human-oral"),exact(metadata!I566,"human-gut"),exact(metadata!I566,"human-vaginal"),exact(metadata!I566,"microbial mat/biofilm"),exact(metadata!I566,"misc environment"),exact(metadata!I566,"plant-associated"),exact(metadata!I566,"sediment"),exact(metadata!I566,"soil"),exact(metadata!I566,"wastewater/sludge"),exact(metadata!I566,"water"))))</f>
        <v>0</v>
      </c>
      <c r="AJ566">
        <f>IF(metadata!J566="",FALSE,TRUE)</f>
        <v>0</v>
      </c>
      <c r="AK566">
        <f>OR(AND(IF(metadata!K566="",FALSE,TRUE),OR(exact(metadata!K566,"missing: not collected"),exact(metadata!K566,"missing: not provided"),exact(metadata!K566,"missing: restricted access"))),AND(IF(metadata!K566="",FALSE,ISNUMBER(VALUE(metadata!K566))),metadata!K566&gt;=-90.00,metadata!K566&lt;=90.00))</f>
        <v>0</v>
      </c>
      <c r="AL566">
        <f>OR(AND(IF(metadata!L566="",FALSE,TRUE),OR(exact(metadata!L566,"missing: not collected"),exact(metadata!L566,"missing: not provided"),exact(metadata!L566,"missing: restricted access"))),AND(IF(metadata!L566="",FALSE,ISNUMBER(VALUE(metadata!L566))),metadata!L566&gt;=-180.00,metadata!L566&lt;=180.00))</f>
        <v>0</v>
      </c>
      <c r="AM566">
        <f>IF(metadata!M566="",FALSE,TRUE)</f>
        <v>0</v>
      </c>
      <c r="AN566">
        <f>OR(AND(IF(metadata!N566="",FALSE,TRUE),OR(exact(metadata!N566,"missing: not collected"),exact(metadata!N566,"missing: not provided"),exact(metadata!N566,"missing: restricted access"))),AND(IF(metadata!N566="",FALSE,TRUE),OR(exact(metadata!N566,"TRUE"),exact(metadata!N566,"FALSE"))))</f>
        <v>0</v>
      </c>
      <c r="AO566">
        <f>IF(metadata!O566="",FALSE,TRUE)</f>
        <v>0</v>
      </c>
      <c r="AP566">
        <f>OR(AND(IF(metadata!P566="",FALSE,TRUE),OR(exact(metadata!P566,"missing: not collected"),exact(metadata!P566,"missing: not provided"))),AND(IF(metadata!P566="",FALSE,IF(ISERROR(INT(metadata!P566)),FALSE,INT(metadata!P566)=metadata!P566)),metadata!P566&gt;0))</f>
        <v>0</v>
      </c>
      <c r="AQ566">
        <f>IF(metadata!Q566="",FALSE,TRUE)</f>
        <v>0</v>
      </c>
    </row>
    <row r="567" spans="1:43">
      <c r="A567" s="5">
        <f>IF(B567=" "," ",HYPERLINK(CONCATENATE("#metadata!",ADDRESS(INDEX($W$2:$W$1001,MATCH(ROWS($U$2:U567),$U$2:$U$1001,0),0),1)),INDEX($Z$2:$Z$1001,MATCH(ROWS($U$2:U567),$U$2:$U$1001,0),0)))</f>
        <v>0</v>
      </c>
      <c r="B567" s="4">
        <f>IF(OR(INDEX($V$2:$V$1001,MATCH(ROWS($U$2:U567),$U$2:$U$1001,0),1)&gt;=100000,INDEX($AB$1005:$AQ$1005,1,MATCH(COLUMNS($AB$1006:AB1006),$AB$1006:$AQ$1006,0))&gt;=100000), " ",IF(INDEX($AB$2:$AQ$1001,MATCH(ROWS($U$2:U567),$U$2:$U$1001,0),MATCH(COLUMNS($AB$1006:AB1006),$AB$1006:$AQ$1006,0)), HYPERLINK("#",""), HYPERLINK(CONCATENATE("#metadata!", ADDRESS(INDEX($W$2:$W$1001,MATCH(ROWS($U$2:U567),$U$2:$U$1001,0),0), INDEX($AB$1004:$AQ$1004,1,MATCH(COLUMNS($AB$1006:AB1006),$AB$1006:$AQ$1006,0)))),"Fix")))</f>
        <v>0</v>
      </c>
      <c r="C567" s="4">
        <f>IF(OR(INDEX($V$2:$V$1001,MATCH(ROWS($U$2:U567),$U$2:$U$1001,0),1)&gt;=100000,INDEX($AB$1005:$AQ$1005,1,MATCH(COLUMNS($AB$1006:AC1006),$AB$1006:$AQ$1006,0))&gt;=100000), " ",IF(INDEX($AB$2:$AQ$1001,MATCH(ROWS($U$2:U567),$U$2:$U$1001,0),MATCH(COLUMNS($AB$1006:AC1006),$AB$1006:$AQ$1006,0)), HYPERLINK("#",""), HYPERLINK(CONCATENATE("#metadata!", ADDRESS(INDEX($W$2:$W$1001,MATCH(ROWS($U$2:U567),$U$2:$U$1001,0),0), INDEX($AB$1004:$AQ$1004,1,MATCH(COLUMNS($AB$1006:AC1006),$AB$1006:$AQ$1006,0)))),"Fix")))</f>
        <v>0</v>
      </c>
      <c r="D567" s="4">
        <f>IF(OR(INDEX($V$2:$V$1001,MATCH(ROWS($U$2:U567),$U$2:$U$1001,0),1)&gt;=100000,INDEX($AB$1005:$AQ$1005,1,MATCH(COLUMNS($AB$1006:AD1006),$AB$1006:$AQ$1006,0))&gt;=100000), " ",IF(INDEX($AB$2:$AQ$1001,MATCH(ROWS($U$2:U567),$U$2:$U$1001,0),MATCH(COLUMNS($AB$1006:AD1006),$AB$1006:$AQ$1006,0)), HYPERLINK("#",""), HYPERLINK(CONCATENATE("#metadata!", ADDRESS(INDEX($W$2:$W$1001,MATCH(ROWS($U$2:U567),$U$2:$U$1001,0),0), INDEX($AB$1004:$AQ$1004,1,MATCH(COLUMNS($AB$1006:AD1006),$AB$1006:$AQ$1006,0)))),"Fix")))</f>
        <v>0</v>
      </c>
      <c r="E567" s="4">
        <f>IF(OR(INDEX($V$2:$V$1001,MATCH(ROWS($U$2:U567),$U$2:$U$1001,0),1)&gt;=100000,INDEX($AB$1005:$AQ$1005,1,MATCH(COLUMNS($AB$1006:AE1006),$AB$1006:$AQ$1006,0))&gt;=100000), " ",IF(INDEX($AB$2:$AQ$1001,MATCH(ROWS($U$2:U567),$U$2:$U$1001,0),MATCH(COLUMNS($AB$1006:AE1006),$AB$1006:$AQ$1006,0)), HYPERLINK("#",""), HYPERLINK(CONCATENATE("#metadata!", ADDRESS(INDEX($W$2:$W$1001,MATCH(ROWS($U$2:U567),$U$2:$U$1001,0),0), INDEX($AB$1004:$AQ$1004,1,MATCH(COLUMNS($AB$1006:AE1006),$AB$1006:$AQ$1006,0)))),"Fix")))</f>
        <v>0</v>
      </c>
      <c r="F567" s="4">
        <f>IF(OR(INDEX($V$2:$V$1001,MATCH(ROWS($U$2:U567),$U$2:$U$1001,0),1)&gt;=100000,INDEX($AB$1005:$AQ$1005,1,MATCH(COLUMNS($AB$1006:AF1006),$AB$1006:$AQ$1006,0))&gt;=100000), " ",IF(INDEX($AB$2:$AQ$1001,MATCH(ROWS($U$2:U567),$U$2:$U$1001,0),MATCH(COLUMNS($AB$1006:AF1006),$AB$1006:$AQ$1006,0)), HYPERLINK("#",""), HYPERLINK(CONCATENATE("#metadata!", ADDRESS(INDEX($W$2:$W$1001,MATCH(ROWS($U$2:U567),$U$2:$U$1001,0),0), INDEX($AB$1004:$AQ$1004,1,MATCH(COLUMNS($AB$1006:AF1006),$AB$1006:$AQ$1006,0)))),"Fix")))</f>
        <v>0</v>
      </c>
      <c r="G567" s="4">
        <f>IF(OR(INDEX($V$2:$V$1001,MATCH(ROWS($U$2:U567),$U$2:$U$1001,0),1)&gt;=100000,INDEX($AB$1005:$AQ$1005,1,MATCH(COLUMNS($AB$1006:AG1006),$AB$1006:$AQ$1006,0))&gt;=100000), " ",IF(INDEX($AB$2:$AQ$1001,MATCH(ROWS($U$2:U567),$U$2:$U$1001,0),MATCH(COLUMNS($AB$1006:AG1006),$AB$1006:$AQ$1006,0)), HYPERLINK("#",""), HYPERLINK(CONCATENATE("#metadata!", ADDRESS(INDEX($W$2:$W$1001,MATCH(ROWS($U$2:U567),$U$2:$U$1001,0),0), INDEX($AB$1004:$AQ$1004,1,MATCH(COLUMNS($AB$1006:AG1006),$AB$1006:$AQ$1006,0)))),"Fix")))</f>
        <v>0</v>
      </c>
      <c r="H567" s="4">
        <f>IF(OR(INDEX($V$2:$V$1001,MATCH(ROWS($U$2:U567),$U$2:$U$1001,0),1)&gt;=100000,INDEX($AB$1005:$AQ$1005,1,MATCH(COLUMNS($AB$1006:AH1006),$AB$1006:$AQ$1006,0))&gt;=100000), " ",IF(INDEX($AB$2:$AQ$1001,MATCH(ROWS($U$2:U567),$U$2:$U$1001,0),MATCH(COLUMNS($AB$1006:AH1006),$AB$1006:$AQ$1006,0)), HYPERLINK("#",""), HYPERLINK(CONCATENATE("#metadata!", ADDRESS(INDEX($W$2:$W$1001,MATCH(ROWS($U$2:U567),$U$2:$U$1001,0),0), INDEX($AB$1004:$AQ$1004,1,MATCH(COLUMNS($AB$1006:AH1006),$AB$1006:$AQ$1006,0)))),"Fix")))</f>
        <v>0</v>
      </c>
      <c r="I567" s="4">
        <f>IF(OR(INDEX($V$2:$V$1001,MATCH(ROWS($U$2:U567),$U$2:$U$1001,0),1)&gt;=100000,INDEX($AB$1005:$AQ$1005,1,MATCH(COLUMNS($AB$1006:AI1006),$AB$1006:$AQ$1006,0))&gt;=100000), " ",IF(INDEX($AB$2:$AQ$1001,MATCH(ROWS($U$2:U567),$U$2:$U$1001,0),MATCH(COLUMNS($AB$1006:AI1006),$AB$1006:$AQ$1006,0)), HYPERLINK("#",""), HYPERLINK(CONCATENATE("#metadata!", ADDRESS(INDEX($W$2:$W$1001,MATCH(ROWS($U$2:U567),$U$2:$U$1001,0),0), INDEX($AB$1004:$AQ$1004,1,MATCH(COLUMNS($AB$1006:AI1006),$AB$1006:$AQ$1006,0)))),"Fix")))</f>
        <v>0</v>
      </c>
      <c r="J567" s="4">
        <f>IF(OR(INDEX($V$2:$V$1001,MATCH(ROWS($U$2:U567),$U$2:$U$1001,0),1)&gt;=100000,INDEX($AB$1005:$AQ$1005,1,MATCH(COLUMNS($AB$1006:AJ1006),$AB$1006:$AQ$1006,0))&gt;=100000), " ",IF(INDEX($AB$2:$AQ$1001,MATCH(ROWS($U$2:U567),$U$2:$U$1001,0),MATCH(COLUMNS($AB$1006:AJ1006),$AB$1006:$AQ$1006,0)), HYPERLINK("#",""), HYPERLINK(CONCATENATE("#metadata!", ADDRESS(INDEX($W$2:$W$1001,MATCH(ROWS($U$2:U567),$U$2:$U$1001,0),0), INDEX($AB$1004:$AQ$1004,1,MATCH(COLUMNS($AB$1006:AJ1006),$AB$1006:$AQ$1006,0)))),"Fix")))</f>
        <v>0</v>
      </c>
      <c r="K567" s="4">
        <f>IF(OR(INDEX($V$2:$V$1001,MATCH(ROWS($U$2:U567),$U$2:$U$1001,0),1)&gt;=100000,INDEX($AB$1005:$AQ$1005,1,MATCH(COLUMNS($AB$1006:AK1006),$AB$1006:$AQ$1006,0))&gt;=100000), " ",IF(INDEX($AB$2:$AQ$1001,MATCH(ROWS($U$2:U567),$U$2:$U$1001,0),MATCH(COLUMNS($AB$1006:AK1006),$AB$1006:$AQ$1006,0)), HYPERLINK("#",""), HYPERLINK(CONCATENATE("#metadata!", ADDRESS(INDEX($W$2:$W$1001,MATCH(ROWS($U$2:U567),$U$2:$U$1001,0),0), INDEX($AB$1004:$AQ$1004,1,MATCH(COLUMNS($AB$1006:AK1006),$AB$1006:$AQ$1006,0)))),"Fix")))</f>
        <v>0</v>
      </c>
      <c r="L567" s="4">
        <f>IF(OR(INDEX($V$2:$V$1001,MATCH(ROWS($U$2:U567),$U$2:$U$1001,0),1)&gt;=100000,INDEX($AB$1005:$AQ$1005,1,MATCH(COLUMNS($AB$1006:AL1006),$AB$1006:$AQ$1006,0))&gt;=100000), " ",IF(INDEX($AB$2:$AQ$1001,MATCH(ROWS($U$2:U567),$U$2:$U$1001,0),MATCH(COLUMNS($AB$1006:AL1006),$AB$1006:$AQ$1006,0)), HYPERLINK("#",""), HYPERLINK(CONCATENATE("#metadata!", ADDRESS(INDEX($W$2:$W$1001,MATCH(ROWS($U$2:U567),$U$2:$U$1001,0),0), INDEX($AB$1004:$AQ$1004,1,MATCH(COLUMNS($AB$1006:AL1006),$AB$1006:$AQ$1006,0)))),"Fix")))</f>
        <v>0</v>
      </c>
      <c r="M567" s="4">
        <f>IF(OR(INDEX($V$2:$V$1001,MATCH(ROWS($U$2:U567),$U$2:$U$1001,0),1)&gt;=100000,INDEX($AB$1005:$AQ$1005,1,MATCH(COLUMNS($AB$1006:AM1006),$AB$1006:$AQ$1006,0))&gt;=100000), " ",IF(INDEX($AB$2:$AQ$1001,MATCH(ROWS($U$2:U567),$U$2:$U$1001,0),MATCH(COLUMNS($AB$1006:AM1006),$AB$1006:$AQ$1006,0)), HYPERLINK("#",""), HYPERLINK(CONCATENATE("#metadata!", ADDRESS(INDEX($W$2:$W$1001,MATCH(ROWS($U$2:U567),$U$2:$U$1001,0),0), INDEX($AB$1004:$AQ$1004,1,MATCH(COLUMNS($AB$1006:AM1006),$AB$1006:$AQ$1006,0)))),"Fix")))</f>
        <v>0</v>
      </c>
      <c r="N567" s="4">
        <f>IF(OR(INDEX($V$2:$V$1001,MATCH(ROWS($U$2:U567),$U$2:$U$1001,0),1)&gt;=100000,INDEX($AB$1005:$AQ$1005,1,MATCH(COLUMNS($AB$1006:AN1006),$AB$1006:$AQ$1006,0))&gt;=100000), " ",IF(INDEX($AB$2:$AQ$1001,MATCH(ROWS($U$2:U567),$U$2:$U$1001,0),MATCH(COLUMNS($AB$1006:AN1006),$AB$1006:$AQ$1006,0)), HYPERLINK("#",""), HYPERLINK(CONCATENATE("#metadata!", ADDRESS(INDEX($W$2:$W$1001,MATCH(ROWS($U$2:U567),$U$2:$U$1001,0),0), INDEX($AB$1004:$AQ$1004,1,MATCH(COLUMNS($AB$1006:AN1006),$AB$1006:$AQ$1006,0)))),"Fix")))</f>
        <v>0</v>
      </c>
      <c r="O567" s="4">
        <f>IF(OR(INDEX($V$2:$V$1001,MATCH(ROWS($U$2:U567),$U$2:$U$1001,0),1)&gt;=100000,INDEX($AB$1005:$AQ$1005,1,MATCH(COLUMNS($AB$1006:AO1006),$AB$1006:$AQ$1006,0))&gt;=100000), " ",IF(INDEX($AB$2:$AQ$1001,MATCH(ROWS($U$2:U567),$U$2:$U$1001,0),MATCH(COLUMNS($AB$1006:AO1006),$AB$1006:$AQ$1006,0)), HYPERLINK("#",""), HYPERLINK(CONCATENATE("#metadata!", ADDRESS(INDEX($W$2:$W$1001,MATCH(ROWS($U$2:U567),$U$2:$U$1001,0),0), INDEX($AB$1004:$AQ$1004,1,MATCH(COLUMNS($AB$1006:AO1006),$AB$1006:$AQ$1006,0)))),"Fix")))</f>
        <v>0</v>
      </c>
      <c r="P567" s="4">
        <f>IF(OR(INDEX($V$2:$V$1001,MATCH(ROWS($U$2:U567),$U$2:$U$1001,0),1)&gt;=100000,INDEX($AB$1005:$AQ$1005,1,MATCH(COLUMNS($AB$1006:AP1006),$AB$1006:$AQ$1006,0))&gt;=100000), " ",IF(INDEX($AB$2:$AQ$1001,MATCH(ROWS($U$2:U567),$U$2:$U$1001,0),MATCH(COLUMNS($AB$1006:AP1006),$AB$1006:$AQ$1006,0)), HYPERLINK("#",""), HYPERLINK(CONCATENATE("#metadata!", ADDRESS(INDEX($W$2:$W$1001,MATCH(ROWS($U$2:U567),$U$2:$U$1001,0),0), INDEX($AB$1004:$AQ$1004,1,MATCH(COLUMNS($AB$1006:AP1006),$AB$1006:$AQ$1006,0)))),"Fix")))</f>
        <v>0</v>
      </c>
      <c r="Q567" s="4">
        <f>IF(OR(INDEX($V$2:$V$1001,MATCH(ROWS($U$2:U567),$U$2:$U$1001,0),1)&gt;=100000,INDEX($AB$1005:$AQ$1005,1,MATCH(COLUMNS($AB$1006:AQ1006),$AB$1006:$AQ$1006,0))&gt;=100000), " ",IF(INDEX($AB$2:$AQ$1001,MATCH(ROWS($U$2:U567),$U$2:$U$1001,0),MATCH(COLUMNS($AB$1006:AQ1006),$AB$1006:$AQ$1006,0)), HYPERLINK("#",""), HYPERLINK(CONCATENATE("#metadata!", ADDRESS(INDEX($W$2:$W$1001,MATCH(ROWS($U$2:U567),$U$2:$U$1001,0),0), INDEX($AB$1004:$AQ$1004,1,MATCH(COLUMNS($AB$1006:AQ1006),$AB$1006:$AQ$1006,0)))),"Fix")))</f>
        <v>0</v>
      </c>
      <c r="U567">
        <v>0</v>
      </c>
      <c r="V567">
        <v>0</v>
      </c>
      <c r="W567">
        <v>0</v>
      </c>
      <c r="X567">
        <f>IF(Y567,TRUE,AND(AB567:AQ567))</f>
        <v>0</v>
      </c>
      <c r="Y567">
        <f>COUNTBLANK(metadata!B567:Q567)=COLUMNS(metadata!B567:Q567)</f>
        <v>0</v>
      </c>
      <c r="Z567">
        <v>0</v>
      </c>
      <c r="AB567">
        <f>AND(IF(metadata!B567="",FALSE,TRUE),COUNTIF(metadata!B:B, metadata!B567) = 1,NOT(ISERROR(SUMPRODUCT(SEARCH(MID(metadata!B567,ROW(INDIRECT("1:"&amp;LEN(metadata!B567))), 1),"0123456789abcdefghijklmnopqrstuvwxyzABCDEFGHIJKLMNOPQRSTUVWXYZ.")))))</f>
        <v>0</v>
      </c>
      <c r="AC567">
        <f>OR(AND(IF(metadata!C567="",FALSE,TRUE),OR(exact(metadata!C567,"missing: not collected"),exact(metadata!C567,"missing: not provided"),exact(metadata!C567,"missing: restricted access"))),AND(IF(metadata!C567="",FALSE,TRUE),AND(AND(IFERROR(INT(LEFT(metadata!C567,4))&gt;1900,FALSE),IFERROR(INT(LEFT(metadata!C567,4))&lt;=YEAR(NOW()),FALSE)), OR(MID(metadata!C567,5,1)="", AND(AND(MID(metadata!C567,5,1)="-",IFERROR(INT(MID(metadata!C567,6,1))&gt;=0,FALSE),IFERROR(INT(MID(metadata!C567,6,1))&lt;=1,FALSE),NOT(MID(metadata!C567,7,1)=""),IFERROR(INT(MID(metadata!C567,6,2))&gt;=1,FALSE),IFERROR(INT(MID(metadata!C567,6,2))&lt;=12,FALSE)), OR(MID(metadata!C567,8,1)="", AND(AND(MID(metadata!C567,8,1)="-",IFERROR(INT(MID(metadata!C567,9,1))&gt;=0,FALSE),IFERROR(INT(MID(metadata!C567,9,1))&lt;=3,FALSE),NOT(MID(metadata!C567,10,1)=""),IFERROR(INT(MID(metadata!C567,9,2))&gt;=1,FALSE),IFERROR(INT(MID(metadata!C567,9,2))&lt;=31,FALSE)), OR(MID(metadata!C567,11,1)="", AND(AND(MID(metadata!C567,11,1)=" ",IFERROR(INT(MID(metadata!C567,12,1))&gt;=0,FALSE),IFERROR(INT(MID(metadata!C567,12,1))&lt;=2,FALSE),NOT(MID(metadata!C567,13,1)=""),IFERROR(INT(MID(metadata!C567,12,2))&gt;=0,FALSE),IFERROR(INT(MID(metadata!C567,12,2))&lt;=23,FALSE)), OR(MID(metadata!C567,14,1)="", AND(AND(MID(metadata!C567,14,1)=":",IFERROR(INT(MID(metadata!C567,15,1))&gt;=0,FALSE),IFERROR(INT(MID(metadata!C567,15,1))&lt;=5,FALSE),NOT(MID(metadata!C567,16,1)=""),IFERROR(INT(MID(metadata!C567,15,2))&gt;=0,FALSE),IFERROR(INT(MID(metadata!C567,15,2))&lt;=59,FALSE)), OR(MID(metadata!C567,17,1)="", AND(AND(MID(metadata!C567,17,1)=":",IFERROR(INT(MID(metadata!C567,18,1))&gt;=0,FALSE),IFERROR(INT(MID(metadata!C567,18,1))&lt;=5,FALSE),NOT(MID(metadata!C567,19,1)=""),IFERROR(INT(MID(metadata!C567,18,2))&gt;=0,FALSE),IFERROR(INT(MID(metadata!C567,18,2))&lt;=59,FALSE)), LEN(metadata!C567)&lt;=19)))))))))))))</f>
        <v>0</v>
      </c>
      <c r="AD567">
        <f>IF(metadata!D567="",FALSE,TRUE)</f>
        <v>0</v>
      </c>
      <c r="AE567">
        <f>OR(AND(IF(metadata!E567="",FALSE,TRUE),OR(exact(metadata!E567,"missing: not collected"),exact(metadata!E567,"missing: not provided"))),AND(IF(metadata!E567="",FALSE,TRUE),OR(exact(metadata!E567,"TRUE"),exact(metadata!E567,"FALSE"))))</f>
        <v>0</v>
      </c>
      <c r="AF567">
        <f>IF(metadata!F567="",FALSE,TRUE)</f>
        <v>0</v>
      </c>
      <c r="AG567">
        <f>IF(metadata!G567="",FALSE,TRUE)</f>
        <v>0</v>
      </c>
      <c r="AH567">
        <f>IF(metadata!H567="",FALSE,TRUE)</f>
        <v>0</v>
      </c>
      <c r="AI567">
        <f>OR(AND(IF(metadata!I567="",FALSE,TRUE),OR(exact(metadata!I567,"missing: not collected"),exact(metadata!I567,"missing: not provided"),exact(metadata!I567,"missing: restricted access"))),AND(IF(metadata!I567="",FALSE,TRUE),OR(exact(metadata!I567,"air"),exact(metadata!I567,"built environment"),exact(metadata!I567,"host-associated"),exact(metadata!I567,"human-associated"),exact(metadata!I567,"human-skin"),exact(metadata!I567,"human-oral"),exact(metadata!I567,"human-gut"),exact(metadata!I567,"human-vaginal"),exact(metadata!I567,"microbial mat/biofilm"),exact(metadata!I567,"misc environment"),exact(metadata!I567,"plant-associated"),exact(metadata!I567,"sediment"),exact(metadata!I567,"soil"),exact(metadata!I567,"wastewater/sludge"),exact(metadata!I567,"water"))))</f>
        <v>0</v>
      </c>
      <c r="AJ567">
        <f>IF(metadata!J567="",FALSE,TRUE)</f>
        <v>0</v>
      </c>
      <c r="AK567">
        <f>OR(AND(IF(metadata!K567="",FALSE,TRUE),OR(exact(metadata!K567,"missing: not collected"),exact(metadata!K567,"missing: not provided"),exact(metadata!K567,"missing: restricted access"))),AND(IF(metadata!K567="",FALSE,ISNUMBER(VALUE(metadata!K567))),metadata!K567&gt;=-90.00,metadata!K567&lt;=90.00))</f>
        <v>0</v>
      </c>
      <c r="AL567">
        <f>OR(AND(IF(metadata!L567="",FALSE,TRUE),OR(exact(metadata!L567,"missing: not collected"),exact(metadata!L567,"missing: not provided"),exact(metadata!L567,"missing: restricted access"))),AND(IF(metadata!L567="",FALSE,ISNUMBER(VALUE(metadata!L567))),metadata!L567&gt;=-180.00,metadata!L567&lt;=180.00))</f>
        <v>0</v>
      </c>
      <c r="AM567">
        <f>IF(metadata!M567="",FALSE,TRUE)</f>
        <v>0</v>
      </c>
      <c r="AN567">
        <f>OR(AND(IF(metadata!N567="",FALSE,TRUE),OR(exact(metadata!N567,"missing: not collected"),exact(metadata!N567,"missing: not provided"),exact(metadata!N567,"missing: restricted access"))),AND(IF(metadata!N567="",FALSE,TRUE),OR(exact(metadata!N567,"TRUE"),exact(metadata!N567,"FALSE"))))</f>
        <v>0</v>
      </c>
      <c r="AO567">
        <f>IF(metadata!O567="",FALSE,TRUE)</f>
        <v>0</v>
      </c>
      <c r="AP567">
        <f>OR(AND(IF(metadata!P567="",FALSE,TRUE),OR(exact(metadata!P567,"missing: not collected"),exact(metadata!P567,"missing: not provided"))),AND(IF(metadata!P567="",FALSE,IF(ISERROR(INT(metadata!P567)),FALSE,INT(metadata!P567)=metadata!P567)),metadata!P567&gt;0))</f>
        <v>0</v>
      </c>
      <c r="AQ567">
        <f>IF(metadata!Q567="",FALSE,TRUE)</f>
        <v>0</v>
      </c>
    </row>
    <row r="568" spans="1:43">
      <c r="A568" s="5">
        <f>IF(B568=" "," ",HYPERLINK(CONCATENATE("#metadata!",ADDRESS(INDEX($W$2:$W$1001,MATCH(ROWS($U$2:U568),$U$2:$U$1001,0),0),1)),INDEX($Z$2:$Z$1001,MATCH(ROWS($U$2:U568),$U$2:$U$1001,0),0)))</f>
        <v>0</v>
      </c>
      <c r="B568" s="4">
        <f>IF(OR(INDEX($V$2:$V$1001,MATCH(ROWS($U$2:U568),$U$2:$U$1001,0),1)&gt;=100000,INDEX($AB$1005:$AQ$1005,1,MATCH(COLUMNS($AB$1006:AB1006),$AB$1006:$AQ$1006,0))&gt;=100000), " ",IF(INDEX($AB$2:$AQ$1001,MATCH(ROWS($U$2:U568),$U$2:$U$1001,0),MATCH(COLUMNS($AB$1006:AB1006),$AB$1006:$AQ$1006,0)), HYPERLINK("#",""), HYPERLINK(CONCATENATE("#metadata!", ADDRESS(INDEX($W$2:$W$1001,MATCH(ROWS($U$2:U568),$U$2:$U$1001,0),0), INDEX($AB$1004:$AQ$1004,1,MATCH(COLUMNS($AB$1006:AB1006),$AB$1006:$AQ$1006,0)))),"Fix")))</f>
        <v>0</v>
      </c>
      <c r="C568" s="4">
        <f>IF(OR(INDEX($V$2:$V$1001,MATCH(ROWS($U$2:U568),$U$2:$U$1001,0),1)&gt;=100000,INDEX($AB$1005:$AQ$1005,1,MATCH(COLUMNS($AB$1006:AC1006),$AB$1006:$AQ$1006,0))&gt;=100000), " ",IF(INDEX($AB$2:$AQ$1001,MATCH(ROWS($U$2:U568),$U$2:$U$1001,0),MATCH(COLUMNS($AB$1006:AC1006),$AB$1006:$AQ$1006,0)), HYPERLINK("#",""), HYPERLINK(CONCATENATE("#metadata!", ADDRESS(INDEX($W$2:$W$1001,MATCH(ROWS($U$2:U568),$U$2:$U$1001,0),0), INDEX($AB$1004:$AQ$1004,1,MATCH(COLUMNS($AB$1006:AC1006),$AB$1006:$AQ$1006,0)))),"Fix")))</f>
        <v>0</v>
      </c>
      <c r="D568" s="4">
        <f>IF(OR(INDEX($V$2:$V$1001,MATCH(ROWS($U$2:U568),$U$2:$U$1001,0),1)&gt;=100000,INDEX($AB$1005:$AQ$1005,1,MATCH(COLUMNS($AB$1006:AD1006),$AB$1006:$AQ$1006,0))&gt;=100000), " ",IF(INDEX($AB$2:$AQ$1001,MATCH(ROWS($U$2:U568),$U$2:$U$1001,0),MATCH(COLUMNS($AB$1006:AD1006),$AB$1006:$AQ$1006,0)), HYPERLINK("#",""), HYPERLINK(CONCATENATE("#metadata!", ADDRESS(INDEX($W$2:$W$1001,MATCH(ROWS($U$2:U568),$U$2:$U$1001,0),0), INDEX($AB$1004:$AQ$1004,1,MATCH(COLUMNS($AB$1006:AD1006),$AB$1006:$AQ$1006,0)))),"Fix")))</f>
        <v>0</v>
      </c>
      <c r="E568" s="4">
        <f>IF(OR(INDEX($V$2:$V$1001,MATCH(ROWS($U$2:U568),$U$2:$U$1001,0),1)&gt;=100000,INDEX($AB$1005:$AQ$1005,1,MATCH(COLUMNS($AB$1006:AE1006),$AB$1006:$AQ$1006,0))&gt;=100000), " ",IF(INDEX($AB$2:$AQ$1001,MATCH(ROWS($U$2:U568),$U$2:$U$1001,0),MATCH(COLUMNS($AB$1006:AE1006),$AB$1006:$AQ$1006,0)), HYPERLINK("#",""), HYPERLINK(CONCATENATE("#metadata!", ADDRESS(INDEX($W$2:$W$1001,MATCH(ROWS($U$2:U568),$U$2:$U$1001,0),0), INDEX($AB$1004:$AQ$1004,1,MATCH(COLUMNS($AB$1006:AE1006),$AB$1006:$AQ$1006,0)))),"Fix")))</f>
        <v>0</v>
      </c>
      <c r="F568" s="4">
        <f>IF(OR(INDEX($V$2:$V$1001,MATCH(ROWS($U$2:U568),$U$2:$U$1001,0),1)&gt;=100000,INDEX($AB$1005:$AQ$1005,1,MATCH(COLUMNS($AB$1006:AF1006),$AB$1006:$AQ$1006,0))&gt;=100000), " ",IF(INDEX($AB$2:$AQ$1001,MATCH(ROWS($U$2:U568),$U$2:$U$1001,0),MATCH(COLUMNS($AB$1006:AF1006),$AB$1006:$AQ$1006,0)), HYPERLINK("#",""), HYPERLINK(CONCATENATE("#metadata!", ADDRESS(INDEX($W$2:$W$1001,MATCH(ROWS($U$2:U568),$U$2:$U$1001,0),0), INDEX($AB$1004:$AQ$1004,1,MATCH(COLUMNS($AB$1006:AF1006),$AB$1006:$AQ$1006,0)))),"Fix")))</f>
        <v>0</v>
      </c>
      <c r="G568" s="4">
        <f>IF(OR(INDEX($V$2:$V$1001,MATCH(ROWS($U$2:U568),$U$2:$U$1001,0),1)&gt;=100000,INDEX($AB$1005:$AQ$1005,1,MATCH(COLUMNS($AB$1006:AG1006),$AB$1006:$AQ$1006,0))&gt;=100000), " ",IF(INDEX($AB$2:$AQ$1001,MATCH(ROWS($U$2:U568),$U$2:$U$1001,0),MATCH(COLUMNS($AB$1006:AG1006),$AB$1006:$AQ$1006,0)), HYPERLINK("#",""), HYPERLINK(CONCATENATE("#metadata!", ADDRESS(INDEX($W$2:$W$1001,MATCH(ROWS($U$2:U568),$U$2:$U$1001,0),0), INDEX($AB$1004:$AQ$1004,1,MATCH(COLUMNS($AB$1006:AG1006),$AB$1006:$AQ$1006,0)))),"Fix")))</f>
        <v>0</v>
      </c>
      <c r="H568" s="4">
        <f>IF(OR(INDEX($V$2:$V$1001,MATCH(ROWS($U$2:U568),$U$2:$U$1001,0),1)&gt;=100000,INDEX($AB$1005:$AQ$1005,1,MATCH(COLUMNS($AB$1006:AH1006),$AB$1006:$AQ$1006,0))&gt;=100000), " ",IF(INDEX($AB$2:$AQ$1001,MATCH(ROWS($U$2:U568),$U$2:$U$1001,0),MATCH(COLUMNS($AB$1006:AH1006),$AB$1006:$AQ$1006,0)), HYPERLINK("#",""), HYPERLINK(CONCATENATE("#metadata!", ADDRESS(INDEX($W$2:$W$1001,MATCH(ROWS($U$2:U568),$U$2:$U$1001,0),0), INDEX($AB$1004:$AQ$1004,1,MATCH(COLUMNS($AB$1006:AH1006),$AB$1006:$AQ$1006,0)))),"Fix")))</f>
        <v>0</v>
      </c>
      <c r="I568" s="4">
        <f>IF(OR(INDEX($V$2:$V$1001,MATCH(ROWS($U$2:U568),$U$2:$U$1001,0),1)&gt;=100000,INDEX($AB$1005:$AQ$1005,1,MATCH(COLUMNS($AB$1006:AI1006),$AB$1006:$AQ$1006,0))&gt;=100000), " ",IF(INDEX($AB$2:$AQ$1001,MATCH(ROWS($U$2:U568),$U$2:$U$1001,0),MATCH(COLUMNS($AB$1006:AI1006),$AB$1006:$AQ$1006,0)), HYPERLINK("#",""), HYPERLINK(CONCATENATE("#metadata!", ADDRESS(INDEX($W$2:$W$1001,MATCH(ROWS($U$2:U568),$U$2:$U$1001,0),0), INDEX($AB$1004:$AQ$1004,1,MATCH(COLUMNS($AB$1006:AI1006),$AB$1006:$AQ$1006,0)))),"Fix")))</f>
        <v>0</v>
      </c>
      <c r="J568" s="4">
        <f>IF(OR(INDEX($V$2:$V$1001,MATCH(ROWS($U$2:U568),$U$2:$U$1001,0),1)&gt;=100000,INDEX($AB$1005:$AQ$1005,1,MATCH(COLUMNS($AB$1006:AJ1006),$AB$1006:$AQ$1006,0))&gt;=100000), " ",IF(INDEX($AB$2:$AQ$1001,MATCH(ROWS($U$2:U568),$U$2:$U$1001,0),MATCH(COLUMNS($AB$1006:AJ1006),$AB$1006:$AQ$1006,0)), HYPERLINK("#",""), HYPERLINK(CONCATENATE("#metadata!", ADDRESS(INDEX($W$2:$W$1001,MATCH(ROWS($U$2:U568),$U$2:$U$1001,0),0), INDEX($AB$1004:$AQ$1004,1,MATCH(COLUMNS($AB$1006:AJ1006),$AB$1006:$AQ$1006,0)))),"Fix")))</f>
        <v>0</v>
      </c>
      <c r="K568" s="4">
        <f>IF(OR(INDEX($V$2:$V$1001,MATCH(ROWS($U$2:U568),$U$2:$U$1001,0),1)&gt;=100000,INDEX($AB$1005:$AQ$1005,1,MATCH(COLUMNS($AB$1006:AK1006),$AB$1006:$AQ$1006,0))&gt;=100000), " ",IF(INDEX($AB$2:$AQ$1001,MATCH(ROWS($U$2:U568),$U$2:$U$1001,0),MATCH(COLUMNS($AB$1006:AK1006),$AB$1006:$AQ$1006,0)), HYPERLINK("#",""), HYPERLINK(CONCATENATE("#metadata!", ADDRESS(INDEX($W$2:$W$1001,MATCH(ROWS($U$2:U568),$U$2:$U$1001,0),0), INDEX($AB$1004:$AQ$1004,1,MATCH(COLUMNS($AB$1006:AK1006),$AB$1006:$AQ$1006,0)))),"Fix")))</f>
        <v>0</v>
      </c>
      <c r="L568" s="4">
        <f>IF(OR(INDEX($V$2:$V$1001,MATCH(ROWS($U$2:U568),$U$2:$U$1001,0),1)&gt;=100000,INDEX($AB$1005:$AQ$1005,1,MATCH(COLUMNS($AB$1006:AL1006),$AB$1006:$AQ$1006,0))&gt;=100000), " ",IF(INDEX($AB$2:$AQ$1001,MATCH(ROWS($U$2:U568),$U$2:$U$1001,0),MATCH(COLUMNS($AB$1006:AL1006),$AB$1006:$AQ$1006,0)), HYPERLINK("#",""), HYPERLINK(CONCATENATE("#metadata!", ADDRESS(INDEX($W$2:$W$1001,MATCH(ROWS($U$2:U568),$U$2:$U$1001,0),0), INDEX($AB$1004:$AQ$1004,1,MATCH(COLUMNS($AB$1006:AL1006),$AB$1006:$AQ$1006,0)))),"Fix")))</f>
        <v>0</v>
      </c>
      <c r="M568" s="4">
        <f>IF(OR(INDEX($V$2:$V$1001,MATCH(ROWS($U$2:U568),$U$2:$U$1001,0),1)&gt;=100000,INDEX($AB$1005:$AQ$1005,1,MATCH(COLUMNS($AB$1006:AM1006),$AB$1006:$AQ$1006,0))&gt;=100000), " ",IF(INDEX($AB$2:$AQ$1001,MATCH(ROWS($U$2:U568),$U$2:$U$1001,0),MATCH(COLUMNS($AB$1006:AM1006),$AB$1006:$AQ$1006,0)), HYPERLINK("#",""), HYPERLINK(CONCATENATE("#metadata!", ADDRESS(INDEX($W$2:$W$1001,MATCH(ROWS($U$2:U568),$U$2:$U$1001,0),0), INDEX($AB$1004:$AQ$1004,1,MATCH(COLUMNS($AB$1006:AM1006),$AB$1006:$AQ$1006,0)))),"Fix")))</f>
        <v>0</v>
      </c>
      <c r="N568" s="4">
        <f>IF(OR(INDEX($V$2:$V$1001,MATCH(ROWS($U$2:U568),$U$2:$U$1001,0),1)&gt;=100000,INDEX($AB$1005:$AQ$1005,1,MATCH(COLUMNS($AB$1006:AN1006),$AB$1006:$AQ$1006,0))&gt;=100000), " ",IF(INDEX($AB$2:$AQ$1001,MATCH(ROWS($U$2:U568),$U$2:$U$1001,0),MATCH(COLUMNS($AB$1006:AN1006),$AB$1006:$AQ$1006,0)), HYPERLINK("#",""), HYPERLINK(CONCATENATE("#metadata!", ADDRESS(INDEX($W$2:$W$1001,MATCH(ROWS($U$2:U568),$U$2:$U$1001,0),0), INDEX($AB$1004:$AQ$1004,1,MATCH(COLUMNS($AB$1006:AN1006),$AB$1006:$AQ$1006,0)))),"Fix")))</f>
        <v>0</v>
      </c>
      <c r="O568" s="4">
        <f>IF(OR(INDEX($V$2:$V$1001,MATCH(ROWS($U$2:U568),$U$2:$U$1001,0),1)&gt;=100000,INDEX($AB$1005:$AQ$1005,1,MATCH(COLUMNS($AB$1006:AO1006),$AB$1006:$AQ$1006,0))&gt;=100000), " ",IF(INDEX($AB$2:$AQ$1001,MATCH(ROWS($U$2:U568),$U$2:$U$1001,0),MATCH(COLUMNS($AB$1006:AO1006),$AB$1006:$AQ$1006,0)), HYPERLINK("#",""), HYPERLINK(CONCATENATE("#metadata!", ADDRESS(INDEX($W$2:$W$1001,MATCH(ROWS($U$2:U568),$U$2:$U$1001,0),0), INDEX($AB$1004:$AQ$1004,1,MATCH(COLUMNS($AB$1006:AO1006),$AB$1006:$AQ$1006,0)))),"Fix")))</f>
        <v>0</v>
      </c>
      <c r="P568" s="4">
        <f>IF(OR(INDEX($V$2:$V$1001,MATCH(ROWS($U$2:U568),$U$2:$U$1001,0),1)&gt;=100000,INDEX($AB$1005:$AQ$1005,1,MATCH(COLUMNS($AB$1006:AP1006),$AB$1006:$AQ$1006,0))&gt;=100000), " ",IF(INDEX($AB$2:$AQ$1001,MATCH(ROWS($U$2:U568),$U$2:$U$1001,0),MATCH(COLUMNS($AB$1006:AP1006),$AB$1006:$AQ$1006,0)), HYPERLINK("#",""), HYPERLINK(CONCATENATE("#metadata!", ADDRESS(INDEX($W$2:$W$1001,MATCH(ROWS($U$2:U568),$U$2:$U$1001,0),0), INDEX($AB$1004:$AQ$1004,1,MATCH(COLUMNS($AB$1006:AP1006),$AB$1006:$AQ$1006,0)))),"Fix")))</f>
        <v>0</v>
      </c>
      <c r="Q568" s="4">
        <f>IF(OR(INDEX($V$2:$V$1001,MATCH(ROWS($U$2:U568),$U$2:$U$1001,0),1)&gt;=100000,INDEX($AB$1005:$AQ$1005,1,MATCH(COLUMNS($AB$1006:AQ1006),$AB$1006:$AQ$1006,0))&gt;=100000), " ",IF(INDEX($AB$2:$AQ$1001,MATCH(ROWS($U$2:U568),$U$2:$U$1001,0),MATCH(COLUMNS($AB$1006:AQ1006),$AB$1006:$AQ$1006,0)), HYPERLINK("#",""), HYPERLINK(CONCATENATE("#metadata!", ADDRESS(INDEX($W$2:$W$1001,MATCH(ROWS($U$2:U568),$U$2:$U$1001,0),0), INDEX($AB$1004:$AQ$1004,1,MATCH(COLUMNS($AB$1006:AQ1006),$AB$1006:$AQ$1006,0)))),"Fix")))</f>
        <v>0</v>
      </c>
      <c r="U568">
        <v>0</v>
      </c>
      <c r="V568">
        <v>0</v>
      </c>
      <c r="W568">
        <v>0</v>
      </c>
      <c r="X568">
        <f>IF(Y568,TRUE,AND(AB568:AQ568))</f>
        <v>0</v>
      </c>
      <c r="Y568">
        <f>COUNTBLANK(metadata!B568:Q568)=COLUMNS(metadata!B568:Q568)</f>
        <v>0</v>
      </c>
      <c r="Z568">
        <v>0</v>
      </c>
      <c r="AB568">
        <f>AND(IF(metadata!B568="",FALSE,TRUE),COUNTIF(metadata!B:B, metadata!B568) = 1,NOT(ISERROR(SUMPRODUCT(SEARCH(MID(metadata!B568,ROW(INDIRECT("1:"&amp;LEN(metadata!B568))), 1),"0123456789abcdefghijklmnopqrstuvwxyzABCDEFGHIJKLMNOPQRSTUVWXYZ.")))))</f>
        <v>0</v>
      </c>
      <c r="AC568">
        <f>OR(AND(IF(metadata!C568="",FALSE,TRUE),OR(exact(metadata!C568,"missing: not collected"),exact(metadata!C568,"missing: not provided"),exact(metadata!C568,"missing: restricted access"))),AND(IF(metadata!C568="",FALSE,TRUE),AND(AND(IFERROR(INT(LEFT(metadata!C568,4))&gt;1900,FALSE),IFERROR(INT(LEFT(metadata!C568,4))&lt;=YEAR(NOW()),FALSE)), OR(MID(metadata!C568,5,1)="", AND(AND(MID(metadata!C568,5,1)="-",IFERROR(INT(MID(metadata!C568,6,1))&gt;=0,FALSE),IFERROR(INT(MID(metadata!C568,6,1))&lt;=1,FALSE),NOT(MID(metadata!C568,7,1)=""),IFERROR(INT(MID(metadata!C568,6,2))&gt;=1,FALSE),IFERROR(INT(MID(metadata!C568,6,2))&lt;=12,FALSE)), OR(MID(metadata!C568,8,1)="", AND(AND(MID(metadata!C568,8,1)="-",IFERROR(INT(MID(metadata!C568,9,1))&gt;=0,FALSE),IFERROR(INT(MID(metadata!C568,9,1))&lt;=3,FALSE),NOT(MID(metadata!C568,10,1)=""),IFERROR(INT(MID(metadata!C568,9,2))&gt;=1,FALSE),IFERROR(INT(MID(metadata!C568,9,2))&lt;=31,FALSE)), OR(MID(metadata!C568,11,1)="", AND(AND(MID(metadata!C568,11,1)=" ",IFERROR(INT(MID(metadata!C568,12,1))&gt;=0,FALSE),IFERROR(INT(MID(metadata!C568,12,1))&lt;=2,FALSE),NOT(MID(metadata!C568,13,1)=""),IFERROR(INT(MID(metadata!C568,12,2))&gt;=0,FALSE),IFERROR(INT(MID(metadata!C568,12,2))&lt;=23,FALSE)), OR(MID(metadata!C568,14,1)="", AND(AND(MID(metadata!C568,14,1)=":",IFERROR(INT(MID(metadata!C568,15,1))&gt;=0,FALSE),IFERROR(INT(MID(metadata!C568,15,1))&lt;=5,FALSE),NOT(MID(metadata!C568,16,1)=""),IFERROR(INT(MID(metadata!C568,15,2))&gt;=0,FALSE),IFERROR(INT(MID(metadata!C568,15,2))&lt;=59,FALSE)), OR(MID(metadata!C568,17,1)="", AND(AND(MID(metadata!C568,17,1)=":",IFERROR(INT(MID(metadata!C568,18,1))&gt;=0,FALSE),IFERROR(INT(MID(metadata!C568,18,1))&lt;=5,FALSE),NOT(MID(metadata!C568,19,1)=""),IFERROR(INT(MID(metadata!C568,18,2))&gt;=0,FALSE),IFERROR(INT(MID(metadata!C568,18,2))&lt;=59,FALSE)), LEN(metadata!C568)&lt;=19)))))))))))))</f>
        <v>0</v>
      </c>
      <c r="AD568">
        <f>IF(metadata!D568="",FALSE,TRUE)</f>
        <v>0</v>
      </c>
      <c r="AE568">
        <f>OR(AND(IF(metadata!E568="",FALSE,TRUE),OR(exact(metadata!E568,"missing: not collected"),exact(metadata!E568,"missing: not provided"))),AND(IF(metadata!E568="",FALSE,TRUE),OR(exact(metadata!E568,"TRUE"),exact(metadata!E568,"FALSE"))))</f>
        <v>0</v>
      </c>
      <c r="AF568">
        <f>IF(metadata!F568="",FALSE,TRUE)</f>
        <v>0</v>
      </c>
      <c r="AG568">
        <f>IF(metadata!G568="",FALSE,TRUE)</f>
        <v>0</v>
      </c>
      <c r="AH568">
        <f>IF(metadata!H568="",FALSE,TRUE)</f>
        <v>0</v>
      </c>
      <c r="AI568">
        <f>OR(AND(IF(metadata!I568="",FALSE,TRUE),OR(exact(metadata!I568,"missing: not collected"),exact(metadata!I568,"missing: not provided"),exact(metadata!I568,"missing: restricted access"))),AND(IF(metadata!I568="",FALSE,TRUE),OR(exact(metadata!I568,"air"),exact(metadata!I568,"built environment"),exact(metadata!I568,"host-associated"),exact(metadata!I568,"human-associated"),exact(metadata!I568,"human-skin"),exact(metadata!I568,"human-oral"),exact(metadata!I568,"human-gut"),exact(metadata!I568,"human-vaginal"),exact(metadata!I568,"microbial mat/biofilm"),exact(metadata!I568,"misc environment"),exact(metadata!I568,"plant-associated"),exact(metadata!I568,"sediment"),exact(metadata!I568,"soil"),exact(metadata!I568,"wastewater/sludge"),exact(metadata!I568,"water"))))</f>
        <v>0</v>
      </c>
      <c r="AJ568">
        <f>IF(metadata!J568="",FALSE,TRUE)</f>
        <v>0</v>
      </c>
      <c r="AK568">
        <f>OR(AND(IF(metadata!K568="",FALSE,TRUE),OR(exact(metadata!K568,"missing: not collected"),exact(metadata!K568,"missing: not provided"),exact(metadata!K568,"missing: restricted access"))),AND(IF(metadata!K568="",FALSE,ISNUMBER(VALUE(metadata!K568))),metadata!K568&gt;=-90.00,metadata!K568&lt;=90.00))</f>
        <v>0</v>
      </c>
      <c r="AL568">
        <f>OR(AND(IF(metadata!L568="",FALSE,TRUE),OR(exact(metadata!L568,"missing: not collected"),exact(metadata!L568,"missing: not provided"),exact(metadata!L568,"missing: restricted access"))),AND(IF(metadata!L568="",FALSE,ISNUMBER(VALUE(metadata!L568))),metadata!L568&gt;=-180.00,metadata!L568&lt;=180.00))</f>
        <v>0</v>
      </c>
      <c r="AM568">
        <f>IF(metadata!M568="",FALSE,TRUE)</f>
        <v>0</v>
      </c>
      <c r="AN568">
        <f>OR(AND(IF(metadata!N568="",FALSE,TRUE),OR(exact(metadata!N568,"missing: not collected"),exact(metadata!N568,"missing: not provided"),exact(metadata!N568,"missing: restricted access"))),AND(IF(metadata!N568="",FALSE,TRUE),OR(exact(metadata!N568,"TRUE"),exact(metadata!N568,"FALSE"))))</f>
        <v>0</v>
      </c>
      <c r="AO568">
        <f>IF(metadata!O568="",FALSE,TRUE)</f>
        <v>0</v>
      </c>
      <c r="AP568">
        <f>OR(AND(IF(metadata!P568="",FALSE,TRUE),OR(exact(metadata!P568,"missing: not collected"),exact(metadata!P568,"missing: not provided"))),AND(IF(metadata!P568="",FALSE,IF(ISERROR(INT(metadata!P568)),FALSE,INT(metadata!P568)=metadata!P568)),metadata!P568&gt;0))</f>
        <v>0</v>
      </c>
      <c r="AQ568">
        <f>IF(metadata!Q568="",FALSE,TRUE)</f>
        <v>0</v>
      </c>
    </row>
    <row r="569" spans="1:43">
      <c r="A569" s="5">
        <f>IF(B569=" "," ",HYPERLINK(CONCATENATE("#metadata!",ADDRESS(INDEX($W$2:$W$1001,MATCH(ROWS($U$2:U569),$U$2:$U$1001,0),0),1)),INDEX($Z$2:$Z$1001,MATCH(ROWS($U$2:U569),$U$2:$U$1001,0),0)))</f>
        <v>0</v>
      </c>
      <c r="B569" s="4">
        <f>IF(OR(INDEX($V$2:$V$1001,MATCH(ROWS($U$2:U569),$U$2:$U$1001,0),1)&gt;=100000,INDEX($AB$1005:$AQ$1005,1,MATCH(COLUMNS($AB$1006:AB1006),$AB$1006:$AQ$1006,0))&gt;=100000), " ",IF(INDEX($AB$2:$AQ$1001,MATCH(ROWS($U$2:U569),$U$2:$U$1001,0),MATCH(COLUMNS($AB$1006:AB1006),$AB$1006:$AQ$1006,0)), HYPERLINK("#",""), HYPERLINK(CONCATENATE("#metadata!", ADDRESS(INDEX($W$2:$W$1001,MATCH(ROWS($U$2:U569),$U$2:$U$1001,0),0), INDEX($AB$1004:$AQ$1004,1,MATCH(COLUMNS($AB$1006:AB1006),$AB$1006:$AQ$1006,0)))),"Fix")))</f>
        <v>0</v>
      </c>
      <c r="C569" s="4">
        <f>IF(OR(INDEX($V$2:$V$1001,MATCH(ROWS($U$2:U569),$U$2:$U$1001,0),1)&gt;=100000,INDEX($AB$1005:$AQ$1005,1,MATCH(COLUMNS($AB$1006:AC1006),$AB$1006:$AQ$1006,0))&gt;=100000), " ",IF(INDEX($AB$2:$AQ$1001,MATCH(ROWS($U$2:U569),$U$2:$U$1001,0),MATCH(COLUMNS($AB$1006:AC1006),$AB$1006:$AQ$1006,0)), HYPERLINK("#",""), HYPERLINK(CONCATENATE("#metadata!", ADDRESS(INDEX($W$2:$W$1001,MATCH(ROWS($U$2:U569),$U$2:$U$1001,0),0), INDEX($AB$1004:$AQ$1004,1,MATCH(COLUMNS($AB$1006:AC1006),$AB$1006:$AQ$1006,0)))),"Fix")))</f>
        <v>0</v>
      </c>
      <c r="D569" s="4">
        <f>IF(OR(INDEX($V$2:$V$1001,MATCH(ROWS($U$2:U569),$U$2:$U$1001,0),1)&gt;=100000,INDEX($AB$1005:$AQ$1005,1,MATCH(COLUMNS($AB$1006:AD1006),$AB$1006:$AQ$1006,0))&gt;=100000), " ",IF(INDEX($AB$2:$AQ$1001,MATCH(ROWS($U$2:U569),$U$2:$U$1001,0),MATCH(COLUMNS($AB$1006:AD1006),$AB$1006:$AQ$1006,0)), HYPERLINK("#",""), HYPERLINK(CONCATENATE("#metadata!", ADDRESS(INDEX($W$2:$W$1001,MATCH(ROWS($U$2:U569),$U$2:$U$1001,0),0), INDEX($AB$1004:$AQ$1004,1,MATCH(COLUMNS($AB$1006:AD1006),$AB$1006:$AQ$1006,0)))),"Fix")))</f>
        <v>0</v>
      </c>
      <c r="E569" s="4">
        <f>IF(OR(INDEX($V$2:$V$1001,MATCH(ROWS($U$2:U569),$U$2:$U$1001,0),1)&gt;=100000,INDEX($AB$1005:$AQ$1005,1,MATCH(COLUMNS($AB$1006:AE1006),$AB$1006:$AQ$1006,0))&gt;=100000), " ",IF(INDEX($AB$2:$AQ$1001,MATCH(ROWS($U$2:U569),$U$2:$U$1001,0),MATCH(COLUMNS($AB$1006:AE1006),$AB$1006:$AQ$1006,0)), HYPERLINK("#",""), HYPERLINK(CONCATENATE("#metadata!", ADDRESS(INDEX($W$2:$W$1001,MATCH(ROWS($U$2:U569),$U$2:$U$1001,0),0), INDEX($AB$1004:$AQ$1004,1,MATCH(COLUMNS($AB$1006:AE1006),$AB$1006:$AQ$1006,0)))),"Fix")))</f>
        <v>0</v>
      </c>
      <c r="F569" s="4">
        <f>IF(OR(INDEX($V$2:$V$1001,MATCH(ROWS($U$2:U569),$U$2:$U$1001,0),1)&gt;=100000,INDEX($AB$1005:$AQ$1005,1,MATCH(COLUMNS($AB$1006:AF1006),$AB$1006:$AQ$1006,0))&gt;=100000), " ",IF(INDEX($AB$2:$AQ$1001,MATCH(ROWS($U$2:U569),$U$2:$U$1001,0),MATCH(COLUMNS($AB$1006:AF1006),$AB$1006:$AQ$1006,0)), HYPERLINK("#",""), HYPERLINK(CONCATENATE("#metadata!", ADDRESS(INDEX($W$2:$W$1001,MATCH(ROWS($U$2:U569),$U$2:$U$1001,0),0), INDEX($AB$1004:$AQ$1004,1,MATCH(COLUMNS($AB$1006:AF1006),$AB$1006:$AQ$1006,0)))),"Fix")))</f>
        <v>0</v>
      </c>
      <c r="G569" s="4">
        <f>IF(OR(INDEX($V$2:$V$1001,MATCH(ROWS($U$2:U569),$U$2:$U$1001,0),1)&gt;=100000,INDEX($AB$1005:$AQ$1005,1,MATCH(COLUMNS($AB$1006:AG1006),$AB$1006:$AQ$1006,0))&gt;=100000), " ",IF(INDEX($AB$2:$AQ$1001,MATCH(ROWS($U$2:U569),$U$2:$U$1001,0),MATCH(COLUMNS($AB$1006:AG1006),$AB$1006:$AQ$1006,0)), HYPERLINK("#",""), HYPERLINK(CONCATENATE("#metadata!", ADDRESS(INDEX($W$2:$W$1001,MATCH(ROWS($U$2:U569),$U$2:$U$1001,0),0), INDEX($AB$1004:$AQ$1004,1,MATCH(COLUMNS($AB$1006:AG1006),$AB$1006:$AQ$1006,0)))),"Fix")))</f>
        <v>0</v>
      </c>
      <c r="H569" s="4">
        <f>IF(OR(INDEX($V$2:$V$1001,MATCH(ROWS($U$2:U569),$U$2:$U$1001,0),1)&gt;=100000,INDEX($AB$1005:$AQ$1005,1,MATCH(COLUMNS($AB$1006:AH1006),$AB$1006:$AQ$1006,0))&gt;=100000), " ",IF(INDEX($AB$2:$AQ$1001,MATCH(ROWS($U$2:U569),$U$2:$U$1001,0),MATCH(COLUMNS($AB$1006:AH1006),$AB$1006:$AQ$1006,0)), HYPERLINK("#",""), HYPERLINK(CONCATENATE("#metadata!", ADDRESS(INDEX($W$2:$W$1001,MATCH(ROWS($U$2:U569),$U$2:$U$1001,0),0), INDEX($AB$1004:$AQ$1004,1,MATCH(COLUMNS($AB$1006:AH1006),$AB$1006:$AQ$1006,0)))),"Fix")))</f>
        <v>0</v>
      </c>
      <c r="I569" s="4">
        <f>IF(OR(INDEX($V$2:$V$1001,MATCH(ROWS($U$2:U569),$U$2:$U$1001,0),1)&gt;=100000,INDEX($AB$1005:$AQ$1005,1,MATCH(COLUMNS($AB$1006:AI1006),$AB$1006:$AQ$1006,0))&gt;=100000), " ",IF(INDEX($AB$2:$AQ$1001,MATCH(ROWS($U$2:U569),$U$2:$U$1001,0),MATCH(COLUMNS($AB$1006:AI1006),$AB$1006:$AQ$1006,0)), HYPERLINK("#",""), HYPERLINK(CONCATENATE("#metadata!", ADDRESS(INDEX($W$2:$W$1001,MATCH(ROWS($U$2:U569),$U$2:$U$1001,0),0), INDEX($AB$1004:$AQ$1004,1,MATCH(COLUMNS($AB$1006:AI1006),$AB$1006:$AQ$1006,0)))),"Fix")))</f>
        <v>0</v>
      </c>
      <c r="J569" s="4">
        <f>IF(OR(INDEX($V$2:$V$1001,MATCH(ROWS($U$2:U569),$U$2:$U$1001,0),1)&gt;=100000,INDEX($AB$1005:$AQ$1005,1,MATCH(COLUMNS($AB$1006:AJ1006),$AB$1006:$AQ$1006,0))&gt;=100000), " ",IF(INDEX($AB$2:$AQ$1001,MATCH(ROWS($U$2:U569),$U$2:$U$1001,0),MATCH(COLUMNS($AB$1006:AJ1006),$AB$1006:$AQ$1006,0)), HYPERLINK("#",""), HYPERLINK(CONCATENATE("#metadata!", ADDRESS(INDEX($W$2:$W$1001,MATCH(ROWS($U$2:U569),$U$2:$U$1001,0),0), INDEX($AB$1004:$AQ$1004,1,MATCH(COLUMNS($AB$1006:AJ1006),$AB$1006:$AQ$1006,0)))),"Fix")))</f>
        <v>0</v>
      </c>
      <c r="K569" s="4">
        <f>IF(OR(INDEX($V$2:$V$1001,MATCH(ROWS($U$2:U569),$U$2:$U$1001,0),1)&gt;=100000,INDEX($AB$1005:$AQ$1005,1,MATCH(COLUMNS($AB$1006:AK1006),$AB$1006:$AQ$1006,0))&gt;=100000), " ",IF(INDEX($AB$2:$AQ$1001,MATCH(ROWS($U$2:U569),$U$2:$U$1001,0),MATCH(COLUMNS($AB$1006:AK1006),$AB$1006:$AQ$1006,0)), HYPERLINK("#",""), HYPERLINK(CONCATENATE("#metadata!", ADDRESS(INDEX($W$2:$W$1001,MATCH(ROWS($U$2:U569),$U$2:$U$1001,0),0), INDEX($AB$1004:$AQ$1004,1,MATCH(COLUMNS($AB$1006:AK1006),$AB$1006:$AQ$1006,0)))),"Fix")))</f>
        <v>0</v>
      </c>
      <c r="L569" s="4">
        <f>IF(OR(INDEX($V$2:$V$1001,MATCH(ROWS($U$2:U569),$U$2:$U$1001,0),1)&gt;=100000,INDEX($AB$1005:$AQ$1005,1,MATCH(COLUMNS($AB$1006:AL1006),$AB$1006:$AQ$1006,0))&gt;=100000), " ",IF(INDEX($AB$2:$AQ$1001,MATCH(ROWS($U$2:U569),$U$2:$U$1001,0),MATCH(COLUMNS($AB$1006:AL1006),$AB$1006:$AQ$1006,0)), HYPERLINK("#",""), HYPERLINK(CONCATENATE("#metadata!", ADDRESS(INDEX($W$2:$W$1001,MATCH(ROWS($U$2:U569),$U$2:$U$1001,0),0), INDEX($AB$1004:$AQ$1004,1,MATCH(COLUMNS($AB$1006:AL1006),$AB$1006:$AQ$1006,0)))),"Fix")))</f>
        <v>0</v>
      </c>
      <c r="M569" s="4">
        <f>IF(OR(INDEX($V$2:$V$1001,MATCH(ROWS($U$2:U569),$U$2:$U$1001,0),1)&gt;=100000,INDEX($AB$1005:$AQ$1005,1,MATCH(COLUMNS($AB$1006:AM1006),$AB$1006:$AQ$1006,0))&gt;=100000), " ",IF(INDEX($AB$2:$AQ$1001,MATCH(ROWS($U$2:U569),$U$2:$U$1001,0),MATCH(COLUMNS($AB$1006:AM1006),$AB$1006:$AQ$1006,0)), HYPERLINK("#",""), HYPERLINK(CONCATENATE("#metadata!", ADDRESS(INDEX($W$2:$W$1001,MATCH(ROWS($U$2:U569),$U$2:$U$1001,0),0), INDEX($AB$1004:$AQ$1004,1,MATCH(COLUMNS($AB$1006:AM1006),$AB$1006:$AQ$1006,0)))),"Fix")))</f>
        <v>0</v>
      </c>
      <c r="N569" s="4">
        <f>IF(OR(INDEX($V$2:$V$1001,MATCH(ROWS($U$2:U569),$U$2:$U$1001,0),1)&gt;=100000,INDEX($AB$1005:$AQ$1005,1,MATCH(COLUMNS($AB$1006:AN1006),$AB$1006:$AQ$1006,0))&gt;=100000), " ",IF(INDEX($AB$2:$AQ$1001,MATCH(ROWS($U$2:U569),$U$2:$U$1001,0),MATCH(COLUMNS($AB$1006:AN1006),$AB$1006:$AQ$1006,0)), HYPERLINK("#",""), HYPERLINK(CONCATENATE("#metadata!", ADDRESS(INDEX($W$2:$W$1001,MATCH(ROWS($U$2:U569),$U$2:$U$1001,0),0), INDEX($AB$1004:$AQ$1004,1,MATCH(COLUMNS($AB$1006:AN1006),$AB$1006:$AQ$1006,0)))),"Fix")))</f>
        <v>0</v>
      </c>
      <c r="O569" s="4">
        <f>IF(OR(INDEX($V$2:$V$1001,MATCH(ROWS($U$2:U569),$U$2:$U$1001,0),1)&gt;=100000,INDEX($AB$1005:$AQ$1005,1,MATCH(COLUMNS($AB$1006:AO1006),$AB$1006:$AQ$1006,0))&gt;=100000), " ",IF(INDEX($AB$2:$AQ$1001,MATCH(ROWS($U$2:U569),$U$2:$U$1001,0),MATCH(COLUMNS($AB$1006:AO1006),$AB$1006:$AQ$1006,0)), HYPERLINK("#",""), HYPERLINK(CONCATENATE("#metadata!", ADDRESS(INDEX($W$2:$W$1001,MATCH(ROWS($U$2:U569),$U$2:$U$1001,0),0), INDEX($AB$1004:$AQ$1004,1,MATCH(COLUMNS($AB$1006:AO1006),$AB$1006:$AQ$1006,0)))),"Fix")))</f>
        <v>0</v>
      </c>
      <c r="P569" s="4">
        <f>IF(OR(INDEX($V$2:$V$1001,MATCH(ROWS($U$2:U569),$U$2:$U$1001,0),1)&gt;=100000,INDEX($AB$1005:$AQ$1005,1,MATCH(COLUMNS($AB$1006:AP1006),$AB$1006:$AQ$1006,0))&gt;=100000), " ",IF(INDEX($AB$2:$AQ$1001,MATCH(ROWS($U$2:U569),$U$2:$U$1001,0),MATCH(COLUMNS($AB$1006:AP1006),$AB$1006:$AQ$1006,0)), HYPERLINK("#",""), HYPERLINK(CONCATENATE("#metadata!", ADDRESS(INDEX($W$2:$W$1001,MATCH(ROWS($U$2:U569),$U$2:$U$1001,0),0), INDEX($AB$1004:$AQ$1004,1,MATCH(COLUMNS($AB$1006:AP1006),$AB$1006:$AQ$1006,0)))),"Fix")))</f>
        <v>0</v>
      </c>
      <c r="Q569" s="4">
        <f>IF(OR(INDEX($V$2:$V$1001,MATCH(ROWS($U$2:U569),$U$2:$U$1001,0),1)&gt;=100000,INDEX($AB$1005:$AQ$1005,1,MATCH(COLUMNS($AB$1006:AQ1006),$AB$1006:$AQ$1006,0))&gt;=100000), " ",IF(INDEX($AB$2:$AQ$1001,MATCH(ROWS($U$2:U569),$U$2:$U$1001,0),MATCH(COLUMNS($AB$1006:AQ1006),$AB$1006:$AQ$1006,0)), HYPERLINK("#",""), HYPERLINK(CONCATENATE("#metadata!", ADDRESS(INDEX($W$2:$W$1001,MATCH(ROWS($U$2:U569),$U$2:$U$1001,0),0), INDEX($AB$1004:$AQ$1004,1,MATCH(COLUMNS($AB$1006:AQ1006),$AB$1006:$AQ$1006,0)))),"Fix")))</f>
        <v>0</v>
      </c>
      <c r="U569">
        <v>0</v>
      </c>
      <c r="V569">
        <v>0</v>
      </c>
      <c r="W569">
        <v>0</v>
      </c>
      <c r="X569">
        <f>IF(Y569,TRUE,AND(AB569:AQ569))</f>
        <v>0</v>
      </c>
      <c r="Y569">
        <f>COUNTBLANK(metadata!B569:Q569)=COLUMNS(metadata!B569:Q569)</f>
        <v>0</v>
      </c>
      <c r="Z569">
        <v>0</v>
      </c>
      <c r="AB569">
        <f>AND(IF(metadata!B569="",FALSE,TRUE),COUNTIF(metadata!B:B, metadata!B569) = 1,NOT(ISERROR(SUMPRODUCT(SEARCH(MID(metadata!B569,ROW(INDIRECT("1:"&amp;LEN(metadata!B569))), 1),"0123456789abcdefghijklmnopqrstuvwxyzABCDEFGHIJKLMNOPQRSTUVWXYZ.")))))</f>
        <v>0</v>
      </c>
      <c r="AC569">
        <f>OR(AND(IF(metadata!C569="",FALSE,TRUE),OR(exact(metadata!C569,"missing: not collected"),exact(metadata!C569,"missing: not provided"),exact(metadata!C569,"missing: restricted access"))),AND(IF(metadata!C569="",FALSE,TRUE),AND(AND(IFERROR(INT(LEFT(metadata!C569,4))&gt;1900,FALSE),IFERROR(INT(LEFT(metadata!C569,4))&lt;=YEAR(NOW()),FALSE)), OR(MID(metadata!C569,5,1)="", AND(AND(MID(metadata!C569,5,1)="-",IFERROR(INT(MID(metadata!C569,6,1))&gt;=0,FALSE),IFERROR(INT(MID(metadata!C569,6,1))&lt;=1,FALSE),NOT(MID(metadata!C569,7,1)=""),IFERROR(INT(MID(metadata!C569,6,2))&gt;=1,FALSE),IFERROR(INT(MID(metadata!C569,6,2))&lt;=12,FALSE)), OR(MID(metadata!C569,8,1)="", AND(AND(MID(metadata!C569,8,1)="-",IFERROR(INT(MID(metadata!C569,9,1))&gt;=0,FALSE),IFERROR(INT(MID(metadata!C569,9,1))&lt;=3,FALSE),NOT(MID(metadata!C569,10,1)=""),IFERROR(INT(MID(metadata!C569,9,2))&gt;=1,FALSE),IFERROR(INT(MID(metadata!C569,9,2))&lt;=31,FALSE)), OR(MID(metadata!C569,11,1)="", AND(AND(MID(metadata!C569,11,1)=" ",IFERROR(INT(MID(metadata!C569,12,1))&gt;=0,FALSE),IFERROR(INT(MID(metadata!C569,12,1))&lt;=2,FALSE),NOT(MID(metadata!C569,13,1)=""),IFERROR(INT(MID(metadata!C569,12,2))&gt;=0,FALSE),IFERROR(INT(MID(metadata!C569,12,2))&lt;=23,FALSE)), OR(MID(metadata!C569,14,1)="", AND(AND(MID(metadata!C569,14,1)=":",IFERROR(INT(MID(metadata!C569,15,1))&gt;=0,FALSE),IFERROR(INT(MID(metadata!C569,15,1))&lt;=5,FALSE),NOT(MID(metadata!C569,16,1)=""),IFERROR(INT(MID(metadata!C569,15,2))&gt;=0,FALSE),IFERROR(INT(MID(metadata!C569,15,2))&lt;=59,FALSE)), OR(MID(metadata!C569,17,1)="", AND(AND(MID(metadata!C569,17,1)=":",IFERROR(INT(MID(metadata!C569,18,1))&gt;=0,FALSE),IFERROR(INT(MID(metadata!C569,18,1))&lt;=5,FALSE),NOT(MID(metadata!C569,19,1)=""),IFERROR(INT(MID(metadata!C569,18,2))&gt;=0,FALSE),IFERROR(INT(MID(metadata!C569,18,2))&lt;=59,FALSE)), LEN(metadata!C569)&lt;=19)))))))))))))</f>
        <v>0</v>
      </c>
      <c r="AD569">
        <f>IF(metadata!D569="",FALSE,TRUE)</f>
        <v>0</v>
      </c>
      <c r="AE569">
        <f>OR(AND(IF(metadata!E569="",FALSE,TRUE),OR(exact(metadata!E569,"missing: not collected"),exact(metadata!E569,"missing: not provided"))),AND(IF(metadata!E569="",FALSE,TRUE),OR(exact(metadata!E569,"TRUE"),exact(metadata!E569,"FALSE"))))</f>
        <v>0</v>
      </c>
      <c r="AF569">
        <f>IF(metadata!F569="",FALSE,TRUE)</f>
        <v>0</v>
      </c>
      <c r="AG569">
        <f>IF(metadata!G569="",FALSE,TRUE)</f>
        <v>0</v>
      </c>
      <c r="AH569">
        <f>IF(metadata!H569="",FALSE,TRUE)</f>
        <v>0</v>
      </c>
      <c r="AI569">
        <f>OR(AND(IF(metadata!I569="",FALSE,TRUE),OR(exact(metadata!I569,"missing: not collected"),exact(metadata!I569,"missing: not provided"),exact(metadata!I569,"missing: restricted access"))),AND(IF(metadata!I569="",FALSE,TRUE),OR(exact(metadata!I569,"air"),exact(metadata!I569,"built environment"),exact(metadata!I569,"host-associated"),exact(metadata!I569,"human-associated"),exact(metadata!I569,"human-skin"),exact(metadata!I569,"human-oral"),exact(metadata!I569,"human-gut"),exact(metadata!I569,"human-vaginal"),exact(metadata!I569,"microbial mat/biofilm"),exact(metadata!I569,"misc environment"),exact(metadata!I569,"plant-associated"),exact(metadata!I569,"sediment"),exact(metadata!I569,"soil"),exact(metadata!I569,"wastewater/sludge"),exact(metadata!I569,"water"))))</f>
        <v>0</v>
      </c>
      <c r="AJ569">
        <f>IF(metadata!J569="",FALSE,TRUE)</f>
        <v>0</v>
      </c>
      <c r="AK569">
        <f>OR(AND(IF(metadata!K569="",FALSE,TRUE),OR(exact(metadata!K569,"missing: not collected"),exact(metadata!K569,"missing: not provided"),exact(metadata!K569,"missing: restricted access"))),AND(IF(metadata!K569="",FALSE,ISNUMBER(VALUE(metadata!K569))),metadata!K569&gt;=-90.00,metadata!K569&lt;=90.00))</f>
        <v>0</v>
      </c>
      <c r="AL569">
        <f>OR(AND(IF(metadata!L569="",FALSE,TRUE),OR(exact(metadata!L569,"missing: not collected"),exact(metadata!L569,"missing: not provided"),exact(metadata!L569,"missing: restricted access"))),AND(IF(metadata!L569="",FALSE,ISNUMBER(VALUE(metadata!L569))),metadata!L569&gt;=-180.00,metadata!L569&lt;=180.00))</f>
        <v>0</v>
      </c>
      <c r="AM569">
        <f>IF(metadata!M569="",FALSE,TRUE)</f>
        <v>0</v>
      </c>
      <c r="AN569">
        <f>OR(AND(IF(metadata!N569="",FALSE,TRUE),OR(exact(metadata!N569,"missing: not collected"),exact(metadata!N569,"missing: not provided"),exact(metadata!N569,"missing: restricted access"))),AND(IF(metadata!N569="",FALSE,TRUE),OR(exact(metadata!N569,"TRUE"),exact(metadata!N569,"FALSE"))))</f>
        <v>0</v>
      </c>
      <c r="AO569">
        <f>IF(metadata!O569="",FALSE,TRUE)</f>
        <v>0</v>
      </c>
      <c r="AP569">
        <f>OR(AND(IF(metadata!P569="",FALSE,TRUE),OR(exact(metadata!P569,"missing: not collected"),exact(metadata!P569,"missing: not provided"))),AND(IF(metadata!P569="",FALSE,IF(ISERROR(INT(metadata!P569)),FALSE,INT(metadata!P569)=metadata!P569)),metadata!P569&gt;0))</f>
        <v>0</v>
      </c>
      <c r="AQ569">
        <f>IF(metadata!Q569="",FALSE,TRUE)</f>
        <v>0</v>
      </c>
    </row>
    <row r="570" spans="1:43">
      <c r="A570" s="5">
        <f>IF(B570=" "," ",HYPERLINK(CONCATENATE("#metadata!",ADDRESS(INDEX($W$2:$W$1001,MATCH(ROWS($U$2:U570),$U$2:$U$1001,0),0),1)),INDEX($Z$2:$Z$1001,MATCH(ROWS($U$2:U570),$U$2:$U$1001,0),0)))</f>
        <v>0</v>
      </c>
      <c r="B570" s="4">
        <f>IF(OR(INDEX($V$2:$V$1001,MATCH(ROWS($U$2:U570),$U$2:$U$1001,0),1)&gt;=100000,INDEX($AB$1005:$AQ$1005,1,MATCH(COLUMNS($AB$1006:AB1006),$AB$1006:$AQ$1006,0))&gt;=100000), " ",IF(INDEX($AB$2:$AQ$1001,MATCH(ROWS($U$2:U570),$U$2:$U$1001,0),MATCH(COLUMNS($AB$1006:AB1006),$AB$1006:$AQ$1006,0)), HYPERLINK("#",""), HYPERLINK(CONCATENATE("#metadata!", ADDRESS(INDEX($W$2:$W$1001,MATCH(ROWS($U$2:U570),$U$2:$U$1001,0),0), INDEX($AB$1004:$AQ$1004,1,MATCH(COLUMNS($AB$1006:AB1006),$AB$1006:$AQ$1006,0)))),"Fix")))</f>
        <v>0</v>
      </c>
      <c r="C570" s="4">
        <f>IF(OR(INDEX($V$2:$V$1001,MATCH(ROWS($U$2:U570),$U$2:$U$1001,0),1)&gt;=100000,INDEX($AB$1005:$AQ$1005,1,MATCH(COLUMNS($AB$1006:AC1006),$AB$1006:$AQ$1006,0))&gt;=100000), " ",IF(INDEX($AB$2:$AQ$1001,MATCH(ROWS($U$2:U570),$U$2:$U$1001,0),MATCH(COLUMNS($AB$1006:AC1006),$AB$1006:$AQ$1006,0)), HYPERLINK("#",""), HYPERLINK(CONCATENATE("#metadata!", ADDRESS(INDEX($W$2:$W$1001,MATCH(ROWS($U$2:U570),$U$2:$U$1001,0),0), INDEX($AB$1004:$AQ$1004,1,MATCH(COLUMNS($AB$1006:AC1006),$AB$1006:$AQ$1006,0)))),"Fix")))</f>
        <v>0</v>
      </c>
      <c r="D570" s="4">
        <f>IF(OR(INDEX($V$2:$V$1001,MATCH(ROWS($U$2:U570),$U$2:$U$1001,0),1)&gt;=100000,INDEX($AB$1005:$AQ$1005,1,MATCH(COLUMNS($AB$1006:AD1006),$AB$1006:$AQ$1006,0))&gt;=100000), " ",IF(INDEX($AB$2:$AQ$1001,MATCH(ROWS($U$2:U570),$U$2:$U$1001,0),MATCH(COLUMNS($AB$1006:AD1006),$AB$1006:$AQ$1006,0)), HYPERLINK("#",""), HYPERLINK(CONCATENATE("#metadata!", ADDRESS(INDEX($W$2:$W$1001,MATCH(ROWS($U$2:U570),$U$2:$U$1001,0),0), INDEX($AB$1004:$AQ$1004,1,MATCH(COLUMNS($AB$1006:AD1006),$AB$1006:$AQ$1006,0)))),"Fix")))</f>
        <v>0</v>
      </c>
      <c r="E570" s="4">
        <f>IF(OR(INDEX($V$2:$V$1001,MATCH(ROWS($U$2:U570),$U$2:$U$1001,0),1)&gt;=100000,INDEX($AB$1005:$AQ$1005,1,MATCH(COLUMNS($AB$1006:AE1006),$AB$1006:$AQ$1006,0))&gt;=100000), " ",IF(INDEX($AB$2:$AQ$1001,MATCH(ROWS($U$2:U570),$U$2:$U$1001,0),MATCH(COLUMNS($AB$1006:AE1006),$AB$1006:$AQ$1006,0)), HYPERLINK("#",""), HYPERLINK(CONCATENATE("#metadata!", ADDRESS(INDEX($W$2:$W$1001,MATCH(ROWS($U$2:U570),$U$2:$U$1001,0),0), INDEX($AB$1004:$AQ$1004,1,MATCH(COLUMNS($AB$1006:AE1006),$AB$1006:$AQ$1006,0)))),"Fix")))</f>
        <v>0</v>
      </c>
      <c r="F570" s="4">
        <f>IF(OR(INDEX($V$2:$V$1001,MATCH(ROWS($U$2:U570),$U$2:$U$1001,0),1)&gt;=100000,INDEX($AB$1005:$AQ$1005,1,MATCH(COLUMNS($AB$1006:AF1006),$AB$1006:$AQ$1006,0))&gt;=100000), " ",IF(INDEX($AB$2:$AQ$1001,MATCH(ROWS($U$2:U570),$U$2:$U$1001,0),MATCH(COLUMNS($AB$1006:AF1006),$AB$1006:$AQ$1006,0)), HYPERLINK("#",""), HYPERLINK(CONCATENATE("#metadata!", ADDRESS(INDEX($W$2:$W$1001,MATCH(ROWS($U$2:U570),$U$2:$U$1001,0),0), INDEX($AB$1004:$AQ$1004,1,MATCH(COLUMNS($AB$1006:AF1006),$AB$1006:$AQ$1006,0)))),"Fix")))</f>
        <v>0</v>
      </c>
      <c r="G570" s="4">
        <f>IF(OR(INDEX($V$2:$V$1001,MATCH(ROWS($U$2:U570),$U$2:$U$1001,0),1)&gt;=100000,INDEX($AB$1005:$AQ$1005,1,MATCH(COLUMNS($AB$1006:AG1006),$AB$1006:$AQ$1006,0))&gt;=100000), " ",IF(INDEX($AB$2:$AQ$1001,MATCH(ROWS($U$2:U570),$U$2:$U$1001,0),MATCH(COLUMNS($AB$1006:AG1006),$AB$1006:$AQ$1006,0)), HYPERLINK("#",""), HYPERLINK(CONCATENATE("#metadata!", ADDRESS(INDEX($W$2:$W$1001,MATCH(ROWS($U$2:U570),$U$2:$U$1001,0),0), INDEX($AB$1004:$AQ$1004,1,MATCH(COLUMNS($AB$1006:AG1006),$AB$1006:$AQ$1006,0)))),"Fix")))</f>
        <v>0</v>
      </c>
      <c r="H570" s="4">
        <f>IF(OR(INDEX($V$2:$V$1001,MATCH(ROWS($U$2:U570),$U$2:$U$1001,0),1)&gt;=100000,INDEX($AB$1005:$AQ$1005,1,MATCH(COLUMNS($AB$1006:AH1006),$AB$1006:$AQ$1006,0))&gt;=100000), " ",IF(INDEX($AB$2:$AQ$1001,MATCH(ROWS($U$2:U570),$U$2:$U$1001,0),MATCH(COLUMNS($AB$1006:AH1006),$AB$1006:$AQ$1006,0)), HYPERLINK("#",""), HYPERLINK(CONCATENATE("#metadata!", ADDRESS(INDEX($W$2:$W$1001,MATCH(ROWS($U$2:U570),$U$2:$U$1001,0),0), INDEX($AB$1004:$AQ$1004,1,MATCH(COLUMNS($AB$1006:AH1006),$AB$1006:$AQ$1006,0)))),"Fix")))</f>
        <v>0</v>
      </c>
      <c r="I570" s="4">
        <f>IF(OR(INDEX($V$2:$V$1001,MATCH(ROWS($U$2:U570),$U$2:$U$1001,0),1)&gt;=100000,INDEX($AB$1005:$AQ$1005,1,MATCH(COLUMNS($AB$1006:AI1006),$AB$1006:$AQ$1006,0))&gt;=100000), " ",IF(INDEX($AB$2:$AQ$1001,MATCH(ROWS($U$2:U570),$U$2:$U$1001,0),MATCH(COLUMNS($AB$1006:AI1006),$AB$1006:$AQ$1006,0)), HYPERLINK("#",""), HYPERLINK(CONCATENATE("#metadata!", ADDRESS(INDEX($W$2:$W$1001,MATCH(ROWS($U$2:U570),$U$2:$U$1001,0),0), INDEX($AB$1004:$AQ$1004,1,MATCH(COLUMNS($AB$1006:AI1006),$AB$1006:$AQ$1006,0)))),"Fix")))</f>
        <v>0</v>
      </c>
      <c r="J570" s="4">
        <f>IF(OR(INDEX($V$2:$V$1001,MATCH(ROWS($U$2:U570),$U$2:$U$1001,0),1)&gt;=100000,INDEX($AB$1005:$AQ$1005,1,MATCH(COLUMNS($AB$1006:AJ1006),$AB$1006:$AQ$1006,0))&gt;=100000), " ",IF(INDEX($AB$2:$AQ$1001,MATCH(ROWS($U$2:U570),$U$2:$U$1001,0),MATCH(COLUMNS($AB$1006:AJ1006),$AB$1006:$AQ$1006,0)), HYPERLINK("#",""), HYPERLINK(CONCATENATE("#metadata!", ADDRESS(INDEX($W$2:$W$1001,MATCH(ROWS($U$2:U570),$U$2:$U$1001,0),0), INDEX($AB$1004:$AQ$1004,1,MATCH(COLUMNS($AB$1006:AJ1006),$AB$1006:$AQ$1006,0)))),"Fix")))</f>
        <v>0</v>
      </c>
      <c r="K570" s="4">
        <f>IF(OR(INDEX($V$2:$V$1001,MATCH(ROWS($U$2:U570),$U$2:$U$1001,0),1)&gt;=100000,INDEX($AB$1005:$AQ$1005,1,MATCH(COLUMNS($AB$1006:AK1006),$AB$1006:$AQ$1006,0))&gt;=100000), " ",IF(INDEX($AB$2:$AQ$1001,MATCH(ROWS($U$2:U570),$U$2:$U$1001,0),MATCH(COLUMNS($AB$1006:AK1006),$AB$1006:$AQ$1006,0)), HYPERLINK("#",""), HYPERLINK(CONCATENATE("#metadata!", ADDRESS(INDEX($W$2:$W$1001,MATCH(ROWS($U$2:U570),$U$2:$U$1001,0),0), INDEX($AB$1004:$AQ$1004,1,MATCH(COLUMNS($AB$1006:AK1006),$AB$1006:$AQ$1006,0)))),"Fix")))</f>
        <v>0</v>
      </c>
      <c r="L570" s="4">
        <f>IF(OR(INDEX($V$2:$V$1001,MATCH(ROWS($U$2:U570),$U$2:$U$1001,0),1)&gt;=100000,INDEX($AB$1005:$AQ$1005,1,MATCH(COLUMNS($AB$1006:AL1006),$AB$1006:$AQ$1006,0))&gt;=100000), " ",IF(INDEX($AB$2:$AQ$1001,MATCH(ROWS($U$2:U570),$U$2:$U$1001,0),MATCH(COLUMNS($AB$1006:AL1006),$AB$1006:$AQ$1006,0)), HYPERLINK("#",""), HYPERLINK(CONCATENATE("#metadata!", ADDRESS(INDEX($W$2:$W$1001,MATCH(ROWS($U$2:U570),$U$2:$U$1001,0),0), INDEX($AB$1004:$AQ$1004,1,MATCH(COLUMNS($AB$1006:AL1006),$AB$1006:$AQ$1006,0)))),"Fix")))</f>
        <v>0</v>
      </c>
      <c r="M570" s="4">
        <f>IF(OR(INDEX($V$2:$V$1001,MATCH(ROWS($U$2:U570),$U$2:$U$1001,0),1)&gt;=100000,INDEX($AB$1005:$AQ$1005,1,MATCH(COLUMNS($AB$1006:AM1006),$AB$1006:$AQ$1006,0))&gt;=100000), " ",IF(INDEX($AB$2:$AQ$1001,MATCH(ROWS($U$2:U570),$U$2:$U$1001,0),MATCH(COLUMNS($AB$1006:AM1006),$AB$1006:$AQ$1006,0)), HYPERLINK("#",""), HYPERLINK(CONCATENATE("#metadata!", ADDRESS(INDEX($W$2:$W$1001,MATCH(ROWS($U$2:U570),$U$2:$U$1001,0),0), INDEX($AB$1004:$AQ$1004,1,MATCH(COLUMNS($AB$1006:AM1006),$AB$1006:$AQ$1006,0)))),"Fix")))</f>
        <v>0</v>
      </c>
      <c r="N570" s="4">
        <f>IF(OR(INDEX($V$2:$V$1001,MATCH(ROWS($U$2:U570),$U$2:$U$1001,0),1)&gt;=100000,INDEX($AB$1005:$AQ$1005,1,MATCH(COLUMNS($AB$1006:AN1006),$AB$1006:$AQ$1006,0))&gt;=100000), " ",IF(INDEX($AB$2:$AQ$1001,MATCH(ROWS($U$2:U570),$U$2:$U$1001,0),MATCH(COLUMNS($AB$1006:AN1006),$AB$1006:$AQ$1006,0)), HYPERLINK("#",""), HYPERLINK(CONCATENATE("#metadata!", ADDRESS(INDEX($W$2:$W$1001,MATCH(ROWS($U$2:U570),$U$2:$U$1001,0),0), INDEX($AB$1004:$AQ$1004,1,MATCH(COLUMNS($AB$1006:AN1006),$AB$1006:$AQ$1006,0)))),"Fix")))</f>
        <v>0</v>
      </c>
      <c r="O570" s="4">
        <f>IF(OR(INDEX($V$2:$V$1001,MATCH(ROWS($U$2:U570),$U$2:$U$1001,0),1)&gt;=100000,INDEX($AB$1005:$AQ$1005,1,MATCH(COLUMNS($AB$1006:AO1006),$AB$1006:$AQ$1006,0))&gt;=100000), " ",IF(INDEX($AB$2:$AQ$1001,MATCH(ROWS($U$2:U570),$U$2:$U$1001,0),MATCH(COLUMNS($AB$1006:AO1006),$AB$1006:$AQ$1006,0)), HYPERLINK("#",""), HYPERLINK(CONCATENATE("#metadata!", ADDRESS(INDEX($W$2:$W$1001,MATCH(ROWS($U$2:U570),$U$2:$U$1001,0),0), INDEX($AB$1004:$AQ$1004,1,MATCH(COLUMNS($AB$1006:AO1006),$AB$1006:$AQ$1006,0)))),"Fix")))</f>
        <v>0</v>
      </c>
      <c r="P570" s="4">
        <f>IF(OR(INDEX($V$2:$V$1001,MATCH(ROWS($U$2:U570),$U$2:$U$1001,0),1)&gt;=100000,INDEX($AB$1005:$AQ$1005,1,MATCH(COLUMNS($AB$1006:AP1006),$AB$1006:$AQ$1006,0))&gt;=100000), " ",IF(INDEX($AB$2:$AQ$1001,MATCH(ROWS($U$2:U570),$U$2:$U$1001,0),MATCH(COLUMNS($AB$1006:AP1006),$AB$1006:$AQ$1006,0)), HYPERLINK("#",""), HYPERLINK(CONCATENATE("#metadata!", ADDRESS(INDEX($W$2:$W$1001,MATCH(ROWS($U$2:U570),$U$2:$U$1001,0),0), INDEX($AB$1004:$AQ$1004,1,MATCH(COLUMNS($AB$1006:AP1006),$AB$1006:$AQ$1006,0)))),"Fix")))</f>
        <v>0</v>
      </c>
      <c r="Q570" s="4">
        <f>IF(OR(INDEX($V$2:$V$1001,MATCH(ROWS($U$2:U570),$U$2:$U$1001,0),1)&gt;=100000,INDEX($AB$1005:$AQ$1005,1,MATCH(COLUMNS($AB$1006:AQ1006),$AB$1006:$AQ$1006,0))&gt;=100000), " ",IF(INDEX($AB$2:$AQ$1001,MATCH(ROWS($U$2:U570),$U$2:$U$1001,0),MATCH(COLUMNS($AB$1006:AQ1006),$AB$1006:$AQ$1006,0)), HYPERLINK("#",""), HYPERLINK(CONCATENATE("#metadata!", ADDRESS(INDEX($W$2:$W$1001,MATCH(ROWS($U$2:U570),$U$2:$U$1001,0),0), INDEX($AB$1004:$AQ$1004,1,MATCH(COLUMNS($AB$1006:AQ1006),$AB$1006:$AQ$1006,0)))),"Fix")))</f>
        <v>0</v>
      </c>
      <c r="U570">
        <v>0</v>
      </c>
      <c r="V570">
        <v>0</v>
      </c>
      <c r="W570">
        <v>0</v>
      </c>
      <c r="X570">
        <f>IF(Y570,TRUE,AND(AB570:AQ570))</f>
        <v>0</v>
      </c>
      <c r="Y570">
        <f>COUNTBLANK(metadata!B570:Q570)=COLUMNS(metadata!B570:Q570)</f>
        <v>0</v>
      </c>
      <c r="Z570">
        <v>0</v>
      </c>
      <c r="AB570">
        <f>AND(IF(metadata!B570="",FALSE,TRUE),COUNTIF(metadata!B:B, metadata!B570) = 1,NOT(ISERROR(SUMPRODUCT(SEARCH(MID(metadata!B570,ROW(INDIRECT("1:"&amp;LEN(metadata!B570))), 1),"0123456789abcdefghijklmnopqrstuvwxyzABCDEFGHIJKLMNOPQRSTUVWXYZ.")))))</f>
        <v>0</v>
      </c>
      <c r="AC570">
        <f>OR(AND(IF(metadata!C570="",FALSE,TRUE),OR(exact(metadata!C570,"missing: not collected"),exact(metadata!C570,"missing: not provided"),exact(metadata!C570,"missing: restricted access"))),AND(IF(metadata!C570="",FALSE,TRUE),AND(AND(IFERROR(INT(LEFT(metadata!C570,4))&gt;1900,FALSE),IFERROR(INT(LEFT(metadata!C570,4))&lt;=YEAR(NOW()),FALSE)), OR(MID(metadata!C570,5,1)="", AND(AND(MID(metadata!C570,5,1)="-",IFERROR(INT(MID(metadata!C570,6,1))&gt;=0,FALSE),IFERROR(INT(MID(metadata!C570,6,1))&lt;=1,FALSE),NOT(MID(metadata!C570,7,1)=""),IFERROR(INT(MID(metadata!C570,6,2))&gt;=1,FALSE),IFERROR(INT(MID(metadata!C570,6,2))&lt;=12,FALSE)), OR(MID(metadata!C570,8,1)="", AND(AND(MID(metadata!C570,8,1)="-",IFERROR(INT(MID(metadata!C570,9,1))&gt;=0,FALSE),IFERROR(INT(MID(metadata!C570,9,1))&lt;=3,FALSE),NOT(MID(metadata!C570,10,1)=""),IFERROR(INT(MID(metadata!C570,9,2))&gt;=1,FALSE),IFERROR(INT(MID(metadata!C570,9,2))&lt;=31,FALSE)), OR(MID(metadata!C570,11,1)="", AND(AND(MID(metadata!C570,11,1)=" ",IFERROR(INT(MID(metadata!C570,12,1))&gt;=0,FALSE),IFERROR(INT(MID(metadata!C570,12,1))&lt;=2,FALSE),NOT(MID(metadata!C570,13,1)=""),IFERROR(INT(MID(metadata!C570,12,2))&gt;=0,FALSE),IFERROR(INT(MID(metadata!C570,12,2))&lt;=23,FALSE)), OR(MID(metadata!C570,14,1)="", AND(AND(MID(metadata!C570,14,1)=":",IFERROR(INT(MID(metadata!C570,15,1))&gt;=0,FALSE),IFERROR(INT(MID(metadata!C570,15,1))&lt;=5,FALSE),NOT(MID(metadata!C570,16,1)=""),IFERROR(INT(MID(metadata!C570,15,2))&gt;=0,FALSE),IFERROR(INT(MID(metadata!C570,15,2))&lt;=59,FALSE)), OR(MID(metadata!C570,17,1)="", AND(AND(MID(metadata!C570,17,1)=":",IFERROR(INT(MID(metadata!C570,18,1))&gt;=0,FALSE),IFERROR(INT(MID(metadata!C570,18,1))&lt;=5,FALSE),NOT(MID(metadata!C570,19,1)=""),IFERROR(INT(MID(metadata!C570,18,2))&gt;=0,FALSE),IFERROR(INT(MID(metadata!C570,18,2))&lt;=59,FALSE)), LEN(metadata!C570)&lt;=19)))))))))))))</f>
        <v>0</v>
      </c>
      <c r="AD570">
        <f>IF(metadata!D570="",FALSE,TRUE)</f>
        <v>0</v>
      </c>
      <c r="AE570">
        <f>OR(AND(IF(metadata!E570="",FALSE,TRUE),OR(exact(metadata!E570,"missing: not collected"),exact(metadata!E570,"missing: not provided"))),AND(IF(metadata!E570="",FALSE,TRUE),OR(exact(metadata!E570,"TRUE"),exact(metadata!E570,"FALSE"))))</f>
        <v>0</v>
      </c>
      <c r="AF570">
        <f>IF(metadata!F570="",FALSE,TRUE)</f>
        <v>0</v>
      </c>
      <c r="AG570">
        <f>IF(metadata!G570="",FALSE,TRUE)</f>
        <v>0</v>
      </c>
      <c r="AH570">
        <f>IF(metadata!H570="",FALSE,TRUE)</f>
        <v>0</v>
      </c>
      <c r="AI570">
        <f>OR(AND(IF(metadata!I570="",FALSE,TRUE),OR(exact(metadata!I570,"missing: not collected"),exact(metadata!I570,"missing: not provided"),exact(metadata!I570,"missing: restricted access"))),AND(IF(metadata!I570="",FALSE,TRUE),OR(exact(metadata!I570,"air"),exact(metadata!I570,"built environment"),exact(metadata!I570,"host-associated"),exact(metadata!I570,"human-associated"),exact(metadata!I570,"human-skin"),exact(metadata!I570,"human-oral"),exact(metadata!I570,"human-gut"),exact(metadata!I570,"human-vaginal"),exact(metadata!I570,"microbial mat/biofilm"),exact(metadata!I570,"misc environment"),exact(metadata!I570,"plant-associated"),exact(metadata!I570,"sediment"),exact(metadata!I570,"soil"),exact(metadata!I570,"wastewater/sludge"),exact(metadata!I570,"water"))))</f>
        <v>0</v>
      </c>
      <c r="AJ570">
        <f>IF(metadata!J570="",FALSE,TRUE)</f>
        <v>0</v>
      </c>
      <c r="AK570">
        <f>OR(AND(IF(metadata!K570="",FALSE,TRUE),OR(exact(metadata!K570,"missing: not collected"),exact(metadata!K570,"missing: not provided"),exact(metadata!K570,"missing: restricted access"))),AND(IF(metadata!K570="",FALSE,ISNUMBER(VALUE(metadata!K570))),metadata!K570&gt;=-90.00,metadata!K570&lt;=90.00))</f>
        <v>0</v>
      </c>
      <c r="AL570">
        <f>OR(AND(IF(metadata!L570="",FALSE,TRUE),OR(exact(metadata!L570,"missing: not collected"),exact(metadata!L570,"missing: not provided"),exact(metadata!L570,"missing: restricted access"))),AND(IF(metadata!L570="",FALSE,ISNUMBER(VALUE(metadata!L570))),metadata!L570&gt;=-180.00,metadata!L570&lt;=180.00))</f>
        <v>0</v>
      </c>
      <c r="AM570">
        <f>IF(metadata!M570="",FALSE,TRUE)</f>
        <v>0</v>
      </c>
      <c r="AN570">
        <f>OR(AND(IF(metadata!N570="",FALSE,TRUE),OR(exact(metadata!N570,"missing: not collected"),exact(metadata!N570,"missing: not provided"),exact(metadata!N570,"missing: restricted access"))),AND(IF(metadata!N570="",FALSE,TRUE),OR(exact(metadata!N570,"TRUE"),exact(metadata!N570,"FALSE"))))</f>
        <v>0</v>
      </c>
      <c r="AO570">
        <f>IF(metadata!O570="",FALSE,TRUE)</f>
        <v>0</v>
      </c>
      <c r="AP570">
        <f>OR(AND(IF(metadata!P570="",FALSE,TRUE),OR(exact(metadata!P570,"missing: not collected"),exact(metadata!P570,"missing: not provided"))),AND(IF(metadata!P570="",FALSE,IF(ISERROR(INT(metadata!P570)),FALSE,INT(metadata!P570)=metadata!P570)),metadata!P570&gt;0))</f>
        <v>0</v>
      </c>
      <c r="AQ570">
        <f>IF(metadata!Q570="",FALSE,TRUE)</f>
        <v>0</v>
      </c>
    </row>
    <row r="571" spans="1:43">
      <c r="A571" s="5">
        <f>IF(B571=" "," ",HYPERLINK(CONCATENATE("#metadata!",ADDRESS(INDEX($W$2:$W$1001,MATCH(ROWS($U$2:U571),$U$2:$U$1001,0),0),1)),INDEX($Z$2:$Z$1001,MATCH(ROWS($U$2:U571),$U$2:$U$1001,0),0)))</f>
        <v>0</v>
      </c>
      <c r="B571" s="4">
        <f>IF(OR(INDEX($V$2:$V$1001,MATCH(ROWS($U$2:U571),$U$2:$U$1001,0),1)&gt;=100000,INDEX($AB$1005:$AQ$1005,1,MATCH(COLUMNS($AB$1006:AB1006),$AB$1006:$AQ$1006,0))&gt;=100000), " ",IF(INDEX($AB$2:$AQ$1001,MATCH(ROWS($U$2:U571),$U$2:$U$1001,0),MATCH(COLUMNS($AB$1006:AB1006),$AB$1006:$AQ$1006,0)), HYPERLINK("#",""), HYPERLINK(CONCATENATE("#metadata!", ADDRESS(INDEX($W$2:$W$1001,MATCH(ROWS($U$2:U571),$U$2:$U$1001,0),0), INDEX($AB$1004:$AQ$1004,1,MATCH(COLUMNS($AB$1006:AB1006),$AB$1006:$AQ$1006,0)))),"Fix")))</f>
        <v>0</v>
      </c>
      <c r="C571" s="4">
        <f>IF(OR(INDEX($V$2:$V$1001,MATCH(ROWS($U$2:U571),$U$2:$U$1001,0),1)&gt;=100000,INDEX($AB$1005:$AQ$1005,1,MATCH(COLUMNS($AB$1006:AC1006),$AB$1006:$AQ$1006,0))&gt;=100000), " ",IF(INDEX($AB$2:$AQ$1001,MATCH(ROWS($U$2:U571),$U$2:$U$1001,0),MATCH(COLUMNS($AB$1006:AC1006),$AB$1006:$AQ$1006,0)), HYPERLINK("#",""), HYPERLINK(CONCATENATE("#metadata!", ADDRESS(INDEX($W$2:$W$1001,MATCH(ROWS($U$2:U571),$U$2:$U$1001,0),0), INDEX($AB$1004:$AQ$1004,1,MATCH(COLUMNS($AB$1006:AC1006),$AB$1006:$AQ$1006,0)))),"Fix")))</f>
        <v>0</v>
      </c>
      <c r="D571" s="4">
        <f>IF(OR(INDEX($V$2:$V$1001,MATCH(ROWS($U$2:U571),$U$2:$U$1001,0),1)&gt;=100000,INDEX($AB$1005:$AQ$1005,1,MATCH(COLUMNS($AB$1006:AD1006),$AB$1006:$AQ$1006,0))&gt;=100000), " ",IF(INDEX($AB$2:$AQ$1001,MATCH(ROWS($U$2:U571),$U$2:$U$1001,0),MATCH(COLUMNS($AB$1006:AD1006),$AB$1006:$AQ$1006,0)), HYPERLINK("#",""), HYPERLINK(CONCATENATE("#metadata!", ADDRESS(INDEX($W$2:$W$1001,MATCH(ROWS($U$2:U571),$U$2:$U$1001,0),0), INDEX($AB$1004:$AQ$1004,1,MATCH(COLUMNS($AB$1006:AD1006),$AB$1006:$AQ$1006,0)))),"Fix")))</f>
        <v>0</v>
      </c>
      <c r="E571" s="4">
        <f>IF(OR(INDEX($V$2:$V$1001,MATCH(ROWS($U$2:U571),$U$2:$U$1001,0),1)&gt;=100000,INDEX($AB$1005:$AQ$1005,1,MATCH(COLUMNS($AB$1006:AE1006),$AB$1006:$AQ$1006,0))&gt;=100000), " ",IF(INDEX($AB$2:$AQ$1001,MATCH(ROWS($U$2:U571),$U$2:$U$1001,0),MATCH(COLUMNS($AB$1006:AE1006),$AB$1006:$AQ$1006,0)), HYPERLINK("#",""), HYPERLINK(CONCATENATE("#metadata!", ADDRESS(INDEX($W$2:$W$1001,MATCH(ROWS($U$2:U571),$U$2:$U$1001,0),0), INDEX($AB$1004:$AQ$1004,1,MATCH(COLUMNS($AB$1006:AE1006),$AB$1006:$AQ$1006,0)))),"Fix")))</f>
        <v>0</v>
      </c>
      <c r="F571" s="4">
        <f>IF(OR(INDEX($V$2:$V$1001,MATCH(ROWS($U$2:U571),$U$2:$U$1001,0),1)&gt;=100000,INDEX($AB$1005:$AQ$1005,1,MATCH(COLUMNS($AB$1006:AF1006),$AB$1006:$AQ$1006,0))&gt;=100000), " ",IF(INDEX($AB$2:$AQ$1001,MATCH(ROWS($U$2:U571),$U$2:$U$1001,0),MATCH(COLUMNS($AB$1006:AF1006),$AB$1006:$AQ$1006,0)), HYPERLINK("#",""), HYPERLINK(CONCATENATE("#metadata!", ADDRESS(INDEX($W$2:$W$1001,MATCH(ROWS($U$2:U571),$U$2:$U$1001,0),0), INDEX($AB$1004:$AQ$1004,1,MATCH(COLUMNS($AB$1006:AF1006),$AB$1006:$AQ$1006,0)))),"Fix")))</f>
        <v>0</v>
      </c>
      <c r="G571" s="4">
        <f>IF(OR(INDEX($V$2:$V$1001,MATCH(ROWS($U$2:U571),$U$2:$U$1001,0),1)&gt;=100000,INDEX($AB$1005:$AQ$1005,1,MATCH(COLUMNS($AB$1006:AG1006),$AB$1006:$AQ$1006,0))&gt;=100000), " ",IF(INDEX($AB$2:$AQ$1001,MATCH(ROWS($U$2:U571),$U$2:$U$1001,0),MATCH(COLUMNS($AB$1006:AG1006),$AB$1006:$AQ$1006,0)), HYPERLINK("#",""), HYPERLINK(CONCATENATE("#metadata!", ADDRESS(INDEX($W$2:$W$1001,MATCH(ROWS($U$2:U571),$U$2:$U$1001,0),0), INDEX($AB$1004:$AQ$1004,1,MATCH(COLUMNS($AB$1006:AG1006),$AB$1006:$AQ$1006,0)))),"Fix")))</f>
        <v>0</v>
      </c>
      <c r="H571" s="4">
        <f>IF(OR(INDEX($V$2:$V$1001,MATCH(ROWS($U$2:U571),$U$2:$U$1001,0),1)&gt;=100000,INDEX($AB$1005:$AQ$1005,1,MATCH(COLUMNS($AB$1006:AH1006),$AB$1006:$AQ$1006,0))&gt;=100000), " ",IF(INDEX($AB$2:$AQ$1001,MATCH(ROWS($U$2:U571),$U$2:$U$1001,0),MATCH(COLUMNS($AB$1006:AH1006),$AB$1006:$AQ$1006,0)), HYPERLINK("#",""), HYPERLINK(CONCATENATE("#metadata!", ADDRESS(INDEX($W$2:$W$1001,MATCH(ROWS($U$2:U571),$U$2:$U$1001,0),0), INDEX($AB$1004:$AQ$1004,1,MATCH(COLUMNS($AB$1006:AH1006),$AB$1006:$AQ$1006,0)))),"Fix")))</f>
        <v>0</v>
      </c>
      <c r="I571" s="4">
        <f>IF(OR(INDEX($V$2:$V$1001,MATCH(ROWS($U$2:U571),$U$2:$U$1001,0),1)&gt;=100000,INDEX($AB$1005:$AQ$1005,1,MATCH(COLUMNS($AB$1006:AI1006),$AB$1006:$AQ$1006,0))&gt;=100000), " ",IF(INDEX($AB$2:$AQ$1001,MATCH(ROWS($U$2:U571),$U$2:$U$1001,0),MATCH(COLUMNS($AB$1006:AI1006),$AB$1006:$AQ$1006,0)), HYPERLINK("#",""), HYPERLINK(CONCATENATE("#metadata!", ADDRESS(INDEX($W$2:$W$1001,MATCH(ROWS($U$2:U571),$U$2:$U$1001,0),0), INDEX($AB$1004:$AQ$1004,1,MATCH(COLUMNS($AB$1006:AI1006),$AB$1006:$AQ$1006,0)))),"Fix")))</f>
        <v>0</v>
      </c>
      <c r="J571" s="4">
        <f>IF(OR(INDEX($V$2:$V$1001,MATCH(ROWS($U$2:U571),$U$2:$U$1001,0),1)&gt;=100000,INDEX($AB$1005:$AQ$1005,1,MATCH(COLUMNS($AB$1006:AJ1006),$AB$1006:$AQ$1006,0))&gt;=100000), " ",IF(INDEX($AB$2:$AQ$1001,MATCH(ROWS($U$2:U571),$U$2:$U$1001,0),MATCH(COLUMNS($AB$1006:AJ1006),$AB$1006:$AQ$1006,0)), HYPERLINK("#",""), HYPERLINK(CONCATENATE("#metadata!", ADDRESS(INDEX($W$2:$W$1001,MATCH(ROWS($U$2:U571),$U$2:$U$1001,0),0), INDEX($AB$1004:$AQ$1004,1,MATCH(COLUMNS($AB$1006:AJ1006),$AB$1006:$AQ$1006,0)))),"Fix")))</f>
        <v>0</v>
      </c>
      <c r="K571" s="4">
        <f>IF(OR(INDEX($V$2:$V$1001,MATCH(ROWS($U$2:U571),$U$2:$U$1001,0),1)&gt;=100000,INDEX($AB$1005:$AQ$1005,1,MATCH(COLUMNS($AB$1006:AK1006),$AB$1006:$AQ$1006,0))&gt;=100000), " ",IF(INDEX($AB$2:$AQ$1001,MATCH(ROWS($U$2:U571),$U$2:$U$1001,0),MATCH(COLUMNS($AB$1006:AK1006),$AB$1006:$AQ$1006,0)), HYPERLINK("#",""), HYPERLINK(CONCATENATE("#metadata!", ADDRESS(INDEX($W$2:$W$1001,MATCH(ROWS($U$2:U571),$U$2:$U$1001,0),0), INDEX($AB$1004:$AQ$1004,1,MATCH(COLUMNS($AB$1006:AK1006),$AB$1006:$AQ$1006,0)))),"Fix")))</f>
        <v>0</v>
      </c>
      <c r="L571" s="4">
        <f>IF(OR(INDEX($V$2:$V$1001,MATCH(ROWS($U$2:U571),$U$2:$U$1001,0),1)&gt;=100000,INDEX($AB$1005:$AQ$1005,1,MATCH(COLUMNS($AB$1006:AL1006),$AB$1006:$AQ$1006,0))&gt;=100000), " ",IF(INDEX($AB$2:$AQ$1001,MATCH(ROWS($U$2:U571),$U$2:$U$1001,0),MATCH(COLUMNS($AB$1006:AL1006),$AB$1006:$AQ$1006,0)), HYPERLINK("#",""), HYPERLINK(CONCATENATE("#metadata!", ADDRESS(INDEX($W$2:$W$1001,MATCH(ROWS($U$2:U571),$U$2:$U$1001,0),0), INDEX($AB$1004:$AQ$1004,1,MATCH(COLUMNS($AB$1006:AL1006),$AB$1006:$AQ$1006,0)))),"Fix")))</f>
        <v>0</v>
      </c>
      <c r="M571" s="4">
        <f>IF(OR(INDEX($V$2:$V$1001,MATCH(ROWS($U$2:U571),$U$2:$U$1001,0),1)&gt;=100000,INDEX($AB$1005:$AQ$1005,1,MATCH(COLUMNS($AB$1006:AM1006),$AB$1006:$AQ$1006,0))&gt;=100000), " ",IF(INDEX($AB$2:$AQ$1001,MATCH(ROWS($U$2:U571),$U$2:$U$1001,0),MATCH(COLUMNS($AB$1006:AM1006),$AB$1006:$AQ$1006,0)), HYPERLINK("#",""), HYPERLINK(CONCATENATE("#metadata!", ADDRESS(INDEX($W$2:$W$1001,MATCH(ROWS($U$2:U571),$U$2:$U$1001,0),0), INDEX($AB$1004:$AQ$1004,1,MATCH(COLUMNS($AB$1006:AM1006),$AB$1006:$AQ$1006,0)))),"Fix")))</f>
        <v>0</v>
      </c>
      <c r="N571" s="4">
        <f>IF(OR(INDEX($V$2:$V$1001,MATCH(ROWS($U$2:U571),$U$2:$U$1001,0),1)&gt;=100000,INDEX($AB$1005:$AQ$1005,1,MATCH(COLUMNS($AB$1006:AN1006),$AB$1006:$AQ$1006,0))&gt;=100000), " ",IF(INDEX($AB$2:$AQ$1001,MATCH(ROWS($U$2:U571),$U$2:$U$1001,0),MATCH(COLUMNS($AB$1006:AN1006),$AB$1006:$AQ$1006,0)), HYPERLINK("#",""), HYPERLINK(CONCATENATE("#metadata!", ADDRESS(INDEX($W$2:$W$1001,MATCH(ROWS($U$2:U571),$U$2:$U$1001,0),0), INDEX($AB$1004:$AQ$1004,1,MATCH(COLUMNS($AB$1006:AN1006),$AB$1006:$AQ$1006,0)))),"Fix")))</f>
        <v>0</v>
      </c>
      <c r="O571" s="4">
        <f>IF(OR(INDEX($V$2:$V$1001,MATCH(ROWS($U$2:U571),$U$2:$U$1001,0),1)&gt;=100000,INDEX($AB$1005:$AQ$1005,1,MATCH(COLUMNS($AB$1006:AO1006),$AB$1006:$AQ$1006,0))&gt;=100000), " ",IF(INDEX($AB$2:$AQ$1001,MATCH(ROWS($U$2:U571),$U$2:$U$1001,0),MATCH(COLUMNS($AB$1006:AO1006),$AB$1006:$AQ$1006,0)), HYPERLINK("#",""), HYPERLINK(CONCATENATE("#metadata!", ADDRESS(INDEX($W$2:$W$1001,MATCH(ROWS($U$2:U571),$U$2:$U$1001,0),0), INDEX($AB$1004:$AQ$1004,1,MATCH(COLUMNS($AB$1006:AO1006),$AB$1006:$AQ$1006,0)))),"Fix")))</f>
        <v>0</v>
      </c>
      <c r="P571" s="4">
        <f>IF(OR(INDEX($V$2:$V$1001,MATCH(ROWS($U$2:U571),$U$2:$U$1001,0),1)&gt;=100000,INDEX($AB$1005:$AQ$1005,1,MATCH(COLUMNS($AB$1006:AP1006),$AB$1006:$AQ$1006,0))&gt;=100000), " ",IF(INDEX($AB$2:$AQ$1001,MATCH(ROWS($U$2:U571),$U$2:$U$1001,0),MATCH(COLUMNS($AB$1006:AP1006),$AB$1006:$AQ$1006,0)), HYPERLINK("#",""), HYPERLINK(CONCATENATE("#metadata!", ADDRESS(INDEX($W$2:$W$1001,MATCH(ROWS($U$2:U571),$U$2:$U$1001,0),0), INDEX($AB$1004:$AQ$1004,1,MATCH(COLUMNS($AB$1006:AP1006),$AB$1006:$AQ$1006,0)))),"Fix")))</f>
        <v>0</v>
      </c>
      <c r="Q571" s="4">
        <f>IF(OR(INDEX($V$2:$V$1001,MATCH(ROWS($U$2:U571),$U$2:$U$1001,0),1)&gt;=100000,INDEX($AB$1005:$AQ$1005,1,MATCH(COLUMNS($AB$1006:AQ1006),$AB$1006:$AQ$1006,0))&gt;=100000), " ",IF(INDEX($AB$2:$AQ$1001,MATCH(ROWS($U$2:U571),$U$2:$U$1001,0),MATCH(COLUMNS($AB$1006:AQ1006),$AB$1006:$AQ$1006,0)), HYPERLINK("#",""), HYPERLINK(CONCATENATE("#metadata!", ADDRESS(INDEX($W$2:$W$1001,MATCH(ROWS($U$2:U571),$U$2:$U$1001,0),0), INDEX($AB$1004:$AQ$1004,1,MATCH(COLUMNS($AB$1006:AQ1006),$AB$1006:$AQ$1006,0)))),"Fix")))</f>
        <v>0</v>
      </c>
      <c r="U571">
        <v>0</v>
      </c>
      <c r="V571">
        <v>0</v>
      </c>
      <c r="W571">
        <v>0</v>
      </c>
      <c r="X571">
        <f>IF(Y571,TRUE,AND(AB571:AQ571))</f>
        <v>0</v>
      </c>
      <c r="Y571">
        <f>COUNTBLANK(metadata!B571:Q571)=COLUMNS(metadata!B571:Q571)</f>
        <v>0</v>
      </c>
      <c r="Z571">
        <v>0</v>
      </c>
      <c r="AB571">
        <f>AND(IF(metadata!B571="",FALSE,TRUE),COUNTIF(metadata!B:B, metadata!B571) = 1,NOT(ISERROR(SUMPRODUCT(SEARCH(MID(metadata!B571,ROW(INDIRECT("1:"&amp;LEN(metadata!B571))), 1),"0123456789abcdefghijklmnopqrstuvwxyzABCDEFGHIJKLMNOPQRSTUVWXYZ.")))))</f>
        <v>0</v>
      </c>
      <c r="AC571">
        <f>OR(AND(IF(metadata!C571="",FALSE,TRUE),OR(exact(metadata!C571,"missing: not collected"),exact(metadata!C571,"missing: not provided"),exact(metadata!C571,"missing: restricted access"))),AND(IF(metadata!C571="",FALSE,TRUE),AND(AND(IFERROR(INT(LEFT(metadata!C571,4))&gt;1900,FALSE),IFERROR(INT(LEFT(metadata!C571,4))&lt;=YEAR(NOW()),FALSE)), OR(MID(metadata!C571,5,1)="", AND(AND(MID(metadata!C571,5,1)="-",IFERROR(INT(MID(metadata!C571,6,1))&gt;=0,FALSE),IFERROR(INT(MID(metadata!C571,6,1))&lt;=1,FALSE),NOT(MID(metadata!C571,7,1)=""),IFERROR(INT(MID(metadata!C571,6,2))&gt;=1,FALSE),IFERROR(INT(MID(metadata!C571,6,2))&lt;=12,FALSE)), OR(MID(metadata!C571,8,1)="", AND(AND(MID(metadata!C571,8,1)="-",IFERROR(INT(MID(metadata!C571,9,1))&gt;=0,FALSE),IFERROR(INT(MID(metadata!C571,9,1))&lt;=3,FALSE),NOT(MID(metadata!C571,10,1)=""),IFERROR(INT(MID(metadata!C571,9,2))&gt;=1,FALSE),IFERROR(INT(MID(metadata!C571,9,2))&lt;=31,FALSE)), OR(MID(metadata!C571,11,1)="", AND(AND(MID(metadata!C571,11,1)=" ",IFERROR(INT(MID(metadata!C571,12,1))&gt;=0,FALSE),IFERROR(INT(MID(metadata!C571,12,1))&lt;=2,FALSE),NOT(MID(metadata!C571,13,1)=""),IFERROR(INT(MID(metadata!C571,12,2))&gt;=0,FALSE),IFERROR(INT(MID(metadata!C571,12,2))&lt;=23,FALSE)), OR(MID(metadata!C571,14,1)="", AND(AND(MID(metadata!C571,14,1)=":",IFERROR(INT(MID(metadata!C571,15,1))&gt;=0,FALSE),IFERROR(INT(MID(metadata!C571,15,1))&lt;=5,FALSE),NOT(MID(metadata!C571,16,1)=""),IFERROR(INT(MID(metadata!C571,15,2))&gt;=0,FALSE),IFERROR(INT(MID(metadata!C571,15,2))&lt;=59,FALSE)), OR(MID(metadata!C571,17,1)="", AND(AND(MID(metadata!C571,17,1)=":",IFERROR(INT(MID(metadata!C571,18,1))&gt;=0,FALSE),IFERROR(INT(MID(metadata!C571,18,1))&lt;=5,FALSE),NOT(MID(metadata!C571,19,1)=""),IFERROR(INT(MID(metadata!C571,18,2))&gt;=0,FALSE),IFERROR(INT(MID(metadata!C571,18,2))&lt;=59,FALSE)), LEN(metadata!C571)&lt;=19)))))))))))))</f>
        <v>0</v>
      </c>
      <c r="AD571">
        <f>IF(metadata!D571="",FALSE,TRUE)</f>
        <v>0</v>
      </c>
      <c r="AE571">
        <f>OR(AND(IF(metadata!E571="",FALSE,TRUE),OR(exact(metadata!E571,"missing: not collected"),exact(metadata!E571,"missing: not provided"))),AND(IF(metadata!E571="",FALSE,TRUE),OR(exact(metadata!E571,"TRUE"),exact(metadata!E571,"FALSE"))))</f>
        <v>0</v>
      </c>
      <c r="AF571">
        <f>IF(metadata!F571="",FALSE,TRUE)</f>
        <v>0</v>
      </c>
      <c r="AG571">
        <f>IF(metadata!G571="",FALSE,TRUE)</f>
        <v>0</v>
      </c>
      <c r="AH571">
        <f>IF(metadata!H571="",FALSE,TRUE)</f>
        <v>0</v>
      </c>
      <c r="AI571">
        <f>OR(AND(IF(metadata!I571="",FALSE,TRUE),OR(exact(metadata!I571,"missing: not collected"),exact(metadata!I571,"missing: not provided"),exact(metadata!I571,"missing: restricted access"))),AND(IF(metadata!I571="",FALSE,TRUE),OR(exact(metadata!I571,"air"),exact(metadata!I571,"built environment"),exact(metadata!I571,"host-associated"),exact(metadata!I571,"human-associated"),exact(metadata!I571,"human-skin"),exact(metadata!I571,"human-oral"),exact(metadata!I571,"human-gut"),exact(metadata!I571,"human-vaginal"),exact(metadata!I571,"microbial mat/biofilm"),exact(metadata!I571,"misc environment"),exact(metadata!I571,"plant-associated"),exact(metadata!I571,"sediment"),exact(metadata!I571,"soil"),exact(metadata!I571,"wastewater/sludge"),exact(metadata!I571,"water"))))</f>
        <v>0</v>
      </c>
      <c r="AJ571">
        <f>IF(metadata!J571="",FALSE,TRUE)</f>
        <v>0</v>
      </c>
      <c r="AK571">
        <f>OR(AND(IF(metadata!K571="",FALSE,TRUE),OR(exact(metadata!K571,"missing: not collected"),exact(metadata!K571,"missing: not provided"),exact(metadata!K571,"missing: restricted access"))),AND(IF(metadata!K571="",FALSE,ISNUMBER(VALUE(metadata!K571))),metadata!K571&gt;=-90.00,metadata!K571&lt;=90.00))</f>
        <v>0</v>
      </c>
      <c r="AL571">
        <f>OR(AND(IF(metadata!L571="",FALSE,TRUE),OR(exact(metadata!L571,"missing: not collected"),exact(metadata!L571,"missing: not provided"),exact(metadata!L571,"missing: restricted access"))),AND(IF(metadata!L571="",FALSE,ISNUMBER(VALUE(metadata!L571))),metadata!L571&gt;=-180.00,metadata!L571&lt;=180.00))</f>
        <v>0</v>
      </c>
      <c r="AM571">
        <f>IF(metadata!M571="",FALSE,TRUE)</f>
        <v>0</v>
      </c>
      <c r="AN571">
        <f>OR(AND(IF(metadata!N571="",FALSE,TRUE),OR(exact(metadata!N571,"missing: not collected"),exact(metadata!N571,"missing: not provided"),exact(metadata!N571,"missing: restricted access"))),AND(IF(metadata!N571="",FALSE,TRUE),OR(exact(metadata!N571,"TRUE"),exact(metadata!N571,"FALSE"))))</f>
        <v>0</v>
      </c>
      <c r="AO571">
        <f>IF(metadata!O571="",FALSE,TRUE)</f>
        <v>0</v>
      </c>
      <c r="AP571">
        <f>OR(AND(IF(metadata!P571="",FALSE,TRUE),OR(exact(metadata!P571,"missing: not collected"),exact(metadata!P571,"missing: not provided"))),AND(IF(metadata!P571="",FALSE,IF(ISERROR(INT(metadata!P571)),FALSE,INT(metadata!P571)=metadata!P571)),metadata!P571&gt;0))</f>
        <v>0</v>
      </c>
      <c r="AQ571">
        <f>IF(metadata!Q571="",FALSE,TRUE)</f>
        <v>0</v>
      </c>
    </row>
    <row r="572" spans="1:43">
      <c r="A572" s="5">
        <f>IF(B572=" "," ",HYPERLINK(CONCATENATE("#metadata!",ADDRESS(INDEX($W$2:$W$1001,MATCH(ROWS($U$2:U572),$U$2:$U$1001,0),0),1)),INDEX($Z$2:$Z$1001,MATCH(ROWS($U$2:U572),$U$2:$U$1001,0),0)))</f>
        <v>0</v>
      </c>
      <c r="B572" s="4">
        <f>IF(OR(INDEX($V$2:$V$1001,MATCH(ROWS($U$2:U572),$U$2:$U$1001,0),1)&gt;=100000,INDEX($AB$1005:$AQ$1005,1,MATCH(COLUMNS($AB$1006:AB1006),$AB$1006:$AQ$1006,0))&gt;=100000), " ",IF(INDEX($AB$2:$AQ$1001,MATCH(ROWS($U$2:U572),$U$2:$U$1001,0),MATCH(COLUMNS($AB$1006:AB1006),$AB$1006:$AQ$1006,0)), HYPERLINK("#",""), HYPERLINK(CONCATENATE("#metadata!", ADDRESS(INDEX($W$2:$W$1001,MATCH(ROWS($U$2:U572),$U$2:$U$1001,0),0), INDEX($AB$1004:$AQ$1004,1,MATCH(COLUMNS($AB$1006:AB1006),$AB$1006:$AQ$1006,0)))),"Fix")))</f>
        <v>0</v>
      </c>
      <c r="C572" s="4">
        <f>IF(OR(INDEX($V$2:$V$1001,MATCH(ROWS($U$2:U572),$U$2:$U$1001,0),1)&gt;=100000,INDEX($AB$1005:$AQ$1005,1,MATCH(COLUMNS($AB$1006:AC1006),$AB$1006:$AQ$1006,0))&gt;=100000), " ",IF(INDEX($AB$2:$AQ$1001,MATCH(ROWS($U$2:U572),$U$2:$U$1001,0),MATCH(COLUMNS($AB$1006:AC1006),$AB$1006:$AQ$1006,0)), HYPERLINK("#",""), HYPERLINK(CONCATENATE("#metadata!", ADDRESS(INDEX($W$2:$W$1001,MATCH(ROWS($U$2:U572),$U$2:$U$1001,0),0), INDEX($AB$1004:$AQ$1004,1,MATCH(COLUMNS($AB$1006:AC1006),$AB$1006:$AQ$1006,0)))),"Fix")))</f>
        <v>0</v>
      </c>
      <c r="D572" s="4">
        <f>IF(OR(INDEX($V$2:$V$1001,MATCH(ROWS($U$2:U572),$U$2:$U$1001,0),1)&gt;=100000,INDEX($AB$1005:$AQ$1005,1,MATCH(COLUMNS($AB$1006:AD1006),$AB$1006:$AQ$1006,0))&gt;=100000), " ",IF(INDEX($AB$2:$AQ$1001,MATCH(ROWS($U$2:U572),$U$2:$U$1001,0),MATCH(COLUMNS($AB$1006:AD1006),$AB$1006:$AQ$1006,0)), HYPERLINK("#",""), HYPERLINK(CONCATENATE("#metadata!", ADDRESS(INDEX($W$2:$W$1001,MATCH(ROWS($U$2:U572),$U$2:$U$1001,0),0), INDEX($AB$1004:$AQ$1004,1,MATCH(COLUMNS($AB$1006:AD1006),$AB$1006:$AQ$1006,0)))),"Fix")))</f>
        <v>0</v>
      </c>
      <c r="E572" s="4">
        <f>IF(OR(INDEX($V$2:$V$1001,MATCH(ROWS($U$2:U572),$U$2:$U$1001,0),1)&gt;=100000,INDEX($AB$1005:$AQ$1005,1,MATCH(COLUMNS($AB$1006:AE1006),$AB$1006:$AQ$1006,0))&gt;=100000), " ",IF(INDEX($AB$2:$AQ$1001,MATCH(ROWS($U$2:U572),$U$2:$U$1001,0),MATCH(COLUMNS($AB$1006:AE1006),$AB$1006:$AQ$1006,0)), HYPERLINK("#",""), HYPERLINK(CONCATENATE("#metadata!", ADDRESS(INDEX($W$2:$W$1001,MATCH(ROWS($U$2:U572),$U$2:$U$1001,0),0), INDEX($AB$1004:$AQ$1004,1,MATCH(COLUMNS($AB$1006:AE1006),$AB$1006:$AQ$1006,0)))),"Fix")))</f>
        <v>0</v>
      </c>
      <c r="F572" s="4">
        <f>IF(OR(INDEX($V$2:$V$1001,MATCH(ROWS($U$2:U572),$U$2:$U$1001,0),1)&gt;=100000,INDEX($AB$1005:$AQ$1005,1,MATCH(COLUMNS($AB$1006:AF1006),$AB$1006:$AQ$1006,0))&gt;=100000), " ",IF(INDEX($AB$2:$AQ$1001,MATCH(ROWS($U$2:U572),$U$2:$U$1001,0),MATCH(COLUMNS($AB$1006:AF1006),$AB$1006:$AQ$1006,0)), HYPERLINK("#",""), HYPERLINK(CONCATENATE("#metadata!", ADDRESS(INDEX($W$2:$W$1001,MATCH(ROWS($U$2:U572),$U$2:$U$1001,0),0), INDEX($AB$1004:$AQ$1004,1,MATCH(COLUMNS($AB$1006:AF1006),$AB$1006:$AQ$1006,0)))),"Fix")))</f>
        <v>0</v>
      </c>
      <c r="G572" s="4">
        <f>IF(OR(INDEX($V$2:$V$1001,MATCH(ROWS($U$2:U572),$U$2:$U$1001,0),1)&gt;=100000,INDEX($AB$1005:$AQ$1005,1,MATCH(COLUMNS($AB$1006:AG1006),$AB$1006:$AQ$1006,0))&gt;=100000), " ",IF(INDEX($AB$2:$AQ$1001,MATCH(ROWS($U$2:U572),$U$2:$U$1001,0),MATCH(COLUMNS($AB$1006:AG1006),$AB$1006:$AQ$1006,0)), HYPERLINK("#",""), HYPERLINK(CONCATENATE("#metadata!", ADDRESS(INDEX($W$2:$W$1001,MATCH(ROWS($U$2:U572),$U$2:$U$1001,0),0), INDEX($AB$1004:$AQ$1004,1,MATCH(COLUMNS($AB$1006:AG1006),$AB$1006:$AQ$1006,0)))),"Fix")))</f>
        <v>0</v>
      </c>
      <c r="H572" s="4">
        <f>IF(OR(INDEX($V$2:$V$1001,MATCH(ROWS($U$2:U572),$U$2:$U$1001,0),1)&gt;=100000,INDEX($AB$1005:$AQ$1005,1,MATCH(COLUMNS($AB$1006:AH1006),$AB$1006:$AQ$1006,0))&gt;=100000), " ",IF(INDEX($AB$2:$AQ$1001,MATCH(ROWS($U$2:U572),$U$2:$U$1001,0),MATCH(COLUMNS($AB$1006:AH1006),$AB$1006:$AQ$1006,0)), HYPERLINK("#",""), HYPERLINK(CONCATENATE("#metadata!", ADDRESS(INDEX($W$2:$W$1001,MATCH(ROWS($U$2:U572),$U$2:$U$1001,0),0), INDEX($AB$1004:$AQ$1004,1,MATCH(COLUMNS($AB$1006:AH1006),$AB$1006:$AQ$1006,0)))),"Fix")))</f>
        <v>0</v>
      </c>
      <c r="I572" s="4">
        <f>IF(OR(INDEX($V$2:$V$1001,MATCH(ROWS($U$2:U572),$U$2:$U$1001,0),1)&gt;=100000,INDEX($AB$1005:$AQ$1005,1,MATCH(COLUMNS($AB$1006:AI1006),$AB$1006:$AQ$1006,0))&gt;=100000), " ",IF(INDEX($AB$2:$AQ$1001,MATCH(ROWS($U$2:U572),$U$2:$U$1001,0),MATCH(COLUMNS($AB$1006:AI1006),$AB$1006:$AQ$1006,0)), HYPERLINK("#",""), HYPERLINK(CONCATENATE("#metadata!", ADDRESS(INDEX($W$2:$W$1001,MATCH(ROWS($U$2:U572),$U$2:$U$1001,0),0), INDEX($AB$1004:$AQ$1004,1,MATCH(COLUMNS($AB$1006:AI1006),$AB$1006:$AQ$1006,0)))),"Fix")))</f>
        <v>0</v>
      </c>
      <c r="J572" s="4">
        <f>IF(OR(INDEX($V$2:$V$1001,MATCH(ROWS($U$2:U572),$U$2:$U$1001,0),1)&gt;=100000,INDEX($AB$1005:$AQ$1005,1,MATCH(COLUMNS($AB$1006:AJ1006),$AB$1006:$AQ$1006,0))&gt;=100000), " ",IF(INDEX($AB$2:$AQ$1001,MATCH(ROWS($U$2:U572),$U$2:$U$1001,0),MATCH(COLUMNS($AB$1006:AJ1006),$AB$1006:$AQ$1006,0)), HYPERLINK("#",""), HYPERLINK(CONCATENATE("#metadata!", ADDRESS(INDEX($W$2:$W$1001,MATCH(ROWS($U$2:U572),$U$2:$U$1001,0),0), INDEX($AB$1004:$AQ$1004,1,MATCH(COLUMNS($AB$1006:AJ1006),$AB$1006:$AQ$1006,0)))),"Fix")))</f>
        <v>0</v>
      </c>
      <c r="K572" s="4">
        <f>IF(OR(INDEX($V$2:$V$1001,MATCH(ROWS($U$2:U572),$U$2:$U$1001,0),1)&gt;=100000,INDEX($AB$1005:$AQ$1005,1,MATCH(COLUMNS($AB$1006:AK1006),$AB$1006:$AQ$1006,0))&gt;=100000), " ",IF(INDEX($AB$2:$AQ$1001,MATCH(ROWS($U$2:U572),$U$2:$U$1001,0),MATCH(COLUMNS($AB$1006:AK1006),$AB$1006:$AQ$1006,0)), HYPERLINK("#",""), HYPERLINK(CONCATENATE("#metadata!", ADDRESS(INDEX($W$2:$W$1001,MATCH(ROWS($U$2:U572),$U$2:$U$1001,0),0), INDEX($AB$1004:$AQ$1004,1,MATCH(COLUMNS($AB$1006:AK1006),$AB$1006:$AQ$1006,0)))),"Fix")))</f>
        <v>0</v>
      </c>
      <c r="L572" s="4">
        <f>IF(OR(INDEX($V$2:$V$1001,MATCH(ROWS($U$2:U572),$U$2:$U$1001,0),1)&gt;=100000,INDEX($AB$1005:$AQ$1005,1,MATCH(COLUMNS($AB$1006:AL1006),$AB$1006:$AQ$1006,0))&gt;=100000), " ",IF(INDEX($AB$2:$AQ$1001,MATCH(ROWS($U$2:U572),$U$2:$U$1001,0),MATCH(COLUMNS($AB$1006:AL1006),$AB$1006:$AQ$1006,0)), HYPERLINK("#",""), HYPERLINK(CONCATENATE("#metadata!", ADDRESS(INDEX($W$2:$W$1001,MATCH(ROWS($U$2:U572),$U$2:$U$1001,0),0), INDEX($AB$1004:$AQ$1004,1,MATCH(COLUMNS($AB$1006:AL1006),$AB$1006:$AQ$1006,0)))),"Fix")))</f>
        <v>0</v>
      </c>
      <c r="M572" s="4">
        <f>IF(OR(INDEX($V$2:$V$1001,MATCH(ROWS($U$2:U572),$U$2:$U$1001,0),1)&gt;=100000,INDEX($AB$1005:$AQ$1005,1,MATCH(COLUMNS($AB$1006:AM1006),$AB$1006:$AQ$1006,0))&gt;=100000), " ",IF(INDEX($AB$2:$AQ$1001,MATCH(ROWS($U$2:U572),$U$2:$U$1001,0),MATCH(COLUMNS($AB$1006:AM1006),$AB$1006:$AQ$1006,0)), HYPERLINK("#",""), HYPERLINK(CONCATENATE("#metadata!", ADDRESS(INDEX($W$2:$W$1001,MATCH(ROWS($U$2:U572),$U$2:$U$1001,0),0), INDEX($AB$1004:$AQ$1004,1,MATCH(COLUMNS($AB$1006:AM1006),$AB$1006:$AQ$1006,0)))),"Fix")))</f>
        <v>0</v>
      </c>
      <c r="N572" s="4">
        <f>IF(OR(INDEX($V$2:$V$1001,MATCH(ROWS($U$2:U572),$U$2:$U$1001,0),1)&gt;=100000,INDEX($AB$1005:$AQ$1005,1,MATCH(COLUMNS($AB$1006:AN1006),$AB$1006:$AQ$1006,0))&gt;=100000), " ",IF(INDEX($AB$2:$AQ$1001,MATCH(ROWS($U$2:U572),$U$2:$U$1001,0),MATCH(COLUMNS($AB$1006:AN1006),$AB$1006:$AQ$1006,0)), HYPERLINK("#",""), HYPERLINK(CONCATENATE("#metadata!", ADDRESS(INDEX($W$2:$W$1001,MATCH(ROWS($U$2:U572),$U$2:$U$1001,0),0), INDEX($AB$1004:$AQ$1004,1,MATCH(COLUMNS($AB$1006:AN1006),$AB$1006:$AQ$1006,0)))),"Fix")))</f>
        <v>0</v>
      </c>
      <c r="O572" s="4">
        <f>IF(OR(INDEX($V$2:$V$1001,MATCH(ROWS($U$2:U572),$U$2:$U$1001,0),1)&gt;=100000,INDEX($AB$1005:$AQ$1005,1,MATCH(COLUMNS($AB$1006:AO1006),$AB$1006:$AQ$1006,0))&gt;=100000), " ",IF(INDEX($AB$2:$AQ$1001,MATCH(ROWS($U$2:U572),$U$2:$U$1001,0),MATCH(COLUMNS($AB$1006:AO1006),$AB$1006:$AQ$1006,0)), HYPERLINK("#",""), HYPERLINK(CONCATENATE("#metadata!", ADDRESS(INDEX($W$2:$W$1001,MATCH(ROWS($U$2:U572),$U$2:$U$1001,0),0), INDEX($AB$1004:$AQ$1004,1,MATCH(COLUMNS($AB$1006:AO1006),$AB$1006:$AQ$1006,0)))),"Fix")))</f>
        <v>0</v>
      </c>
      <c r="P572" s="4">
        <f>IF(OR(INDEX($V$2:$V$1001,MATCH(ROWS($U$2:U572),$U$2:$U$1001,0),1)&gt;=100000,INDEX($AB$1005:$AQ$1005,1,MATCH(COLUMNS($AB$1006:AP1006),$AB$1006:$AQ$1006,0))&gt;=100000), " ",IF(INDEX($AB$2:$AQ$1001,MATCH(ROWS($U$2:U572),$U$2:$U$1001,0),MATCH(COLUMNS($AB$1006:AP1006),$AB$1006:$AQ$1006,0)), HYPERLINK("#",""), HYPERLINK(CONCATENATE("#metadata!", ADDRESS(INDEX($W$2:$W$1001,MATCH(ROWS($U$2:U572),$U$2:$U$1001,0),0), INDEX($AB$1004:$AQ$1004,1,MATCH(COLUMNS($AB$1006:AP1006),$AB$1006:$AQ$1006,0)))),"Fix")))</f>
        <v>0</v>
      </c>
      <c r="Q572" s="4">
        <f>IF(OR(INDEX($V$2:$V$1001,MATCH(ROWS($U$2:U572),$U$2:$U$1001,0),1)&gt;=100000,INDEX($AB$1005:$AQ$1005,1,MATCH(COLUMNS($AB$1006:AQ1006),$AB$1006:$AQ$1006,0))&gt;=100000), " ",IF(INDEX($AB$2:$AQ$1001,MATCH(ROWS($U$2:U572),$U$2:$U$1001,0),MATCH(COLUMNS($AB$1006:AQ1006),$AB$1006:$AQ$1006,0)), HYPERLINK("#",""), HYPERLINK(CONCATENATE("#metadata!", ADDRESS(INDEX($W$2:$W$1001,MATCH(ROWS($U$2:U572),$U$2:$U$1001,0),0), INDEX($AB$1004:$AQ$1004,1,MATCH(COLUMNS($AB$1006:AQ1006),$AB$1006:$AQ$1006,0)))),"Fix")))</f>
        <v>0</v>
      </c>
      <c r="U572">
        <v>0</v>
      </c>
      <c r="V572">
        <v>0</v>
      </c>
      <c r="W572">
        <v>0</v>
      </c>
      <c r="X572">
        <f>IF(Y572,TRUE,AND(AB572:AQ572))</f>
        <v>0</v>
      </c>
      <c r="Y572">
        <f>COUNTBLANK(metadata!B572:Q572)=COLUMNS(metadata!B572:Q572)</f>
        <v>0</v>
      </c>
      <c r="Z572">
        <v>0</v>
      </c>
      <c r="AB572">
        <f>AND(IF(metadata!B572="",FALSE,TRUE),COUNTIF(metadata!B:B, metadata!B572) = 1,NOT(ISERROR(SUMPRODUCT(SEARCH(MID(metadata!B572,ROW(INDIRECT("1:"&amp;LEN(metadata!B572))), 1),"0123456789abcdefghijklmnopqrstuvwxyzABCDEFGHIJKLMNOPQRSTUVWXYZ.")))))</f>
        <v>0</v>
      </c>
      <c r="AC572">
        <f>OR(AND(IF(metadata!C572="",FALSE,TRUE),OR(exact(metadata!C572,"missing: not collected"),exact(metadata!C572,"missing: not provided"),exact(metadata!C572,"missing: restricted access"))),AND(IF(metadata!C572="",FALSE,TRUE),AND(AND(IFERROR(INT(LEFT(metadata!C572,4))&gt;1900,FALSE),IFERROR(INT(LEFT(metadata!C572,4))&lt;=YEAR(NOW()),FALSE)), OR(MID(metadata!C572,5,1)="", AND(AND(MID(metadata!C572,5,1)="-",IFERROR(INT(MID(metadata!C572,6,1))&gt;=0,FALSE),IFERROR(INT(MID(metadata!C572,6,1))&lt;=1,FALSE),NOT(MID(metadata!C572,7,1)=""),IFERROR(INT(MID(metadata!C572,6,2))&gt;=1,FALSE),IFERROR(INT(MID(metadata!C572,6,2))&lt;=12,FALSE)), OR(MID(metadata!C572,8,1)="", AND(AND(MID(metadata!C572,8,1)="-",IFERROR(INT(MID(metadata!C572,9,1))&gt;=0,FALSE),IFERROR(INT(MID(metadata!C572,9,1))&lt;=3,FALSE),NOT(MID(metadata!C572,10,1)=""),IFERROR(INT(MID(metadata!C572,9,2))&gt;=1,FALSE),IFERROR(INT(MID(metadata!C572,9,2))&lt;=31,FALSE)), OR(MID(metadata!C572,11,1)="", AND(AND(MID(metadata!C572,11,1)=" ",IFERROR(INT(MID(metadata!C572,12,1))&gt;=0,FALSE),IFERROR(INT(MID(metadata!C572,12,1))&lt;=2,FALSE),NOT(MID(metadata!C572,13,1)=""),IFERROR(INT(MID(metadata!C572,12,2))&gt;=0,FALSE),IFERROR(INT(MID(metadata!C572,12,2))&lt;=23,FALSE)), OR(MID(metadata!C572,14,1)="", AND(AND(MID(metadata!C572,14,1)=":",IFERROR(INT(MID(metadata!C572,15,1))&gt;=0,FALSE),IFERROR(INT(MID(metadata!C572,15,1))&lt;=5,FALSE),NOT(MID(metadata!C572,16,1)=""),IFERROR(INT(MID(metadata!C572,15,2))&gt;=0,FALSE),IFERROR(INT(MID(metadata!C572,15,2))&lt;=59,FALSE)), OR(MID(metadata!C572,17,1)="", AND(AND(MID(metadata!C572,17,1)=":",IFERROR(INT(MID(metadata!C572,18,1))&gt;=0,FALSE),IFERROR(INT(MID(metadata!C572,18,1))&lt;=5,FALSE),NOT(MID(metadata!C572,19,1)=""),IFERROR(INT(MID(metadata!C572,18,2))&gt;=0,FALSE),IFERROR(INT(MID(metadata!C572,18,2))&lt;=59,FALSE)), LEN(metadata!C572)&lt;=19)))))))))))))</f>
        <v>0</v>
      </c>
      <c r="AD572">
        <f>IF(metadata!D572="",FALSE,TRUE)</f>
        <v>0</v>
      </c>
      <c r="AE572">
        <f>OR(AND(IF(metadata!E572="",FALSE,TRUE),OR(exact(metadata!E572,"missing: not collected"),exact(metadata!E572,"missing: not provided"))),AND(IF(metadata!E572="",FALSE,TRUE),OR(exact(metadata!E572,"TRUE"),exact(metadata!E572,"FALSE"))))</f>
        <v>0</v>
      </c>
      <c r="AF572">
        <f>IF(metadata!F572="",FALSE,TRUE)</f>
        <v>0</v>
      </c>
      <c r="AG572">
        <f>IF(metadata!G572="",FALSE,TRUE)</f>
        <v>0</v>
      </c>
      <c r="AH572">
        <f>IF(metadata!H572="",FALSE,TRUE)</f>
        <v>0</v>
      </c>
      <c r="AI572">
        <f>OR(AND(IF(metadata!I572="",FALSE,TRUE),OR(exact(metadata!I572,"missing: not collected"),exact(metadata!I572,"missing: not provided"),exact(metadata!I572,"missing: restricted access"))),AND(IF(metadata!I572="",FALSE,TRUE),OR(exact(metadata!I572,"air"),exact(metadata!I572,"built environment"),exact(metadata!I572,"host-associated"),exact(metadata!I572,"human-associated"),exact(metadata!I572,"human-skin"),exact(metadata!I572,"human-oral"),exact(metadata!I572,"human-gut"),exact(metadata!I572,"human-vaginal"),exact(metadata!I572,"microbial mat/biofilm"),exact(metadata!I572,"misc environment"),exact(metadata!I572,"plant-associated"),exact(metadata!I572,"sediment"),exact(metadata!I572,"soil"),exact(metadata!I572,"wastewater/sludge"),exact(metadata!I572,"water"))))</f>
        <v>0</v>
      </c>
      <c r="AJ572">
        <f>IF(metadata!J572="",FALSE,TRUE)</f>
        <v>0</v>
      </c>
      <c r="AK572">
        <f>OR(AND(IF(metadata!K572="",FALSE,TRUE),OR(exact(metadata!K572,"missing: not collected"),exact(metadata!K572,"missing: not provided"),exact(metadata!K572,"missing: restricted access"))),AND(IF(metadata!K572="",FALSE,ISNUMBER(VALUE(metadata!K572))),metadata!K572&gt;=-90.00,metadata!K572&lt;=90.00))</f>
        <v>0</v>
      </c>
      <c r="AL572">
        <f>OR(AND(IF(metadata!L572="",FALSE,TRUE),OR(exact(metadata!L572,"missing: not collected"),exact(metadata!L572,"missing: not provided"),exact(metadata!L572,"missing: restricted access"))),AND(IF(metadata!L572="",FALSE,ISNUMBER(VALUE(metadata!L572))),metadata!L572&gt;=-180.00,metadata!L572&lt;=180.00))</f>
        <v>0</v>
      </c>
      <c r="AM572">
        <f>IF(metadata!M572="",FALSE,TRUE)</f>
        <v>0</v>
      </c>
      <c r="AN572">
        <f>OR(AND(IF(metadata!N572="",FALSE,TRUE),OR(exact(metadata!N572,"missing: not collected"),exact(metadata!N572,"missing: not provided"),exact(metadata!N572,"missing: restricted access"))),AND(IF(metadata!N572="",FALSE,TRUE),OR(exact(metadata!N572,"TRUE"),exact(metadata!N572,"FALSE"))))</f>
        <v>0</v>
      </c>
      <c r="AO572">
        <f>IF(metadata!O572="",FALSE,TRUE)</f>
        <v>0</v>
      </c>
      <c r="AP572">
        <f>OR(AND(IF(metadata!P572="",FALSE,TRUE),OR(exact(metadata!P572,"missing: not collected"),exact(metadata!P572,"missing: not provided"))),AND(IF(metadata!P572="",FALSE,IF(ISERROR(INT(metadata!P572)),FALSE,INT(metadata!P572)=metadata!P572)),metadata!P572&gt;0))</f>
        <v>0</v>
      </c>
      <c r="AQ572">
        <f>IF(metadata!Q572="",FALSE,TRUE)</f>
        <v>0</v>
      </c>
    </row>
    <row r="573" spans="1:43">
      <c r="A573" s="5">
        <f>IF(B573=" "," ",HYPERLINK(CONCATENATE("#metadata!",ADDRESS(INDEX($W$2:$W$1001,MATCH(ROWS($U$2:U573),$U$2:$U$1001,0),0),1)),INDEX($Z$2:$Z$1001,MATCH(ROWS($U$2:U573),$U$2:$U$1001,0),0)))</f>
        <v>0</v>
      </c>
      <c r="B573" s="4">
        <f>IF(OR(INDEX($V$2:$V$1001,MATCH(ROWS($U$2:U573),$U$2:$U$1001,0),1)&gt;=100000,INDEX($AB$1005:$AQ$1005,1,MATCH(COLUMNS($AB$1006:AB1006),$AB$1006:$AQ$1006,0))&gt;=100000), " ",IF(INDEX($AB$2:$AQ$1001,MATCH(ROWS($U$2:U573),$U$2:$U$1001,0),MATCH(COLUMNS($AB$1006:AB1006),$AB$1006:$AQ$1006,0)), HYPERLINK("#",""), HYPERLINK(CONCATENATE("#metadata!", ADDRESS(INDEX($W$2:$W$1001,MATCH(ROWS($U$2:U573),$U$2:$U$1001,0),0), INDEX($AB$1004:$AQ$1004,1,MATCH(COLUMNS($AB$1006:AB1006),$AB$1006:$AQ$1006,0)))),"Fix")))</f>
        <v>0</v>
      </c>
      <c r="C573" s="4">
        <f>IF(OR(INDEX($V$2:$V$1001,MATCH(ROWS($U$2:U573),$U$2:$U$1001,0),1)&gt;=100000,INDEX($AB$1005:$AQ$1005,1,MATCH(COLUMNS($AB$1006:AC1006),$AB$1006:$AQ$1006,0))&gt;=100000), " ",IF(INDEX($AB$2:$AQ$1001,MATCH(ROWS($U$2:U573),$U$2:$U$1001,0),MATCH(COLUMNS($AB$1006:AC1006),$AB$1006:$AQ$1006,0)), HYPERLINK("#",""), HYPERLINK(CONCATENATE("#metadata!", ADDRESS(INDEX($W$2:$W$1001,MATCH(ROWS($U$2:U573),$U$2:$U$1001,0),0), INDEX($AB$1004:$AQ$1004,1,MATCH(COLUMNS($AB$1006:AC1006),$AB$1006:$AQ$1006,0)))),"Fix")))</f>
        <v>0</v>
      </c>
      <c r="D573" s="4">
        <f>IF(OR(INDEX($V$2:$V$1001,MATCH(ROWS($U$2:U573),$U$2:$U$1001,0),1)&gt;=100000,INDEX($AB$1005:$AQ$1005,1,MATCH(COLUMNS($AB$1006:AD1006),$AB$1006:$AQ$1006,0))&gt;=100000), " ",IF(INDEX($AB$2:$AQ$1001,MATCH(ROWS($U$2:U573),$U$2:$U$1001,0),MATCH(COLUMNS($AB$1006:AD1006),$AB$1006:$AQ$1006,0)), HYPERLINK("#",""), HYPERLINK(CONCATENATE("#metadata!", ADDRESS(INDEX($W$2:$W$1001,MATCH(ROWS($U$2:U573),$U$2:$U$1001,0),0), INDEX($AB$1004:$AQ$1004,1,MATCH(COLUMNS($AB$1006:AD1006),$AB$1006:$AQ$1006,0)))),"Fix")))</f>
        <v>0</v>
      </c>
      <c r="E573" s="4">
        <f>IF(OR(INDEX($V$2:$V$1001,MATCH(ROWS($U$2:U573),$U$2:$U$1001,0),1)&gt;=100000,INDEX($AB$1005:$AQ$1005,1,MATCH(COLUMNS($AB$1006:AE1006),$AB$1006:$AQ$1006,0))&gt;=100000), " ",IF(INDEX($AB$2:$AQ$1001,MATCH(ROWS($U$2:U573),$U$2:$U$1001,0),MATCH(COLUMNS($AB$1006:AE1006),$AB$1006:$AQ$1006,0)), HYPERLINK("#",""), HYPERLINK(CONCATENATE("#metadata!", ADDRESS(INDEX($W$2:$W$1001,MATCH(ROWS($U$2:U573),$U$2:$U$1001,0),0), INDEX($AB$1004:$AQ$1004,1,MATCH(COLUMNS($AB$1006:AE1006),$AB$1006:$AQ$1006,0)))),"Fix")))</f>
        <v>0</v>
      </c>
      <c r="F573" s="4">
        <f>IF(OR(INDEX($V$2:$V$1001,MATCH(ROWS($U$2:U573),$U$2:$U$1001,0),1)&gt;=100000,INDEX($AB$1005:$AQ$1005,1,MATCH(COLUMNS($AB$1006:AF1006),$AB$1006:$AQ$1006,0))&gt;=100000), " ",IF(INDEX($AB$2:$AQ$1001,MATCH(ROWS($U$2:U573),$U$2:$U$1001,0),MATCH(COLUMNS($AB$1006:AF1006),$AB$1006:$AQ$1006,0)), HYPERLINK("#",""), HYPERLINK(CONCATENATE("#metadata!", ADDRESS(INDEX($W$2:$W$1001,MATCH(ROWS($U$2:U573),$U$2:$U$1001,0),0), INDEX($AB$1004:$AQ$1004,1,MATCH(COLUMNS($AB$1006:AF1006),$AB$1006:$AQ$1006,0)))),"Fix")))</f>
        <v>0</v>
      </c>
      <c r="G573" s="4">
        <f>IF(OR(INDEX($V$2:$V$1001,MATCH(ROWS($U$2:U573),$U$2:$U$1001,0),1)&gt;=100000,INDEX($AB$1005:$AQ$1005,1,MATCH(COLUMNS($AB$1006:AG1006),$AB$1006:$AQ$1006,0))&gt;=100000), " ",IF(INDEX($AB$2:$AQ$1001,MATCH(ROWS($U$2:U573),$U$2:$U$1001,0),MATCH(COLUMNS($AB$1006:AG1006),$AB$1006:$AQ$1006,0)), HYPERLINK("#",""), HYPERLINK(CONCATENATE("#metadata!", ADDRESS(INDEX($W$2:$W$1001,MATCH(ROWS($U$2:U573),$U$2:$U$1001,0),0), INDEX($AB$1004:$AQ$1004,1,MATCH(COLUMNS($AB$1006:AG1006),$AB$1006:$AQ$1006,0)))),"Fix")))</f>
        <v>0</v>
      </c>
      <c r="H573" s="4">
        <f>IF(OR(INDEX($V$2:$V$1001,MATCH(ROWS($U$2:U573),$U$2:$U$1001,0),1)&gt;=100000,INDEX($AB$1005:$AQ$1005,1,MATCH(COLUMNS($AB$1006:AH1006),$AB$1006:$AQ$1006,0))&gt;=100000), " ",IF(INDEX($AB$2:$AQ$1001,MATCH(ROWS($U$2:U573),$U$2:$U$1001,0),MATCH(COLUMNS($AB$1006:AH1006),$AB$1006:$AQ$1006,0)), HYPERLINK("#",""), HYPERLINK(CONCATENATE("#metadata!", ADDRESS(INDEX($W$2:$W$1001,MATCH(ROWS($U$2:U573),$U$2:$U$1001,0),0), INDEX($AB$1004:$AQ$1004,1,MATCH(COLUMNS($AB$1006:AH1006),$AB$1006:$AQ$1006,0)))),"Fix")))</f>
        <v>0</v>
      </c>
      <c r="I573" s="4">
        <f>IF(OR(INDEX($V$2:$V$1001,MATCH(ROWS($U$2:U573),$U$2:$U$1001,0),1)&gt;=100000,INDEX($AB$1005:$AQ$1005,1,MATCH(COLUMNS($AB$1006:AI1006),$AB$1006:$AQ$1006,0))&gt;=100000), " ",IF(INDEX($AB$2:$AQ$1001,MATCH(ROWS($U$2:U573),$U$2:$U$1001,0),MATCH(COLUMNS($AB$1006:AI1006),$AB$1006:$AQ$1006,0)), HYPERLINK("#",""), HYPERLINK(CONCATENATE("#metadata!", ADDRESS(INDEX($W$2:$W$1001,MATCH(ROWS($U$2:U573),$U$2:$U$1001,0),0), INDEX($AB$1004:$AQ$1004,1,MATCH(COLUMNS($AB$1006:AI1006),$AB$1006:$AQ$1006,0)))),"Fix")))</f>
        <v>0</v>
      </c>
      <c r="J573" s="4">
        <f>IF(OR(INDEX($V$2:$V$1001,MATCH(ROWS($U$2:U573),$U$2:$U$1001,0),1)&gt;=100000,INDEX($AB$1005:$AQ$1005,1,MATCH(COLUMNS($AB$1006:AJ1006),$AB$1006:$AQ$1006,0))&gt;=100000), " ",IF(INDEX($AB$2:$AQ$1001,MATCH(ROWS($U$2:U573),$U$2:$U$1001,0),MATCH(COLUMNS($AB$1006:AJ1006),$AB$1006:$AQ$1006,0)), HYPERLINK("#",""), HYPERLINK(CONCATENATE("#metadata!", ADDRESS(INDEX($W$2:$W$1001,MATCH(ROWS($U$2:U573),$U$2:$U$1001,0),0), INDEX($AB$1004:$AQ$1004,1,MATCH(COLUMNS($AB$1006:AJ1006),$AB$1006:$AQ$1006,0)))),"Fix")))</f>
        <v>0</v>
      </c>
      <c r="K573" s="4">
        <f>IF(OR(INDEX($V$2:$V$1001,MATCH(ROWS($U$2:U573),$U$2:$U$1001,0),1)&gt;=100000,INDEX($AB$1005:$AQ$1005,1,MATCH(COLUMNS($AB$1006:AK1006),$AB$1006:$AQ$1006,0))&gt;=100000), " ",IF(INDEX($AB$2:$AQ$1001,MATCH(ROWS($U$2:U573),$U$2:$U$1001,0),MATCH(COLUMNS($AB$1006:AK1006),$AB$1006:$AQ$1006,0)), HYPERLINK("#",""), HYPERLINK(CONCATENATE("#metadata!", ADDRESS(INDEX($W$2:$W$1001,MATCH(ROWS($U$2:U573),$U$2:$U$1001,0),0), INDEX($AB$1004:$AQ$1004,1,MATCH(COLUMNS($AB$1006:AK1006),$AB$1006:$AQ$1006,0)))),"Fix")))</f>
        <v>0</v>
      </c>
      <c r="L573" s="4">
        <f>IF(OR(INDEX($V$2:$V$1001,MATCH(ROWS($U$2:U573),$U$2:$U$1001,0),1)&gt;=100000,INDEX($AB$1005:$AQ$1005,1,MATCH(COLUMNS($AB$1006:AL1006),$AB$1006:$AQ$1006,0))&gt;=100000), " ",IF(INDEX($AB$2:$AQ$1001,MATCH(ROWS($U$2:U573),$U$2:$U$1001,0),MATCH(COLUMNS($AB$1006:AL1006),$AB$1006:$AQ$1006,0)), HYPERLINK("#",""), HYPERLINK(CONCATENATE("#metadata!", ADDRESS(INDEX($W$2:$W$1001,MATCH(ROWS($U$2:U573),$U$2:$U$1001,0),0), INDEX($AB$1004:$AQ$1004,1,MATCH(COLUMNS($AB$1006:AL1006),$AB$1006:$AQ$1006,0)))),"Fix")))</f>
        <v>0</v>
      </c>
      <c r="M573" s="4">
        <f>IF(OR(INDEX($V$2:$V$1001,MATCH(ROWS($U$2:U573),$U$2:$U$1001,0),1)&gt;=100000,INDEX($AB$1005:$AQ$1005,1,MATCH(COLUMNS($AB$1006:AM1006),$AB$1006:$AQ$1006,0))&gt;=100000), " ",IF(INDEX($AB$2:$AQ$1001,MATCH(ROWS($U$2:U573),$U$2:$U$1001,0),MATCH(COLUMNS($AB$1006:AM1006),$AB$1006:$AQ$1006,0)), HYPERLINK("#",""), HYPERLINK(CONCATENATE("#metadata!", ADDRESS(INDEX($W$2:$W$1001,MATCH(ROWS($U$2:U573),$U$2:$U$1001,0),0), INDEX($AB$1004:$AQ$1004,1,MATCH(COLUMNS($AB$1006:AM1006),$AB$1006:$AQ$1006,0)))),"Fix")))</f>
        <v>0</v>
      </c>
      <c r="N573" s="4">
        <f>IF(OR(INDEX($V$2:$V$1001,MATCH(ROWS($U$2:U573),$U$2:$U$1001,0),1)&gt;=100000,INDEX($AB$1005:$AQ$1005,1,MATCH(COLUMNS($AB$1006:AN1006),$AB$1006:$AQ$1006,0))&gt;=100000), " ",IF(INDEX($AB$2:$AQ$1001,MATCH(ROWS($U$2:U573),$U$2:$U$1001,0),MATCH(COLUMNS($AB$1006:AN1006),$AB$1006:$AQ$1006,0)), HYPERLINK("#",""), HYPERLINK(CONCATENATE("#metadata!", ADDRESS(INDEX($W$2:$W$1001,MATCH(ROWS($U$2:U573),$U$2:$U$1001,0),0), INDEX($AB$1004:$AQ$1004,1,MATCH(COLUMNS($AB$1006:AN1006),$AB$1006:$AQ$1006,0)))),"Fix")))</f>
        <v>0</v>
      </c>
      <c r="O573" s="4">
        <f>IF(OR(INDEX($V$2:$V$1001,MATCH(ROWS($U$2:U573),$U$2:$U$1001,0),1)&gt;=100000,INDEX($AB$1005:$AQ$1005,1,MATCH(COLUMNS($AB$1006:AO1006),$AB$1006:$AQ$1006,0))&gt;=100000), " ",IF(INDEX($AB$2:$AQ$1001,MATCH(ROWS($U$2:U573),$U$2:$U$1001,0),MATCH(COLUMNS($AB$1006:AO1006),$AB$1006:$AQ$1006,0)), HYPERLINK("#",""), HYPERLINK(CONCATENATE("#metadata!", ADDRESS(INDEX($W$2:$W$1001,MATCH(ROWS($U$2:U573),$U$2:$U$1001,0),0), INDEX($AB$1004:$AQ$1004,1,MATCH(COLUMNS($AB$1006:AO1006),$AB$1006:$AQ$1006,0)))),"Fix")))</f>
        <v>0</v>
      </c>
      <c r="P573" s="4">
        <f>IF(OR(INDEX($V$2:$V$1001,MATCH(ROWS($U$2:U573),$U$2:$U$1001,0),1)&gt;=100000,INDEX($AB$1005:$AQ$1005,1,MATCH(COLUMNS($AB$1006:AP1006),$AB$1006:$AQ$1006,0))&gt;=100000), " ",IF(INDEX($AB$2:$AQ$1001,MATCH(ROWS($U$2:U573),$U$2:$U$1001,0),MATCH(COLUMNS($AB$1006:AP1006),$AB$1006:$AQ$1006,0)), HYPERLINK("#",""), HYPERLINK(CONCATENATE("#metadata!", ADDRESS(INDEX($W$2:$W$1001,MATCH(ROWS($U$2:U573),$U$2:$U$1001,0),0), INDEX($AB$1004:$AQ$1004,1,MATCH(COLUMNS($AB$1006:AP1006),$AB$1006:$AQ$1006,0)))),"Fix")))</f>
        <v>0</v>
      </c>
      <c r="Q573" s="4">
        <f>IF(OR(INDEX($V$2:$V$1001,MATCH(ROWS($U$2:U573),$U$2:$U$1001,0),1)&gt;=100000,INDEX($AB$1005:$AQ$1005,1,MATCH(COLUMNS($AB$1006:AQ1006),$AB$1006:$AQ$1006,0))&gt;=100000), " ",IF(INDEX($AB$2:$AQ$1001,MATCH(ROWS($U$2:U573),$U$2:$U$1001,0),MATCH(COLUMNS($AB$1006:AQ1006),$AB$1006:$AQ$1006,0)), HYPERLINK("#",""), HYPERLINK(CONCATENATE("#metadata!", ADDRESS(INDEX($W$2:$W$1001,MATCH(ROWS($U$2:U573),$U$2:$U$1001,0),0), INDEX($AB$1004:$AQ$1004,1,MATCH(COLUMNS($AB$1006:AQ1006),$AB$1006:$AQ$1006,0)))),"Fix")))</f>
        <v>0</v>
      </c>
      <c r="U573">
        <v>0</v>
      </c>
      <c r="V573">
        <v>0</v>
      </c>
      <c r="W573">
        <v>0</v>
      </c>
      <c r="X573">
        <f>IF(Y573,TRUE,AND(AB573:AQ573))</f>
        <v>0</v>
      </c>
      <c r="Y573">
        <f>COUNTBLANK(metadata!B573:Q573)=COLUMNS(metadata!B573:Q573)</f>
        <v>0</v>
      </c>
      <c r="Z573">
        <v>0</v>
      </c>
      <c r="AB573">
        <f>AND(IF(metadata!B573="",FALSE,TRUE),COUNTIF(metadata!B:B, metadata!B573) = 1,NOT(ISERROR(SUMPRODUCT(SEARCH(MID(metadata!B573,ROW(INDIRECT("1:"&amp;LEN(metadata!B573))), 1),"0123456789abcdefghijklmnopqrstuvwxyzABCDEFGHIJKLMNOPQRSTUVWXYZ.")))))</f>
        <v>0</v>
      </c>
      <c r="AC573">
        <f>OR(AND(IF(metadata!C573="",FALSE,TRUE),OR(exact(metadata!C573,"missing: not collected"),exact(metadata!C573,"missing: not provided"),exact(metadata!C573,"missing: restricted access"))),AND(IF(metadata!C573="",FALSE,TRUE),AND(AND(IFERROR(INT(LEFT(metadata!C573,4))&gt;1900,FALSE),IFERROR(INT(LEFT(metadata!C573,4))&lt;=YEAR(NOW()),FALSE)), OR(MID(metadata!C573,5,1)="", AND(AND(MID(metadata!C573,5,1)="-",IFERROR(INT(MID(metadata!C573,6,1))&gt;=0,FALSE),IFERROR(INT(MID(metadata!C573,6,1))&lt;=1,FALSE),NOT(MID(metadata!C573,7,1)=""),IFERROR(INT(MID(metadata!C573,6,2))&gt;=1,FALSE),IFERROR(INT(MID(metadata!C573,6,2))&lt;=12,FALSE)), OR(MID(metadata!C573,8,1)="", AND(AND(MID(metadata!C573,8,1)="-",IFERROR(INT(MID(metadata!C573,9,1))&gt;=0,FALSE),IFERROR(INT(MID(metadata!C573,9,1))&lt;=3,FALSE),NOT(MID(metadata!C573,10,1)=""),IFERROR(INT(MID(metadata!C573,9,2))&gt;=1,FALSE),IFERROR(INT(MID(metadata!C573,9,2))&lt;=31,FALSE)), OR(MID(metadata!C573,11,1)="", AND(AND(MID(metadata!C573,11,1)=" ",IFERROR(INT(MID(metadata!C573,12,1))&gt;=0,FALSE),IFERROR(INT(MID(metadata!C573,12,1))&lt;=2,FALSE),NOT(MID(metadata!C573,13,1)=""),IFERROR(INT(MID(metadata!C573,12,2))&gt;=0,FALSE),IFERROR(INT(MID(metadata!C573,12,2))&lt;=23,FALSE)), OR(MID(metadata!C573,14,1)="", AND(AND(MID(metadata!C573,14,1)=":",IFERROR(INT(MID(metadata!C573,15,1))&gt;=0,FALSE),IFERROR(INT(MID(metadata!C573,15,1))&lt;=5,FALSE),NOT(MID(metadata!C573,16,1)=""),IFERROR(INT(MID(metadata!C573,15,2))&gt;=0,FALSE),IFERROR(INT(MID(metadata!C573,15,2))&lt;=59,FALSE)), OR(MID(metadata!C573,17,1)="", AND(AND(MID(metadata!C573,17,1)=":",IFERROR(INT(MID(metadata!C573,18,1))&gt;=0,FALSE),IFERROR(INT(MID(metadata!C573,18,1))&lt;=5,FALSE),NOT(MID(metadata!C573,19,1)=""),IFERROR(INT(MID(metadata!C573,18,2))&gt;=0,FALSE),IFERROR(INT(MID(metadata!C573,18,2))&lt;=59,FALSE)), LEN(metadata!C573)&lt;=19)))))))))))))</f>
        <v>0</v>
      </c>
      <c r="AD573">
        <f>IF(metadata!D573="",FALSE,TRUE)</f>
        <v>0</v>
      </c>
      <c r="AE573">
        <f>OR(AND(IF(metadata!E573="",FALSE,TRUE),OR(exact(metadata!E573,"missing: not collected"),exact(metadata!E573,"missing: not provided"))),AND(IF(metadata!E573="",FALSE,TRUE),OR(exact(metadata!E573,"TRUE"),exact(metadata!E573,"FALSE"))))</f>
        <v>0</v>
      </c>
      <c r="AF573">
        <f>IF(metadata!F573="",FALSE,TRUE)</f>
        <v>0</v>
      </c>
      <c r="AG573">
        <f>IF(metadata!G573="",FALSE,TRUE)</f>
        <v>0</v>
      </c>
      <c r="AH573">
        <f>IF(metadata!H573="",FALSE,TRUE)</f>
        <v>0</v>
      </c>
      <c r="AI573">
        <f>OR(AND(IF(metadata!I573="",FALSE,TRUE),OR(exact(metadata!I573,"missing: not collected"),exact(metadata!I573,"missing: not provided"),exact(metadata!I573,"missing: restricted access"))),AND(IF(metadata!I573="",FALSE,TRUE),OR(exact(metadata!I573,"air"),exact(metadata!I573,"built environment"),exact(metadata!I573,"host-associated"),exact(metadata!I573,"human-associated"),exact(metadata!I573,"human-skin"),exact(metadata!I573,"human-oral"),exact(metadata!I573,"human-gut"),exact(metadata!I573,"human-vaginal"),exact(metadata!I573,"microbial mat/biofilm"),exact(metadata!I573,"misc environment"),exact(metadata!I573,"plant-associated"),exact(metadata!I573,"sediment"),exact(metadata!I573,"soil"),exact(metadata!I573,"wastewater/sludge"),exact(metadata!I573,"water"))))</f>
        <v>0</v>
      </c>
      <c r="AJ573">
        <f>IF(metadata!J573="",FALSE,TRUE)</f>
        <v>0</v>
      </c>
      <c r="AK573">
        <f>OR(AND(IF(metadata!K573="",FALSE,TRUE),OR(exact(metadata!K573,"missing: not collected"),exact(metadata!K573,"missing: not provided"),exact(metadata!K573,"missing: restricted access"))),AND(IF(metadata!K573="",FALSE,ISNUMBER(VALUE(metadata!K573))),metadata!K573&gt;=-90.00,metadata!K573&lt;=90.00))</f>
        <v>0</v>
      </c>
      <c r="AL573">
        <f>OR(AND(IF(metadata!L573="",FALSE,TRUE),OR(exact(metadata!L573,"missing: not collected"),exact(metadata!L573,"missing: not provided"),exact(metadata!L573,"missing: restricted access"))),AND(IF(metadata!L573="",FALSE,ISNUMBER(VALUE(metadata!L573))),metadata!L573&gt;=-180.00,metadata!L573&lt;=180.00))</f>
        <v>0</v>
      </c>
      <c r="AM573">
        <f>IF(metadata!M573="",FALSE,TRUE)</f>
        <v>0</v>
      </c>
      <c r="AN573">
        <f>OR(AND(IF(metadata!N573="",FALSE,TRUE),OR(exact(metadata!N573,"missing: not collected"),exact(metadata!N573,"missing: not provided"),exact(metadata!N573,"missing: restricted access"))),AND(IF(metadata!N573="",FALSE,TRUE),OR(exact(metadata!N573,"TRUE"),exact(metadata!N573,"FALSE"))))</f>
        <v>0</v>
      </c>
      <c r="AO573">
        <f>IF(metadata!O573="",FALSE,TRUE)</f>
        <v>0</v>
      </c>
      <c r="AP573">
        <f>OR(AND(IF(metadata!P573="",FALSE,TRUE),OR(exact(metadata!P573,"missing: not collected"),exact(metadata!P573,"missing: not provided"))),AND(IF(metadata!P573="",FALSE,IF(ISERROR(INT(metadata!P573)),FALSE,INT(metadata!P573)=metadata!P573)),metadata!P573&gt;0))</f>
        <v>0</v>
      </c>
      <c r="AQ573">
        <f>IF(metadata!Q573="",FALSE,TRUE)</f>
        <v>0</v>
      </c>
    </row>
    <row r="574" spans="1:43">
      <c r="A574" s="5">
        <f>IF(B574=" "," ",HYPERLINK(CONCATENATE("#metadata!",ADDRESS(INDEX($W$2:$W$1001,MATCH(ROWS($U$2:U574),$U$2:$U$1001,0),0),1)),INDEX($Z$2:$Z$1001,MATCH(ROWS($U$2:U574),$U$2:$U$1001,0),0)))</f>
        <v>0</v>
      </c>
      <c r="B574" s="4">
        <f>IF(OR(INDEX($V$2:$V$1001,MATCH(ROWS($U$2:U574),$U$2:$U$1001,0),1)&gt;=100000,INDEX($AB$1005:$AQ$1005,1,MATCH(COLUMNS($AB$1006:AB1006),$AB$1006:$AQ$1006,0))&gt;=100000), " ",IF(INDEX($AB$2:$AQ$1001,MATCH(ROWS($U$2:U574),$U$2:$U$1001,0),MATCH(COLUMNS($AB$1006:AB1006),$AB$1006:$AQ$1006,0)), HYPERLINK("#",""), HYPERLINK(CONCATENATE("#metadata!", ADDRESS(INDEX($W$2:$W$1001,MATCH(ROWS($U$2:U574),$U$2:$U$1001,0),0), INDEX($AB$1004:$AQ$1004,1,MATCH(COLUMNS($AB$1006:AB1006),$AB$1006:$AQ$1006,0)))),"Fix")))</f>
        <v>0</v>
      </c>
      <c r="C574" s="4">
        <f>IF(OR(INDEX($V$2:$V$1001,MATCH(ROWS($U$2:U574),$U$2:$U$1001,0),1)&gt;=100000,INDEX($AB$1005:$AQ$1005,1,MATCH(COLUMNS($AB$1006:AC1006),$AB$1006:$AQ$1006,0))&gt;=100000), " ",IF(INDEX($AB$2:$AQ$1001,MATCH(ROWS($U$2:U574),$U$2:$U$1001,0),MATCH(COLUMNS($AB$1006:AC1006),$AB$1006:$AQ$1006,0)), HYPERLINK("#",""), HYPERLINK(CONCATENATE("#metadata!", ADDRESS(INDEX($W$2:$W$1001,MATCH(ROWS($U$2:U574),$U$2:$U$1001,0),0), INDEX($AB$1004:$AQ$1004,1,MATCH(COLUMNS($AB$1006:AC1006),$AB$1006:$AQ$1006,0)))),"Fix")))</f>
        <v>0</v>
      </c>
      <c r="D574" s="4">
        <f>IF(OR(INDEX($V$2:$V$1001,MATCH(ROWS($U$2:U574),$U$2:$U$1001,0),1)&gt;=100000,INDEX($AB$1005:$AQ$1005,1,MATCH(COLUMNS($AB$1006:AD1006),$AB$1006:$AQ$1006,0))&gt;=100000), " ",IF(INDEX($AB$2:$AQ$1001,MATCH(ROWS($U$2:U574),$U$2:$U$1001,0),MATCH(COLUMNS($AB$1006:AD1006),$AB$1006:$AQ$1006,0)), HYPERLINK("#",""), HYPERLINK(CONCATENATE("#metadata!", ADDRESS(INDEX($W$2:$W$1001,MATCH(ROWS($U$2:U574),$U$2:$U$1001,0),0), INDEX($AB$1004:$AQ$1004,1,MATCH(COLUMNS($AB$1006:AD1006),$AB$1006:$AQ$1006,0)))),"Fix")))</f>
        <v>0</v>
      </c>
      <c r="E574" s="4">
        <f>IF(OR(INDEX($V$2:$V$1001,MATCH(ROWS($U$2:U574),$U$2:$U$1001,0),1)&gt;=100000,INDEX($AB$1005:$AQ$1005,1,MATCH(COLUMNS($AB$1006:AE1006),$AB$1006:$AQ$1006,0))&gt;=100000), " ",IF(INDEX($AB$2:$AQ$1001,MATCH(ROWS($U$2:U574),$U$2:$U$1001,0),MATCH(COLUMNS($AB$1006:AE1006),$AB$1006:$AQ$1006,0)), HYPERLINK("#",""), HYPERLINK(CONCATENATE("#metadata!", ADDRESS(INDEX($W$2:$W$1001,MATCH(ROWS($U$2:U574),$U$2:$U$1001,0),0), INDEX($AB$1004:$AQ$1004,1,MATCH(COLUMNS($AB$1006:AE1006),$AB$1006:$AQ$1006,0)))),"Fix")))</f>
        <v>0</v>
      </c>
      <c r="F574" s="4">
        <f>IF(OR(INDEX($V$2:$V$1001,MATCH(ROWS($U$2:U574),$U$2:$U$1001,0),1)&gt;=100000,INDEX($AB$1005:$AQ$1005,1,MATCH(COLUMNS($AB$1006:AF1006),$AB$1006:$AQ$1006,0))&gt;=100000), " ",IF(INDEX($AB$2:$AQ$1001,MATCH(ROWS($U$2:U574),$U$2:$U$1001,0),MATCH(COLUMNS($AB$1006:AF1006),$AB$1006:$AQ$1006,0)), HYPERLINK("#",""), HYPERLINK(CONCATENATE("#metadata!", ADDRESS(INDEX($W$2:$W$1001,MATCH(ROWS($U$2:U574),$U$2:$U$1001,0),0), INDEX($AB$1004:$AQ$1004,1,MATCH(COLUMNS($AB$1006:AF1006),$AB$1006:$AQ$1006,0)))),"Fix")))</f>
        <v>0</v>
      </c>
      <c r="G574" s="4">
        <f>IF(OR(INDEX($V$2:$V$1001,MATCH(ROWS($U$2:U574),$U$2:$U$1001,0),1)&gt;=100000,INDEX($AB$1005:$AQ$1005,1,MATCH(COLUMNS($AB$1006:AG1006),$AB$1006:$AQ$1006,0))&gt;=100000), " ",IF(INDEX($AB$2:$AQ$1001,MATCH(ROWS($U$2:U574),$U$2:$U$1001,0),MATCH(COLUMNS($AB$1006:AG1006),$AB$1006:$AQ$1006,0)), HYPERLINK("#",""), HYPERLINK(CONCATENATE("#metadata!", ADDRESS(INDEX($W$2:$W$1001,MATCH(ROWS($U$2:U574),$U$2:$U$1001,0),0), INDEX($AB$1004:$AQ$1004,1,MATCH(COLUMNS($AB$1006:AG1006),$AB$1006:$AQ$1006,0)))),"Fix")))</f>
        <v>0</v>
      </c>
      <c r="H574" s="4">
        <f>IF(OR(INDEX($V$2:$V$1001,MATCH(ROWS($U$2:U574),$U$2:$U$1001,0),1)&gt;=100000,INDEX($AB$1005:$AQ$1005,1,MATCH(COLUMNS($AB$1006:AH1006),$AB$1006:$AQ$1006,0))&gt;=100000), " ",IF(INDEX($AB$2:$AQ$1001,MATCH(ROWS($U$2:U574),$U$2:$U$1001,0),MATCH(COLUMNS($AB$1006:AH1006),$AB$1006:$AQ$1006,0)), HYPERLINK("#",""), HYPERLINK(CONCATENATE("#metadata!", ADDRESS(INDEX($W$2:$W$1001,MATCH(ROWS($U$2:U574),$U$2:$U$1001,0),0), INDEX($AB$1004:$AQ$1004,1,MATCH(COLUMNS($AB$1006:AH1006),$AB$1006:$AQ$1006,0)))),"Fix")))</f>
        <v>0</v>
      </c>
      <c r="I574" s="4">
        <f>IF(OR(INDEX($V$2:$V$1001,MATCH(ROWS($U$2:U574),$U$2:$U$1001,0),1)&gt;=100000,INDEX($AB$1005:$AQ$1005,1,MATCH(COLUMNS($AB$1006:AI1006),$AB$1006:$AQ$1006,0))&gt;=100000), " ",IF(INDEX($AB$2:$AQ$1001,MATCH(ROWS($U$2:U574),$U$2:$U$1001,0),MATCH(COLUMNS($AB$1006:AI1006),$AB$1006:$AQ$1006,0)), HYPERLINK("#",""), HYPERLINK(CONCATENATE("#metadata!", ADDRESS(INDEX($W$2:$W$1001,MATCH(ROWS($U$2:U574),$U$2:$U$1001,0),0), INDEX($AB$1004:$AQ$1004,1,MATCH(COLUMNS($AB$1006:AI1006),$AB$1006:$AQ$1006,0)))),"Fix")))</f>
        <v>0</v>
      </c>
      <c r="J574" s="4">
        <f>IF(OR(INDEX($V$2:$V$1001,MATCH(ROWS($U$2:U574),$U$2:$U$1001,0),1)&gt;=100000,INDEX($AB$1005:$AQ$1005,1,MATCH(COLUMNS($AB$1006:AJ1006),$AB$1006:$AQ$1006,0))&gt;=100000), " ",IF(INDEX($AB$2:$AQ$1001,MATCH(ROWS($U$2:U574),$U$2:$U$1001,0),MATCH(COLUMNS($AB$1006:AJ1006),$AB$1006:$AQ$1006,0)), HYPERLINK("#",""), HYPERLINK(CONCATENATE("#metadata!", ADDRESS(INDEX($W$2:$W$1001,MATCH(ROWS($U$2:U574),$U$2:$U$1001,0),0), INDEX($AB$1004:$AQ$1004,1,MATCH(COLUMNS($AB$1006:AJ1006),$AB$1006:$AQ$1006,0)))),"Fix")))</f>
        <v>0</v>
      </c>
      <c r="K574" s="4">
        <f>IF(OR(INDEX($V$2:$V$1001,MATCH(ROWS($U$2:U574),$U$2:$U$1001,0),1)&gt;=100000,INDEX($AB$1005:$AQ$1005,1,MATCH(COLUMNS($AB$1006:AK1006),$AB$1006:$AQ$1006,0))&gt;=100000), " ",IF(INDEX($AB$2:$AQ$1001,MATCH(ROWS($U$2:U574),$U$2:$U$1001,0),MATCH(COLUMNS($AB$1006:AK1006),$AB$1006:$AQ$1006,0)), HYPERLINK("#",""), HYPERLINK(CONCATENATE("#metadata!", ADDRESS(INDEX($W$2:$W$1001,MATCH(ROWS($U$2:U574),$U$2:$U$1001,0),0), INDEX($AB$1004:$AQ$1004,1,MATCH(COLUMNS($AB$1006:AK1006),$AB$1006:$AQ$1006,0)))),"Fix")))</f>
        <v>0</v>
      </c>
      <c r="L574" s="4">
        <f>IF(OR(INDEX($V$2:$V$1001,MATCH(ROWS($U$2:U574),$U$2:$U$1001,0),1)&gt;=100000,INDEX($AB$1005:$AQ$1005,1,MATCH(COLUMNS($AB$1006:AL1006),$AB$1006:$AQ$1006,0))&gt;=100000), " ",IF(INDEX($AB$2:$AQ$1001,MATCH(ROWS($U$2:U574),$U$2:$U$1001,0),MATCH(COLUMNS($AB$1006:AL1006),$AB$1006:$AQ$1006,0)), HYPERLINK("#",""), HYPERLINK(CONCATENATE("#metadata!", ADDRESS(INDEX($W$2:$W$1001,MATCH(ROWS($U$2:U574),$U$2:$U$1001,0),0), INDEX($AB$1004:$AQ$1004,1,MATCH(COLUMNS($AB$1006:AL1006),$AB$1006:$AQ$1006,0)))),"Fix")))</f>
        <v>0</v>
      </c>
      <c r="M574" s="4">
        <f>IF(OR(INDEX($V$2:$V$1001,MATCH(ROWS($U$2:U574),$U$2:$U$1001,0),1)&gt;=100000,INDEX($AB$1005:$AQ$1005,1,MATCH(COLUMNS($AB$1006:AM1006),$AB$1006:$AQ$1006,0))&gt;=100000), " ",IF(INDEX($AB$2:$AQ$1001,MATCH(ROWS($U$2:U574),$U$2:$U$1001,0),MATCH(COLUMNS($AB$1006:AM1006),$AB$1006:$AQ$1006,0)), HYPERLINK("#",""), HYPERLINK(CONCATENATE("#metadata!", ADDRESS(INDEX($W$2:$W$1001,MATCH(ROWS($U$2:U574),$U$2:$U$1001,0),0), INDEX($AB$1004:$AQ$1004,1,MATCH(COLUMNS($AB$1006:AM1006),$AB$1006:$AQ$1006,0)))),"Fix")))</f>
        <v>0</v>
      </c>
      <c r="N574" s="4">
        <f>IF(OR(INDEX($V$2:$V$1001,MATCH(ROWS($U$2:U574),$U$2:$U$1001,0),1)&gt;=100000,INDEX($AB$1005:$AQ$1005,1,MATCH(COLUMNS($AB$1006:AN1006),$AB$1006:$AQ$1006,0))&gt;=100000), " ",IF(INDEX($AB$2:$AQ$1001,MATCH(ROWS($U$2:U574),$U$2:$U$1001,0),MATCH(COLUMNS($AB$1006:AN1006),$AB$1006:$AQ$1006,0)), HYPERLINK("#",""), HYPERLINK(CONCATENATE("#metadata!", ADDRESS(INDEX($W$2:$W$1001,MATCH(ROWS($U$2:U574),$U$2:$U$1001,0),0), INDEX($AB$1004:$AQ$1004,1,MATCH(COLUMNS($AB$1006:AN1006),$AB$1006:$AQ$1006,0)))),"Fix")))</f>
        <v>0</v>
      </c>
      <c r="O574" s="4">
        <f>IF(OR(INDEX($V$2:$V$1001,MATCH(ROWS($U$2:U574),$U$2:$U$1001,0),1)&gt;=100000,INDEX($AB$1005:$AQ$1005,1,MATCH(COLUMNS($AB$1006:AO1006),$AB$1006:$AQ$1006,0))&gt;=100000), " ",IF(INDEX($AB$2:$AQ$1001,MATCH(ROWS($U$2:U574),$U$2:$U$1001,0),MATCH(COLUMNS($AB$1006:AO1006),$AB$1006:$AQ$1006,0)), HYPERLINK("#",""), HYPERLINK(CONCATENATE("#metadata!", ADDRESS(INDEX($W$2:$W$1001,MATCH(ROWS($U$2:U574),$U$2:$U$1001,0),0), INDEX($AB$1004:$AQ$1004,1,MATCH(COLUMNS($AB$1006:AO1006),$AB$1006:$AQ$1006,0)))),"Fix")))</f>
        <v>0</v>
      </c>
      <c r="P574" s="4">
        <f>IF(OR(INDEX($V$2:$V$1001,MATCH(ROWS($U$2:U574),$U$2:$U$1001,0),1)&gt;=100000,INDEX($AB$1005:$AQ$1005,1,MATCH(COLUMNS($AB$1006:AP1006),$AB$1006:$AQ$1006,0))&gt;=100000), " ",IF(INDEX($AB$2:$AQ$1001,MATCH(ROWS($U$2:U574),$U$2:$U$1001,0),MATCH(COLUMNS($AB$1006:AP1006),$AB$1006:$AQ$1006,0)), HYPERLINK("#",""), HYPERLINK(CONCATENATE("#metadata!", ADDRESS(INDEX($W$2:$W$1001,MATCH(ROWS($U$2:U574),$U$2:$U$1001,0),0), INDEX($AB$1004:$AQ$1004,1,MATCH(COLUMNS($AB$1006:AP1006),$AB$1006:$AQ$1006,0)))),"Fix")))</f>
        <v>0</v>
      </c>
      <c r="Q574" s="4">
        <f>IF(OR(INDEX($V$2:$V$1001,MATCH(ROWS($U$2:U574),$U$2:$U$1001,0),1)&gt;=100000,INDEX($AB$1005:$AQ$1005,1,MATCH(COLUMNS($AB$1006:AQ1006),$AB$1006:$AQ$1006,0))&gt;=100000), " ",IF(INDEX($AB$2:$AQ$1001,MATCH(ROWS($U$2:U574),$U$2:$U$1001,0),MATCH(COLUMNS($AB$1006:AQ1006),$AB$1006:$AQ$1006,0)), HYPERLINK("#",""), HYPERLINK(CONCATENATE("#metadata!", ADDRESS(INDEX($W$2:$W$1001,MATCH(ROWS($U$2:U574),$U$2:$U$1001,0),0), INDEX($AB$1004:$AQ$1004,1,MATCH(COLUMNS($AB$1006:AQ1006),$AB$1006:$AQ$1006,0)))),"Fix")))</f>
        <v>0</v>
      </c>
      <c r="U574">
        <v>0</v>
      </c>
      <c r="V574">
        <v>0</v>
      </c>
      <c r="W574">
        <v>0</v>
      </c>
      <c r="X574">
        <f>IF(Y574,TRUE,AND(AB574:AQ574))</f>
        <v>0</v>
      </c>
      <c r="Y574">
        <f>COUNTBLANK(metadata!B574:Q574)=COLUMNS(metadata!B574:Q574)</f>
        <v>0</v>
      </c>
      <c r="Z574">
        <v>0</v>
      </c>
      <c r="AB574">
        <f>AND(IF(metadata!B574="",FALSE,TRUE),COUNTIF(metadata!B:B, metadata!B574) = 1,NOT(ISERROR(SUMPRODUCT(SEARCH(MID(metadata!B574,ROW(INDIRECT("1:"&amp;LEN(metadata!B574))), 1),"0123456789abcdefghijklmnopqrstuvwxyzABCDEFGHIJKLMNOPQRSTUVWXYZ.")))))</f>
        <v>0</v>
      </c>
      <c r="AC574">
        <f>OR(AND(IF(metadata!C574="",FALSE,TRUE),OR(exact(metadata!C574,"missing: not collected"),exact(metadata!C574,"missing: not provided"),exact(metadata!C574,"missing: restricted access"))),AND(IF(metadata!C574="",FALSE,TRUE),AND(AND(IFERROR(INT(LEFT(metadata!C574,4))&gt;1900,FALSE),IFERROR(INT(LEFT(metadata!C574,4))&lt;=YEAR(NOW()),FALSE)), OR(MID(metadata!C574,5,1)="", AND(AND(MID(metadata!C574,5,1)="-",IFERROR(INT(MID(metadata!C574,6,1))&gt;=0,FALSE),IFERROR(INT(MID(metadata!C574,6,1))&lt;=1,FALSE),NOT(MID(metadata!C574,7,1)=""),IFERROR(INT(MID(metadata!C574,6,2))&gt;=1,FALSE),IFERROR(INT(MID(metadata!C574,6,2))&lt;=12,FALSE)), OR(MID(metadata!C574,8,1)="", AND(AND(MID(metadata!C574,8,1)="-",IFERROR(INT(MID(metadata!C574,9,1))&gt;=0,FALSE),IFERROR(INT(MID(metadata!C574,9,1))&lt;=3,FALSE),NOT(MID(metadata!C574,10,1)=""),IFERROR(INT(MID(metadata!C574,9,2))&gt;=1,FALSE),IFERROR(INT(MID(metadata!C574,9,2))&lt;=31,FALSE)), OR(MID(metadata!C574,11,1)="", AND(AND(MID(metadata!C574,11,1)=" ",IFERROR(INT(MID(metadata!C574,12,1))&gt;=0,FALSE),IFERROR(INT(MID(metadata!C574,12,1))&lt;=2,FALSE),NOT(MID(metadata!C574,13,1)=""),IFERROR(INT(MID(metadata!C574,12,2))&gt;=0,FALSE),IFERROR(INT(MID(metadata!C574,12,2))&lt;=23,FALSE)), OR(MID(metadata!C574,14,1)="", AND(AND(MID(metadata!C574,14,1)=":",IFERROR(INT(MID(metadata!C574,15,1))&gt;=0,FALSE),IFERROR(INT(MID(metadata!C574,15,1))&lt;=5,FALSE),NOT(MID(metadata!C574,16,1)=""),IFERROR(INT(MID(metadata!C574,15,2))&gt;=0,FALSE),IFERROR(INT(MID(metadata!C574,15,2))&lt;=59,FALSE)), OR(MID(metadata!C574,17,1)="", AND(AND(MID(metadata!C574,17,1)=":",IFERROR(INT(MID(metadata!C574,18,1))&gt;=0,FALSE),IFERROR(INT(MID(metadata!C574,18,1))&lt;=5,FALSE),NOT(MID(metadata!C574,19,1)=""),IFERROR(INT(MID(metadata!C574,18,2))&gt;=0,FALSE),IFERROR(INT(MID(metadata!C574,18,2))&lt;=59,FALSE)), LEN(metadata!C574)&lt;=19)))))))))))))</f>
        <v>0</v>
      </c>
      <c r="AD574">
        <f>IF(metadata!D574="",FALSE,TRUE)</f>
        <v>0</v>
      </c>
      <c r="AE574">
        <f>OR(AND(IF(metadata!E574="",FALSE,TRUE),OR(exact(metadata!E574,"missing: not collected"),exact(metadata!E574,"missing: not provided"))),AND(IF(metadata!E574="",FALSE,TRUE),OR(exact(metadata!E574,"TRUE"),exact(metadata!E574,"FALSE"))))</f>
        <v>0</v>
      </c>
      <c r="AF574">
        <f>IF(metadata!F574="",FALSE,TRUE)</f>
        <v>0</v>
      </c>
      <c r="AG574">
        <f>IF(metadata!G574="",FALSE,TRUE)</f>
        <v>0</v>
      </c>
      <c r="AH574">
        <f>IF(metadata!H574="",FALSE,TRUE)</f>
        <v>0</v>
      </c>
      <c r="AI574">
        <f>OR(AND(IF(metadata!I574="",FALSE,TRUE),OR(exact(metadata!I574,"missing: not collected"),exact(metadata!I574,"missing: not provided"),exact(metadata!I574,"missing: restricted access"))),AND(IF(metadata!I574="",FALSE,TRUE),OR(exact(metadata!I574,"air"),exact(metadata!I574,"built environment"),exact(metadata!I574,"host-associated"),exact(metadata!I574,"human-associated"),exact(metadata!I574,"human-skin"),exact(metadata!I574,"human-oral"),exact(metadata!I574,"human-gut"),exact(metadata!I574,"human-vaginal"),exact(metadata!I574,"microbial mat/biofilm"),exact(metadata!I574,"misc environment"),exact(metadata!I574,"plant-associated"),exact(metadata!I574,"sediment"),exact(metadata!I574,"soil"),exact(metadata!I574,"wastewater/sludge"),exact(metadata!I574,"water"))))</f>
        <v>0</v>
      </c>
      <c r="AJ574">
        <f>IF(metadata!J574="",FALSE,TRUE)</f>
        <v>0</v>
      </c>
      <c r="AK574">
        <f>OR(AND(IF(metadata!K574="",FALSE,TRUE),OR(exact(metadata!K574,"missing: not collected"),exact(metadata!K574,"missing: not provided"),exact(metadata!K574,"missing: restricted access"))),AND(IF(metadata!K574="",FALSE,ISNUMBER(VALUE(metadata!K574))),metadata!K574&gt;=-90.00,metadata!K574&lt;=90.00))</f>
        <v>0</v>
      </c>
      <c r="AL574">
        <f>OR(AND(IF(metadata!L574="",FALSE,TRUE),OR(exact(metadata!L574,"missing: not collected"),exact(metadata!L574,"missing: not provided"),exact(metadata!L574,"missing: restricted access"))),AND(IF(metadata!L574="",FALSE,ISNUMBER(VALUE(metadata!L574))),metadata!L574&gt;=-180.00,metadata!L574&lt;=180.00))</f>
        <v>0</v>
      </c>
      <c r="AM574">
        <f>IF(metadata!M574="",FALSE,TRUE)</f>
        <v>0</v>
      </c>
      <c r="AN574">
        <f>OR(AND(IF(metadata!N574="",FALSE,TRUE),OR(exact(metadata!N574,"missing: not collected"),exact(metadata!N574,"missing: not provided"),exact(metadata!N574,"missing: restricted access"))),AND(IF(metadata!N574="",FALSE,TRUE),OR(exact(metadata!N574,"TRUE"),exact(metadata!N574,"FALSE"))))</f>
        <v>0</v>
      </c>
      <c r="AO574">
        <f>IF(metadata!O574="",FALSE,TRUE)</f>
        <v>0</v>
      </c>
      <c r="AP574">
        <f>OR(AND(IF(metadata!P574="",FALSE,TRUE),OR(exact(metadata!P574,"missing: not collected"),exact(metadata!P574,"missing: not provided"))),AND(IF(metadata!P574="",FALSE,IF(ISERROR(INT(metadata!P574)),FALSE,INT(metadata!P574)=metadata!P574)),metadata!P574&gt;0))</f>
        <v>0</v>
      </c>
      <c r="AQ574">
        <f>IF(metadata!Q574="",FALSE,TRUE)</f>
        <v>0</v>
      </c>
    </row>
    <row r="575" spans="1:43">
      <c r="A575" s="5">
        <f>IF(B575=" "," ",HYPERLINK(CONCATENATE("#metadata!",ADDRESS(INDEX($W$2:$W$1001,MATCH(ROWS($U$2:U575),$U$2:$U$1001,0),0),1)),INDEX($Z$2:$Z$1001,MATCH(ROWS($U$2:U575),$U$2:$U$1001,0),0)))</f>
        <v>0</v>
      </c>
      <c r="B575" s="4">
        <f>IF(OR(INDEX($V$2:$V$1001,MATCH(ROWS($U$2:U575),$U$2:$U$1001,0),1)&gt;=100000,INDEX($AB$1005:$AQ$1005,1,MATCH(COLUMNS($AB$1006:AB1006),$AB$1006:$AQ$1006,0))&gt;=100000), " ",IF(INDEX($AB$2:$AQ$1001,MATCH(ROWS($U$2:U575),$U$2:$U$1001,0),MATCH(COLUMNS($AB$1006:AB1006),$AB$1006:$AQ$1006,0)), HYPERLINK("#",""), HYPERLINK(CONCATENATE("#metadata!", ADDRESS(INDEX($W$2:$W$1001,MATCH(ROWS($U$2:U575),$U$2:$U$1001,0),0), INDEX($AB$1004:$AQ$1004,1,MATCH(COLUMNS($AB$1006:AB1006),$AB$1006:$AQ$1006,0)))),"Fix")))</f>
        <v>0</v>
      </c>
      <c r="C575" s="4">
        <f>IF(OR(INDEX($V$2:$V$1001,MATCH(ROWS($U$2:U575),$U$2:$U$1001,0),1)&gt;=100000,INDEX($AB$1005:$AQ$1005,1,MATCH(COLUMNS($AB$1006:AC1006),$AB$1006:$AQ$1006,0))&gt;=100000), " ",IF(INDEX($AB$2:$AQ$1001,MATCH(ROWS($U$2:U575),$U$2:$U$1001,0),MATCH(COLUMNS($AB$1006:AC1006),$AB$1006:$AQ$1006,0)), HYPERLINK("#",""), HYPERLINK(CONCATENATE("#metadata!", ADDRESS(INDEX($W$2:$W$1001,MATCH(ROWS($U$2:U575),$U$2:$U$1001,0),0), INDEX($AB$1004:$AQ$1004,1,MATCH(COLUMNS($AB$1006:AC1006),$AB$1006:$AQ$1006,0)))),"Fix")))</f>
        <v>0</v>
      </c>
      <c r="D575" s="4">
        <f>IF(OR(INDEX($V$2:$V$1001,MATCH(ROWS($U$2:U575),$U$2:$U$1001,0),1)&gt;=100000,INDEX($AB$1005:$AQ$1005,1,MATCH(COLUMNS($AB$1006:AD1006),$AB$1006:$AQ$1006,0))&gt;=100000), " ",IF(INDEX($AB$2:$AQ$1001,MATCH(ROWS($U$2:U575),$U$2:$U$1001,0),MATCH(COLUMNS($AB$1006:AD1006),$AB$1006:$AQ$1006,0)), HYPERLINK("#",""), HYPERLINK(CONCATENATE("#metadata!", ADDRESS(INDEX($W$2:$W$1001,MATCH(ROWS($U$2:U575),$U$2:$U$1001,0),0), INDEX($AB$1004:$AQ$1004,1,MATCH(COLUMNS($AB$1006:AD1006),$AB$1006:$AQ$1006,0)))),"Fix")))</f>
        <v>0</v>
      </c>
      <c r="E575" s="4">
        <f>IF(OR(INDEX($V$2:$V$1001,MATCH(ROWS($U$2:U575),$U$2:$U$1001,0),1)&gt;=100000,INDEX($AB$1005:$AQ$1005,1,MATCH(COLUMNS($AB$1006:AE1006),$AB$1006:$AQ$1006,0))&gt;=100000), " ",IF(INDEX($AB$2:$AQ$1001,MATCH(ROWS($U$2:U575),$U$2:$U$1001,0),MATCH(COLUMNS($AB$1006:AE1006),$AB$1006:$AQ$1006,0)), HYPERLINK("#",""), HYPERLINK(CONCATENATE("#metadata!", ADDRESS(INDEX($W$2:$W$1001,MATCH(ROWS($U$2:U575),$U$2:$U$1001,0),0), INDEX($AB$1004:$AQ$1004,1,MATCH(COLUMNS($AB$1006:AE1006),$AB$1006:$AQ$1006,0)))),"Fix")))</f>
        <v>0</v>
      </c>
      <c r="F575" s="4">
        <f>IF(OR(INDEX($V$2:$V$1001,MATCH(ROWS($U$2:U575),$U$2:$U$1001,0),1)&gt;=100000,INDEX($AB$1005:$AQ$1005,1,MATCH(COLUMNS($AB$1006:AF1006),$AB$1006:$AQ$1006,0))&gt;=100000), " ",IF(INDEX($AB$2:$AQ$1001,MATCH(ROWS($U$2:U575),$U$2:$U$1001,0),MATCH(COLUMNS($AB$1006:AF1006),$AB$1006:$AQ$1006,0)), HYPERLINK("#",""), HYPERLINK(CONCATENATE("#metadata!", ADDRESS(INDEX($W$2:$W$1001,MATCH(ROWS($U$2:U575),$U$2:$U$1001,0),0), INDEX($AB$1004:$AQ$1004,1,MATCH(COLUMNS($AB$1006:AF1006),$AB$1006:$AQ$1006,0)))),"Fix")))</f>
        <v>0</v>
      </c>
      <c r="G575" s="4">
        <f>IF(OR(INDEX($V$2:$V$1001,MATCH(ROWS($U$2:U575),$U$2:$U$1001,0),1)&gt;=100000,INDEX($AB$1005:$AQ$1005,1,MATCH(COLUMNS($AB$1006:AG1006),$AB$1006:$AQ$1006,0))&gt;=100000), " ",IF(INDEX($AB$2:$AQ$1001,MATCH(ROWS($U$2:U575),$U$2:$U$1001,0),MATCH(COLUMNS($AB$1006:AG1006),$AB$1006:$AQ$1006,0)), HYPERLINK("#",""), HYPERLINK(CONCATENATE("#metadata!", ADDRESS(INDEX($W$2:$W$1001,MATCH(ROWS($U$2:U575),$U$2:$U$1001,0),0), INDEX($AB$1004:$AQ$1004,1,MATCH(COLUMNS($AB$1006:AG1006),$AB$1006:$AQ$1006,0)))),"Fix")))</f>
        <v>0</v>
      </c>
      <c r="H575" s="4">
        <f>IF(OR(INDEX($V$2:$V$1001,MATCH(ROWS($U$2:U575),$U$2:$U$1001,0),1)&gt;=100000,INDEX($AB$1005:$AQ$1005,1,MATCH(COLUMNS($AB$1006:AH1006),$AB$1006:$AQ$1006,0))&gt;=100000), " ",IF(INDEX($AB$2:$AQ$1001,MATCH(ROWS($U$2:U575),$U$2:$U$1001,0),MATCH(COLUMNS($AB$1006:AH1006),$AB$1006:$AQ$1006,0)), HYPERLINK("#",""), HYPERLINK(CONCATENATE("#metadata!", ADDRESS(INDEX($W$2:$W$1001,MATCH(ROWS($U$2:U575),$U$2:$U$1001,0),0), INDEX($AB$1004:$AQ$1004,1,MATCH(COLUMNS($AB$1006:AH1006),$AB$1006:$AQ$1006,0)))),"Fix")))</f>
        <v>0</v>
      </c>
      <c r="I575" s="4">
        <f>IF(OR(INDEX($V$2:$V$1001,MATCH(ROWS($U$2:U575),$U$2:$U$1001,0),1)&gt;=100000,INDEX($AB$1005:$AQ$1005,1,MATCH(COLUMNS($AB$1006:AI1006),$AB$1006:$AQ$1006,0))&gt;=100000), " ",IF(INDEX($AB$2:$AQ$1001,MATCH(ROWS($U$2:U575),$U$2:$U$1001,0),MATCH(COLUMNS($AB$1006:AI1006),$AB$1006:$AQ$1006,0)), HYPERLINK("#",""), HYPERLINK(CONCATENATE("#metadata!", ADDRESS(INDEX($W$2:$W$1001,MATCH(ROWS($U$2:U575),$U$2:$U$1001,0),0), INDEX($AB$1004:$AQ$1004,1,MATCH(COLUMNS($AB$1006:AI1006),$AB$1006:$AQ$1006,0)))),"Fix")))</f>
        <v>0</v>
      </c>
      <c r="J575" s="4">
        <f>IF(OR(INDEX($V$2:$V$1001,MATCH(ROWS($U$2:U575),$U$2:$U$1001,0),1)&gt;=100000,INDEX($AB$1005:$AQ$1005,1,MATCH(COLUMNS($AB$1006:AJ1006),$AB$1006:$AQ$1006,0))&gt;=100000), " ",IF(INDEX($AB$2:$AQ$1001,MATCH(ROWS($U$2:U575),$U$2:$U$1001,0),MATCH(COLUMNS($AB$1006:AJ1006),$AB$1006:$AQ$1006,0)), HYPERLINK("#",""), HYPERLINK(CONCATENATE("#metadata!", ADDRESS(INDEX($W$2:$W$1001,MATCH(ROWS($U$2:U575),$U$2:$U$1001,0),0), INDEX($AB$1004:$AQ$1004,1,MATCH(COLUMNS($AB$1006:AJ1006),$AB$1006:$AQ$1006,0)))),"Fix")))</f>
        <v>0</v>
      </c>
      <c r="K575" s="4">
        <f>IF(OR(INDEX($V$2:$V$1001,MATCH(ROWS($U$2:U575),$U$2:$U$1001,0),1)&gt;=100000,INDEX($AB$1005:$AQ$1005,1,MATCH(COLUMNS($AB$1006:AK1006),$AB$1006:$AQ$1006,0))&gt;=100000), " ",IF(INDEX($AB$2:$AQ$1001,MATCH(ROWS($U$2:U575),$U$2:$U$1001,0),MATCH(COLUMNS($AB$1006:AK1006),$AB$1006:$AQ$1006,0)), HYPERLINK("#",""), HYPERLINK(CONCATENATE("#metadata!", ADDRESS(INDEX($W$2:$W$1001,MATCH(ROWS($U$2:U575),$U$2:$U$1001,0),0), INDEX($AB$1004:$AQ$1004,1,MATCH(COLUMNS($AB$1006:AK1006),$AB$1006:$AQ$1006,0)))),"Fix")))</f>
        <v>0</v>
      </c>
      <c r="L575" s="4">
        <f>IF(OR(INDEX($V$2:$V$1001,MATCH(ROWS($U$2:U575),$U$2:$U$1001,0),1)&gt;=100000,INDEX($AB$1005:$AQ$1005,1,MATCH(COLUMNS($AB$1006:AL1006),$AB$1006:$AQ$1006,0))&gt;=100000), " ",IF(INDEX($AB$2:$AQ$1001,MATCH(ROWS($U$2:U575),$U$2:$U$1001,0),MATCH(COLUMNS($AB$1006:AL1006),$AB$1006:$AQ$1006,0)), HYPERLINK("#",""), HYPERLINK(CONCATENATE("#metadata!", ADDRESS(INDEX($W$2:$W$1001,MATCH(ROWS($U$2:U575),$U$2:$U$1001,0),0), INDEX($AB$1004:$AQ$1004,1,MATCH(COLUMNS($AB$1006:AL1006),$AB$1006:$AQ$1006,0)))),"Fix")))</f>
        <v>0</v>
      </c>
      <c r="M575" s="4">
        <f>IF(OR(INDEX($V$2:$V$1001,MATCH(ROWS($U$2:U575),$U$2:$U$1001,0),1)&gt;=100000,INDEX($AB$1005:$AQ$1005,1,MATCH(COLUMNS($AB$1006:AM1006),$AB$1006:$AQ$1006,0))&gt;=100000), " ",IF(INDEX($AB$2:$AQ$1001,MATCH(ROWS($U$2:U575),$U$2:$U$1001,0),MATCH(COLUMNS($AB$1006:AM1006),$AB$1006:$AQ$1006,0)), HYPERLINK("#",""), HYPERLINK(CONCATENATE("#metadata!", ADDRESS(INDEX($W$2:$W$1001,MATCH(ROWS($U$2:U575),$U$2:$U$1001,0),0), INDEX($AB$1004:$AQ$1004,1,MATCH(COLUMNS($AB$1006:AM1006),$AB$1006:$AQ$1006,0)))),"Fix")))</f>
        <v>0</v>
      </c>
      <c r="N575" s="4">
        <f>IF(OR(INDEX($V$2:$V$1001,MATCH(ROWS($U$2:U575),$U$2:$U$1001,0),1)&gt;=100000,INDEX($AB$1005:$AQ$1005,1,MATCH(COLUMNS($AB$1006:AN1006),$AB$1006:$AQ$1006,0))&gt;=100000), " ",IF(INDEX($AB$2:$AQ$1001,MATCH(ROWS($U$2:U575),$U$2:$U$1001,0),MATCH(COLUMNS($AB$1006:AN1006),$AB$1006:$AQ$1006,0)), HYPERLINK("#",""), HYPERLINK(CONCATENATE("#metadata!", ADDRESS(INDEX($W$2:$W$1001,MATCH(ROWS($U$2:U575),$U$2:$U$1001,0),0), INDEX($AB$1004:$AQ$1004,1,MATCH(COLUMNS($AB$1006:AN1006),$AB$1006:$AQ$1006,0)))),"Fix")))</f>
        <v>0</v>
      </c>
      <c r="O575" s="4">
        <f>IF(OR(INDEX($V$2:$V$1001,MATCH(ROWS($U$2:U575),$U$2:$U$1001,0),1)&gt;=100000,INDEX($AB$1005:$AQ$1005,1,MATCH(COLUMNS($AB$1006:AO1006),$AB$1006:$AQ$1006,0))&gt;=100000), " ",IF(INDEX($AB$2:$AQ$1001,MATCH(ROWS($U$2:U575),$U$2:$U$1001,0),MATCH(COLUMNS($AB$1006:AO1006),$AB$1006:$AQ$1006,0)), HYPERLINK("#",""), HYPERLINK(CONCATENATE("#metadata!", ADDRESS(INDEX($W$2:$W$1001,MATCH(ROWS($U$2:U575),$U$2:$U$1001,0),0), INDEX($AB$1004:$AQ$1004,1,MATCH(COLUMNS($AB$1006:AO1006),$AB$1006:$AQ$1006,0)))),"Fix")))</f>
        <v>0</v>
      </c>
      <c r="P575" s="4">
        <f>IF(OR(INDEX($V$2:$V$1001,MATCH(ROWS($U$2:U575),$U$2:$U$1001,0),1)&gt;=100000,INDEX($AB$1005:$AQ$1005,1,MATCH(COLUMNS($AB$1006:AP1006),$AB$1006:$AQ$1006,0))&gt;=100000), " ",IF(INDEX($AB$2:$AQ$1001,MATCH(ROWS($U$2:U575),$U$2:$U$1001,0),MATCH(COLUMNS($AB$1006:AP1006),$AB$1006:$AQ$1006,0)), HYPERLINK("#",""), HYPERLINK(CONCATENATE("#metadata!", ADDRESS(INDEX($W$2:$W$1001,MATCH(ROWS($U$2:U575),$U$2:$U$1001,0),0), INDEX($AB$1004:$AQ$1004,1,MATCH(COLUMNS($AB$1006:AP1006),$AB$1006:$AQ$1006,0)))),"Fix")))</f>
        <v>0</v>
      </c>
      <c r="Q575" s="4">
        <f>IF(OR(INDEX($V$2:$V$1001,MATCH(ROWS($U$2:U575),$U$2:$U$1001,0),1)&gt;=100000,INDEX($AB$1005:$AQ$1005,1,MATCH(COLUMNS($AB$1006:AQ1006),$AB$1006:$AQ$1006,0))&gt;=100000), " ",IF(INDEX($AB$2:$AQ$1001,MATCH(ROWS($U$2:U575),$U$2:$U$1001,0),MATCH(COLUMNS($AB$1006:AQ1006),$AB$1006:$AQ$1006,0)), HYPERLINK("#",""), HYPERLINK(CONCATENATE("#metadata!", ADDRESS(INDEX($W$2:$W$1001,MATCH(ROWS($U$2:U575),$U$2:$U$1001,0),0), INDEX($AB$1004:$AQ$1004,1,MATCH(COLUMNS($AB$1006:AQ1006),$AB$1006:$AQ$1006,0)))),"Fix")))</f>
        <v>0</v>
      </c>
      <c r="U575">
        <v>0</v>
      </c>
      <c r="V575">
        <v>0</v>
      </c>
      <c r="W575">
        <v>0</v>
      </c>
      <c r="X575">
        <f>IF(Y575,TRUE,AND(AB575:AQ575))</f>
        <v>0</v>
      </c>
      <c r="Y575">
        <f>COUNTBLANK(metadata!B575:Q575)=COLUMNS(metadata!B575:Q575)</f>
        <v>0</v>
      </c>
      <c r="Z575">
        <v>0</v>
      </c>
      <c r="AB575">
        <f>AND(IF(metadata!B575="",FALSE,TRUE),COUNTIF(metadata!B:B, metadata!B575) = 1,NOT(ISERROR(SUMPRODUCT(SEARCH(MID(metadata!B575,ROW(INDIRECT("1:"&amp;LEN(metadata!B575))), 1),"0123456789abcdefghijklmnopqrstuvwxyzABCDEFGHIJKLMNOPQRSTUVWXYZ.")))))</f>
        <v>0</v>
      </c>
      <c r="AC575">
        <f>OR(AND(IF(metadata!C575="",FALSE,TRUE),OR(exact(metadata!C575,"missing: not collected"),exact(metadata!C575,"missing: not provided"),exact(metadata!C575,"missing: restricted access"))),AND(IF(metadata!C575="",FALSE,TRUE),AND(AND(IFERROR(INT(LEFT(metadata!C575,4))&gt;1900,FALSE),IFERROR(INT(LEFT(metadata!C575,4))&lt;=YEAR(NOW()),FALSE)), OR(MID(metadata!C575,5,1)="", AND(AND(MID(metadata!C575,5,1)="-",IFERROR(INT(MID(metadata!C575,6,1))&gt;=0,FALSE),IFERROR(INT(MID(metadata!C575,6,1))&lt;=1,FALSE),NOT(MID(metadata!C575,7,1)=""),IFERROR(INT(MID(metadata!C575,6,2))&gt;=1,FALSE),IFERROR(INT(MID(metadata!C575,6,2))&lt;=12,FALSE)), OR(MID(metadata!C575,8,1)="", AND(AND(MID(metadata!C575,8,1)="-",IFERROR(INT(MID(metadata!C575,9,1))&gt;=0,FALSE),IFERROR(INT(MID(metadata!C575,9,1))&lt;=3,FALSE),NOT(MID(metadata!C575,10,1)=""),IFERROR(INT(MID(metadata!C575,9,2))&gt;=1,FALSE),IFERROR(INT(MID(metadata!C575,9,2))&lt;=31,FALSE)), OR(MID(metadata!C575,11,1)="", AND(AND(MID(metadata!C575,11,1)=" ",IFERROR(INT(MID(metadata!C575,12,1))&gt;=0,FALSE),IFERROR(INT(MID(metadata!C575,12,1))&lt;=2,FALSE),NOT(MID(metadata!C575,13,1)=""),IFERROR(INT(MID(metadata!C575,12,2))&gt;=0,FALSE),IFERROR(INT(MID(metadata!C575,12,2))&lt;=23,FALSE)), OR(MID(metadata!C575,14,1)="", AND(AND(MID(metadata!C575,14,1)=":",IFERROR(INT(MID(metadata!C575,15,1))&gt;=0,FALSE),IFERROR(INT(MID(metadata!C575,15,1))&lt;=5,FALSE),NOT(MID(metadata!C575,16,1)=""),IFERROR(INT(MID(metadata!C575,15,2))&gt;=0,FALSE),IFERROR(INT(MID(metadata!C575,15,2))&lt;=59,FALSE)), OR(MID(metadata!C575,17,1)="", AND(AND(MID(metadata!C575,17,1)=":",IFERROR(INT(MID(metadata!C575,18,1))&gt;=0,FALSE),IFERROR(INT(MID(metadata!C575,18,1))&lt;=5,FALSE),NOT(MID(metadata!C575,19,1)=""),IFERROR(INT(MID(metadata!C575,18,2))&gt;=0,FALSE),IFERROR(INT(MID(metadata!C575,18,2))&lt;=59,FALSE)), LEN(metadata!C575)&lt;=19)))))))))))))</f>
        <v>0</v>
      </c>
      <c r="AD575">
        <f>IF(metadata!D575="",FALSE,TRUE)</f>
        <v>0</v>
      </c>
      <c r="AE575">
        <f>OR(AND(IF(metadata!E575="",FALSE,TRUE),OR(exact(metadata!E575,"missing: not collected"),exact(metadata!E575,"missing: not provided"))),AND(IF(metadata!E575="",FALSE,TRUE),OR(exact(metadata!E575,"TRUE"),exact(metadata!E575,"FALSE"))))</f>
        <v>0</v>
      </c>
      <c r="AF575">
        <f>IF(metadata!F575="",FALSE,TRUE)</f>
        <v>0</v>
      </c>
      <c r="AG575">
        <f>IF(metadata!G575="",FALSE,TRUE)</f>
        <v>0</v>
      </c>
      <c r="AH575">
        <f>IF(metadata!H575="",FALSE,TRUE)</f>
        <v>0</v>
      </c>
      <c r="AI575">
        <f>OR(AND(IF(metadata!I575="",FALSE,TRUE),OR(exact(metadata!I575,"missing: not collected"),exact(metadata!I575,"missing: not provided"),exact(metadata!I575,"missing: restricted access"))),AND(IF(metadata!I575="",FALSE,TRUE),OR(exact(metadata!I575,"air"),exact(metadata!I575,"built environment"),exact(metadata!I575,"host-associated"),exact(metadata!I575,"human-associated"),exact(metadata!I575,"human-skin"),exact(metadata!I575,"human-oral"),exact(metadata!I575,"human-gut"),exact(metadata!I575,"human-vaginal"),exact(metadata!I575,"microbial mat/biofilm"),exact(metadata!I575,"misc environment"),exact(metadata!I575,"plant-associated"),exact(metadata!I575,"sediment"),exact(metadata!I575,"soil"),exact(metadata!I575,"wastewater/sludge"),exact(metadata!I575,"water"))))</f>
        <v>0</v>
      </c>
      <c r="AJ575">
        <f>IF(metadata!J575="",FALSE,TRUE)</f>
        <v>0</v>
      </c>
      <c r="AK575">
        <f>OR(AND(IF(metadata!K575="",FALSE,TRUE),OR(exact(metadata!K575,"missing: not collected"),exact(metadata!K575,"missing: not provided"),exact(metadata!K575,"missing: restricted access"))),AND(IF(metadata!K575="",FALSE,ISNUMBER(VALUE(metadata!K575))),metadata!K575&gt;=-90.00,metadata!K575&lt;=90.00))</f>
        <v>0</v>
      </c>
      <c r="AL575">
        <f>OR(AND(IF(metadata!L575="",FALSE,TRUE),OR(exact(metadata!L575,"missing: not collected"),exact(metadata!L575,"missing: not provided"),exact(metadata!L575,"missing: restricted access"))),AND(IF(metadata!L575="",FALSE,ISNUMBER(VALUE(metadata!L575))),metadata!L575&gt;=-180.00,metadata!L575&lt;=180.00))</f>
        <v>0</v>
      </c>
      <c r="AM575">
        <f>IF(metadata!M575="",FALSE,TRUE)</f>
        <v>0</v>
      </c>
      <c r="AN575">
        <f>OR(AND(IF(metadata!N575="",FALSE,TRUE),OR(exact(metadata!N575,"missing: not collected"),exact(metadata!N575,"missing: not provided"),exact(metadata!N575,"missing: restricted access"))),AND(IF(metadata!N575="",FALSE,TRUE),OR(exact(metadata!N575,"TRUE"),exact(metadata!N575,"FALSE"))))</f>
        <v>0</v>
      </c>
      <c r="AO575">
        <f>IF(metadata!O575="",FALSE,TRUE)</f>
        <v>0</v>
      </c>
      <c r="AP575">
        <f>OR(AND(IF(metadata!P575="",FALSE,TRUE),OR(exact(metadata!P575,"missing: not collected"),exact(metadata!P575,"missing: not provided"))),AND(IF(metadata!P575="",FALSE,IF(ISERROR(INT(metadata!P575)),FALSE,INT(metadata!P575)=metadata!P575)),metadata!P575&gt;0))</f>
        <v>0</v>
      </c>
      <c r="AQ575">
        <f>IF(metadata!Q575="",FALSE,TRUE)</f>
        <v>0</v>
      </c>
    </row>
    <row r="576" spans="1:43">
      <c r="A576" s="5">
        <f>IF(B576=" "," ",HYPERLINK(CONCATENATE("#metadata!",ADDRESS(INDEX($W$2:$W$1001,MATCH(ROWS($U$2:U576),$U$2:$U$1001,0),0),1)),INDEX($Z$2:$Z$1001,MATCH(ROWS($U$2:U576),$U$2:$U$1001,0),0)))</f>
        <v>0</v>
      </c>
      <c r="B576" s="4">
        <f>IF(OR(INDEX($V$2:$V$1001,MATCH(ROWS($U$2:U576),$U$2:$U$1001,0),1)&gt;=100000,INDEX($AB$1005:$AQ$1005,1,MATCH(COLUMNS($AB$1006:AB1006),$AB$1006:$AQ$1006,0))&gt;=100000), " ",IF(INDEX($AB$2:$AQ$1001,MATCH(ROWS($U$2:U576),$U$2:$U$1001,0),MATCH(COLUMNS($AB$1006:AB1006),$AB$1006:$AQ$1006,0)), HYPERLINK("#",""), HYPERLINK(CONCATENATE("#metadata!", ADDRESS(INDEX($W$2:$W$1001,MATCH(ROWS($U$2:U576),$U$2:$U$1001,0),0), INDEX($AB$1004:$AQ$1004,1,MATCH(COLUMNS($AB$1006:AB1006),$AB$1006:$AQ$1006,0)))),"Fix")))</f>
        <v>0</v>
      </c>
      <c r="C576" s="4">
        <f>IF(OR(INDEX($V$2:$V$1001,MATCH(ROWS($U$2:U576),$U$2:$U$1001,0),1)&gt;=100000,INDEX($AB$1005:$AQ$1005,1,MATCH(COLUMNS($AB$1006:AC1006),$AB$1006:$AQ$1006,0))&gt;=100000), " ",IF(INDEX($AB$2:$AQ$1001,MATCH(ROWS($U$2:U576),$U$2:$U$1001,0),MATCH(COLUMNS($AB$1006:AC1006),$AB$1006:$AQ$1006,0)), HYPERLINK("#",""), HYPERLINK(CONCATENATE("#metadata!", ADDRESS(INDEX($W$2:$W$1001,MATCH(ROWS($U$2:U576),$U$2:$U$1001,0),0), INDEX($AB$1004:$AQ$1004,1,MATCH(COLUMNS($AB$1006:AC1006),$AB$1006:$AQ$1006,0)))),"Fix")))</f>
        <v>0</v>
      </c>
      <c r="D576" s="4">
        <f>IF(OR(INDEX($V$2:$V$1001,MATCH(ROWS($U$2:U576),$U$2:$U$1001,0),1)&gt;=100000,INDEX($AB$1005:$AQ$1005,1,MATCH(COLUMNS($AB$1006:AD1006),$AB$1006:$AQ$1006,0))&gt;=100000), " ",IF(INDEX($AB$2:$AQ$1001,MATCH(ROWS($U$2:U576),$U$2:$U$1001,0),MATCH(COLUMNS($AB$1006:AD1006),$AB$1006:$AQ$1006,0)), HYPERLINK("#",""), HYPERLINK(CONCATENATE("#metadata!", ADDRESS(INDEX($W$2:$W$1001,MATCH(ROWS($U$2:U576),$U$2:$U$1001,0),0), INDEX($AB$1004:$AQ$1004,1,MATCH(COLUMNS($AB$1006:AD1006),$AB$1006:$AQ$1006,0)))),"Fix")))</f>
        <v>0</v>
      </c>
      <c r="E576" s="4">
        <f>IF(OR(INDEX($V$2:$V$1001,MATCH(ROWS($U$2:U576),$U$2:$U$1001,0),1)&gt;=100000,INDEX($AB$1005:$AQ$1005,1,MATCH(COLUMNS($AB$1006:AE1006),$AB$1006:$AQ$1006,0))&gt;=100000), " ",IF(INDEX($AB$2:$AQ$1001,MATCH(ROWS($U$2:U576),$U$2:$U$1001,0),MATCH(COLUMNS($AB$1006:AE1006),$AB$1006:$AQ$1006,0)), HYPERLINK("#",""), HYPERLINK(CONCATENATE("#metadata!", ADDRESS(INDEX($W$2:$W$1001,MATCH(ROWS($U$2:U576),$U$2:$U$1001,0),0), INDEX($AB$1004:$AQ$1004,1,MATCH(COLUMNS($AB$1006:AE1006),$AB$1006:$AQ$1006,0)))),"Fix")))</f>
        <v>0</v>
      </c>
      <c r="F576" s="4">
        <f>IF(OR(INDEX($V$2:$V$1001,MATCH(ROWS($U$2:U576),$U$2:$U$1001,0),1)&gt;=100000,INDEX($AB$1005:$AQ$1005,1,MATCH(COLUMNS($AB$1006:AF1006),$AB$1006:$AQ$1006,0))&gt;=100000), " ",IF(INDEX($AB$2:$AQ$1001,MATCH(ROWS($U$2:U576),$U$2:$U$1001,0),MATCH(COLUMNS($AB$1006:AF1006),$AB$1006:$AQ$1006,0)), HYPERLINK("#",""), HYPERLINK(CONCATENATE("#metadata!", ADDRESS(INDEX($W$2:$W$1001,MATCH(ROWS($U$2:U576),$U$2:$U$1001,0),0), INDEX($AB$1004:$AQ$1004,1,MATCH(COLUMNS($AB$1006:AF1006),$AB$1006:$AQ$1006,0)))),"Fix")))</f>
        <v>0</v>
      </c>
      <c r="G576" s="4">
        <f>IF(OR(INDEX($V$2:$V$1001,MATCH(ROWS($U$2:U576),$U$2:$U$1001,0),1)&gt;=100000,INDEX($AB$1005:$AQ$1005,1,MATCH(COLUMNS($AB$1006:AG1006),$AB$1006:$AQ$1006,0))&gt;=100000), " ",IF(INDEX($AB$2:$AQ$1001,MATCH(ROWS($U$2:U576),$U$2:$U$1001,0),MATCH(COLUMNS($AB$1006:AG1006),$AB$1006:$AQ$1006,0)), HYPERLINK("#",""), HYPERLINK(CONCATENATE("#metadata!", ADDRESS(INDEX($W$2:$W$1001,MATCH(ROWS($U$2:U576),$U$2:$U$1001,0),0), INDEX($AB$1004:$AQ$1004,1,MATCH(COLUMNS($AB$1006:AG1006),$AB$1006:$AQ$1006,0)))),"Fix")))</f>
        <v>0</v>
      </c>
      <c r="H576" s="4">
        <f>IF(OR(INDEX($V$2:$V$1001,MATCH(ROWS($U$2:U576),$U$2:$U$1001,0),1)&gt;=100000,INDEX($AB$1005:$AQ$1005,1,MATCH(COLUMNS($AB$1006:AH1006),$AB$1006:$AQ$1006,0))&gt;=100000), " ",IF(INDEX($AB$2:$AQ$1001,MATCH(ROWS($U$2:U576),$U$2:$U$1001,0),MATCH(COLUMNS($AB$1006:AH1006),$AB$1006:$AQ$1006,0)), HYPERLINK("#",""), HYPERLINK(CONCATENATE("#metadata!", ADDRESS(INDEX($W$2:$W$1001,MATCH(ROWS($U$2:U576),$U$2:$U$1001,0),0), INDEX($AB$1004:$AQ$1004,1,MATCH(COLUMNS($AB$1006:AH1006),$AB$1006:$AQ$1006,0)))),"Fix")))</f>
        <v>0</v>
      </c>
      <c r="I576" s="4">
        <f>IF(OR(INDEX($V$2:$V$1001,MATCH(ROWS($U$2:U576),$U$2:$U$1001,0),1)&gt;=100000,INDEX($AB$1005:$AQ$1005,1,MATCH(COLUMNS($AB$1006:AI1006),$AB$1006:$AQ$1006,0))&gt;=100000), " ",IF(INDEX($AB$2:$AQ$1001,MATCH(ROWS($U$2:U576),$U$2:$U$1001,0),MATCH(COLUMNS($AB$1006:AI1006),$AB$1006:$AQ$1006,0)), HYPERLINK("#",""), HYPERLINK(CONCATENATE("#metadata!", ADDRESS(INDEX($W$2:$W$1001,MATCH(ROWS($U$2:U576),$U$2:$U$1001,0),0), INDEX($AB$1004:$AQ$1004,1,MATCH(COLUMNS($AB$1006:AI1006),$AB$1006:$AQ$1006,0)))),"Fix")))</f>
        <v>0</v>
      </c>
      <c r="J576" s="4">
        <f>IF(OR(INDEX($V$2:$V$1001,MATCH(ROWS($U$2:U576),$U$2:$U$1001,0),1)&gt;=100000,INDEX($AB$1005:$AQ$1005,1,MATCH(COLUMNS($AB$1006:AJ1006),$AB$1006:$AQ$1006,0))&gt;=100000), " ",IF(INDEX($AB$2:$AQ$1001,MATCH(ROWS($U$2:U576),$U$2:$U$1001,0),MATCH(COLUMNS($AB$1006:AJ1006),$AB$1006:$AQ$1006,0)), HYPERLINK("#",""), HYPERLINK(CONCATENATE("#metadata!", ADDRESS(INDEX($W$2:$W$1001,MATCH(ROWS($U$2:U576),$U$2:$U$1001,0),0), INDEX($AB$1004:$AQ$1004,1,MATCH(COLUMNS($AB$1006:AJ1006),$AB$1006:$AQ$1006,0)))),"Fix")))</f>
        <v>0</v>
      </c>
      <c r="K576" s="4">
        <f>IF(OR(INDEX($V$2:$V$1001,MATCH(ROWS($U$2:U576),$U$2:$U$1001,0),1)&gt;=100000,INDEX($AB$1005:$AQ$1005,1,MATCH(COLUMNS($AB$1006:AK1006),$AB$1006:$AQ$1006,0))&gt;=100000), " ",IF(INDEX($AB$2:$AQ$1001,MATCH(ROWS($U$2:U576),$U$2:$U$1001,0),MATCH(COLUMNS($AB$1006:AK1006),$AB$1006:$AQ$1006,0)), HYPERLINK("#",""), HYPERLINK(CONCATENATE("#metadata!", ADDRESS(INDEX($W$2:$W$1001,MATCH(ROWS($U$2:U576),$U$2:$U$1001,0),0), INDEX($AB$1004:$AQ$1004,1,MATCH(COLUMNS($AB$1006:AK1006),$AB$1006:$AQ$1006,0)))),"Fix")))</f>
        <v>0</v>
      </c>
      <c r="L576" s="4">
        <f>IF(OR(INDEX($V$2:$V$1001,MATCH(ROWS($U$2:U576),$U$2:$U$1001,0),1)&gt;=100000,INDEX($AB$1005:$AQ$1005,1,MATCH(COLUMNS($AB$1006:AL1006),$AB$1006:$AQ$1006,0))&gt;=100000), " ",IF(INDEX($AB$2:$AQ$1001,MATCH(ROWS($U$2:U576),$U$2:$U$1001,0),MATCH(COLUMNS($AB$1006:AL1006),$AB$1006:$AQ$1006,0)), HYPERLINK("#",""), HYPERLINK(CONCATENATE("#metadata!", ADDRESS(INDEX($W$2:$W$1001,MATCH(ROWS($U$2:U576),$U$2:$U$1001,0),0), INDEX($AB$1004:$AQ$1004,1,MATCH(COLUMNS($AB$1006:AL1006),$AB$1006:$AQ$1006,0)))),"Fix")))</f>
        <v>0</v>
      </c>
      <c r="M576" s="4">
        <f>IF(OR(INDEX($V$2:$V$1001,MATCH(ROWS($U$2:U576),$U$2:$U$1001,0),1)&gt;=100000,INDEX($AB$1005:$AQ$1005,1,MATCH(COLUMNS($AB$1006:AM1006),$AB$1006:$AQ$1006,0))&gt;=100000), " ",IF(INDEX($AB$2:$AQ$1001,MATCH(ROWS($U$2:U576),$U$2:$U$1001,0),MATCH(COLUMNS($AB$1006:AM1006),$AB$1006:$AQ$1006,0)), HYPERLINK("#",""), HYPERLINK(CONCATENATE("#metadata!", ADDRESS(INDEX($W$2:$W$1001,MATCH(ROWS($U$2:U576),$U$2:$U$1001,0),0), INDEX($AB$1004:$AQ$1004,1,MATCH(COLUMNS($AB$1006:AM1006),$AB$1006:$AQ$1006,0)))),"Fix")))</f>
        <v>0</v>
      </c>
      <c r="N576" s="4">
        <f>IF(OR(INDEX($V$2:$V$1001,MATCH(ROWS($U$2:U576),$U$2:$U$1001,0),1)&gt;=100000,INDEX($AB$1005:$AQ$1005,1,MATCH(COLUMNS($AB$1006:AN1006),$AB$1006:$AQ$1006,0))&gt;=100000), " ",IF(INDEX($AB$2:$AQ$1001,MATCH(ROWS($U$2:U576),$U$2:$U$1001,0),MATCH(COLUMNS($AB$1006:AN1006),$AB$1006:$AQ$1006,0)), HYPERLINK("#",""), HYPERLINK(CONCATENATE("#metadata!", ADDRESS(INDEX($W$2:$W$1001,MATCH(ROWS($U$2:U576),$U$2:$U$1001,0),0), INDEX($AB$1004:$AQ$1004,1,MATCH(COLUMNS($AB$1006:AN1006),$AB$1006:$AQ$1006,0)))),"Fix")))</f>
        <v>0</v>
      </c>
      <c r="O576" s="4">
        <f>IF(OR(INDEX($V$2:$V$1001,MATCH(ROWS($U$2:U576),$U$2:$U$1001,0),1)&gt;=100000,INDEX($AB$1005:$AQ$1005,1,MATCH(COLUMNS($AB$1006:AO1006),$AB$1006:$AQ$1006,0))&gt;=100000), " ",IF(INDEX($AB$2:$AQ$1001,MATCH(ROWS($U$2:U576),$U$2:$U$1001,0),MATCH(COLUMNS($AB$1006:AO1006),$AB$1006:$AQ$1006,0)), HYPERLINK("#",""), HYPERLINK(CONCATENATE("#metadata!", ADDRESS(INDEX($W$2:$W$1001,MATCH(ROWS($U$2:U576),$U$2:$U$1001,0),0), INDEX($AB$1004:$AQ$1004,1,MATCH(COLUMNS($AB$1006:AO1006),$AB$1006:$AQ$1006,0)))),"Fix")))</f>
        <v>0</v>
      </c>
      <c r="P576" s="4">
        <f>IF(OR(INDEX($V$2:$V$1001,MATCH(ROWS($U$2:U576),$U$2:$U$1001,0),1)&gt;=100000,INDEX($AB$1005:$AQ$1005,1,MATCH(COLUMNS($AB$1006:AP1006),$AB$1006:$AQ$1006,0))&gt;=100000), " ",IF(INDEX($AB$2:$AQ$1001,MATCH(ROWS($U$2:U576),$U$2:$U$1001,0),MATCH(COLUMNS($AB$1006:AP1006),$AB$1006:$AQ$1006,0)), HYPERLINK("#",""), HYPERLINK(CONCATENATE("#metadata!", ADDRESS(INDEX($W$2:$W$1001,MATCH(ROWS($U$2:U576),$U$2:$U$1001,0),0), INDEX($AB$1004:$AQ$1004,1,MATCH(COLUMNS($AB$1006:AP1006),$AB$1006:$AQ$1006,0)))),"Fix")))</f>
        <v>0</v>
      </c>
      <c r="Q576" s="4">
        <f>IF(OR(INDEX($V$2:$V$1001,MATCH(ROWS($U$2:U576),$U$2:$U$1001,0),1)&gt;=100000,INDEX($AB$1005:$AQ$1005,1,MATCH(COLUMNS($AB$1006:AQ1006),$AB$1006:$AQ$1006,0))&gt;=100000), " ",IF(INDEX($AB$2:$AQ$1001,MATCH(ROWS($U$2:U576),$U$2:$U$1001,0),MATCH(COLUMNS($AB$1006:AQ1006),$AB$1006:$AQ$1006,0)), HYPERLINK("#",""), HYPERLINK(CONCATENATE("#metadata!", ADDRESS(INDEX($W$2:$W$1001,MATCH(ROWS($U$2:U576),$U$2:$U$1001,0),0), INDEX($AB$1004:$AQ$1004,1,MATCH(COLUMNS($AB$1006:AQ1006),$AB$1006:$AQ$1006,0)))),"Fix")))</f>
        <v>0</v>
      </c>
      <c r="U576">
        <v>0</v>
      </c>
      <c r="V576">
        <v>0</v>
      </c>
      <c r="W576">
        <v>0</v>
      </c>
      <c r="X576">
        <f>IF(Y576,TRUE,AND(AB576:AQ576))</f>
        <v>0</v>
      </c>
      <c r="Y576">
        <f>COUNTBLANK(metadata!B576:Q576)=COLUMNS(metadata!B576:Q576)</f>
        <v>0</v>
      </c>
      <c r="Z576">
        <v>0</v>
      </c>
      <c r="AB576">
        <f>AND(IF(metadata!B576="",FALSE,TRUE),COUNTIF(metadata!B:B, metadata!B576) = 1,NOT(ISERROR(SUMPRODUCT(SEARCH(MID(metadata!B576,ROW(INDIRECT("1:"&amp;LEN(metadata!B576))), 1),"0123456789abcdefghijklmnopqrstuvwxyzABCDEFGHIJKLMNOPQRSTUVWXYZ.")))))</f>
        <v>0</v>
      </c>
      <c r="AC576">
        <f>OR(AND(IF(metadata!C576="",FALSE,TRUE),OR(exact(metadata!C576,"missing: not collected"),exact(metadata!C576,"missing: not provided"),exact(metadata!C576,"missing: restricted access"))),AND(IF(metadata!C576="",FALSE,TRUE),AND(AND(IFERROR(INT(LEFT(metadata!C576,4))&gt;1900,FALSE),IFERROR(INT(LEFT(metadata!C576,4))&lt;=YEAR(NOW()),FALSE)), OR(MID(metadata!C576,5,1)="", AND(AND(MID(metadata!C576,5,1)="-",IFERROR(INT(MID(metadata!C576,6,1))&gt;=0,FALSE),IFERROR(INT(MID(metadata!C576,6,1))&lt;=1,FALSE),NOT(MID(metadata!C576,7,1)=""),IFERROR(INT(MID(metadata!C576,6,2))&gt;=1,FALSE),IFERROR(INT(MID(metadata!C576,6,2))&lt;=12,FALSE)), OR(MID(metadata!C576,8,1)="", AND(AND(MID(metadata!C576,8,1)="-",IFERROR(INT(MID(metadata!C576,9,1))&gt;=0,FALSE),IFERROR(INT(MID(metadata!C576,9,1))&lt;=3,FALSE),NOT(MID(metadata!C576,10,1)=""),IFERROR(INT(MID(metadata!C576,9,2))&gt;=1,FALSE),IFERROR(INT(MID(metadata!C576,9,2))&lt;=31,FALSE)), OR(MID(metadata!C576,11,1)="", AND(AND(MID(metadata!C576,11,1)=" ",IFERROR(INT(MID(metadata!C576,12,1))&gt;=0,FALSE),IFERROR(INT(MID(metadata!C576,12,1))&lt;=2,FALSE),NOT(MID(metadata!C576,13,1)=""),IFERROR(INT(MID(metadata!C576,12,2))&gt;=0,FALSE),IFERROR(INT(MID(metadata!C576,12,2))&lt;=23,FALSE)), OR(MID(metadata!C576,14,1)="", AND(AND(MID(metadata!C576,14,1)=":",IFERROR(INT(MID(metadata!C576,15,1))&gt;=0,FALSE),IFERROR(INT(MID(metadata!C576,15,1))&lt;=5,FALSE),NOT(MID(metadata!C576,16,1)=""),IFERROR(INT(MID(metadata!C576,15,2))&gt;=0,FALSE),IFERROR(INT(MID(metadata!C576,15,2))&lt;=59,FALSE)), OR(MID(metadata!C576,17,1)="", AND(AND(MID(metadata!C576,17,1)=":",IFERROR(INT(MID(metadata!C576,18,1))&gt;=0,FALSE),IFERROR(INT(MID(metadata!C576,18,1))&lt;=5,FALSE),NOT(MID(metadata!C576,19,1)=""),IFERROR(INT(MID(metadata!C576,18,2))&gt;=0,FALSE),IFERROR(INT(MID(metadata!C576,18,2))&lt;=59,FALSE)), LEN(metadata!C576)&lt;=19)))))))))))))</f>
        <v>0</v>
      </c>
      <c r="AD576">
        <f>IF(metadata!D576="",FALSE,TRUE)</f>
        <v>0</v>
      </c>
      <c r="AE576">
        <f>OR(AND(IF(metadata!E576="",FALSE,TRUE),OR(exact(metadata!E576,"missing: not collected"),exact(metadata!E576,"missing: not provided"))),AND(IF(metadata!E576="",FALSE,TRUE),OR(exact(metadata!E576,"TRUE"),exact(metadata!E576,"FALSE"))))</f>
        <v>0</v>
      </c>
      <c r="AF576">
        <f>IF(metadata!F576="",FALSE,TRUE)</f>
        <v>0</v>
      </c>
      <c r="AG576">
        <f>IF(metadata!G576="",FALSE,TRUE)</f>
        <v>0</v>
      </c>
      <c r="AH576">
        <f>IF(metadata!H576="",FALSE,TRUE)</f>
        <v>0</v>
      </c>
      <c r="AI576">
        <f>OR(AND(IF(metadata!I576="",FALSE,TRUE),OR(exact(metadata!I576,"missing: not collected"),exact(metadata!I576,"missing: not provided"),exact(metadata!I576,"missing: restricted access"))),AND(IF(metadata!I576="",FALSE,TRUE),OR(exact(metadata!I576,"air"),exact(metadata!I576,"built environment"),exact(metadata!I576,"host-associated"),exact(metadata!I576,"human-associated"),exact(metadata!I576,"human-skin"),exact(metadata!I576,"human-oral"),exact(metadata!I576,"human-gut"),exact(metadata!I576,"human-vaginal"),exact(metadata!I576,"microbial mat/biofilm"),exact(metadata!I576,"misc environment"),exact(metadata!I576,"plant-associated"),exact(metadata!I576,"sediment"),exact(metadata!I576,"soil"),exact(metadata!I576,"wastewater/sludge"),exact(metadata!I576,"water"))))</f>
        <v>0</v>
      </c>
      <c r="AJ576">
        <f>IF(metadata!J576="",FALSE,TRUE)</f>
        <v>0</v>
      </c>
      <c r="AK576">
        <f>OR(AND(IF(metadata!K576="",FALSE,TRUE),OR(exact(metadata!K576,"missing: not collected"),exact(metadata!K576,"missing: not provided"),exact(metadata!K576,"missing: restricted access"))),AND(IF(metadata!K576="",FALSE,ISNUMBER(VALUE(metadata!K576))),metadata!K576&gt;=-90.00,metadata!K576&lt;=90.00))</f>
        <v>0</v>
      </c>
      <c r="AL576">
        <f>OR(AND(IF(metadata!L576="",FALSE,TRUE),OR(exact(metadata!L576,"missing: not collected"),exact(metadata!L576,"missing: not provided"),exact(metadata!L576,"missing: restricted access"))),AND(IF(metadata!L576="",FALSE,ISNUMBER(VALUE(metadata!L576))),metadata!L576&gt;=-180.00,metadata!L576&lt;=180.00))</f>
        <v>0</v>
      </c>
      <c r="AM576">
        <f>IF(metadata!M576="",FALSE,TRUE)</f>
        <v>0</v>
      </c>
      <c r="AN576">
        <f>OR(AND(IF(metadata!N576="",FALSE,TRUE),OR(exact(metadata!N576,"missing: not collected"),exact(metadata!N576,"missing: not provided"),exact(metadata!N576,"missing: restricted access"))),AND(IF(metadata!N576="",FALSE,TRUE),OR(exact(metadata!N576,"TRUE"),exact(metadata!N576,"FALSE"))))</f>
        <v>0</v>
      </c>
      <c r="AO576">
        <f>IF(metadata!O576="",FALSE,TRUE)</f>
        <v>0</v>
      </c>
      <c r="AP576">
        <f>OR(AND(IF(metadata!P576="",FALSE,TRUE),OR(exact(metadata!P576,"missing: not collected"),exact(metadata!P576,"missing: not provided"))),AND(IF(metadata!P576="",FALSE,IF(ISERROR(INT(metadata!P576)),FALSE,INT(metadata!P576)=metadata!P576)),metadata!P576&gt;0))</f>
        <v>0</v>
      </c>
      <c r="AQ576">
        <f>IF(metadata!Q576="",FALSE,TRUE)</f>
        <v>0</v>
      </c>
    </row>
    <row r="577" spans="1:43">
      <c r="A577" s="5">
        <f>IF(B577=" "," ",HYPERLINK(CONCATENATE("#metadata!",ADDRESS(INDEX($W$2:$W$1001,MATCH(ROWS($U$2:U577),$U$2:$U$1001,0),0),1)),INDEX($Z$2:$Z$1001,MATCH(ROWS($U$2:U577),$U$2:$U$1001,0),0)))</f>
        <v>0</v>
      </c>
      <c r="B577" s="4">
        <f>IF(OR(INDEX($V$2:$V$1001,MATCH(ROWS($U$2:U577),$U$2:$U$1001,0),1)&gt;=100000,INDEX($AB$1005:$AQ$1005,1,MATCH(COLUMNS($AB$1006:AB1006),$AB$1006:$AQ$1006,0))&gt;=100000), " ",IF(INDEX($AB$2:$AQ$1001,MATCH(ROWS($U$2:U577),$U$2:$U$1001,0),MATCH(COLUMNS($AB$1006:AB1006),$AB$1006:$AQ$1006,0)), HYPERLINK("#",""), HYPERLINK(CONCATENATE("#metadata!", ADDRESS(INDEX($W$2:$W$1001,MATCH(ROWS($U$2:U577),$U$2:$U$1001,0),0), INDEX($AB$1004:$AQ$1004,1,MATCH(COLUMNS($AB$1006:AB1006),$AB$1006:$AQ$1006,0)))),"Fix")))</f>
        <v>0</v>
      </c>
      <c r="C577" s="4">
        <f>IF(OR(INDEX($V$2:$V$1001,MATCH(ROWS($U$2:U577),$U$2:$U$1001,0),1)&gt;=100000,INDEX($AB$1005:$AQ$1005,1,MATCH(COLUMNS($AB$1006:AC1006),$AB$1006:$AQ$1006,0))&gt;=100000), " ",IF(INDEX($AB$2:$AQ$1001,MATCH(ROWS($U$2:U577),$U$2:$U$1001,0),MATCH(COLUMNS($AB$1006:AC1006),$AB$1006:$AQ$1006,0)), HYPERLINK("#",""), HYPERLINK(CONCATENATE("#metadata!", ADDRESS(INDEX($W$2:$W$1001,MATCH(ROWS($U$2:U577),$U$2:$U$1001,0),0), INDEX($AB$1004:$AQ$1004,1,MATCH(COLUMNS($AB$1006:AC1006),$AB$1006:$AQ$1006,0)))),"Fix")))</f>
        <v>0</v>
      </c>
      <c r="D577" s="4">
        <f>IF(OR(INDEX($V$2:$V$1001,MATCH(ROWS($U$2:U577),$U$2:$U$1001,0),1)&gt;=100000,INDEX($AB$1005:$AQ$1005,1,MATCH(COLUMNS($AB$1006:AD1006),$AB$1006:$AQ$1006,0))&gt;=100000), " ",IF(INDEX($AB$2:$AQ$1001,MATCH(ROWS($U$2:U577),$U$2:$U$1001,0),MATCH(COLUMNS($AB$1006:AD1006),$AB$1006:$AQ$1006,0)), HYPERLINK("#",""), HYPERLINK(CONCATENATE("#metadata!", ADDRESS(INDEX($W$2:$W$1001,MATCH(ROWS($U$2:U577),$U$2:$U$1001,0),0), INDEX($AB$1004:$AQ$1004,1,MATCH(COLUMNS($AB$1006:AD1006),$AB$1006:$AQ$1006,0)))),"Fix")))</f>
        <v>0</v>
      </c>
      <c r="E577" s="4">
        <f>IF(OR(INDEX($V$2:$V$1001,MATCH(ROWS($U$2:U577),$U$2:$U$1001,0),1)&gt;=100000,INDEX($AB$1005:$AQ$1005,1,MATCH(COLUMNS($AB$1006:AE1006),$AB$1006:$AQ$1006,0))&gt;=100000), " ",IF(INDEX($AB$2:$AQ$1001,MATCH(ROWS($U$2:U577),$U$2:$U$1001,0),MATCH(COLUMNS($AB$1006:AE1006),$AB$1006:$AQ$1006,0)), HYPERLINK("#",""), HYPERLINK(CONCATENATE("#metadata!", ADDRESS(INDEX($W$2:$W$1001,MATCH(ROWS($U$2:U577),$U$2:$U$1001,0),0), INDEX($AB$1004:$AQ$1004,1,MATCH(COLUMNS($AB$1006:AE1006),$AB$1006:$AQ$1006,0)))),"Fix")))</f>
        <v>0</v>
      </c>
      <c r="F577" s="4">
        <f>IF(OR(INDEX($V$2:$V$1001,MATCH(ROWS($U$2:U577),$U$2:$U$1001,0),1)&gt;=100000,INDEX($AB$1005:$AQ$1005,1,MATCH(COLUMNS($AB$1006:AF1006),$AB$1006:$AQ$1006,0))&gt;=100000), " ",IF(INDEX($AB$2:$AQ$1001,MATCH(ROWS($U$2:U577),$U$2:$U$1001,0),MATCH(COLUMNS($AB$1006:AF1006),$AB$1006:$AQ$1006,0)), HYPERLINK("#",""), HYPERLINK(CONCATENATE("#metadata!", ADDRESS(INDEX($W$2:$W$1001,MATCH(ROWS($U$2:U577),$U$2:$U$1001,0),0), INDEX($AB$1004:$AQ$1004,1,MATCH(COLUMNS($AB$1006:AF1006),$AB$1006:$AQ$1006,0)))),"Fix")))</f>
        <v>0</v>
      </c>
      <c r="G577" s="4">
        <f>IF(OR(INDEX($V$2:$V$1001,MATCH(ROWS($U$2:U577),$U$2:$U$1001,0),1)&gt;=100000,INDEX($AB$1005:$AQ$1005,1,MATCH(COLUMNS($AB$1006:AG1006),$AB$1006:$AQ$1006,0))&gt;=100000), " ",IF(INDEX($AB$2:$AQ$1001,MATCH(ROWS($U$2:U577),$U$2:$U$1001,0),MATCH(COLUMNS($AB$1006:AG1006),$AB$1006:$AQ$1006,0)), HYPERLINK("#",""), HYPERLINK(CONCATENATE("#metadata!", ADDRESS(INDEX($W$2:$W$1001,MATCH(ROWS($U$2:U577),$U$2:$U$1001,0),0), INDEX($AB$1004:$AQ$1004,1,MATCH(COLUMNS($AB$1006:AG1006),$AB$1006:$AQ$1006,0)))),"Fix")))</f>
        <v>0</v>
      </c>
      <c r="H577" s="4">
        <f>IF(OR(INDEX($V$2:$V$1001,MATCH(ROWS($U$2:U577),$U$2:$U$1001,0),1)&gt;=100000,INDEX($AB$1005:$AQ$1005,1,MATCH(COLUMNS($AB$1006:AH1006),$AB$1006:$AQ$1006,0))&gt;=100000), " ",IF(INDEX($AB$2:$AQ$1001,MATCH(ROWS($U$2:U577),$U$2:$U$1001,0),MATCH(COLUMNS($AB$1006:AH1006),$AB$1006:$AQ$1006,0)), HYPERLINK("#",""), HYPERLINK(CONCATENATE("#metadata!", ADDRESS(INDEX($W$2:$W$1001,MATCH(ROWS($U$2:U577),$U$2:$U$1001,0),0), INDEX($AB$1004:$AQ$1004,1,MATCH(COLUMNS($AB$1006:AH1006),$AB$1006:$AQ$1006,0)))),"Fix")))</f>
        <v>0</v>
      </c>
      <c r="I577" s="4">
        <f>IF(OR(INDEX($V$2:$V$1001,MATCH(ROWS($U$2:U577),$U$2:$U$1001,0),1)&gt;=100000,INDEX($AB$1005:$AQ$1005,1,MATCH(COLUMNS($AB$1006:AI1006),$AB$1006:$AQ$1006,0))&gt;=100000), " ",IF(INDEX($AB$2:$AQ$1001,MATCH(ROWS($U$2:U577),$U$2:$U$1001,0),MATCH(COLUMNS($AB$1006:AI1006),$AB$1006:$AQ$1006,0)), HYPERLINK("#",""), HYPERLINK(CONCATENATE("#metadata!", ADDRESS(INDEX($W$2:$W$1001,MATCH(ROWS($U$2:U577),$U$2:$U$1001,0),0), INDEX($AB$1004:$AQ$1004,1,MATCH(COLUMNS($AB$1006:AI1006),$AB$1006:$AQ$1006,0)))),"Fix")))</f>
        <v>0</v>
      </c>
      <c r="J577" s="4">
        <f>IF(OR(INDEX($V$2:$V$1001,MATCH(ROWS($U$2:U577),$U$2:$U$1001,0),1)&gt;=100000,INDEX($AB$1005:$AQ$1005,1,MATCH(COLUMNS($AB$1006:AJ1006),$AB$1006:$AQ$1006,0))&gt;=100000), " ",IF(INDEX($AB$2:$AQ$1001,MATCH(ROWS($U$2:U577),$U$2:$U$1001,0),MATCH(COLUMNS($AB$1006:AJ1006),$AB$1006:$AQ$1006,0)), HYPERLINK("#",""), HYPERLINK(CONCATENATE("#metadata!", ADDRESS(INDEX($W$2:$W$1001,MATCH(ROWS($U$2:U577),$U$2:$U$1001,0),0), INDEX($AB$1004:$AQ$1004,1,MATCH(COLUMNS($AB$1006:AJ1006),$AB$1006:$AQ$1006,0)))),"Fix")))</f>
        <v>0</v>
      </c>
      <c r="K577" s="4">
        <f>IF(OR(INDEX($V$2:$V$1001,MATCH(ROWS($U$2:U577),$U$2:$U$1001,0),1)&gt;=100000,INDEX($AB$1005:$AQ$1005,1,MATCH(COLUMNS($AB$1006:AK1006),$AB$1006:$AQ$1006,0))&gt;=100000), " ",IF(INDEX($AB$2:$AQ$1001,MATCH(ROWS($U$2:U577),$U$2:$U$1001,0),MATCH(COLUMNS($AB$1006:AK1006),$AB$1006:$AQ$1006,0)), HYPERLINK("#",""), HYPERLINK(CONCATENATE("#metadata!", ADDRESS(INDEX($W$2:$W$1001,MATCH(ROWS($U$2:U577),$U$2:$U$1001,0),0), INDEX($AB$1004:$AQ$1004,1,MATCH(COLUMNS($AB$1006:AK1006),$AB$1006:$AQ$1006,0)))),"Fix")))</f>
        <v>0</v>
      </c>
      <c r="L577" s="4">
        <f>IF(OR(INDEX($V$2:$V$1001,MATCH(ROWS($U$2:U577),$U$2:$U$1001,0),1)&gt;=100000,INDEX($AB$1005:$AQ$1005,1,MATCH(COLUMNS($AB$1006:AL1006),$AB$1006:$AQ$1006,0))&gt;=100000), " ",IF(INDEX($AB$2:$AQ$1001,MATCH(ROWS($U$2:U577),$U$2:$U$1001,0),MATCH(COLUMNS($AB$1006:AL1006),$AB$1006:$AQ$1006,0)), HYPERLINK("#",""), HYPERLINK(CONCATENATE("#metadata!", ADDRESS(INDEX($W$2:$W$1001,MATCH(ROWS($U$2:U577),$U$2:$U$1001,0),0), INDEX($AB$1004:$AQ$1004,1,MATCH(COLUMNS($AB$1006:AL1006),$AB$1006:$AQ$1006,0)))),"Fix")))</f>
        <v>0</v>
      </c>
      <c r="M577" s="4">
        <f>IF(OR(INDEX($V$2:$V$1001,MATCH(ROWS($U$2:U577),$U$2:$U$1001,0),1)&gt;=100000,INDEX($AB$1005:$AQ$1005,1,MATCH(COLUMNS($AB$1006:AM1006),$AB$1006:$AQ$1006,0))&gt;=100000), " ",IF(INDEX($AB$2:$AQ$1001,MATCH(ROWS($U$2:U577),$U$2:$U$1001,0),MATCH(COLUMNS($AB$1006:AM1006),$AB$1006:$AQ$1006,0)), HYPERLINK("#",""), HYPERLINK(CONCATENATE("#metadata!", ADDRESS(INDEX($W$2:$W$1001,MATCH(ROWS($U$2:U577),$U$2:$U$1001,0),0), INDEX($AB$1004:$AQ$1004,1,MATCH(COLUMNS($AB$1006:AM1006),$AB$1006:$AQ$1006,0)))),"Fix")))</f>
        <v>0</v>
      </c>
      <c r="N577" s="4">
        <f>IF(OR(INDEX($V$2:$V$1001,MATCH(ROWS($U$2:U577),$U$2:$U$1001,0),1)&gt;=100000,INDEX($AB$1005:$AQ$1005,1,MATCH(COLUMNS($AB$1006:AN1006),$AB$1006:$AQ$1006,0))&gt;=100000), " ",IF(INDEX($AB$2:$AQ$1001,MATCH(ROWS($U$2:U577),$U$2:$U$1001,0),MATCH(COLUMNS($AB$1006:AN1006),$AB$1006:$AQ$1006,0)), HYPERLINK("#",""), HYPERLINK(CONCATENATE("#metadata!", ADDRESS(INDEX($W$2:$W$1001,MATCH(ROWS($U$2:U577),$U$2:$U$1001,0),0), INDEX($AB$1004:$AQ$1004,1,MATCH(COLUMNS($AB$1006:AN1006),$AB$1006:$AQ$1006,0)))),"Fix")))</f>
        <v>0</v>
      </c>
      <c r="O577" s="4">
        <f>IF(OR(INDEX($V$2:$V$1001,MATCH(ROWS($U$2:U577),$U$2:$U$1001,0),1)&gt;=100000,INDEX($AB$1005:$AQ$1005,1,MATCH(COLUMNS($AB$1006:AO1006),$AB$1006:$AQ$1006,0))&gt;=100000), " ",IF(INDEX($AB$2:$AQ$1001,MATCH(ROWS($U$2:U577),$U$2:$U$1001,0),MATCH(COLUMNS($AB$1006:AO1006),$AB$1006:$AQ$1006,0)), HYPERLINK("#",""), HYPERLINK(CONCATENATE("#metadata!", ADDRESS(INDEX($W$2:$W$1001,MATCH(ROWS($U$2:U577),$U$2:$U$1001,0),0), INDEX($AB$1004:$AQ$1004,1,MATCH(COLUMNS($AB$1006:AO1006),$AB$1006:$AQ$1006,0)))),"Fix")))</f>
        <v>0</v>
      </c>
      <c r="P577" s="4">
        <f>IF(OR(INDEX($V$2:$V$1001,MATCH(ROWS($U$2:U577),$U$2:$U$1001,0),1)&gt;=100000,INDEX($AB$1005:$AQ$1005,1,MATCH(COLUMNS($AB$1006:AP1006),$AB$1006:$AQ$1006,0))&gt;=100000), " ",IF(INDEX($AB$2:$AQ$1001,MATCH(ROWS($U$2:U577),$U$2:$U$1001,0),MATCH(COLUMNS($AB$1006:AP1006),$AB$1006:$AQ$1006,0)), HYPERLINK("#",""), HYPERLINK(CONCATENATE("#metadata!", ADDRESS(INDEX($W$2:$W$1001,MATCH(ROWS($U$2:U577),$U$2:$U$1001,0),0), INDEX($AB$1004:$AQ$1004,1,MATCH(COLUMNS($AB$1006:AP1006),$AB$1006:$AQ$1006,0)))),"Fix")))</f>
        <v>0</v>
      </c>
      <c r="Q577" s="4">
        <f>IF(OR(INDEX($V$2:$V$1001,MATCH(ROWS($U$2:U577),$U$2:$U$1001,0),1)&gt;=100000,INDEX($AB$1005:$AQ$1005,1,MATCH(COLUMNS($AB$1006:AQ1006),$AB$1006:$AQ$1006,0))&gt;=100000), " ",IF(INDEX($AB$2:$AQ$1001,MATCH(ROWS($U$2:U577),$U$2:$U$1001,0),MATCH(COLUMNS($AB$1006:AQ1006),$AB$1006:$AQ$1006,0)), HYPERLINK("#",""), HYPERLINK(CONCATENATE("#metadata!", ADDRESS(INDEX($W$2:$W$1001,MATCH(ROWS($U$2:U577),$U$2:$U$1001,0),0), INDEX($AB$1004:$AQ$1004,1,MATCH(COLUMNS($AB$1006:AQ1006),$AB$1006:$AQ$1006,0)))),"Fix")))</f>
        <v>0</v>
      </c>
      <c r="U577">
        <v>0</v>
      </c>
      <c r="V577">
        <v>0</v>
      </c>
      <c r="W577">
        <v>0</v>
      </c>
      <c r="X577">
        <f>IF(Y577,TRUE,AND(AB577:AQ577))</f>
        <v>0</v>
      </c>
      <c r="Y577">
        <f>COUNTBLANK(metadata!B577:Q577)=COLUMNS(metadata!B577:Q577)</f>
        <v>0</v>
      </c>
      <c r="Z577">
        <v>0</v>
      </c>
      <c r="AB577">
        <f>AND(IF(metadata!B577="",FALSE,TRUE),COUNTIF(metadata!B:B, metadata!B577) = 1,NOT(ISERROR(SUMPRODUCT(SEARCH(MID(metadata!B577,ROW(INDIRECT("1:"&amp;LEN(metadata!B577))), 1),"0123456789abcdefghijklmnopqrstuvwxyzABCDEFGHIJKLMNOPQRSTUVWXYZ.")))))</f>
        <v>0</v>
      </c>
      <c r="AC577">
        <f>OR(AND(IF(metadata!C577="",FALSE,TRUE),OR(exact(metadata!C577,"missing: not collected"),exact(metadata!C577,"missing: not provided"),exact(metadata!C577,"missing: restricted access"))),AND(IF(metadata!C577="",FALSE,TRUE),AND(AND(IFERROR(INT(LEFT(metadata!C577,4))&gt;1900,FALSE),IFERROR(INT(LEFT(metadata!C577,4))&lt;=YEAR(NOW()),FALSE)), OR(MID(metadata!C577,5,1)="", AND(AND(MID(metadata!C577,5,1)="-",IFERROR(INT(MID(metadata!C577,6,1))&gt;=0,FALSE),IFERROR(INT(MID(metadata!C577,6,1))&lt;=1,FALSE),NOT(MID(metadata!C577,7,1)=""),IFERROR(INT(MID(metadata!C577,6,2))&gt;=1,FALSE),IFERROR(INT(MID(metadata!C577,6,2))&lt;=12,FALSE)), OR(MID(metadata!C577,8,1)="", AND(AND(MID(metadata!C577,8,1)="-",IFERROR(INT(MID(metadata!C577,9,1))&gt;=0,FALSE),IFERROR(INT(MID(metadata!C577,9,1))&lt;=3,FALSE),NOT(MID(metadata!C577,10,1)=""),IFERROR(INT(MID(metadata!C577,9,2))&gt;=1,FALSE),IFERROR(INT(MID(metadata!C577,9,2))&lt;=31,FALSE)), OR(MID(metadata!C577,11,1)="", AND(AND(MID(metadata!C577,11,1)=" ",IFERROR(INT(MID(metadata!C577,12,1))&gt;=0,FALSE),IFERROR(INT(MID(metadata!C577,12,1))&lt;=2,FALSE),NOT(MID(metadata!C577,13,1)=""),IFERROR(INT(MID(metadata!C577,12,2))&gt;=0,FALSE),IFERROR(INT(MID(metadata!C577,12,2))&lt;=23,FALSE)), OR(MID(metadata!C577,14,1)="", AND(AND(MID(metadata!C577,14,1)=":",IFERROR(INT(MID(metadata!C577,15,1))&gt;=0,FALSE),IFERROR(INT(MID(metadata!C577,15,1))&lt;=5,FALSE),NOT(MID(metadata!C577,16,1)=""),IFERROR(INT(MID(metadata!C577,15,2))&gt;=0,FALSE),IFERROR(INT(MID(metadata!C577,15,2))&lt;=59,FALSE)), OR(MID(metadata!C577,17,1)="", AND(AND(MID(metadata!C577,17,1)=":",IFERROR(INT(MID(metadata!C577,18,1))&gt;=0,FALSE),IFERROR(INT(MID(metadata!C577,18,1))&lt;=5,FALSE),NOT(MID(metadata!C577,19,1)=""),IFERROR(INT(MID(metadata!C577,18,2))&gt;=0,FALSE),IFERROR(INT(MID(metadata!C577,18,2))&lt;=59,FALSE)), LEN(metadata!C577)&lt;=19)))))))))))))</f>
        <v>0</v>
      </c>
      <c r="AD577">
        <f>IF(metadata!D577="",FALSE,TRUE)</f>
        <v>0</v>
      </c>
      <c r="AE577">
        <f>OR(AND(IF(metadata!E577="",FALSE,TRUE),OR(exact(metadata!E577,"missing: not collected"),exact(metadata!E577,"missing: not provided"))),AND(IF(metadata!E577="",FALSE,TRUE),OR(exact(metadata!E577,"TRUE"),exact(metadata!E577,"FALSE"))))</f>
        <v>0</v>
      </c>
      <c r="AF577">
        <f>IF(metadata!F577="",FALSE,TRUE)</f>
        <v>0</v>
      </c>
      <c r="AG577">
        <f>IF(metadata!G577="",FALSE,TRUE)</f>
        <v>0</v>
      </c>
      <c r="AH577">
        <f>IF(metadata!H577="",FALSE,TRUE)</f>
        <v>0</v>
      </c>
      <c r="AI577">
        <f>OR(AND(IF(metadata!I577="",FALSE,TRUE),OR(exact(metadata!I577,"missing: not collected"),exact(metadata!I577,"missing: not provided"),exact(metadata!I577,"missing: restricted access"))),AND(IF(metadata!I577="",FALSE,TRUE),OR(exact(metadata!I577,"air"),exact(metadata!I577,"built environment"),exact(metadata!I577,"host-associated"),exact(metadata!I577,"human-associated"),exact(metadata!I577,"human-skin"),exact(metadata!I577,"human-oral"),exact(metadata!I577,"human-gut"),exact(metadata!I577,"human-vaginal"),exact(metadata!I577,"microbial mat/biofilm"),exact(metadata!I577,"misc environment"),exact(metadata!I577,"plant-associated"),exact(metadata!I577,"sediment"),exact(metadata!I577,"soil"),exact(metadata!I577,"wastewater/sludge"),exact(metadata!I577,"water"))))</f>
        <v>0</v>
      </c>
      <c r="AJ577">
        <f>IF(metadata!J577="",FALSE,TRUE)</f>
        <v>0</v>
      </c>
      <c r="AK577">
        <f>OR(AND(IF(metadata!K577="",FALSE,TRUE),OR(exact(metadata!K577,"missing: not collected"),exact(metadata!K577,"missing: not provided"),exact(metadata!K577,"missing: restricted access"))),AND(IF(metadata!K577="",FALSE,ISNUMBER(VALUE(metadata!K577))),metadata!K577&gt;=-90.00,metadata!K577&lt;=90.00))</f>
        <v>0</v>
      </c>
      <c r="AL577">
        <f>OR(AND(IF(metadata!L577="",FALSE,TRUE),OR(exact(metadata!L577,"missing: not collected"),exact(metadata!L577,"missing: not provided"),exact(metadata!L577,"missing: restricted access"))),AND(IF(metadata!L577="",FALSE,ISNUMBER(VALUE(metadata!L577))),metadata!L577&gt;=-180.00,metadata!L577&lt;=180.00))</f>
        <v>0</v>
      </c>
      <c r="AM577">
        <f>IF(metadata!M577="",FALSE,TRUE)</f>
        <v>0</v>
      </c>
      <c r="AN577">
        <f>OR(AND(IF(metadata!N577="",FALSE,TRUE),OR(exact(metadata!N577,"missing: not collected"),exact(metadata!N577,"missing: not provided"),exact(metadata!N577,"missing: restricted access"))),AND(IF(metadata!N577="",FALSE,TRUE),OR(exact(metadata!N577,"TRUE"),exact(metadata!N577,"FALSE"))))</f>
        <v>0</v>
      </c>
      <c r="AO577">
        <f>IF(metadata!O577="",FALSE,TRUE)</f>
        <v>0</v>
      </c>
      <c r="AP577">
        <f>OR(AND(IF(metadata!P577="",FALSE,TRUE),OR(exact(metadata!P577,"missing: not collected"),exact(metadata!P577,"missing: not provided"))),AND(IF(metadata!P577="",FALSE,IF(ISERROR(INT(metadata!P577)),FALSE,INT(metadata!P577)=metadata!P577)),metadata!P577&gt;0))</f>
        <v>0</v>
      </c>
      <c r="AQ577">
        <f>IF(metadata!Q577="",FALSE,TRUE)</f>
        <v>0</v>
      </c>
    </row>
    <row r="578" spans="1:43">
      <c r="A578" s="5">
        <f>IF(B578=" "," ",HYPERLINK(CONCATENATE("#metadata!",ADDRESS(INDEX($W$2:$W$1001,MATCH(ROWS($U$2:U578),$U$2:$U$1001,0),0),1)),INDEX($Z$2:$Z$1001,MATCH(ROWS($U$2:U578),$U$2:$U$1001,0),0)))</f>
        <v>0</v>
      </c>
      <c r="B578" s="4">
        <f>IF(OR(INDEX($V$2:$V$1001,MATCH(ROWS($U$2:U578),$U$2:$U$1001,0),1)&gt;=100000,INDEX($AB$1005:$AQ$1005,1,MATCH(COLUMNS($AB$1006:AB1006),$AB$1006:$AQ$1006,0))&gt;=100000), " ",IF(INDEX($AB$2:$AQ$1001,MATCH(ROWS($U$2:U578),$U$2:$U$1001,0),MATCH(COLUMNS($AB$1006:AB1006),$AB$1006:$AQ$1006,0)), HYPERLINK("#",""), HYPERLINK(CONCATENATE("#metadata!", ADDRESS(INDEX($W$2:$W$1001,MATCH(ROWS($U$2:U578),$U$2:$U$1001,0),0), INDEX($AB$1004:$AQ$1004,1,MATCH(COLUMNS($AB$1006:AB1006),$AB$1006:$AQ$1006,0)))),"Fix")))</f>
        <v>0</v>
      </c>
      <c r="C578" s="4">
        <f>IF(OR(INDEX($V$2:$V$1001,MATCH(ROWS($U$2:U578),$U$2:$U$1001,0),1)&gt;=100000,INDEX($AB$1005:$AQ$1005,1,MATCH(COLUMNS($AB$1006:AC1006),$AB$1006:$AQ$1006,0))&gt;=100000), " ",IF(INDEX($AB$2:$AQ$1001,MATCH(ROWS($U$2:U578),$U$2:$U$1001,0),MATCH(COLUMNS($AB$1006:AC1006),$AB$1006:$AQ$1006,0)), HYPERLINK("#",""), HYPERLINK(CONCATENATE("#metadata!", ADDRESS(INDEX($W$2:$W$1001,MATCH(ROWS($U$2:U578),$U$2:$U$1001,0),0), INDEX($AB$1004:$AQ$1004,1,MATCH(COLUMNS($AB$1006:AC1006),$AB$1006:$AQ$1006,0)))),"Fix")))</f>
        <v>0</v>
      </c>
      <c r="D578" s="4">
        <f>IF(OR(INDEX($V$2:$V$1001,MATCH(ROWS($U$2:U578),$U$2:$U$1001,0),1)&gt;=100000,INDEX($AB$1005:$AQ$1005,1,MATCH(COLUMNS($AB$1006:AD1006),$AB$1006:$AQ$1006,0))&gt;=100000), " ",IF(INDEX($AB$2:$AQ$1001,MATCH(ROWS($U$2:U578),$U$2:$U$1001,0),MATCH(COLUMNS($AB$1006:AD1006),$AB$1006:$AQ$1006,0)), HYPERLINK("#",""), HYPERLINK(CONCATENATE("#metadata!", ADDRESS(INDEX($W$2:$W$1001,MATCH(ROWS($U$2:U578),$U$2:$U$1001,0),0), INDEX($AB$1004:$AQ$1004,1,MATCH(COLUMNS($AB$1006:AD1006),$AB$1006:$AQ$1006,0)))),"Fix")))</f>
        <v>0</v>
      </c>
      <c r="E578" s="4">
        <f>IF(OR(INDEX($V$2:$V$1001,MATCH(ROWS($U$2:U578),$U$2:$U$1001,0),1)&gt;=100000,INDEX($AB$1005:$AQ$1005,1,MATCH(COLUMNS($AB$1006:AE1006),$AB$1006:$AQ$1006,0))&gt;=100000), " ",IF(INDEX($AB$2:$AQ$1001,MATCH(ROWS($U$2:U578),$U$2:$U$1001,0),MATCH(COLUMNS($AB$1006:AE1006),$AB$1006:$AQ$1006,0)), HYPERLINK("#",""), HYPERLINK(CONCATENATE("#metadata!", ADDRESS(INDEX($W$2:$W$1001,MATCH(ROWS($U$2:U578),$U$2:$U$1001,0),0), INDEX($AB$1004:$AQ$1004,1,MATCH(COLUMNS($AB$1006:AE1006),$AB$1006:$AQ$1006,0)))),"Fix")))</f>
        <v>0</v>
      </c>
      <c r="F578" s="4">
        <f>IF(OR(INDEX($V$2:$V$1001,MATCH(ROWS($U$2:U578),$U$2:$U$1001,0),1)&gt;=100000,INDEX($AB$1005:$AQ$1005,1,MATCH(COLUMNS($AB$1006:AF1006),$AB$1006:$AQ$1006,0))&gt;=100000), " ",IF(INDEX($AB$2:$AQ$1001,MATCH(ROWS($U$2:U578),$U$2:$U$1001,0),MATCH(COLUMNS($AB$1006:AF1006),$AB$1006:$AQ$1006,0)), HYPERLINK("#",""), HYPERLINK(CONCATENATE("#metadata!", ADDRESS(INDEX($W$2:$W$1001,MATCH(ROWS($U$2:U578),$U$2:$U$1001,0),0), INDEX($AB$1004:$AQ$1004,1,MATCH(COLUMNS($AB$1006:AF1006),$AB$1006:$AQ$1006,0)))),"Fix")))</f>
        <v>0</v>
      </c>
      <c r="G578" s="4">
        <f>IF(OR(INDEX($V$2:$V$1001,MATCH(ROWS($U$2:U578),$U$2:$U$1001,0),1)&gt;=100000,INDEX($AB$1005:$AQ$1005,1,MATCH(COLUMNS($AB$1006:AG1006),$AB$1006:$AQ$1006,0))&gt;=100000), " ",IF(INDEX($AB$2:$AQ$1001,MATCH(ROWS($U$2:U578),$U$2:$U$1001,0),MATCH(COLUMNS($AB$1006:AG1006),$AB$1006:$AQ$1006,0)), HYPERLINK("#",""), HYPERLINK(CONCATENATE("#metadata!", ADDRESS(INDEX($W$2:$W$1001,MATCH(ROWS($U$2:U578),$U$2:$U$1001,0),0), INDEX($AB$1004:$AQ$1004,1,MATCH(COLUMNS($AB$1006:AG1006),$AB$1006:$AQ$1006,0)))),"Fix")))</f>
        <v>0</v>
      </c>
      <c r="H578" s="4">
        <f>IF(OR(INDEX($V$2:$V$1001,MATCH(ROWS($U$2:U578),$U$2:$U$1001,0),1)&gt;=100000,INDEX($AB$1005:$AQ$1005,1,MATCH(COLUMNS($AB$1006:AH1006),$AB$1006:$AQ$1006,0))&gt;=100000), " ",IF(INDEX($AB$2:$AQ$1001,MATCH(ROWS($U$2:U578),$U$2:$U$1001,0),MATCH(COLUMNS($AB$1006:AH1006),$AB$1006:$AQ$1006,0)), HYPERLINK("#",""), HYPERLINK(CONCATENATE("#metadata!", ADDRESS(INDEX($W$2:$W$1001,MATCH(ROWS($U$2:U578),$U$2:$U$1001,0),0), INDEX($AB$1004:$AQ$1004,1,MATCH(COLUMNS($AB$1006:AH1006),$AB$1006:$AQ$1006,0)))),"Fix")))</f>
        <v>0</v>
      </c>
      <c r="I578" s="4">
        <f>IF(OR(INDEX($V$2:$V$1001,MATCH(ROWS($U$2:U578),$U$2:$U$1001,0),1)&gt;=100000,INDEX($AB$1005:$AQ$1005,1,MATCH(COLUMNS($AB$1006:AI1006),$AB$1006:$AQ$1006,0))&gt;=100000), " ",IF(INDEX($AB$2:$AQ$1001,MATCH(ROWS($U$2:U578),$U$2:$U$1001,0),MATCH(COLUMNS($AB$1006:AI1006),$AB$1006:$AQ$1006,0)), HYPERLINK("#",""), HYPERLINK(CONCATENATE("#metadata!", ADDRESS(INDEX($W$2:$W$1001,MATCH(ROWS($U$2:U578),$U$2:$U$1001,0),0), INDEX($AB$1004:$AQ$1004,1,MATCH(COLUMNS($AB$1006:AI1006),$AB$1006:$AQ$1006,0)))),"Fix")))</f>
        <v>0</v>
      </c>
      <c r="J578" s="4">
        <f>IF(OR(INDEX($V$2:$V$1001,MATCH(ROWS($U$2:U578),$U$2:$U$1001,0),1)&gt;=100000,INDEX($AB$1005:$AQ$1005,1,MATCH(COLUMNS($AB$1006:AJ1006),$AB$1006:$AQ$1006,0))&gt;=100000), " ",IF(INDEX($AB$2:$AQ$1001,MATCH(ROWS($U$2:U578),$U$2:$U$1001,0),MATCH(COLUMNS($AB$1006:AJ1006),$AB$1006:$AQ$1006,0)), HYPERLINK("#",""), HYPERLINK(CONCATENATE("#metadata!", ADDRESS(INDEX($W$2:$W$1001,MATCH(ROWS($U$2:U578),$U$2:$U$1001,0),0), INDEX($AB$1004:$AQ$1004,1,MATCH(COLUMNS($AB$1006:AJ1006),$AB$1006:$AQ$1006,0)))),"Fix")))</f>
        <v>0</v>
      </c>
      <c r="K578" s="4">
        <f>IF(OR(INDEX($V$2:$V$1001,MATCH(ROWS($U$2:U578),$U$2:$U$1001,0),1)&gt;=100000,INDEX($AB$1005:$AQ$1005,1,MATCH(COLUMNS($AB$1006:AK1006),$AB$1006:$AQ$1006,0))&gt;=100000), " ",IF(INDEX($AB$2:$AQ$1001,MATCH(ROWS($U$2:U578),$U$2:$U$1001,0),MATCH(COLUMNS($AB$1006:AK1006),$AB$1006:$AQ$1006,0)), HYPERLINK("#",""), HYPERLINK(CONCATENATE("#metadata!", ADDRESS(INDEX($W$2:$W$1001,MATCH(ROWS($U$2:U578),$U$2:$U$1001,0),0), INDEX($AB$1004:$AQ$1004,1,MATCH(COLUMNS($AB$1006:AK1006),$AB$1006:$AQ$1006,0)))),"Fix")))</f>
        <v>0</v>
      </c>
      <c r="L578" s="4">
        <f>IF(OR(INDEX($V$2:$V$1001,MATCH(ROWS($U$2:U578),$U$2:$U$1001,0),1)&gt;=100000,INDEX($AB$1005:$AQ$1005,1,MATCH(COLUMNS($AB$1006:AL1006),$AB$1006:$AQ$1006,0))&gt;=100000), " ",IF(INDEX($AB$2:$AQ$1001,MATCH(ROWS($U$2:U578),$U$2:$U$1001,0),MATCH(COLUMNS($AB$1006:AL1006),$AB$1006:$AQ$1006,0)), HYPERLINK("#",""), HYPERLINK(CONCATENATE("#metadata!", ADDRESS(INDEX($W$2:$W$1001,MATCH(ROWS($U$2:U578),$U$2:$U$1001,0),0), INDEX($AB$1004:$AQ$1004,1,MATCH(COLUMNS($AB$1006:AL1006),$AB$1006:$AQ$1006,0)))),"Fix")))</f>
        <v>0</v>
      </c>
      <c r="M578" s="4">
        <f>IF(OR(INDEX($V$2:$V$1001,MATCH(ROWS($U$2:U578),$U$2:$U$1001,0),1)&gt;=100000,INDEX($AB$1005:$AQ$1005,1,MATCH(COLUMNS($AB$1006:AM1006),$AB$1006:$AQ$1006,0))&gt;=100000), " ",IF(INDEX($AB$2:$AQ$1001,MATCH(ROWS($U$2:U578),$U$2:$U$1001,0),MATCH(COLUMNS($AB$1006:AM1006),$AB$1006:$AQ$1006,0)), HYPERLINK("#",""), HYPERLINK(CONCATENATE("#metadata!", ADDRESS(INDEX($W$2:$W$1001,MATCH(ROWS($U$2:U578),$U$2:$U$1001,0),0), INDEX($AB$1004:$AQ$1004,1,MATCH(COLUMNS($AB$1006:AM1006),$AB$1006:$AQ$1006,0)))),"Fix")))</f>
        <v>0</v>
      </c>
      <c r="N578" s="4">
        <f>IF(OR(INDEX($V$2:$V$1001,MATCH(ROWS($U$2:U578),$U$2:$U$1001,0),1)&gt;=100000,INDEX($AB$1005:$AQ$1005,1,MATCH(COLUMNS($AB$1006:AN1006),$AB$1006:$AQ$1006,0))&gt;=100000), " ",IF(INDEX($AB$2:$AQ$1001,MATCH(ROWS($U$2:U578),$U$2:$U$1001,0),MATCH(COLUMNS($AB$1006:AN1006),$AB$1006:$AQ$1006,0)), HYPERLINK("#",""), HYPERLINK(CONCATENATE("#metadata!", ADDRESS(INDEX($W$2:$W$1001,MATCH(ROWS($U$2:U578),$U$2:$U$1001,0),0), INDEX($AB$1004:$AQ$1004,1,MATCH(COLUMNS($AB$1006:AN1006),$AB$1006:$AQ$1006,0)))),"Fix")))</f>
        <v>0</v>
      </c>
      <c r="O578" s="4">
        <f>IF(OR(INDEX($V$2:$V$1001,MATCH(ROWS($U$2:U578),$U$2:$U$1001,0),1)&gt;=100000,INDEX($AB$1005:$AQ$1005,1,MATCH(COLUMNS($AB$1006:AO1006),$AB$1006:$AQ$1006,0))&gt;=100000), " ",IF(INDEX($AB$2:$AQ$1001,MATCH(ROWS($U$2:U578),$U$2:$U$1001,0),MATCH(COLUMNS($AB$1006:AO1006),$AB$1006:$AQ$1006,0)), HYPERLINK("#",""), HYPERLINK(CONCATENATE("#metadata!", ADDRESS(INDEX($W$2:$W$1001,MATCH(ROWS($U$2:U578),$U$2:$U$1001,0),0), INDEX($AB$1004:$AQ$1004,1,MATCH(COLUMNS($AB$1006:AO1006),$AB$1006:$AQ$1006,0)))),"Fix")))</f>
        <v>0</v>
      </c>
      <c r="P578" s="4">
        <f>IF(OR(INDEX($V$2:$V$1001,MATCH(ROWS($U$2:U578),$U$2:$U$1001,0),1)&gt;=100000,INDEX($AB$1005:$AQ$1005,1,MATCH(COLUMNS($AB$1006:AP1006),$AB$1006:$AQ$1006,0))&gt;=100000), " ",IF(INDEX($AB$2:$AQ$1001,MATCH(ROWS($U$2:U578),$U$2:$U$1001,0),MATCH(COLUMNS($AB$1006:AP1006),$AB$1006:$AQ$1006,0)), HYPERLINK("#",""), HYPERLINK(CONCATENATE("#metadata!", ADDRESS(INDEX($W$2:$W$1001,MATCH(ROWS($U$2:U578),$U$2:$U$1001,0),0), INDEX($AB$1004:$AQ$1004,1,MATCH(COLUMNS($AB$1006:AP1006),$AB$1006:$AQ$1006,0)))),"Fix")))</f>
        <v>0</v>
      </c>
      <c r="Q578" s="4">
        <f>IF(OR(INDEX($V$2:$V$1001,MATCH(ROWS($U$2:U578),$U$2:$U$1001,0),1)&gt;=100000,INDEX($AB$1005:$AQ$1005,1,MATCH(COLUMNS($AB$1006:AQ1006),$AB$1006:$AQ$1006,0))&gt;=100000), " ",IF(INDEX($AB$2:$AQ$1001,MATCH(ROWS($U$2:U578),$U$2:$U$1001,0),MATCH(COLUMNS($AB$1006:AQ1006),$AB$1006:$AQ$1006,0)), HYPERLINK("#",""), HYPERLINK(CONCATENATE("#metadata!", ADDRESS(INDEX($W$2:$W$1001,MATCH(ROWS($U$2:U578),$U$2:$U$1001,0),0), INDEX($AB$1004:$AQ$1004,1,MATCH(COLUMNS($AB$1006:AQ1006),$AB$1006:$AQ$1006,0)))),"Fix")))</f>
        <v>0</v>
      </c>
      <c r="U578">
        <v>0</v>
      </c>
      <c r="V578">
        <v>0</v>
      </c>
      <c r="W578">
        <v>0</v>
      </c>
      <c r="X578">
        <f>IF(Y578,TRUE,AND(AB578:AQ578))</f>
        <v>0</v>
      </c>
      <c r="Y578">
        <f>COUNTBLANK(metadata!B578:Q578)=COLUMNS(metadata!B578:Q578)</f>
        <v>0</v>
      </c>
      <c r="Z578">
        <v>0</v>
      </c>
      <c r="AB578">
        <f>AND(IF(metadata!B578="",FALSE,TRUE),COUNTIF(metadata!B:B, metadata!B578) = 1,NOT(ISERROR(SUMPRODUCT(SEARCH(MID(metadata!B578,ROW(INDIRECT("1:"&amp;LEN(metadata!B578))), 1),"0123456789abcdefghijklmnopqrstuvwxyzABCDEFGHIJKLMNOPQRSTUVWXYZ.")))))</f>
        <v>0</v>
      </c>
      <c r="AC578">
        <f>OR(AND(IF(metadata!C578="",FALSE,TRUE),OR(exact(metadata!C578,"missing: not collected"),exact(metadata!C578,"missing: not provided"),exact(metadata!C578,"missing: restricted access"))),AND(IF(metadata!C578="",FALSE,TRUE),AND(AND(IFERROR(INT(LEFT(metadata!C578,4))&gt;1900,FALSE),IFERROR(INT(LEFT(metadata!C578,4))&lt;=YEAR(NOW()),FALSE)), OR(MID(metadata!C578,5,1)="", AND(AND(MID(metadata!C578,5,1)="-",IFERROR(INT(MID(metadata!C578,6,1))&gt;=0,FALSE),IFERROR(INT(MID(metadata!C578,6,1))&lt;=1,FALSE),NOT(MID(metadata!C578,7,1)=""),IFERROR(INT(MID(metadata!C578,6,2))&gt;=1,FALSE),IFERROR(INT(MID(metadata!C578,6,2))&lt;=12,FALSE)), OR(MID(metadata!C578,8,1)="", AND(AND(MID(metadata!C578,8,1)="-",IFERROR(INT(MID(metadata!C578,9,1))&gt;=0,FALSE),IFERROR(INT(MID(metadata!C578,9,1))&lt;=3,FALSE),NOT(MID(metadata!C578,10,1)=""),IFERROR(INT(MID(metadata!C578,9,2))&gt;=1,FALSE),IFERROR(INT(MID(metadata!C578,9,2))&lt;=31,FALSE)), OR(MID(metadata!C578,11,1)="", AND(AND(MID(metadata!C578,11,1)=" ",IFERROR(INT(MID(metadata!C578,12,1))&gt;=0,FALSE),IFERROR(INT(MID(metadata!C578,12,1))&lt;=2,FALSE),NOT(MID(metadata!C578,13,1)=""),IFERROR(INT(MID(metadata!C578,12,2))&gt;=0,FALSE),IFERROR(INT(MID(metadata!C578,12,2))&lt;=23,FALSE)), OR(MID(metadata!C578,14,1)="", AND(AND(MID(metadata!C578,14,1)=":",IFERROR(INT(MID(metadata!C578,15,1))&gt;=0,FALSE),IFERROR(INT(MID(metadata!C578,15,1))&lt;=5,FALSE),NOT(MID(metadata!C578,16,1)=""),IFERROR(INT(MID(metadata!C578,15,2))&gt;=0,FALSE),IFERROR(INT(MID(metadata!C578,15,2))&lt;=59,FALSE)), OR(MID(metadata!C578,17,1)="", AND(AND(MID(metadata!C578,17,1)=":",IFERROR(INT(MID(metadata!C578,18,1))&gt;=0,FALSE),IFERROR(INT(MID(metadata!C578,18,1))&lt;=5,FALSE),NOT(MID(metadata!C578,19,1)=""),IFERROR(INT(MID(metadata!C578,18,2))&gt;=0,FALSE),IFERROR(INT(MID(metadata!C578,18,2))&lt;=59,FALSE)), LEN(metadata!C578)&lt;=19)))))))))))))</f>
        <v>0</v>
      </c>
      <c r="AD578">
        <f>IF(metadata!D578="",FALSE,TRUE)</f>
        <v>0</v>
      </c>
      <c r="AE578">
        <f>OR(AND(IF(metadata!E578="",FALSE,TRUE),OR(exact(metadata!E578,"missing: not collected"),exact(metadata!E578,"missing: not provided"))),AND(IF(metadata!E578="",FALSE,TRUE),OR(exact(metadata!E578,"TRUE"),exact(metadata!E578,"FALSE"))))</f>
        <v>0</v>
      </c>
      <c r="AF578">
        <f>IF(metadata!F578="",FALSE,TRUE)</f>
        <v>0</v>
      </c>
      <c r="AG578">
        <f>IF(metadata!G578="",FALSE,TRUE)</f>
        <v>0</v>
      </c>
      <c r="AH578">
        <f>IF(metadata!H578="",FALSE,TRUE)</f>
        <v>0</v>
      </c>
      <c r="AI578">
        <f>OR(AND(IF(metadata!I578="",FALSE,TRUE),OR(exact(metadata!I578,"missing: not collected"),exact(metadata!I578,"missing: not provided"),exact(metadata!I578,"missing: restricted access"))),AND(IF(metadata!I578="",FALSE,TRUE),OR(exact(metadata!I578,"air"),exact(metadata!I578,"built environment"),exact(metadata!I578,"host-associated"),exact(metadata!I578,"human-associated"),exact(metadata!I578,"human-skin"),exact(metadata!I578,"human-oral"),exact(metadata!I578,"human-gut"),exact(metadata!I578,"human-vaginal"),exact(metadata!I578,"microbial mat/biofilm"),exact(metadata!I578,"misc environment"),exact(metadata!I578,"plant-associated"),exact(metadata!I578,"sediment"),exact(metadata!I578,"soil"),exact(metadata!I578,"wastewater/sludge"),exact(metadata!I578,"water"))))</f>
        <v>0</v>
      </c>
      <c r="AJ578">
        <f>IF(metadata!J578="",FALSE,TRUE)</f>
        <v>0</v>
      </c>
      <c r="AK578">
        <f>OR(AND(IF(metadata!K578="",FALSE,TRUE),OR(exact(metadata!K578,"missing: not collected"),exact(metadata!K578,"missing: not provided"),exact(metadata!K578,"missing: restricted access"))),AND(IF(metadata!K578="",FALSE,ISNUMBER(VALUE(metadata!K578))),metadata!K578&gt;=-90.00,metadata!K578&lt;=90.00))</f>
        <v>0</v>
      </c>
      <c r="AL578">
        <f>OR(AND(IF(metadata!L578="",FALSE,TRUE),OR(exact(metadata!L578,"missing: not collected"),exact(metadata!L578,"missing: not provided"),exact(metadata!L578,"missing: restricted access"))),AND(IF(metadata!L578="",FALSE,ISNUMBER(VALUE(metadata!L578))),metadata!L578&gt;=-180.00,metadata!L578&lt;=180.00))</f>
        <v>0</v>
      </c>
      <c r="AM578">
        <f>IF(metadata!M578="",FALSE,TRUE)</f>
        <v>0</v>
      </c>
      <c r="AN578">
        <f>OR(AND(IF(metadata!N578="",FALSE,TRUE),OR(exact(metadata!N578,"missing: not collected"),exact(metadata!N578,"missing: not provided"),exact(metadata!N578,"missing: restricted access"))),AND(IF(metadata!N578="",FALSE,TRUE),OR(exact(metadata!N578,"TRUE"),exact(metadata!N578,"FALSE"))))</f>
        <v>0</v>
      </c>
      <c r="AO578">
        <f>IF(metadata!O578="",FALSE,TRUE)</f>
        <v>0</v>
      </c>
      <c r="AP578">
        <f>OR(AND(IF(metadata!P578="",FALSE,TRUE),OR(exact(metadata!P578,"missing: not collected"),exact(metadata!P578,"missing: not provided"))),AND(IF(metadata!P578="",FALSE,IF(ISERROR(INT(metadata!P578)),FALSE,INT(metadata!P578)=metadata!P578)),metadata!P578&gt;0))</f>
        <v>0</v>
      </c>
      <c r="AQ578">
        <f>IF(metadata!Q578="",FALSE,TRUE)</f>
        <v>0</v>
      </c>
    </row>
    <row r="579" spans="1:43">
      <c r="A579" s="5">
        <f>IF(B579=" "," ",HYPERLINK(CONCATENATE("#metadata!",ADDRESS(INDEX($W$2:$W$1001,MATCH(ROWS($U$2:U579),$U$2:$U$1001,0),0),1)),INDEX($Z$2:$Z$1001,MATCH(ROWS($U$2:U579),$U$2:$U$1001,0),0)))</f>
        <v>0</v>
      </c>
      <c r="B579" s="4">
        <f>IF(OR(INDEX($V$2:$V$1001,MATCH(ROWS($U$2:U579),$U$2:$U$1001,0),1)&gt;=100000,INDEX($AB$1005:$AQ$1005,1,MATCH(COLUMNS($AB$1006:AB1006),$AB$1006:$AQ$1006,0))&gt;=100000), " ",IF(INDEX($AB$2:$AQ$1001,MATCH(ROWS($U$2:U579),$U$2:$U$1001,0),MATCH(COLUMNS($AB$1006:AB1006),$AB$1006:$AQ$1006,0)), HYPERLINK("#",""), HYPERLINK(CONCATENATE("#metadata!", ADDRESS(INDEX($W$2:$W$1001,MATCH(ROWS($U$2:U579),$U$2:$U$1001,0),0), INDEX($AB$1004:$AQ$1004,1,MATCH(COLUMNS($AB$1006:AB1006),$AB$1006:$AQ$1006,0)))),"Fix")))</f>
        <v>0</v>
      </c>
      <c r="C579" s="4">
        <f>IF(OR(INDEX($V$2:$V$1001,MATCH(ROWS($U$2:U579),$U$2:$U$1001,0),1)&gt;=100000,INDEX($AB$1005:$AQ$1005,1,MATCH(COLUMNS($AB$1006:AC1006),$AB$1006:$AQ$1006,0))&gt;=100000), " ",IF(INDEX($AB$2:$AQ$1001,MATCH(ROWS($U$2:U579),$U$2:$U$1001,0),MATCH(COLUMNS($AB$1006:AC1006),$AB$1006:$AQ$1006,0)), HYPERLINK("#",""), HYPERLINK(CONCATENATE("#metadata!", ADDRESS(INDEX($W$2:$W$1001,MATCH(ROWS($U$2:U579),$U$2:$U$1001,0),0), INDEX($AB$1004:$AQ$1004,1,MATCH(COLUMNS($AB$1006:AC1006),$AB$1006:$AQ$1006,0)))),"Fix")))</f>
        <v>0</v>
      </c>
      <c r="D579" s="4">
        <f>IF(OR(INDEX($V$2:$V$1001,MATCH(ROWS($U$2:U579),$U$2:$U$1001,0),1)&gt;=100000,INDEX($AB$1005:$AQ$1005,1,MATCH(COLUMNS($AB$1006:AD1006),$AB$1006:$AQ$1006,0))&gt;=100000), " ",IF(INDEX($AB$2:$AQ$1001,MATCH(ROWS($U$2:U579),$U$2:$U$1001,0),MATCH(COLUMNS($AB$1006:AD1006),$AB$1006:$AQ$1006,0)), HYPERLINK("#",""), HYPERLINK(CONCATENATE("#metadata!", ADDRESS(INDEX($W$2:$W$1001,MATCH(ROWS($U$2:U579),$U$2:$U$1001,0),0), INDEX($AB$1004:$AQ$1004,1,MATCH(COLUMNS($AB$1006:AD1006),$AB$1006:$AQ$1006,0)))),"Fix")))</f>
        <v>0</v>
      </c>
      <c r="E579" s="4">
        <f>IF(OR(INDEX($V$2:$V$1001,MATCH(ROWS($U$2:U579),$U$2:$U$1001,0),1)&gt;=100000,INDEX($AB$1005:$AQ$1005,1,MATCH(COLUMNS($AB$1006:AE1006),$AB$1006:$AQ$1006,0))&gt;=100000), " ",IF(INDEX($AB$2:$AQ$1001,MATCH(ROWS($U$2:U579),$U$2:$U$1001,0),MATCH(COLUMNS($AB$1006:AE1006),$AB$1006:$AQ$1006,0)), HYPERLINK("#",""), HYPERLINK(CONCATENATE("#metadata!", ADDRESS(INDEX($W$2:$W$1001,MATCH(ROWS($U$2:U579),$U$2:$U$1001,0),0), INDEX($AB$1004:$AQ$1004,1,MATCH(COLUMNS($AB$1006:AE1006),$AB$1006:$AQ$1006,0)))),"Fix")))</f>
        <v>0</v>
      </c>
      <c r="F579" s="4">
        <f>IF(OR(INDEX($V$2:$V$1001,MATCH(ROWS($U$2:U579),$U$2:$U$1001,0),1)&gt;=100000,INDEX($AB$1005:$AQ$1005,1,MATCH(COLUMNS($AB$1006:AF1006),$AB$1006:$AQ$1006,0))&gt;=100000), " ",IF(INDEX($AB$2:$AQ$1001,MATCH(ROWS($U$2:U579),$U$2:$U$1001,0),MATCH(COLUMNS($AB$1006:AF1006),$AB$1006:$AQ$1006,0)), HYPERLINK("#",""), HYPERLINK(CONCATENATE("#metadata!", ADDRESS(INDEX($W$2:$W$1001,MATCH(ROWS($U$2:U579),$U$2:$U$1001,0),0), INDEX($AB$1004:$AQ$1004,1,MATCH(COLUMNS($AB$1006:AF1006),$AB$1006:$AQ$1006,0)))),"Fix")))</f>
        <v>0</v>
      </c>
      <c r="G579" s="4">
        <f>IF(OR(INDEX($V$2:$V$1001,MATCH(ROWS($U$2:U579),$U$2:$U$1001,0),1)&gt;=100000,INDEX($AB$1005:$AQ$1005,1,MATCH(COLUMNS($AB$1006:AG1006),$AB$1006:$AQ$1006,0))&gt;=100000), " ",IF(INDEX($AB$2:$AQ$1001,MATCH(ROWS($U$2:U579),$U$2:$U$1001,0),MATCH(COLUMNS($AB$1006:AG1006),$AB$1006:$AQ$1006,0)), HYPERLINK("#",""), HYPERLINK(CONCATENATE("#metadata!", ADDRESS(INDEX($W$2:$W$1001,MATCH(ROWS($U$2:U579),$U$2:$U$1001,0),0), INDEX($AB$1004:$AQ$1004,1,MATCH(COLUMNS($AB$1006:AG1006),$AB$1006:$AQ$1006,0)))),"Fix")))</f>
        <v>0</v>
      </c>
      <c r="H579" s="4">
        <f>IF(OR(INDEX($V$2:$V$1001,MATCH(ROWS($U$2:U579),$U$2:$U$1001,0),1)&gt;=100000,INDEX($AB$1005:$AQ$1005,1,MATCH(COLUMNS($AB$1006:AH1006),$AB$1006:$AQ$1006,0))&gt;=100000), " ",IF(INDEX($AB$2:$AQ$1001,MATCH(ROWS($U$2:U579),$U$2:$U$1001,0),MATCH(COLUMNS($AB$1006:AH1006),$AB$1006:$AQ$1006,0)), HYPERLINK("#",""), HYPERLINK(CONCATENATE("#metadata!", ADDRESS(INDEX($W$2:$W$1001,MATCH(ROWS($U$2:U579),$U$2:$U$1001,0),0), INDEX($AB$1004:$AQ$1004,1,MATCH(COLUMNS($AB$1006:AH1006),$AB$1006:$AQ$1006,0)))),"Fix")))</f>
        <v>0</v>
      </c>
      <c r="I579" s="4">
        <f>IF(OR(INDEX($V$2:$V$1001,MATCH(ROWS($U$2:U579),$U$2:$U$1001,0),1)&gt;=100000,INDEX($AB$1005:$AQ$1005,1,MATCH(COLUMNS($AB$1006:AI1006),$AB$1006:$AQ$1006,0))&gt;=100000), " ",IF(INDEX($AB$2:$AQ$1001,MATCH(ROWS($U$2:U579),$U$2:$U$1001,0),MATCH(COLUMNS($AB$1006:AI1006),$AB$1006:$AQ$1006,0)), HYPERLINK("#",""), HYPERLINK(CONCATENATE("#metadata!", ADDRESS(INDEX($W$2:$W$1001,MATCH(ROWS($U$2:U579),$U$2:$U$1001,0),0), INDEX($AB$1004:$AQ$1004,1,MATCH(COLUMNS($AB$1006:AI1006),$AB$1006:$AQ$1006,0)))),"Fix")))</f>
        <v>0</v>
      </c>
      <c r="J579" s="4">
        <f>IF(OR(INDEX($V$2:$V$1001,MATCH(ROWS($U$2:U579),$U$2:$U$1001,0),1)&gt;=100000,INDEX($AB$1005:$AQ$1005,1,MATCH(COLUMNS($AB$1006:AJ1006),$AB$1006:$AQ$1006,0))&gt;=100000), " ",IF(INDEX($AB$2:$AQ$1001,MATCH(ROWS($U$2:U579),$U$2:$U$1001,0),MATCH(COLUMNS($AB$1006:AJ1006),$AB$1006:$AQ$1006,0)), HYPERLINK("#",""), HYPERLINK(CONCATENATE("#metadata!", ADDRESS(INDEX($W$2:$W$1001,MATCH(ROWS($U$2:U579),$U$2:$U$1001,0),0), INDEX($AB$1004:$AQ$1004,1,MATCH(COLUMNS($AB$1006:AJ1006),$AB$1006:$AQ$1006,0)))),"Fix")))</f>
        <v>0</v>
      </c>
      <c r="K579" s="4">
        <f>IF(OR(INDEX($V$2:$V$1001,MATCH(ROWS($U$2:U579),$U$2:$U$1001,0),1)&gt;=100000,INDEX($AB$1005:$AQ$1005,1,MATCH(COLUMNS($AB$1006:AK1006),$AB$1006:$AQ$1006,0))&gt;=100000), " ",IF(INDEX($AB$2:$AQ$1001,MATCH(ROWS($U$2:U579),$U$2:$U$1001,0),MATCH(COLUMNS($AB$1006:AK1006),$AB$1006:$AQ$1006,0)), HYPERLINK("#",""), HYPERLINK(CONCATENATE("#metadata!", ADDRESS(INDEX($W$2:$W$1001,MATCH(ROWS($U$2:U579),$U$2:$U$1001,0),0), INDEX($AB$1004:$AQ$1004,1,MATCH(COLUMNS($AB$1006:AK1006),$AB$1006:$AQ$1006,0)))),"Fix")))</f>
        <v>0</v>
      </c>
      <c r="L579" s="4">
        <f>IF(OR(INDEX($V$2:$V$1001,MATCH(ROWS($U$2:U579),$U$2:$U$1001,0),1)&gt;=100000,INDEX($AB$1005:$AQ$1005,1,MATCH(COLUMNS($AB$1006:AL1006),$AB$1006:$AQ$1006,0))&gt;=100000), " ",IF(INDEX($AB$2:$AQ$1001,MATCH(ROWS($U$2:U579),$U$2:$U$1001,0),MATCH(COLUMNS($AB$1006:AL1006),$AB$1006:$AQ$1006,0)), HYPERLINK("#",""), HYPERLINK(CONCATENATE("#metadata!", ADDRESS(INDEX($W$2:$W$1001,MATCH(ROWS($U$2:U579),$U$2:$U$1001,0),0), INDEX($AB$1004:$AQ$1004,1,MATCH(COLUMNS($AB$1006:AL1006),$AB$1006:$AQ$1006,0)))),"Fix")))</f>
        <v>0</v>
      </c>
      <c r="M579" s="4">
        <f>IF(OR(INDEX($V$2:$V$1001,MATCH(ROWS($U$2:U579),$U$2:$U$1001,0),1)&gt;=100000,INDEX($AB$1005:$AQ$1005,1,MATCH(COLUMNS($AB$1006:AM1006),$AB$1006:$AQ$1006,0))&gt;=100000), " ",IF(INDEX($AB$2:$AQ$1001,MATCH(ROWS($U$2:U579),$U$2:$U$1001,0),MATCH(COLUMNS($AB$1006:AM1006),$AB$1006:$AQ$1006,0)), HYPERLINK("#",""), HYPERLINK(CONCATENATE("#metadata!", ADDRESS(INDEX($W$2:$W$1001,MATCH(ROWS($U$2:U579),$U$2:$U$1001,0),0), INDEX($AB$1004:$AQ$1004,1,MATCH(COLUMNS($AB$1006:AM1006),$AB$1006:$AQ$1006,0)))),"Fix")))</f>
        <v>0</v>
      </c>
      <c r="N579" s="4">
        <f>IF(OR(INDEX($V$2:$V$1001,MATCH(ROWS($U$2:U579),$U$2:$U$1001,0),1)&gt;=100000,INDEX($AB$1005:$AQ$1005,1,MATCH(COLUMNS($AB$1006:AN1006),$AB$1006:$AQ$1006,0))&gt;=100000), " ",IF(INDEX($AB$2:$AQ$1001,MATCH(ROWS($U$2:U579),$U$2:$U$1001,0),MATCH(COLUMNS($AB$1006:AN1006),$AB$1006:$AQ$1006,0)), HYPERLINK("#",""), HYPERLINK(CONCATENATE("#metadata!", ADDRESS(INDEX($W$2:$W$1001,MATCH(ROWS($U$2:U579),$U$2:$U$1001,0),0), INDEX($AB$1004:$AQ$1004,1,MATCH(COLUMNS($AB$1006:AN1006),$AB$1006:$AQ$1006,0)))),"Fix")))</f>
        <v>0</v>
      </c>
      <c r="O579" s="4">
        <f>IF(OR(INDEX($V$2:$V$1001,MATCH(ROWS($U$2:U579),$U$2:$U$1001,0),1)&gt;=100000,INDEX($AB$1005:$AQ$1005,1,MATCH(COLUMNS($AB$1006:AO1006),$AB$1006:$AQ$1006,0))&gt;=100000), " ",IF(INDEX($AB$2:$AQ$1001,MATCH(ROWS($U$2:U579),$U$2:$U$1001,0),MATCH(COLUMNS($AB$1006:AO1006),$AB$1006:$AQ$1006,0)), HYPERLINK("#",""), HYPERLINK(CONCATENATE("#metadata!", ADDRESS(INDEX($W$2:$W$1001,MATCH(ROWS($U$2:U579),$U$2:$U$1001,0),0), INDEX($AB$1004:$AQ$1004,1,MATCH(COLUMNS($AB$1006:AO1006),$AB$1006:$AQ$1006,0)))),"Fix")))</f>
        <v>0</v>
      </c>
      <c r="P579" s="4">
        <f>IF(OR(INDEX($V$2:$V$1001,MATCH(ROWS($U$2:U579),$U$2:$U$1001,0),1)&gt;=100000,INDEX($AB$1005:$AQ$1005,1,MATCH(COLUMNS($AB$1006:AP1006),$AB$1006:$AQ$1006,0))&gt;=100000), " ",IF(INDEX($AB$2:$AQ$1001,MATCH(ROWS($U$2:U579),$U$2:$U$1001,0),MATCH(COLUMNS($AB$1006:AP1006),$AB$1006:$AQ$1006,0)), HYPERLINK("#",""), HYPERLINK(CONCATENATE("#metadata!", ADDRESS(INDEX($W$2:$W$1001,MATCH(ROWS($U$2:U579),$U$2:$U$1001,0),0), INDEX($AB$1004:$AQ$1004,1,MATCH(COLUMNS($AB$1006:AP1006),$AB$1006:$AQ$1006,0)))),"Fix")))</f>
        <v>0</v>
      </c>
      <c r="Q579" s="4">
        <f>IF(OR(INDEX($V$2:$V$1001,MATCH(ROWS($U$2:U579),$U$2:$U$1001,0),1)&gt;=100000,INDEX($AB$1005:$AQ$1005,1,MATCH(COLUMNS($AB$1006:AQ1006),$AB$1006:$AQ$1006,0))&gt;=100000), " ",IF(INDEX($AB$2:$AQ$1001,MATCH(ROWS($U$2:U579),$U$2:$U$1001,0),MATCH(COLUMNS($AB$1006:AQ1006),$AB$1006:$AQ$1006,0)), HYPERLINK("#",""), HYPERLINK(CONCATENATE("#metadata!", ADDRESS(INDEX($W$2:$W$1001,MATCH(ROWS($U$2:U579),$U$2:$U$1001,0),0), INDEX($AB$1004:$AQ$1004,1,MATCH(COLUMNS($AB$1006:AQ1006),$AB$1006:$AQ$1006,0)))),"Fix")))</f>
        <v>0</v>
      </c>
      <c r="U579">
        <v>0</v>
      </c>
      <c r="V579">
        <v>0</v>
      </c>
      <c r="W579">
        <v>0</v>
      </c>
      <c r="X579">
        <f>IF(Y579,TRUE,AND(AB579:AQ579))</f>
        <v>0</v>
      </c>
      <c r="Y579">
        <f>COUNTBLANK(metadata!B579:Q579)=COLUMNS(metadata!B579:Q579)</f>
        <v>0</v>
      </c>
      <c r="Z579">
        <v>0</v>
      </c>
      <c r="AB579">
        <f>AND(IF(metadata!B579="",FALSE,TRUE),COUNTIF(metadata!B:B, metadata!B579) = 1,NOT(ISERROR(SUMPRODUCT(SEARCH(MID(metadata!B579,ROW(INDIRECT("1:"&amp;LEN(metadata!B579))), 1),"0123456789abcdefghijklmnopqrstuvwxyzABCDEFGHIJKLMNOPQRSTUVWXYZ.")))))</f>
        <v>0</v>
      </c>
      <c r="AC579">
        <f>OR(AND(IF(metadata!C579="",FALSE,TRUE),OR(exact(metadata!C579,"missing: not collected"),exact(metadata!C579,"missing: not provided"),exact(metadata!C579,"missing: restricted access"))),AND(IF(metadata!C579="",FALSE,TRUE),AND(AND(IFERROR(INT(LEFT(metadata!C579,4))&gt;1900,FALSE),IFERROR(INT(LEFT(metadata!C579,4))&lt;=YEAR(NOW()),FALSE)), OR(MID(metadata!C579,5,1)="", AND(AND(MID(metadata!C579,5,1)="-",IFERROR(INT(MID(metadata!C579,6,1))&gt;=0,FALSE),IFERROR(INT(MID(metadata!C579,6,1))&lt;=1,FALSE),NOT(MID(metadata!C579,7,1)=""),IFERROR(INT(MID(metadata!C579,6,2))&gt;=1,FALSE),IFERROR(INT(MID(metadata!C579,6,2))&lt;=12,FALSE)), OR(MID(metadata!C579,8,1)="", AND(AND(MID(metadata!C579,8,1)="-",IFERROR(INT(MID(metadata!C579,9,1))&gt;=0,FALSE),IFERROR(INT(MID(metadata!C579,9,1))&lt;=3,FALSE),NOT(MID(metadata!C579,10,1)=""),IFERROR(INT(MID(metadata!C579,9,2))&gt;=1,FALSE),IFERROR(INT(MID(metadata!C579,9,2))&lt;=31,FALSE)), OR(MID(metadata!C579,11,1)="", AND(AND(MID(metadata!C579,11,1)=" ",IFERROR(INT(MID(metadata!C579,12,1))&gt;=0,FALSE),IFERROR(INT(MID(metadata!C579,12,1))&lt;=2,FALSE),NOT(MID(metadata!C579,13,1)=""),IFERROR(INT(MID(metadata!C579,12,2))&gt;=0,FALSE),IFERROR(INT(MID(metadata!C579,12,2))&lt;=23,FALSE)), OR(MID(metadata!C579,14,1)="", AND(AND(MID(metadata!C579,14,1)=":",IFERROR(INT(MID(metadata!C579,15,1))&gt;=0,FALSE),IFERROR(INT(MID(metadata!C579,15,1))&lt;=5,FALSE),NOT(MID(metadata!C579,16,1)=""),IFERROR(INT(MID(metadata!C579,15,2))&gt;=0,FALSE),IFERROR(INT(MID(metadata!C579,15,2))&lt;=59,FALSE)), OR(MID(metadata!C579,17,1)="", AND(AND(MID(metadata!C579,17,1)=":",IFERROR(INT(MID(metadata!C579,18,1))&gt;=0,FALSE),IFERROR(INT(MID(metadata!C579,18,1))&lt;=5,FALSE),NOT(MID(metadata!C579,19,1)=""),IFERROR(INT(MID(metadata!C579,18,2))&gt;=0,FALSE),IFERROR(INT(MID(metadata!C579,18,2))&lt;=59,FALSE)), LEN(metadata!C579)&lt;=19)))))))))))))</f>
        <v>0</v>
      </c>
      <c r="AD579">
        <f>IF(metadata!D579="",FALSE,TRUE)</f>
        <v>0</v>
      </c>
      <c r="AE579">
        <f>OR(AND(IF(metadata!E579="",FALSE,TRUE),OR(exact(metadata!E579,"missing: not collected"),exact(metadata!E579,"missing: not provided"))),AND(IF(metadata!E579="",FALSE,TRUE),OR(exact(metadata!E579,"TRUE"),exact(metadata!E579,"FALSE"))))</f>
        <v>0</v>
      </c>
      <c r="AF579">
        <f>IF(metadata!F579="",FALSE,TRUE)</f>
        <v>0</v>
      </c>
      <c r="AG579">
        <f>IF(metadata!G579="",FALSE,TRUE)</f>
        <v>0</v>
      </c>
      <c r="AH579">
        <f>IF(metadata!H579="",FALSE,TRUE)</f>
        <v>0</v>
      </c>
      <c r="AI579">
        <f>OR(AND(IF(metadata!I579="",FALSE,TRUE),OR(exact(metadata!I579,"missing: not collected"),exact(metadata!I579,"missing: not provided"),exact(metadata!I579,"missing: restricted access"))),AND(IF(metadata!I579="",FALSE,TRUE),OR(exact(metadata!I579,"air"),exact(metadata!I579,"built environment"),exact(metadata!I579,"host-associated"),exact(metadata!I579,"human-associated"),exact(metadata!I579,"human-skin"),exact(metadata!I579,"human-oral"),exact(metadata!I579,"human-gut"),exact(metadata!I579,"human-vaginal"),exact(metadata!I579,"microbial mat/biofilm"),exact(metadata!I579,"misc environment"),exact(metadata!I579,"plant-associated"),exact(metadata!I579,"sediment"),exact(metadata!I579,"soil"),exact(metadata!I579,"wastewater/sludge"),exact(metadata!I579,"water"))))</f>
        <v>0</v>
      </c>
      <c r="AJ579">
        <f>IF(metadata!J579="",FALSE,TRUE)</f>
        <v>0</v>
      </c>
      <c r="AK579">
        <f>OR(AND(IF(metadata!K579="",FALSE,TRUE),OR(exact(metadata!K579,"missing: not collected"),exact(metadata!K579,"missing: not provided"),exact(metadata!K579,"missing: restricted access"))),AND(IF(metadata!K579="",FALSE,ISNUMBER(VALUE(metadata!K579))),metadata!K579&gt;=-90.00,metadata!K579&lt;=90.00))</f>
        <v>0</v>
      </c>
      <c r="AL579">
        <f>OR(AND(IF(metadata!L579="",FALSE,TRUE),OR(exact(metadata!L579,"missing: not collected"),exact(metadata!L579,"missing: not provided"),exact(metadata!L579,"missing: restricted access"))),AND(IF(metadata!L579="",FALSE,ISNUMBER(VALUE(metadata!L579))),metadata!L579&gt;=-180.00,metadata!L579&lt;=180.00))</f>
        <v>0</v>
      </c>
      <c r="AM579">
        <f>IF(metadata!M579="",FALSE,TRUE)</f>
        <v>0</v>
      </c>
      <c r="AN579">
        <f>OR(AND(IF(metadata!N579="",FALSE,TRUE),OR(exact(metadata!N579,"missing: not collected"),exact(metadata!N579,"missing: not provided"),exact(metadata!N579,"missing: restricted access"))),AND(IF(metadata!N579="",FALSE,TRUE),OR(exact(metadata!N579,"TRUE"),exact(metadata!N579,"FALSE"))))</f>
        <v>0</v>
      </c>
      <c r="AO579">
        <f>IF(metadata!O579="",FALSE,TRUE)</f>
        <v>0</v>
      </c>
      <c r="AP579">
        <f>OR(AND(IF(metadata!P579="",FALSE,TRUE),OR(exact(metadata!P579,"missing: not collected"),exact(metadata!P579,"missing: not provided"))),AND(IF(metadata!P579="",FALSE,IF(ISERROR(INT(metadata!P579)),FALSE,INT(metadata!P579)=metadata!P579)),metadata!P579&gt;0))</f>
        <v>0</v>
      </c>
      <c r="AQ579">
        <f>IF(metadata!Q579="",FALSE,TRUE)</f>
        <v>0</v>
      </c>
    </row>
    <row r="580" spans="1:43">
      <c r="A580" s="5">
        <f>IF(B580=" "," ",HYPERLINK(CONCATENATE("#metadata!",ADDRESS(INDEX($W$2:$W$1001,MATCH(ROWS($U$2:U580),$U$2:$U$1001,0),0),1)),INDEX($Z$2:$Z$1001,MATCH(ROWS($U$2:U580),$U$2:$U$1001,0),0)))</f>
        <v>0</v>
      </c>
      <c r="B580" s="4">
        <f>IF(OR(INDEX($V$2:$V$1001,MATCH(ROWS($U$2:U580),$U$2:$U$1001,0),1)&gt;=100000,INDEX($AB$1005:$AQ$1005,1,MATCH(COLUMNS($AB$1006:AB1006),$AB$1006:$AQ$1006,0))&gt;=100000), " ",IF(INDEX($AB$2:$AQ$1001,MATCH(ROWS($U$2:U580),$U$2:$U$1001,0),MATCH(COLUMNS($AB$1006:AB1006),$AB$1006:$AQ$1006,0)), HYPERLINK("#",""), HYPERLINK(CONCATENATE("#metadata!", ADDRESS(INDEX($W$2:$W$1001,MATCH(ROWS($U$2:U580),$U$2:$U$1001,0),0), INDEX($AB$1004:$AQ$1004,1,MATCH(COLUMNS($AB$1006:AB1006),$AB$1006:$AQ$1006,0)))),"Fix")))</f>
        <v>0</v>
      </c>
      <c r="C580" s="4">
        <f>IF(OR(INDEX($V$2:$V$1001,MATCH(ROWS($U$2:U580),$U$2:$U$1001,0),1)&gt;=100000,INDEX($AB$1005:$AQ$1005,1,MATCH(COLUMNS($AB$1006:AC1006),$AB$1006:$AQ$1006,0))&gt;=100000), " ",IF(INDEX($AB$2:$AQ$1001,MATCH(ROWS($U$2:U580),$U$2:$U$1001,0),MATCH(COLUMNS($AB$1006:AC1006),$AB$1006:$AQ$1006,0)), HYPERLINK("#",""), HYPERLINK(CONCATENATE("#metadata!", ADDRESS(INDEX($W$2:$W$1001,MATCH(ROWS($U$2:U580),$U$2:$U$1001,0),0), INDEX($AB$1004:$AQ$1004,1,MATCH(COLUMNS($AB$1006:AC1006),$AB$1006:$AQ$1006,0)))),"Fix")))</f>
        <v>0</v>
      </c>
      <c r="D580" s="4">
        <f>IF(OR(INDEX($V$2:$V$1001,MATCH(ROWS($U$2:U580),$U$2:$U$1001,0),1)&gt;=100000,INDEX($AB$1005:$AQ$1005,1,MATCH(COLUMNS($AB$1006:AD1006),$AB$1006:$AQ$1006,0))&gt;=100000), " ",IF(INDEX($AB$2:$AQ$1001,MATCH(ROWS($U$2:U580),$U$2:$U$1001,0),MATCH(COLUMNS($AB$1006:AD1006),$AB$1006:$AQ$1006,0)), HYPERLINK("#",""), HYPERLINK(CONCATENATE("#metadata!", ADDRESS(INDEX($W$2:$W$1001,MATCH(ROWS($U$2:U580),$U$2:$U$1001,0),0), INDEX($AB$1004:$AQ$1004,1,MATCH(COLUMNS($AB$1006:AD1006),$AB$1006:$AQ$1006,0)))),"Fix")))</f>
        <v>0</v>
      </c>
      <c r="E580" s="4">
        <f>IF(OR(INDEX($V$2:$V$1001,MATCH(ROWS($U$2:U580),$U$2:$U$1001,0),1)&gt;=100000,INDEX($AB$1005:$AQ$1005,1,MATCH(COLUMNS($AB$1006:AE1006),$AB$1006:$AQ$1006,0))&gt;=100000), " ",IF(INDEX($AB$2:$AQ$1001,MATCH(ROWS($U$2:U580),$U$2:$U$1001,0),MATCH(COLUMNS($AB$1006:AE1006),$AB$1006:$AQ$1006,0)), HYPERLINK("#",""), HYPERLINK(CONCATENATE("#metadata!", ADDRESS(INDEX($W$2:$W$1001,MATCH(ROWS($U$2:U580),$U$2:$U$1001,0),0), INDEX($AB$1004:$AQ$1004,1,MATCH(COLUMNS($AB$1006:AE1006),$AB$1006:$AQ$1006,0)))),"Fix")))</f>
        <v>0</v>
      </c>
      <c r="F580" s="4">
        <f>IF(OR(INDEX($V$2:$V$1001,MATCH(ROWS($U$2:U580),$U$2:$U$1001,0),1)&gt;=100000,INDEX($AB$1005:$AQ$1005,1,MATCH(COLUMNS($AB$1006:AF1006),$AB$1006:$AQ$1006,0))&gt;=100000), " ",IF(INDEX($AB$2:$AQ$1001,MATCH(ROWS($U$2:U580),$U$2:$U$1001,0),MATCH(COLUMNS($AB$1006:AF1006),$AB$1006:$AQ$1006,0)), HYPERLINK("#",""), HYPERLINK(CONCATENATE("#metadata!", ADDRESS(INDEX($W$2:$W$1001,MATCH(ROWS($U$2:U580),$U$2:$U$1001,0),0), INDEX($AB$1004:$AQ$1004,1,MATCH(COLUMNS($AB$1006:AF1006),$AB$1006:$AQ$1006,0)))),"Fix")))</f>
        <v>0</v>
      </c>
      <c r="G580" s="4">
        <f>IF(OR(INDEX($V$2:$V$1001,MATCH(ROWS($U$2:U580),$U$2:$U$1001,0),1)&gt;=100000,INDEX($AB$1005:$AQ$1005,1,MATCH(COLUMNS($AB$1006:AG1006),$AB$1006:$AQ$1006,0))&gt;=100000), " ",IF(INDEX($AB$2:$AQ$1001,MATCH(ROWS($U$2:U580),$U$2:$U$1001,0),MATCH(COLUMNS($AB$1006:AG1006),$AB$1006:$AQ$1006,0)), HYPERLINK("#",""), HYPERLINK(CONCATENATE("#metadata!", ADDRESS(INDEX($W$2:$W$1001,MATCH(ROWS($U$2:U580),$U$2:$U$1001,0),0), INDEX($AB$1004:$AQ$1004,1,MATCH(COLUMNS($AB$1006:AG1006),$AB$1006:$AQ$1006,0)))),"Fix")))</f>
        <v>0</v>
      </c>
      <c r="H580" s="4">
        <f>IF(OR(INDEX($V$2:$V$1001,MATCH(ROWS($U$2:U580),$U$2:$U$1001,0),1)&gt;=100000,INDEX($AB$1005:$AQ$1005,1,MATCH(COLUMNS($AB$1006:AH1006),$AB$1006:$AQ$1006,0))&gt;=100000), " ",IF(INDEX($AB$2:$AQ$1001,MATCH(ROWS($U$2:U580),$U$2:$U$1001,0),MATCH(COLUMNS($AB$1006:AH1006),$AB$1006:$AQ$1006,0)), HYPERLINK("#",""), HYPERLINK(CONCATENATE("#metadata!", ADDRESS(INDEX($W$2:$W$1001,MATCH(ROWS($U$2:U580),$U$2:$U$1001,0),0), INDEX($AB$1004:$AQ$1004,1,MATCH(COLUMNS($AB$1006:AH1006),$AB$1006:$AQ$1006,0)))),"Fix")))</f>
        <v>0</v>
      </c>
      <c r="I580" s="4">
        <f>IF(OR(INDEX($V$2:$V$1001,MATCH(ROWS($U$2:U580),$U$2:$U$1001,0),1)&gt;=100000,INDEX($AB$1005:$AQ$1005,1,MATCH(COLUMNS($AB$1006:AI1006),$AB$1006:$AQ$1006,0))&gt;=100000), " ",IF(INDEX($AB$2:$AQ$1001,MATCH(ROWS($U$2:U580),$U$2:$U$1001,0),MATCH(COLUMNS($AB$1006:AI1006),$AB$1006:$AQ$1006,0)), HYPERLINK("#",""), HYPERLINK(CONCATENATE("#metadata!", ADDRESS(INDEX($W$2:$W$1001,MATCH(ROWS($U$2:U580),$U$2:$U$1001,0),0), INDEX($AB$1004:$AQ$1004,1,MATCH(COLUMNS($AB$1006:AI1006),$AB$1006:$AQ$1006,0)))),"Fix")))</f>
        <v>0</v>
      </c>
      <c r="J580" s="4">
        <f>IF(OR(INDEX($V$2:$V$1001,MATCH(ROWS($U$2:U580),$U$2:$U$1001,0),1)&gt;=100000,INDEX($AB$1005:$AQ$1005,1,MATCH(COLUMNS($AB$1006:AJ1006),$AB$1006:$AQ$1006,0))&gt;=100000), " ",IF(INDEX($AB$2:$AQ$1001,MATCH(ROWS($U$2:U580),$U$2:$U$1001,0),MATCH(COLUMNS($AB$1006:AJ1006),$AB$1006:$AQ$1006,0)), HYPERLINK("#",""), HYPERLINK(CONCATENATE("#metadata!", ADDRESS(INDEX($W$2:$W$1001,MATCH(ROWS($U$2:U580),$U$2:$U$1001,0),0), INDEX($AB$1004:$AQ$1004,1,MATCH(COLUMNS($AB$1006:AJ1006),$AB$1006:$AQ$1006,0)))),"Fix")))</f>
        <v>0</v>
      </c>
      <c r="K580" s="4">
        <f>IF(OR(INDEX($V$2:$V$1001,MATCH(ROWS($U$2:U580),$U$2:$U$1001,0),1)&gt;=100000,INDEX($AB$1005:$AQ$1005,1,MATCH(COLUMNS($AB$1006:AK1006),$AB$1006:$AQ$1006,0))&gt;=100000), " ",IF(INDEX($AB$2:$AQ$1001,MATCH(ROWS($U$2:U580),$U$2:$U$1001,0),MATCH(COLUMNS($AB$1006:AK1006),$AB$1006:$AQ$1006,0)), HYPERLINK("#",""), HYPERLINK(CONCATENATE("#metadata!", ADDRESS(INDEX($W$2:$W$1001,MATCH(ROWS($U$2:U580),$U$2:$U$1001,0),0), INDEX($AB$1004:$AQ$1004,1,MATCH(COLUMNS($AB$1006:AK1006),$AB$1006:$AQ$1006,0)))),"Fix")))</f>
        <v>0</v>
      </c>
      <c r="L580" s="4">
        <f>IF(OR(INDEX($V$2:$V$1001,MATCH(ROWS($U$2:U580),$U$2:$U$1001,0),1)&gt;=100000,INDEX($AB$1005:$AQ$1005,1,MATCH(COLUMNS($AB$1006:AL1006),$AB$1006:$AQ$1006,0))&gt;=100000), " ",IF(INDEX($AB$2:$AQ$1001,MATCH(ROWS($U$2:U580),$U$2:$U$1001,0),MATCH(COLUMNS($AB$1006:AL1006),$AB$1006:$AQ$1006,0)), HYPERLINK("#",""), HYPERLINK(CONCATENATE("#metadata!", ADDRESS(INDEX($W$2:$W$1001,MATCH(ROWS($U$2:U580),$U$2:$U$1001,0),0), INDEX($AB$1004:$AQ$1004,1,MATCH(COLUMNS($AB$1006:AL1006),$AB$1006:$AQ$1006,0)))),"Fix")))</f>
        <v>0</v>
      </c>
      <c r="M580" s="4">
        <f>IF(OR(INDEX($V$2:$V$1001,MATCH(ROWS($U$2:U580),$U$2:$U$1001,0),1)&gt;=100000,INDEX($AB$1005:$AQ$1005,1,MATCH(COLUMNS($AB$1006:AM1006),$AB$1006:$AQ$1006,0))&gt;=100000), " ",IF(INDEX($AB$2:$AQ$1001,MATCH(ROWS($U$2:U580),$U$2:$U$1001,0),MATCH(COLUMNS($AB$1006:AM1006),$AB$1006:$AQ$1006,0)), HYPERLINK("#",""), HYPERLINK(CONCATENATE("#metadata!", ADDRESS(INDEX($W$2:$W$1001,MATCH(ROWS($U$2:U580),$U$2:$U$1001,0),0), INDEX($AB$1004:$AQ$1004,1,MATCH(COLUMNS($AB$1006:AM1006),$AB$1006:$AQ$1006,0)))),"Fix")))</f>
        <v>0</v>
      </c>
      <c r="N580" s="4">
        <f>IF(OR(INDEX($V$2:$V$1001,MATCH(ROWS($U$2:U580),$U$2:$U$1001,0),1)&gt;=100000,INDEX($AB$1005:$AQ$1005,1,MATCH(COLUMNS($AB$1006:AN1006),$AB$1006:$AQ$1006,0))&gt;=100000), " ",IF(INDEX($AB$2:$AQ$1001,MATCH(ROWS($U$2:U580),$U$2:$U$1001,0),MATCH(COLUMNS($AB$1006:AN1006),$AB$1006:$AQ$1006,0)), HYPERLINK("#",""), HYPERLINK(CONCATENATE("#metadata!", ADDRESS(INDEX($W$2:$W$1001,MATCH(ROWS($U$2:U580),$U$2:$U$1001,0),0), INDEX($AB$1004:$AQ$1004,1,MATCH(COLUMNS($AB$1006:AN1006),$AB$1006:$AQ$1006,0)))),"Fix")))</f>
        <v>0</v>
      </c>
      <c r="O580" s="4">
        <f>IF(OR(INDEX($V$2:$V$1001,MATCH(ROWS($U$2:U580),$U$2:$U$1001,0),1)&gt;=100000,INDEX($AB$1005:$AQ$1005,1,MATCH(COLUMNS($AB$1006:AO1006),$AB$1006:$AQ$1006,0))&gt;=100000), " ",IF(INDEX($AB$2:$AQ$1001,MATCH(ROWS($U$2:U580),$U$2:$U$1001,0),MATCH(COLUMNS($AB$1006:AO1006),$AB$1006:$AQ$1006,0)), HYPERLINK("#",""), HYPERLINK(CONCATENATE("#metadata!", ADDRESS(INDEX($W$2:$W$1001,MATCH(ROWS($U$2:U580),$U$2:$U$1001,0),0), INDEX($AB$1004:$AQ$1004,1,MATCH(COLUMNS($AB$1006:AO1006),$AB$1006:$AQ$1006,0)))),"Fix")))</f>
        <v>0</v>
      </c>
      <c r="P580" s="4">
        <f>IF(OR(INDEX($V$2:$V$1001,MATCH(ROWS($U$2:U580),$U$2:$U$1001,0),1)&gt;=100000,INDEX($AB$1005:$AQ$1005,1,MATCH(COLUMNS($AB$1006:AP1006),$AB$1006:$AQ$1006,0))&gt;=100000), " ",IF(INDEX($AB$2:$AQ$1001,MATCH(ROWS($U$2:U580),$U$2:$U$1001,0),MATCH(COLUMNS($AB$1006:AP1006),$AB$1006:$AQ$1006,0)), HYPERLINK("#",""), HYPERLINK(CONCATENATE("#metadata!", ADDRESS(INDEX($W$2:$W$1001,MATCH(ROWS($U$2:U580),$U$2:$U$1001,0),0), INDEX($AB$1004:$AQ$1004,1,MATCH(COLUMNS($AB$1006:AP1006),$AB$1006:$AQ$1006,0)))),"Fix")))</f>
        <v>0</v>
      </c>
      <c r="Q580" s="4">
        <f>IF(OR(INDEX($V$2:$V$1001,MATCH(ROWS($U$2:U580),$U$2:$U$1001,0),1)&gt;=100000,INDEX($AB$1005:$AQ$1005,1,MATCH(COLUMNS($AB$1006:AQ1006),$AB$1006:$AQ$1006,0))&gt;=100000), " ",IF(INDEX($AB$2:$AQ$1001,MATCH(ROWS($U$2:U580),$U$2:$U$1001,0),MATCH(COLUMNS($AB$1006:AQ1006),$AB$1006:$AQ$1006,0)), HYPERLINK("#",""), HYPERLINK(CONCATENATE("#metadata!", ADDRESS(INDEX($W$2:$W$1001,MATCH(ROWS($U$2:U580),$U$2:$U$1001,0),0), INDEX($AB$1004:$AQ$1004,1,MATCH(COLUMNS($AB$1006:AQ1006),$AB$1006:$AQ$1006,0)))),"Fix")))</f>
        <v>0</v>
      </c>
      <c r="U580">
        <v>0</v>
      </c>
      <c r="V580">
        <v>0</v>
      </c>
      <c r="W580">
        <v>0</v>
      </c>
      <c r="X580">
        <f>IF(Y580,TRUE,AND(AB580:AQ580))</f>
        <v>0</v>
      </c>
      <c r="Y580">
        <f>COUNTBLANK(metadata!B580:Q580)=COLUMNS(metadata!B580:Q580)</f>
        <v>0</v>
      </c>
      <c r="Z580">
        <v>0</v>
      </c>
      <c r="AB580">
        <f>AND(IF(metadata!B580="",FALSE,TRUE),COUNTIF(metadata!B:B, metadata!B580) = 1,NOT(ISERROR(SUMPRODUCT(SEARCH(MID(metadata!B580,ROW(INDIRECT("1:"&amp;LEN(metadata!B580))), 1),"0123456789abcdefghijklmnopqrstuvwxyzABCDEFGHIJKLMNOPQRSTUVWXYZ.")))))</f>
        <v>0</v>
      </c>
      <c r="AC580">
        <f>OR(AND(IF(metadata!C580="",FALSE,TRUE),OR(exact(metadata!C580,"missing: not collected"),exact(metadata!C580,"missing: not provided"),exact(metadata!C580,"missing: restricted access"))),AND(IF(metadata!C580="",FALSE,TRUE),AND(AND(IFERROR(INT(LEFT(metadata!C580,4))&gt;1900,FALSE),IFERROR(INT(LEFT(metadata!C580,4))&lt;=YEAR(NOW()),FALSE)), OR(MID(metadata!C580,5,1)="", AND(AND(MID(metadata!C580,5,1)="-",IFERROR(INT(MID(metadata!C580,6,1))&gt;=0,FALSE),IFERROR(INT(MID(metadata!C580,6,1))&lt;=1,FALSE),NOT(MID(metadata!C580,7,1)=""),IFERROR(INT(MID(metadata!C580,6,2))&gt;=1,FALSE),IFERROR(INT(MID(metadata!C580,6,2))&lt;=12,FALSE)), OR(MID(metadata!C580,8,1)="", AND(AND(MID(metadata!C580,8,1)="-",IFERROR(INT(MID(metadata!C580,9,1))&gt;=0,FALSE),IFERROR(INT(MID(metadata!C580,9,1))&lt;=3,FALSE),NOT(MID(metadata!C580,10,1)=""),IFERROR(INT(MID(metadata!C580,9,2))&gt;=1,FALSE),IFERROR(INT(MID(metadata!C580,9,2))&lt;=31,FALSE)), OR(MID(metadata!C580,11,1)="", AND(AND(MID(metadata!C580,11,1)=" ",IFERROR(INT(MID(metadata!C580,12,1))&gt;=0,FALSE),IFERROR(INT(MID(metadata!C580,12,1))&lt;=2,FALSE),NOT(MID(metadata!C580,13,1)=""),IFERROR(INT(MID(metadata!C580,12,2))&gt;=0,FALSE),IFERROR(INT(MID(metadata!C580,12,2))&lt;=23,FALSE)), OR(MID(metadata!C580,14,1)="", AND(AND(MID(metadata!C580,14,1)=":",IFERROR(INT(MID(metadata!C580,15,1))&gt;=0,FALSE),IFERROR(INT(MID(metadata!C580,15,1))&lt;=5,FALSE),NOT(MID(metadata!C580,16,1)=""),IFERROR(INT(MID(metadata!C580,15,2))&gt;=0,FALSE),IFERROR(INT(MID(metadata!C580,15,2))&lt;=59,FALSE)), OR(MID(metadata!C580,17,1)="", AND(AND(MID(metadata!C580,17,1)=":",IFERROR(INT(MID(metadata!C580,18,1))&gt;=0,FALSE),IFERROR(INT(MID(metadata!C580,18,1))&lt;=5,FALSE),NOT(MID(metadata!C580,19,1)=""),IFERROR(INT(MID(metadata!C580,18,2))&gt;=0,FALSE),IFERROR(INT(MID(metadata!C580,18,2))&lt;=59,FALSE)), LEN(metadata!C580)&lt;=19)))))))))))))</f>
        <v>0</v>
      </c>
      <c r="AD580">
        <f>IF(metadata!D580="",FALSE,TRUE)</f>
        <v>0</v>
      </c>
      <c r="AE580">
        <f>OR(AND(IF(metadata!E580="",FALSE,TRUE),OR(exact(metadata!E580,"missing: not collected"),exact(metadata!E580,"missing: not provided"))),AND(IF(metadata!E580="",FALSE,TRUE),OR(exact(metadata!E580,"TRUE"),exact(metadata!E580,"FALSE"))))</f>
        <v>0</v>
      </c>
      <c r="AF580">
        <f>IF(metadata!F580="",FALSE,TRUE)</f>
        <v>0</v>
      </c>
      <c r="AG580">
        <f>IF(metadata!G580="",FALSE,TRUE)</f>
        <v>0</v>
      </c>
      <c r="AH580">
        <f>IF(metadata!H580="",FALSE,TRUE)</f>
        <v>0</v>
      </c>
      <c r="AI580">
        <f>OR(AND(IF(metadata!I580="",FALSE,TRUE),OR(exact(metadata!I580,"missing: not collected"),exact(metadata!I580,"missing: not provided"),exact(metadata!I580,"missing: restricted access"))),AND(IF(metadata!I580="",FALSE,TRUE),OR(exact(metadata!I580,"air"),exact(metadata!I580,"built environment"),exact(metadata!I580,"host-associated"),exact(metadata!I580,"human-associated"),exact(metadata!I580,"human-skin"),exact(metadata!I580,"human-oral"),exact(metadata!I580,"human-gut"),exact(metadata!I580,"human-vaginal"),exact(metadata!I580,"microbial mat/biofilm"),exact(metadata!I580,"misc environment"),exact(metadata!I580,"plant-associated"),exact(metadata!I580,"sediment"),exact(metadata!I580,"soil"),exact(metadata!I580,"wastewater/sludge"),exact(metadata!I580,"water"))))</f>
        <v>0</v>
      </c>
      <c r="AJ580">
        <f>IF(metadata!J580="",FALSE,TRUE)</f>
        <v>0</v>
      </c>
      <c r="AK580">
        <f>OR(AND(IF(metadata!K580="",FALSE,TRUE),OR(exact(metadata!K580,"missing: not collected"),exact(metadata!K580,"missing: not provided"),exact(metadata!K580,"missing: restricted access"))),AND(IF(metadata!K580="",FALSE,ISNUMBER(VALUE(metadata!K580))),metadata!K580&gt;=-90.00,metadata!K580&lt;=90.00))</f>
        <v>0</v>
      </c>
      <c r="AL580">
        <f>OR(AND(IF(metadata!L580="",FALSE,TRUE),OR(exact(metadata!L580,"missing: not collected"),exact(metadata!L580,"missing: not provided"),exact(metadata!L580,"missing: restricted access"))),AND(IF(metadata!L580="",FALSE,ISNUMBER(VALUE(metadata!L580))),metadata!L580&gt;=-180.00,metadata!L580&lt;=180.00))</f>
        <v>0</v>
      </c>
      <c r="AM580">
        <f>IF(metadata!M580="",FALSE,TRUE)</f>
        <v>0</v>
      </c>
      <c r="AN580">
        <f>OR(AND(IF(metadata!N580="",FALSE,TRUE),OR(exact(metadata!N580,"missing: not collected"),exact(metadata!N580,"missing: not provided"),exact(metadata!N580,"missing: restricted access"))),AND(IF(metadata!N580="",FALSE,TRUE),OR(exact(metadata!N580,"TRUE"),exact(metadata!N580,"FALSE"))))</f>
        <v>0</v>
      </c>
      <c r="AO580">
        <f>IF(metadata!O580="",FALSE,TRUE)</f>
        <v>0</v>
      </c>
      <c r="AP580">
        <f>OR(AND(IF(metadata!P580="",FALSE,TRUE),OR(exact(metadata!P580,"missing: not collected"),exact(metadata!P580,"missing: not provided"))),AND(IF(metadata!P580="",FALSE,IF(ISERROR(INT(metadata!P580)),FALSE,INT(metadata!P580)=metadata!P580)),metadata!P580&gt;0))</f>
        <v>0</v>
      </c>
      <c r="AQ580">
        <f>IF(metadata!Q580="",FALSE,TRUE)</f>
        <v>0</v>
      </c>
    </row>
    <row r="581" spans="1:43">
      <c r="A581" s="5">
        <f>IF(B581=" "," ",HYPERLINK(CONCATENATE("#metadata!",ADDRESS(INDEX($W$2:$W$1001,MATCH(ROWS($U$2:U581),$U$2:$U$1001,0),0),1)),INDEX($Z$2:$Z$1001,MATCH(ROWS($U$2:U581),$U$2:$U$1001,0),0)))</f>
        <v>0</v>
      </c>
      <c r="B581" s="4">
        <f>IF(OR(INDEX($V$2:$V$1001,MATCH(ROWS($U$2:U581),$U$2:$U$1001,0),1)&gt;=100000,INDEX($AB$1005:$AQ$1005,1,MATCH(COLUMNS($AB$1006:AB1006),$AB$1006:$AQ$1006,0))&gt;=100000), " ",IF(INDEX($AB$2:$AQ$1001,MATCH(ROWS($U$2:U581),$U$2:$U$1001,0),MATCH(COLUMNS($AB$1006:AB1006),$AB$1006:$AQ$1006,0)), HYPERLINK("#",""), HYPERLINK(CONCATENATE("#metadata!", ADDRESS(INDEX($W$2:$W$1001,MATCH(ROWS($U$2:U581),$U$2:$U$1001,0),0), INDEX($AB$1004:$AQ$1004,1,MATCH(COLUMNS($AB$1006:AB1006),$AB$1006:$AQ$1006,0)))),"Fix")))</f>
        <v>0</v>
      </c>
      <c r="C581" s="4">
        <f>IF(OR(INDEX($V$2:$V$1001,MATCH(ROWS($U$2:U581),$U$2:$U$1001,0),1)&gt;=100000,INDEX($AB$1005:$AQ$1005,1,MATCH(COLUMNS($AB$1006:AC1006),$AB$1006:$AQ$1006,0))&gt;=100000), " ",IF(INDEX($AB$2:$AQ$1001,MATCH(ROWS($U$2:U581),$U$2:$U$1001,0),MATCH(COLUMNS($AB$1006:AC1006),$AB$1006:$AQ$1006,0)), HYPERLINK("#",""), HYPERLINK(CONCATENATE("#metadata!", ADDRESS(INDEX($W$2:$W$1001,MATCH(ROWS($U$2:U581),$U$2:$U$1001,0),0), INDEX($AB$1004:$AQ$1004,1,MATCH(COLUMNS($AB$1006:AC1006),$AB$1006:$AQ$1006,0)))),"Fix")))</f>
        <v>0</v>
      </c>
      <c r="D581" s="4">
        <f>IF(OR(INDEX($V$2:$V$1001,MATCH(ROWS($U$2:U581),$U$2:$U$1001,0),1)&gt;=100000,INDEX($AB$1005:$AQ$1005,1,MATCH(COLUMNS($AB$1006:AD1006),$AB$1006:$AQ$1006,0))&gt;=100000), " ",IF(INDEX($AB$2:$AQ$1001,MATCH(ROWS($U$2:U581),$U$2:$U$1001,0),MATCH(COLUMNS($AB$1006:AD1006),$AB$1006:$AQ$1006,0)), HYPERLINK("#",""), HYPERLINK(CONCATENATE("#metadata!", ADDRESS(INDEX($W$2:$W$1001,MATCH(ROWS($U$2:U581),$U$2:$U$1001,0),0), INDEX($AB$1004:$AQ$1004,1,MATCH(COLUMNS($AB$1006:AD1006),$AB$1006:$AQ$1006,0)))),"Fix")))</f>
        <v>0</v>
      </c>
      <c r="E581" s="4">
        <f>IF(OR(INDEX($V$2:$V$1001,MATCH(ROWS($U$2:U581),$U$2:$U$1001,0),1)&gt;=100000,INDEX($AB$1005:$AQ$1005,1,MATCH(COLUMNS($AB$1006:AE1006),$AB$1006:$AQ$1006,0))&gt;=100000), " ",IF(INDEX($AB$2:$AQ$1001,MATCH(ROWS($U$2:U581),$U$2:$U$1001,0),MATCH(COLUMNS($AB$1006:AE1006),$AB$1006:$AQ$1006,0)), HYPERLINK("#",""), HYPERLINK(CONCATENATE("#metadata!", ADDRESS(INDEX($W$2:$W$1001,MATCH(ROWS($U$2:U581),$U$2:$U$1001,0),0), INDEX($AB$1004:$AQ$1004,1,MATCH(COLUMNS($AB$1006:AE1006),$AB$1006:$AQ$1006,0)))),"Fix")))</f>
        <v>0</v>
      </c>
      <c r="F581" s="4">
        <f>IF(OR(INDEX($V$2:$V$1001,MATCH(ROWS($U$2:U581),$U$2:$U$1001,0),1)&gt;=100000,INDEX($AB$1005:$AQ$1005,1,MATCH(COLUMNS($AB$1006:AF1006),$AB$1006:$AQ$1006,0))&gt;=100000), " ",IF(INDEX($AB$2:$AQ$1001,MATCH(ROWS($U$2:U581),$U$2:$U$1001,0),MATCH(COLUMNS($AB$1006:AF1006),$AB$1006:$AQ$1006,0)), HYPERLINK("#",""), HYPERLINK(CONCATENATE("#metadata!", ADDRESS(INDEX($W$2:$W$1001,MATCH(ROWS($U$2:U581),$U$2:$U$1001,0),0), INDEX($AB$1004:$AQ$1004,1,MATCH(COLUMNS($AB$1006:AF1006),$AB$1006:$AQ$1006,0)))),"Fix")))</f>
        <v>0</v>
      </c>
      <c r="G581" s="4">
        <f>IF(OR(INDEX($V$2:$V$1001,MATCH(ROWS($U$2:U581),$U$2:$U$1001,0),1)&gt;=100000,INDEX($AB$1005:$AQ$1005,1,MATCH(COLUMNS($AB$1006:AG1006),$AB$1006:$AQ$1006,0))&gt;=100000), " ",IF(INDEX($AB$2:$AQ$1001,MATCH(ROWS($U$2:U581),$U$2:$U$1001,0),MATCH(COLUMNS($AB$1006:AG1006),$AB$1006:$AQ$1006,0)), HYPERLINK("#",""), HYPERLINK(CONCATENATE("#metadata!", ADDRESS(INDEX($W$2:$W$1001,MATCH(ROWS($U$2:U581),$U$2:$U$1001,0),0), INDEX($AB$1004:$AQ$1004,1,MATCH(COLUMNS($AB$1006:AG1006),$AB$1006:$AQ$1006,0)))),"Fix")))</f>
        <v>0</v>
      </c>
      <c r="H581" s="4">
        <f>IF(OR(INDEX($V$2:$V$1001,MATCH(ROWS($U$2:U581),$U$2:$U$1001,0),1)&gt;=100000,INDEX($AB$1005:$AQ$1005,1,MATCH(COLUMNS($AB$1006:AH1006),$AB$1006:$AQ$1006,0))&gt;=100000), " ",IF(INDEX($AB$2:$AQ$1001,MATCH(ROWS($U$2:U581),$U$2:$U$1001,0),MATCH(COLUMNS($AB$1006:AH1006),$AB$1006:$AQ$1006,0)), HYPERLINK("#",""), HYPERLINK(CONCATENATE("#metadata!", ADDRESS(INDEX($W$2:$W$1001,MATCH(ROWS($U$2:U581),$U$2:$U$1001,0),0), INDEX($AB$1004:$AQ$1004,1,MATCH(COLUMNS($AB$1006:AH1006),$AB$1006:$AQ$1006,0)))),"Fix")))</f>
        <v>0</v>
      </c>
      <c r="I581" s="4">
        <f>IF(OR(INDEX($V$2:$V$1001,MATCH(ROWS($U$2:U581),$U$2:$U$1001,0),1)&gt;=100000,INDEX($AB$1005:$AQ$1005,1,MATCH(COLUMNS($AB$1006:AI1006),$AB$1006:$AQ$1006,0))&gt;=100000), " ",IF(INDEX($AB$2:$AQ$1001,MATCH(ROWS($U$2:U581),$U$2:$U$1001,0),MATCH(COLUMNS($AB$1006:AI1006),$AB$1006:$AQ$1006,0)), HYPERLINK("#",""), HYPERLINK(CONCATENATE("#metadata!", ADDRESS(INDEX($W$2:$W$1001,MATCH(ROWS($U$2:U581),$U$2:$U$1001,0),0), INDEX($AB$1004:$AQ$1004,1,MATCH(COLUMNS($AB$1006:AI1006),$AB$1006:$AQ$1006,0)))),"Fix")))</f>
        <v>0</v>
      </c>
      <c r="J581" s="4">
        <f>IF(OR(INDEX($V$2:$V$1001,MATCH(ROWS($U$2:U581),$U$2:$U$1001,0),1)&gt;=100000,INDEX($AB$1005:$AQ$1005,1,MATCH(COLUMNS($AB$1006:AJ1006),$AB$1006:$AQ$1006,0))&gt;=100000), " ",IF(INDEX($AB$2:$AQ$1001,MATCH(ROWS($U$2:U581),$U$2:$U$1001,0),MATCH(COLUMNS($AB$1006:AJ1006),$AB$1006:$AQ$1006,0)), HYPERLINK("#",""), HYPERLINK(CONCATENATE("#metadata!", ADDRESS(INDEX($W$2:$W$1001,MATCH(ROWS($U$2:U581),$U$2:$U$1001,0),0), INDEX($AB$1004:$AQ$1004,1,MATCH(COLUMNS($AB$1006:AJ1006),$AB$1006:$AQ$1006,0)))),"Fix")))</f>
        <v>0</v>
      </c>
      <c r="K581" s="4">
        <f>IF(OR(INDEX($V$2:$V$1001,MATCH(ROWS($U$2:U581),$U$2:$U$1001,0),1)&gt;=100000,INDEX($AB$1005:$AQ$1005,1,MATCH(COLUMNS($AB$1006:AK1006),$AB$1006:$AQ$1006,0))&gt;=100000), " ",IF(INDEX($AB$2:$AQ$1001,MATCH(ROWS($U$2:U581),$U$2:$U$1001,0),MATCH(COLUMNS($AB$1006:AK1006),$AB$1006:$AQ$1006,0)), HYPERLINK("#",""), HYPERLINK(CONCATENATE("#metadata!", ADDRESS(INDEX($W$2:$W$1001,MATCH(ROWS($U$2:U581),$U$2:$U$1001,0),0), INDEX($AB$1004:$AQ$1004,1,MATCH(COLUMNS($AB$1006:AK1006),$AB$1006:$AQ$1006,0)))),"Fix")))</f>
        <v>0</v>
      </c>
      <c r="L581" s="4">
        <f>IF(OR(INDEX($V$2:$V$1001,MATCH(ROWS($U$2:U581),$U$2:$U$1001,0),1)&gt;=100000,INDEX($AB$1005:$AQ$1005,1,MATCH(COLUMNS($AB$1006:AL1006),$AB$1006:$AQ$1006,0))&gt;=100000), " ",IF(INDEX($AB$2:$AQ$1001,MATCH(ROWS($U$2:U581),$U$2:$U$1001,0),MATCH(COLUMNS($AB$1006:AL1006),$AB$1006:$AQ$1006,0)), HYPERLINK("#",""), HYPERLINK(CONCATENATE("#metadata!", ADDRESS(INDEX($W$2:$W$1001,MATCH(ROWS($U$2:U581),$U$2:$U$1001,0),0), INDEX($AB$1004:$AQ$1004,1,MATCH(COLUMNS($AB$1006:AL1006),$AB$1006:$AQ$1006,0)))),"Fix")))</f>
        <v>0</v>
      </c>
      <c r="M581" s="4">
        <f>IF(OR(INDEX($V$2:$V$1001,MATCH(ROWS($U$2:U581),$U$2:$U$1001,0),1)&gt;=100000,INDEX($AB$1005:$AQ$1005,1,MATCH(COLUMNS($AB$1006:AM1006),$AB$1006:$AQ$1006,0))&gt;=100000), " ",IF(INDEX($AB$2:$AQ$1001,MATCH(ROWS($U$2:U581),$U$2:$U$1001,0),MATCH(COLUMNS($AB$1006:AM1006),$AB$1006:$AQ$1006,0)), HYPERLINK("#",""), HYPERLINK(CONCATENATE("#metadata!", ADDRESS(INDEX($W$2:$W$1001,MATCH(ROWS($U$2:U581),$U$2:$U$1001,0),0), INDEX($AB$1004:$AQ$1004,1,MATCH(COLUMNS($AB$1006:AM1006),$AB$1006:$AQ$1006,0)))),"Fix")))</f>
        <v>0</v>
      </c>
      <c r="N581" s="4">
        <f>IF(OR(INDEX($V$2:$V$1001,MATCH(ROWS($U$2:U581),$U$2:$U$1001,0),1)&gt;=100000,INDEX($AB$1005:$AQ$1005,1,MATCH(COLUMNS($AB$1006:AN1006),$AB$1006:$AQ$1006,0))&gt;=100000), " ",IF(INDEX($AB$2:$AQ$1001,MATCH(ROWS($U$2:U581),$U$2:$U$1001,0),MATCH(COLUMNS($AB$1006:AN1006),$AB$1006:$AQ$1006,0)), HYPERLINK("#",""), HYPERLINK(CONCATENATE("#metadata!", ADDRESS(INDEX($W$2:$W$1001,MATCH(ROWS($U$2:U581),$U$2:$U$1001,0),0), INDEX($AB$1004:$AQ$1004,1,MATCH(COLUMNS($AB$1006:AN1006),$AB$1006:$AQ$1006,0)))),"Fix")))</f>
        <v>0</v>
      </c>
      <c r="O581" s="4">
        <f>IF(OR(INDEX($V$2:$V$1001,MATCH(ROWS($U$2:U581),$U$2:$U$1001,0),1)&gt;=100000,INDEX($AB$1005:$AQ$1005,1,MATCH(COLUMNS($AB$1006:AO1006),$AB$1006:$AQ$1006,0))&gt;=100000), " ",IF(INDEX($AB$2:$AQ$1001,MATCH(ROWS($U$2:U581),$U$2:$U$1001,0),MATCH(COLUMNS($AB$1006:AO1006),$AB$1006:$AQ$1006,0)), HYPERLINK("#",""), HYPERLINK(CONCATENATE("#metadata!", ADDRESS(INDEX($W$2:$W$1001,MATCH(ROWS($U$2:U581),$U$2:$U$1001,0),0), INDEX($AB$1004:$AQ$1004,1,MATCH(COLUMNS($AB$1006:AO1006),$AB$1006:$AQ$1006,0)))),"Fix")))</f>
        <v>0</v>
      </c>
      <c r="P581" s="4">
        <f>IF(OR(INDEX($V$2:$V$1001,MATCH(ROWS($U$2:U581),$U$2:$U$1001,0),1)&gt;=100000,INDEX($AB$1005:$AQ$1005,1,MATCH(COLUMNS($AB$1006:AP1006),$AB$1006:$AQ$1006,0))&gt;=100000), " ",IF(INDEX($AB$2:$AQ$1001,MATCH(ROWS($U$2:U581),$U$2:$U$1001,0),MATCH(COLUMNS($AB$1006:AP1006),$AB$1006:$AQ$1006,0)), HYPERLINK("#",""), HYPERLINK(CONCATENATE("#metadata!", ADDRESS(INDEX($W$2:$W$1001,MATCH(ROWS($U$2:U581),$U$2:$U$1001,0),0), INDEX($AB$1004:$AQ$1004,1,MATCH(COLUMNS($AB$1006:AP1006),$AB$1006:$AQ$1006,0)))),"Fix")))</f>
        <v>0</v>
      </c>
      <c r="Q581" s="4">
        <f>IF(OR(INDEX($V$2:$V$1001,MATCH(ROWS($U$2:U581),$U$2:$U$1001,0),1)&gt;=100000,INDEX($AB$1005:$AQ$1005,1,MATCH(COLUMNS($AB$1006:AQ1006),$AB$1006:$AQ$1006,0))&gt;=100000), " ",IF(INDEX($AB$2:$AQ$1001,MATCH(ROWS($U$2:U581),$U$2:$U$1001,0),MATCH(COLUMNS($AB$1006:AQ1006),$AB$1006:$AQ$1006,0)), HYPERLINK("#",""), HYPERLINK(CONCATENATE("#metadata!", ADDRESS(INDEX($W$2:$W$1001,MATCH(ROWS($U$2:U581),$U$2:$U$1001,0),0), INDEX($AB$1004:$AQ$1004,1,MATCH(COLUMNS($AB$1006:AQ1006),$AB$1006:$AQ$1006,0)))),"Fix")))</f>
        <v>0</v>
      </c>
      <c r="U581">
        <v>0</v>
      </c>
      <c r="V581">
        <v>0</v>
      </c>
      <c r="W581">
        <v>0</v>
      </c>
      <c r="X581">
        <f>IF(Y581,TRUE,AND(AB581:AQ581))</f>
        <v>0</v>
      </c>
      <c r="Y581">
        <f>COUNTBLANK(metadata!B581:Q581)=COLUMNS(metadata!B581:Q581)</f>
        <v>0</v>
      </c>
      <c r="Z581">
        <v>0</v>
      </c>
      <c r="AB581">
        <f>AND(IF(metadata!B581="",FALSE,TRUE),COUNTIF(metadata!B:B, metadata!B581) = 1,NOT(ISERROR(SUMPRODUCT(SEARCH(MID(metadata!B581,ROW(INDIRECT("1:"&amp;LEN(metadata!B581))), 1),"0123456789abcdefghijklmnopqrstuvwxyzABCDEFGHIJKLMNOPQRSTUVWXYZ.")))))</f>
        <v>0</v>
      </c>
      <c r="AC581">
        <f>OR(AND(IF(metadata!C581="",FALSE,TRUE),OR(exact(metadata!C581,"missing: not collected"),exact(metadata!C581,"missing: not provided"),exact(metadata!C581,"missing: restricted access"))),AND(IF(metadata!C581="",FALSE,TRUE),AND(AND(IFERROR(INT(LEFT(metadata!C581,4))&gt;1900,FALSE),IFERROR(INT(LEFT(metadata!C581,4))&lt;=YEAR(NOW()),FALSE)), OR(MID(metadata!C581,5,1)="", AND(AND(MID(metadata!C581,5,1)="-",IFERROR(INT(MID(metadata!C581,6,1))&gt;=0,FALSE),IFERROR(INT(MID(metadata!C581,6,1))&lt;=1,FALSE),NOT(MID(metadata!C581,7,1)=""),IFERROR(INT(MID(metadata!C581,6,2))&gt;=1,FALSE),IFERROR(INT(MID(metadata!C581,6,2))&lt;=12,FALSE)), OR(MID(metadata!C581,8,1)="", AND(AND(MID(metadata!C581,8,1)="-",IFERROR(INT(MID(metadata!C581,9,1))&gt;=0,FALSE),IFERROR(INT(MID(metadata!C581,9,1))&lt;=3,FALSE),NOT(MID(metadata!C581,10,1)=""),IFERROR(INT(MID(metadata!C581,9,2))&gt;=1,FALSE),IFERROR(INT(MID(metadata!C581,9,2))&lt;=31,FALSE)), OR(MID(metadata!C581,11,1)="", AND(AND(MID(metadata!C581,11,1)=" ",IFERROR(INT(MID(metadata!C581,12,1))&gt;=0,FALSE),IFERROR(INT(MID(metadata!C581,12,1))&lt;=2,FALSE),NOT(MID(metadata!C581,13,1)=""),IFERROR(INT(MID(metadata!C581,12,2))&gt;=0,FALSE),IFERROR(INT(MID(metadata!C581,12,2))&lt;=23,FALSE)), OR(MID(metadata!C581,14,1)="", AND(AND(MID(metadata!C581,14,1)=":",IFERROR(INT(MID(metadata!C581,15,1))&gt;=0,FALSE),IFERROR(INT(MID(metadata!C581,15,1))&lt;=5,FALSE),NOT(MID(metadata!C581,16,1)=""),IFERROR(INT(MID(metadata!C581,15,2))&gt;=0,FALSE),IFERROR(INT(MID(metadata!C581,15,2))&lt;=59,FALSE)), OR(MID(metadata!C581,17,1)="", AND(AND(MID(metadata!C581,17,1)=":",IFERROR(INT(MID(metadata!C581,18,1))&gt;=0,FALSE),IFERROR(INT(MID(metadata!C581,18,1))&lt;=5,FALSE),NOT(MID(metadata!C581,19,1)=""),IFERROR(INT(MID(metadata!C581,18,2))&gt;=0,FALSE),IFERROR(INT(MID(metadata!C581,18,2))&lt;=59,FALSE)), LEN(metadata!C581)&lt;=19)))))))))))))</f>
        <v>0</v>
      </c>
      <c r="AD581">
        <f>IF(metadata!D581="",FALSE,TRUE)</f>
        <v>0</v>
      </c>
      <c r="AE581">
        <f>OR(AND(IF(metadata!E581="",FALSE,TRUE),OR(exact(metadata!E581,"missing: not collected"),exact(metadata!E581,"missing: not provided"))),AND(IF(metadata!E581="",FALSE,TRUE),OR(exact(metadata!E581,"TRUE"),exact(metadata!E581,"FALSE"))))</f>
        <v>0</v>
      </c>
      <c r="AF581">
        <f>IF(metadata!F581="",FALSE,TRUE)</f>
        <v>0</v>
      </c>
      <c r="AG581">
        <f>IF(metadata!G581="",FALSE,TRUE)</f>
        <v>0</v>
      </c>
      <c r="AH581">
        <f>IF(metadata!H581="",FALSE,TRUE)</f>
        <v>0</v>
      </c>
      <c r="AI581">
        <f>OR(AND(IF(metadata!I581="",FALSE,TRUE),OR(exact(metadata!I581,"missing: not collected"),exact(metadata!I581,"missing: not provided"),exact(metadata!I581,"missing: restricted access"))),AND(IF(metadata!I581="",FALSE,TRUE),OR(exact(metadata!I581,"air"),exact(metadata!I581,"built environment"),exact(metadata!I581,"host-associated"),exact(metadata!I581,"human-associated"),exact(metadata!I581,"human-skin"),exact(metadata!I581,"human-oral"),exact(metadata!I581,"human-gut"),exact(metadata!I581,"human-vaginal"),exact(metadata!I581,"microbial mat/biofilm"),exact(metadata!I581,"misc environment"),exact(metadata!I581,"plant-associated"),exact(metadata!I581,"sediment"),exact(metadata!I581,"soil"),exact(metadata!I581,"wastewater/sludge"),exact(metadata!I581,"water"))))</f>
        <v>0</v>
      </c>
      <c r="AJ581">
        <f>IF(metadata!J581="",FALSE,TRUE)</f>
        <v>0</v>
      </c>
      <c r="AK581">
        <f>OR(AND(IF(metadata!K581="",FALSE,TRUE),OR(exact(metadata!K581,"missing: not collected"),exact(metadata!K581,"missing: not provided"),exact(metadata!K581,"missing: restricted access"))),AND(IF(metadata!K581="",FALSE,ISNUMBER(VALUE(metadata!K581))),metadata!K581&gt;=-90.00,metadata!K581&lt;=90.00))</f>
        <v>0</v>
      </c>
      <c r="AL581">
        <f>OR(AND(IF(metadata!L581="",FALSE,TRUE),OR(exact(metadata!L581,"missing: not collected"),exact(metadata!L581,"missing: not provided"),exact(metadata!L581,"missing: restricted access"))),AND(IF(metadata!L581="",FALSE,ISNUMBER(VALUE(metadata!L581))),metadata!L581&gt;=-180.00,metadata!L581&lt;=180.00))</f>
        <v>0</v>
      </c>
      <c r="AM581">
        <f>IF(metadata!M581="",FALSE,TRUE)</f>
        <v>0</v>
      </c>
      <c r="AN581">
        <f>OR(AND(IF(metadata!N581="",FALSE,TRUE),OR(exact(metadata!N581,"missing: not collected"),exact(metadata!N581,"missing: not provided"),exact(metadata!N581,"missing: restricted access"))),AND(IF(metadata!N581="",FALSE,TRUE),OR(exact(metadata!N581,"TRUE"),exact(metadata!N581,"FALSE"))))</f>
        <v>0</v>
      </c>
      <c r="AO581">
        <f>IF(metadata!O581="",FALSE,TRUE)</f>
        <v>0</v>
      </c>
      <c r="AP581">
        <f>OR(AND(IF(metadata!P581="",FALSE,TRUE),OR(exact(metadata!P581,"missing: not collected"),exact(metadata!P581,"missing: not provided"))),AND(IF(metadata!P581="",FALSE,IF(ISERROR(INT(metadata!P581)),FALSE,INT(metadata!P581)=metadata!P581)),metadata!P581&gt;0))</f>
        <v>0</v>
      </c>
      <c r="AQ581">
        <f>IF(metadata!Q581="",FALSE,TRUE)</f>
        <v>0</v>
      </c>
    </row>
    <row r="582" spans="1:43">
      <c r="A582" s="5">
        <f>IF(B582=" "," ",HYPERLINK(CONCATENATE("#metadata!",ADDRESS(INDEX($W$2:$W$1001,MATCH(ROWS($U$2:U582),$U$2:$U$1001,0),0),1)),INDEX($Z$2:$Z$1001,MATCH(ROWS($U$2:U582),$U$2:$U$1001,0),0)))</f>
        <v>0</v>
      </c>
      <c r="B582" s="4">
        <f>IF(OR(INDEX($V$2:$V$1001,MATCH(ROWS($U$2:U582),$U$2:$U$1001,0),1)&gt;=100000,INDEX($AB$1005:$AQ$1005,1,MATCH(COLUMNS($AB$1006:AB1006),$AB$1006:$AQ$1006,0))&gt;=100000), " ",IF(INDEX($AB$2:$AQ$1001,MATCH(ROWS($U$2:U582),$U$2:$U$1001,0),MATCH(COLUMNS($AB$1006:AB1006),$AB$1006:$AQ$1006,0)), HYPERLINK("#",""), HYPERLINK(CONCATENATE("#metadata!", ADDRESS(INDEX($W$2:$W$1001,MATCH(ROWS($U$2:U582),$U$2:$U$1001,0),0), INDEX($AB$1004:$AQ$1004,1,MATCH(COLUMNS($AB$1006:AB1006),$AB$1006:$AQ$1006,0)))),"Fix")))</f>
        <v>0</v>
      </c>
      <c r="C582" s="4">
        <f>IF(OR(INDEX($V$2:$V$1001,MATCH(ROWS($U$2:U582),$U$2:$U$1001,0),1)&gt;=100000,INDEX($AB$1005:$AQ$1005,1,MATCH(COLUMNS($AB$1006:AC1006),$AB$1006:$AQ$1006,0))&gt;=100000), " ",IF(INDEX($AB$2:$AQ$1001,MATCH(ROWS($U$2:U582),$U$2:$U$1001,0),MATCH(COLUMNS($AB$1006:AC1006),$AB$1006:$AQ$1006,0)), HYPERLINK("#",""), HYPERLINK(CONCATENATE("#metadata!", ADDRESS(INDEX($W$2:$W$1001,MATCH(ROWS($U$2:U582),$U$2:$U$1001,0),0), INDEX($AB$1004:$AQ$1004,1,MATCH(COLUMNS($AB$1006:AC1006),$AB$1006:$AQ$1006,0)))),"Fix")))</f>
        <v>0</v>
      </c>
      <c r="D582" s="4">
        <f>IF(OR(INDEX($V$2:$V$1001,MATCH(ROWS($U$2:U582),$U$2:$U$1001,0),1)&gt;=100000,INDEX($AB$1005:$AQ$1005,1,MATCH(COLUMNS($AB$1006:AD1006),$AB$1006:$AQ$1006,0))&gt;=100000), " ",IF(INDEX($AB$2:$AQ$1001,MATCH(ROWS($U$2:U582),$U$2:$U$1001,0),MATCH(COLUMNS($AB$1006:AD1006),$AB$1006:$AQ$1006,0)), HYPERLINK("#",""), HYPERLINK(CONCATENATE("#metadata!", ADDRESS(INDEX($W$2:$W$1001,MATCH(ROWS($U$2:U582),$U$2:$U$1001,0),0), INDEX($AB$1004:$AQ$1004,1,MATCH(COLUMNS($AB$1006:AD1006),$AB$1006:$AQ$1006,0)))),"Fix")))</f>
        <v>0</v>
      </c>
      <c r="E582" s="4">
        <f>IF(OR(INDEX($V$2:$V$1001,MATCH(ROWS($U$2:U582),$U$2:$U$1001,0),1)&gt;=100000,INDEX($AB$1005:$AQ$1005,1,MATCH(COLUMNS($AB$1006:AE1006),$AB$1006:$AQ$1006,0))&gt;=100000), " ",IF(INDEX($AB$2:$AQ$1001,MATCH(ROWS($U$2:U582),$U$2:$U$1001,0),MATCH(COLUMNS($AB$1006:AE1006),$AB$1006:$AQ$1006,0)), HYPERLINK("#",""), HYPERLINK(CONCATENATE("#metadata!", ADDRESS(INDEX($W$2:$W$1001,MATCH(ROWS($U$2:U582),$U$2:$U$1001,0),0), INDEX($AB$1004:$AQ$1004,1,MATCH(COLUMNS($AB$1006:AE1006),$AB$1006:$AQ$1006,0)))),"Fix")))</f>
        <v>0</v>
      </c>
      <c r="F582" s="4">
        <f>IF(OR(INDEX($V$2:$V$1001,MATCH(ROWS($U$2:U582),$U$2:$U$1001,0),1)&gt;=100000,INDEX($AB$1005:$AQ$1005,1,MATCH(COLUMNS($AB$1006:AF1006),$AB$1006:$AQ$1006,0))&gt;=100000), " ",IF(INDEX($AB$2:$AQ$1001,MATCH(ROWS($U$2:U582),$U$2:$U$1001,0),MATCH(COLUMNS($AB$1006:AF1006),$AB$1006:$AQ$1006,0)), HYPERLINK("#",""), HYPERLINK(CONCATENATE("#metadata!", ADDRESS(INDEX($W$2:$W$1001,MATCH(ROWS($U$2:U582),$U$2:$U$1001,0),0), INDEX($AB$1004:$AQ$1004,1,MATCH(COLUMNS($AB$1006:AF1006),$AB$1006:$AQ$1006,0)))),"Fix")))</f>
        <v>0</v>
      </c>
      <c r="G582" s="4">
        <f>IF(OR(INDEX($V$2:$V$1001,MATCH(ROWS($U$2:U582),$U$2:$U$1001,0),1)&gt;=100000,INDEX($AB$1005:$AQ$1005,1,MATCH(COLUMNS($AB$1006:AG1006),$AB$1006:$AQ$1006,0))&gt;=100000), " ",IF(INDEX($AB$2:$AQ$1001,MATCH(ROWS($U$2:U582),$U$2:$U$1001,0),MATCH(COLUMNS($AB$1006:AG1006),$AB$1006:$AQ$1006,0)), HYPERLINK("#",""), HYPERLINK(CONCATENATE("#metadata!", ADDRESS(INDEX($W$2:$W$1001,MATCH(ROWS($U$2:U582),$U$2:$U$1001,0),0), INDEX($AB$1004:$AQ$1004,1,MATCH(COLUMNS($AB$1006:AG1006),$AB$1006:$AQ$1006,0)))),"Fix")))</f>
        <v>0</v>
      </c>
      <c r="H582" s="4">
        <f>IF(OR(INDEX($V$2:$V$1001,MATCH(ROWS($U$2:U582),$U$2:$U$1001,0),1)&gt;=100000,INDEX($AB$1005:$AQ$1005,1,MATCH(COLUMNS($AB$1006:AH1006),$AB$1006:$AQ$1006,0))&gt;=100000), " ",IF(INDEX($AB$2:$AQ$1001,MATCH(ROWS($U$2:U582),$U$2:$U$1001,0),MATCH(COLUMNS($AB$1006:AH1006),$AB$1006:$AQ$1006,0)), HYPERLINK("#",""), HYPERLINK(CONCATENATE("#metadata!", ADDRESS(INDEX($W$2:$W$1001,MATCH(ROWS($U$2:U582),$U$2:$U$1001,0),0), INDEX($AB$1004:$AQ$1004,1,MATCH(COLUMNS($AB$1006:AH1006),$AB$1006:$AQ$1006,0)))),"Fix")))</f>
        <v>0</v>
      </c>
      <c r="I582" s="4">
        <f>IF(OR(INDEX($V$2:$V$1001,MATCH(ROWS($U$2:U582),$U$2:$U$1001,0),1)&gt;=100000,INDEX($AB$1005:$AQ$1005,1,MATCH(COLUMNS($AB$1006:AI1006),$AB$1006:$AQ$1006,0))&gt;=100000), " ",IF(INDEX($AB$2:$AQ$1001,MATCH(ROWS($U$2:U582),$U$2:$U$1001,0),MATCH(COLUMNS($AB$1006:AI1006),$AB$1006:$AQ$1006,0)), HYPERLINK("#",""), HYPERLINK(CONCATENATE("#metadata!", ADDRESS(INDEX($W$2:$W$1001,MATCH(ROWS($U$2:U582),$U$2:$U$1001,0),0), INDEX($AB$1004:$AQ$1004,1,MATCH(COLUMNS($AB$1006:AI1006),$AB$1006:$AQ$1006,0)))),"Fix")))</f>
        <v>0</v>
      </c>
      <c r="J582" s="4">
        <f>IF(OR(INDEX($V$2:$V$1001,MATCH(ROWS($U$2:U582),$U$2:$U$1001,0),1)&gt;=100000,INDEX($AB$1005:$AQ$1005,1,MATCH(COLUMNS($AB$1006:AJ1006),$AB$1006:$AQ$1006,0))&gt;=100000), " ",IF(INDEX($AB$2:$AQ$1001,MATCH(ROWS($U$2:U582),$U$2:$U$1001,0),MATCH(COLUMNS($AB$1006:AJ1006),$AB$1006:$AQ$1006,0)), HYPERLINK("#",""), HYPERLINK(CONCATENATE("#metadata!", ADDRESS(INDEX($W$2:$W$1001,MATCH(ROWS($U$2:U582),$U$2:$U$1001,0),0), INDEX($AB$1004:$AQ$1004,1,MATCH(COLUMNS($AB$1006:AJ1006),$AB$1006:$AQ$1006,0)))),"Fix")))</f>
        <v>0</v>
      </c>
      <c r="K582" s="4">
        <f>IF(OR(INDEX($V$2:$V$1001,MATCH(ROWS($U$2:U582),$U$2:$U$1001,0),1)&gt;=100000,INDEX($AB$1005:$AQ$1005,1,MATCH(COLUMNS($AB$1006:AK1006),$AB$1006:$AQ$1006,0))&gt;=100000), " ",IF(INDEX($AB$2:$AQ$1001,MATCH(ROWS($U$2:U582),$U$2:$U$1001,0),MATCH(COLUMNS($AB$1006:AK1006),$AB$1006:$AQ$1006,0)), HYPERLINK("#",""), HYPERLINK(CONCATENATE("#metadata!", ADDRESS(INDEX($W$2:$W$1001,MATCH(ROWS($U$2:U582),$U$2:$U$1001,0),0), INDEX($AB$1004:$AQ$1004,1,MATCH(COLUMNS($AB$1006:AK1006),$AB$1006:$AQ$1006,0)))),"Fix")))</f>
        <v>0</v>
      </c>
      <c r="L582" s="4">
        <f>IF(OR(INDEX($V$2:$V$1001,MATCH(ROWS($U$2:U582),$U$2:$U$1001,0),1)&gt;=100000,INDEX($AB$1005:$AQ$1005,1,MATCH(COLUMNS($AB$1006:AL1006),$AB$1006:$AQ$1006,0))&gt;=100000), " ",IF(INDEX($AB$2:$AQ$1001,MATCH(ROWS($U$2:U582),$U$2:$U$1001,0),MATCH(COLUMNS($AB$1006:AL1006),$AB$1006:$AQ$1006,0)), HYPERLINK("#",""), HYPERLINK(CONCATENATE("#metadata!", ADDRESS(INDEX($W$2:$W$1001,MATCH(ROWS($U$2:U582),$U$2:$U$1001,0),0), INDEX($AB$1004:$AQ$1004,1,MATCH(COLUMNS($AB$1006:AL1006),$AB$1006:$AQ$1006,0)))),"Fix")))</f>
        <v>0</v>
      </c>
      <c r="M582" s="4">
        <f>IF(OR(INDEX($V$2:$V$1001,MATCH(ROWS($U$2:U582),$U$2:$U$1001,0),1)&gt;=100000,INDEX($AB$1005:$AQ$1005,1,MATCH(COLUMNS($AB$1006:AM1006),$AB$1006:$AQ$1006,0))&gt;=100000), " ",IF(INDEX($AB$2:$AQ$1001,MATCH(ROWS($U$2:U582),$U$2:$U$1001,0),MATCH(COLUMNS($AB$1006:AM1006),$AB$1006:$AQ$1006,0)), HYPERLINK("#",""), HYPERLINK(CONCATENATE("#metadata!", ADDRESS(INDEX($W$2:$W$1001,MATCH(ROWS($U$2:U582),$U$2:$U$1001,0),0), INDEX($AB$1004:$AQ$1004,1,MATCH(COLUMNS($AB$1006:AM1006),$AB$1006:$AQ$1006,0)))),"Fix")))</f>
        <v>0</v>
      </c>
      <c r="N582" s="4">
        <f>IF(OR(INDEX($V$2:$V$1001,MATCH(ROWS($U$2:U582),$U$2:$U$1001,0),1)&gt;=100000,INDEX($AB$1005:$AQ$1005,1,MATCH(COLUMNS($AB$1006:AN1006),$AB$1006:$AQ$1006,0))&gt;=100000), " ",IF(INDEX($AB$2:$AQ$1001,MATCH(ROWS($U$2:U582),$U$2:$U$1001,0),MATCH(COLUMNS($AB$1006:AN1006),$AB$1006:$AQ$1006,0)), HYPERLINK("#",""), HYPERLINK(CONCATENATE("#metadata!", ADDRESS(INDEX($W$2:$W$1001,MATCH(ROWS($U$2:U582),$U$2:$U$1001,0),0), INDEX($AB$1004:$AQ$1004,1,MATCH(COLUMNS($AB$1006:AN1006),$AB$1006:$AQ$1006,0)))),"Fix")))</f>
        <v>0</v>
      </c>
      <c r="O582" s="4">
        <f>IF(OR(INDEX($V$2:$V$1001,MATCH(ROWS($U$2:U582),$U$2:$U$1001,0),1)&gt;=100000,INDEX($AB$1005:$AQ$1005,1,MATCH(COLUMNS($AB$1006:AO1006),$AB$1006:$AQ$1006,0))&gt;=100000), " ",IF(INDEX($AB$2:$AQ$1001,MATCH(ROWS($U$2:U582),$U$2:$U$1001,0),MATCH(COLUMNS($AB$1006:AO1006),$AB$1006:$AQ$1006,0)), HYPERLINK("#",""), HYPERLINK(CONCATENATE("#metadata!", ADDRESS(INDEX($W$2:$W$1001,MATCH(ROWS($U$2:U582),$U$2:$U$1001,0),0), INDEX($AB$1004:$AQ$1004,1,MATCH(COLUMNS($AB$1006:AO1006),$AB$1006:$AQ$1006,0)))),"Fix")))</f>
        <v>0</v>
      </c>
      <c r="P582" s="4">
        <f>IF(OR(INDEX($V$2:$V$1001,MATCH(ROWS($U$2:U582),$U$2:$U$1001,0),1)&gt;=100000,INDEX($AB$1005:$AQ$1005,1,MATCH(COLUMNS($AB$1006:AP1006),$AB$1006:$AQ$1006,0))&gt;=100000), " ",IF(INDEX($AB$2:$AQ$1001,MATCH(ROWS($U$2:U582),$U$2:$U$1001,0),MATCH(COLUMNS($AB$1006:AP1006),$AB$1006:$AQ$1006,0)), HYPERLINK("#",""), HYPERLINK(CONCATENATE("#metadata!", ADDRESS(INDEX($W$2:$W$1001,MATCH(ROWS($U$2:U582),$U$2:$U$1001,0),0), INDEX($AB$1004:$AQ$1004,1,MATCH(COLUMNS($AB$1006:AP1006),$AB$1006:$AQ$1006,0)))),"Fix")))</f>
        <v>0</v>
      </c>
      <c r="Q582" s="4">
        <f>IF(OR(INDEX($V$2:$V$1001,MATCH(ROWS($U$2:U582),$U$2:$U$1001,0),1)&gt;=100000,INDEX($AB$1005:$AQ$1005,1,MATCH(COLUMNS($AB$1006:AQ1006),$AB$1006:$AQ$1006,0))&gt;=100000), " ",IF(INDEX($AB$2:$AQ$1001,MATCH(ROWS($U$2:U582),$U$2:$U$1001,0),MATCH(COLUMNS($AB$1006:AQ1006),$AB$1006:$AQ$1006,0)), HYPERLINK("#",""), HYPERLINK(CONCATENATE("#metadata!", ADDRESS(INDEX($W$2:$W$1001,MATCH(ROWS($U$2:U582),$U$2:$U$1001,0),0), INDEX($AB$1004:$AQ$1004,1,MATCH(COLUMNS($AB$1006:AQ1006),$AB$1006:$AQ$1006,0)))),"Fix")))</f>
        <v>0</v>
      </c>
      <c r="U582">
        <v>0</v>
      </c>
      <c r="V582">
        <v>0</v>
      </c>
      <c r="W582">
        <v>0</v>
      </c>
      <c r="X582">
        <f>IF(Y582,TRUE,AND(AB582:AQ582))</f>
        <v>0</v>
      </c>
      <c r="Y582">
        <f>COUNTBLANK(metadata!B582:Q582)=COLUMNS(metadata!B582:Q582)</f>
        <v>0</v>
      </c>
      <c r="Z582">
        <v>0</v>
      </c>
      <c r="AB582">
        <f>AND(IF(metadata!B582="",FALSE,TRUE),COUNTIF(metadata!B:B, metadata!B582) = 1,NOT(ISERROR(SUMPRODUCT(SEARCH(MID(metadata!B582,ROW(INDIRECT("1:"&amp;LEN(metadata!B582))), 1),"0123456789abcdefghijklmnopqrstuvwxyzABCDEFGHIJKLMNOPQRSTUVWXYZ.")))))</f>
        <v>0</v>
      </c>
      <c r="AC582">
        <f>OR(AND(IF(metadata!C582="",FALSE,TRUE),OR(exact(metadata!C582,"missing: not collected"),exact(metadata!C582,"missing: not provided"),exact(metadata!C582,"missing: restricted access"))),AND(IF(metadata!C582="",FALSE,TRUE),AND(AND(IFERROR(INT(LEFT(metadata!C582,4))&gt;1900,FALSE),IFERROR(INT(LEFT(metadata!C582,4))&lt;=YEAR(NOW()),FALSE)), OR(MID(metadata!C582,5,1)="", AND(AND(MID(metadata!C582,5,1)="-",IFERROR(INT(MID(metadata!C582,6,1))&gt;=0,FALSE),IFERROR(INT(MID(metadata!C582,6,1))&lt;=1,FALSE),NOT(MID(metadata!C582,7,1)=""),IFERROR(INT(MID(metadata!C582,6,2))&gt;=1,FALSE),IFERROR(INT(MID(metadata!C582,6,2))&lt;=12,FALSE)), OR(MID(metadata!C582,8,1)="", AND(AND(MID(metadata!C582,8,1)="-",IFERROR(INT(MID(metadata!C582,9,1))&gt;=0,FALSE),IFERROR(INT(MID(metadata!C582,9,1))&lt;=3,FALSE),NOT(MID(metadata!C582,10,1)=""),IFERROR(INT(MID(metadata!C582,9,2))&gt;=1,FALSE),IFERROR(INT(MID(metadata!C582,9,2))&lt;=31,FALSE)), OR(MID(metadata!C582,11,1)="", AND(AND(MID(metadata!C582,11,1)=" ",IFERROR(INT(MID(metadata!C582,12,1))&gt;=0,FALSE),IFERROR(INT(MID(metadata!C582,12,1))&lt;=2,FALSE),NOT(MID(metadata!C582,13,1)=""),IFERROR(INT(MID(metadata!C582,12,2))&gt;=0,FALSE),IFERROR(INT(MID(metadata!C582,12,2))&lt;=23,FALSE)), OR(MID(metadata!C582,14,1)="", AND(AND(MID(metadata!C582,14,1)=":",IFERROR(INT(MID(metadata!C582,15,1))&gt;=0,FALSE),IFERROR(INT(MID(metadata!C582,15,1))&lt;=5,FALSE),NOT(MID(metadata!C582,16,1)=""),IFERROR(INT(MID(metadata!C582,15,2))&gt;=0,FALSE),IFERROR(INT(MID(metadata!C582,15,2))&lt;=59,FALSE)), OR(MID(metadata!C582,17,1)="", AND(AND(MID(metadata!C582,17,1)=":",IFERROR(INT(MID(metadata!C582,18,1))&gt;=0,FALSE),IFERROR(INT(MID(metadata!C582,18,1))&lt;=5,FALSE),NOT(MID(metadata!C582,19,1)=""),IFERROR(INT(MID(metadata!C582,18,2))&gt;=0,FALSE),IFERROR(INT(MID(metadata!C582,18,2))&lt;=59,FALSE)), LEN(metadata!C582)&lt;=19)))))))))))))</f>
        <v>0</v>
      </c>
      <c r="AD582">
        <f>IF(metadata!D582="",FALSE,TRUE)</f>
        <v>0</v>
      </c>
      <c r="AE582">
        <f>OR(AND(IF(metadata!E582="",FALSE,TRUE),OR(exact(metadata!E582,"missing: not collected"),exact(metadata!E582,"missing: not provided"))),AND(IF(metadata!E582="",FALSE,TRUE),OR(exact(metadata!E582,"TRUE"),exact(metadata!E582,"FALSE"))))</f>
        <v>0</v>
      </c>
      <c r="AF582">
        <f>IF(metadata!F582="",FALSE,TRUE)</f>
        <v>0</v>
      </c>
      <c r="AG582">
        <f>IF(metadata!G582="",FALSE,TRUE)</f>
        <v>0</v>
      </c>
      <c r="AH582">
        <f>IF(metadata!H582="",FALSE,TRUE)</f>
        <v>0</v>
      </c>
      <c r="AI582">
        <f>OR(AND(IF(metadata!I582="",FALSE,TRUE),OR(exact(metadata!I582,"missing: not collected"),exact(metadata!I582,"missing: not provided"),exact(metadata!I582,"missing: restricted access"))),AND(IF(metadata!I582="",FALSE,TRUE),OR(exact(metadata!I582,"air"),exact(metadata!I582,"built environment"),exact(metadata!I582,"host-associated"),exact(metadata!I582,"human-associated"),exact(metadata!I582,"human-skin"),exact(metadata!I582,"human-oral"),exact(metadata!I582,"human-gut"),exact(metadata!I582,"human-vaginal"),exact(metadata!I582,"microbial mat/biofilm"),exact(metadata!I582,"misc environment"),exact(metadata!I582,"plant-associated"),exact(metadata!I582,"sediment"),exact(metadata!I582,"soil"),exact(metadata!I582,"wastewater/sludge"),exact(metadata!I582,"water"))))</f>
        <v>0</v>
      </c>
      <c r="AJ582">
        <f>IF(metadata!J582="",FALSE,TRUE)</f>
        <v>0</v>
      </c>
      <c r="AK582">
        <f>OR(AND(IF(metadata!K582="",FALSE,TRUE),OR(exact(metadata!K582,"missing: not collected"),exact(metadata!K582,"missing: not provided"),exact(metadata!K582,"missing: restricted access"))),AND(IF(metadata!K582="",FALSE,ISNUMBER(VALUE(metadata!K582))),metadata!K582&gt;=-90.00,metadata!K582&lt;=90.00))</f>
        <v>0</v>
      </c>
      <c r="AL582">
        <f>OR(AND(IF(metadata!L582="",FALSE,TRUE),OR(exact(metadata!L582,"missing: not collected"),exact(metadata!L582,"missing: not provided"),exact(metadata!L582,"missing: restricted access"))),AND(IF(metadata!L582="",FALSE,ISNUMBER(VALUE(metadata!L582))),metadata!L582&gt;=-180.00,metadata!L582&lt;=180.00))</f>
        <v>0</v>
      </c>
      <c r="AM582">
        <f>IF(metadata!M582="",FALSE,TRUE)</f>
        <v>0</v>
      </c>
      <c r="AN582">
        <f>OR(AND(IF(metadata!N582="",FALSE,TRUE),OR(exact(metadata!N582,"missing: not collected"),exact(metadata!N582,"missing: not provided"),exact(metadata!N582,"missing: restricted access"))),AND(IF(metadata!N582="",FALSE,TRUE),OR(exact(metadata!N582,"TRUE"),exact(metadata!N582,"FALSE"))))</f>
        <v>0</v>
      </c>
      <c r="AO582">
        <f>IF(metadata!O582="",FALSE,TRUE)</f>
        <v>0</v>
      </c>
      <c r="AP582">
        <f>OR(AND(IF(metadata!P582="",FALSE,TRUE),OR(exact(metadata!P582,"missing: not collected"),exact(metadata!P582,"missing: not provided"))),AND(IF(metadata!P582="",FALSE,IF(ISERROR(INT(metadata!P582)),FALSE,INT(metadata!P582)=metadata!P582)),metadata!P582&gt;0))</f>
        <v>0</v>
      </c>
      <c r="AQ582">
        <f>IF(metadata!Q582="",FALSE,TRUE)</f>
        <v>0</v>
      </c>
    </row>
    <row r="583" spans="1:43">
      <c r="A583" s="5">
        <f>IF(B583=" "," ",HYPERLINK(CONCATENATE("#metadata!",ADDRESS(INDEX($W$2:$W$1001,MATCH(ROWS($U$2:U583),$U$2:$U$1001,0),0),1)),INDEX($Z$2:$Z$1001,MATCH(ROWS($U$2:U583),$U$2:$U$1001,0),0)))</f>
        <v>0</v>
      </c>
      <c r="B583" s="4">
        <f>IF(OR(INDEX($V$2:$V$1001,MATCH(ROWS($U$2:U583),$U$2:$U$1001,0),1)&gt;=100000,INDEX($AB$1005:$AQ$1005,1,MATCH(COLUMNS($AB$1006:AB1006),$AB$1006:$AQ$1006,0))&gt;=100000), " ",IF(INDEX($AB$2:$AQ$1001,MATCH(ROWS($U$2:U583),$U$2:$U$1001,0),MATCH(COLUMNS($AB$1006:AB1006),$AB$1006:$AQ$1006,0)), HYPERLINK("#",""), HYPERLINK(CONCATENATE("#metadata!", ADDRESS(INDEX($W$2:$W$1001,MATCH(ROWS($U$2:U583),$U$2:$U$1001,0),0), INDEX($AB$1004:$AQ$1004,1,MATCH(COLUMNS($AB$1006:AB1006),$AB$1006:$AQ$1006,0)))),"Fix")))</f>
        <v>0</v>
      </c>
      <c r="C583" s="4">
        <f>IF(OR(INDEX($V$2:$V$1001,MATCH(ROWS($U$2:U583),$U$2:$U$1001,0),1)&gt;=100000,INDEX($AB$1005:$AQ$1005,1,MATCH(COLUMNS($AB$1006:AC1006),$AB$1006:$AQ$1006,0))&gt;=100000), " ",IF(INDEX($AB$2:$AQ$1001,MATCH(ROWS($U$2:U583),$U$2:$U$1001,0),MATCH(COLUMNS($AB$1006:AC1006),$AB$1006:$AQ$1006,0)), HYPERLINK("#",""), HYPERLINK(CONCATENATE("#metadata!", ADDRESS(INDEX($W$2:$W$1001,MATCH(ROWS($U$2:U583),$U$2:$U$1001,0),0), INDEX($AB$1004:$AQ$1004,1,MATCH(COLUMNS($AB$1006:AC1006),$AB$1006:$AQ$1006,0)))),"Fix")))</f>
        <v>0</v>
      </c>
      <c r="D583" s="4">
        <f>IF(OR(INDEX($V$2:$V$1001,MATCH(ROWS($U$2:U583),$U$2:$U$1001,0),1)&gt;=100000,INDEX($AB$1005:$AQ$1005,1,MATCH(COLUMNS($AB$1006:AD1006),$AB$1006:$AQ$1006,0))&gt;=100000), " ",IF(INDEX($AB$2:$AQ$1001,MATCH(ROWS($U$2:U583),$U$2:$U$1001,0),MATCH(COLUMNS($AB$1006:AD1006),$AB$1006:$AQ$1006,0)), HYPERLINK("#",""), HYPERLINK(CONCATENATE("#metadata!", ADDRESS(INDEX($W$2:$W$1001,MATCH(ROWS($U$2:U583),$U$2:$U$1001,0),0), INDEX($AB$1004:$AQ$1004,1,MATCH(COLUMNS($AB$1006:AD1006),$AB$1006:$AQ$1006,0)))),"Fix")))</f>
        <v>0</v>
      </c>
      <c r="E583" s="4">
        <f>IF(OR(INDEX($V$2:$V$1001,MATCH(ROWS($U$2:U583),$U$2:$U$1001,0),1)&gt;=100000,INDEX($AB$1005:$AQ$1005,1,MATCH(COLUMNS($AB$1006:AE1006),$AB$1006:$AQ$1006,0))&gt;=100000), " ",IF(INDEX($AB$2:$AQ$1001,MATCH(ROWS($U$2:U583),$U$2:$U$1001,0),MATCH(COLUMNS($AB$1006:AE1006),$AB$1006:$AQ$1006,0)), HYPERLINK("#",""), HYPERLINK(CONCATENATE("#metadata!", ADDRESS(INDEX($W$2:$W$1001,MATCH(ROWS($U$2:U583),$U$2:$U$1001,0),0), INDEX($AB$1004:$AQ$1004,1,MATCH(COLUMNS($AB$1006:AE1006),$AB$1006:$AQ$1006,0)))),"Fix")))</f>
        <v>0</v>
      </c>
      <c r="F583" s="4">
        <f>IF(OR(INDEX($V$2:$V$1001,MATCH(ROWS($U$2:U583),$U$2:$U$1001,0),1)&gt;=100000,INDEX($AB$1005:$AQ$1005,1,MATCH(COLUMNS($AB$1006:AF1006),$AB$1006:$AQ$1006,0))&gt;=100000), " ",IF(INDEX($AB$2:$AQ$1001,MATCH(ROWS($U$2:U583),$U$2:$U$1001,0),MATCH(COLUMNS($AB$1006:AF1006),$AB$1006:$AQ$1006,0)), HYPERLINK("#",""), HYPERLINK(CONCATENATE("#metadata!", ADDRESS(INDEX($W$2:$W$1001,MATCH(ROWS($U$2:U583),$U$2:$U$1001,0),0), INDEX($AB$1004:$AQ$1004,1,MATCH(COLUMNS($AB$1006:AF1006),$AB$1006:$AQ$1006,0)))),"Fix")))</f>
        <v>0</v>
      </c>
      <c r="G583" s="4">
        <f>IF(OR(INDEX($V$2:$V$1001,MATCH(ROWS($U$2:U583),$U$2:$U$1001,0),1)&gt;=100000,INDEX($AB$1005:$AQ$1005,1,MATCH(COLUMNS($AB$1006:AG1006),$AB$1006:$AQ$1006,0))&gt;=100000), " ",IF(INDEX($AB$2:$AQ$1001,MATCH(ROWS($U$2:U583),$U$2:$U$1001,0),MATCH(COLUMNS($AB$1006:AG1006),$AB$1006:$AQ$1006,0)), HYPERLINK("#",""), HYPERLINK(CONCATENATE("#metadata!", ADDRESS(INDEX($W$2:$W$1001,MATCH(ROWS($U$2:U583),$U$2:$U$1001,0),0), INDEX($AB$1004:$AQ$1004,1,MATCH(COLUMNS($AB$1006:AG1006),$AB$1006:$AQ$1006,0)))),"Fix")))</f>
        <v>0</v>
      </c>
      <c r="H583" s="4">
        <f>IF(OR(INDEX($V$2:$V$1001,MATCH(ROWS($U$2:U583),$U$2:$U$1001,0),1)&gt;=100000,INDEX($AB$1005:$AQ$1005,1,MATCH(COLUMNS($AB$1006:AH1006),$AB$1006:$AQ$1006,0))&gt;=100000), " ",IF(INDEX($AB$2:$AQ$1001,MATCH(ROWS($U$2:U583),$U$2:$U$1001,0),MATCH(COLUMNS($AB$1006:AH1006),$AB$1006:$AQ$1006,0)), HYPERLINK("#",""), HYPERLINK(CONCATENATE("#metadata!", ADDRESS(INDEX($W$2:$W$1001,MATCH(ROWS($U$2:U583),$U$2:$U$1001,0),0), INDEX($AB$1004:$AQ$1004,1,MATCH(COLUMNS($AB$1006:AH1006),$AB$1006:$AQ$1006,0)))),"Fix")))</f>
        <v>0</v>
      </c>
      <c r="I583" s="4">
        <f>IF(OR(INDEX($V$2:$V$1001,MATCH(ROWS($U$2:U583),$U$2:$U$1001,0),1)&gt;=100000,INDEX($AB$1005:$AQ$1005,1,MATCH(COLUMNS($AB$1006:AI1006),$AB$1006:$AQ$1006,0))&gt;=100000), " ",IF(INDEX($AB$2:$AQ$1001,MATCH(ROWS($U$2:U583),$U$2:$U$1001,0),MATCH(COLUMNS($AB$1006:AI1006),$AB$1006:$AQ$1006,0)), HYPERLINK("#",""), HYPERLINK(CONCATENATE("#metadata!", ADDRESS(INDEX($W$2:$W$1001,MATCH(ROWS($U$2:U583),$U$2:$U$1001,0),0), INDEX($AB$1004:$AQ$1004,1,MATCH(COLUMNS($AB$1006:AI1006),$AB$1006:$AQ$1006,0)))),"Fix")))</f>
        <v>0</v>
      </c>
      <c r="J583" s="4">
        <f>IF(OR(INDEX($V$2:$V$1001,MATCH(ROWS($U$2:U583),$U$2:$U$1001,0),1)&gt;=100000,INDEX($AB$1005:$AQ$1005,1,MATCH(COLUMNS($AB$1006:AJ1006),$AB$1006:$AQ$1006,0))&gt;=100000), " ",IF(INDEX($AB$2:$AQ$1001,MATCH(ROWS($U$2:U583),$U$2:$U$1001,0),MATCH(COLUMNS($AB$1006:AJ1006),$AB$1006:$AQ$1006,0)), HYPERLINK("#",""), HYPERLINK(CONCATENATE("#metadata!", ADDRESS(INDEX($W$2:$W$1001,MATCH(ROWS($U$2:U583),$U$2:$U$1001,0),0), INDEX($AB$1004:$AQ$1004,1,MATCH(COLUMNS($AB$1006:AJ1006),$AB$1006:$AQ$1006,0)))),"Fix")))</f>
        <v>0</v>
      </c>
      <c r="K583" s="4">
        <f>IF(OR(INDEX($V$2:$V$1001,MATCH(ROWS($U$2:U583),$U$2:$U$1001,0),1)&gt;=100000,INDEX($AB$1005:$AQ$1005,1,MATCH(COLUMNS($AB$1006:AK1006),$AB$1006:$AQ$1006,0))&gt;=100000), " ",IF(INDEX($AB$2:$AQ$1001,MATCH(ROWS($U$2:U583),$U$2:$U$1001,0),MATCH(COLUMNS($AB$1006:AK1006),$AB$1006:$AQ$1006,0)), HYPERLINK("#",""), HYPERLINK(CONCATENATE("#metadata!", ADDRESS(INDEX($W$2:$W$1001,MATCH(ROWS($U$2:U583),$U$2:$U$1001,0),0), INDEX($AB$1004:$AQ$1004,1,MATCH(COLUMNS($AB$1006:AK1006),$AB$1006:$AQ$1006,0)))),"Fix")))</f>
        <v>0</v>
      </c>
      <c r="L583" s="4">
        <f>IF(OR(INDEX($V$2:$V$1001,MATCH(ROWS($U$2:U583),$U$2:$U$1001,0),1)&gt;=100000,INDEX($AB$1005:$AQ$1005,1,MATCH(COLUMNS($AB$1006:AL1006),$AB$1006:$AQ$1006,0))&gt;=100000), " ",IF(INDEX($AB$2:$AQ$1001,MATCH(ROWS($U$2:U583),$U$2:$U$1001,0),MATCH(COLUMNS($AB$1006:AL1006),$AB$1006:$AQ$1006,0)), HYPERLINK("#",""), HYPERLINK(CONCATENATE("#metadata!", ADDRESS(INDEX($W$2:$W$1001,MATCH(ROWS($U$2:U583),$U$2:$U$1001,0),0), INDEX($AB$1004:$AQ$1004,1,MATCH(COLUMNS($AB$1006:AL1006),$AB$1006:$AQ$1006,0)))),"Fix")))</f>
        <v>0</v>
      </c>
      <c r="M583" s="4">
        <f>IF(OR(INDEX($V$2:$V$1001,MATCH(ROWS($U$2:U583),$U$2:$U$1001,0),1)&gt;=100000,INDEX($AB$1005:$AQ$1005,1,MATCH(COLUMNS($AB$1006:AM1006),$AB$1006:$AQ$1006,0))&gt;=100000), " ",IF(INDEX($AB$2:$AQ$1001,MATCH(ROWS($U$2:U583),$U$2:$U$1001,0),MATCH(COLUMNS($AB$1006:AM1006),$AB$1006:$AQ$1006,0)), HYPERLINK("#",""), HYPERLINK(CONCATENATE("#metadata!", ADDRESS(INDEX($W$2:$W$1001,MATCH(ROWS($U$2:U583),$U$2:$U$1001,0),0), INDEX($AB$1004:$AQ$1004,1,MATCH(COLUMNS($AB$1006:AM1006),$AB$1006:$AQ$1006,0)))),"Fix")))</f>
        <v>0</v>
      </c>
      <c r="N583" s="4">
        <f>IF(OR(INDEX($V$2:$V$1001,MATCH(ROWS($U$2:U583),$U$2:$U$1001,0),1)&gt;=100000,INDEX($AB$1005:$AQ$1005,1,MATCH(COLUMNS($AB$1006:AN1006),$AB$1006:$AQ$1006,0))&gt;=100000), " ",IF(INDEX($AB$2:$AQ$1001,MATCH(ROWS($U$2:U583),$U$2:$U$1001,0),MATCH(COLUMNS($AB$1006:AN1006),$AB$1006:$AQ$1006,0)), HYPERLINK("#",""), HYPERLINK(CONCATENATE("#metadata!", ADDRESS(INDEX($W$2:$W$1001,MATCH(ROWS($U$2:U583),$U$2:$U$1001,0),0), INDEX($AB$1004:$AQ$1004,1,MATCH(COLUMNS($AB$1006:AN1006),$AB$1006:$AQ$1006,0)))),"Fix")))</f>
        <v>0</v>
      </c>
      <c r="O583" s="4">
        <f>IF(OR(INDEX($V$2:$V$1001,MATCH(ROWS($U$2:U583),$U$2:$U$1001,0),1)&gt;=100000,INDEX($AB$1005:$AQ$1005,1,MATCH(COLUMNS($AB$1006:AO1006),$AB$1006:$AQ$1006,0))&gt;=100000), " ",IF(INDEX($AB$2:$AQ$1001,MATCH(ROWS($U$2:U583),$U$2:$U$1001,0),MATCH(COLUMNS($AB$1006:AO1006),$AB$1006:$AQ$1006,0)), HYPERLINK("#",""), HYPERLINK(CONCATENATE("#metadata!", ADDRESS(INDEX($W$2:$W$1001,MATCH(ROWS($U$2:U583),$U$2:$U$1001,0),0), INDEX($AB$1004:$AQ$1004,1,MATCH(COLUMNS($AB$1006:AO1006),$AB$1006:$AQ$1006,0)))),"Fix")))</f>
        <v>0</v>
      </c>
      <c r="P583" s="4">
        <f>IF(OR(INDEX($V$2:$V$1001,MATCH(ROWS($U$2:U583),$U$2:$U$1001,0),1)&gt;=100000,INDEX($AB$1005:$AQ$1005,1,MATCH(COLUMNS($AB$1006:AP1006),$AB$1006:$AQ$1006,0))&gt;=100000), " ",IF(INDEX($AB$2:$AQ$1001,MATCH(ROWS($U$2:U583),$U$2:$U$1001,0),MATCH(COLUMNS($AB$1006:AP1006),$AB$1006:$AQ$1006,0)), HYPERLINK("#",""), HYPERLINK(CONCATENATE("#metadata!", ADDRESS(INDEX($W$2:$W$1001,MATCH(ROWS($U$2:U583),$U$2:$U$1001,0),0), INDEX($AB$1004:$AQ$1004,1,MATCH(COLUMNS($AB$1006:AP1006),$AB$1006:$AQ$1006,0)))),"Fix")))</f>
        <v>0</v>
      </c>
      <c r="Q583" s="4">
        <f>IF(OR(INDEX($V$2:$V$1001,MATCH(ROWS($U$2:U583),$U$2:$U$1001,0),1)&gt;=100000,INDEX($AB$1005:$AQ$1005,1,MATCH(COLUMNS($AB$1006:AQ1006),$AB$1006:$AQ$1006,0))&gt;=100000), " ",IF(INDEX($AB$2:$AQ$1001,MATCH(ROWS($U$2:U583),$U$2:$U$1001,0),MATCH(COLUMNS($AB$1006:AQ1006),$AB$1006:$AQ$1006,0)), HYPERLINK("#",""), HYPERLINK(CONCATENATE("#metadata!", ADDRESS(INDEX($W$2:$W$1001,MATCH(ROWS($U$2:U583),$U$2:$U$1001,0),0), INDEX($AB$1004:$AQ$1004,1,MATCH(COLUMNS($AB$1006:AQ1006),$AB$1006:$AQ$1006,0)))),"Fix")))</f>
        <v>0</v>
      </c>
      <c r="U583">
        <v>0</v>
      </c>
      <c r="V583">
        <v>0</v>
      </c>
      <c r="W583">
        <v>0</v>
      </c>
      <c r="X583">
        <f>IF(Y583,TRUE,AND(AB583:AQ583))</f>
        <v>0</v>
      </c>
      <c r="Y583">
        <f>COUNTBLANK(metadata!B583:Q583)=COLUMNS(metadata!B583:Q583)</f>
        <v>0</v>
      </c>
      <c r="Z583">
        <v>0</v>
      </c>
      <c r="AB583">
        <f>AND(IF(metadata!B583="",FALSE,TRUE),COUNTIF(metadata!B:B, metadata!B583) = 1,NOT(ISERROR(SUMPRODUCT(SEARCH(MID(metadata!B583,ROW(INDIRECT("1:"&amp;LEN(metadata!B583))), 1),"0123456789abcdefghijklmnopqrstuvwxyzABCDEFGHIJKLMNOPQRSTUVWXYZ.")))))</f>
        <v>0</v>
      </c>
      <c r="AC583">
        <f>OR(AND(IF(metadata!C583="",FALSE,TRUE),OR(exact(metadata!C583,"missing: not collected"),exact(metadata!C583,"missing: not provided"),exact(metadata!C583,"missing: restricted access"))),AND(IF(metadata!C583="",FALSE,TRUE),AND(AND(IFERROR(INT(LEFT(metadata!C583,4))&gt;1900,FALSE),IFERROR(INT(LEFT(metadata!C583,4))&lt;=YEAR(NOW()),FALSE)), OR(MID(metadata!C583,5,1)="", AND(AND(MID(metadata!C583,5,1)="-",IFERROR(INT(MID(metadata!C583,6,1))&gt;=0,FALSE),IFERROR(INT(MID(metadata!C583,6,1))&lt;=1,FALSE),NOT(MID(metadata!C583,7,1)=""),IFERROR(INT(MID(metadata!C583,6,2))&gt;=1,FALSE),IFERROR(INT(MID(metadata!C583,6,2))&lt;=12,FALSE)), OR(MID(metadata!C583,8,1)="", AND(AND(MID(metadata!C583,8,1)="-",IFERROR(INT(MID(metadata!C583,9,1))&gt;=0,FALSE),IFERROR(INT(MID(metadata!C583,9,1))&lt;=3,FALSE),NOT(MID(metadata!C583,10,1)=""),IFERROR(INT(MID(metadata!C583,9,2))&gt;=1,FALSE),IFERROR(INT(MID(metadata!C583,9,2))&lt;=31,FALSE)), OR(MID(metadata!C583,11,1)="", AND(AND(MID(metadata!C583,11,1)=" ",IFERROR(INT(MID(metadata!C583,12,1))&gt;=0,FALSE),IFERROR(INT(MID(metadata!C583,12,1))&lt;=2,FALSE),NOT(MID(metadata!C583,13,1)=""),IFERROR(INT(MID(metadata!C583,12,2))&gt;=0,FALSE),IFERROR(INT(MID(metadata!C583,12,2))&lt;=23,FALSE)), OR(MID(metadata!C583,14,1)="", AND(AND(MID(metadata!C583,14,1)=":",IFERROR(INT(MID(metadata!C583,15,1))&gt;=0,FALSE),IFERROR(INT(MID(metadata!C583,15,1))&lt;=5,FALSE),NOT(MID(metadata!C583,16,1)=""),IFERROR(INT(MID(metadata!C583,15,2))&gt;=0,FALSE),IFERROR(INT(MID(metadata!C583,15,2))&lt;=59,FALSE)), OR(MID(metadata!C583,17,1)="", AND(AND(MID(metadata!C583,17,1)=":",IFERROR(INT(MID(metadata!C583,18,1))&gt;=0,FALSE),IFERROR(INT(MID(metadata!C583,18,1))&lt;=5,FALSE),NOT(MID(metadata!C583,19,1)=""),IFERROR(INT(MID(metadata!C583,18,2))&gt;=0,FALSE),IFERROR(INT(MID(metadata!C583,18,2))&lt;=59,FALSE)), LEN(metadata!C583)&lt;=19)))))))))))))</f>
        <v>0</v>
      </c>
      <c r="AD583">
        <f>IF(metadata!D583="",FALSE,TRUE)</f>
        <v>0</v>
      </c>
      <c r="AE583">
        <f>OR(AND(IF(metadata!E583="",FALSE,TRUE),OR(exact(metadata!E583,"missing: not collected"),exact(metadata!E583,"missing: not provided"))),AND(IF(metadata!E583="",FALSE,TRUE),OR(exact(metadata!E583,"TRUE"),exact(metadata!E583,"FALSE"))))</f>
        <v>0</v>
      </c>
      <c r="AF583">
        <f>IF(metadata!F583="",FALSE,TRUE)</f>
        <v>0</v>
      </c>
      <c r="AG583">
        <f>IF(metadata!G583="",FALSE,TRUE)</f>
        <v>0</v>
      </c>
      <c r="AH583">
        <f>IF(metadata!H583="",FALSE,TRUE)</f>
        <v>0</v>
      </c>
      <c r="AI583">
        <f>OR(AND(IF(metadata!I583="",FALSE,TRUE),OR(exact(metadata!I583,"missing: not collected"),exact(metadata!I583,"missing: not provided"),exact(metadata!I583,"missing: restricted access"))),AND(IF(metadata!I583="",FALSE,TRUE),OR(exact(metadata!I583,"air"),exact(metadata!I583,"built environment"),exact(metadata!I583,"host-associated"),exact(metadata!I583,"human-associated"),exact(metadata!I583,"human-skin"),exact(metadata!I583,"human-oral"),exact(metadata!I583,"human-gut"),exact(metadata!I583,"human-vaginal"),exact(metadata!I583,"microbial mat/biofilm"),exact(metadata!I583,"misc environment"),exact(metadata!I583,"plant-associated"),exact(metadata!I583,"sediment"),exact(metadata!I583,"soil"),exact(metadata!I583,"wastewater/sludge"),exact(metadata!I583,"water"))))</f>
        <v>0</v>
      </c>
      <c r="AJ583">
        <f>IF(metadata!J583="",FALSE,TRUE)</f>
        <v>0</v>
      </c>
      <c r="AK583">
        <f>OR(AND(IF(metadata!K583="",FALSE,TRUE),OR(exact(metadata!K583,"missing: not collected"),exact(metadata!K583,"missing: not provided"),exact(metadata!K583,"missing: restricted access"))),AND(IF(metadata!K583="",FALSE,ISNUMBER(VALUE(metadata!K583))),metadata!K583&gt;=-90.00,metadata!K583&lt;=90.00))</f>
        <v>0</v>
      </c>
      <c r="AL583">
        <f>OR(AND(IF(metadata!L583="",FALSE,TRUE),OR(exact(metadata!L583,"missing: not collected"),exact(metadata!L583,"missing: not provided"),exact(metadata!L583,"missing: restricted access"))),AND(IF(metadata!L583="",FALSE,ISNUMBER(VALUE(metadata!L583))),metadata!L583&gt;=-180.00,metadata!L583&lt;=180.00))</f>
        <v>0</v>
      </c>
      <c r="AM583">
        <f>IF(metadata!M583="",FALSE,TRUE)</f>
        <v>0</v>
      </c>
      <c r="AN583">
        <f>OR(AND(IF(metadata!N583="",FALSE,TRUE),OR(exact(metadata!N583,"missing: not collected"),exact(metadata!N583,"missing: not provided"),exact(metadata!N583,"missing: restricted access"))),AND(IF(metadata!N583="",FALSE,TRUE),OR(exact(metadata!N583,"TRUE"),exact(metadata!N583,"FALSE"))))</f>
        <v>0</v>
      </c>
      <c r="AO583">
        <f>IF(metadata!O583="",FALSE,TRUE)</f>
        <v>0</v>
      </c>
      <c r="AP583">
        <f>OR(AND(IF(metadata!P583="",FALSE,TRUE),OR(exact(metadata!P583,"missing: not collected"),exact(metadata!P583,"missing: not provided"))),AND(IF(metadata!P583="",FALSE,IF(ISERROR(INT(metadata!P583)),FALSE,INT(metadata!P583)=metadata!P583)),metadata!P583&gt;0))</f>
        <v>0</v>
      </c>
      <c r="AQ583">
        <f>IF(metadata!Q583="",FALSE,TRUE)</f>
        <v>0</v>
      </c>
    </row>
    <row r="584" spans="1:43">
      <c r="A584" s="5">
        <f>IF(B584=" "," ",HYPERLINK(CONCATENATE("#metadata!",ADDRESS(INDEX($W$2:$W$1001,MATCH(ROWS($U$2:U584),$U$2:$U$1001,0),0),1)),INDEX($Z$2:$Z$1001,MATCH(ROWS($U$2:U584),$U$2:$U$1001,0),0)))</f>
        <v>0</v>
      </c>
      <c r="B584" s="4">
        <f>IF(OR(INDEX($V$2:$V$1001,MATCH(ROWS($U$2:U584),$U$2:$U$1001,0),1)&gt;=100000,INDEX($AB$1005:$AQ$1005,1,MATCH(COLUMNS($AB$1006:AB1006),$AB$1006:$AQ$1006,0))&gt;=100000), " ",IF(INDEX($AB$2:$AQ$1001,MATCH(ROWS($U$2:U584),$U$2:$U$1001,0),MATCH(COLUMNS($AB$1006:AB1006),$AB$1006:$AQ$1006,0)), HYPERLINK("#",""), HYPERLINK(CONCATENATE("#metadata!", ADDRESS(INDEX($W$2:$W$1001,MATCH(ROWS($U$2:U584),$U$2:$U$1001,0),0), INDEX($AB$1004:$AQ$1004,1,MATCH(COLUMNS($AB$1006:AB1006),$AB$1006:$AQ$1006,0)))),"Fix")))</f>
        <v>0</v>
      </c>
      <c r="C584" s="4">
        <f>IF(OR(INDEX($V$2:$V$1001,MATCH(ROWS($U$2:U584),$U$2:$U$1001,0),1)&gt;=100000,INDEX($AB$1005:$AQ$1005,1,MATCH(COLUMNS($AB$1006:AC1006),$AB$1006:$AQ$1006,0))&gt;=100000), " ",IF(INDEX($AB$2:$AQ$1001,MATCH(ROWS($U$2:U584),$U$2:$U$1001,0),MATCH(COLUMNS($AB$1006:AC1006),$AB$1006:$AQ$1006,0)), HYPERLINK("#",""), HYPERLINK(CONCATENATE("#metadata!", ADDRESS(INDEX($W$2:$W$1001,MATCH(ROWS($U$2:U584),$U$2:$U$1001,0),0), INDEX($AB$1004:$AQ$1004,1,MATCH(COLUMNS($AB$1006:AC1006),$AB$1006:$AQ$1006,0)))),"Fix")))</f>
        <v>0</v>
      </c>
      <c r="D584" s="4">
        <f>IF(OR(INDEX($V$2:$V$1001,MATCH(ROWS($U$2:U584),$U$2:$U$1001,0),1)&gt;=100000,INDEX($AB$1005:$AQ$1005,1,MATCH(COLUMNS($AB$1006:AD1006),$AB$1006:$AQ$1006,0))&gt;=100000), " ",IF(INDEX($AB$2:$AQ$1001,MATCH(ROWS($U$2:U584),$U$2:$U$1001,0),MATCH(COLUMNS($AB$1006:AD1006),$AB$1006:$AQ$1006,0)), HYPERLINK("#",""), HYPERLINK(CONCATENATE("#metadata!", ADDRESS(INDEX($W$2:$W$1001,MATCH(ROWS($U$2:U584),$U$2:$U$1001,0),0), INDEX($AB$1004:$AQ$1004,1,MATCH(COLUMNS($AB$1006:AD1006),$AB$1006:$AQ$1006,0)))),"Fix")))</f>
        <v>0</v>
      </c>
      <c r="E584" s="4">
        <f>IF(OR(INDEX($V$2:$V$1001,MATCH(ROWS($U$2:U584),$U$2:$U$1001,0),1)&gt;=100000,INDEX($AB$1005:$AQ$1005,1,MATCH(COLUMNS($AB$1006:AE1006),$AB$1006:$AQ$1006,0))&gt;=100000), " ",IF(INDEX($AB$2:$AQ$1001,MATCH(ROWS($U$2:U584),$U$2:$U$1001,0),MATCH(COLUMNS($AB$1006:AE1006),$AB$1006:$AQ$1006,0)), HYPERLINK("#",""), HYPERLINK(CONCATENATE("#metadata!", ADDRESS(INDEX($W$2:$W$1001,MATCH(ROWS($U$2:U584),$U$2:$U$1001,0),0), INDEX($AB$1004:$AQ$1004,1,MATCH(COLUMNS($AB$1006:AE1006),$AB$1006:$AQ$1006,0)))),"Fix")))</f>
        <v>0</v>
      </c>
      <c r="F584" s="4">
        <f>IF(OR(INDEX($V$2:$V$1001,MATCH(ROWS($U$2:U584),$U$2:$U$1001,0),1)&gt;=100000,INDEX($AB$1005:$AQ$1005,1,MATCH(COLUMNS($AB$1006:AF1006),$AB$1006:$AQ$1006,0))&gt;=100000), " ",IF(INDEX($AB$2:$AQ$1001,MATCH(ROWS($U$2:U584),$U$2:$U$1001,0),MATCH(COLUMNS($AB$1006:AF1006),$AB$1006:$AQ$1006,0)), HYPERLINK("#",""), HYPERLINK(CONCATENATE("#metadata!", ADDRESS(INDEX($W$2:$W$1001,MATCH(ROWS($U$2:U584),$U$2:$U$1001,0),0), INDEX($AB$1004:$AQ$1004,1,MATCH(COLUMNS($AB$1006:AF1006),$AB$1006:$AQ$1006,0)))),"Fix")))</f>
        <v>0</v>
      </c>
      <c r="G584" s="4">
        <f>IF(OR(INDEX($V$2:$V$1001,MATCH(ROWS($U$2:U584),$U$2:$U$1001,0),1)&gt;=100000,INDEX($AB$1005:$AQ$1005,1,MATCH(COLUMNS($AB$1006:AG1006),$AB$1006:$AQ$1006,0))&gt;=100000), " ",IF(INDEX($AB$2:$AQ$1001,MATCH(ROWS($U$2:U584),$U$2:$U$1001,0),MATCH(COLUMNS($AB$1006:AG1006),$AB$1006:$AQ$1006,0)), HYPERLINK("#",""), HYPERLINK(CONCATENATE("#metadata!", ADDRESS(INDEX($W$2:$W$1001,MATCH(ROWS($U$2:U584),$U$2:$U$1001,0),0), INDEX($AB$1004:$AQ$1004,1,MATCH(COLUMNS($AB$1006:AG1006),$AB$1006:$AQ$1006,0)))),"Fix")))</f>
        <v>0</v>
      </c>
      <c r="H584" s="4">
        <f>IF(OR(INDEX($V$2:$V$1001,MATCH(ROWS($U$2:U584),$U$2:$U$1001,0),1)&gt;=100000,INDEX($AB$1005:$AQ$1005,1,MATCH(COLUMNS($AB$1006:AH1006),$AB$1006:$AQ$1006,0))&gt;=100000), " ",IF(INDEX($AB$2:$AQ$1001,MATCH(ROWS($U$2:U584),$U$2:$U$1001,0),MATCH(COLUMNS($AB$1006:AH1006),$AB$1006:$AQ$1006,0)), HYPERLINK("#",""), HYPERLINK(CONCATENATE("#metadata!", ADDRESS(INDEX($W$2:$W$1001,MATCH(ROWS($U$2:U584),$U$2:$U$1001,0),0), INDEX($AB$1004:$AQ$1004,1,MATCH(COLUMNS($AB$1006:AH1006),$AB$1006:$AQ$1006,0)))),"Fix")))</f>
        <v>0</v>
      </c>
      <c r="I584" s="4">
        <f>IF(OR(INDEX($V$2:$V$1001,MATCH(ROWS($U$2:U584),$U$2:$U$1001,0),1)&gt;=100000,INDEX($AB$1005:$AQ$1005,1,MATCH(COLUMNS($AB$1006:AI1006),$AB$1006:$AQ$1006,0))&gt;=100000), " ",IF(INDEX($AB$2:$AQ$1001,MATCH(ROWS($U$2:U584),$U$2:$U$1001,0),MATCH(COLUMNS($AB$1006:AI1006),$AB$1006:$AQ$1006,0)), HYPERLINK("#",""), HYPERLINK(CONCATENATE("#metadata!", ADDRESS(INDEX($W$2:$W$1001,MATCH(ROWS($U$2:U584),$U$2:$U$1001,0),0), INDEX($AB$1004:$AQ$1004,1,MATCH(COLUMNS($AB$1006:AI1006),$AB$1006:$AQ$1006,0)))),"Fix")))</f>
        <v>0</v>
      </c>
      <c r="J584" s="4">
        <f>IF(OR(INDEX($V$2:$V$1001,MATCH(ROWS($U$2:U584),$U$2:$U$1001,0),1)&gt;=100000,INDEX($AB$1005:$AQ$1005,1,MATCH(COLUMNS($AB$1006:AJ1006),$AB$1006:$AQ$1006,0))&gt;=100000), " ",IF(INDEX($AB$2:$AQ$1001,MATCH(ROWS($U$2:U584),$U$2:$U$1001,0),MATCH(COLUMNS($AB$1006:AJ1006),$AB$1006:$AQ$1006,0)), HYPERLINK("#",""), HYPERLINK(CONCATENATE("#metadata!", ADDRESS(INDEX($W$2:$W$1001,MATCH(ROWS($U$2:U584),$U$2:$U$1001,0),0), INDEX($AB$1004:$AQ$1004,1,MATCH(COLUMNS($AB$1006:AJ1006),$AB$1006:$AQ$1006,0)))),"Fix")))</f>
        <v>0</v>
      </c>
      <c r="K584" s="4">
        <f>IF(OR(INDEX($V$2:$V$1001,MATCH(ROWS($U$2:U584),$U$2:$U$1001,0),1)&gt;=100000,INDEX($AB$1005:$AQ$1005,1,MATCH(COLUMNS($AB$1006:AK1006),$AB$1006:$AQ$1006,0))&gt;=100000), " ",IF(INDEX($AB$2:$AQ$1001,MATCH(ROWS($U$2:U584),$U$2:$U$1001,0),MATCH(COLUMNS($AB$1006:AK1006),$AB$1006:$AQ$1006,0)), HYPERLINK("#",""), HYPERLINK(CONCATENATE("#metadata!", ADDRESS(INDEX($W$2:$W$1001,MATCH(ROWS($U$2:U584),$U$2:$U$1001,0),0), INDEX($AB$1004:$AQ$1004,1,MATCH(COLUMNS($AB$1006:AK1006),$AB$1006:$AQ$1006,0)))),"Fix")))</f>
        <v>0</v>
      </c>
      <c r="L584" s="4">
        <f>IF(OR(INDEX($V$2:$V$1001,MATCH(ROWS($U$2:U584),$U$2:$U$1001,0),1)&gt;=100000,INDEX($AB$1005:$AQ$1005,1,MATCH(COLUMNS($AB$1006:AL1006),$AB$1006:$AQ$1006,0))&gt;=100000), " ",IF(INDEX($AB$2:$AQ$1001,MATCH(ROWS($U$2:U584),$U$2:$U$1001,0),MATCH(COLUMNS($AB$1006:AL1006),$AB$1006:$AQ$1006,0)), HYPERLINK("#",""), HYPERLINK(CONCATENATE("#metadata!", ADDRESS(INDEX($W$2:$W$1001,MATCH(ROWS($U$2:U584),$U$2:$U$1001,0),0), INDEX($AB$1004:$AQ$1004,1,MATCH(COLUMNS($AB$1006:AL1006),$AB$1006:$AQ$1006,0)))),"Fix")))</f>
        <v>0</v>
      </c>
      <c r="M584" s="4">
        <f>IF(OR(INDEX($V$2:$V$1001,MATCH(ROWS($U$2:U584),$U$2:$U$1001,0),1)&gt;=100000,INDEX($AB$1005:$AQ$1005,1,MATCH(COLUMNS($AB$1006:AM1006),$AB$1006:$AQ$1006,0))&gt;=100000), " ",IF(INDEX($AB$2:$AQ$1001,MATCH(ROWS($U$2:U584),$U$2:$U$1001,0),MATCH(COLUMNS($AB$1006:AM1006),$AB$1006:$AQ$1006,0)), HYPERLINK("#",""), HYPERLINK(CONCATENATE("#metadata!", ADDRESS(INDEX($W$2:$W$1001,MATCH(ROWS($U$2:U584),$U$2:$U$1001,0),0), INDEX($AB$1004:$AQ$1004,1,MATCH(COLUMNS($AB$1006:AM1006),$AB$1006:$AQ$1006,0)))),"Fix")))</f>
        <v>0</v>
      </c>
      <c r="N584" s="4">
        <f>IF(OR(INDEX($V$2:$V$1001,MATCH(ROWS($U$2:U584),$U$2:$U$1001,0),1)&gt;=100000,INDEX($AB$1005:$AQ$1005,1,MATCH(COLUMNS($AB$1006:AN1006),$AB$1006:$AQ$1006,0))&gt;=100000), " ",IF(INDEX($AB$2:$AQ$1001,MATCH(ROWS($U$2:U584),$U$2:$U$1001,0),MATCH(COLUMNS($AB$1006:AN1006),$AB$1006:$AQ$1006,0)), HYPERLINK("#",""), HYPERLINK(CONCATENATE("#metadata!", ADDRESS(INDEX($W$2:$W$1001,MATCH(ROWS($U$2:U584),$U$2:$U$1001,0),0), INDEX($AB$1004:$AQ$1004,1,MATCH(COLUMNS($AB$1006:AN1006),$AB$1006:$AQ$1006,0)))),"Fix")))</f>
        <v>0</v>
      </c>
      <c r="O584" s="4">
        <f>IF(OR(INDEX($V$2:$V$1001,MATCH(ROWS($U$2:U584),$U$2:$U$1001,0),1)&gt;=100000,INDEX($AB$1005:$AQ$1005,1,MATCH(COLUMNS($AB$1006:AO1006),$AB$1006:$AQ$1006,0))&gt;=100000), " ",IF(INDEX($AB$2:$AQ$1001,MATCH(ROWS($U$2:U584),$U$2:$U$1001,0),MATCH(COLUMNS($AB$1006:AO1006),$AB$1006:$AQ$1006,0)), HYPERLINK("#",""), HYPERLINK(CONCATENATE("#metadata!", ADDRESS(INDEX($W$2:$W$1001,MATCH(ROWS($U$2:U584),$U$2:$U$1001,0),0), INDEX($AB$1004:$AQ$1004,1,MATCH(COLUMNS($AB$1006:AO1006),$AB$1006:$AQ$1006,0)))),"Fix")))</f>
        <v>0</v>
      </c>
      <c r="P584" s="4">
        <f>IF(OR(INDEX($V$2:$V$1001,MATCH(ROWS($U$2:U584),$U$2:$U$1001,0),1)&gt;=100000,INDEX($AB$1005:$AQ$1005,1,MATCH(COLUMNS($AB$1006:AP1006),$AB$1006:$AQ$1006,0))&gt;=100000), " ",IF(INDEX($AB$2:$AQ$1001,MATCH(ROWS($U$2:U584),$U$2:$U$1001,0),MATCH(COLUMNS($AB$1006:AP1006),$AB$1006:$AQ$1006,0)), HYPERLINK("#",""), HYPERLINK(CONCATENATE("#metadata!", ADDRESS(INDEX($W$2:$W$1001,MATCH(ROWS($U$2:U584),$U$2:$U$1001,0),0), INDEX($AB$1004:$AQ$1004,1,MATCH(COLUMNS($AB$1006:AP1006),$AB$1006:$AQ$1006,0)))),"Fix")))</f>
        <v>0</v>
      </c>
      <c r="Q584" s="4">
        <f>IF(OR(INDEX($V$2:$V$1001,MATCH(ROWS($U$2:U584),$U$2:$U$1001,0),1)&gt;=100000,INDEX($AB$1005:$AQ$1005,1,MATCH(COLUMNS($AB$1006:AQ1006),$AB$1006:$AQ$1006,0))&gt;=100000), " ",IF(INDEX($AB$2:$AQ$1001,MATCH(ROWS($U$2:U584),$U$2:$U$1001,0),MATCH(COLUMNS($AB$1006:AQ1006),$AB$1006:$AQ$1006,0)), HYPERLINK("#",""), HYPERLINK(CONCATENATE("#metadata!", ADDRESS(INDEX($W$2:$W$1001,MATCH(ROWS($U$2:U584),$U$2:$U$1001,0),0), INDEX($AB$1004:$AQ$1004,1,MATCH(COLUMNS($AB$1006:AQ1006),$AB$1006:$AQ$1006,0)))),"Fix")))</f>
        <v>0</v>
      </c>
      <c r="U584">
        <v>0</v>
      </c>
      <c r="V584">
        <v>0</v>
      </c>
      <c r="W584">
        <v>0</v>
      </c>
      <c r="X584">
        <f>IF(Y584,TRUE,AND(AB584:AQ584))</f>
        <v>0</v>
      </c>
      <c r="Y584">
        <f>COUNTBLANK(metadata!B584:Q584)=COLUMNS(metadata!B584:Q584)</f>
        <v>0</v>
      </c>
      <c r="Z584">
        <v>0</v>
      </c>
      <c r="AB584">
        <f>AND(IF(metadata!B584="",FALSE,TRUE),COUNTIF(metadata!B:B, metadata!B584) = 1,NOT(ISERROR(SUMPRODUCT(SEARCH(MID(metadata!B584,ROW(INDIRECT("1:"&amp;LEN(metadata!B584))), 1),"0123456789abcdefghijklmnopqrstuvwxyzABCDEFGHIJKLMNOPQRSTUVWXYZ.")))))</f>
        <v>0</v>
      </c>
      <c r="AC584">
        <f>OR(AND(IF(metadata!C584="",FALSE,TRUE),OR(exact(metadata!C584,"missing: not collected"),exact(metadata!C584,"missing: not provided"),exact(metadata!C584,"missing: restricted access"))),AND(IF(metadata!C584="",FALSE,TRUE),AND(AND(IFERROR(INT(LEFT(metadata!C584,4))&gt;1900,FALSE),IFERROR(INT(LEFT(metadata!C584,4))&lt;=YEAR(NOW()),FALSE)), OR(MID(metadata!C584,5,1)="", AND(AND(MID(metadata!C584,5,1)="-",IFERROR(INT(MID(metadata!C584,6,1))&gt;=0,FALSE),IFERROR(INT(MID(metadata!C584,6,1))&lt;=1,FALSE),NOT(MID(metadata!C584,7,1)=""),IFERROR(INT(MID(metadata!C584,6,2))&gt;=1,FALSE),IFERROR(INT(MID(metadata!C584,6,2))&lt;=12,FALSE)), OR(MID(metadata!C584,8,1)="", AND(AND(MID(metadata!C584,8,1)="-",IFERROR(INT(MID(metadata!C584,9,1))&gt;=0,FALSE),IFERROR(INT(MID(metadata!C584,9,1))&lt;=3,FALSE),NOT(MID(metadata!C584,10,1)=""),IFERROR(INT(MID(metadata!C584,9,2))&gt;=1,FALSE),IFERROR(INT(MID(metadata!C584,9,2))&lt;=31,FALSE)), OR(MID(metadata!C584,11,1)="", AND(AND(MID(metadata!C584,11,1)=" ",IFERROR(INT(MID(metadata!C584,12,1))&gt;=0,FALSE),IFERROR(INT(MID(metadata!C584,12,1))&lt;=2,FALSE),NOT(MID(metadata!C584,13,1)=""),IFERROR(INT(MID(metadata!C584,12,2))&gt;=0,FALSE),IFERROR(INT(MID(metadata!C584,12,2))&lt;=23,FALSE)), OR(MID(metadata!C584,14,1)="", AND(AND(MID(metadata!C584,14,1)=":",IFERROR(INT(MID(metadata!C584,15,1))&gt;=0,FALSE),IFERROR(INT(MID(metadata!C584,15,1))&lt;=5,FALSE),NOT(MID(metadata!C584,16,1)=""),IFERROR(INT(MID(metadata!C584,15,2))&gt;=0,FALSE),IFERROR(INT(MID(metadata!C584,15,2))&lt;=59,FALSE)), OR(MID(metadata!C584,17,1)="", AND(AND(MID(metadata!C584,17,1)=":",IFERROR(INT(MID(metadata!C584,18,1))&gt;=0,FALSE),IFERROR(INT(MID(metadata!C584,18,1))&lt;=5,FALSE),NOT(MID(metadata!C584,19,1)=""),IFERROR(INT(MID(metadata!C584,18,2))&gt;=0,FALSE),IFERROR(INT(MID(metadata!C584,18,2))&lt;=59,FALSE)), LEN(metadata!C584)&lt;=19)))))))))))))</f>
        <v>0</v>
      </c>
      <c r="AD584">
        <f>IF(metadata!D584="",FALSE,TRUE)</f>
        <v>0</v>
      </c>
      <c r="AE584">
        <f>OR(AND(IF(metadata!E584="",FALSE,TRUE),OR(exact(metadata!E584,"missing: not collected"),exact(metadata!E584,"missing: not provided"))),AND(IF(metadata!E584="",FALSE,TRUE),OR(exact(metadata!E584,"TRUE"),exact(metadata!E584,"FALSE"))))</f>
        <v>0</v>
      </c>
      <c r="AF584">
        <f>IF(metadata!F584="",FALSE,TRUE)</f>
        <v>0</v>
      </c>
      <c r="AG584">
        <f>IF(metadata!G584="",FALSE,TRUE)</f>
        <v>0</v>
      </c>
      <c r="AH584">
        <f>IF(metadata!H584="",FALSE,TRUE)</f>
        <v>0</v>
      </c>
      <c r="AI584">
        <f>OR(AND(IF(metadata!I584="",FALSE,TRUE),OR(exact(metadata!I584,"missing: not collected"),exact(metadata!I584,"missing: not provided"),exact(metadata!I584,"missing: restricted access"))),AND(IF(metadata!I584="",FALSE,TRUE),OR(exact(metadata!I584,"air"),exact(metadata!I584,"built environment"),exact(metadata!I584,"host-associated"),exact(metadata!I584,"human-associated"),exact(metadata!I584,"human-skin"),exact(metadata!I584,"human-oral"),exact(metadata!I584,"human-gut"),exact(metadata!I584,"human-vaginal"),exact(metadata!I584,"microbial mat/biofilm"),exact(metadata!I584,"misc environment"),exact(metadata!I584,"plant-associated"),exact(metadata!I584,"sediment"),exact(metadata!I584,"soil"),exact(metadata!I584,"wastewater/sludge"),exact(metadata!I584,"water"))))</f>
        <v>0</v>
      </c>
      <c r="AJ584">
        <f>IF(metadata!J584="",FALSE,TRUE)</f>
        <v>0</v>
      </c>
      <c r="AK584">
        <f>OR(AND(IF(metadata!K584="",FALSE,TRUE),OR(exact(metadata!K584,"missing: not collected"),exact(metadata!K584,"missing: not provided"),exact(metadata!K584,"missing: restricted access"))),AND(IF(metadata!K584="",FALSE,ISNUMBER(VALUE(metadata!K584))),metadata!K584&gt;=-90.00,metadata!K584&lt;=90.00))</f>
        <v>0</v>
      </c>
      <c r="AL584">
        <f>OR(AND(IF(metadata!L584="",FALSE,TRUE),OR(exact(metadata!L584,"missing: not collected"),exact(metadata!L584,"missing: not provided"),exact(metadata!L584,"missing: restricted access"))),AND(IF(metadata!L584="",FALSE,ISNUMBER(VALUE(metadata!L584))),metadata!L584&gt;=-180.00,metadata!L584&lt;=180.00))</f>
        <v>0</v>
      </c>
      <c r="AM584">
        <f>IF(metadata!M584="",FALSE,TRUE)</f>
        <v>0</v>
      </c>
      <c r="AN584">
        <f>OR(AND(IF(metadata!N584="",FALSE,TRUE),OR(exact(metadata!N584,"missing: not collected"),exact(metadata!N584,"missing: not provided"),exact(metadata!N584,"missing: restricted access"))),AND(IF(metadata!N584="",FALSE,TRUE),OR(exact(metadata!N584,"TRUE"),exact(metadata!N584,"FALSE"))))</f>
        <v>0</v>
      </c>
      <c r="AO584">
        <f>IF(metadata!O584="",FALSE,TRUE)</f>
        <v>0</v>
      </c>
      <c r="AP584">
        <f>OR(AND(IF(metadata!P584="",FALSE,TRUE),OR(exact(metadata!P584,"missing: not collected"),exact(metadata!P584,"missing: not provided"))),AND(IF(metadata!P584="",FALSE,IF(ISERROR(INT(metadata!P584)),FALSE,INT(metadata!P584)=metadata!P584)),metadata!P584&gt;0))</f>
        <v>0</v>
      </c>
      <c r="AQ584">
        <f>IF(metadata!Q584="",FALSE,TRUE)</f>
        <v>0</v>
      </c>
    </row>
    <row r="585" spans="1:43">
      <c r="A585" s="5">
        <f>IF(B585=" "," ",HYPERLINK(CONCATENATE("#metadata!",ADDRESS(INDEX($W$2:$W$1001,MATCH(ROWS($U$2:U585),$U$2:$U$1001,0),0),1)),INDEX($Z$2:$Z$1001,MATCH(ROWS($U$2:U585),$U$2:$U$1001,0),0)))</f>
        <v>0</v>
      </c>
      <c r="B585" s="4">
        <f>IF(OR(INDEX($V$2:$V$1001,MATCH(ROWS($U$2:U585),$U$2:$U$1001,0),1)&gt;=100000,INDEX($AB$1005:$AQ$1005,1,MATCH(COLUMNS($AB$1006:AB1006),$AB$1006:$AQ$1006,0))&gt;=100000), " ",IF(INDEX($AB$2:$AQ$1001,MATCH(ROWS($U$2:U585),$U$2:$U$1001,0),MATCH(COLUMNS($AB$1006:AB1006),$AB$1006:$AQ$1006,0)), HYPERLINK("#",""), HYPERLINK(CONCATENATE("#metadata!", ADDRESS(INDEX($W$2:$W$1001,MATCH(ROWS($U$2:U585),$U$2:$U$1001,0),0), INDEX($AB$1004:$AQ$1004,1,MATCH(COLUMNS($AB$1006:AB1006),$AB$1006:$AQ$1006,0)))),"Fix")))</f>
        <v>0</v>
      </c>
      <c r="C585" s="4">
        <f>IF(OR(INDEX($V$2:$V$1001,MATCH(ROWS($U$2:U585),$U$2:$U$1001,0),1)&gt;=100000,INDEX($AB$1005:$AQ$1005,1,MATCH(COLUMNS($AB$1006:AC1006),$AB$1006:$AQ$1006,0))&gt;=100000), " ",IF(INDEX($AB$2:$AQ$1001,MATCH(ROWS($U$2:U585),$U$2:$U$1001,0),MATCH(COLUMNS($AB$1006:AC1006),$AB$1006:$AQ$1006,0)), HYPERLINK("#",""), HYPERLINK(CONCATENATE("#metadata!", ADDRESS(INDEX($W$2:$W$1001,MATCH(ROWS($U$2:U585),$U$2:$U$1001,0),0), INDEX($AB$1004:$AQ$1004,1,MATCH(COLUMNS($AB$1006:AC1006),$AB$1006:$AQ$1006,0)))),"Fix")))</f>
        <v>0</v>
      </c>
      <c r="D585" s="4">
        <f>IF(OR(INDEX($V$2:$V$1001,MATCH(ROWS($U$2:U585),$U$2:$U$1001,0),1)&gt;=100000,INDEX($AB$1005:$AQ$1005,1,MATCH(COLUMNS($AB$1006:AD1006),$AB$1006:$AQ$1006,0))&gt;=100000), " ",IF(INDEX($AB$2:$AQ$1001,MATCH(ROWS($U$2:U585),$U$2:$U$1001,0),MATCH(COLUMNS($AB$1006:AD1006),$AB$1006:$AQ$1006,0)), HYPERLINK("#",""), HYPERLINK(CONCATENATE("#metadata!", ADDRESS(INDEX($W$2:$W$1001,MATCH(ROWS($U$2:U585),$U$2:$U$1001,0),0), INDEX($AB$1004:$AQ$1004,1,MATCH(COLUMNS($AB$1006:AD1006),$AB$1006:$AQ$1006,0)))),"Fix")))</f>
        <v>0</v>
      </c>
      <c r="E585" s="4">
        <f>IF(OR(INDEX($V$2:$V$1001,MATCH(ROWS($U$2:U585),$U$2:$U$1001,0),1)&gt;=100000,INDEX($AB$1005:$AQ$1005,1,MATCH(COLUMNS($AB$1006:AE1006),$AB$1006:$AQ$1006,0))&gt;=100000), " ",IF(INDEX($AB$2:$AQ$1001,MATCH(ROWS($U$2:U585),$U$2:$U$1001,0),MATCH(COLUMNS($AB$1006:AE1006),$AB$1006:$AQ$1006,0)), HYPERLINK("#",""), HYPERLINK(CONCATENATE("#metadata!", ADDRESS(INDEX($W$2:$W$1001,MATCH(ROWS($U$2:U585),$U$2:$U$1001,0),0), INDEX($AB$1004:$AQ$1004,1,MATCH(COLUMNS($AB$1006:AE1006),$AB$1006:$AQ$1006,0)))),"Fix")))</f>
        <v>0</v>
      </c>
      <c r="F585" s="4">
        <f>IF(OR(INDEX($V$2:$V$1001,MATCH(ROWS($U$2:U585),$U$2:$U$1001,0),1)&gt;=100000,INDEX($AB$1005:$AQ$1005,1,MATCH(COLUMNS($AB$1006:AF1006),$AB$1006:$AQ$1006,0))&gt;=100000), " ",IF(INDEX($AB$2:$AQ$1001,MATCH(ROWS($U$2:U585),$U$2:$U$1001,0),MATCH(COLUMNS($AB$1006:AF1006),$AB$1006:$AQ$1006,0)), HYPERLINK("#",""), HYPERLINK(CONCATENATE("#metadata!", ADDRESS(INDEX($W$2:$W$1001,MATCH(ROWS($U$2:U585),$U$2:$U$1001,0),0), INDEX($AB$1004:$AQ$1004,1,MATCH(COLUMNS($AB$1006:AF1006),$AB$1006:$AQ$1006,0)))),"Fix")))</f>
        <v>0</v>
      </c>
      <c r="G585" s="4">
        <f>IF(OR(INDEX($V$2:$V$1001,MATCH(ROWS($U$2:U585),$U$2:$U$1001,0),1)&gt;=100000,INDEX($AB$1005:$AQ$1005,1,MATCH(COLUMNS($AB$1006:AG1006),$AB$1006:$AQ$1006,0))&gt;=100000), " ",IF(INDEX($AB$2:$AQ$1001,MATCH(ROWS($U$2:U585),$U$2:$U$1001,0),MATCH(COLUMNS($AB$1006:AG1006),$AB$1006:$AQ$1006,0)), HYPERLINK("#",""), HYPERLINK(CONCATENATE("#metadata!", ADDRESS(INDEX($W$2:$W$1001,MATCH(ROWS($U$2:U585),$U$2:$U$1001,0),0), INDEX($AB$1004:$AQ$1004,1,MATCH(COLUMNS($AB$1006:AG1006),$AB$1006:$AQ$1006,0)))),"Fix")))</f>
        <v>0</v>
      </c>
      <c r="H585" s="4">
        <f>IF(OR(INDEX($V$2:$V$1001,MATCH(ROWS($U$2:U585),$U$2:$U$1001,0),1)&gt;=100000,INDEX($AB$1005:$AQ$1005,1,MATCH(COLUMNS($AB$1006:AH1006),$AB$1006:$AQ$1006,0))&gt;=100000), " ",IF(INDEX($AB$2:$AQ$1001,MATCH(ROWS($U$2:U585),$U$2:$U$1001,0),MATCH(COLUMNS($AB$1006:AH1006),$AB$1006:$AQ$1006,0)), HYPERLINK("#",""), HYPERLINK(CONCATENATE("#metadata!", ADDRESS(INDEX($W$2:$W$1001,MATCH(ROWS($U$2:U585),$U$2:$U$1001,0),0), INDEX($AB$1004:$AQ$1004,1,MATCH(COLUMNS($AB$1006:AH1006),$AB$1006:$AQ$1006,0)))),"Fix")))</f>
        <v>0</v>
      </c>
      <c r="I585" s="4">
        <f>IF(OR(INDEX($V$2:$V$1001,MATCH(ROWS($U$2:U585),$U$2:$U$1001,0),1)&gt;=100000,INDEX($AB$1005:$AQ$1005,1,MATCH(COLUMNS($AB$1006:AI1006),$AB$1006:$AQ$1006,0))&gt;=100000), " ",IF(INDEX($AB$2:$AQ$1001,MATCH(ROWS($U$2:U585),$U$2:$U$1001,0),MATCH(COLUMNS($AB$1006:AI1006),$AB$1006:$AQ$1006,0)), HYPERLINK("#",""), HYPERLINK(CONCATENATE("#metadata!", ADDRESS(INDEX($W$2:$W$1001,MATCH(ROWS($U$2:U585),$U$2:$U$1001,0),0), INDEX($AB$1004:$AQ$1004,1,MATCH(COLUMNS($AB$1006:AI1006),$AB$1006:$AQ$1006,0)))),"Fix")))</f>
        <v>0</v>
      </c>
      <c r="J585" s="4">
        <f>IF(OR(INDEX($V$2:$V$1001,MATCH(ROWS($U$2:U585),$U$2:$U$1001,0),1)&gt;=100000,INDEX($AB$1005:$AQ$1005,1,MATCH(COLUMNS($AB$1006:AJ1006),$AB$1006:$AQ$1006,0))&gt;=100000), " ",IF(INDEX($AB$2:$AQ$1001,MATCH(ROWS($U$2:U585),$U$2:$U$1001,0),MATCH(COLUMNS($AB$1006:AJ1006),$AB$1006:$AQ$1006,0)), HYPERLINK("#",""), HYPERLINK(CONCATENATE("#metadata!", ADDRESS(INDEX($W$2:$W$1001,MATCH(ROWS($U$2:U585),$U$2:$U$1001,0),0), INDEX($AB$1004:$AQ$1004,1,MATCH(COLUMNS($AB$1006:AJ1006),$AB$1006:$AQ$1006,0)))),"Fix")))</f>
        <v>0</v>
      </c>
      <c r="K585" s="4">
        <f>IF(OR(INDEX($V$2:$V$1001,MATCH(ROWS($U$2:U585),$U$2:$U$1001,0),1)&gt;=100000,INDEX($AB$1005:$AQ$1005,1,MATCH(COLUMNS($AB$1006:AK1006),$AB$1006:$AQ$1006,0))&gt;=100000), " ",IF(INDEX($AB$2:$AQ$1001,MATCH(ROWS($U$2:U585),$U$2:$U$1001,0),MATCH(COLUMNS($AB$1006:AK1006),$AB$1006:$AQ$1006,0)), HYPERLINK("#",""), HYPERLINK(CONCATENATE("#metadata!", ADDRESS(INDEX($W$2:$W$1001,MATCH(ROWS($U$2:U585),$U$2:$U$1001,0),0), INDEX($AB$1004:$AQ$1004,1,MATCH(COLUMNS($AB$1006:AK1006),$AB$1006:$AQ$1006,0)))),"Fix")))</f>
        <v>0</v>
      </c>
      <c r="L585" s="4">
        <f>IF(OR(INDEX($V$2:$V$1001,MATCH(ROWS($U$2:U585),$U$2:$U$1001,0),1)&gt;=100000,INDEX($AB$1005:$AQ$1005,1,MATCH(COLUMNS($AB$1006:AL1006),$AB$1006:$AQ$1006,0))&gt;=100000), " ",IF(INDEX($AB$2:$AQ$1001,MATCH(ROWS($U$2:U585),$U$2:$U$1001,0),MATCH(COLUMNS($AB$1006:AL1006),$AB$1006:$AQ$1006,0)), HYPERLINK("#",""), HYPERLINK(CONCATENATE("#metadata!", ADDRESS(INDEX($W$2:$W$1001,MATCH(ROWS($U$2:U585),$U$2:$U$1001,0),0), INDEX($AB$1004:$AQ$1004,1,MATCH(COLUMNS($AB$1006:AL1006),$AB$1006:$AQ$1006,0)))),"Fix")))</f>
        <v>0</v>
      </c>
      <c r="M585" s="4">
        <f>IF(OR(INDEX($V$2:$V$1001,MATCH(ROWS($U$2:U585),$U$2:$U$1001,0),1)&gt;=100000,INDEX($AB$1005:$AQ$1005,1,MATCH(COLUMNS($AB$1006:AM1006),$AB$1006:$AQ$1006,0))&gt;=100000), " ",IF(INDEX($AB$2:$AQ$1001,MATCH(ROWS($U$2:U585),$U$2:$U$1001,0),MATCH(COLUMNS($AB$1006:AM1006),$AB$1006:$AQ$1006,0)), HYPERLINK("#",""), HYPERLINK(CONCATENATE("#metadata!", ADDRESS(INDEX($W$2:$W$1001,MATCH(ROWS($U$2:U585),$U$2:$U$1001,0),0), INDEX($AB$1004:$AQ$1004,1,MATCH(COLUMNS($AB$1006:AM1006),$AB$1006:$AQ$1006,0)))),"Fix")))</f>
        <v>0</v>
      </c>
      <c r="N585" s="4">
        <f>IF(OR(INDEX($V$2:$V$1001,MATCH(ROWS($U$2:U585),$U$2:$U$1001,0),1)&gt;=100000,INDEX($AB$1005:$AQ$1005,1,MATCH(COLUMNS($AB$1006:AN1006),$AB$1006:$AQ$1006,0))&gt;=100000), " ",IF(INDEX($AB$2:$AQ$1001,MATCH(ROWS($U$2:U585),$U$2:$U$1001,0),MATCH(COLUMNS($AB$1006:AN1006),$AB$1006:$AQ$1006,0)), HYPERLINK("#",""), HYPERLINK(CONCATENATE("#metadata!", ADDRESS(INDEX($W$2:$W$1001,MATCH(ROWS($U$2:U585),$U$2:$U$1001,0),0), INDEX($AB$1004:$AQ$1004,1,MATCH(COLUMNS($AB$1006:AN1006),$AB$1006:$AQ$1006,0)))),"Fix")))</f>
        <v>0</v>
      </c>
      <c r="O585" s="4">
        <f>IF(OR(INDEX($V$2:$V$1001,MATCH(ROWS($U$2:U585),$U$2:$U$1001,0),1)&gt;=100000,INDEX($AB$1005:$AQ$1005,1,MATCH(COLUMNS($AB$1006:AO1006),$AB$1006:$AQ$1006,0))&gt;=100000), " ",IF(INDEX($AB$2:$AQ$1001,MATCH(ROWS($U$2:U585),$U$2:$U$1001,0),MATCH(COLUMNS($AB$1006:AO1006),$AB$1006:$AQ$1006,0)), HYPERLINK("#",""), HYPERLINK(CONCATENATE("#metadata!", ADDRESS(INDEX($W$2:$W$1001,MATCH(ROWS($U$2:U585),$U$2:$U$1001,0),0), INDEX($AB$1004:$AQ$1004,1,MATCH(COLUMNS($AB$1006:AO1006),$AB$1006:$AQ$1006,0)))),"Fix")))</f>
        <v>0</v>
      </c>
      <c r="P585" s="4">
        <f>IF(OR(INDEX($V$2:$V$1001,MATCH(ROWS($U$2:U585),$U$2:$U$1001,0),1)&gt;=100000,INDEX($AB$1005:$AQ$1005,1,MATCH(COLUMNS($AB$1006:AP1006),$AB$1006:$AQ$1006,0))&gt;=100000), " ",IF(INDEX($AB$2:$AQ$1001,MATCH(ROWS($U$2:U585),$U$2:$U$1001,0),MATCH(COLUMNS($AB$1006:AP1006),$AB$1006:$AQ$1006,0)), HYPERLINK("#",""), HYPERLINK(CONCATENATE("#metadata!", ADDRESS(INDEX($W$2:$W$1001,MATCH(ROWS($U$2:U585),$U$2:$U$1001,0),0), INDEX($AB$1004:$AQ$1004,1,MATCH(COLUMNS($AB$1006:AP1006),$AB$1006:$AQ$1006,0)))),"Fix")))</f>
        <v>0</v>
      </c>
      <c r="Q585" s="4">
        <f>IF(OR(INDEX($V$2:$V$1001,MATCH(ROWS($U$2:U585),$U$2:$U$1001,0),1)&gt;=100000,INDEX($AB$1005:$AQ$1005,1,MATCH(COLUMNS($AB$1006:AQ1006),$AB$1006:$AQ$1006,0))&gt;=100000), " ",IF(INDEX($AB$2:$AQ$1001,MATCH(ROWS($U$2:U585),$U$2:$U$1001,0),MATCH(COLUMNS($AB$1006:AQ1006),$AB$1006:$AQ$1006,0)), HYPERLINK("#",""), HYPERLINK(CONCATENATE("#metadata!", ADDRESS(INDEX($W$2:$W$1001,MATCH(ROWS($U$2:U585),$U$2:$U$1001,0),0), INDEX($AB$1004:$AQ$1004,1,MATCH(COLUMNS($AB$1006:AQ1006),$AB$1006:$AQ$1006,0)))),"Fix")))</f>
        <v>0</v>
      </c>
      <c r="U585">
        <v>0</v>
      </c>
      <c r="V585">
        <v>0</v>
      </c>
      <c r="W585">
        <v>0</v>
      </c>
      <c r="X585">
        <f>IF(Y585,TRUE,AND(AB585:AQ585))</f>
        <v>0</v>
      </c>
      <c r="Y585">
        <f>COUNTBLANK(metadata!B585:Q585)=COLUMNS(metadata!B585:Q585)</f>
        <v>0</v>
      </c>
      <c r="Z585">
        <v>0</v>
      </c>
      <c r="AB585">
        <f>AND(IF(metadata!B585="",FALSE,TRUE),COUNTIF(metadata!B:B, metadata!B585) = 1,NOT(ISERROR(SUMPRODUCT(SEARCH(MID(metadata!B585,ROW(INDIRECT("1:"&amp;LEN(metadata!B585))), 1),"0123456789abcdefghijklmnopqrstuvwxyzABCDEFGHIJKLMNOPQRSTUVWXYZ.")))))</f>
        <v>0</v>
      </c>
      <c r="AC585">
        <f>OR(AND(IF(metadata!C585="",FALSE,TRUE),OR(exact(metadata!C585,"missing: not collected"),exact(metadata!C585,"missing: not provided"),exact(metadata!C585,"missing: restricted access"))),AND(IF(metadata!C585="",FALSE,TRUE),AND(AND(IFERROR(INT(LEFT(metadata!C585,4))&gt;1900,FALSE),IFERROR(INT(LEFT(metadata!C585,4))&lt;=YEAR(NOW()),FALSE)), OR(MID(metadata!C585,5,1)="", AND(AND(MID(metadata!C585,5,1)="-",IFERROR(INT(MID(metadata!C585,6,1))&gt;=0,FALSE),IFERROR(INT(MID(metadata!C585,6,1))&lt;=1,FALSE),NOT(MID(metadata!C585,7,1)=""),IFERROR(INT(MID(metadata!C585,6,2))&gt;=1,FALSE),IFERROR(INT(MID(metadata!C585,6,2))&lt;=12,FALSE)), OR(MID(metadata!C585,8,1)="", AND(AND(MID(metadata!C585,8,1)="-",IFERROR(INT(MID(metadata!C585,9,1))&gt;=0,FALSE),IFERROR(INT(MID(metadata!C585,9,1))&lt;=3,FALSE),NOT(MID(metadata!C585,10,1)=""),IFERROR(INT(MID(metadata!C585,9,2))&gt;=1,FALSE),IFERROR(INT(MID(metadata!C585,9,2))&lt;=31,FALSE)), OR(MID(metadata!C585,11,1)="", AND(AND(MID(metadata!C585,11,1)=" ",IFERROR(INT(MID(metadata!C585,12,1))&gt;=0,FALSE),IFERROR(INT(MID(metadata!C585,12,1))&lt;=2,FALSE),NOT(MID(metadata!C585,13,1)=""),IFERROR(INT(MID(metadata!C585,12,2))&gt;=0,FALSE),IFERROR(INT(MID(metadata!C585,12,2))&lt;=23,FALSE)), OR(MID(metadata!C585,14,1)="", AND(AND(MID(metadata!C585,14,1)=":",IFERROR(INT(MID(metadata!C585,15,1))&gt;=0,FALSE),IFERROR(INT(MID(metadata!C585,15,1))&lt;=5,FALSE),NOT(MID(metadata!C585,16,1)=""),IFERROR(INT(MID(metadata!C585,15,2))&gt;=0,FALSE),IFERROR(INT(MID(metadata!C585,15,2))&lt;=59,FALSE)), OR(MID(metadata!C585,17,1)="", AND(AND(MID(metadata!C585,17,1)=":",IFERROR(INT(MID(metadata!C585,18,1))&gt;=0,FALSE),IFERROR(INT(MID(metadata!C585,18,1))&lt;=5,FALSE),NOT(MID(metadata!C585,19,1)=""),IFERROR(INT(MID(metadata!C585,18,2))&gt;=0,FALSE),IFERROR(INT(MID(metadata!C585,18,2))&lt;=59,FALSE)), LEN(metadata!C585)&lt;=19)))))))))))))</f>
        <v>0</v>
      </c>
      <c r="AD585">
        <f>IF(metadata!D585="",FALSE,TRUE)</f>
        <v>0</v>
      </c>
      <c r="AE585">
        <f>OR(AND(IF(metadata!E585="",FALSE,TRUE),OR(exact(metadata!E585,"missing: not collected"),exact(metadata!E585,"missing: not provided"))),AND(IF(metadata!E585="",FALSE,TRUE),OR(exact(metadata!E585,"TRUE"),exact(metadata!E585,"FALSE"))))</f>
        <v>0</v>
      </c>
      <c r="AF585">
        <f>IF(metadata!F585="",FALSE,TRUE)</f>
        <v>0</v>
      </c>
      <c r="AG585">
        <f>IF(metadata!G585="",FALSE,TRUE)</f>
        <v>0</v>
      </c>
      <c r="AH585">
        <f>IF(metadata!H585="",FALSE,TRUE)</f>
        <v>0</v>
      </c>
      <c r="AI585">
        <f>OR(AND(IF(metadata!I585="",FALSE,TRUE),OR(exact(metadata!I585,"missing: not collected"),exact(metadata!I585,"missing: not provided"),exact(metadata!I585,"missing: restricted access"))),AND(IF(metadata!I585="",FALSE,TRUE),OR(exact(metadata!I585,"air"),exact(metadata!I585,"built environment"),exact(metadata!I585,"host-associated"),exact(metadata!I585,"human-associated"),exact(metadata!I585,"human-skin"),exact(metadata!I585,"human-oral"),exact(metadata!I585,"human-gut"),exact(metadata!I585,"human-vaginal"),exact(metadata!I585,"microbial mat/biofilm"),exact(metadata!I585,"misc environment"),exact(metadata!I585,"plant-associated"),exact(metadata!I585,"sediment"),exact(metadata!I585,"soil"),exact(metadata!I585,"wastewater/sludge"),exact(metadata!I585,"water"))))</f>
        <v>0</v>
      </c>
      <c r="AJ585">
        <f>IF(metadata!J585="",FALSE,TRUE)</f>
        <v>0</v>
      </c>
      <c r="AK585">
        <f>OR(AND(IF(metadata!K585="",FALSE,TRUE),OR(exact(metadata!K585,"missing: not collected"),exact(metadata!K585,"missing: not provided"),exact(metadata!K585,"missing: restricted access"))),AND(IF(metadata!K585="",FALSE,ISNUMBER(VALUE(metadata!K585))),metadata!K585&gt;=-90.00,metadata!K585&lt;=90.00))</f>
        <v>0</v>
      </c>
      <c r="AL585">
        <f>OR(AND(IF(metadata!L585="",FALSE,TRUE),OR(exact(metadata!L585,"missing: not collected"),exact(metadata!L585,"missing: not provided"),exact(metadata!L585,"missing: restricted access"))),AND(IF(metadata!L585="",FALSE,ISNUMBER(VALUE(metadata!L585))),metadata!L585&gt;=-180.00,metadata!L585&lt;=180.00))</f>
        <v>0</v>
      </c>
      <c r="AM585">
        <f>IF(metadata!M585="",FALSE,TRUE)</f>
        <v>0</v>
      </c>
      <c r="AN585">
        <f>OR(AND(IF(metadata!N585="",FALSE,TRUE),OR(exact(metadata!N585,"missing: not collected"),exact(metadata!N585,"missing: not provided"),exact(metadata!N585,"missing: restricted access"))),AND(IF(metadata!N585="",FALSE,TRUE),OR(exact(metadata!N585,"TRUE"),exact(metadata!N585,"FALSE"))))</f>
        <v>0</v>
      </c>
      <c r="AO585">
        <f>IF(metadata!O585="",FALSE,TRUE)</f>
        <v>0</v>
      </c>
      <c r="AP585">
        <f>OR(AND(IF(metadata!P585="",FALSE,TRUE),OR(exact(metadata!P585,"missing: not collected"),exact(metadata!P585,"missing: not provided"))),AND(IF(metadata!P585="",FALSE,IF(ISERROR(INT(metadata!P585)),FALSE,INT(metadata!P585)=metadata!P585)),metadata!P585&gt;0))</f>
        <v>0</v>
      </c>
      <c r="AQ585">
        <f>IF(metadata!Q585="",FALSE,TRUE)</f>
        <v>0</v>
      </c>
    </row>
    <row r="586" spans="1:43">
      <c r="A586" s="5">
        <f>IF(B586=" "," ",HYPERLINK(CONCATENATE("#metadata!",ADDRESS(INDEX($W$2:$W$1001,MATCH(ROWS($U$2:U586),$U$2:$U$1001,0),0),1)),INDEX($Z$2:$Z$1001,MATCH(ROWS($U$2:U586),$U$2:$U$1001,0),0)))</f>
        <v>0</v>
      </c>
      <c r="B586" s="4">
        <f>IF(OR(INDEX($V$2:$V$1001,MATCH(ROWS($U$2:U586),$U$2:$U$1001,0),1)&gt;=100000,INDEX($AB$1005:$AQ$1005,1,MATCH(COLUMNS($AB$1006:AB1006),$AB$1006:$AQ$1006,0))&gt;=100000), " ",IF(INDEX($AB$2:$AQ$1001,MATCH(ROWS($U$2:U586),$U$2:$U$1001,0),MATCH(COLUMNS($AB$1006:AB1006),$AB$1006:$AQ$1006,0)), HYPERLINK("#",""), HYPERLINK(CONCATENATE("#metadata!", ADDRESS(INDEX($W$2:$W$1001,MATCH(ROWS($U$2:U586),$U$2:$U$1001,0),0), INDEX($AB$1004:$AQ$1004,1,MATCH(COLUMNS($AB$1006:AB1006),$AB$1006:$AQ$1006,0)))),"Fix")))</f>
        <v>0</v>
      </c>
      <c r="C586" s="4">
        <f>IF(OR(INDEX($V$2:$V$1001,MATCH(ROWS($U$2:U586),$U$2:$U$1001,0),1)&gt;=100000,INDEX($AB$1005:$AQ$1005,1,MATCH(COLUMNS($AB$1006:AC1006),$AB$1006:$AQ$1006,0))&gt;=100000), " ",IF(INDEX($AB$2:$AQ$1001,MATCH(ROWS($U$2:U586),$U$2:$U$1001,0),MATCH(COLUMNS($AB$1006:AC1006),$AB$1006:$AQ$1006,0)), HYPERLINK("#",""), HYPERLINK(CONCATENATE("#metadata!", ADDRESS(INDEX($W$2:$W$1001,MATCH(ROWS($U$2:U586),$U$2:$U$1001,0),0), INDEX($AB$1004:$AQ$1004,1,MATCH(COLUMNS($AB$1006:AC1006),$AB$1006:$AQ$1006,0)))),"Fix")))</f>
        <v>0</v>
      </c>
      <c r="D586" s="4">
        <f>IF(OR(INDEX($V$2:$V$1001,MATCH(ROWS($U$2:U586),$U$2:$U$1001,0),1)&gt;=100000,INDEX($AB$1005:$AQ$1005,1,MATCH(COLUMNS($AB$1006:AD1006),$AB$1006:$AQ$1006,0))&gt;=100000), " ",IF(INDEX($AB$2:$AQ$1001,MATCH(ROWS($U$2:U586),$U$2:$U$1001,0),MATCH(COLUMNS($AB$1006:AD1006),$AB$1006:$AQ$1006,0)), HYPERLINK("#",""), HYPERLINK(CONCATENATE("#metadata!", ADDRESS(INDEX($W$2:$W$1001,MATCH(ROWS($U$2:U586),$U$2:$U$1001,0),0), INDEX($AB$1004:$AQ$1004,1,MATCH(COLUMNS($AB$1006:AD1006),$AB$1006:$AQ$1006,0)))),"Fix")))</f>
        <v>0</v>
      </c>
      <c r="E586" s="4">
        <f>IF(OR(INDEX($V$2:$V$1001,MATCH(ROWS($U$2:U586),$U$2:$U$1001,0),1)&gt;=100000,INDEX($AB$1005:$AQ$1005,1,MATCH(COLUMNS($AB$1006:AE1006),$AB$1006:$AQ$1006,0))&gt;=100000), " ",IF(INDEX($AB$2:$AQ$1001,MATCH(ROWS($U$2:U586),$U$2:$U$1001,0),MATCH(COLUMNS($AB$1006:AE1006),$AB$1006:$AQ$1006,0)), HYPERLINK("#",""), HYPERLINK(CONCATENATE("#metadata!", ADDRESS(INDEX($W$2:$W$1001,MATCH(ROWS($U$2:U586),$U$2:$U$1001,0),0), INDEX($AB$1004:$AQ$1004,1,MATCH(COLUMNS($AB$1006:AE1006),$AB$1006:$AQ$1006,0)))),"Fix")))</f>
        <v>0</v>
      </c>
      <c r="F586" s="4">
        <f>IF(OR(INDEX($V$2:$V$1001,MATCH(ROWS($U$2:U586),$U$2:$U$1001,0),1)&gt;=100000,INDEX($AB$1005:$AQ$1005,1,MATCH(COLUMNS($AB$1006:AF1006),$AB$1006:$AQ$1006,0))&gt;=100000), " ",IF(INDEX($AB$2:$AQ$1001,MATCH(ROWS($U$2:U586),$U$2:$U$1001,0),MATCH(COLUMNS($AB$1006:AF1006),$AB$1006:$AQ$1006,0)), HYPERLINK("#",""), HYPERLINK(CONCATENATE("#metadata!", ADDRESS(INDEX($W$2:$W$1001,MATCH(ROWS($U$2:U586),$U$2:$U$1001,0),0), INDEX($AB$1004:$AQ$1004,1,MATCH(COLUMNS($AB$1006:AF1006),$AB$1006:$AQ$1006,0)))),"Fix")))</f>
        <v>0</v>
      </c>
      <c r="G586" s="4">
        <f>IF(OR(INDEX($V$2:$V$1001,MATCH(ROWS($U$2:U586),$U$2:$U$1001,0),1)&gt;=100000,INDEX($AB$1005:$AQ$1005,1,MATCH(COLUMNS($AB$1006:AG1006),$AB$1006:$AQ$1006,0))&gt;=100000), " ",IF(INDEX($AB$2:$AQ$1001,MATCH(ROWS($U$2:U586),$U$2:$U$1001,0),MATCH(COLUMNS($AB$1006:AG1006),$AB$1006:$AQ$1006,0)), HYPERLINK("#",""), HYPERLINK(CONCATENATE("#metadata!", ADDRESS(INDEX($W$2:$W$1001,MATCH(ROWS($U$2:U586),$U$2:$U$1001,0),0), INDEX($AB$1004:$AQ$1004,1,MATCH(COLUMNS($AB$1006:AG1006),$AB$1006:$AQ$1006,0)))),"Fix")))</f>
        <v>0</v>
      </c>
      <c r="H586" s="4">
        <f>IF(OR(INDEX($V$2:$V$1001,MATCH(ROWS($U$2:U586),$U$2:$U$1001,0),1)&gt;=100000,INDEX($AB$1005:$AQ$1005,1,MATCH(COLUMNS($AB$1006:AH1006),$AB$1006:$AQ$1006,0))&gt;=100000), " ",IF(INDEX($AB$2:$AQ$1001,MATCH(ROWS($U$2:U586),$U$2:$U$1001,0),MATCH(COLUMNS($AB$1006:AH1006),$AB$1006:$AQ$1006,0)), HYPERLINK("#",""), HYPERLINK(CONCATENATE("#metadata!", ADDRESS(INDEX($W$2:$W$1001,MATCH(ROWS($U$2:U586),$U$2:$U$1001,0),0), INDEX($AB$1004:$AQ$1004,1,MATCH(COLUMNS($AB$1006:AH1006),$AB$1006:$AQ$1006,0)))),"Fix")))</f>
        <v>0</v>
      </c>
      <c r="I586" s="4">
        <f>IF(OR(INDEX($V$2:$V$1001,MATCH(ROWS($U$2:U586),$U$2:$U$1001,0),1)&gt;=100000,INDEX($AB$1005:$AQ$1005,1,MATCH(COLUMNS($AB$1006:AI1006),$AB$1006:$AQ$1006,0))&gt;=100000), " ",IF(INDEX($AB$2:$AQ$1001,MATCH(ROWS($U$2:U586),$U$2:$U$1001,0),MATCH(COLUMNS($AB$1006:AI1006),$AB$1006:$AQ$1006,0)), HYPERLINK("#",""), HYPERLINK(CONCATENATE("#metadata!", ADDRESS(INDEX($W$2:$W$1001,MATCH(ROWS($U$2:U586),$U$2:$U$1001,0),0), INDEX($AB$1004:$AQ$1004,1,MATCH(COLUMNS($AB$1006:AI1006),$AB$1006:$AQ$1006,0)))),"Fix")))</f>
        <v>0</v>
      </c>
      <c r="J586" s="4">
        <f>IF(OR(INDEX($V$2:$V$1001,MATCH(ROWS($U$2:U586),$U$2:$U$1001,0),1)&gt;=100000,INDEX($AB$1005:$AQ$1005,1,MATCH(COLUMNS($AB$1006:AJ1006),$AB$1006:$AQ$1006,0))&gt;=100000), " ",IF(INDEX($AB$2:$AQ$1001,MATCH(ROWS($U$2:U586),$U$2:$U$1001,0),MATCH(COLUMNS($AB$1006:AJ1006),$AB$1006:$AQ$1006,0)), HYPERLINK("#",""), HYPERLINK(CONCATENATE("#metadata!", ADDRESS(INDEX($W$2:$W$1001,MATCH(ROWS($U$2:U586),$U$2:$U$1001,0),0), INDEX($AB$1004:$AQ$1004,1,MATCH(COLUMNS($AB$1006:AJ1006),$AB$1006:$AQ$1006,0)))),"Fix")))</f>
        <v>0</v>
      </c>
      <c r="K586" s="4">
        <f>IF(OR(INDEX($V$2:$V$1001,MATCH(ROWS($U$2:U586),$U$2:$U$1001,0),1)&gt;=100000,INDEX($AB$1005:$AQ$1005,1,MATCH(COLUMNS($AB$1006:AK1006),$AB$1006:$AQ$1006,0))&gt;=100000), " ",IF(INDEX($AB$2:$AQ$1001,MATCH(ROWS($U$2:U586),$U$2:$U$1001,0),MATCH(COLUMNS($AB$1006:AK1006),$AB$1006:$AQ$1006,0)), HYPERLINK("#",""), HYPERLINK(CONCATENATE("#metadata!", ADDRESS(INDEX($W$2:$W$1001,MATCH(ROWS($U$2:U586),$U$2:$U$1001,0),0), INDEX($AB$1004:$AQ$1004,1,MATCH(COLUMNS($AB$1006:AK1006),$AB$1006:$AQ$1006,0)))),"Fix")))</f>
        <v>0</v>
      </c>
      <c r="L586" s="4">
        <f>IF(OR(INDEX($V$2:$V$1001,MATCH(ROWS($U$2:U586),$U$2:$U$1001,0),1)&gt;=100000,INDEX($AB$1005:$AQ$1005,1,MATCH(COLUMNS($AB$1006:AL1006),$AB$1006:$AQ$1006,0))&gt;=100000), " ",IF(INDEX($AB$2:$AQ$1001,MATCH(ROWS($U$2:U586),$U$2:$U$1001,0),MATCH(COLUMNS($AB$1006:AL1006),$AB$1006:$AQ$1006,0)), HYPERLINK("#",""), HYPERLINK(CONCATENATE("#metadata!", ADDRESS(INDEX($W$2:$W$1001,MATCH(ROWS($U$2:U586),$U$2:$U$1001,0),0), INDEX($AB$1004:$AQ$1004,1,MATCH(COLUMNS($AB$1006:AL1006),$AB$1006:$AQ$1006,0)))),"Fix")))</f>
        <v>0</v>
      </c>
      <c r="M586" s="4">
        <f>IF(OR(INDEX($V$2:$V$1001,MATCH(ROWS($U$2:U586),$U$2:$U$1001,0),1)&gt;=100000,INDEX($AB$1005:$AQ$1005,1,MATCH(COLUMNS($AB$1006:AM1006),$AB$1006:$AQ$1006,0))&gt;=100000), " ",IF(INDEX($AB$2:$AQ$1001,MATCH(ROWS($U$2:U586),$U$2:$U$1001,0),MATCH(COLUMNS($AB$1006:AM1006),$AB$1006:$AQ$1006,0)), HYPERLINK("#",""), HYPERLINK(CONCATENATE("#metadata!", ADDRESS(INDEX($W$2:$W$1001,MATCH(ROWS($U$2:U586),$U$2:$U$1001,0),0), INDEX($AB$1004:$AQ$1004,1,MATCH(COLUMNS($AB$1006:AM1006),$AB$1006:$AQ$1006,0)))),"Fix")))</f>
        <v>0</v>
      </c>
      <c r="N586" s="4">
        <f>IF(OR(INDEX($V$2:$V$1001,MATCH(ROWS($U$2:U586),$U$2:$U$1001,0),1)&gt;=100000,INDEX($AB$1005:$AQ$1005,1,MATCH(COLUMNS($AB$1006:AN1006),$AB$1006:$AQ$1006,0))&gt;=100000), " ",IF(INDEX($AB$2:$AQ$1001,MATCH(ROWS($U$2:U586),$U$2:$U$1001,0),MATCH(COLUMNS($AB$1006:AN1006),$AB$1006:$AQ$1006,0)), HYPERLINK("#",""), HYPERLINK(CONCATENATE("#metadata!", ADDRESS(INDEX($W$2:$W$1001,MATCH(ROWS($U$2:U586),$U$2:$U$1001,0),0), INDEX($AB$1004:$AQ$1004,1,MATCH(COLUMNS($AB$1006:AN1006),$AB$1006:$AQ$1006,0)))),"Fix")))</f>
        <v>0</v>
      </c>
      <c r="O586" s="4">
        <f>IF(OR(INDEX($V$2:$V$1001,MATCH(ROWS($U$2:U586),$U$2:$U$1001,0),1)&gt;=100000,INDEX($AB$1005:$AQ$1005,1,MATCH(COLUMNS($AB$1006:AO1006),$AB$1006:$AQ$1006,0))&gt;=100000), " ",IF(INDEX($AB$2:$AQ$1001,MATCH(ROWS($U$2:U586),$U$2:$U$1001,0),MATCH(COLUMNS($AB$1006:AO1006),$AB$1006:$AQ$1006,0)), HYPERLINK("#",""), HYPERLINK(CONCATENATE("#metadata!", ADDRESS(INDEX($W$2:$W$1001,MATCH(ROWS($U$2:U586),$U$2:$U$1001,0),0), INDEX($AB$1004:$AQ$1004,1,MATCH(COLUMNS($AB$1006:AO1006),$AB$1006:$AQ$1006,0)))),"Fix")))</f>
        <v>0</v>
      </c>
      <c r="P586" s="4">
        <f>IF(OR(INDEX($V$2:$V$1001,MATCH(ROWS($U$2:U586),$U$2:$U$1001,0),1)&gt;=100000,INDEX($AB$1005:$AQ$1005,1,MATCH(COLUMNS($AB$1006:AP1006),$AB$1006:$AQ$1006,0))&gt;=100000), " ",IF(INDEX($AB$2:$AQ$1001,MATCH(ROWS($U$2:U586),$U$2:$U$1001,0),MATCH(COLUMNS($AB$1006:AP1006),$AB$1006:$AQ$1006,0)), HYPERLINK("#",""), HYPERLINK(CONCATENATE("#metadata!", ADDRESS(INDEX($W$2:$W$1001,MATCH(ROWS($U$2:U586),$U$2:$U$1001,0),0), INDEX($AB$1004:$AQ$1004,1,MATCH(COLUMNS($AB$1006:AP1006),$AB$1006:$AQ$1006,0)))),"Fix")))</f>
        <v>0</v>
      </c>
      <c r="Q586" s="4">
        <f>IF(OR(INDEX($V$2:$V$1001,MATCH(ROWS($U$2:U586),$U$2:$U$1001,0),1)&gt;=100000,INDEX($AB$1005:$AQ$1005,1,MATCH(COLUMNS($AB$1006:AQ1006),$AB$1006:$AQ$1006,0))&gt;=100000), " ",IF(INDEX($AB$2:$AQ$1001,MATCH(ROWS($U$2:U586),$U$2:$U$1001,0),MATCH(COLUMNS($AB$1006:AQ1006),$AB$1006:$AQ$1006,0)), HYPERLINK("#",""), HYPERLINK(CONCATENATE("#metadata!", ADDRESS(INDEX($W$2:$W$1001,MATCH(ROWS($U$2:U586),$U$2:$U$1001,0),0), INDEX($AB$1004:$AQ$1004,1,MATCH(COLUMNS($AB$1006:AQ1006),$AB$1006:$AQ$1006,0)))),"Fix")))</f>
        <v>0</v>
      </c>
      <c r="U586">
        <v>0</v>
      </c>
      <c r="V586">
        <v>0</v>
      </c>
      <c r="W586">
        <v>0</v>
      </c>
      <c r="X586">
        <f>IF(Y586,TRUE,AND(AB586:AQ586))</f>
        <v>0</v>
      </c>
      <c r="Y586">
        <f>COUNTBLANK(metadata!B586:Q586)=COLUMNS(metadata!B586:Q586)</f>
        <v>0</v>
      </c>
      <c r="Z586">
        <v>0</v>
      </c>
      <c r="AB586">
        <f>AND(IF(metadata!B586="",FALSE,TRUE),COUNTIF(metadata!B:B, metadata!B586) = 1,NOT(ISERROR(SUMPRODUCT(SEARCH(MID(metadata!B586,ROW(INDIRECT("1:"&amp;LEN(metadata!B586))), 1),"0123456789abcdefghijklmnopqrstuvwxyzABCDEFGHIJKLMNOPQRSTUVWXYZ.")))))</f>
        <v>0</v>
      </c>
      <c r="AC586">
        <f>OR(AND(IF(metadata!C586="",FALSE,TRUE),OR(exact(metadata!C586,"missing: not collected"),exact(metadata!C586,"missing: not provided"),exact(metadata!C586,"missing: restricted access"))),AND(IF(metadata!C586="",FALSE,TRUE),AND(AND(IFERROR(INT(LEFT(metadata!C586,4))&gt;1900,FALSE),IFERROR(INT(LEFT(metadata!C586,4))&lt;=YEAR(NOW()),FALSE)), OR(MID(metadata!C586,5,1)="", AND(AND(MID(metadata!C586,5,1)="-",IFERROR(INT(MID(metadata!C586,6,1))&gt;=0,FALSE),IFERROR(INT(MID(metadata!C586,6,1))&lt;=1,FALSE),NOT(MID(metadata!C586,7,1)=""),IFERROR(INT(MID(metadata!C586,6,2))&gt;=1,FALSE),IFERROR(INT(MID(metadata!C586,6,2))&lt;=12,FALSE)), OR(MID(metadata!C586,8,1)="", AND(AND(MID(metadata!C586,8,1)="-",IFERROR(INT(MID(metadata!C586,9,1))&gt;=0,FALSE),IFERROR(INT(MID(metadata!C586,9,1))&lt;=3,FALSE),NOT(MID(metadata!C586,10,1)=""),IFERROR(INT(MID(metadata!C586,9,2))&gt;=1,FALSE),IFERROR(INT(MID(metadata!C586,9,2))&lt;=31,FALSE)), OR(MID(metadata!C586,11,1)="", AND(AND(MID(metadata!C586,11,1)=" ",IFERROR(INT(MID(metadata!C586,12,1))&gt;=0,FALSE),IFERROR(INT(MID(metadata!C586,12,1))&lt;=2,FALSE),NOT(MID(metadata!C586,13,1)=""),IFERROR(INT(MID(metadata!C586,12,2))&gt;=0,FALSE),IFERROR(INT(MID(metadata!C586,12,2))&lt;=23,FALSE)), OR(MID(metadata!C586,14,1)="", AND(AND(MID(metadata!C586,14,1)=":",IFERROR(INT(MID(metadata!C586,15,1))&gt;=0,FALSE),IFERROR(INT(MID(metadata!C586,15,1))&lt;=5,FALSE),NOT(MID(metadata!C586,16,1)=""),IFERROR(INT(MID(metadata!C586,15,2))&gt;=0,FALSE),IFERROR(INT(MID(metadata!C586,15,2))&lt;=59,FALSE)), OR(MID(metadata!C586,17,1)="", AND(AND(MID(metadata!C586,17,1)=":",IFERROR(INT(MID(metadata!C586,18,1))&gt;=0,FALSE),IFERROR(INT(MID(metadata!C586,18,1))&lt;=5,FALSE),NOT(MID(metadata!C586,19,1)=""),IFERROR(INT(MID(metadata!C586,18,2))&gt;=0,FALSE),IFERROR(INT(MID(metadata!C586,18,2))&lt;=59,FALSE)), LEN(metadata!C586)&lt;=19)))))))))))))</f>
        <v>0</v>
      </c>
      <c r="AD586">
        <f>IF(metadata!D586="",FALSE,TRUE)</f>
        <v>0</v>
      </c>
      <c r="AE586">
        <f>OR(AND(IF(metadata!E586="",FALSE,TRUE),OR(exact(metadata!E586,"missing: not collected"),exact(metadata!E586,"missing: not provided"))),AND(IF(metadata!E586="",FALSE,TRUE),OR(exact(metadata!E586,"TRUE"),exact(metadata!E586,"FALSE"))))</f>
        <v>0</v>
      </c>
      <c r="AF586">
        <f>IF(metadata!F586="",FALSE,TRUE)</f>
        <v>0</v>
      </c>
      <c r="AG586">
        <f>IF(metadata!G586="",FALSE,TRUE)</f>
        <v>0</v>
      </c>
      <c r="AH586">
        <f>IF(metadata!H586="",FALSE,TRUE)</f>
        <v>0</v>
      </c>
      <c r="AI586">
        <f>OR(AND(IF(metadata!I586="",FALSE,TRUE),OR(exact(metadata!I586,"missing: not collected"),exact(metadata!I586,"missing: not provided"),exact(metadata!I586,"missing: restricted access"))),AND(IF(metadata!I586="",FALSE,TRUE),OR(exact(metadata!I586,"air"),exact(metadata!I586,"built environment"),exact(metadata!I586,"host-associated"),exact(metadata!I586,"human-associated"),exact(metadata!I586,"human-skin"),exact(metadata!I586,"human-oral"),exact(metadata!I586,"human-gut"),exact(metadata!I586,"human-vaginal"),exact(metadata!I586,"microbial mat/biofilm"),exact(metadata!I586,"misc environment"),exact(metadata!I586,"plant-associated"),exact(metadata!I586,"sediment"),exact(metadata!I586,"soil"),exact(metadata!I586,"wastewater/sludge"),exact(metadata!I586,"water"))))</f>
        <v>0</v>
      </c>
      <c r="AJ586">
        <f>IF(metadata!J586="",FALSE,TRUE)</f>
        <v>0</v>
      </c>
      <c r="AK586">
        <f>OR(AND(IF(metadata!K586="",FALSE,TRUE),OR(exact(metadata!K586,"missing: not collected"),exact(metadata!K586,"missing: not provided"),exact(metadata!K586,"missing: restricted access"))),AND(IF(metadata!K586="",FALSE,ISNUMBER(VALUE(metadata!K586))),metadata!K586&gt;=-90.00,metadata!K586&lt;=90.00))</f>
        <v>0</v>
      </c>
      <c r="AL586">
        <f>OR(AND(IF(metadata!L586="",FALSE,TRUE),OR(exact(metadata!L586,"missing: not collected"),exact(metadata!L586,"missing: not provided"),exact(metadata!L586,"missing: restricted access"))),AND(IF(metadata!L586="",FALSE,ISNUMBER(VALUE(metadata!L586))),metadata!L586&gt;=-180.00,metadata!L586&lt;=180.00))</f>
        <v>0</v>
      </c>
      <c r="AM586">
        <f>IF(metadata!M586="",FALSE,TRUE)</f>
        <v>0</v>
      </c>
      <c r="AN586">
        <f>OR(AND(IF(metadata!N586="",FALSE,TRUE),OR(exact(metadata!N586,"missing: not collected"),exact(metadata!N586,"missing: not provided"),exact(metadata!N586,"missing: restricted access"))),AND(IF(metadata!N586="",FALSE,TRUE),OR(exact(metadata!N586,"TRUE"),exact(metadata!N586,"FALSE"))))</f>
        <v>0</v>
      </c>
      <c r="AO586">
        <f>IF(metadata!O586="",FALSE,TRUE)</f>
        <v>0</v>
      </c>
      <c r="AP586">
        <f>OR(AND(IF(metadata!P586="",FALSE,TRUE),OR(exact(metadata!P586,"missing: not collected"),exact(metadata!P586,"missing: not provided"))),AND(IF(metadata!P586="",FALSE,IF(ISERROR(INT(metadata!P586)),FALSE,INT(metadata!P586)=metadata!P586)),metadata!P586&gt;0))</f>
        <v>0</v>
      </c>
      <c r="AQ586">
        <f>IF(metadata!Q586="",FALSE,TRUE)</f>
        <v>0</v>
      </c>
    </row>
    <row r="587" spans="1:43">
      <c r="A587" s="5">
        <f>IF(B587=" "," ",HYPERLINK(CONCATENATE("#metadata!",ADDRESS(INDEX($W$2:$W$1001,MATCH(ROWS($U$2:U587),$U$2:$U$1001,0),0),1)),INDEX($Z$2:$Z$1001,MATCH(ROWS($U$2:U587),$U$2:$U$1001,0),0)))</f>
        <v>0</v>
      </c>
      <c r="B587" s="4">
        <f>IF(OR(INDEX($V$2:$V$1001,MATCH(ROWS($U$2:U587),$U$2:$U$1001,0),1)&gt;=100000,INDEX($AB$1005:$AQ$1005,1,MATCH(COLUMNS($AB$1006:AB1006),$AB$1006:$AQ$1006,0))&gt;=100000), " ",IF(INDEX($AB$2:$AQ$1001,MATCH(ROWS($U$2:U587),$U$2:$U$1001,0),MATCH(COLUMNS($AB$1006:AB1006),$AB$1006:$AQ$1006,0)), HYPERLINK("#",""), HYPERLINK(CONCATENATE("#metadata!", ADDRESS(INDEX($W$2:$W$1001,MATCH(ROWS($U$2:U587),$U$2:$U$1001,0),0), INDEX($AB$1004:$AQ$1004,1,MATCH(COLUMNS($AB$1006:AB1006),$AB$1006:$AQ$1006,0)))),"Fix")))</f>
        <v>0</v>
      </c>
      <c r="C587" s="4">
        <f>IF(OR(INDEX($V$2:$V$1001,MATCH(ROWS($U$2:U587),$U$2:$U$1001,0),1)&gt;=100000,INDEX($AB$1005:$AQ$1005,1,MATCH(COLUMNS($AB$1006:AC1006),$AB$1006:$AQ$1006,0))&gt;=100000), " ",IF(INDEX($AB$2:$AQ$1001,MATCH(ROWS($U$2:U587),$U$2:$U$1001,0),MATCH(COLUMNS($AB$1006:AC1006),$AB$1006:$AQ$1006,0)), HYPERLINK("#",""), HYPERLINK(CONCATENATE("#metadata!", ADDRESS(INDEX($W$2:$W$1001,MATCH(ROWS($U$2:U587),$U$2:$U$1001,0),0), INDEX($AB$1004:$AQ$1004,1,MATCH(COLUMNS($AB$1006:AC1006),$AB$1006:$AQ$1006,0)))),"Fix")))</f>
        <v>0</v>
      </c>
      <c r="D587" s="4">
        <f>IF(OR(INDEX($V$2:$V$1001,MATCH(ROWS($U$2:U587),$U$2:$U$1001,0),1)&gt;=100000,INDEX($AB$1005:$AQ$1005,1,MATCH(COLUMNS($AB$1006:AD1006),$AB$1006:$AQ$1006,0))&gt;=100000), " ",IF(INDEX($AB$2:$AQ$1001,MATCH(ROWS($U$2:U587),$U$2:$U$1001,0),MATCH(COLUMNS($AB$1006:AD1006),$AB$1006:$AQ$1006,0)), HYPERLINK("#",""), HYPERLINK(CONCATENATE("#metadata!", ADDRESS(INDEX($W$2:$W$1001,MATCH(ROWS($U$2:U587),$U$2:$U$1001,0),0), INDEX($AB$1004:$AQ$1004,1,MATCH(COLUMNS($AB$1006:AD1006),$AB$1006:$AQ$1006,0)))),"Fix")))</f>
        <v>0</v>
      </c>
      <c r="E587" s="4">
        <f>IF(OR(INDEX($V$2:$V$1001,MATCH(ROWS($U$2:U587),$U$2:$U$1001,0),1)&gt;=100000,INDEX($AB$1005:$AQ$1005,1,MATCH(COLUMNS($AB$1006:AE1006),$AB$1006:$AQ$1006,0))&gt;=100000), " ",IF(INDEX($AB$2:$AQ$1001,MATCH(ROWS($U$2:U587),$U$2:$U$1001,0),MATCH(COLUMNS($AB$1006:AE1006),$AB$1006:$AQ$1006,0)), HYPERLINK("#",""), HYPERLINK(CONCATENATE("#metadata!", ADDRESS(INDEX($W$2:$W$1001,MATCH(ROWS($U$2:U587),$U$2:$U$1001,0),0), INDEX($AB$1004:$AQ$1004,1,MATCH(COLUMNS($AB$1006:AE1006),$AB$1006:$AQ$1006,0)))),"Fix")))</f>
        <v>0</v>
      </c>
      <c r="F587" s="4">
        <f>IF(OR(INDEX($V$2:$V$1001,MATCH(ROWS($U$2:U587),$U$2:$U$1001,0),1)&gt;=100000,INDEX($AB$1005:$AQ$1005,1,MATCH(COLUMNS($AB$1006:AF1006),$AB$1006:$AQ$1006,0))&gt;=100000), " ",IF(INDEX($AB$2:$AQ$1001,MATCH(ROWS($U$2:U587),$U$2:$U$1001,0),MATCH(COLUMNS($AB$1006:AF1006),$AB$1006:$AQ$1006,0)), HYPERLINK("#",""), HYPERLINK(CONCATENATE("#metadata!", ADDRESS(INDEX($W$2:$W$1001,MATCH(ROWS($U$2:U587),$U$2:$U$1001,0),0), INDEX($AB$1004:$AQ$1004,1,MATCH(COLUMNS($AB$1006:AF1006),$AB$1006:$AQ$1006,0)))),"Fix")))</f>
        <v>0</v>
      </c>
      <c r="G587" s="4">
        <f>IF(OR(INDEX($V$2:$V$1001,MATCH(ROWS($U$2:U587),$U$2:$U$1001,0),1)&gt;=100000,INDEX($AB$1005:$AQ$1005,1,MATCH(COLUMNS($AB$1006:AG1006),$AB$1006:$AQ$1006,0))&gt;=100000), " ",IF(INDEX($AB$2:$AQ$1001,MATCH(ROWS($U$2:U587),$U$2:$U$1001,0),MATCH(COLUMNS($AB$1006:AG1006),$AB$1006:$AQ$1006,0)), HYPERLINK("#",""), HYPERLINK(CONCATENATE("#metadata!", ADDRESS(INDEX($W$2:$W$1001,MATCH(ROWS($U$2:U587),$U$2:$U$1001,0),0), INDEX($AB$1004:$AQ$1004,1,MATCH(COLUMNS($AB$1006:AG1006),$AB$1006:$AQ$1006,0)))),"Fix")))</f>
        <v>0</v>
      </c>
      <c r="H587" s="4">
        <f>IF(OR(INDEX($V$2:$V$1001,MATCH(ROWS($U$2:U587),$U$2:$U$1001,0),1)&gt;=100000,INDEX($AB$1005:$AQ$1005,1,MATCH(COLUMNS($AB$1006:AH1006),$AB$1006:$AQ$1006,0))&gt;=100000), " ",IF(INDEX($AB$2:$AQ$1001,MATCH(ROWS($U$2:U587),$U$2:$U$1001,0),MATCH(COLUMNS($AB$1006:AH1006),$AB$1006:$AQ$1006,0)), HYPERLINK("#",""), HYPERLINK(CONCATENATE("#metadata!", ADDRESS(INDEX($W$2:$W$1001,MATCH(ROWS($U$2:U587),$U$2:$U$1001,0),0), INDEX($AB$1004:$AQ$1004,1,MATCH(COLUMNS($AB$1006:AH1006),$AB$1006:$AQ$1006,0)))),"Fix")))</f>
        <v>0</v>
      </c>
      <c r="I587" s="4">
        <f>IF(OR(INDEX($V$2:$V$1001,MATCH(ROWS($U$2:U587),$U$2:$U$1001,0),1)&gt;=100000,INDEX($AB$1005:$AQ$1005,1,MATCH(COLUMNS($AB$1006:AI1006),$AB$1006:$AQ$1006,0))&gt;=100000), " ",IF(INDEX($AB$2:$AQ$1001,MATCH(ROWS($U$2:U587),$U$2:$U$1001,0),MATCH(COLUMNS($AB$1006:AI1006),$AB$1006:$AQ$1006,0)), HYPERLINK("#",""), HYPERLINK(CONCATENATE("#metadata!", ADDRESS(INDEX($W$2:$W$1001,MATCH(ROWS($U$2:U587),$U$2:$U$1001,0),0), INDEX($AB$1004:$AQ$1004,1,MATCH(COLUMNS($AB$1006:AI1006),$AB$1006:$AQ$1006,0)))),"Fix")))</f>
        <v>0</v>
      </c>
      <c r="J587" s="4">
        <f>IF(OR(INDEX($V$2:$V$1001,MATCH(ROWS($U$2:U587),$U$2:$U$1001,0),1)&gt;=100000,INDEX($AB$1005:$AQ$1005,1,MATCH(COLUMNS($AB$1006:AJ1006),$AB$1006:$AQ$1006,0))&gt;=100000), " ",IF(INDEX($AB$2:$AQ$1001,MATCH(ROWS($U$2:U587),$U$2:$U$1001,0),MATCH(COLUMNS($AB$1006:AJ1006),$AB$1006:$AQ$1006,0)), HYPERLINK("#",""), HYPERLINK(CONCATENATE("#metadata!", ADDRESS(INDEX($W$2:$W$1001,MATCH(ROWS($U$2:U587),$U$2:$U$1001,0),0), INDEX($AB$1004:$AQ$1004,1,MATCH(COLUMNS($AB$1006:AJ1006),$AB$1006:$AQ$1006,0)))),"Fix")))</f>
        <v>0</v>
      </c>
      <c r="K587" s="4">
        <f>IF(OR(INDEX($V$2:$V$1001,MATCH(ROWS($U$2:U587),$U$2:$U$1001,0),1)&gt;=100000,INDEX($AB$1005:$AQ$1005,1,MATCH(COLUMNS($AB$1006:AK1006),$AB$1006:$AQ$1006,0))&gt;=100000), " ",IF(INDEX($AB$2:$AQ$1001,MATCH(ROWS($U$2:U587),$U$2:$U$1001,0),MATCH(COLUMNS($AB$1006:AK1006),$AB$1006:$AQ$1006,0)), HYPERLINK("#",""), HYPERLINK(CONCATENATE("#metadata!", ADDRESS(INDEX($W$2:$W$1001,MATCH(ROWS($U$2:U587),$U$2:$U$1001,0),0), INDEX($AB$1004:$AQ$1004,1,MATCH(COLUMNS($AB$1006:AK1006),$AB$1006:$AQ$1006,0)))),"Fix")))</f>
        <v>0</v>
      </c>
      <c r="L587" s="4">
        <f>IF(OR(INDEX($V$2:$V$1001,MATCH(ROWS($U$2:U587),$U$2:$U$1001,0),1)&gt;=100000,INDEX($AB$1005:$AQ$1005,1,MATCH(COLUMNS($AB$1006:AL1006),$AB$1006:$AQ$1006,0))&gt;=100000), " ",IF(INDEX($AB$2:$AQ$1001,MATCH(ROWS($U$2:U587),$U$2:$U$1001,0),MATCH(COLUMNS($AB$1006:AL1006),$AB$1006:$AQ$1006,0)), HYPERLINK("#",""), HYPERLINK(CONCATENATE("#metadata!", ADDRESS(INDEX($W$2:$W$1001,MATCH(ROWS($U$2:U587),$U$2:$U$1001,0),0), INDEX($AB$1004:$AQ$1004,1,MATCH(COLUMNS($AB$1006:AL1006),$AB$1006:$AQ$1006,0)))),"Fix")))</f>
        <v>0</v>
      </c>
      <c r="M587" s="4">
        <f>IF(OR(INDEX($V$2:$V$1001,MATCH(ROWS($U$2:U587),$U$2:$U$1001,0),1)&gt;=100000,INDEX($AB$1005:$AQ$1005,1,MATCH(COLUMNS($AB$1006:AM1006),$AB$1006:$AQ$1006,0))&gt;=100000), " ",IF(INDEX($AB$2:$AQ$1001,MATCH(ROWS($U$2:U587),$U$2:$U$1001,0),MATCH(COLUMNS($AB$1006:AM1006),$AB$1006:$AQ$1006,0)), HYPERLINK("#",""), HYPERLINK(CONCATENATE("#metadata!", ADDRESS(INDEX($W$2:$W$1001,MATCH(ROWS($U$2:U587),$U$2:$U$1001,0),0), INDEX($AB$1004:$AQ$1004,1,MATCH(COLUMNS($AB$1006:AM1006),$AB$1006:$AQ$1006,0)))),"Fix")))</f>
        <v>0</v>
      </c>
      <c r="N587" s="4">
        <f>IF(OR(INDEX($V$2:$V$1001,MATCH(ROWS($U$2:U587),$U$2:$U$1001,0),1)&gt;=100000,INDEX($AB$1005:$AQ$1005,1,MATCH(COLUMNS($AB$1006:AN1006),$AB$1006:$AQ$1006,0))&gt;=100000), " ",IF(INDEX($AB$2:$AQ$1001,MATCH(ROWS($U$2:U587),$U$2:$U$1001,0),MATCH(COLUMNS($AB$1006:AN1006),$AB$1006:$AQ$1006,0)), HYPERLINK("#",""), HYPERLINK(CONCATENATE("#metadata!", ADDRESS(INDEX($W$2:$W$1001,MATCH(ROWS($U$2:U587),$U$2:$U$1001,0),0), INDEX($AB$1004:$AQ$1004,1,MATCH(COLUMNS($AB$1006:AN1006),$AB$1006:$AQ$1006,0)))),"Fix")))</f>
        <v>0</v>
      </c>
      <c r="O587" s="4">
        <f>IF(OR(INDEX($V$2:$V$1001,MATCH(ROWS($U$2:U587),$U$2:$U$1001,0),1)&gt;=100000,INDEX($AB$1005:$AQ$1005,1,MATCH(COLUMNS($AB$1006:AO1006),$AB$1006:$AQ$1006,0))&gt;=100000), " ",IF(INDEX($AB$2:$AQ$1001,MATCH(ROWS($U$2:U587),$U$2:$U$1001,0),MATCH(COLUMNS($AB$1006:AO1006),$AB$1006:$AQ$1006,0)), HYPERLINK("#",""), HYPERLINK(CONCATENATE("#metadata!", ADDRESS(INDEX($W$2:$W$1001,MATCH(ROWS($U$2:U587),$U$2:$U$1001,0),0), INDEX($AB$1004:$AQ$1004,1,MATCH(COLUMNS($AB$1006:AO1006),$AB$1006:$AQ$1006,0)))),"Fix")))</f>
        <v>0</v>
      </c>
      <c r="P587" s="4">
        <f>IF(OR(INDEX($V$2:$V$1001,MATCH(ROWS($U$2:U587),$U$2:$U$1001,0),1)&gt;=100000,INDEX($AB$1005:$AQ$1005,1,MATCH(COLUMNS($AB$1006:AP1006),$AB$1006:$AQ$1006,0))&gt;=100000), " ",IF(INDEX($AB$2:$AQ$1001,MATCH(ROWS($U$2:U587),$U$2:$U$1001,0),MATCH(COLUMNS($AB$1006:AP1006),$AB$1006:$AQ$1006,0)), HYPERLINK("#",""), HYPERLINK(CONCATENATE("#metadata!", ADDRESS(INDEX($W$2:$W$1001,MATCH(ROWS($U$2:U587),$U$2:$U$1001,0),0), INDEX($AB$1004:$AQ$1004,1,MATCH(COLUMNS($AB$1006:AP1006),$AB$1006:$AQ$1006,0)))),"Fix")))</f>
        <v>0</v>
      </c>
      <c r="Q587" s="4">
        <f>IF(OR(INDEX($V$2:$V$1001,MATCH(ROWS($U$2:U587),$U$2:$U$1001,0),1)&gt;=100000,INDEX($AB$1005:$AQ$1005,1,MATCH(COLUMNS($AB$1006:AQ1006),$AB$1006:$AQ$1006,0))&gt;=100000), " ",IF(INDEX($AB$2:$AQ$1001,MATCH(ROWS($U$2:U587),$U$2:$U$1001,0),MATCH(COLUMNS($AB$1006:AQ1006),$AB$1006:$AQ$1006,0)), HYPERLINK("#",""), HYPERLINK(CONCATENATE("#metadata!", ADDRESS(INDEX($W$2:$W$1001,MATCH(ROWS($U$2:U587),$U$2:$U$1001,0),0), INDEX($AB$1004:$AQ$1004,1,MATCH(COLUMNS($AB$1006:AQ1006),$AB$1006:$AQ$1006,0)))),"Fix")))</f>
        <v>0</v>
      </c>
      <c r="U587">
        <v>0</v>
      </c>
      <c r="V587">
        <v>0</v>
      </c>
      <c r="W587">
        <v>0</v>
      </c>
      <c r="X587">
        <f>IF(Y587,TRUE,AND(AB587:AQ587))</f>
        <v>0</v>
      </c>
      <c r="Y587">
        <f>COUNTBLANK(metadata!B587:Q587)=COLUMNS(metadata!B587:Q587)</f>
        <v>0</v>
      </c>
      <c r="Z587">
        <v>0</v>
      </c>
      <c r="AB587">
        <f>AND(IF(metadata!B587="",FALSE,TRUE),COUNTIF(metadata!B:B, metadata!B587) = 1,NOT(ISERROR(SUMPRODUCT(SEARCH(MID(metadata!B587,ROW(INDIRECT("1:"&amp;LEN(metadata!B587))), 1),"0123456789abcdefghijklmnopqrstuvwxyzABCDEFGHIJKLMNOPQRSTUVWXYZ.")))))</f>
        <v>0</v>
      </c>
      <c r="AC587">
        <f>OR(AND(IF(metadata!C587="",FALSE,TRUE),OR(exact(metadata!C587,"missing: not collected"),exact(metadata!C587,"missing: not provided"),exact(metadata!C587,"missing: restricted access"))),AND(IF(metadata!C587="",FALSE,TRUE),AND(AND(IFERROR(INT(LEFT(metadata!C587,4))&gt;1900,FALSE),IFERROR(INT(LEFT(metadata!C587,4))&lt;=YEAR(NOW()),FALSE)), OR(MID(metadata!C587,5,1)="", AND(AND(MID(metadata!C587,5,1)="-",IFERROR(INT(MID(metadata!C587,6,1))&gt;=0,FALSE),IFERROR(INT(MID(metadata!C587,6,1))&lt;=1,FALSE),NOT(MID(metadata!C587,7,1)=""),IFERROR(INT(MID(metadata!C587,6,2))&gt;=1,FALSE),IFERROR(INT(MID(metadata!C587,6,2))&lt;=12,FALSE)), OR(MID(metadata!C587,8,1)="", AND(AND(MID(metadata!C587,8,1)="-",IFERROR(INT(MID(metadata!C587,9,1))&gt;=0,FALSE),IFERROR(INT(MID(metadata!C587,9,1))&lt;=3,FALSE),NOT(MID(metadata!C587,10,1)=""),IFERROR(INT(MID(metadata!C587,9,2))&gt;=1,FALSE),IFERROR(INT(MID(metadata!C587,9,2))&lt;=31,FALSE)), OR(MID(metadata!C587,11,1)="", AND(AND(MID(metadata!C587,11,1)=" ",IFERROR(INT(MID(metadata!C587,12,1))&gt;=0,FALSE),IFERROR(INT(MID(metadata!C587,12,1))&lt;=2,FALSE),NOT(MID(metadata!C587,13,1)=""),IFERROR(INT(MID(metadata!C587,12,2))&gt;=0,FALSE),IFERROR(INT(MID(metadata!C587,12,2))&lt;=23,FALSE)), OR(MID(metadata!C587,14,1)="", AND(AND(MID(metadata!C587,14,1)=":",IFERROR(INT(MID(metadata!C587,15,1))&gt;=0,FALSE),IFERROR(INT(MID(metadata!C587,15,1))&lt;=5,FALSE),NOT(MID(metadata!C587,16,1)=""),IFERROR(INT(MID(metadata!C587,15,2))&gt;=0,FALSE),IFERROR(INT(MID(metadata!C587,15,2))&lt;=59,FALSE)), OR(MID(metadata!C587,17,1)="", AND(AND(MID(metadata!C587,17,1)=":",IFERROR(INT(MID(metadata!C587,18,1))&gt;=0,FALSE),IFERROR(INT(MID(metadata!C587,18,1))&lt;=5,FALSE),NOT(MID(metadata!C587,19,1)=""),IFERROR(INT(MID(metadata!C587,18,2))&gt;=0,FALSE),IFERROR(INT(MID(metadata!C587,18,2))&lt;=59,FALSE)), LEN(metadata!C587)&lt;=19)))))))))))))</f>
        <v>0</v>
      </c>
      <c r="AD587">
        <f>IF(metadata!D587="",FALSE,TRUE)</f>
        <v>0</v>
      </c>
      <c r="AE587">
        <f>OR(AND(IF(metadata!E587="",FALSE,TRUE),OR(exact(metadata!E587,"missing: not collected"),exact(metadata!E587,"missing: not provided"))),AND(IF(metadata!E587="",FALSE,TRUE),OR(exact(metadata!E587,"TRUE"),exact(metadata!E587,"FALSE"))))</f>
        <v>0</v>
      </c>
      <c r="AF587">
        <f>IF(metadata!F587="",FALSE,TRUE)</f>
        <v>0</v>
      </c>
      <c r="AG587">
        <f>IF(metadata!G587="",FALSE,TRUE)</f>
        <v>0</v>
      </c>
      <c r="AH587">
        <f>IF(metadata!H587="",FALSE,TRUE)</f>
        <v>0</v>
      </c>
      <c r="AI587">
        <f>OR(AND(IF(metadata!I587="",FALSE,TRUE),OR(exact(metadata!I587,"missing: not collected"),exact(metadata!I587,"missing: not provided"),exact(metadata!I587,"missing: restricted access"))),AND(IF(metadata!I587="",FALSE,TRUE),OR(exact(metadata!I587,"air"),exact(metadata!I587,"built environment"),exact(metadata!I587,"host-associated"),exact(metadata!I587,"human-associated"),exact(metadata!I587,"human-skin"),exact(metadata!I587,"human-oral"),exact(metadata!I587,"human-gut"),exact(metadata!I587,"human-vaginal"),exact(metadata!I587,"microbial mat/biofilm"),exact(metadata!I587,"misc environment"),exact(metadata!I587,"plant-associated"),exact(metadata!I587,"sediment"),exact(metadata!I587,"soil"),exact(metadata!I587,"wastewater/sludge"),exact(metadata!I587,"water"))))</f>
        <v>0</v>
      </c>
      <c r="AJ587">
        <f>IF(metadata!J587="",FALSE,TRUE)</f>
        <v>0</v>
      </c>
      <c r="AK587">
        <f>OR(AND(IF(metadata!K587="",FALSE,TRUE),OR(exact(metadata!K587,"missing: not collected"),exact(metadata!K587,"missing: not provided"),exact(metadata!K587,"missing: restricted access"))),AND(IF(metadata!K587="",FALSE,ISNUMBER(VALUE(metadata!K587))),metadata!K587&gt;=-90.00,metadata!K587&lt;=90.00))</f>
        <v>0</v>
      </c>
      <c r="AL587">
        <f>OR(AND(IF(metadata!L587="",FALSE,TRUE),OR(exact(metadata!L587,"missing: not collected"),exact(metadata!L587,"missing: not provided"),exact(metadata!L587,"missing: restricted access"))),AND(IF(metadata!L587="",FALSE,ISNUMBER(VALUE(metadata!L587))),metadata!L587&gt;=-180.00,metadata!L587&lt;=180.00))</f>
        <v>0</v>
      </c>
      <c r="AM587">
        <f>IF(metadata!M587="",FALSE,TRUE)</f>
        <v>0</v>
      </c>
      <c r="AN587">
        <f>OR(AND(IF(metadata!N587="",FALSE,TRUE),OR(exact(metadata!N587,"missing: not collected"),exact(metadata!N587,"missing: not provided"),exact(metadata!N587,"missing: restricted access"))),AND(IF(metadata!N587="",FALSE,TRUE),OR(exact(metadata!N587,"TRUE"),exact(metadata!N587,"FALSE"))))</f>
        <v>0</v>
      </c>
      <c r="AO587">
        <f>IF(metadata!O587="",FALSE,TRUE)</f>
        <v>0</v>
      </c>
      <c r="AP587">
        <f>OR(AND(IF(metadata!P587="",FALSE,TRUE),OR(exact(metadata!P587,"missing: not collected"),exact(metadata!P587,"missing: not provided"))),AND(IF(metadata!P587="",FALSE,IF(ISERROR(INT(metadata!P587)),FALSE,INT(metadata!P587)=metadata!P587)),metadata!P587&gt;0))</f>
        <v>0</v>
      </c>
      <c r="AQ587">
        <f>IF(metadata!Q587="",FALSE,TRUE)</f>
        <v>0</v>
      </c>
    </row>
    <row r="588" spans="1:43">
      <c r="A588" s="5">
        <f>IF(B588=" "," ",HYPERLINK(CONCATENATE("#metadata!",ADDRESS(INDEX($W$2:$W$1001,MATCH(ROWS($U$2:U588),$U$2:$U$1001,0),0),1)),INDEX($Z$2:$Z$1001,MATCH(ROWS($U$2:U588),$U$2:$U$1001,0),0)))</f>
        <v>0</v>
      </c>
      <c r="B588" s="4">
        <f>IF(OR(INDEX($V$2:$V$1001,MATCH(ROWS($U$2:U588),$U$2:$U$1001,0),1)&gt;=100000,INDEX($AB$1005:$AQ$1005,1,MATCH(COLUMNS($AB$1006:AB1006),$AB$1006:$AQ$1006,0))&gt;=100000), " ",IF(INDEX($AB$2:$AQ$1001,MATCH(ROWS($U$2:U588),$U$2:$U$1001,0),MATCH(COLUMNS($AB$1006:AB1006),$AB$1006:$AQ$1006,0)), HYPERLINK("#",""), HYPERLINK(CONCATENATE("#metadata!", ADDRESS(INDEX($W$2:$W$1001,MATCH(ROWS($U$2:U588),$U$2:$U$1001,0),0), INDEX($AB$1004:$AQ$1004,1,MATCH(COLUMNS($AB$1006:AB1006),$AB$1006:$AQ$1006,0)))),"Fix")))</f>
        <v>0</v>
      </c>
      <c r="C588" s="4">
        <f>IF(OR(INDEX($V$2:$V$1001,MATCH(ROWS($U$2:U588),$U$2:$U$1001,0),1)&gt;=100000,INDEX($AB$1005:$AQ$1005,1,MATCH(COLUMNS($AB$1006:AC1006),$AB$1006:$AQ$1006,0))&gt;=100000), " ",IF(INDEX($AB$2:$AQ$1001,MATCH(ROWS($U$2:U588),$U$2:$U$1001,0),MATCH(COLUMNS($AB$1006:AC1006),$AB$1006:$AQ$1006,0)), HYPERLINK("#",""), HYPERLINK(CONCATENATE("#metadata!", ADDRESS(INDEX($W$2:$W$1001,MATCH(ROWS($U$2:U588),$U$2:$U$1001,0),0), INDEX($AB$1004:$AQ$1004,1,MATCH(COLUMNS($AB$1006:AC1006),$AB$1006:$AQ$1006,0)))),"Fix")))</f>
        <v>0</v>
      </c>
      <c r="D588" s="4">
        <f>IF(OR(INDEX($V$2:$V$1001,MATCH(ROWS($U$2:U588),$U$2:$U$1001,0),1)&gt;=100000,INDEX($AB$1005:$AQ$1005,1,MATCH(COLUMNS($AB$1006:AD1006),$AB$1006:$AQ$1006,0))&gt;=100000), " ",IF(INDEX($AB$2:$AQ$1001,MATCH(ROWS($U$2:U588),$U$2:$U$1001,0),MATCH(COLUMNS($AB$1006:AD1006),$AB$1006:$AQ$1006,0)), HYPERLINK("#",""), HYPERLINK(CONCATENATE("#metadata!", ADDRESS(INDEX($W$2:$W$1001,MATCH(ROWS($U$2:U588),$U$2:$U$1001,0),0), INDEX($AB$1004:$AQ$1004,1,MATCH(COLUMNS($AB$1006:AD1006),$AB$1006:$AQ$1006,0)))),"Fix")))</f>
        <v>0</v>
      </c>
      <c r="E588" s="4">
        <f>IF(OR(INDEX($V$2:$V$1001,MATCH(ROWS($U$2:U588),$U$2:$U$1001,0),1)&gt;=100000,INDEX($AB$1005:$AQ$1005,1,MATCH(COLUMNS($AB$1006:AE1006),$AB$1006:$AQ$1006,0))&gt;=100000), " ",IF(INDEX($AB$2:$AQ$1001,MATCH(ROWS($U$2:U588),$U$2:$U$1001,0),MATCH(COLUMNS($AB$1006:AE1006),$AB$1006:$AQ$1006,0)), HYPERLINK("#",""), HYPERLINK(CONCATENATE("#metadata!", ADDRESS(INDEX($W$2:$W$1001,MATCH(ROWS($U$2:U588),$U$2:$U$1001,0),0), INDEX($AB$1004:$AQ$1004,1,MATCH(COLUMNS($AB$1006:AE1006),$AB$1006:$AQ$1006,0)))),"Fix")))</f>
        <v>0</v>
      </c>
      <c r="F588" s="4">
        <f>IF(OR(INDEX($V$2:$V$1001,MATCH(ROWS($U$2:U588),$U$2:$U$1001,0),1)&gt;=100000,INDEX($AB$1005:$AQ$1005,1,MATCH(COLUMNS($AB$1006:AF1006),$AB$1006:$AQ$1006,0))&gt;=100000), " ",IF(INDEX($AB$2:$AQ$1001,MATCH(ROWS($U$2:U588),$U$2:$U$1001,0),MATCH(COLUMNS($AB$1006:AF1006),$AB$1006:$AQ$1006,0)), HYPERLINK("#",""), HYPERLINK(CONCATENATE("#metadata!", ADDRESS(INDEX($W$2:$W$1001,MATCH(ROWS($U$2:U588),$U$2:$U$1001,0),0), INDEX($AB$1004:$AQ$1004,1,MATCH(COLUMNS($AB$1006:AF1006),$AB$1006:$AQ$1006,0)))),"Fix")))</f>
        <v>0</v>
      </c>
      <c r="G588" s="4">
        <f>IF(OR(INDEX($V$2:$V$1001,MATCH(ROWS($U$2:U588),$U$2:$U$1001,0),1)&gt;=100000,INDEX($AB$1005:$AQ$1005,1,MATCH(COLUMNS($AB$1006:AG1006),$AB$1006:$AQ$1006,0))&gt;=100000), " ",IF(INDEX($AB$2:$AQ$1001,MATCH(ROWS($U$2:U588),$U$2:$U$1001,0),MATCH(COLUMNS($AB$1006:AG1006),$AB$1006:$AQ$1006,0)), HYPERLINK("#",""), HYPERLINK(CONCATENATE("#metadata!", ADDRESS(INDEX($W$2:$W$1001,MATCH(ROWS($U$2:U588),$U$2:$U$1001,0),0), INDEX($AB$1004:$AQ$1004,1,MATCH(COLUMNS($AB$1006:AG1006),$AB$1006:$AQ$1006,0)))),"Fix")))</f>
        <v>0</v>
      </c>
      <c r="H588" s="4">
        <f>IF(OR(INDEX($V$2:$V$1001,MATCH(ROWS($U$2:U588),$U$2:$U$1001,0),1)&gt;=100000,INDEX($AB$1005:$AQ$1005,1,MATCH(COLUMNS($AB$1006:AH1006),$AB$1006:$AQ$1006,0))&gt;=100000), " ",IF(INDEX($AB$2:$AQ$1001,MATCH(ROWS($U$2:U588),$U$2:$U$1001,0),MATCH(COLUMNS($AB$1006:AH1006),$AB$1006:$AQ$1006,0)), HYPERLINK("#",""), HYPERLINK(CONCATENATE("#metadata!", ADDRESS(INDEX($W$2:$W$1001,MATCH(ROWS($U$2:U588),$U$2:$U$1001,0),0), INDEX($AB$1004:$AQ$1004,1,MATCH(COLUMNS($AB$1006:AH1006),$AB$1006:$AQ$1006,0)))),"Fix")))</f>
        <v>0</v>
      </c>
      <c r="I588" s="4">
        <f>IF(OR(INDEX($V$2:$V$1001,MATCH(ROWS($U$2:U588),$U$2:$U$1001,0),1)&gt;=100000,INDEX($AB$1005:$AQ$1005,1,MATCH(COLUMNS($AB$1006:AI1006),$AB$1006:$AQ$1006,0))&gt;=100000), " ",IF(INDEX($AB$2:$AQ$1001,MATCH(ROWS($U$2:U588),$U$2:$U$1001,0),MATCH(COLUMNS($AB$1006:AI1006),$AB$1006:$AQ$1006,0)), HYPERLINK("#",""), HYPERLINK(CONCATENATE("#metadata!", ADDRESS(INDEX($W$2:$W$1001,MATCH(ROWS($U$2:U588),$U$2:$U$1001,0),0), INDEX($AB$1004:$AQ$1004,1,MATCH(COLUMNS($AB$1006:AI1006),$AB$1006:$AQ$1006,0)))),"Fix")))</f>
        <v>0</v>
      </c>
      <c r="J588" s="4">
        <f>IF(OR(INDEX($V$2:$V$1001,MATCH(ROWS($U$2:U588),$U$2:$U$1001,0),1)&gt;=100000,INDEX($AB$1005:$AQ$1005,1,MATCH(COLUMNS($AB$1006:AJ1006),$AB$1006:$AQ$1006,0))&gt;=100000), " ",IF(INDEX($AB$2:$AQ$1001,MATCH(ROWS($U$2:U588),$U$2:$U$1001,0),MATCH(COLUMNS($AB$1006:AJ1006),$AB$1006:$AQ$1006,0)), HYPERLINK("#",""), HYPERLINK(CONCATENATE("#metadata!", ADDRESS(INDEX($W$2:$W$1001,MATCH(ROWS($U$2:U588),$U$2:$U$1001,0),0), INDEX($AB$1004:$AQ$1004,1,MATCH(COLUMNS($AB$1006:AJ1006),$AB$1006:$AQ$1006,0)))),"Fix")))</f>
        <v>0</v>
      </c>
      <c r="K588" s="4">
        <f>IF(OR(INDEX($V$2:$V$1001,MATCH(ROWS($U$2:U588),$U$2:$U$1001,0),1)&gt;=100000,INDEX($AB$1005:$AQ$1005,1,MATCH(COLUMNS($AB$1006:AK1006),$AB$1006:$AQ$1006,0))&gt;=100000), " ",IF(INDEX($AB$2:$AQ$1001,MATCH(ROWS($U$2:U588),$U$2:$U$1001,0),MATCH(COLUMNS($AB$1006:AK1006),$AB$1006:$AQ$1006,0)), HYPERLINK("#",""), HYPERLINK(CONCATENATE("#metadata!", ADDRESS(INDEX($W$2:$W$1001,MATCH(ROWS($U$2:U588),$U$2:$U$1001,0),0), INDEX($AB$1004:$AQ$1004,1,MATCH(COLUMNS($AB$1006:AK1006),$AB$1006:$AQ$1006,0)))),"Fix")))</f>
        <v>0</v>
      </c>
      <c r="L588" s="4">
        <f>IF(OR(INDEX($V$2:$V$1001,MATCH(ROWS($U$2:U588),$U$2:$U$1001,0),1)&gt;=100000,INDEX($AB$1005:$AQ$1005,1,MATCH(COLUMNS($AB$1006:AL1006),$AB$1006:$AQ$1006,0))&gt;=100000), " ",IF(INDEX($AB$2:$AQ$1001,MATCH(ROWS($U$2:U588),$U$2:$U$1001,0),MATCH(COLUMNS($AB$1006:AL1006),$AB$1006:$AQ$1006,0)), HYPERLINK("#",""), HYPERLINK(CONCATENATE("#metadata!", ADDRESS(INDEX($W$2:$W$1001,MATCH(ROWS($U$2:U588),$U$2:$U$1001,0),0), INDEX($AB$1004:$AQ$1004,1,MATCH(COLUMNS($AB$1006:AL1006),$AB$1006:$AQ$1006,0)))),"Fix")))</f>
        <v>0</v>
      </c>
      <c r="M588" s="4">
        <f>IF(OR(INDEX($V$2:$V$1001,MATCH(ROWS($U$2:U588),$U$2:$U$1001,0),1)&gt;=100000,INDEX($AB$1005:$AQ$1005,1,MATCH(COLUMNS($AB$1006:AM1006),$AB$1006:$AQ$1006,0))&gt;=100000), " ",IF(INDEX($AB$2:$AQ$1001,MATCH(ROWS($U$2:U588),$U$2:$U$1001,0),MATCH(COLUMNS($AB$1006:AM1006),$AB$1006:$AQ$1006,0)), HYPERLINK("#",""), HYPERLINK(CONCATENATE("#metadata!", ADDRESS(INDEX($W$2:$W$1001,MATCH(ROWS($U$2:U588),$U$2:$U$1001,0),0), INDEX($AB$1004:$AQ$1004,1,MATCH(COLUMNS($AB$1006:AM1006),$AB$1006:$AQ$1006,0)))),"Fix")))</f>
        <v>0</v>
      </c>
      <c r="N588" s="4">
        <f>IF(OR(INDEX($V$2:$V$1001,MATCH(ROWS($U$2:U588),$U$2:$U$1001,0),1)&gt;=100000,INDEX($AB$1005:$AQ$1005,1,MATCH(COLUMNS($AB$1006:AN1006),$AB$1006:$AQ$1006,0))&gt;=100000), " ",IF(INDEX($AB$2:$AQ$1001,MATCH(ROWS($U$2:U588),$U$2:$U$1001,0),MATCH(COLUMNS($AB$1006:AN1006),$AB$1006:$AQ$1006,0)), HYPERLINK("#",""), HYPERLINK(CONCATENATE("#metadata!", ADDRESS(INDEX($W$2:$W$1001,MATCH(ROWS($U$2:U588),$U$2:$U$1001,0),0), INDEX($AB$1004:$AQ$1004,1,MATCH(COLUMNS($AB$1006:AN1006),$AB$1006:$AQ$1006,0)))),"Fix")))</f>
        <v>0</v>
      </c>
      <c r="O588" s="4">
        <f>IF(OR(INDEX($V$2:$V$1001,MATCH(ROWS($U$2:U588),$U$2:$U$1001,0),1)&gt;=100000,INDEX($AB$1005:$AQ$1005,1,MATCH(COLUMNS($AB$1006:AO1006),$AB$1006:$AQ$1006,0))&gt;=100000), " ",IF(INDEX($AB$2:$AQ$1001,MATCH(ROWS($U$2:U588),$U$2:$U$1001,0),MATCH(COLUMNS($AB$1006:AO1006),$AB$1006:$AQ$1006,0)), HYPERLINK("#",""), HYPERLINK(CONCATENATE("#metadata!", ADDRESS(INDEX($W$2:$W$1001,MATCH(ROWS($U$2:U588),$U$2:$U$1001,0),0), INDEX($AB$1004:$AQ$1004,1,MATCH(COLUMNS($AB$1006:AO1006),$AB$1006:$AQ$1006,0)))),"Fix")))</f>
        <v>0</v>
      </c>
      <c r="P588" s="4">
        <f>IF(OR(INDEX($V$2:$V$1001,MATCH(ROWS($U$2:U588),$U$2:$U$1001,0),1)&gt;=100000,INDEX($AB$1005:$AQ$1005,1,MATCH(COLUMNS($AB$1006:AP1006),$AB$1006:$AQ$1006,0))&gt;=100000), " ",IF(INDEX($AB$2:$AQ$1001,MATCH(ROWS($U$2:U588),$U$2:$U$1001,0),MATCH(COLUMNS($AB$1006:AP1006),$AB$1006:$AQ$1006,0)), HYPERLINK("#",""), HYPERLINK(CONCATENATE("#metadata!", ADDRESS(INDEX($W$2:$W$1001,MATCH(ROWS($U$2:U588),$U$2:$U$1001,0),0), INDEX($AB$1004:$AQ$1004,1,MATCH(COLUMNS($AB$1006:AP1006),$AB$1006:$AQ$1006,0)))),"Fix")))</f>
        <v>0</v>
      </c>
      <c r="Q588" s="4">
        <f>IF(OR(INDEX($V$2:$V$1001,MATCH(ROWS($U$2:U588),$U$2:$U$1001,0),1)&gt;=100000,INDEX($AB$1005:$AQ$1005,1,MATCH(COLUMNS($AB$1006:AQ1006),$AB$1006:$AQ$1006,0))&gt;=100000), " ",IF(INDEX($AB$2:$AQ$1001,MATCH(ROWS($U$2:U588),$U$2:$U$1001,0),MATCH(COLUMNS($AB$1006:AQ1006),$AB$1006:$AQ$1006,0)), HYPERLINK("#",""), HYPERLINK(CONCATENATE("#metadata!", ADDRESS(INDEX($W$2:$W$1001,MATCH(ROWS($U$2:U588),$U$2:$U$1001,0),0), INDEX($AB$1004:$AQ$1004,1,MATCH(COLUMNS($AB$1006:AQ1006),$AB$1006:$AQ$1006,0)))),"Fix")))</f>
        <v>0</v>
      </c>
      <c r="U588">
        <v>0</v>
      </c>
      <c r="V588">
        <v>0</v>
      </c>
      <c r="W588">
        <v>0</v>
      </c>
      <c r="X588">
        <f>IF(Y588,TRUE,AND(AB588:AQ588))</f>
        <v>0</v>
      </c>
      <c r="Y588">
        <f>COUNTBLANK(metadata!B588:Q588)=COLUMNS(metadata!B588:Q588)</f>
        <v>0</v>
      </c>
      <c r="Z588">
        <v>0</v>
      </c>
      <c r="AB588">
        <f>AND(IF(metadata!B588="",FALSE,TRUE),COUNTIF(metadata!B:B, metadata!B588) = 1,NOT(ISERROR(SUMPRODUCT(SEARCH(MID(metadata!B588,ROW(INDIRECT("1:"&amp;LEN(metadata!B588))), 1),"0123456789abcdefghijklmnopqrstuvwxyzABCDEFGHIJKLMNOPQRSTUVWXYZ.")))))</f>
        <v>0</v>
      </c>
      <c r="AC588">
        <f>OR(AND(IF(metadata!C588="",FALSE,TRUE),OR(exact(metadata!C588,"missing: not collected"),exact(metadata!C588,"missing: not provided"),exact(metadata!C588,"missing: restricted access"))),AND(IF(metadata!C588="",FALSE,TRUE),AND(AND(IFERROR(INT(LEFT(metadata!C588,4))&gt;1900,FALSE),IFERROR(INT(LEFT(metadata!C588,4))&lt;=YEAR(NOW()),FALSE)), OR(MID(metadata!C588,5,1)="", AND(AND(MID(metadata!C588,5,1)="-",IFERROR(INT(MID(metadata!C588,6,1))&gt;=0,FALSE),IFERROR(INT(MID(metadata!C588,6,1))&lt;=1,FALSE),NOT(MID(metadata!C588,7,1)=""),IFERROR(INT(MID(metadata!C588,6,2))&gt;=1,FALSE),IFERROR(INT(MID(metadata!C588,6,2))&lt;=12,FALSE)), OR(MID(metadata!C588,8,1)="", AND(AND(MID(metadata!C588,8,1)="-",IFERROR(INT(MID(metadata!C588,9,1))&gt;=0,FALSE),IFERROR(INT(MID(metadata!C588,9,1))&lt;=3,FALSE),NOT(MID(metadata!C588,10,1)=""),IFERROR(INT(MID(metadata!C588,9,2))&gt;=1,FALSE),IFERROR(INT(MID(metadata!C588,9,2))&lt;=31,FALSE)), OR(MID(metadata!C588,11,1)="", AND(AND(MID(metadata!C588,11,1)=" ",IFERROR(INT(MID(metadata!C588,12,1))&gt;=0,FALSE),IFERROR(INT(MID(metadata!C588,12,1))&lt;=2,FALSE),NOT(MID(metadata!C588,13,1)=""),IFERROR(INT(MID(metadata!C588,12,2))&gt;=0,FALSE),IFERROR(INT(MID(metadata!C588,12,2))&lt;=23,FALSE)), OR(MID(metadata!C588,14,1)="", AND(AND(MID(metadata!C588,14,1)=":",IFERROR(INT(MID(metadata!C588,15,1))&gt;=0,FALSE),IFERROR(INT(MID(metadata!C588,15,1))&lt;=5,FALSE),NOT(MID(metadata!C588,16,1)=""),IFERROR(INT(MID(metadata!C588,15,2))&gt;=0,FALSE),IFERROR(INT(MID(metadata!C588,15,2))&lt;=59,FALSE)), OR(MID(metadata!C588,17,1)="", AND(AND(MID(metadata!C588,17,1)=":",IFERROR(INT(MID(metadata!C588,18,1))&gt;=0,FALSE),IFERROR(INT(MID(metadata!C588,18,1))&lt;=5,FALSE),NOT(MID(metadata!C588,19,1)=""),IFERROR(INT(MID(metadata!C588,18,2))&gt;=0,FALSE),IFERROR(INT(MID(metadata!C588,18,2))&lt;=59,FALSE)), LEN(metadata!C588)&lt;=19)))))))))))))</f>
        <v>0</v>
      </c>
      <c r="AD588">
        <f>IF(metadata!D588="",FALSE,TRUE)</f>
        <v>0</v>
      </c>
      <c r="AE588">
        <f>OR(AND(IF(metadata!E588="",FALSE,TRUE),OR(exact(metadata!E588,"missing: not collected"),exact(metadata!E588,"missing: not provided"))),AND(IF(metadata!E588="",FALSE,TRUE),OR(exact(metadata!E588,"TRUE"),exact(metadata!E588,"FALSE"))))</f>
        <v>0</v>
      </c>
      <c r="AF588">
        <f>IF(metadata!F588="",FALSE,TRUE)</f>
        <v>0</v>
      </c>
      <c r="AG588">
        <f>IF(metadata!G588="",FALSE,TRUE)</f>
        <v>0</v>
      </c>
      <c r="AH588">
        <f>IF(metadata!H588="",FALSE,TRUE)</f>
        <v>0</v>
      </c>
      <c r="AI588">
        <f>OR(AND(IF(metadata!I588="",FALSE,TRUE),OR(exact(metadata!I588,"missing: not collected"),exact(metadata!I588,"missing: not provided"),exact(metadata!I588,"missing: restricted access"))),AND(IF(metadata!I588="",FALSE,TRUE),OR(exact(metadata!I588,"air"),exact(metadata!I588,"built environment"),exact(metadata!I588,"host-associated"),exact(metadata!I588,"human-associated"),exact(metadata!I588,"human-skin"),exact(metadata!I588,"human-oral"),exact(metadata!I588,"human-gut"),exact(metadata!I588,"human-vaginal"),exact(metadata!I588,"microbial mat/biofilm"),exact(metadata!I588,"misc environment"),exact(metadata!I588,"plant-associated"),exact(metadata!I588,"sediment"),exact(metadata!I588,"soil"),exact(metadata!I588,"wastewater/sludge"),exact(metadata!I588,"water"))))</f>
        <v>0</v>
      </c>
      <c r="AJ588">
        <f>IF(metadata!J588="",FALSE,TRUE)</f>
        <v>0</v>
      </c>
      <c r="AK588">
        <f>OR(AND(IF(metadata!K588="",FALSE,TRUE),OR(exact(metadata!K588,"missing: not collected"),exact(metadata!K588,"missing: not provided"),exact(metadata!K588,"missing: restricted access"))),AND(IF(metadata!K588="",FALSE,ISNUMBER(VALUE(metadata!K588))),metadata!K588&gt;=-90.00,metadata!K588&lt;=90.00))</f>
        <v>0</v>
      </c>
      <c r="AL588">
        <f>OR(AND(IF(metadata!L588="",FALSE,TRUE),OR(exact(metadata!L588,"missing: not collected"),exact(metadata!L588,"missing: not provided"),exact(metadata!L588,"missing: restricted access"))),AND(IF(metadata!L588="",FALSE,ISNUMBER(VALUE(metadata!L588))),metadata!L588&gt;=-180.00,metadata!L588&lt;=180.00))</f>
        <v>0</v>
      </c>
      <c r="AM588">
        <f>IF(metadata!M588="",FALSE,TRUE)</f>
        <v>0</v>
      </c>
      <c r="AN588">
        <f>OR(AND(IF(metadata!N588="",FALSE,TRUE),OR(exact(metadata!N588,"missing: not collected"),exact(metadata!N588,"missing: not provided"),exact(metadata!N588,"missing: restricted access"))),AND(IF(metadata!N588="",FALSE,TRUE),OR(exact(metadata!N588,"TRUE"),exact(metadata!N588,"FALSE"))))</f>
        <v>0</v>
      </c>
      <c r="AO588">
        <f>IF(metadata!O588="",FALSE,TRUE)</f>
        <v>0</v>
      </c>
      <c r="AP588">
        <f>OR(AND(IF(metadata!P588="",FALSE,TRUE),OR(exact(metadata!P588,"missing: not collected"),exact(metadata!P588,"missing: not provided"))),AND(IF(metadata!P588="",FALSE,IF(ISERROR(INT(metadata!P588)),FALSE,INT(metadata!P588)=metadata!P588)),metadata!P588&gt;0))</f>
        <v>0</v>
      </c>
      <c r="AQ588">
        <f>IF(metadata!Q588="",FALSE,TRUE)</f>
        <v>0</v>
      </c>
    </row>
    <row r="589" spans="1:43">
      <c r="A589" s="5">
        <f>IF(B589=" "," ",HYPERLINK(CONCATENATE("#metadata!",ADDRESS(INDEX($W$2:$W$1001,MATCH(ROWS($U$2:U589),$U$2:$U$1001,0),0),1)),INDEX($Z$2:$Z$1001,MATCH(ROWS($U$2:U589),$U$2:$U$1001,0),0)))</f>
        <v>0</v>
      </c>
      <c r="B589" s="4">
        <f>IF(OR(INDEX($V$2:$V$1001,MATCH(ROWS($U$2:U589),$U$2:$U$1001,0),1)&gt;=100000,INDEX($AB$1005:$AQ$1005,1,MATCH(COLUMNS($AB$1006:AB1006),$AB$1006:$AQ$1006,0))&gt;=100000), " ",IF(INDEX($AB$2:$AQ$1001,MATCH(ROWS($U$2:U589),$U$2:$U$1001,0),MATCH(COLUMNS($AB$1006:AB1006),$AB$1006:$AQ$1006,0)), HYPERLINK("#",""), HYPERLINK(CONCATENATE("#metadata!", ADDRESS(INDEX($W$2:$W$1001,MATCH(ROWS($U$2:U589),$U$2:$U$1001,0),0), INDEX($AB$1004:$AQ$1004,1,MATCH(COLUMNS($AB$1006:AB1006),$AB$1006:$AQ$1006,0)))),"Fix")))</f>
        <v>0</v>
      </c>
      <c r="C589" s="4">
        <f>IF(OR(INDEX($V$2:$V$1001,MATCH(ROWS($U$2:U589),$U$2:$U$1001,0),1)&gt;=100000,INDEX($AB$1005:$AQ$1005,1,MATCH(COLUMNS($AB$1006:AC1006),$AB$1006:$AQ$1006,0))&gt;=100000), " ",IF(INDEX($AB$2:$AQ$1001,MATCH(ROWS($U$2:U589),$U$2:$U$1001,0),MATCH(COLUMNS($AB$1006:AC1006),$AB$1006:$AQ$1006,0)), HYPERLINK("#",""), HYPERLINK(CONCATENATE("#metadata!", ADDRESS(INDEX($W$2:$W$1001,MATCH(ROWS($U$2:U589),$U$2:$U$1001,0),0), INDEX($AB$1004:$AQ$1004,1,MATCH(COLUMNS($AB$1006:AC1006),$AB$1006:$AQ$1006,0)))),"Fix")))</f>
        <v>0</v>
      </c>
      <c r="D589" s="4">
        <f>IF(OR(INDEX($V$2:$V$1001,MATCH(ROWS($U$2:U589),$U$2:$U$1001,0),1)&gt;=100000,INDEX($AB$1005:$AQ$1005,1,MATCH(COLUMNS($AB$1006:AD1006),$AB$1006:$AQ$1006,0))&gt;=100000), " ",IF(INDEX($AB$2:$AQ$1001,MATCH(ROWS($U$2:U589),$U$2:$U$1001,0),MATCH(COLUMNS($AB$1006:AD1006),$AB$1006:$AQ$1006,0)), HYPERLINK("#",""), HYPERLINK(CONCATENATE("#metadata!", ADDRESS(INDEX($W$2:$W$1001,MATCH(ROWS($U$2:U589),$U$2:$U$1001,0),0), INDEX($AB$1004:$AQ$1004,1,MATCH(COLUMNS($AB$1006:AD1006),$AB$1006:$AQ$1006,0)))),"Fix")))</f>
        <v>0</v>
      </c>
      <c r="E589" s="4">
        <f>IF(OR(INDEX($V$2:$V$1001,MATCH(ROWS($U$2:U589),$U$2:$U$1001,0),1)&gt;=100000,INDEX($AB$1005:$AQ$1005,1,MATCH(COLUMNS($AB$1006:AE1006),$AB$1006:$AQ$1006,0))&gt;=100000), " ",IF(INDEX($AB$2:$AQ$1001,MATCH(ROWS($U$2:U589),$U$2:$U$1001,0),MATCH(COLUMNS($AB$1006:AE1006),$AB$1006:$AQ$1006,0)), HYPERLINK("#",""), HYPERLINK(CONCATENATE("#metadata!", ADDRESS(INDEX($W$2:$W$1001,MATCH(ROWS($U$2:U589),$U$2:$U$1001,0),0), INDEX($AB$1004:$AQ$1004,1,MATCH(COLUMNS($AB$1006:AE1006),$AB$1006:$AQ$1006,0)))),"Fix")))</f>
        <v>0</v>
      </c>
      <c r="F589" s="4">
        <f>IF(OR(INDEX($V$2:$V$1001,MATCH(ROWS($U$2:U589),$U$2:$U$1001,0),1)&gt;=100000,INDEX($AB$1005:$AQ$1005,1,MATCH(COLUMNS($AB$1006:AF1006),$AB$1006:$AQ$1006,0))&gt;=100000), " ",IF(INDEX($AB$2:$AQ$1001,MATCH(ROWS($U$2:U589),$U$2:$U$1001,0),MATCH(COLUMNS($AB$1006:AF1006),$AB$1006:$AQ$1006,0)), HYPERLINK("#",""), HYPERLINK(CONCATENATE("#metadata!", ADDRESS(INDEX($W$2:$W$1001,MATCH(ROWS($U$2:U589),$U$2:$U$1001,0),0), INDEX($AB$1004:$AQ$1004,1,MATCH(COLUMNS($AB$1006:AF1006),$AB$1006:$AQ$1006,0)))),"Fix")))</f>
        <v>0</v>
      </c>
      <c r="G589" s="4">
        <f>IF(OR(INDEX($V$2:$V$1001,MATCH(ROWS($U$2:U589),$U$2:$U$1001,0),1)&gt;=100000,INDEX($AB$1005:$AQ$1005,1,MATCH(COLUMNS($AB$1006:AG1006),$AB$1006:$AQ$1006,0))&gt;=100000), " ",IF(INDEX($AB$2:$AQ$1001,MATCH(ROWS($U$2:U589),$U$2:$U$1001,0),MATCH(COLUMNS($AB$1006:AG1006),$AB$1006:$AQ$1006,0)), HYPERLINK("#",""), HYPERLINK(CONCATENATE("#metadata!", ADDRESS(INDEX($W$2:$W$1001,MATCH(ROWS($U$2:U589),$U$2:$U$1001,0),0), INDEX($AB$1004:$AQ$1004,1,MATCH(COLUMNS($AB$1006:AG1006),$AB$1006:$AQ$1006,0)))),"Fix")))</f>
        <v>0</v>
      </c>
      <c r="H589" s="4">
        <f>IF(OR(INDEX($V$2:$V$1001,MATCH(ROWS($U$2:U589),$U$2:$U$1001,0),1)&gt;=100000,INDEX($AB$1005:$AQ$1005,1,MATCH(COLUMNS($AB$1006:AH1006),$AB$1006:$AQ$1006,0))&gt;=100000), " ",IF(INDEX($AB$2:$AQ$1001,MATCH(ROWS($U$2:U589),$U$2:$U$1001,0),MATCH(COLUMNS($AB$1006:AH1006),$AB$1006:$AQ$1006,0)), HYPERLINK("#",""), HYPERLINK(CONCATENATE("#metadata!", ADDRESS(INDEX($W$2:$W$1001,MATCH(ROWS($U$2:U589),$U$2:$U$1001,0),0), INDEX($AB$1004:$AQ$1004,1,MATCH(COLUMNS($AB$1006:AH1006),$AB$1006:$AQ$1006,0)))),"Fix")))</f>
        <v>0</v>
      </c>
      <c r="I589" s="4">
        <f>IF(OR(INDEX($V$2:$V$1001,MATCH(ROWS($U$2:U589),$U$2:$U$1001,0),1)&gt;=100000,INDEX($AB$1005:$AQ$1005,1,MATCH(COLUMNS($AB$1006:AI1006),$AB$1006:$AQ$1006,0))&gt;=100000), " ",IF(INDEX($AB$2:$AQ$1001,MATCH(ROWS($U$2:U589),$U$2:$U$1001,0),MATCH(COLUMNS($AB$1006:AI1006),$AB$1006:$AQ$1006,0)), HYPERLINK("#",""), HYPERLINK(CONCATENATE("#metadata!", ADDRESS(INDEX($W$2:$W$1001,MATCH(ROWS($U$2:U589),$U$2:$U$1001,0),0), INDEX($AB$1004:$AQ$1004,1,MATCH(COLUMNS($AB$1006:AI1006),$AB$1006:$AQ$1006,0)))),"Fix")))</f>
        <v>0</v>
      </c>
      <c r="J589" s="4">
        <f>IF(OR(INDEX($V$2:$V$1001,MATCH(ROWS($U$2:U589),$U$2:$U$1001,0),1)&gt;=100000,INDEX($AB$1005:$AQ$1005,1,MATCH(COLUMNS($AB$1006:AJ1006),$AB$1006:$AQ$1006,0))&gt;=100000), " ",IF(INDEX($AB$2:$AQ$1001,MATCH(ROWS($U$2:U589),$U$2:$U$1001,0),MATCH(COLUMNS($AB$1006:AJ1006),$AB$1006:$AQ$1006,0)), HYPERLINK("#",""), HYPERLINK(CONCATENATE("#metadata!", ADDRESS(INDEX($W$2:$W$1001,MATCH(ROWS($U$2:U589),$U$2:$U$1001,0),0), INDEX($AB$1004:$AQ$1004,1,MATCH(COLUMNS($AB$1006:AJ1006),$AB$1006:$AQ$1006,0)))),"Fix")))</f>
        <v>0</v>
      </c>
      <c r="K589" s="4">
        <f>IF(OR(INDEX($V$2:$V$1001,MATCH(ROWS($U$2:U589),$U$2:$U$1001,0),1)&gt;=100000,INDEX($AB$1005:$AQ$1005,1,MATCH(COLUMNS($AB$1006:AK1006),$AB$1006:$AQ$1006,0))&gt;=100000), " ",IF(INDEX($AB$2:$AQ$1001,MATCH(ROWS($U$2:U589),$U$2:$U$1001,0),MATCH(COLUMNS($AB$1006:AK1006),$AB$1006:$AQ$1006,0)), HYPERLINK("#",""), HYPERLINK(CONCATENATE("#metadata!", ADDRESS(INDEX($W$2:$W$1001,MATCH(ROWS($U$2:U589),$U$2:$U$1001,0),0), INDEX($AB$1004:$AQ$1004,1,MATCH(COLUMNS($AB$1006:AK1006),$AB$1006:$AQ$1006,0)))),"Fix")))</f>
        <v>0</v>
      </c>
      <c r="L589" s="4">
        <f>IF(OR(INDEX($V$2:$V$1001,MATCH(ROWS($U$2:U589),$U$2:$U$1001,0),1)&gt;=100000,INDEX($AB$1005:$AQ$1005,1,MATCH(COLUMNS($AB$1006:AL1006),$AB$1006:$AQ$1006,0))&gt;=100000), " ",IF(INDEX($AB$2:$AQ$1001,MATCH(ROWS($U$2:U589),$U$2:$U$1001,0),MATCH(COLUMNS($AB$1006:AL1006),$AB$1006:$AQ$1006,0)), HYPERLINK("#",""), HYPERLINK(CONCATENATE("#metadata!", ADDRESS(INDEX($W$2:$W$1001,MATCH(ROWS($U$2:U589),$U$2:$U$1001,0),0), INDEX($AB$1004:$AQ$1004,1,MATCH(COLUMNS($AB$1006:AL1006),$AB$1006:$AQ$1006,0)))),"Fix")))</f>
        <v>0</v>
      </c>
      <c r="M589" s="4">
        <f>IF(OR(INDEX($V$2:$V$1001,MATCH(ROWS($U$2:U589),$U$2:$U$1001,0),1)&gt;=100000,INDEX($AB$1005:$AQ$1005,1,MATCH(COLUMNS($AB$1006:AM1006),$AB$1006:$AQ$1006,0))&gt;=100000), " ",IF(INDEX($AB$2:$AQ$1001,MATCH(ROWS($U$2:U589),$U$2:$U$1001,0),MATCH(COLUMNS($AB$1006:AM1006),$AB$1006:$AQ$1006,0)), HYPERLINK("#",""), HYPERLINK(CONCATENATE("#metadata!", ADDRESS(INDEX($W$2:$W$1001,MATCH(ROWS($U$2:U589),$U$2:$U$1001,0),0), INDEX($AB$1004:$AQ$1004,1,MATCH(COLUMNS($AB$1006:AM1006),$AB$1006:$AQ$1006,0)))),"Fix")))</f>
        <v>0</v>
      </c>
      <c r="N589" s="4">
        <f>IF(OR(INDEX($V$2:$V$1001,MATCH(ROWS($U$2:U589),$U$2:$U$1001,0),1)&gt;=100000,INDEX($AB$1005:$AQ$1005,1,MATCH(COLUMNS($AB$1006:AN1006),$AB$1006:$AQ$1006,0))&gt;=100000), " ",IF(INDEX($AB$2:$AQ$1001,MATCH(ROWS($U$2:U589),$U$2:$U$1001,0),MATCH(COLUMNS($AB$1006:AN1006),$AB$1006:$AQ$1006,0)), HYPERLINK("#",""), HYPERLINK(CONCATENATE("#metadata!", ADDRESS(INDEX($W$2:$W$1001,MATCH(ROWS($U$2:U589),$U$2:$U$1001,0),0), INDEX($AB$1004:$AQ$1004,1,MATCH(COLUMNS($AB$1006:AN1006),$AB$1006:$AQ$1006,0)))),"Fix")))</f>
        <v>0</v>
      </c>
      <c r="O589" s="4">
        <f>IF(OR(INDEX($V$2:$V$1001,MATCH(ROWS($U$2:U589),$U$2:$U$1001,0),1)&gt;=100000,INDEX($AB$1005:$AQ$1005,1,MATCH(COLUMNS($AB$1006:AO1006),$AB$1006:$AQ$1006,0))&gt;=100000), " ",IF(INDEX($AB$2:$AQ$1001,MATCH(ROWS($U$2:U589),$U$2:$U$1001,0),MATCH(COLUMNS($AB$1006:AO1006),$AB$1006:$AQ$1006,0)), HYPERLINK("#",""), HYPERLINK(CONCATENATE("#metadata!", ADDRESS(INDEX($W$2:$W$1001,MATCH(ROWS($U$2:U589),$U$2:$U$1001,0),0), INDEX($AB$1004:$AQ$1004,1,MATCH(COLUMNS($AB$1006:AO1006),$AB$1006:$AQ$1006,0)))),"Fix")))</f>
        <v>0</v>
      </c>
      <c r="P589" s="4">
        <f>IF(OR(INDEX($V$2:$V$1001,MATCH(ROWS($U$2:U589),$U$2:$U$1001,0),1)&gt;=100000,INDEX($AB$1005:$AQ$1005,1,MATCH(COLUMNS($AB$1006:AP1006),$AB$1006:$AQ$1006,0))&gt;=100000), " ",IF(INDEX($AB$2:$AQ$1001,MATCH(ROWS($U$2:U589),$U$2:$U$1001,0),MATCH(COLUMNS($AB$1006:AP1006),$AB$1006:$AQ$1006,0)), HYPERLINK("#",""), HYPERLINK(CONCATENATE("#metadata!", ADDRESS(INDEX($W$2:$W$1001,MATCH(ROWS($U$2:U589),$U$2:$U$1001,0),0), INDEX($AB$1004:$AQ$1004,1,MATCH(COLUMNS($AB$1006:AP1006),$AB$1006:$AQ$1006,0)))),"Fix")))</f>
        <v>0</v>
      </c>
      <c r="Q589" s="4">
        <f>IF(OR(INDEX($V$2:$V$1001,MATCH(ROWS($U$2:U589),$U$2:$U$1001,0),1)&gt;=100000,INDEX($AB$1005:$AQ$1005,1,MATCH(COLUMNS($AB$1006:AQ1006),$AB$1006:$AQ$1006,0))&gt;=100000), " ",IF(INDEX($AB$2:$AQ$1001,MATCH(ROWS($U$2:U589),$U$2:$U$1001,0),MATCH(COLUMNS($AB$1006:AQ1006),$AB$1006:$AQ$1006,0)), HYPERLINK("#",""), HYPERLINK(CONCATENATE("#metadata!", ADDRESS(INDEX($W$2:$W$1001,MATCH(ROWS($U$2:U589),$U$2:$U$1001,0),0), INDEX($AB$1004:$AQ$1004,1,MATCH(COLUMNS($AB$1006:AQ1006),$AB$1006:$AQ$1006,0)))),"Fix")))</f>
        <v>0</v>
      </c>
      <c r="U589">
        <v>0</v>
      </c>
      <c r="V589">
        <v>0</v>
      </c>
      <c r="W589">
        <v>0</v>
      </c>
      <c r="X589">
        <f>IF(Y589,TRUE,AND(AB589:AQ589))</f>
        <v>0</v>
      </c>
      <c r="Y589">
        <f>COUNTBLANK(metadata!B589:Q589)=COLUMNS(metadata!B589:Q589)</f>
        <v>0</v>
      </c>
      <c r="Z589">
        <v>0</v>
      </c>
      <c r="AB589">
        <f>AND(IF(metadata!B589="",FALSE,TRUE),COUNTIF(metadata!B:B, metadata!B589) = 1,NOT(ISERROR(SUMPRODUCT(SEARCH(MID(metadata!B589,ROW(INDIRECT("1:"&amp;LEN(metadata!B589))), 1),"0123456789abcdefghijklmnopqrstuvwxyzABCDEFGHIJKLMNOPQRSTUVWXYZ.")))))</f>
        <v>0</v>
      </c>
      <c r="AC589">
        <f>OR(AND(IF(metadata!C589="",FALSE,TRUE),OR(exact(metadata!C589,"missing: not collected"),exact(metadata!C589,"missing: not provided"),exact(metadata!C589,"missing: restricted access"))),AND(IF(metadata!C589="",FALSE,TRUE),AND(AND(IFERROR(INT(LEFT(metadata!C589,4))&gt;1900,FALSE),IFERROR(INT(LEFT(metadata!C589,4))&lt;=YEAR(NOW()),FALSE)), OR(MID(metadata!C589,5,1)="", AND(AND(MID(metadata!C589,5,1)="-",IFERROR(INT(MID(metadata!C589,6,1))&gt;=0,FALSE),IFERROR(INT(MID(metadata!C589,6,1))&lt;=1,FALSE),NOT(MID(metadata!C589,7,1)=""),IFERROR(INT(MID(metadata!C589,6,2))&gt;=1,FALSE),IFERROR(INT(MID(metadata!C589,6,2))&lt;=12,FALSE)), OR(MID(metadata!C589,8,1)="", AND(AND(MID(metadata!C589,8,1)="-",IFERROR(INT(MID(metadata!C589,9,1))&gt;=0,FALSE),IFERROR(INT(MID(metadata!C589,9,1))&lt;=3,FALSE),NOT(MID(metadata!C589,10,1)=""),IFERROR(INT(MID(metadata!C589,9,2))&gt;=1,FALSE),IFERROR(INT(MID(metadata!C589,9,2))&lt;=31,FALSE)), OR(MID(metadata!C589,11,1)="", AND(AND(MID(metadata!C589,11,1)=" ",IFERROR(INT(MID(metadata!C589,12,1))&gt;=0,FALSE),IFERROR(INT(MID(metadata!C589,12,1))&lt;=2,FALSE),NOT(MID(metadata!C589,13,1)=""),IFERROR(INT(MID(metadata!C589,12,2))&gt;=0,FALSE),IFERROR(INT(MID(metadata!C589,12,2))&lt;=23,FALSE)), OR(MID(metadata!C589,14,1)="", AND(AND(MID(metadata!C589,14,1)=":",IFERROR(INT(MID(metadata!C589,15,1))&gt;=0,FALSE),IFERROR(INT(MID(metadata!C589,15,1))&lt;=5,FALSE),NOT(MID(metadata!C589,16,1)=""),IFERROR(INT(MID(metadata!C589,15,2))&gt;=0,FALSE),IFERROR(INT(MID(metadata!C589,15,2))&lt;=59,FALSE)), OR(MID(metadata!C589,17,1)="", AND(AND(MID(metadata!C589,17,1)=":",IFERROR(INT(MID(metadata!C589,18,1))&gt;=0,FALSE),IFERROR(INT(MID(metadata!C589,18,1))&lt;=5,FALSE),NOT(MID(metadata!C589,19,1)=""),IFERROR(INT(MID(metadata!C589,18,2))&gt;=0,FALSE),IFERROR(INT(MID(metadata!C589,18,2))&lt;=59,FALSE)), LEN(metadata!C589)&lt;=19)))))))))))))</f>
        <v>0</v>
      </c>
      <c r="AD589">
        <f>IF(metadata!D589="",FALSE,TRUE)</f>
        <v>0</v>
      </c>
      <c r="AE589">
        <f>OR(AND(IF(metadata!E589="",FALSE,TRUE),OR(exact(metadata!E589,"missing: not collected"),exact(metadata!E589,"missing: not provided"))),AND(IF(metadata!E589="",FALSE,TRUE),OR(exact(metadata!E589,"TRUE"),exact(metadata!E589,"FALSE"))))</f>
        <v>0</v>
      </c>
      <c r="AF589">
        <f>IF(metadata!F589="",FALSE,TRUE)</f>
        <v>0</v>
      </c>
      <c r="AG589">
        <f>IF(metadata!G589="",FALSE,TRUE)</f>
        <v>0</v>
      </c>
      <c r="AH589">
        <f>IF(metadata!H589="",FALSE,TRUE)</f>
        <v>0</v>
      </c>
      <c r="AI589">
        <f>OR(AND(IF(metadata!I589="",FALSE,TRUE),OR(exact(metadata!I589,"missing: not collected"),exact(metadata!I589,"missing: not provided"),exact(metadata!I589,"missing: restricted access"))),AND(IF(metadata!I589="",FALSE,TRUE),OR(exact(metadata!I589,"air"),exact(metadata!I589,"built environment"),exact(metadata!I589,"host-associated"),exact(metadata!I589,"human-associated"),exact(metadata!I589,"human-skin"),exact(metadata!I589,"human-oral"),exact(metadata!I589,"human-gut"),exact(metadata!I589,"human-vaginal"),exact(metadata!I589,"microbial mat/biofilm"),exact(metadata!I589,"misc environment"),exact(metadata!I589,"plant-associated"),exact(metadata!I589,"sediment"),exact(metadata!I589,"soil"),exact(metadata!I589,"wastewater/sludge"),exact(metadata!I589,"water"))))</f>
        <v>0</v>
      </c>
      <c r="AJ589">
        <f>IF(metadata!J589="",FALSE,TRUE)</f>
        <v>0</v>
      </c>
      <c r="AK589">
        <f>OR(AND(IF(metadata!K589="",FALSE,TRUE),OR(exact(metadata!K589,"missing: not collected"),exact(metadata!K589,"missing: not provided"),exact(metadata!K589,"missing: restricted access"))),AND(IF(metadata!K589="",FALSE,ISNUMBER(VALUE(metadata!K589))),metadata!K589&gt;=-90.00,metadata!K589&lt;=90.00))</f>
        <v>0</v>
      </c>
      <c r="AL589">
        <f>OR(AND(IF(metadata!L589="",FALSE,TRUE),OR(exact(metadata!L589,"missing: not collected"),exact(metadata!L589,"missing: not provided"),exact(metadata!L589,"missing: restricted access"))),AND(IF(metadata!L589="",FALSE,ISNUMBER(VALUE(metadata!L589))),metadata!L589&gt;=-180.00,metadata!L589&lt;=180.00))</f>
        <v>0</v>
      </c>
      <c r="AM589">
        <f>IF(metadata!M589="",FALSE,TRUE)</f>
        <v>0</v>
      </c>
      <c r="AN589">
        <f>OR(AND(IF(metadata!N589="",FALSE,TRUE),OR(exact(metadata!N589,"missing: not collected"),exact(metadata!N589,"missing: not provided"),exact(metadata!N589,"missing: restricted access"))),AND(IF(metadata!N589="",FALSE,TRUE),OR(exact(metadata!N589,"TRUE"),exact(metadata!N589,"FALSE"))))</f>
        <v>0</v>
      </c>
      <c r="AO589">
        <f>IF(metadata!O589="",FALSE,TRUE)</f>
        <v>0</v>
      </c>
      <c r="AP589">
        <f>OR(AND(IF(metadata!P589="",FALSE,TRUE),OR(exact(metadata!P589,"missing: not collected"),exact(metadata!P589,"missing: not provided"))),AND(IF(metadata!P589="",FALSE,IF(ISERROR(INT(metadata!P589)),FALSE,INT(metadata!P589)=metadata!P589)),metadata!P589&gt;0))</f>
        <v>0</v>
      </c>
      <c r="AQ589">
        <f>IF(metadata!Q589="",FALSE,TRUE)</f>
        <v>0</v>
      </c>
    </row>
    <row r="590" spans="1:43">
      <c r="A590" s="5">
        <f>IF(B590=" "," ",HYPERLINK(CONCATENATE("#metadata!",ADDRESS(INDEX($W$2:$W$1001,MATCH(ROWS($U$2:U590),$U$2:$U$1001,0),0),1)),INDEX($Z$2:$Z$1001,MATCH(ROWS($U$2:U590),$U$2:$U$1001,0),0)))</f>
        <v>0</v>
      </c>
      <c r="B590" s="4">
        <f>IF(OR(INDEX($V$2:$V$1001,MATCH(ROWS($U$2:U590),$U$2:$U$1001,0),1)&gt;=100000,INDEX($AB$1005:$AQ$1005,1,MATCH(COLUMNS($AB$1006:AB1006),$AB$1006:$AQ$1006,0))&gt;=100000), " ",IF(INDEX($AB$2:$AQ$1001,MATCH(ROWS($U$2:U590),$U$2:$U$1001,0),MATCH(COLUMNS($AB$1006:AB1006),$AB$1006:$AQ$1006,0)), HYPERLINK("#",""), HYPERLINK(CONCATENATE("#metadata!", ADDRESS(INDEX($W$2:$W$1001,MATCH(ROWS($U$2:U590),$U$2:$U$1001,0),0), INDEX($AB$1004:$AQ$1004,1,MATCH(COLUMNS($AB$1006:AB1006),$AB$1006:$AQ$1006,0)))),"Fix")))</f>
        <v>0</v>
      </c>
      <c r="C590" s="4">
        <f>IF(OR(INDEX($V$2:$V$1001,MATCH(ROWS($U$2:U590),$U$2:$U$1001,0),1)&gt;=100000,INDEX($AB$1005:$AQ$1005,1,MATCH(COLUMNS($AB$1006:AC1006),$AB$1006:$AQ$1006,0))&gt;=100000), " ",IF(INDEX($AB$2:$AQ$1001,MATCH(ROWS($U$2:U590),$U$2:$U$1001,0),MATCH(COLUMNS($AB$1006:AC1006),$AB$1006:$AQ$1006,0)), HYPERLINK("#",""), HYPERLINK(CONCATENATE("#metadata!", ADDRESS(INDEX($W$2:$W$1001,MATCH(ROWS($U$2:U590),$U$2:$U$1001,0),0), INDEX($AB$1004:$AQ$1004,1,MATCH(COLUMNS($AB$1006:AC1006),$AB$1006:$AQ$1006,0)))),"Fix")))</f>
        <v>0</v>
      </c>
      <c r="D590" s="4">
        <f>IF(OR(INDEX($V$2:$V$1001,MATCH(ROWS($U$2:U590),$U$2:$U$1001,0),1)&gt;=100000,INDEX($AB$1005:$AQ$1005,1,MATCH(COLUMNS($AB$1006:AD1006),$AB$1006:$AQ$1006,0))&gt;=100000), " ",IF(INDEX($AB$2:$AQ$1001,MATCH(ROWS($U$2:U590),$U$2:$U$1001,0),MATCH(COLUMNS($AB$1006:AD1006),$AB$1006:$AQ$1006,0)), HYPERLINK("#",""), HYPERLINK(CONCATENATE("#metadata!", ADDRESS(INDEX($W$2:$W$1001,MATCH(ROWS($U$2:U590),$U$2:$U$1001,0),0), INDEX($AB$1004:$AQ$1004,1,MATCH(COLUMNS($AB$1006:AD1006),$AB$1006:$AQ$1006,0)))),"Fix")))</f>
        <v>0</v>
      </c>
      <c r="E590" s="4">
        <f>IF(OR(INDEX($V$2:$V$1001,MATCH(ROWS($U$2:U590),$U$2:$U$1001,0),1)&gt;=100000,INDEX($AB$1005:$AQ$1005,1,MATCH(COLUMNS($AB$1006:AE1006),$AB$1006:$AQ$1006,0))&gt;=100000), " ",IF(INDEX($AB$2:$AQ$1001,MATCH(ROWS($U$2:U590),$U$2:$U$1001,0),MATCH(COLUMNS($AB$1006:AE1006),$AB$1006:$AQ$1006,0)), HYPERLINK("#",""), HYPERLINK(CONCATENATE("#metadata!", ADDRESS(INDEX($W$2:$W$1001,MATCH(ROWS($U$2:U590),$U$2:$U$1001,0),0), INDEX($AB$1004:$AQ$1004,1,MATCH(COLUMNS($AB$1006:AE1006),$AB$1006:$AQ$1006,0)))),"Fix")))</f>
        <v>0</v>
      </c>
      <c r="F590" s="4">
        <f>IF(OR(INDEX($V$2:$V$1001,MATCH(ROWS($U$2:U590),$U$2:$U$1001,0),1)&gt;=100000,INDEX($AB$1005:$AQ$1005,1,MATCH(COLUMNS($AB$1006:AF1006),$AB$1006:$AQ$1006,0))&gt;=100000), " ",IF(INDEX($AB$2:$AQ$1001,MATCH(ROWS($U$2:U590),$U$2:$U$1001,0),MATCH(COLUMNS($AB$1006:AF1006),$AB$1006:$AQ$1006,0)), HYPERLINK("#",""), HYPERLINK(CONCATENATE("#metadata!", ADDRESS(INDEX($W$2:$W$1001,MATCH(ROWS($U$2:U590),$U$2:$U$1001,0),0), INDEX($AB$1004:$AQ$1004,1,MATCH(COLUMNS($AB$1006:AF1006),$AB$1006:$AQ$1006,0)))),"Fix")))</f>
        <v>0</v>
      </c>
      <c r="G590" s="4">
        <f>IF(OR(INDEX($V$2:$V$1001,MATCH(ROWS($U$2:U590),$U$2:$U$1001,0),1)&gt;=100000,INDEX($AB$1005:$AQ$1005,1,MATCH(COLUMNS($AB$1006:AG1006),$AB$1006:$AQ$1006,0))&gt;=100000), " ",IF(INDEX($AB$2:$AQ$1001,MATCH(ROWS($U$2:U590),$U$2:$U$1001,0),MATCH(COLUMNS($AB$1006:AG1006),$AB$1006:$AQ$1006,0)), HYPERLINK("#",""), HYPERLINK(CONCATENATE("#metadata!", ADDRESS(INDEX($W$2:$W$1001,MATCH(ROWS($U$2:U590),$U$2:$U$1001,0),0), INDEX($AB$1004:$AQ$1004,1,MATCH(COLUMNS($AB$1006:AG1006),$AB$1006:$AQ$1006,0)))),"Fix")))</f>
        <v>0</v>
      </c>
      <c r="H590" s="4">
        <f>IF(OR(INDEX($V$2:$V$1001,MATCH(ROWS($U$2:U590),$U$2:$U$1001,0),1)&gt;=100000,INDEX($AB$1005:$AQ$1005,1,MATCH(COLUMNS($AB$1006:AH1006),$AB$1006:$AQ$1006,0))&gt;=100000), " ",IF(INDEX($AB$2:$AQ$1001,MATCH(ROWS($U$2:U590),$U$2:$U$1001,0),MATCH(COLUMNS($AB$1006:AH1006),$AB$1006:$AQ$1006,0)), HYPERLINK("#",""), HYPERLINK(CONCATENATE("#metadata!", ADDRESS(INDEX($W$2:$W$1001,MATCH(ROWS($U$2:U590),$U$2:$U$1001,0),0), INDEX($AB$1004:$AQ$1004,1,MATCH(COLUMNS($AB$1006:AH1006),$AB$1006:$AQ$1006,0)))),"Fix")))</f>
        <v>0</v>
      </c>
      <c r="I590" s="4">
        <f>IF(OR(INDEX($V$2:$V$1001,MATCH(ROWS($U$2:U590),$U$2:$U$1001,0),1)&gt;=100000,INDEX($AB$1005:$AQ$1005,1,MATCH(COLUMNS($AB$1006:AI1006),$AB$1006:$AQ$1006,0))&gt;=100000), " ",IF(INDEX($AB$2:$AQ$1001,MATCH(ROWS($U$2:U590),$U$2:$U$1001,0),MATCH(COLUMNS($AB$1006:AI1006),$AB$1006:$AQ$1006,0)), HYPERLINK("#",""), HYPERLINK(CONCATENATE("#metadata!", ADDRESS(INDEX($W$2:$W$1001,MATCH(ROWS($U$2:U590),$U$2:$U$1001,0),0), INDEX($AB$1004:$AQ$1004,1,MATCH(COLUMNS($AB$1006:AI1006),$AB$1006:$AQ$1006,0)))),"Fix")))</f>
        <v>0</v>
      </c>
      <c r="J590" s="4">
        <f>IF(OR(INDEX($V$2:$V$1001,MATCH(ROWS($U$2:U590),$U$2:$U$1001,0),1)&gt;=100000,INDEX($AB$1005:$AQ$1005,1,MATCH(COLUMNS($AB$1006:AJ1006),$AB$1006:$AQ$1006,0))&gt;=100000), " ",IF(INDEX($AB$2:$AQ$1001,MATCH(ROWS($U$2:U590),$U$2:$U$1001,0),MATCH(COLUMNS($AB$1006:AJ1006),$AB$1006:$AQ$1006,0)), HYPERLINK("#",""), HYPERLINK(CONCATENATE("#metadata!", ADDRESS(INDEX($W$2:$W$1001,MATCH(ROWS($U$2:U590),$U$2:$U$1001,0),0), INDEX($AB$1004:$AQ$1004,1,MATCH(COLUMNS($AB$1006:AJ1006),$AB$1006:$AQ$1006,0)))),"Fix")))</f>
        <v>0</v>
      </c>
      <c r="K590" s="4">
        <f>IF(OR(INDEX($V$2:$V$1001,MATCH(ROWS($U$2:U590),$U$2:$U$1001,0),1)&gt;=100000,INDEX($AB$1005:$AQ$1005,1,MATCH(COLUMNS($AB$1006:AK1006),$AB$1006:$AQ$1006,0))&gt;=100000), " ",IF(INDEX($AB$2:$AQ$1001,MATCH(ROWS($U$2:U590),$U$2:$U$1001,0),MATCH(COLUMNS($AB$1006:AK1006),$AB$1006:$AQ$1006,0)), HYPERLINK("#",""), HYPERLINK(CONCATENATE("#metadata!", ADDRESS(INDEX($W$2:$W$1001,MATCH(ROWS($U$2:U590),$U$2:$U$1001,0),0), INDEX($AB$1004:$AQ$1004,1,MATCH(COLUMNS($AB$1006:AK1006),$AB$1006:$AQ$1006,0)))),"Fix")))</f>
        <v>0</v>
      </c>
      <c r="L590" s="4">
        <f>IF(OR(INDEX($V$2:$V$1001,MATCH(ROWS($U$2:U590),$U$2:$U$1001,0),1)&gt;=100000,INDEX($AB$1005:$AQ$1005,1,MATCH(COLUMNS($AB$1006:AL1006),$AB$1006:$AQ$1006,0))&gt;=100000), " ",IF(INDEX($AB$2:$AQ$1001,MATCH(ROWS($U$2:U590),$U$2:$U$1001,0),MATCH(COLUMNS($AB$1006:AL1006),$AB$1006:$AQ$1006,0)), HYPERLINK("#",""), HYPERLINK(CONCATENATE("#metadata!", ADDRESS(INDEX($W$2:$W$1001,MATCH(ROWS($U$2:U590),$U$2:$U$1001,0),0), INDEX($AB$1004:$AQ$1004,1,MATCH(COLUMNS($AB$1006:AL1006),$AB$1006:$AQ$1006,0)))),"Fix")))</f>
        <v>0</v>
      </c>
      <c r="M590" s="4">
        <f>IF(OR(INDEX($V$2:$V$1001,MATCH(ROWS($U$2:U590),$U$2:$U$1001,0),1)&gt;=100000,INDEX($AB$1005:$AQ$1005,1,MATCH(COLUMNS($AB$1006:AM1006),$AB$1006:$AQ$1006,0))&gt;=100000), " ",IF(INDEX($AB$2:$AQ$1001,MATCH(ROWS($U$2:U590),$U$2:$U$1001,0),MATCH(COLUMNS($AB$1006:AM1006),$AB$1006:$AQ$1006,0)), HYPERLINK("#",""), HYPERLINK(CONCATENATE("#metadata!", ADDRESS(INDEX($W$2:$W$1001,MATCH(ROWS($U$2:U590),$U$2:$U$1001,0),0), INDEX($AB$1004:$AQ$1004,1,MATCH(COLUMNS($AB$1006:AM1006),$AB$1006:$AQ$1006,0)))),"Fix")))</f>
        <v>0</v>
      </c>
      <c r="N590" s="4">
        <f>IF(OR(INDEX($V$2:$V$1001,MATCH(ROWS($U$2:U590),$U$2:$U$1001,0),1)&gt;=100000,INDEX($AB$1005:$AQ$1005,1,MATCH(COLUMNS($AB$1006:AN1006),$AB$1006:$AQ$1006,0))&gt;=100000), " ",IF(INDEX($AB$2:$AQ$1001,MATCH(ROWS($U$2:U590),$U$2:$U$1001,0),MATCH(COLUMNS($AB$1006:AN1006),$AB$1006:$AQ$1006,0)), HYPERLINK("#",""), HYPERLINK(CONCATENATE("#metadata!", ADDRESS(INDEX($W$2:$W$1001,MATCH(ROWS($U$2:U590),$U$2:$U$1001,0),0), INDEX($AB$1004:$AQ$1004,1,MATCH(COLUMNS($AB$1006:AN1006),$AB$1006:$AQ$1006,0)))),"Fix")))</f>
        <v>0</v>
      </c>
      <c r="O590" s="4">
        <f>IF(OR(INDEX($V$2:$V$1001,MATCH(ROWS($U$2:U590),$U$2:$U$1001,0),1)&gt;=100000,INDEX($AB$1005:$AQ$1005,1,MATCH(COLUMNS($AB$1006:AO1006),$AB$1006:$AQ$1006,0))&gt;=100000), " ",IF(INDEX($AB$2:$AQ$1001,MATCH(ROWS($U$2:U590),$U$2:$U$1001,0),MATCH(COLUMNS($AB$1006:AO1006),$AB$1006:$AQ$1006,0)), HYPERLINK("#",""), HYPERLINK(CONCATENATE("#metadata!", ADDRESS(INDEX($W$2:$W$1001,MATCH(ROWS($U$2:U590),$U$2:$U$1001,0),0), INDEX($AB$1004:$AQ$1004,1,MATCH(COLUMNS($AB$1006:AO1006),$AB$1006:$AQ$1006,0)))),"Fix")))</f>
        <v>0</v>
      </c>
      <c r="P590" s="4">
        <f>IF(OR(INDEX($V$2:$V$1001,MATCH(ROWS($U$2:U590),$U$2:$U$1001,0),1)&gt;=100000,INDEX($AB$1005:$AQ$1005,1,MATCH(COLUMNS($AB$1006:AP1006),$AB$1006:$AQ$1006,0))&gt;=100000), " ",IF(INDEX($AB$2:$AQ$1001,MATCH(ROWS($U$2:U590),$U$2:$U$1001,0),MATCH(COLUMNS($AB$1006:AP1006),$AB$1006:$AQ$1006,0)), HYPERLINK("#",""), HYPERLINK(CONCATENATE("#metadata!", ADDRESS(INDEX($W$2:$W$1001,MATCH(ROWS($U$2:U590),$U$2:$U$1001,0),0), INDEX($AB$1004:$AQ$1004,1,MATCH(COLUMNS($AB$1006:AP1006),$AB$1006:$AQ$1006,0)))),"Fix")))</f>
        <v>0</v>
      </c>
      <c r="Q590" s="4">
        <f>IF(OR(INDEX($V$2:$V$1001,MATCH(ROWS($U$2:U590),$U$2:$U$1001,0),1)&gt;=100000,INDEX($AB$1005:$AQ$1005,1,MATCH(COLUMNS($AB$1006:AQ1006),$AB$1006:$AQ$1006,0))&gt;=100000), " ",IF(INDEX($AB$2:$AQ$1001,MATCH(ROWS($U$2:U590),$U$2:$U$1001,0),MATCH(COLUMNS($AB$1006:AQ1006),$AB$1006:$AQ$1006,0)), HYPERLINK("#",""), HYPERLINK(CONCATENATE("#metadata!", ADDRESS(INDEX($W$2:$W$1001,MATCH(ROWS($U$2:U590),$U$2:$U$1001,0),0), INDEX($AB$1004:$AQ$1004,1,MATCH(COLUMNS($AB$1006:AQ1006),$AB$1006:$AQ$1006,0)))),"Fix")))</f>
        <v>0</v>
      </c>
      <c r="U590">
        <v>0</v>
      </c>
      <c r="V590">
        <v>0</v>
      </c>
      <c r="W590">
        <v>0</v>
      </c>
      <c r="X590">
        <f>IF(Y590,TRUE,AND(AB590:AQ590))</f>
        <v>0</v>
      </c>
      <c r="Y590">
        <f>COUNTBLANK(metadata!B590:Q590)=COLUMNS(metadata!B590:Q590)</f>
        <v>0</v>
      </c>
      <c r="Z590">
        <v>0</v>
      </c>
      <c r="AB590">
        <f>AND(IF(metadata!B590="",FALSE,TRUE),COUNTIF(metadata!B:B, metadata!B590) = 1,NOT(ISERROR(SUMPRODUCT(SEARCH(MID(metadata!B590,ROW(INDIRECT("1:"&amp;LEN(metadata!B590))), 1),"0123456789abcdefghijklmnopqrstuvwxyzABCDEFGHIJKLMNOPQRSTUVWXYZ.")))))</f>
        <v>0</v>
      </c>
      <c r="AC590">
        <f>OR(AND(IF(metadata!C590="",FALSE,TRUE),OR(exact(metadata!C590,"missing: not collected"),exact(metadata!C590,"missing: not provided"),exact(metadata!C590,"missing: restricted access"))),AND(IF(metadata!C590="",FALSE,TRUE),AND(AND(IFERROR(INT(LEFT(metadata!C590,4))&gt;1900,FALSE),IFERROR(INT(LEFT(metadata!C590,4))&lt;=YEAR(NOW()),FALSE)), OR(MID(metadata!C590,5,1)="", AND(AND(MID(metadata!C590,5,1)="-",IFERROR(INT(MID(metadata!C590,6,1))&gt;=0,FALSE),IFERROR(INT(MID(metadata!C590,6,1))&lt;=1,FALSE),NOT(MID(metadata!C590,7,1)=""),IFERROR(INT(MID(metadata!C590,6,2))&gt;=1,FALSE),IFERROR(INT(MID(metadata!C590,6,2))&lt;=12,FALSE)), OR(MID(metadata!C590,8,1)="", AND(AND(MID(metadata!C590,8,1)="-",IFERROR(INT(MID(metadata!C590,9,1))&gt;=0,FALSE),IFERROR(INT(MID(metadata!C590,9,1))&lt;=3,FALSE),NOT(MID(metadata!C590,10,1)=""),IFERROR(INT(MID(metadata!C590,9,2))&gt;=1,FALSE),IFERROR(INT(MID(metadata!C590,9,2))&lt;=31,FALSE)), OR(MID(metadata!C590,11,1)="", AND(AND(MID(metadata!C590,11,1)=" ",IFERROR(INT(MID(metadata!C590,12,1))&gt;=0,FALSE),IFERROR(INT(MID(metadata!C590,12,1))&lt;=2,FALSE),NOT(MID(metadata!C590,13,1)=""),IFERROR(INT(MID(metadata!C590,12,2))&gt;=0,FALSE),IFERROR(INT(MID(metadata!C590,12,2))&lt;=23,FALSE)), OR(MID(metadata!C590,14,1)="", AND(AND(MID(metadata!C590,14,1)=":",IFERROR(INT(MID(metadata!C590,15,1))&gt;=0,FALSE),IFERROR(INT(MID(metadata!C590,15,1))&lt;=5,FALSE),NOT(MID(metadata!C590,16,1)=""),IFERROR(INT(MID(metadata!C590,15,2))&gt;=0,FALSE),IFERROR(INT(MID(metadata!C590,15,2))&lt;=59,FALSE)), OR(MID(metadata!C590,17,1)="", AND(AND(MID(metadata!C590,17,1)=":",IFERROR(INT(MID(metadata!C590,18,1))&gt;=0,FALSE),IFERROR(INT(MID(metadata!C590,18,1))&lt;=5,FALSE),NOT(MID(metadata!C590,19,1)=""),IFERROR(INT(MID(metadata!C590,18,2))&gt;=0,FALSE),IFERROR(INT(MID(metadata!C590,18,2))&lt;=59,FALSE)), LEN(metadata!C590)&lt;=19)))))))))))))</f>
        <v>0</v>
      </c>
      <c r="AD590">
        <f>IF(metadata!D590="",FALSE,TRUE)</f>
        <v>0</v>
      </c>
      <c r="AE590">
        <f>OR(AND(IF(metadata!E590="",FALSE,TRUE),OR(exact(metadata!E590,"missing: not collected"),exact(metadata!E590,"missing: not provided"))),AND(IF(metadata!E590="",FALSE,TRUE),OR(exact(metadata!E590,"TRUE"),exact(metadata!E590,"FALSE"))))</f>
        <v>0</v>
      </c>
      <c r="AF590">
        <f>IF(metadata!F590="",FALSE,TRUE)</f>
        <v>0</v>
      </c>
      <c r="AG590">
        <f>IF(metadata!G590="",FALSE,TRUE)</f>
        <v>0</v>
      </c>
      <c r="AH590">
        <f>IF(metadata!H590="",FALSE,TRUE)</f>
        <v>0</v>
      </c>
      <c r="AI590">
        <f>OR(AND(IF(metadata!I590="",FALSE,TRUE),OR(exact(metadata!I590,"missing: not collected"),exact(metadata!I590,"missing: not provided"),exact(metadata!I590,"missing: restricted access"))),AND(IF(metadata!I590="",FALSE,TRUE),OR(exact(metadata!I590,"air"),exact(metadata!I590,"built environment"),exact(metadata!I590,"host-associated"),exact(metadata!I590,"human-associated"),exact(metadata!I590,"human-skin"),exact(metadata!I590,"human-oral"),exact(metadata!I590,"human-gut"),exact(metadata!I590,"human-vaginal"),exact(metadata!I590,"microbial mat/biofilm"),exact(metadata!I590,"misc environment"),exact(metadata!I590,"plant-associated"),exact(metadata!I590,"sediment"),exact(metadata!I590,"soil"),exact(metadata!I590,"wastewater/sludge"),exact(metadata!I590,"water"))))</f>
        <v>0</v>
      </c>
      <c r="AJ590">
        <f>IF(metadata!J590="",FALSE,TRUE)</f>
        <v>0</v>
      </c>
      <c r="AK590">
        <f>OR(AND(IF(metadata!K590="",FALSE,TRUE),OR(exact(metadata!K590,"missing: not collected"),exact(metadata!K590,"missing: not provided"),exact(metadata!K590,"missing: restricted access"))),AND(IF(metadata!K590="",FALSE,ISNUMBER(VALUE(metadata!K590))),metadata!K590&gt;=-90.00,metadata!K590&lt;=90.00))</f>
        <v>0</v>
      </c>
      <c r="AL590">
        <f>OR(AND(IF(metadata!L590="",FALSE,TRUE),OR(exact(metadata!L590,"missing: not collected"),exact(metadata!L590,"missing: not provided"),exact(metadata!L590,"missing: restricted access"))),AND(IF(metadata!L590="",FALSE,ISNUMBER(VALUE(metadata!L590))),metadata!L590&gt;=-180.00,metadata!L590&lt;=180.00))</f>
        <v>0</v>
      </c>
      <c r="AM590">
        <f>IF(metadata!M590="",FALSE,TRUE)</f>
        <v>0</v>
      </c>
      <c r="AN590">
        <f>OR(AND(IF(metadata!N590="",FALSE,TRUE),OR(exact(metadata!N590,"missing: not collected"),exact(metadata!N590,"missing: not provided"),exact(metadata!N590,"missing: restricted access"))),AND(IF(metadata!N590="",FALSE,TRUE),OR(exact(metadata!N590,"TRUE"),exact(metadata!N590,"FALSE"))))</f>
        <v>0</v>
      </c>
      <c r="AO590">
        <f>IF(metadata!O590="",FALSE,TRUE)</f>
        <v>0</v>
      </c>
      <c r="AP590">
        <f>OR(AND(IF(metadata!P590="",FALSE,TRUE),OR(exact(metadata!P590,"missing: not collected"),exact(metadata!P590,"missing: not provided"))),AND(IF(metadata!P590="",FALSE,IF(ISERROR(INT(metadata!P590)),FALSE,INT(metadata!P590)=metadata!P590)),metadata!P590&gt;0))</f>
        <v>0</v>
      </c>
      <c r="AQ590">
        <f>IF(metadata!Q590="",FALSE,TRUE)</f>
        <v>0</v>
      </c>
    </row>
    <row r="591" spans="1:43">
      <c r="A591" s="5">
        <f>IF(B591=" "," ",HYPERLINK(CONCATENATE("#metadata!",ADDRESS(INDEX($W$2:$W$1001,MATCH(ROWS($U$2:U591),$U$2:$U$1001,0),0),1)),INDEX($Z$2:$Z$1001,MATCH(ROWS($U$2:U591),$U$2:$U$1001,0),0)))</f>
        <v>0</v>
      </c>
      <c r="B591" s="4">
        <f>IF(OR(INDEX($V$2:$V$1001,MATCH(ROWS($U$2:U591),$U$2:$U$1001,0),1)&gt;=100000,INDEX($AB$1005:$AQ$1005,1,MATCH(COLUMNS($AB$1006:AB1006),$AB$1006:$AQ$1006,0))&gt;=100000), " ",IF(INDEX($AB$2:$AQ$1001,MATCH(ROWS($U$2:U591),$U$2:$U$1001,0),MATCH(COLUMNS($AB$1006:AB1006),$AB$1006:$AQ$1006,0)), HYPERLINK("#",""), HYPERLINK(CONCATENATE("#metadata!", ADDRESS(INDEX($W$2:$W$1001,MATCH(ROWS($U$2:U591),$U$2:$U$1001,0),0), INDEX($AB$1004:$AQ$1004,1,MATCH(COLUMNS($AB$1006:AB1006),$AB$1006:$AQ$1006,0)))),"Fix")))</f>
        <v>0</v>
      </c>
      <c r="C591" s="4">
        <f>IF(OR(INDEX($V$2:$V$1001,MATCH(ROWS($U$2:U591),$U$2:$U$1001,0),1)&gt;=100000,INDEX($AB$1005:$AQ$1005,1,MATCH(COLUMNS($AB$1006:AC1006),$AB$1006:$AQ$1006,0))&gt;=100000), " ",IF(INDEX($AB$2:$AQ$1001,MATCH(ROWS($U$2:U591),$U$2:$U$1001,0),MATCH(COLUMNS($AB$1006:AC1006),$AB$1006:$AQ$1006,0)), HYPERLINK("#",""), HYPERLINK(CONCATENATE("#metadata!", ADDRESS(INDEX($W$2:$W$1001,MATCH(ROWS($U$2:U591),$U$2:$U$1001,0),0), INDEX($AB$1004:$AQ$1004,1,MATCH(COLUMNS($AB$1006:AC1006),$AB$1006:$AQ$1006,0)))),"Fix")))</f>
        <v>0</v>
      </c>
      <c r="D591" s="4">
        <f>IF(OR(INDEX($V$2:$V$1001,MATCH(ROWS($U$2:U591),$U$2:$U$1001,0),1)&gt;=100000,INDEX($AB$1005:$AQ$1005,1,MATCH(COLUMNS($AB$1006:AD1006),$AB$1006:$AQ$1006,0))&gt;=100000), " ",IF(INDEX($AB$2:$AQ$1001,MATCH(ROWS($U$2:U591),$U$2:$U$1001,0),MATCH(COLUMNS($AB$1006:AD1006),$AB$1006:$AQ$1006,0)), HYPERLINK("#",""), HYPERLINK(CONCATENATE("#metadata!", ADDRESS(INDEX($W$2:$W$1001,MATCH(ROWS($U$2:U591),$U$2:$U$1001,0),0), INDEX($AB$1004:$AQ$1004,1,MATCH(COLUMNS($AB$1006:AD1006),$AB$1006:$AQ$1006,0)))),"Fix")))</f>
        <v>0</v>
      </c>
      <c r="E591" s="4">
        <f>IF(OR(INDEX($V$2:$V$1001,MATCH(ROWS($U$2:U591),$U$2:$U$1001,0),1)&gt;=100000,INDEX($AB$1005:$AQ$1005,1,MATCH(COLUMNS($AB$1006:AE1006),$AB$1006:$AQ$1006,0))&gt;=100000), " ",IF(INDEX($AB$2:$AQ$1001,MATCH(ROWS($U$2:U591),$U$2:$U$1001,0),MATCH(COLUMNS($AB$1006:AE1006),$AB$1006:$AQ$1006,0)), HYPERLINK("#",""), HYPERLINK(CONCATENATE("#metadata!", ADDRESS(INDEX($W$2:$W$1001,MATCH(ROWS($U$2:U591),$U$2:$U$1001,0),0), INDEX($AB$1004:$AQ$1004,1,MATCH(COLUMNS($AB$1006:AE1006),$AB$1006:$AQ$1006,0)))),"Fix")))</f>
        <v>0</v>
      </c>
      <c r="F591" s="4">
        <f>IF(OR(INDEX($V$2:$V$1001,MATCH(ROWS($U$2:U591),$U$2:$U$1001,0),1)&gt;=100000,INDEX($AB$1005:$AQ$1005,1,MATCH(COLUMNS($AB$1006:AF1006),$AB$1006:$AQ$1006,0))&gt;=100000), " ",IF(INDEX($AB$2:$AQ$1001,MATCH(ROWS($U$2:U591),$U$2:$U$1001,0),MATCH(COLUMNS($AB$1006:AF1006),$AB$1006:$AQ$1006,0)), HYPERLINK("#",""), HYPERLINK(CONCATENATE("#metadata!", ADDRESS(INDEX($W$2:$W$1001,MATCH(ROWS($U$2:U591),$U$2:$U$1001,0),0), INDEX($AB$1004:$AQ$1004,1,MATCH(COLUMNS($AB$1006:AF1006),$AB$1006:$AQ$1006,0)))),"Fix")))</f>
        <v>0</v>
      </c>
      <c r="G591" s="4">
        <f>IF(OR(INDEX($V$2:$V$1001,MATCH(ROWS($U$2:U591),$U$2:$U$1001,0),1)&gt;=100000,INDEX($AB$1005:$AQ$1005,1,MATCH(COLUMNS($AB$1006:AG1006),$AB$1006:$AQ$1006,0))&gt;=100000), " ",IF(INDEX($AB$2:$AQ$1001,MATCH(ROWS($U$2:U591),$U$2:$U$1001,0),MATCH(COLUMNS($AB$1006:AG1006),$AB$1006:$AQ$1006,0)), HYPERLINK("#",""), HYPERLINK(CONCATENATE("#metadata!", ADDRESS(INDEX($W$2:$W$1001,MATCH(ROWS($U$2:U591),$U$2:$U$1001,0),0), INDEX($AB$1004:$AQ$1004,1,MATCH(COLUMNS($AB$1006:AG1006),$AB$1006:$AQ$1006,0)))),"Fix")))</f>
        <v>0</v>
      </c>
      <c r="H591" s="4">
        <f>IF(OR(INDEX($V$2:$V$1001,MATCH(ROWS($U$2:U591),$U$2:$U$1001,0),1)&gt;=100000,INDEX($AB$1005:$AQ$1005,1,MATCH(COLUMNS($AB$1006:AH1006),$AB$1006:$AQ$1006,0))&gt;=100000), " ",IF(INDEX($AB$2:$AQ$1001,MATCH(ROWS($U$2:U591),$U$2:$U$1001,0),MATCH(COLUMNS($AB$1006:AH1006),$AB$1006:$AQ$1006,0)), HYPERLINK("#",""), HYPERLINK(CONCATENATE("#metadata!", ADDRESS(INDEX($W$2:$W$1001,MATCH(ROWS($U$2:U591),$U$2:$U$1001,0),0), INDEX($AB$1004:$AQ$1004,1,MATCH(COLUMNS($AB$1006:AH1006),$AB$1006:$AQ$1006,0)))),"Fix")))</f>
        <v>0</v>
      </c>
      <c r="I591" s="4">
        <f>IF(OR(INDEX($V$2:$V$1001,MATCH(ROWS($U$2:U591),$U$2:$U$1001,0),1)&gt;=100000,INDEX($AB$1005:$AQ$1005,1,MATCH(COLUMNS($AB$1006:AI1006),$AB$1006:$AQ$1006,0))&gt;=100000), " ",IF(INDEX($AB$2:$AQ$1001,MATCH(ROWS($U$2:U591),$U$2:$U$1001,0),MATCH(COLUMNS($AB$1006:AI1006),$AB$1006:$AQ$1006,0)), HYPERLINK("#",""), HYPERLINK(CONCATENATE("#metadata!", ADDRESS(INDEX($W$2:$W$1001,MATCH(ROWS($U$2:U591),$U$2:$U$1001,0),0), INDEX($AB$1004:$AQ$1004,1,MATCH(COLUMNS($AB$1006:AI1006),$AB$1006:$AQ$1006,0)))),"Fix")))</f>
        <v>0</v>
      </c>
      <c r="J591" s="4">
        <f>IF(OR(INDEX($V$2:$V$1001,MATCH(ROWS($U$2:U591),$U$2:$U$1001,0),1)&gt;=100000,INDEX($AB$1005:$AQ$1005,1,MATCH(COLUMNS($AB$1006:AJ1006),$AB$1006:$AQ$1006,0))&gt;=100000), " ",IF(INDEX($AB$2:$AQ$1001,MATCH(ROWS($U$2:U591),$U$2:$U$1001,0),MATCH(COLUMNS($AB$1006:AJ1006),$AB$1006:$AQ$1006,0)), HYPERLINK("#",""), HYPERLINK(CONCATENATE("#metadata!", ADDRESS(INDEX($W$2:$W$1001,MATCH(ROWS($U$2:U591),$U$2:$U$1001,0),0), INDEX($AB$1004:$AQ$1004,1,MATCH(COLUMNS($AB$1006:AJ1006),$AB$1006:$AQ$1006,0)))),"Fix")))</f>
        <v>0</v>
      </c>
      <c r="K591" s="4">
        <f>IF(OR(INDEX($V$2:$V$1001,MATCH(ROWS($U$2:U591),$U$2:$U$1001,0),1)&gt;=100000,INDEX($AB$1005:$AQ$1005,1,MATCH(COLUMNS($AB$1006:AK1006),$AB$1006:$AQ$1006,0))&gt;=100000), " ",IF(INDEX($AB$2:$AQ$1001,MATCH(ROWS($U$2:U591),$U$2:$U$1001,0),MATCH(COLUMNS($AB$1006:AK1006),$AB$1006:$AQ$1006,0)), HYPERLINK("#",""), HYPERLINK(CONCATENATE("#metadata!", ADDRESS(INDEX($W$2:$W$1001,MATCH(ROWS($U$2:U591),$U$2:$U$1001,0),0), INDEX($AB$1004:$AQ$1004,1,MATCH(COLUMNS($AB$1006:AK1006),$AB$1006:$AQ$1006,0)))),"Fix")))</f>
        <v>0</v>
      </c>
      <c r="L591" s="4">
        <f>IF(OR(INDEX($V$2:$V$1001,MATCH(ROWS($U$2:U591),$U$2:$U$1001,0),1)&gt;=100000,INDEX($AB$1005:$AQ$1005,1,MATCH(COLUMNS($AB$1006:AL1006),$AB$1006:$AQ$1006,0))&gt;=100000), " ",IF(INDEX($AB$2:$AQ$1001,MATCH(ROWS($U$2:U591),$U$2:$U$1001,0),MATCH(COLUMNS($AB$1006:AL1006),$AB$1006:$AQ$1006,0)), HYPERLINK("#",""), HYPERLINK(CONCATENATE("#metadata!", ADDRESS(INDEX($W$2:$W$1001,MATCH(ROWS($U$2:U591),$U$2:$U$1001,0),0), INDEX($AB$1004:$AQ$1004,1,MATCH(COLUMNS($AB$1006:AL1006),$AB$1006:$AQ$1006,0)))),"Fix")))</f>
        <v>0</v>
      </c>
      <c r="M591" s="4">
        <f>IF(OR(INDEX($V$2:$V$1001,MATCH(ROWS($U$2:U591),$U$2:$U$1001,0),1)&gt;=100000,INDEX($AB$1005:$AQ$1005,1,MATCH(COLUMNS($AB$1006:AM1006),$AB$1006:$AQ$1006,0))&gt;=100000), " ",IF(INDEX($AB$2:$AQ$1001,MATCH(ROWS($U$2:U591),$U$2:$U$1001,0),MATCH(COLUMNS($AB$1006:AM1006),$AB$1006:$AQ$1006,0)), HYPERLINK("#",""), HYPERLINK(CONCATENATE("#metadata!", ADDRESS(INDEX($W$2:$W$1001,MATCH(ROWS($U$2:U591),$U$2:$U$1001,0),0), INDEX($AB$1004:$AQ$1004,1,MATCH(COLUMNS($AB$1006:AM1006),$AB$1006:$AQ$1006,0)))),"Fix")))</f>
        <v>0</v>
      </c>
      <c r="N591" s="4">
        <f>IF(OR(INDEX($V$2:$V$1001,MATCH(ROWS($U$2:U591),$U$2:$U$1001,0),1)&gt;=100000,INDEX($AB$1005:$AQ$1005,1,MATCH(COLUMNS($AB$1006:AN1006),$AB$1006:$AQ$1006,0))&gt;=100000), " ",IF(INDEX($AB$2:$AQ$1001,MATCH(ROWS($U$2:U591),$U$2:$U$1001,0),MATCH(COLUMNS($AB$1006:AN1006),$AB$1006:$AQ$1006,0)), HYPERLINK("#",""), HYPERLINK(CONCATENATE("#metadata!", ADDRESS(INDEX($W$2:$W$1001,MATCH(ROWS($U$2:U591),$U$2:$U$1001,0),0), INDEX($AB$1004:$AQ$1004,1,MATCH(COLUMNS($AB$1006:AN1006),$AB$1006:$AQ$1006,0)))),"Fix")))</f>
        <v>0</v>
      </c>
      <c r="O591" s="4">
        <f>IF(OR(INDEX($V$2:$V$1001,MATCH(ROWS($U$2:U591),$U$2:$U$1001,0),1)&gt;=100000,INDEX($AB$1005:$AQ$1005,1,MATCH(COLUMNS($AB$1006:AO1006),$AB$1006:$AQ$1006,0))&gt;=100000), " ",IF(INDEX($AB$2:$AQ$1001,MATCH(ROWS($U$2:U591),$U$2:$U$1001,0),MATCH(COLUMNS($AB$1006:AO1006),$AB$1006:$AQ$1006,0)), HYPERLINK("#",""), HYPERLINK(CONCATENATE("#metadata!", ADDRESS(INDEX($W$2:$W$1001,MATCH(ROWS($U$2:U591),$U$2:$U$1001,0),0), INDEX($AB$1004:$AQ$1004,1,MATCH(COLUMNS($AB$1006:AO1006),$AB$1006:$AQ$1006,0)))),"Fix")))</f>
        <v>0</v>
      </c>
      <c r="P591" s="4">
        <f>IF(OR(INDEX($V$2:$V$1001,MATCH(ROWS($U$2:U591),$U$2:$U$1001,0),1)&gt;=100000,INDEX($AB$1005:$AQ$1005,1,MATCH(COLUMNS($AB$1006:AP1006),$AB$1006:$AQ$1006,0))&gt;=100000), " ",IF(INDEX($AB$2:$AQ$1001,MATCH(ROWS($U$2:U591),$U$2:$U$1001,0),MATCH(COLUMNS($AB$1006:AP1006),$AB$1006:$AQ$1006,0)), HYPERLINK("#",""), HYPERLINK(CONCATENATE("#metadata!", ADDRESS(INDEX($W$2:$W$1001,MATCH(ROWS($U$2:U591),$U$2:$U$1001,0),0), INDEX($AB$1004:$AQ$1004,1,MATCH(COLUMNS($AB$1006:AP1006),$AB$1006:$AQ$1006,0)))),"Fix")))</f>
        <v>0</v>
      </c>
      <c r="Q591" s="4">
        <f>IF(OR(INDEX($V$2:$V$1001,MATCH(ROWS($U$2:U591),$U$2:$U$1001,0),1)&gt;=100000,INDEX($AB$1005:$AQ$1005,1,MATCH(COLUMNS($AB$1006:AQ1006),$AB$1006:$AQ$1006,0))&gt;=100000), " ",IF(INDEX($AB$2:$AQ$1001,MATCH(ROWS($U$2:U591),$U$2:$U$1001,0),MATCH(COLUMNS($AB$1006:AQ1006),$AB$1006:$AQ$1006,0)), HYPERLINK("#",""), HYPERLINK(CONCATENATE("#metadata!", ADDRESS(INDEX($W$2:$W$1001,MATCH(ROWS($U$2:U591),$U$2:$U$1001,0),0), INDEX($AB$1004:$AQ$1004,1,MATCH(COLUMNS($AB$1006:AQ1006),$AB$1006:$AQ$1006,0)))),"Fix")))</f>
        <v>0</v>
      </c>
      <c r="U591">
        <v>0</v>
      </c>
      <c r="V591">
        <v>0</v>
      </c>
      <c r="W591">
        <v>0</v>
      </c>
      <c r="X591">
        <f>IF(Y591,TRUE,AND(AB591:AQ591))</f>
        <v>0</v>
      </c>
      <c r="Y591">
        <f>COUNTBLANK(metadata!B591:Q591)=COLUMNS(metadata!B591:Q591)</f>
        <v>0</v>
      </c>
      <c r="Z591">
        <v>0</v>
      </c>
      <c r="AB591">
        <f>AND(IF(metadata!B591="",FALSE,TRUE),COUNTIF(metadata!B:B, metadata!B591) = 1,NOT(ISERROR(SUMPRODUCT(SEARCH(MID(metadata!B591,ROW(INDIRECT("1:"&amp;LEN(metadata!B591))), 1),"0123456789abcdefghijklmnopqrstuvwxyzABCDEFGHIJKLMNOPQRSTUVWXYZ.")))))</f>
        <v>0</v>
      </c>
      <c r="AC591">
        <f>OR(AND(IF(metadata!C591="",FALSE,TRUE),OR(exact(metadata!C591,"missing: not collected"),exact(metadata!C591,"missing: not provided"),exact(metadata!C591,"missing: restricted access"))),AND(IF(metadata!C591="",FALSE,TRUE),AND(AND(IFERROR(INT(LEFT(metadata!C591,4))&gt;1900,FALSE),IFERROR(INT(LEFT(metadata!C591,4))&lt;=YEAR(NOW()),FALSE)), OR(MID(metadata!C591,5,1)="", AND(AND(MID(metadata!C591,5,1)="-",IFERROR(INT(MID(metadata!C591,6,1))&gt;=0,FALSE),IFERROR(INT(MID(metadata!C591,6,1))&lt;=1,FALSE),NOT(MID(metadata!C591,7,1)=""),IFERROR(INT(MID(metadata!C591,6,2))&gt;=1,FALSE),IFERROR(INT(MID(metadata!C591,6,2))&lt;=12,FALSE)), OR(MID(metadata!C591,8,1)="", AND(AND(MID(metadata!C591,8,1)="-",IFERROR(INT(MID(metadata!C591,9,1))&gt;=0,FALSE),IFERROR(INT(MID(metadata!C591,9,1))&lt;=3,FALSE),NOT(MID(metadata!C591,10,1)=""),IFERROR(INT(MID(metadata!C591,9,2))&gt;=1,FALSE),IFERROR(INT(MID(metadata!C591,9,2))&lt;=31,FALSE)), OR(MID(metadata!C591,11,1)="", AND(AND(MID(metadata!C591,11,1)=" ",IFERROR(INT(MID(metadata!C591,12,1))&gt;=0,FALSE),IFERROR(INT(MID(metadata!C591,12,1))&lt;=2,FALSE),NOT(MID(metadata!C591,13,1)=""),IFERROR(INT(MID(metadata!C591,12,2))&gt;=0,FALSE),IFERROR(INT(MID(metadata!C591,12,2))&lt;=23,FALSE)), OR(MID(metadata!C591,14,1)="", AND(AND(MID(metadata!C591,14,1)=":",IFERROR(INT(MID(metadata!C591,15,1))&gt;=0,FALSE),IFERROR(INT(MID(metadata!C591,15,1))&lt;=5,FALSE),NOT(MID(metadata!C591,16,1)=""),IFERROR(INT(MID(metadata!C591,15,2))&gt;=0,FALSE),IFERROR(INT(MID(metadata!C591,15,2))&lt;=59,FALSE)), OR(MID(metadata!C591,17,1)="", AND(AND(MID(metadata!C591,17,1)=":",IFERROR(INT(MID(metadata!C591,18,1))&gt;=0,FALSE),IFERROR(INT(MID(metadata!C591,18,1))&lt;=5,FALSE),NOT(MID(metadata!C591,19,1)=""),IFERROR(INT(MID(metadata!C591,18,2))&gt;=0,FALSE),IFERROR(INT(MID(metadata!C591,18,2))&lt;=59,FALSE)), LEN(metadata!C591)&lt;=19)))))))))))))</f>
        <v>0</v>
      </c>
      <c r="AD591">
        <f>IF(metadata!D591="",FALSE,TRUE)</f>
        <v>0</v>
      </c>
      <c r="AE591">
        <f>OR(AND(IF(metadata!E591="",FALSE,TRUE),OR(exact(metadata!E591,"missing: not collected"),exact(metadata!E591,"missing: not provided"))),AND(IF(metadata!E591="",FALSE,TRUE),OR(exact(metadata!E591,"TRUE"),exact(metadata!E591,"FALSE"))))</f>
        <v>0</v>
      </c>
      <c r="AF591">
        <f>IF(metadata!F591="",FALSE,TRUE)</f>
        <v>0</v>
      </c>
      <c r="AG591">
        <f>IF(metadata!G591="",FALSE,TRUE)</f>
        <v>0</v>
      </c>
      <c r="AH591">
        <f>IF(metadata!H591="",FALSE,TRUE)</f>
        <v>0</v>
      </c>
      <c r="AI591">
        <f>OR(AND(IF(metadata!I591="",FALSE,TRUE),OR(exact(metadata!I591,"missing: not collected"),exact(metadata!I591,"missing: not provided"),exact(metadata!I591,"missing: restricted access"))),AND(IF(metadata!I591="",FALSE,TRUE),OR(exact(metadata!I591,"air"),exact(metadata!I591,"built environment"),exact(metadata!I591,"host-associated"),exact(metadata!I591,"human-associated"),exact(metadata!I591,"human-skin"),exact(metadata!I591,"human-oral"),exact(metadata!I591,"human-gut"),exact(metadata!I591,"human-vaginal"),exact(metadata!I591,"microbial mat/biofilm"),exact(metadata!I591,"misc environment"),exact(metadata!I591,"plant-associated"),exact(metadata!I591,"sediment"),exact(metadata!I591,"soil"),exact(metadata!I591,"wastewater/sludge"),exact(metadata!I591,"water"))))</f>
        <v>0</v>
      </c>
      <c r="AJ591">
        <f>IF(metadata!J591="",FALSE,TRUE)</f>
        <v>0</v>
      </c>
      <c r="AK591">
        <f>OR(AND(IF(metadata!K591="",FALSE,TRUE),OR(exact(metadata!K591,"missing: not collected"),exact(metadata!K591,"missing: not provided"),exact(metadata!K591,"missing: restricted access"))),AND(IF(metadata!K591="",FALSE,ISNUMBER(VALUE(metadata!K591))),metadata!K591&gt;=-90.00,metadata!K591&lt;=90.00))</f>
        <v>0</v>
      </c>
      <c r="AL591">
        <f>OR(AND(IF(metadata!L591="",FALSE,TRUE),OR(exact(metadata!L591,"missing: not collected"),exact(metadata!L591,"missing: not provided"),exact(metadata!L591,"missing: restricted access"))),AND(IF(metadata!L591="",FALSE,ISNUMBER(VALUE(metadata!L591))),metadata!L591&gt;=-180.00,metadata!L591&lt;=180.00))</f>
        <v>0</v>
      </c>
      <c r="AM591">
        <f>IF(metadata!M591="",FALSE,TRUE)</f>
        <v>0</v>
      </c>
      <c r="AN591">
        <f>OR(AND(IF(metadata!N591="",FALSE,TRUE),OR(exact(metadata!N591,"missing: not collected"),exact(metadata!N591,"missing: not provided"),exact(metadata!N591,"missing: restricted access"))),AND(IF(metadata!N591="",FALSE,TRUE),OR(exact(metadata!N591,"TRUE"),exact(metadata!N591,"FALSE"))))</f>
        <v>0</v>
      </c>
      <c r="AO591">
        <f>IF(metadata!O591="",FALSE,TRUE)</f>
        <v>0</v>
      </c>
      <c r="AP591">
        <f>OR(AND(IF(metadata!P591="",FALSE,TRUE),OR(exact(metadata!P591,"missing: not collected"),exact(metadata!P591,"missing: not provided"))),AND(IF(metadata!P591="",FALSE,IF(ISERROR(INT(metadata!P591)),FALSE,INT(metadata!P591)=metadata!P591)),metadata!P591&gt;0))</f>
        <v>0</v>
      </c>
      <c r="AQ591">
        <f>IF(metadata!Q591="",FALSE,TRUE)</f>
        <v>0</v>
      </c>
    </row>
    <row r="592" spans="1:43">
      <c r="A592" s="5">
        <f>IF(B592=" "," ",HYPERLINK(CONCATENATE("#metadata!",ADDRESS(INDEX($W$2:$W$1001,MATCH(ROWS($U$2:U592),$U$2:$U$1001,0),0),1)),INDEX($Z$2:$Z$1001,MATCH(ROWS($U$2:U592),$U$2:$U$1001,0),0)))</f>
        <v>0</v>
      </c>
      <c r="B592" s="4">
        <f>IF(OR(INDEX($V$2:$V$1001,MATCH(ROWS($U$2:U592),$U$2:$U$1001,0),1)&gt;=100000,INDEX($AB$1005:$AQ$1005,1,MATCH(COLUMNS($AB$1006:AB1006),$AB$1006:$AQ$1006,0))&gt;=100000), " ",IF(INDEX($AB$2:$AQ$1001,MATCH(ROWS($U$2:U592),$U$2:$U$1001,0),MATCH(COLUMNS($AB$1006:AB1006),$AB$1006:$AQ$1006,0)), HYPERLINK("#",""), HYPERLINK(CONCATENATE("#metadata!", ADDRESS(INDEX($W$2:$W$1001,MATCH(ROWS($U$2:U592),$U$2:$U$1001,0),0), INDEX($AB$1004:$AQ$1004,1,MATCH(COLUMNS($AB$1006:AB1006),$AB$1006:$AQ$1006,0)))),"Fix")))</f>
        <v>0</v>
      </c>
      <c r="C592" s="4">
        <f>IF(OR(INDEX($V$2:$V$1001,MATCH(ROWS($U$2:U592),$U$2:$U$1001,0),1)&gt;=100000,INDEX($AB$1005:$AQ$1005,1,MATCH(COLUMNS($AB$1006:AC1006),$AB$1006:$AQ$1006,0))&gt;=100000), " ",IF(INDEX($AB$2:$AQ$1001,MATCH(ROWS($U$2:U592),$U$2:$U$1001,0),MATCH(COLUMNS($AB$1006:AC1006),$AB$1006:$AQ$1006,0)), HYPERLINK("#",""), HYPERLINK(CONCATENATE("#metadata!", ADDRESS(INDEX($W$2:$W$1001,MATCH(ROWS($U$2:U592),$U$2:$U$1001,0),0), INDEX($AB$1004:$AQ$1004,1,MATCH(COLUMNS($AB$1006:AC1006),$AB$1006:$AQ$1006,0)))),"Fix")))</f>
        <v>0</v>
      </c>
      <c r="D592" s="4">
        <f>IF(OR(INDEX($V$2:$V$1001,MATCH(ROWS($U$2:U592),$U$2:$U$1001,0),1)&gt;=100000,INDEX($AB$1005:$AQ$1005,1,MATCH(COLUMNS($AB$1006:AD1006),$AB$1006:$AQ$1006,0))&gt;=100000), " ",IF(INDEX($AB$2:$AQ$1001,MATCH(ROWS($U$2:U592),$U$2:$U$1001,0),MATCH(COLUMNS($AB$1006:AD1006),$AB$1006:$AQ$1006,0)), HYPERLINK("#",""), HYPERLINK(CONCATENATE("#metadata!", ADDRESS(INDEX($W$2:$W$1001,MATCH(ROWS($U$2:U592),$U$2:$U$1001,0),0), INDEX($AB$1004:$AQ$1004,1,MATCH(COLUMNS($AB$1006:AD1006),$AB$1006:$AQ$1006,0)))),"Fix")))</f>
        <v>0</v>
      </c>
      <c r="E592" s="4">
        <f>IF(OR(INDEX($V$2:$V$1001,MATCH(ROWS($U$2:U592),$U$2:$U$1001,0),1)&gt;=100000,INDEX($AB$1005:$AQ$1005,1,MATCH(COLUMNS($AB$1006:AE1006),$AB$1006:$AQ$1006,0))&gt;=100000), " ",IF(INDEX($AB$2:$AQ$1001,MATCH(ROWS($U$2:U592),$U$2:$U$1001,0),MATCH(COLUMNS($AB$1006:AE1006),$AB$1006:$AQ$1006,0)), HYPERLINK("#",""), HYPERLINK(CONCATENATE("#metadata!", ADDRESS(INDEX($W$2:$W$1001,MATCH(ROWS($U$2:U592),$U$2:$U$1001,0),0), INDEX($AB$1004:$AQ$1004,1,MATCH(COLUMNS($AB$1006:AE1006),$AB$1006:$AQ$1006,0)))),"Fix")))</f>
        <v>0</v>
      </c>
      <c r="F592" s="4">
        <f>IF(OR(INDEX($V$2:$V$1001,MATCH(ROWS($U$2:U592),$U$2:$U$1001,0),1)&gt;=100000,INDEX($AB$1005:$AQ$1005,1,MATCH(COLUMNS($AB$1006:AF1006),$AB$1006:$AQ$1006,0))&gt;=100000), " ",IF(INDEX($AB$2:$AQ$1001,MATCH(ROWS($U$2:U592),$U$2:$U$1001,0),MATCH(COLUMNS($AB$1006:AF1006),$AB$1006:$AQ$1006,0)), HYPERLINK("#",""), HYPERLINK(CONCATENATE("#metadata!", ADDRESS(INDEX($W$2:$W$1001,MATCH(ROWS($U$2:U592),$U$2:$U$1001,0),0), INDEX($AB$1004:$AQ$1004,1,MATCH(COLUMNS($AB$1006:AF1006),$AB$1006:$AQ$1006,0)))),"Fix")))</f>
        <v>0</v>
      </c>
      <c r="G592" s="4">
        <f>IF(OR(INDEX($V$2:$V$1001,MATCH(ROWS($U$2:U592),$U$2:$U$1001,0),1)&gt;=100000,INDEX($AB$1005:$AQ$1005,1,MATCH(COLUMNS($AB$1006:AG1006),$AB$1006:$AQ$1006,0))&gt;=100000), " ",IF(INDEX($AB$2:$AQ$1001,MATCH(ROWS($U$2:U592),$U$2:$U$1001,0),MATCH(COLUMNS($AB$1006:AG1006),$AB$1006:$AQ$1006,0)), HYPERLINK("#",""), HYPERLINK(CONCATENATE("#metadata!", ADDRESS(INDEX($W$2:$W$1001,MATCH(ROWS($U$2:U592),$U$2:$U$1001,0),0), INDEX($AB$1004:$AQ$1004,1,MATCH(COLUMNS($AB$1006:AG1006),$AB$1006:$AQ$1006,0)))),"Fix")))</f>
        <v>0</v>
      </c>
      <c r="H592" s="4">
        <f>IF(OR(INDEX($V$2:$V$1001,MATCH(ROWS($U$2:U592),$U$2:$U$1001,0),1)&gt;=100000,INDEX($AB$1005:$AQ$1005,1,MATCH(COLUMNS($AB$1006:AH1006),$AB$1006:$AQ$1006,0))&gt;=100000), " ",IF(INDEX($AB$2:$AQ$1001,MATCH(ROWS($U$2:U592),$U$2:$U$1001,0),MATCH(COLUMNS($AB$1006:AH1006),$AB$1006:$AQ$1006,0)), HYPERLINK("#",""), HYPERLINK(CONCATENATE("#metadata!", ADDRESS(INDEX($W$2:$W$1001,MATCH(ROWS($U$2:U592),$U$2:$U$1001,0),0), INDEX($AB$1004:$AQ$1004,1,MATCH(COLUMNS($AB$1006:AH1006),$AB$1006:$AQ$1006,0)))),"Fix")))</f>
        <v>0</v>
      </c>
      <c r="I592" s="4">
        <f>IF(OR(INDEX($V$2:$V$1001,MATCH(ROWS($U$2:U592),$U$2:$U$1001,0),1)&gt;=100000,INDEX($AB$1005:$AQ$1005,1,MATCH(COLUMNS($AB$1006:AI1006),$AB$1006:$AQ$1006,0))&gt;=100000), " ",IF(INDEX($AB$2:$AQ$1001,MATCH(ROWS($U$2:U592),$U$2:$U$1001,0),MATCH(COLUMNS($AB$1006:AI1006),$AB$1006:$AQ$1006,0)), HYPERLINK("#",""), HYPERLINK(CONCATENATE("#metadata!", ADDRESS(INDEX($W$2:$W$1001,MATCH(ROWS($U$2:U592),$U$2:$U$1001,0),0), INDEX($AB$1004:$AQ$1004,1,MATCH(COLUMNS($AB$1006:AI1006),$AB$1006:$AQ$1006,0)))),"Fix")))</f>
        <v>0</v>
      </c>
      <c r="J592" s="4">
        <f>IF(OR(INDEX($V$2:$V$1001,MATCH(ROWS($U$2:U592),$U$2:$U$1001,0),1)&gt;=100000,INDEX($AB$1005:$AQ$1005,1,MATCH(COLUMNS($AB$1006:AJ1006),$AB$1006:$AQ$1006,0))&gt;=100000), " ",IF(INDEX($AB$2:$AQ$1001,MATCH(ROWS($U$2:U592),$U$2:$U$1001,0),MATCH(COLUMNS($AB$1006:AJ1006),$AB$1006:$AQ$1006,0)), HYPERLINK("#",""), HYPERLINK(CONCATENATE("#metadata!", ADDRESS(INDEX($W$2:$W$1001,MATCH(ROWS($U$2:U592),$U$2:$U$1001,0),0), INDEX($AB$1004:$AQ$1004,1,MATCH(COLUMNS($AB$1006:AJ1006),$AB$1006:$AQ$1006,0)))),"Fix")))</f>
        <v>0</v>
      </c>
      <c r="K592" s="4">
        <f>IF(OR(INDEX($V$2:$V$1001,MATCH(ROWS($U$2:U592),$U$2:$U$1001,0),1)&gt;=100000,INDEX($AB$1005:$AQ$1005,1,MATCH(COLUMNS($AB$1006:AK1006),$AB$1006:$AQ$1006,0))&gt;=100000), " ",IF(INDEX($AB$2:$AQ$1001,MATCH(ROWS($U$2:U592),$U$2:$U$1001,0),MATCH(COLUMNS($AB$1006:AK1006),$AB$1006:$AQ$1006,0)), HYPERLINK("#",""), HYPERLINK(CONCATENATE("#metadata!", ADDRESS(INDEX($W$2:$W$1001,MATCH(ROWS($U$2:U592),$U$2:$U$1001,0),0), INDEX($AB$1004:$AQ$1004,1,MATCH(COLUMNS($AB$1006:AK1006),$AB$1006:$AQ$1006,0)))),"Fix")))</f>
        <v>0</v>
      </c>
      <c r="L592" s="4">
        <f>IF(OR(INDEX($V$2:$V$1001,MATCH(ROWS($U$2:U592),$U$2:$U$1001,0),1)&gt;=100000,INDEX($AB$1005:$AQ$1005,1,MATCH(COLUMNS($AB$1006:AL1006),$AB$1006:$AQ$1006,0))&gt;=100000), " ",IF(INDEX($AB$2:$AQ$1001,MATCH(ROWS($U$2:U592),$U$2:$U$1001,0),MATCH(COLUMNS($AB$1006:AL1006),$AB$1006:$AQ$1006,0)), HYPERLINK("#",""), HYPERLINK(CONCATENATE("#metadata!", ADDRESS(INDEX($W$2:$W$1001,MATCH(ROWS($U$2:U592),$U$2:$U$1001,0),0), INDEX($AB$1004:$AQ$1004,1,MATCH(COLUMNS($AB$1006:AL1006),$AB$1006:$AQ$1006,0)))),"Fix")))</f>
        <v>0</v>
      </c>
      <c r="M592" s="4">
        <f>IF(OR(INDEX($V$2:$V$1001,MATCH(ROWS($U$2:U592),$U$2:$U$1001,0),1)&gt;=100000,INDEX($AB$1005:$AQ$1005,1,MATCH(COLUMNS($AB$1006:AM1006),$AB$1006:$AQ$1006,0))&gt;=100000), " ",IF(INDEX($AB$2:$AQ$1001,MATCH(ROWS($U$2:U592),$U$2:$U$1001,0),MATCH(COLUMNS($AB$1006:AM1006),$AB$1006:$AQ$1006,0)), HYPERLINK("#",""), HYPERLINK(CONCATENATE("#metadata!", ADDRESS(INDEX($W$2:$W$1001,MATCH(ROWS($U$2:U592),$U$2:$U$1001,0),0), INDEX($AB$1004:$AQ$1004,1,MATCH(COLUMNS($AB$1006:AM1006),$AB$1006:$AQ$1006,0)))),"Fix")))</f>
        <v>0</v>
      </c>
      <c r="N592" s="4">
        <f>IF(OR(INDEX($V$2:$V$1001,MATCH(ROWS($U$2:U592),$U$2:$U$1001,0),1)&gt;=100000,INDEX($AB$1005:$AQ$1005,1,MATCH(COLUMNS($AB$1006:AN1006),$AB$1006:$AQ$1006,0))&gt;=100000), " ",IF(INDEX($AB$2:$AQ$1001,MATCH(ROWS($U$2:U592),$U$2:$U$1001,0),MATCH(COLUMNS($AB$1006:AN1006),$AB$1006:$AQ$1006,0)), HYPERLINK("#",""), HYPERLINK(CONCATENATE("#metadata!", ADDRESS(INDEX($W$2:$W$1001,MATCH(ROWS($U$2:U592),$U$2:$U$1001,0),0), INDEX($AB$1004:$AQ$1004,1,MATCH(COLUMNS($AB$1006:AN1006),$AB$1006:$AQ$1006,0)))),"Fix")))</f>
        <v>0</v>
      </c>
      <c r="O592" s="4">
        <f>IF(OR(INDEX($V$2:$V$1001,MATCH(ROWS($U$2:U592),$U$2:$U$1001,0),1)&gt;=100000,INDEX($AB$1005:$AQ$1005,1,MATCH(COLUMNS($AB$1006:AO1006),$AB$1006:$AQ$1006,0))&gt;=100000), " ",IF(INDEX($AB$2:$AQ$1001,MATCH(ROWS($U$2:U592),$U$2:$U$1001,0),MATCH(COLUMNS($AB$1006:AO1006),$AB$1006:$AQ$1006,0)), HYPERLINK("#",""), HYPERLINK(CONCATENATE("#metadata!", ADDRESS(INDEX($W$2:$W$1001,MATCH(ROWS($U$2:U592),$U$2:$U$1001,0),0), INDEX($AB$1004:$AQ$1004,1,MATCH(COLUMNS($AB$1006:AO1006),$AB$1006:$AQ$1006,0)))),"Fix")))</f>
        <v>0</v>
      </c>
      <c r="P592" s="4">
        <f>IF(OR(INDEX($V$2:$V$1001,MATCH(ROWS($U$2:U592),$U$2:$U$1001,0),1)&gt;=100000,INDEX($AB$1005:$AQ$1005,1,MATCH(COLUMNS($AB$1006:AP1006),$AB$1006:$AQ$1006,0))&gt;=100000), " ",IF(INDEX($AB$2:$AQ$1001,MATCH(ROWS($U$2:U592),$U$2:$U$1001,0),MATCH(COLUMNS($AB$1006:AP1006),$AB$1006:$AQ$1006,0)), HYPERLINK("#",""), HYPERLINK(CONCATENATE("#metadata!", ADDRESS(INDEX($W$2:$W$1001,MATCH(ROWS($U$2:U592),$U$2:$U$1001,0),0), INDEX($AB$1004:$AQ$1004,1,MATCH(COLUMNS($AB$1006:AP1006),$AB$1006:$AQ$1006,0)))),"Fix")))</f>
        <v>0</v>
      </c>
      <c r="Q592" s="4">
        <f>IF(OR(INDEX($V$2:$V$1001,MATCH(ROWS($U$2:U592),$U$2:$U$1001,0),1)&gt;=100000,INDEX($AB$1005:$AQ$1005,1,MATCH(COLUMNS($AB$1006:AQ1006),$AB$1006:$AQ$1006,0))&gt;=100000), " ",IF(INDEX($AB$2:$AQ$1001,MATCH(ROWS($U$2:U592),$U$2:$U$1001,0),MATCH(COLUMNS($AB$1006:AQ1006),$AB$1006:$AQ$1006,0)), HYPERLINK("#",""), HYPERLINK(CONCATENATE("#metadata!", ADDRESS(INDEX($W$2:$W$1001,MATCH(ROWS($U$2:U592),$U$2:$U$1001,0),0), INDEX($AB$1004:$AQ$1004,1,MATCH(COLUMNS($AB$1006:AQ1006),$AB$1006:$AQ$1006,0)))),"Fix")))</f>
        <v>0</v>
      </c>
      <c r="U592">
        <v>0</v>
      </c>
      <c r="V592">
        <v>0</v>
      </c>
      <c r="W592">
        <v>0</v>
      </c>
      <c r="X592">
        <f>IF(Y592,TRUE,AND(AB592:AQ592))</f>
        <v>0</v>
      </c>
      <c r="Y592">
        <f>COUNTBLANK(metadata!B592:Q592)=COLUMNS(metadata!B592:Q592)</f>
        <v>0</v>
      </c>
      <c r="Z592">
        <v>0</v>
      </c>
      <c r="AB592">
        <f>AND(IF(metadata!B592="",FALSE,TRUE),COUNTIF(metadata!B:B, metadata!B592) = 1,NOT(ISERROR(SUMPRODUCT(SEARCH(MID(metadata!B592,ROW(INDIRECT("1:"&amp;LEN(metadata!B592))), 1),"0123456789abcdefghijklmnopqrstuvwxyzABCDEFGHIJKLMNOPQRSTUVWXYZ.")))))</f>
        <v>0</v>
      </c>
      <c r="AC592">
        <f>OR(AND(IF(metadata!C592="",FALSE,TRUE),OR(exact(metadata!C592,"missing: not collected"),exact(metadata!C592,"missing: not provided"),exact(metadata!C592,"missing: restricted access"))),AND(IF(metadata!C592="",FALSE,TRUE),AND(AND(IFERROR(INT(LEFT(metadata!C592,4))&gt;1900,FALSE),IFERROR(INT(LEFT(metadata!C592,4))&lt;=YEAR(NOW()),FALSE)), OR(MID(metadata!C592,5,1)="", AND(AND(MID(metadata!C592,5,1)="-",IFERROR(INT(MID(metadata!C592,6,1))&gt;=0,FALSE),IFERROR(INT(MID(metadata!C592,6,1))&lt;=1,FALSE),NOT(MID(metadata!C592,7,1)=""),IFERROR(INT(MID(metadata!C592,6,2))&gt;=1,FALSE),IFERROR(INT(MID(metadata!C592,6,2))&lt;=12,FALSE)), OR(MID(metadata!C592,8,1)="", AND(AND(MID(metadata!C592,8,1)="-",IFERROR(INT(MID(metadata!C592,9,1))&gt;=0,FALSE),IFERROR(INT(MID(metadata!C592,9,1))&lt;=3,FALSE),NOT(MID(metadata!C592,10,1)=""),IFERROR(INT(MID(metadata!C592,9,2))&gt;=1,FALSE),IFERROR(INT(MID(metadata!C592,9,2))&lt;=31,FALSE)), OR(MID(metadata!C592,11,1)="", AND(AND(MID(metadata!C592,11,1)=" ",IFERROR(INT(MID(metadata!C592,12,1))&gt;=0,FALSE),IFERROR(INT(MID(metadata!C592,12,1))&lt;=2,FALSE),NOT(MID(metadata!C592,13,1)=""),IFERROR(INT(MID(metadata!C592,12,2))&gt;=0,FALSE),IFERROR(INT(MID(metadata!C592,12,2))&lt;=23,FALSE)), OR(MID(metadata!C592,14,1)="", AND(AND(MID(metadata!C592,14,1)=":",IFERROR(INT(MID(metadata!C592,15,1))&gt;=0,FALSE),IFERROR(INT(MID(metadata!C592,15,1))&lt;=5,FALSE),NOT(MID(metadata!C592,16,1)=""),IFERROR(INT(MID(metadata!C592,15,2))&gt;=0,FALSE),IFERROR(INT(MID(metadata!C592,15,2))&lt;=59,FALSE)), OR(MID(metadata!C592,17,1)="", AND(AND(MID(metadata!C592,17,1)=":",IFERROR(INT(MID(metadata!C592,18,1))&gt;=0,FALSE),IFERROR(INT(MID(metadata!C592,18,1))&lt;=5,FALSE),NOT(MID(metadata!C592,19,1)=""),IFERROR(INT(MID(metadata!C592,18,2))&gt;=0,FALSE),IFERROR(INT(MID(metadata!C592,18,2))&lt;=59,FALSE)), LEN(metadata!C592)&lt;=19)))))))))))))</f>
        <v>0</v>
      </c>
      <c r="AD592">
        <f>IF(metadata!D592="",FALSE,TRUE)</f>
        <v>0</v>
      </c>
      <c r="AE592">
        <f>OR(AND(IF(metadata!E592="",FALSE,TRUE),OR(exact(metadata!E592,"missing: not collected"),exact(metadata!E592,"missing: not provided"))),AND(IF(metadata!E592="",FALSE,TRUE),OR(exact(metadata!E592,"TRUE"),exact(metadata!E592,"FALSE"))))</f>
        <v>0</v>
      </c>
      <c r="AF592">
        <f>IF(metadata!F592="",FALSE,TRUE)</f>
        <v>0</v>
      </c>
      <c r="AG592">
        <f>IF(metadata!G592="",FALSE,TRUE)</f>
        <v>0</v>
      </c>
      <c r="AH592">
        <f>IF(metadata!H592="",FALSE,TRUE)</f>
        <v>0</v>
      </c>
      <c r="AI592">
        <f>OR(AND(IF(metadata!I592="",FALSE,TRUE),OR(exact(metadata!I592,"missing: not collected"),exact(metadata!I592,"missing: not provided"),exact(metadata!I592,"missing: restricted access"))),AND(IF(metadata!I592="",FALSE,TRUE),OR(exact(metadata!I592,"air"),exact(metadata!I592,"built environment"),exact(metadata!I592,"host-associated"),exact(metadata!I592,"human-associated"),exact(metadata!I592,"human-skin"),exact(metadata!I592,"human-oral"),exact(metadata!I592,"human-gut"),exact(metadata!I592,"human-vaginal"),exact(metadata!I592,"microbial mat/biofilm"),exact(metadata!I592,"misc environment"),exact(metadata!I592,"plant-associated"),exact(metadata!I592,"sediment"),exact(metadata!I592,"soil"),exact(metadata!I592,"wastewater/sludge"),exact(metadata!I592,"water"))))</f>
        <v>0</v>
      </c>
      <c r="AJ592">
        <f>IF(metadata!J592="",FALSE,TRUE)</f>
        <v>0</v>
      </c>
      <c r="AK592">
        <f>OR(AND(IF(metadata!K592="",FALSE,TRUE),OR(exact(metadata!K592,"missing: not collected"),exact(metadata!K592,"missing: not provided"),exact(metadata!K592,"missing: restricted access"))),AND(IF(metadata!K592="",FALSE,ISNUMBER(VALUE(metadata!K592))),metadata!K592&gt;=-90.00,metadata!K592&lt;=90.00))</f>
        <v>0</v>
      </c>
      <c r="AL592">
        <f>OR(AND(IF(metadata!L592="",FALSE,TRUE),OR(exact(metadata!L592,"missing: not collected"),exact(metadata!L592,"missing: not provided"),exact(metadata!L592,"missing: restricted access"))),AND(IF(metadata!L592="",FALSE,ISNUMBER(VALUE(metadata!L592))),metadata!L592&gt;=-180.00,metadata!L592&lt;=180.00))</f>
        <v>0</v>
      </c>
      <c r="AM592">
        <f>IF(metadata!M592="",FALSE,TRUE)</f>
        <v>0</v>
      </c>
      <c r="AN592">
        <f>OR(AND(IF(metadata!N592="",FALSE,TRUE),OR(exact(metadata!N592,"missing: not collected"),exact(metadata!N592,"missing: not provided"),exact(metadata!N592,"missing: restricted access"))),AND(IF(metadata!N592="",FALSE,TRUE),OR(exact(metadata!N592,"TRUE"),exact(metadata!N592,"FALSE"))))</f>
        <v>0</v>
      </c>
      <c r="AO592">
        <f>IF(metadata!O592="",FALSE,TRUE)</f>
        <v>0</v>
      </c>
      <c r="AP592">
        <f>OR(AND(IF(metadata!P592="",FALSE,TRUE),OR(exact(metadata!P592,"missing: not collected"),exact(metadata!P592,"missing: not provided"))),AND(IF(metadata!P592="",FALSE,IF(ISERROR(INT(metadata!P592)),FALSE,INT(metadata!P592)=metadata!P592)),metadata!P592&gt;0))</f>
        <v>0</v>
      </c>
      <c r="AQ592">
        <f>IF(metadata!Q592="",FALSE,TRUE)</f>
        <v>0</v>
      </c>
    </row>
    <row r="593" spans="1:43">
      <c r="A593" s="5">
        <f>IF(B593=" "," ",HYPERLINK(CONCATENATE("#metadata!",ADDRESS(INDEX($W$2:$W$1001,MATCH(ROWS($U$2:U593),$U$2:$U$1001,0),0),1)),INDEX($Z$2:$Z$1001,MATCH(ROWS($U$2:U593),$U$2:$U$1001,0),0)))</f>
        <v>0</v>
      </c>
      <c r="B593" s="4">
        <f>IF(OR(INDEX($V$2:$V$1001,MATCH(ROWS($U$2:U593),$U$2:$U$1001,0),1)&gt;=100000,INDEX($AB$1005:$AQ$1005,1,MATCH(COLUMNS($AB$1006:AB1006),$AB$1006:$AQ$1006,0))&gt;=100000), " ",IF(INDEX($AB$2:$AQ$1001,MATCH(ROWS($U$2:U593),$U$2:$U$1001,0),MATCH(COLUMNS($AB$1006:AB1006),$AB$1006:$AQ$1006,0)), HYPERLINK("#",""), HYPERLINK(CONCATENATE("#metadata!", ADDRESS(INDEX($W$2:$W$1001,MATCH(ROWS($U$2:U593),$U$2:$U$1001,0),0), INDEX($AB$1004:$AQ$1004,1,MATCH(COLUMNS($AB$1006:AB1006),$AB$1006:$AQ$1006,0)))),"Fix")))</f>
        <v>0</v>
      </c>
      <c r="C593" s="4">
        <f>IF(OR(INDEX($V$2:$V$1001,MATCH(ROWS($U$2:U593),$U$2:$U$1001,0),1)&gt;=100000,INDEX($AB$1005:$AQ$1005,1,MATCH(COLUMNS($AB$1006:AC1006),$AB$1006:$AQ$1006,0))&gt;=100000), " ",IF(INDEX($AB$2:$AQ$1001,MATCH(ROWS($U$2:U593),$U$2:$U$1001,0),MATCH(COLUMNS($AB$1006:AC1006),$AB$1006:$AQ$1006,0)), HYPERLINK("#",""), HYPERLINK(CONCATENATE("#metadata!", ADDRESS(INDEX($W$2:$W$1001,MATCH(ROWS($U$2:U593),$U$2:$U$1001,0),0), INDEX($AB$1004:$AQ$1004,1,MATCH(COLUMNS($AB$1006:AC1006),$AB$1006:$AQ$1006,0)))),"Fix")))</f>
        <v>0</v>
      </c>
      <c r="D593" s="4">
        <f>IF(OR(INDEX($V$2:$V$1001,MATCH(ROWS($U$2:U593),$U$2:$U$1001,0),1)&gt;=100000,INDEX($AB$1005:$AQ$1005,1,MATCH(COLUMNS($AB$1006:AD1006),$AB$1006:$AQ$1006,0))&gt;=100000), " ",IF(INDEX($AB$2:$AQ$1001,MATCH(ROWS($U$2:U593),$U$2:$U$1001,0),MATCH(COLUMNS($AB$1006:AD1006),$AB$1006:$AQ$1006,0)), HYPERLINK("#",""), HYPERLINK(CONCATENATE("#metadata!", ADDRESS(INDEX($W$2:$W$1001,MATCH(ROWS($U$2:U593),$U$2:$U$1001,0),0), INDEX($AB$1004:$AQ$1004,1,MATCH(COLUMNS($AB$1006:AD1006),$AB$1006:$AQ$1006,0)))),"Fix")))</f>
        <v>0</v>
      </c>
      <c r="E593" s="4">
        <f>IF(OR(INDEX($V$2:$V$1001,MATCH(ROWS($U$2:U593),$U$2:$U$1001,0),1)&gt;=100000,INDEX($AB$1005:$AQ$1005,1,MATCH(COLUMNS($AB$1006:AE1006),$AB$1006:$AQ$1006,0))&gt;=100000), " ",IF(INDEX($AB$2:$AQ$1001,MATCH(ROWS($U$2:U593),$U$2:$U$1001,0),MATCH(COLUMNS($AB$1006:AE1006),$AB$1006:$AQ$1006,0)), HYPERLINK("#",""), HYPERLINK(CONCATENATE("#metadata!", ADDRESS(INDEX($W$2:$W$1001,MATCH(ROWS($U$2:U593),$U$2:$U$1001,0),0), INDEX($AB$1004:$AQ$1004,1,MATCH(COLUMNS($AB$1006:AE1006),$AB$1006:$AQ$1006,0)))),"Fix")))</f>
        <v>0</v>
      </c>
      <c r="F593" s="4">
        <f>IF(OR(INDEX($V$2:$V$1001,MATCH(ROWS($U$2:U593),$U$2:$U$1001,0),1)&gt;=100000,INDEX($AB$1005:$AQ$1005,1,MATCH(COLUMNS($AB$1006:AF1006),$AB$1006:$AQ$1006,0))&gt;=100000), " ",IF(INDEX($AB$2:$AQ$1001,MATCH(ROWS($U$2:U593),$U$2:$U$1001,0),MATCH(COLUMNS($AB$1006:AF1006),$AB$1006:$AQ$1006,0)), HYPERLINK("#",""), HYPERLINK(CONCATENATE("#metadata!", ADDRESS(INDEX($W$2:$W$1001,MATCH(ROWS($U$2:U593),$U$2:$U$1001,0),0), INDEX($AB$1004:$AQ$1004,1,MATCH(COLUMNS($AB$1006:AF1006),$AB$1006:$AQ$1006,0)))),"Fix")))</f>
        <v>0</v>
      </c>
      <c r="G593" s="4">
        <f>IF(OR(INDEX($V$2:$V$1001,MATCH(ROWS($U$2:U593),$U$2:$U$1001,0),1)&gt;=100000,INDEX($AB$1005:$AQ$1005,1,MATCH(COLUMNS($AB$1006:AG1006),$AB$1006:$AQ$1006,0))&gt;=100000), " ",IF(INDEX($AB$2:$AQ$1001,MATCH(ROWS($U$2:U593),$U$2:$U$1001,0),MATCH(COLUMNS($AB$1006:AG1006),$AB$1006:$AQ$1006,0)), HYPERLINK("#",""), HYPERLINK(CONCATENATE("#metadata!", ADDRESS(INDEX($W$2:$W$1001,MATCH(ROWS($U$2:U593),$U$2:$U$1001,0),0), INDEX($AB$1004:$AQ$1004,1,MATCH(COLUMNS($AB$1006:AG1006),$AB$1006:$AQ$1006,0)))),"Fix")))</f>
        <v>0</v>
      </c>
      <c r="H593" s="4">
        <f>IF(OR(INDEX($V$2:$V$1001,MATCH(ROWS($U$2:U593),$U$2:$U$1001,0),1)&gt;=100000,INDEX($AB$1005:$AQ$1005,1,MATCH(COLUMNS($AB$1006:AH1006),$AB$1006:$AQ$1006,0))&gt;=100000), " ",IF(INDEX($AB$2:$AQ$1001,MATCH(ROWS($U$2:U593),$U$2:$U$1001,0),MATCH(COLUMNS($AB$1006:AH1006),$AB$1006:$AQ$1006,0)), HYPERLINK("#",""), HYPERLINK(CONCATENATE("#metadata!", ADDRESS(INDEX($W$2:$W$1001,MATCH(ROWS($U$2:U593),$U$2:$U$1001,0),0), INDEX($AB$1004:$AQ$1004,1,MATCH(COLUMNS($AB$1006:AH1006),$AB$1006:$AQ$1006,0)))),"Fix")))</f>
        <v>0</v>
      </c>
      <c r="I593" s="4">
        <f>IF(OR(INDEX($V$2:$V$1001,MATCH(ROWS($U$2:U593),$U$2:$U$1001,0),1)&gt;=100000,INDEX($AB$1005:$AQ$1005,1,MATCH(COLUMNS($AB$1006:AI1006),$AB$1006:$AQ$1006,0))&gt;=100000), " ",IF(INDEX($AB$2:$AQ$1001,MATCH(ROWS($U$2:U593),$U$2:$U$1001,0),MATCH(COLUMNS($AB$1006:AI1006),$AB$1006:$AQ$1006,0)), HYPERLINK("#",""), HYPERLINK(CONCATENATE("#metadata!", ADDRESS(INDEX($W$2:$W$1001,MATCH(ROWS($U$2:U593),$U$2:$U$1001,0),0), INDEX($AB$1004:$AQ$1004,1,MATCH(COLUMNS($AB$1006:AI1006),$AB$1006:$AQ$1006,0)))),"Fix")))</f>
        <v>0</v>
      </c>
      <c r="J593" s="4">
        <f>IF(OR(INDEX($V$2:$V$1001,MATCH(ROWS($U$2:U593),$U$2:$U$1001,0),1)&gt;=100000,INDEX($AB$1005:$AQ$1005,1,MATCH(COLUMNS($AB$1006:AJ1006),$AB$1006:$AQ$1006,0))&gt;=100000), " ",IF(INDEX($AB$2:$AQ$1001,MATCH(ROWS($U$2:U593),$U$2:$U$1001,0),MATCH(COLUMNS($AB$1006:AJ1006),$AB$1006:$AQ$1006,0)), HYPERLINK("#",""), HYPERLINK(CONCATENATE("#metadata!", ADDRESS(INDEX($W$2:$W$1001,MATCH(ROWS($U$2:U593),$U$2:$U$1001,0),0), INDEX($AB$1004:$AQ$1004,1,MATCH(COLUMNS($AB$1006:AJ1006),$AB$1006:$AQ$1006,0)))),"Fix")))</f>
        <v>0</v>
      </c>
      <c r="K593" s="4">
        <f>IF(OR(INDEX($V$2:$V$1001,MATCH(ROWS($U$2:U593),$U$2:$U$1001,0),1)&gt;=100000,INDEX($AB$1005:$AQ$1005,1,MATCH(COLUMNS($AB$1006:AK1006),$AB$1006:$AQ$1006,0))&gt;=100000), " ",IF(INDEX($AB$2:$AQ$1001,MATCH(ROWS($U$2:U593),$U$2:$U$1001,0),MATCH(COLUMNS($AB$1006:AK1006),$AB$1006:$AQ$1006,0)), HYPERLINK("#",""), HYPERLINK(CONCATENATE("#metadata!", ADDRESS(INDEX($W$2:$W$1001,MATCH(ROWS($U$2:U593),$U$2:$U$1001,0),0), INDEX($AB$1004:$AQ$1004,1,MATCH(COLUMNS($AB$1006:AK1006),$AB$1006:$AQ$1006,0)))),"Fix")))</f>
        <v>0</v>
      </c>
      <c r="L593" s="4">
        <f>IF(OR(INDEX($V$2:$V$1001,MATCH(ROWS($U$2:U593),$U$2:$U$1001,0),1)&gt;=100000,INDEX($AB$1005:$AQ$1005,1,MATCH(COLUMNS($AB$1006:AL1006),$AB$1006:$AQ$1006,0))&gt;=100000), " ",IF(INDEX($AB$2:$AQ$1001,MATCH(ROWS($U$2:U593),$U$2:$U$1001,0),MATCH(COLUMNS($AB$1006:AL1006),$AB$1006:$AQ$1006,0)), HYPERLINK("#",""), HYPERLINK(CONCATENATE("#metadata!", ADDRESS(INDEX($W$2:$W$1001,MATCH(ROWS($U$2:U593),$U$2:$U$1001,0),0), INDEX($AB$1004:$AQ$1004,1,MATCH(COLUMNS($AB$1006:AL1006),$AB$1006:$AQ$1006,0)))),"Fix")))</f>
        <v>0</v>
      </c>
      <c r="M593" s="4">
        <f>IF(OR(INDEX($V$2:$V$1001,MATCH(ROWS($U$2:U593),$U$2:$U$1001,0),1)&gt;=100000,INDEX($AB$1005:$AQ$1005,1,MATCH(COLUMNS($AB$1006:AM1006),$AB$1006:$AQ$1006,0))&gt;=100000), " ",IF(INDEX($AB$2:$AQ$1001,MATCH(ROWS($U$2:U593),$U$2:$U$1001,0),MATCH(COLUMNS($AB$1006:AM1006),$AB$1006:$AQ$1006,0)), HYPERLINK("#",""), HYPERLINK(CONCATENATE("#metadata!", ADDRESS(INDEX($W$2:$W$1001,MATCH(ROWS($U$2:U593),$U$2:$U$1001,0),0), INDEX($AB$1004:$AQ$1004,1,MATCH(COLUMNS($AB$1006:AM1006),$AB$1006:$AQ$1006,0)))),"Fix")))</f>
        <v>0</v>
      </c>
      <c r="N593" s="4">
        <f>IF(OR(INDEX($V$2:$V$1001,MATCH(ROWS($U$2:U593),$U$2:$U$1001,0),1)&gt;=100000,INDEX($AB$1005:$AQ$1005,1,MATCH(COLUMNS($AB$1006:AN1006),$AB$1006:$AQ$1006,0))&gt;=100000), " ",IF(INDEX($AB$2:$AQ$1001,MATCH(ROWS($U$2:U593),$U$2:$U$1001,0),MATCH(COLUMNS($AB$1006:AN1006),$AB$1006:$AQ$1006,0)), HYPERLINK("#",""), HYPERLINK(CONCATENATE("#metadata!", ADDRESS(INDEX($W$2:$W$1001,MATCH(ROWS($U$2:U593),$U$2:$U$1001,0),0), INDEX($AB$1004:$AQ$1004,1,MATCH(COLUMNS($AB$1006:AN1006),$AB$1006:$AQ$1006,0)))),"Fix")))</f>
        <v>0</v>
      </c>
      <c r="O593" s="4">
        <f>IF(OR(INDEX($V$2:$V$1001,MATCH(ROWS($U$2:U593),$U$2:$U$1001,0),1)&gt;=100000,INDEX($AB$1005:$AQ$1005,1,MATCH(COLUMNS($AB$1006:AO1006),$AB$1006:$AQ$1006,0))&gt;=100000), " ",IF(INDEX($AB$2:$AQ$1001,MATCH(ROWS($U$2:U593),$U$2:$U$1001,0),MATCH(COLUMNS($AB$1006:AO1006),$AB$1006:$AQ$1006,0)), HYPERLINK("#",""), HYPERLINK(CONCATENATE("#metadata!", ADDRESS(INDEX($W$2:$W$1001,MATCH(ROWS($U$2:U593),$U$2:$U$1001,0),0), INDEX($AB$1004:$AQ$1004,1,MATCH(COLUMNS($AB$1006:AO1006),$AB$1006:$AQ$1006,0)))),"Fix")))</f>
        <v>0</v>
      </c>
      <c r="P593" s="4">
        <f>IF(OR(INDEX($V$2:$V$1001,MATCH(ROWS($U$2:U593),$U$2:$U$1001,0),1)&gt;=100000,INDEX($AB$1005:$AQ$1005,1,MATCH(COLUMNS($AB$1006:AP1006),$AB$1006:$AQ$1006,0))&gt;=100000), " ",IF(INDEX($AB$2:$AQ$1001,MATCH(ROWS($U$2:U593),$U$2:$U$1001,0),MATCH(COLUMNS($AB$1006:AP1006),$AB$1006:$AQ$1006,0)), HYPERLINK("#",""), HYPERLINK(CONCATENATE("#metadata!", ADDRESS(INDEX($W$2:$W$1001,MATCH(ROWS($U$2:U593),$U$2:$U$1001,0),0), INDEX($AB$1004:$AQ$1004,1,MATCH(COLUMNS($AB$1006:AP1006),$AB$1006:$AQ$1006,0)))),"Fix")))</f>
        <v>0</v>
      </c>
      <c r="Q593" s="4">
        <f>IF(OR(INDEX($V$2:$V$1001,MATCH(ROWS($U$2:U593),$U$2:$U$1001,0),1)&gt;=100000,INDEX($AB$1005:$AQ$1005,1,MATCH(COLUMNS($AB$1006:AQ1006),$AB$1006:$AQ$1006,0))&gt;=100000), " ",IF(INDEX($AB$2:$AQ$1001,MATCH(ROWS($U$2:U593),$U$2:$U$1001,0),MATCH(COLUMNS($AB$1006:AQ1006),$AB$1006:$AQ$1006,0)), HYPERLINK("#",""), HYPERLINK(CONCATENATE("#metadata!", ADDRESS(INDEX($W$2:$W$1001,MATCH(ROWS($U$2:U593),$U$2:$U$1001,0),0), INDEX($AB$1004:$AQ$1004,1,MATCH(COLUMNS($AB$1006:AQ1006),$AB$1006:$AQ$1006,0)))),"Fix")))</f>
        <v>0</v>
      </c>
      <c r="U593">
        <v>0</v>
      </c>
      <c r="V593">
        <v>0</v>
      </c>
      <c r="W593">
        <v>0</v>
      </c>
      <c r="X593">
        <f>IF(Y593,TRUE,AND(AB593:AQ593))</f>
        <v>0</v>
      </c>
      <c r="Y593">
        <f>COUNTBLANK(metadata!B593:Q593)=COLUMNS(metadata!B593:Q593)</f>
        <v>0</v>
      </c>
      <c r="Z593">
        <v>0</v>
      </c>
      <c r="AB593">
        <f>AND(IF(metadata!B593="",FALSE,TRUE),COUNTIF(metadata!B:B, metadata!B593) = 1,NOT(ISERROR(SUMPRODUCT(SEARCH(MID(metadata!B593,ROW(INDIRECT("1:"&amp;LEN(metadata!B593))), 1),"0123456789abcdefghijklmnopqrstuvwxyzABCDEFGHIJKLMNOPQRSTUVWXYZ.")))))</f>
        <v>0</v>
      </c>
      <c r="AC593">
        <f>OR(AND(IF(metadata!C593="",FALSE,TRUE),OR(exact(metadata!C593,"missing: not collected"),exact(metadata!C593,"missing: not provided"),exact(metadata!C593,"missing: restricted access"))),AND(IF(metadata!C593="",FALSE,TRUE),AND(AND(IFERROR(INT(LEFT(metadata!C593,4))&gt;1900,FALSE),IFERROR(INT(LEFT(metadata!C593,4))&lt;=YEAR(NOW()),FALSE)), OR(MID(metadata!C593,5,1)="", AND(AND(MID(metadata!C593,5,1)="-",IFERROR(INT(MID(metadata!C593,6,1))&gt;=0,FALSE),IFERROR(INT(MID(metadata!C593,6,1))&lt;=1,FALSE),NOT(MID(metadata!C593,7,1)=""),IFERROR(INT(MID(metadata!C593,6,2))&gt;=1,FALSE),IFERROR(INT(MID(metadata!C593,6,2))&lt;=12,FALSE)), OR(MID(metadata!C593,8,1)="", AND(AND(MID(metadata!C593,8,1)="-",IFERROR(INT(MID(metadata!C593,9,1))&gt;=0,FALSE),IFERROR(INT(MID(metadata!C593,9,1))&lt;=3,FALSE),NOT(MID(metadata!C593,10,1)=""),IFERROR(INT(MID(metadata!C593,9,2))&gt;=1,FALSE),IFERROR(INT(MID(metadata!C593,9,2))&lt;=31,FALSE)), OR(MID(metadata!C593,11,1)="", AND(AND(MID(metadata!C593,11,1)=" ",IFERROR(INT(MID(metadata!C593,12,1))&gt;=0,FALSE),IFERROR(INT(MID(metadata!C593,12,1))&lt;=2,FALSE),NOT(MID(metadata!C593,13,1)=""),IFERROR(INT(MID(metadata!C593,12,2))&gt;=0,FALSE),IFERROR(INT(MID(metadata!C593,12,2))&lt;=23,FALSE)), OR(MID(metadata!C593,14,1)="", AND(AND(MID(metadata!C593,14,1)=":",IFERROR(INT(MID(metadata!C593,15,1))&gt;=0,FALSE),IFERROR(INT(MID(metadata!C593,15,1))&lt;=5,FALSE),NOT(MID(metadata!C593,16,1)=""),IFERROR(INT(MID(metadata!C593,15,2))&gt;=0,FALSE),IFERROR(INT(MID(metadata!C593,15,2))&lt;=59,FALSE)), OR(MID(metadata!C593,17,1)="", AND(AND(MID(metadata!C593,17,1)=":",IFERROR(INT(MID(metadata!C593,18,1))&gt;=0,FALSE),IFERROR(INT(MID(metadata!C593,18,1))&lt;=5,FALSE),NOT(MID(metadata!C593,19,1)=""),IFERROR(INT(MID(metadata!C593,18,2))&gt;=0,FALSE),IFERROR(INT(MID(metadata!C593,18,2))&lt;=59,FALSE)), LEN(metadata!C593)&lt;=19)))))))))))))</f>
        <v>0</v>
      </c>
      <c r="AD593">
        <f>IF(metadata!D593="",FALSE,TRUE)</f>
        <v>0</v>
      </c>
      <c r="AE593">
        <f>OR(AND(IF(metadata!E593="",FALSE,TRUE),OR(exact(metadata!E593,"missing: not collected"),exact(metadata!E593,"missing: not provided"))),AND(IF(metadata!E593="",FALSE,TRUE),OR(exact(metadata!E593,"TRUE"),exact(metadata!E593,"FALSE"))))</f>
        <v>0</v>
      </c>
      <c r="AF593">
        <f>IF(metadata!F593="",FALSE,TRUE)</f>
        <v>0</v>
      </c>
      <c r="AG593">
        <f>IF(metadata!G593="",FALSE,TRUE)</f>
        <v>0</v>
      </c>
      <c r="AH593">
        <f>IF(metadata!H593="",FALSE,TRUE)</f>
        <v>0</v>
      </c>
      <c r="AI593">
        <f>OR(AND(IF(metadata!I593="",FALSE,TRUE),OR(exact(metadata!I593,"missing: not collected"),exact(metadata!I593,"missing: not provided"),exact(metadata!I593,"missing: restricted access"))),AND(IF(metadata!I593="",FALSE,TRUE),OR(exact(metadata!I593,"air"),exact(metadata!I593,"built environment"),exact(metadata!I593,"host-associated"),exact(metadata!I593,"human-associated"),exact(metadata!I593,"human-skin"),exact(metadata!I593,"human-oral"),exact(metadata!I593,"human-gut"),exact(metadata!I593,"human-vaginal"),exact(metadata!I593,"microbial mat/biofilm"),exact(metadata!I593,"misc environment"),exact(metadata!I593,"plant-associated"),exact(metadata!I593,"sediment"),exact(metadata!I593,"soil"),exact(metadata!I593,"wastewater/sludge"),exact(metadata!I593,"water"))))</f>
        <v>0</v>
      </c>
      <c r="AJ593">
        <f>IF(metadata!J593="",FALSE,TRUE)</f>
        <v>0</v>
      </c>
      <c r="AK593">
        <f>OR(AND(IF(metadata!K593="",FALSE,TRUE),OR(exact(metadata!K593,"missing: not collected"),exact(metadata!K593,"missing: not provided"),exact(metadata!K593,"missing: restricted access"))),AND(IF(metadata!K593="",FALSE,ISNUMBER(VALUE(metadata!K593))),metadata!K593&gt;=-90.00,metadata!K593&lt;=90.00))</f>
        <v>0</v>
      </c>
      <c r="AL593">
        <f>OR(AND(IF(metadata!L593="",FALSE,TRUE),OR(exact(metadata!L593,"missing: not collected"),exact(metadata!L593,"missing: not provided"),exact(metadata!L593,"missing: restricted access"))),AND(IF(metadata!L593="",FALSE,ISNUMBER(VALUE(metadata!L593))),metadata!L593&gt;=-180.00,metadata!L593&lt;=180.00))</f>
        <v>0</v>
      </c>
      <c r="AM593">
        <f>IF(metadata!M593="",FALSE,TRUE)</f>
        <v>0</v>
      </c>
      <c r="AN593">
        <f>OR(AND(IF(metadata!N593="",FALSE,TRUE),OR(exact(metadata!N593,"missing: not collected"),exact(metadata!N593,"missing: not provided"),exact(metadata!N593,"missing: restricted access"))),AND(IF(metadata!N593="",FALSE,TRUE),OR(exact(metadata!N593,"TRUE"),exact(metadata!N593,"FALSE"))))</f>
        <v>0</v>
      </c>
      <c r="AO593">
        <f>IF(metadata!O593="",FALSE,TRUE)</f>
        <v>0</v>
      </c>
      <c r="AP593">
        <f>OR(AND(IF(metadata!P593="",FALSE,TRUE),OR(exact(metadata!P593,"missing: not collected"),exact(metadata!P593,"missing: not provided"))),AND(IF(metadata!P593="",FALSE,IF(ISERROR(INT(metadata!P593)),FALSE,INT(metadata!P593)=metadata!P593)),metadata!P593&gt;0))</f>
        <v>0</v>
      </c>
      <c r="AQ593">
        <f>IF(metadata!Q593="",FALSE,TRUE)</f>
        <v>0</v>
      </c>
    </row>
    <row r="594" spans="1:43">
      <c r="A594" s="5">
        <f>IF(B594=" "," ",HYPERLINK(CONCATENATE("#metadata!",ADDRESS(INDEX($W$2:$W$1001,MATCH(ROWS($U$2:U594),$U$2:$U$1001,0),0),1)),INDEX($Z$2:$Z$1001,MATCH(ROWS($U$2:U594),$U$2:$U$1001,0),0)))</f>
        <v>0</v>
      </c>
      <c r="B594" s="4">
        <f>IF(OR(INDEX($V$2:$V$1001,MATCH(ROWS($U$2:U594),$U$2:$U$1001,0),1)&gt;=100000,INDEX($AB$1005:$AQ$1005,1,MATCH(COLUMNS($AB$1006:AB1006),$AB$1006:$AQ$1006,0))&gt;=100000), " ",IF(INDEX($AB$2:$AQ$1001,MATCH(ROWS($U$2:U594),$U$2:$U$1001,0),MATCH(COLUMNS($AB$1006:AB1006),$AB$1006:$AQ$1006,0)), HYPERLINK("#",""), HYPERLINK(CONCATENATE("#metadata!", ADDRESS(INDEX($W$2:$W$1001,MATCH(ROWS($U$2:U594),$U$2:$U$1001,0),0), INDEX($AB$1004:$AQ$1004,1,MATCH(COLUMNS($AB$1006:AB1006),$AB$1006:$AQ$1006,0)))),"Fix")))</f>
        <v>0</v>
      </c>
      <c r="C594" s="4">
        <f>IF(OR(INDEX($V$2:$V$1001,MATCH(ROWS($U$2:U594),$U$2:$U$1001,0),1)&gt;=100000,INDEX($AB$1005:$AQ$1005,1,MATCH(COLUMNS($AB$1006:AC1006),$AB$1006:$AQ$1006,0))&gt;=100000), " ",IF(INDEX($AB$2:$AQ$1001,MATCH(ROWS($U$2:U594),$U$2:$U$1001,0),MATCH(COLUMNS($AB$1006:AC1006),$AB$1006:$AQ$1006,0)), HYPERLINK("#",""), HYPERLINK(CONCATENATE("#metadata!", ADDRESS(INDEX($W$2:$W$1001,MATCH(ROWS($U$2:U594),$U$2:$U$1001,0),0), INDEX($AB$1004:$AQ$1004,1,MATCH(COLUMNS($AB$1006:AC1006),$AB$1006:$AQ$1006,0)))),"Fix")))</f>
        <v>0</v>
      </c>
      <c r="D594" s="4">
        <f>IF(OR(INDEX($V$2:$V$1001,MATCH(ROWS($U$2:U594),$U$2:$U$1001,0),1)&gt;=100000,INDEX($AB$1005:$AQ$1005,1,MATCH(COLUMNS($AB$1006:AD1006),$AB$1006:$AQ$1006,0))&gt;=100000), " ",IF(INDEX($AB$2:$AQ$1001,MATCH(ROWS($U$2:U594),$U$2:$U$1001,0),MATCH(COLUMNS($AB$1006:AD1006),$AB$1006:$AQ$1006,0)), HYPERLINK("#",""), HYPERLINK(CONCATENATE("#metadata!", ADDRESS(INDEX($W$2:$W$1001,MATCH(ROWS($U$2:U594),$U$2:$U$1001,0),0), INDEX($AB$1004:$AQ$1004,1,MATCH(COLUMNS($AB$1006:AD1006),$AB$1006:$AQ$1006,0)))),"Fix")))</f>
        <v>0</v>
      </c>
      <c r="E594" s="4">
        <f>IF(OR(INDEX($V$2:$V$1001,MATCH(ROWS($U$2:U594),$U$2:$U$1001,0),1)&gt;=100000,INDEX($AB$1005:$AQ$1005,1,MATCH(COLUMNS($AB$1006:AE1006),$AB$1006:$AQ$1006,0))&gt;=100000), " ",IF(INDEX($AB$2:$AQ$1001,MATCH(ROWS($U$2:U594),$U$2:$U$1001,0),MATCH(COLUMNS($AB$1006:AE1006),$AB$1006:$AQ$1006,0)), HYPERLINK("#",""), HYPERLINK(CONCATENATE("#metadata!", ADDRESS(INDEX($W$2:$W$1001,MATCH(ROWS($U$2:U594),$U$2:$U$1001,0),0), INDEX($AB$1004:$AQ$1004,1,MATCH(COLUMNS($AB$1006:AE1006),$AB$1006:$AQ$1006,0)))),"Fix")))</f>
        <v>0</v>
      </c>
      <c r="F594" s="4">
        <f>IF(OR(INDEX($V$2:$V$1001,MATCH(ROWS($U$2:U594),$U$2:$U$1001,0),1)&gt;=100000,INDEX($AB$1005:$AQ$1005,1,MATCH(COLUMNS($AB$1006:AF1006),$AB$1006:$AQ$1006,0))&gt;=100000), " ",IF(INDEX($AB$2:$AQ$1001,MATCH(ROWS($U$2:U594),$U$2:$U$1001,0),MATCH(COLUMNS($AB$1006:AF1006),$AB$1006:$AQ$1006,0)), HYPERLINK("#",""), HYPERLINK(CONCATENATE("#metadata!", ADDRESS(INDEX($W$2:$W$1001,MATCH(ROWS($U$2:U594),$U$2:$U$1001,0),0), INDEX($AB$1004:$AQ$1004,1,MATCH(COLUMNS($AB$1006:AF1006),$AB$1006:$AQ$1006,0)))),"Fix")))</f>
        <v>0</v>
      </c>
      <c r="G594" s="4">
        <f>IF(OR(INDEX($V$2:$V$1001,MATCH(ROWS($U$2:U594),$U$2:$U$1001,0),1)&gt;=100000,INDEX($AB$1005:$AQ$1005,1,MATCH(COLUMNS($AB$1006:AG1006),$AB$1006:$AQ$1006,0))&gt;=100000), " ",IF(INDEX($AB$2:$AQ$1001,MATCH(ROWS($U$2:U594),$U$2:$U$1001,0),MATCH(COLUMNS($AB$1006:AG1006),$AB$1006:$AQ$1006,0)), HYPERLINK("#",""), HYPERLINK(CONCATENATE("#metadata!", ADDRESS(INDEX($W$2:$W$1001,MATCH(ROWS($U$2:U594),$U$2:$U$1001,0),0), INDEX($AB$1004:$AQ$1004,1,MATCH(COLUMNS($AB$1006:AG1006),$AB$1006:$AQ$1006,0)))),"Fix")))</f>
        <v>0</v>
      </c>
      <c r="H594" s="4">
        <f>IF(OR(INDEX($V$2:$V$1001,MATCH(ROWS($U$2:U594),$U$2:$U$1001,0),1)&gt;=100000,INDEX($AB$1005:$AQ$1005,1,MATCH(COLUMNS($AB$1006:AH1006),$AB$1006:$AQ$1006,0))&gt;=100000), " ",IF(INDEX($AB$2:$AQ$1001,MATCH(ROWS($U$2:U594),$U$2:$U$1001,0),MATCH(COLUMNS($AB$1006:AH1006),$AB$1006:$AQ$1006,0)), HYPERLINK("#",""), HYPERLINK(CONCATENATE("#metadata!", ADDRESS(INDEX($W$2:$W$1001,MATCH(ROWS($U$2:U594),$U$2:$U$1001,0),0), INDEX($AB$1004:$AQ$1004,1,MATCH(COLUMNS($AB$1006:AH1006),$AB$1006:$AQ$1006,0)))),"Fix")))</f>
        <v>0</v>
      </c>
      <c r="I594" s="4">
        <f>IF(OR(INDEX($V$2:$V$1001,MATCH(ROWS($U$2:U594),$U$2:$U$1001,0),1)&gt;=100000,INDEX($AB$1005:$AQ$1005,1,MATCH(COLUMNS($AB$1006:AI1006),$AB$1006:$AQ$1006,0))&gt;=100000), " ",IF(INDEX($AB$2:$AQ$1001,MATCH(ROWS($U$2:U594),$U$2:$U$1001,0),MATCH(COLUMNS($AB$1006:AI1006),$AB$1006:$AQ$1006,0)), HYPERLINK("#",""), HYPERLINK(CONCATENATE("#metadata!", ADDRESS(INDEX($W$2:$W$1001,MATCH(ROWS($U$2:U594),$U$2:$U$1001,0),0), INDEX($AB$1004:$AQ$1004,1,MATCH(COLUMNS($AB$1006:AI1006),$AB$1006:$AQ$1006,0)))),"Fix")))</f>
        <v>0</v>
      </c>
      <c r="J594" s="4">
        <f>IF(OR(INDEX($V$2:$V$1001,MATCH(ROWS($U$2:U594),$U$2:$U$1001,0),1)&gt;=100000,INDEX($AB$1005:$AQ$1005,1,MATCH(COLUMNS($AB$1006:AJ1006),$AB$1006:$AQ$1006,0))&gt;=100000), " ",IF(INDEX($AB$2:$AQ$1001,MATCH(ROWS($U$2:U594),$U$2:$U$1001,0),MATCH(COLUMNS($AB$1006:AJ1006),$AB$1006:$AQ$1006,0)), HYPERLINK("#",""), HYPERLINK(CONCATENATE("#metadata!", ADDRESS(INDEX($W$2:$W$1001,MATCH(ROWS($U$2:U594),$U$2:$U$1001,0),0), INDEX($AB$1004:$AQ$1004,1,MATCH(COLUMNS($AB$1006:AJ1006),$AB$1006:$AQ$1006,0)))),"Fix")))</f>
        <v>0</v>
      </c>
      <c r="K594" s="4">
        <f>IF(OR(INDEX($V$2:$V$1001,MATCH(ROWS($U$2:U594),$U$2:$U$1001,0),1)&gt;=100000,INDEX($AB$1005:$AQ$1005,1,MATCH(COLUMNS($AB$1006:AK1006),$AB$1006:$AQ$1006,0))&gt;=100000), " ",IF(INDEX($AB$2:$AQ$1001,MATCH(ROWS($U$2:U594),$U$2:$U$1001,0),MATCH(COLUMNS($AB$1006:AK1006),$AB$1006:$AQ$1006,0)), HYPERLINK("#",""), HYPERLINK(CONCATENATE("#metadata!", ADDRESS(INDEX($W$2:$W$1001,MATCH(ROWS($U$2:U594),$U$2:$U$1001,0),0), INDEX($AB$1004:$AQ$1004,1,MATCH(COLUMNS($AB$1006:AK1006),$AB$1006:$AQ$1006,0)))),"Fix")))</f>
        <v>0</v>
      </c>
      <c r="L594" s="4">
        <f>IF(OR(INDEX($V$2:$V$1001,MATCH(ROWS($U$2:U594),$U$2:$U$1001,0),1)&gt;=100000,INDEX($AB$1005:$AQ$1005,1,MATCH(COLUMNS($AB$1006:AL1006),$AB$1006:$AQ$1006,0))&gt;=100000), " ",IF(INDEX($AB$2:$AQ$1001,MATCH(ROWS($U$2:U594),$U$2:$U$1001,0),MATCH(COLUMNS($AB$1006:AL1006),$AB$1006:$AQ$1006,0)), HYPERLINK("#",""), HYPERLINK(CONCATENATE("#metadata!", ADDRESS(INDEX($W$2:$W$1001,MATCH(ROWS($U$2:U594),$U$2:$U$1001,0),0), INDEX($AB$1004:$AQ$1004,1,MATCH(COLUMNS($AB$1006:AL1006),$AB$1006:$AQ$1006,0)))),"Fix")))</f>
        <v>0</v>
      </c>
      <c r="M594" s="4">
        <f>IF(OR(INDEX($V$2:$V$1001,MATCH(ROWS($U$2:U594),$U$2:$U$1001,0),1)&gt;=100000,INDEX($AB$1005:$AQ$1005,1,MATCH(COLUMNS($AB$1006:AM1006),$AB$1006:$AQ$1006,0))&gt;=100000), " ",IF(INDEX($AB$2:$AQ$1001,MATCH(ROWS($U$2:U594),$U$2:$U$1001,0),MATCH(COLUMNS($AB$1006:AM1006),$AB$1006:$AQ$1006,0)), HYPERLINK("#",""), HYPERLINK(CONCATENATE("#metadata!", ADDRESS(INDEX($W$2:$W$1001,MATCH(ROWS($U$2:U594),$U$2:$U$1001,0),0), INDEX($AB$1004:$AQ$1004,1,MATCH(COLUMNS($AB$1006:AM1006),$AB$1006:$AQ$1006,0)))),"Fix")))</f>
        <v>0</v>
      </c>
      <c r="N594" s="4">
        <f>IF(OR(INDEX($V$2:$V$1001,MATCH(ROWS($U$2:U594),$U$2:$U$1001,0),1)&gt;=100000,INDEX($AB$1005:$AQ$1005,1,MATCH(COLUMNS($AB$1006:AN1006),$AB$1006:$AQ$1006,0))&gt;=100000), " ",IF(INDEX($AB$2:$AQ$1001,MATCH(ROWS($U$2:U594),$U$2:$U$1001,0),MATCH(COLUMNS($AB$1006:AN1006),$AB$1006:$AQ$1006,0)), HYPERLINK("#",""), HYPERLINK(CONCATENATE("#metadata!", ADDRESS(INDEX($W$2:$W$1001,MATCH(ROWS($U$2:U594),$U$2:$U$1001,0),0), INDEX($AB$1004:$AQ$1004,1,MATCH(COLUMNS($AB$1006:AN1006),$AB$1006:$AQ$1006,0)))),"Fix")))</f>
        <v>0</v>
      </c>
      <c r="O594" s="4">
        <f>IF(OR(INDEX($V$2:$V$1001,MATCH(ROWS($U$2:U594),$U$2:$U$1001,0),1)&gt;=100000,INDEX($AB$1005:$AQ$1005,1,MATCH(COLUMNS($AB$1006:AO1006),$AB$1006:$AQ$1006,0))&gt;=100000), " ",IF(INDEX($AB$2:$AQ$1001,MATCH(ROWS($U$2:U594),$U$2:$U$1001,0),MATCH(COLUMNS($AB$1006:AO1006),$AB$1006:$AQ$1006,0)), HYPERLINK("#",""), HYPERLINK(CONCATENATE("#metadata!", ADDRESS(INDEX($W$2:$W$1001,MATCH(ROWS($U$2:U594),$U$2:$U$1001,0),0), INDEX($AB$1004:$AQ$1004,1,MATCH(COLUMNS($AB$1006:AO1006),$AB$1006:$AQ$1006,0)))),"Fix")))</f>
        <v>0</v>
      </c>
      <c r="P594" s="4">
        <f>IF(OR(INDEX($V$2:$V$1001,MATCH(ROWS($U$2:U594),$U$2:$U$1001,0),1)&gt;=100000,INDEX($AB$1005:$AQ$1005,1,MATCH(COLUMNS($AB$1006:AP1006),$AB$1006:$AQ$1006,0))&gt;=100000), " ",IF(INDEX($AB$2:$AQ$1001,MATCH(ROWS($U$2:U594),$U$2:$U$1001,0),MATCH(COLUMNS($AB$1006:AP1006),$AB$1006:$AQ$1006,0)), HYPERLINK("#",""), HYPERLINK(CONCATENATE("#metadata!", ADDRESS(INDEX($W$2:$W$1001,MATCH(ROWS($U$2:U594),$U$2:$U$1001,0),0), INDEX($AB$1004:$AQ$1004,1,MATCH(COLUMNS($AB$1006:AP1006),$AB$1006:$AQ$1006,0)))),"Fix")))</f>
        <v>0</v>
      </c>
      <c r="Q594" s="4">
        <f>IF(OR(INDEX($V$2:$V$1001,MATCH(ROWS($U$2:U594),$U$2:$U$1001,0),1)&gt;=100000,INDEX($AB$1005:$AQ$1005,1,MATCH(COLUMNS($AB$1006:AQ1006),$AB$1006:$AQ$1006,0))&gt;=100000), " ",IF(INDEX($AB$2:$AQ$1001,MATCH(ROWS($U$2:U594),$U$2:$U$1001,0),MATCH(COLUMNS($AB$1006:AQ1006),$AB$1006:$AQ$1006,0)), HYPERLINK("#",""), HYPERLINK(CONCATENATE("#metadata!", ADDRESS(INDEX($W$2:$W$1001,MATCH(ROWS($U$2:U594),$U$2:$U$1001,0),0), INDEX($AB$1004:$AQ$1004,1,MATCH(COLUMNS($AB$1006:AQ1006),$AB$1006:$AQ$1006,0)))),"Fix")))</f>
        <v>0</v>
      </c>
      <c r="U594">
        <v>0</v>
      </c>
      <c r="V594">
        <v>0</v>
      </c>
      <c r="W594">
        <v>0</v>
      </c>
      <c r="X594">
        <f>IF(Y594,TRUE,AND(AB594:AQ594))</f>
        <v>0</v>
      </c>
      <c r="Y594">
        <f>COUNTBLANK(metadata!B594:Q594)=COLUMNS(metadata!B594:Q594)</f>
        <v>0</v>
      </c>
      <c r="Z594">
        <v>0</v>
      </c>
      <c r="AB594">
        <f>AND(IF(metadata!B594="",FALSE,TRUE),COUNTIF(metadata!B:B, metadata!B594) = 1,NOT(ISERROR(SUMPRODUCT(SEARCH(MID(metadata!B594,ROW(INDIRECT("1:"&amp;LEN(metadata!B594))), 1),"0123456789abcdefghijklmnopqrstuvwxyzABCDEFGHIJKLMNOPQRSTUVWXYZ.")))))</f>
        <v>0</v>
      </c>
      <c r="AC594">
        <f>OR(AND(IF(metadata!C594="",FALSE,TRUE),OR(exact(metadata!C594,"missing: not collected"),exact(metadata!C594,"missing: not provided"),exact(metadata!C594,"missing: restricted access"))),AND(IF(metadata!C594="",FALSE,TRUE),AND(AND(IFERROR(INT(LEFT(metadata!C594,4))&gt;1900,FALSE),IFERROR(INT(LEFT(metadata!C594,4))&lt;=YEAR(NOW()),FALSE)), OR(MID(metadata!C594,5,1)="", AND(AND(MID(metadata!C594,5,1)="-",IFERROR(INT(MID(metadata!C594,6,1))&gt;=0,FALSE),IFERROR(INT(MID(metadata!C594,6,1))&lt;=1,FALSE),NOT(MID(metadata!C594,7,1)=""),IFERROR(INT(MID(metadata!C594,6,2))&gt;=1,FALSE),IFERROR(INT(MID(metadata!C594,6,2))&lt;=12,FALSE)), OR(MID(metadata!C594,8,1)="", AND(AND(MID(metadata!C594,8,1)="-",IFERROR(INT(MID(metadata!C594,9,1))&gt;=0,FALSE),IFERROR(INT(MID(metadata!C594,9,1))&lt;=3,FALSE),NOT(MID(metadata!C594,10,1)=""),IFERROR(INT(MID(metadata!C594,9,2))&gt;=1,FALSE),IFERROR(INT(MID(metadata!C594,9,2))&lt;=31,FALSE)), OR(MID(metadata!C594,11,1)="", AND(AND(MID(metadata!C594,11,1)=" ",IFERROR(INT(MID(metadata!C594,12,1))&gt;=0,FALSE),IFERROR(INT(MID(metadata!C594,12,1))&lt;=2,FALSE),NOT(MID(metadata!C594,13,1)=""),IFERROR(INT(MID(metadata!C594,12,2))&gt;=0,FALSE),IFERROR(INT(MID(metadata!C594,12,2))&lt;=23,FALSE)), OR(MID(metadata!C594,14,1)="", AND(AND(MID(metadata!C594,14,1)=":",IFERROR(INT(MID(metadata!C594,15,1))&gt;=0,FALSE),IFERROR(INT(MID(metadata!C594,15,1))&lt;=5,FALSE),NOT(MID(metadata!C594,16,1)=""),IFERROR(INT(MID(metadata!C594,15,2))&gt;=0,FALSE),IFERROR(INT(MID(metadata!C594,15,2))&lt;=59,FALSE)), OR(MID(metadata!C594,17,1)="", AND(AND(MID(metadata!C594,17,1)=":",IFERROR(INT(MID(metadata!C594,18,1))&gt;=0,FALSE),IFERROR(INT(MID(metadata!C594,18,1))&lt;=5,FALSE),NOT(MID(metadata!C594,19,1)=""),IFERROR(INT(MID(metadata!C594,18,2))&gt;=0,FALSE),IFERROR(INT(MID(metadata!C594,18,2))&lt;=59,FALSE)), LEN(metadata!C594)&lt;=19)))))))))))))</f>
        <v>0</v>
      </c>
      <c r="AD594">
        <f>IF(metadata!D594="",FALSE,TRUE)</f>
        <v>0</v>
      </c>
      <c r="AE594">
        <f>OR(AND(IF(metadata!E594="",FALSE,TRUE),OR(exact(metadata!E594,"missing: not collected"),exact(metadata!E594,"missing: not provided"))),AND(IF(metadata!E594="",FALSE,TRUE),OR(exact(metadata!E594,"TRUE"),exact(metadata!E594,"FALSE"))))</f>
        <v>0</v>
      </c>
      <c r="AF594">
        <f>IF(metadata!F594="",FALSE,TRUE)</f>
        <v>0</v>
      </c>
      <c r="AG594">
        <f>IF(metadata!G594="",FALSE,TRUE)</f>
        <v>0</v>
      </c>
      <c r="AH594">
        <f>IF(metadata!H594="",FALSE,TRUE)</f>
        <v>0</v>
      </c>
      <c r="AI594">
        <f>OR(AND(IF(metadata!I594="",FALSE,TRUE),OR(exact(metadata!I594,"missing: not collected"),exact(metadata!I594,"missing: not provided"),exact(metadata!I594,"missing: restricted access"))),AND(IF(metadata!I594="",FALSE,TRUE),OR(exact(metadata!I594,"air"),exact(metadata!I594,"built environment"),exact(metadata!I594,"host-associated"),exact(metadata!I594,"human-associated"),exact(metadata!I594,"human-skin"),exact(metadata!I594,"human-oral"),exact(metadata!I594,"human-gut"),exact(metadata!I594,"human-vaginal"),exact(metadata!I594,"microbial mat/biofilm"),exact(metadata!I594,"misc environment"),exact(metadata!I594,"plant-associated"),exact(metadata!I594,"sediment"),exact(metadata!I594,"soil"),exact(metadata!I594,"wastewater/sludge"),exact(metadata!I594,"water"))))</f>
        <v>0</v>
      </c>
      <c r="AJ594">
        <f>IF(metadata!J594="",FALSE,TRUE)</f>
        <v>0</v>
      </c>
      <c r="AK594">
        <f>OR(AND(IF(metadata!K594="",FALSE,TRUE),OR(exact(metadata!K594,"missing: not collected"),exact(metadata!K594,"missing: not provided"),exact(metadata!K594,"missing: restricted access"))),AND(IF(metadata!K594="",FALSE,ISNUMBER(VALUE(metadata!K594))),metadata!K594&gt;=-90.00,metadata!K594&lt;=90.00))</f>
        <v>0</v>
      </c>
      <c r="AL594">
        <f>OR(AND(IF(metadata!L594="",FALSE,TRUE),OR(exact(metadata!L594,"missing: not collected"),exact(metadata!L594,"missing: not provided"),exact(metadata!L594,"missing: restricted access"))),AND(IF(metadata!L594="",FALSE,ISNUMBER(VALUE(metadata!L594))),metadata!L594&gt;=-180.00,metadata!L594&lt;=180.00))</f>
        <v>0</v>
      </c>
      <c r="AM594">
        <f>IF(metadata!M594="",FALSE,TRUE)</f>
        <v>0</v>
      </c>
      <c r="AN594">
        <f>OR(AND(IF(metadata!N594="",FALSE,TRUE),OR(exact(metadata!N594,"missing: not collected"),exact(metadata!N594,"missing: not provided"),exact(metadata!N594,"missing: restricted access"))),AND(IF(metadata!N594="",FALSE,TRUE),OR(exact(metadata!N594,"TRUE"),exact(metadata!N594,"FALSE"))))</f>
        <v>0</v>
      </c>
      <c r="AO594">
        <f>IF(metadata!O594="",FALSE,TRUE)</f>
        <v>0</v>
      </c>
      <c r="AP594">
        <f>OR(AND(IF(metadata!P594="",FALSE,TRUE),OR(exact(metadata!P594,"missing: not collected"),exact(metadata!P594,"missing: not provided"))),AND(IF(metadata!P594="",FALSE,IF(ISERROR(INT(metadata!P594)),FALSE,INT(metadata!P594)=metadata!P594)),metadata!P594&gt;0))</f>
        <v>0</v>
      </c>
      <c r="AQ594">
        <f>IF(metadata!Q594="",FALSE,TRUE)</f>
        <v>0</v>
      </c>
    </row>
    <row r="595" spans="1:43">
      <c r="A595" s="5">
        <f>IF(B595=" "," ",HYPERLINK(CONCATENATE("#metadata!",ADDRESS(INDEX($W$2:$W$1001,MATCH(ROWS($U$2:U595),$U$2:$U$1001,0),0),1)),INDEX($Z$2:$Z$1001,MATCH(ROWS($U$2:U595),$U$2:$U$1001,0),0)))</f>
        <v>0</v>
      </c>
      <c r="B595" s="4">
        <f>IF(OR(INDEX($V$2:$V$1001,MATCH(ROWS($U$2:U595),$U$2:$U$1001,0),1)&gt;=100000,INDEX($AB$1005:$AQ$1005,1,MATCH(COLUMNS($AB$1006:AB1006),$AB$1006:$AQ$1006,0))&gt;=100000), " ",IF(INDEX($AB$2:$AQ$1001,MATCH(ROWS($U$2:U595),$U$2:$U$1001,0),MATCH(COLUMNS($AB$1006:AB1006),$AB$1006:$AQ$1006,0)), HYPERLINK("#",""), HYPERLINK(CONCATENATE("#metadata!", ADDRESS(INDEX($W$2:$W$1001,MATCH(ROWS($U$2:U595),$U$2:$U$1001,0),0), INDEX($AB$1004:$AQ$1004,1,MATCH(COLUMNS($AB$1006:AB1006),$AB$1006:$AQ$1006,0)))),"Fix")))</f>
        <v>0</v>
      </c>
      <c r="C595" s="4">
        <f>IF(OR(INDEX($V$2:$V$1001,MATCH(ROWS($U$2:U595),$U$2:$U$1001,0),1)&gt;=100000,INDEX($AB$1005:$AQ$1005,1,MATCH(COLUMNS($AB$1006:AC1006),$AB$1006:$AQ$1006,0))&gt;=100000), " ",IF(INDEX($AB$2:$AQ$1001,MATCH(ROWS($U$2:U595),$U$2:$U$1001,0),MATCH(COLUMNS($AB$1006:AC1006),$AB$1006:$AQ$1006,0)), HYPERLINK("#",""), HYPERLINK(CONCATENATE("#metadata!", ADDRESS(INDEX($W$2:$W$1001,MATCH(ROWS($U$2:U595),$U$2:$U$1001,0),0), INDEX($AB$1004:$AQ$1004,1,MATCH(COLUMNS($AB$1006:AC1006),$AB$1006:$AQ$1006,0)))),"Fix")))</f>
        <v>0</v>
      </c>
      <c r="D595" s="4">
        <f>IF(OR(INDEX($V$2:$V$1001,MATCH(ROWS($U$2:U595),$U$2:$U$1001,0),1)&gt;=100000,INDEX($AB$1005:$AQ$1005,1,MATCH(COLUMNS($AB$1006:AD1006),$AB$1006:$AQ$1006,0))&gt;=100000), " ",IF(INDEX($AB$2:$AQ$1001,MATCH(ROWS($U$2:U595),$U$2:$U$1001,0),MATCH(COLUMNS($AB$1006:AD1006),$AB$1006:$AQ$1006,0)), HYPERLINK("#",""), HYPERLINK(CONCATENATE("#metadata!", ADDRESS(INDEX($W$2:$W$1001,MATCH(ROWS($U$2:U595),$U$2:$U$1001,0),0), INDEX($AB$1004:$AQ$1004,1,MATCH(COLUMNS($AB$1006:AD1006),$AB$1006:$AQ$1006,0)))),"Fix")))</f>
        <v>0</v>
      </c>
      <c r="E595" s="4">
        <f>IF(OR(INDEX($V$2:$V$1001,MATCH(ROWS($U$2:U595),$U$2:$U$1001,0),1)&gt;=100000,INDEX($AB$1005:$AQ$1005,1,MATCH(COLUMNS($AB$1006:AE1006),$AB$1006:$AQ$1006,0))&gt;=100000), " ",IF(INDEX($AB$2:$AQ$1001,MATCH(ROWS($U$2:U595),$U$2:$U$1001,0),MATCH(COLUMNS($AB$1006:AE1006),$AB$1006:$AQ$1006,0)), HYPERLINK("#",""), HYPERLINK(CONCATENATE("#metadata!", ADDRESS(INDEX($W$2:$W$1001,MATCH(ROWS($U$2:U595),$U$2:$U$1001,0),0), INDEX($AB$1004:$AQ$1004,1,MATCH(COLUMNS($AB$1006:AE1006),$AB$1006:$AQ$1006,0)))),"Fix")))</f>
        <v>0</v>
      </c>
      <c r="F595" s="4">
        <f>IF(OR(INDEX($V$2:$V$1001,MATCH(ROWS($U$2:U595),$U$2:$U$1001,0),1)&gt;=100000,INDEX($AB$1005:$AQ$1005,1,MATCH(COLUMNS($AB$1006:AF1006),$AB$1006:$AQ$1006,0))&gt;=100000), " ",IF(INDEX($AB$2:$AQ$1001,MATCH(ROWS($U$2:U595),$U$2:$U$1001,0),MATCH(COLUMNS($AB$1006:AF1006),$AB$1006:$AQ$1006,0)), HYPERLINK("#",""), HYPERLINK(CONCATENATE("#metadata!", ADDRESS(INDEX($W$2:$W$1001,MATCH(ROWS($U$2:U595),$U$2:$U$1001,0),0), INDEX($AB$1004:$AQ$1004,1,MATCH(COLUMNS($AB$1006:AF1006),$AB$1006:$AQ$1006,0)))),"Fix")))</f>
        <v>0</v>
      </c>
      <c r="G595" s="4">
        <f>IF(OR(INDEX($V$2:$V$1001,MATCH(ROWS($U$2:U595),$U$2:$U$1001,0),1)&gt;=100000,INDEX($AB$1005:$AQ$1005,1,MATCH(COLUMNS($AB$1006:AG1006),$AB$1006:$AQ$1006,0))&gt;=100000), " ",IF(INDEX($AB$2:$AQ$1001,MATCH(ROWS($U$2:U595),$U$2:$U$1001,0),MATCH(COLUMNS($AB$1006:AG1006),$AB$1006:$AQ$1006,0)), HYPERLINK("#",""), HYPERLINK(CONCATENATE("#metadata!", ADDRESS(INDEX($W$2:$W$1001,MATCH(ROWS($U$2:U595),$U$2:$U$1001,0),0), INDEX($AB$1004:$AQ$1004,1,MATCH(COLUMNS($AB$1006:AG1006),$AB$1006:$AQ$1006,0)))),"Fix")))</f>
        <v>0</v>
      </c>
      <c r="H595" s="4">
        <f>IF(OR(INDEX($V$2:$V$1001,MATCH(ROWS($U$2:U595),$U$2:$U$1001,0),1)&gt;=100000,INDEX($AB$1005:$AQ$1005,1,MATCH(COLUMNS($AB$1006:AH1006),$AB$1006:$AQ$1006,0))&gt;=100000), " ",IF(INDEX($AB$2:$AQ$1001,MATCH(ROWS($U$2:U595),$U$2:$U$1001,0),MATCH(COLUMNS($AB$1006:AH1006),$AB$1006:$AQ$1006,0)), HYPERLINK("#",""), HYPERLINK(CONCATENATE("#metadata!", ADDRESS(INDEX($W$2:$W$1001,MATCH(ROWS($U$2:U595),$U$2:$U$1001,0),0), INDEX($AB$1004:$AQ$1004,1,MATCH(COLUMNS($AB$1006:AH1006),$AB$1006:$AQ$1006,0)))),"Fix")))</f>
        <v>0</v>
      </c>
      <c r="I595" s="4">
        <f>IF(OR(INDEX($V$2:$V$1001,MATCH(ROWS($U$2:U595),$U$2:$U$1001,0),1)&gt;=100000,INDEX($AB$1005:$AQ$1005,1,MATCH(COLUMNS($AB$1006:AI1006),$AB$1006:$AQ$1006,0))&gt;=100000), " ",IF(INDEX($AB$2:$AQ$1001,MATCH(ROWS($U$2:U595),$U$2:$U$1001,0),MATCH(COLUMNS($AB$1006:AI1006),$AB$1006:$AQ$1006,0)), HYPERLINK("#",""), HYPERLINK(CONCATENATE("#metadata!", ADDRESS(INDEX($W$2:$W$1001,MATCH(ROWS($U$2:U595),$U$2:$U$1001,0),0), INDEX($AB$1004:$AQ$1004,1,MATCH(COLUMNS($AB$1006:AI1006),$AB$1006:$AQ$1006,0)))),"Fix")))</f>
        <v>0</v>
      </c>
      <c r="J595" s="4">
        <f>IF(OR(INDEX($V$2:$V$1001,MATCH(ROWS($U$2:U595),$U$2:$U$1001,0),1)&gt;=100000,INDEX($AB$1005:$AQ$1005,1,MATCH(COLUMNS($AB$1006:AJ1006),$AB$1006:$AQ$1006,0))&gt;=100000), " ",IF(INDEX($AB$2:$AQ$1001,MATCH(ROWS($U$2:U595),$U$2:$U$1001,0),MATCH(COLUMNS($AB$1006:AJ1006),$AB$1006:$AQ$1006,0)), HYPERLINK("#",""), HYPERLINK(CONCATENATE("#metadata!", ADDRESS(INDEX($W$2:$W$1001,MATCH(ROWS($U$2:U595),$U$2:$U$1001,0),0), INDEX($AB$1004:$AQ$1004,1,MATCH(COLUMNS($AB$1006:AJ1006),$AB$1006:$AQ$1006,0)))),"Fix")))</f>
        <v>0</v>
      </c>
      <c r="K595" s="4">
        <f>IF(OR(INDEX($V$2:$V$1001,MATCH(ROWS($U$2:U595),$U$2:$U$1001,0),1)&gt;=100000,INDEX($AB$1005:$AQ$1005,1,MATCH(COLUMNS($AB$1006:AK1006),$AB$1006:$AQ$1006,0))&gt;=100000), " ",IF(INDEX($AB$2:$AQ$1001,MATCH(ROWS($U$2:U595),$U$2:$U$1001,0),MATCH(COLUMNS($AB$1006:AK1006),$AB$1006:$AQ$1006,0)), HYPERLINK("#",""), HYPERLINK(CONCATENATE("#metadata!", ADDRESS(INDEX($W$2:$W$1001,MATCH(ROWS($U$2:U595),$U$2:$U$1001,0),0), INDEX($AB$1004:$AQ$1004,1,MATCH(COLUMNS($AB$1006:AK1006),$AB$1006:$AQ$1006,0)))),"Fix")))</f>
        <v>0</v>
      </c>
      <c r="L595" s="4">
        <f>IF(OR(INDEX($V$2:$V$1001,MATCH(ROWS($U$2:U595),$U$2:$U$1001,0),1)&gt;=100000,INDEX($AB$1005:$AQ$1005,1,MATCH(COLUMNS($AB$1006:AL1006),$AB$1006:$AQ$1006,0))&gt;=100000), " ",IF(INDEX($AB$2:$AQ$1001,MATCH(ROWS($U$2:U595),$U$2:$U$1001,0),MATCH(COLUMNS($AB$1006:AL1006),$AB$1006:$AQ$1006,0)), HYPERLINK("#",""), HYPERLINK(CONCATENATE("#metadata!", ADDRESS(INDEX($W$2:$W$1001,MATCH(ROWS($U$2:U595),$U$2:$U$1001,0),0), INDEX($AB$1004:$AQ$1004,1,MATCH(COLUMNS($AB$1006:AL1006),$AB$1006:$AQ$1006,0)))),"Fix")))</f>
        <v>0</v>
      </c>
      <c r="M595" s="4">
        <f>IF(OR(INDEX($V$2:$V$1001,MATCH(ROWS($U$2:U595),$U$2:$U$1001,0),1)&gt;=100000,INDEX($AB$1005:$AQ$1005,1,MATCH(COLUMNS($AB$1006:AM1006),$AB$1006:$AQ$1006,0))&gt;=100000), " ",IF(INDEX($AB$2:$AQ$1001,MATCH(ROWS($U$2:U595),$U$2:$U$1001,0),MATCH(COLUMNS($AB$1006:AM1006),$AB$1006:$AQ$1006,0)), HYPERLINK("#",""), HYPERLINK(CONCATENATE("#metadata!", ADDRESS(INDEX($W$2:$W$1001,MATCH(ROWS($U$2:U595),$U$2:$U$1001,0),0), INDEX($AB$1004:$AQ$1004,1,MATCH(COLUMNS($AB$1006:AM1006),$AB$1006:$AQ$1006,0)))),"Fix")))</f>
        <v>0</v>
      </c>
      <c r="N595" s="4">
        <f>IF(OR(INDEX($V$2:$V$1001,MATCH(ROWS($U$2:U595),$U$2:$U$1001,0),1)&gt;=100000,INDEX($AB$1005:$AQ$1005,1,MATCH(COLUMNS($AB$1006:AN1006),$AB$1006:$AQ$1006,0))&gt;=100000), " ",IF(INDEX($AB$2:$AQ$1001,MATCH(ROWS($U$2:U595),$U$2:$U$1001,0),MATCH(COLUMNS($AB$1006:AN1006),$AB$1006:$AQ$1006,0)), HYPERLINK("#",""), HYPERLINK(CONCATENATE("#metadata!", ADDRESS(INDEX($W$2:$W$1001,MATCH(ROWS($U$2:U595),$U$2:$U$1001,0),0), INDEX($AB$1004:$AQ$1004,1,MATCH(COLUMNS($AB$1006:AN1006),$AB$1006:$AQ$1006,0)))),"Fix")))</f>
        <v>0</v>
      </c>
      <c r="O595" s="4">
        <f>IF(OR(INDEX($V$2:$V$1001,MATCH(ROWS($U$2:U595),$U$2:$U$1001,0),1)&gt;=100000,INDEX($AB$1005:$AQ$1005,1,MATCH(COLUMNS($AB$1006:AO1006),$AB$1006:$AQ$1006,0))&gt;=100000), " ",IF(INDEX($AB$2:$AQ$1001,MATCH(ROWS($U$2:U595),$U$2:$U$1001,0),MATCH(COLUMNS($AB$1006:AO1006),$AB$1006:$AQ$1006,0)), HYPERLINK("#",""), HYPERLINK(CONCATENATE("#metadata!", ADDRESS(INDEX($W$2:$W$1001,MATCH(ROWS($U$2:U595),$U$2:$U$1001,0),0), INDEX($AB$1004:$AQ$1004,1,MATCH(COLUMNS($AB$1006:AO1006),$AB$1006:$AQ$1006,0)))),"Fix")))</f>
        <v>0</v>
      </c>
      <c r="P595" s="4">
        <f>IF(OR(INDEX($V$2:$V$1001,MATCH(ROWS($U$2:U595),$U$2:$U$1001,0),1)&gt;=100000,INDEX($AB$1005:$AQ$1005,1,MATCH(COLUMNS($AB$1006:AP1006),$AB$1006:$AQ$1006,0))&gt;=100000), " ",IF(INDEX($AB$2:$AQ$1001,MATCH(ROWS($U$2:U595),$U$2:$U$1001,0),MATCH(COLUMNS($AB$1006:AP1006),$AB$1006:$AQ$1006,0)), HYPERLINK("#",""), HYPERLINK(CONCATENATE("#metadata!", ADDRESS(INDEX($W$2:$W$1001,MATCH(ROWS($U$2:U595),$U$2:$U$1001,0),0), INDEX($AB$1004:$AQ$1004,1,MATCH(COLUMNS($AB$1006:AP1006),$AB$1006:$AQ$1006,0)))),"Fix")))</f>
        <v>0</v>
      </c>
      <c r="Q595" s="4">
        <f>IF(OR(INDEX($V$2:$V$1001,MATCH(ROWS($U$2:U595),$U$2:$U$1001,0),1)&gt;=100000,INDEX($AB$1005:$AQ$1005,1,MATCH(COLUMNS($AB$1006:AQ1006),$AB$1006:$AQ$1006,0))&gt;=100000), " ",IF(INDEX($AB$2:$AQ$1001,MATCH(ROWS($U$2:U595),$U$2:$U$1001,0),MATCH(COLUMNS($AB$1006:AQ1006),$AB$1006:$AQ$1006,0)), HYPERLINK("#",""), HYPERLINK(CONCATENATE("#metadata!", ADDRESS(INDEX($W$2:$W$1001,MATCH(ROWS($U$2:U595),$U$2:$U$1001,0),0), INDEX($AB$1004:$AQ$1004,1,MATCH(COLUMNS($AB$1006:AQ1006),$AB$1006:$AQ$1006,0)))),"Fix")))</f>
        <v>0</v>
      </c>
      <c r="U595">
        <v>0</v>
      </c>
      <c r="V595">
        <v>0</v>
      </c>
      <c r="W595">
        <v>0</v>
      </c>
      <c r="X595">
        <f>IF(Y595,TRUE,AND(AB595:AQ595))</f>
        <v>0</v>
      </c>
      <c r="Y595">
        <f>COUNTBLANK(metadata!B595:Q595)=COLUMNS(metadata!B595:Q595)</f>
        <v>0</v>
      </c>
      <c r="Z595">
        <v>0</v>
      </c>
      <c r="AB595">
        <f>AND(IF(metadata!B595="",FALSE,TRUE),COUNTIF(metadata!B:B, metadata!B595) = 1,NOT(ISERROR(SUMPRODUCT(SEARCH(MID(metadata!B595,ROW(INDIRECT("1:"&amp;LEN(metadata!B595))), 1),"0123456789abcdefghijklmnopqrstuvwxyzABCDEFGHIJKLMNOPQRSTUVWXYZ.")))))</f>
        <v>0</v>
      </c>
      <c r="AC595">
        <f>OR(AND(IF(metadata!C595="",FALSE,TRUE),OR(exact(metadata!C595,"missing: not collected"),exact(metadata!C595,"missing: not provided"),exact(metadata!C595,"missing: restricted access"))),AND(IF(metadata!C595="",FALSE,TRUE),AND(AND(IFERROR(INT(LEFT(metadata!C595,4))&gt;1900,FALSE),IFERROR(INT(LEFT(metadata!C595,4))&lt;=YEAR(NOW()),FALSE)), OR(MID(metadata!C595,5,1)="", AND(AND(MID(metadata!C595,5,1)="-",IFERROR(INT(MID(metadata!C595,6,1))&gt;=0,FALSE),IFERROR(INT(MID(metadata!C595,6,1))&lt;=1,FALSE),NOT(MID(metadata!C595,7,1)=""),IFERROR(INT(MID(metadata!C595,6,2))&gt;=1,FALSE),IFERROR(INT(MID(metadata!C595,6,2))&lt;=12,FALSE)), OR(MID(metadata!C595,8,1)="", AND(AND(MID(metadata!C595,8,1)="-",IFERROR(INT(MID(metadata!C595,9,1))&gt;=0,FALSE),IFERROR(INT(MID(metadata!C595,9,1))&lt;=3,FALSE),NOT(MID(metadata!C595,10,1)=""),IFERROR(INT(MID(metadata!C595,9,2))&gt;=1,FALSE),IFERROR(INT(MID(metadata!C595,9,2))&lt;=31,FALSE)), OR(MID(metadata!C595,11,1)="", AND(AND(MID(metadata!C595,11,1)=" ",IFERROR(INT(MID(metadata!C595,12,1))&gt;=0,FALSE),IFERROR(INT(MID(metadata!C595,12,1))&lt;=2,FALSE),NOT(MID(metadata!C595,13,1)=""),IFERROR(INT(MID(metadata!C595,12,2))&gt;=0,FALSE),IFERROR(INT(MID(metadata!C595,12,2))&lt;=23,FALSE)), OR(MID(metadata!C595,14,1)="", AND(AND(MID(metadata!C595,14,1)=":",IFERROR(INT(MID(metadata!C595,15,1))&gt;=0,FALSE),IFERROR(INT(MID(metadata!C595,15,1))&lt;=5,FALSE),NOT(MID(metadata!C595,16,1)=""),IFERROR(INT(MID(metadata!C595,15,2))&gt;=0,FALSE),IFERROR(INT(MID(metadata!C595,15,2))&lt;=59,FALSE)), OR(MID(metadata!C595,17,1)="", AND(AND(MID(metadata!C595,17,1)=":",IFERROR(INT(MID(metadata!C595,18,1))&gt;=0,FALSE),IFERROR(INT(MID(metadata!C595,18,1))&lt;=5,FALSE),NOT(MID(metadata!C595,19,1)=""),IFERROR(INT(MID(metadata!C595,18,2))&gt;=0,FALSE),IFERROR(INT(MID(metadata!C595,18,2))&lt;=59,FALSE)), LEN(metadata!C595)&lt;=19)))))))))))))</f>
        <v>0</v>
      </c>
      <c r="AD595">
        <f>IF(metadata!D595="",FALSE,TRUE)</f>
        <v>0</v>
      </c>
      <c r="AE595">
        <f>OR(AND(IF(metadata!E595="",FALSE,TRUE),OR(exact(metadata!E595,"missing: not collected"),exact(metadata!E595,"missing: not provided"))),AND(IF(metadata!E595="",FALSE,TRUE),OR(exact(metadata!E595,"TRUE"),exact(metadata!E595,"FALSE"))))</f>
        <v>0</v>
      </c>
      <c r="AF595">
        <f>IF(metadata!F595="",FALSE,TRUE)</f>
        <v>0</v>
      </c>
      <c r="AG595">
        <f>IF(metadata!G595="",FALSE,TRUE)</f>
        <v>0</v>
      </c>
      <c r="AH595">
        <f>IF(metadata!H595="",FALSE,TRUE)</f>
        <v>0</v>
      </c>
      <c r="AI595">
        <f>OR(AND(IF(metadata!I595="",FALSE,TRUE),OR(exact(metadata!I595,"missing: not collected"),exact(metadata!I595,"missing: not provided"),exact(metadata!I595,"missing: restricted access"))),AND(IF(metadata!I595="",FALSE,TRUE),OR(exact(metadata!I595,"air"),exact(metadata!I595,"built environment"),exact(metadata!I595,"host-associated"),exact(metadata!I595,"human-associated"),exact(metadata!I595,"human-skin"),exact(metadata!I595,"human-oral"),exact(metadata!I595,"human-gut"),exact(metadata!I595,"human-vaginal"),exact(metadata!I595,"microbial mat/biofilm"),exact(metadata!I595,"misc environment"),exact(metadata!I595,"plant-associated"),exact(metadata!I595,"sediment"),exact(metadata!I595,"soil"),exact(metadata!I595,"wastewater/sludge"),exact(metadata!I595,"water"))))</f>
        <v>0</v>
      </c>
      <c r="AJ595">
        <f>IF(metadata!J595="",FALSE,TRUE)</f>
        <v>0</v>
      </c>
      <c r="AK595">
        <f>OR(AND(IF(metadata!K595="",FALSE,TRUE),OR(exact(metadata!K595,"missing: not collected"),exact(metadata!K595,"missing: not provided"),exact(metadata!K595,"missing: restricted access"))),AND(IF(metadata!K595="",FALSE,ISNUMBER(VALUE(metadata!K595))),metadata!K595&gt;=-90.00,metadata!K595&lt;=90.00))</f>
        <v>0</v>
      </c>
      <c r="AL595">
        <f>OR(AND(IF(metadata!L595="",FALSE,TRUE),OR(exact(metadata!L595,"missing: not collected"),exact(metadata!L595,"missing: not provided"),exact(metadata!L595,"missing: restricted access"))),AND(IF(metadata!L595="",FALSE,ISNUMBER(VALUE(metadata!L595))),metadata!L595&gt;=-180.00,metadata!L595&lt;=180.00))</f>
        <v>0</v>
      </c>
      <c r="AM595">
        <f>IF(metadata!M595="",FALSE,TRUE)</f>
        <v>0</v>
      </c>
      <c r="AN595">
        <f>OR(AND(IF(metadata!N595="",FALSE,TRUE),OR(exact(metadata!N595,"missing: not collected"),exact(metadata!N595,"missing: not provided"),exact(metadata!N595,"missing: restricted access"))),AND(IF(metadata!N595="",FALSE,TRUE),OR(exact(metadata!N595,"TRUE"),exact(metadata!N595,"FALSE"))))</f>
        <v>0</v>
      </c>
      <c r="AO595">
        <f>IF(metadata!O595="",FALSE,TRUE)</f>
        <v>0</v>
      </c>
      <c r="AP595">
        <f>OR(AND(IF(metadata!P595="",FALSE,TRUE),OR(exact(metadata!P595,"missing: not collected"),exact(metadata!P595,"missing: not provided"))),AND(IF(metadata!P595="",FALSE,IF(ISERROR(INT(metadata!P595)),FALSE,INT(metadata!P595)=metadata!P595)),metadata!P595&gt;0))</f>
        <v>0</v>
      </c>
      <c r="AQ595">
        <f>IF(metadata!Q595="",FALSE,TRUE)</f>
        <v>0</v>
      </c>
    </row>
    <row r="596" spans="1:43">
      <c r="A596" s="5">
        <f>IF(B596=" "," ",HYPERLINK(CONCATENATE("#metadata!",ADDRESS(INDEX($W$2:$W$1001,MATCH(ROWS($U$2:U596),$U$2:$U$1001,0),0),1)),INDEX($Z$2:$Z$1001,MATCH(ROWS($U$2:U596),$U$2:$U$1001,0),0)))</f>
        <v>0</v>
      </c>
      <c r="B596" s="4">
        <f>IF(OR(INDEX($V$2:$V$1001,MATCH(ROWS($U$2:U596),$U$2:$U$1001,0),1)&gt;=100000,INDEX($AB$1005:$AQ$1005,1,MATCH(COLUMNS($AB$1006:AB1006),$AB$1006:$AQ$1006,0))&gt;=100000), " ",IF(INDEX($AB$2:$AQ$1001,MATCH(ROWS($U$2:U596),$U$2:$U$1001,0),MATCH(COLUMNS($AB$1006:AB1006),$AB$1006:$AQ$1006,0)), HYPERLINK("#",""), HYPERLINK(CONCATENATE("#metadata!", ADDRESS(INDEX($W$2:$W$1001,MATCH(ROWS($U$2:U596),$U$2:$U$1001,0),0), INDEX($AB$1004:$AQ$1004,1,MATCH(COLUMNS($AB$1006:AB1006),$AB$1006:$AQ$1006,0)))),"Fix")))</f>
        <v>0</v>
      </c>
      <c r="C596" s="4">
        <f>IF(OR(INDEX($V$2:$V$1001,MATCH(ROWS($U$2:U596),$U$2:$U$1001,0),1)&gt;=100000,INDEX($AB$1005:$AQ$1005,1,MATCH(COLUMNS($AB$1006:AC1006),$AB$1006:$AQ$1006,0))&gt;=100000), " ",IF(INDEX($AB$2:$AQ$1001,MATCH(ROWS($U$2:U596),$U$2:$U$1001,0),MATCH(COLUMNS($AB$1006:AC1006),$AB$1006:$AQ$1006,0)), HYPERLINK("#",""), HYPERLINK(CONCATENATE("#metadata!", ADDRESS(INDEX($W$2:$W$1001,MATCH(ROWS($U$2:U596),$U$2:$U$1001,0),0), INDEX($AB$1004:$AQ$1004,1,MATCH(COLUMNS($AB$1006:AC1006),$AB$1006:$AQ$1006,0)))),"Fix")))</f>
        <v>0</v>
      </c>
      <c r="D596" s="4">
        <f>IF(OR(INDEX($V$2:$V$1001,MATCH(ROWS($U$2:U596),$U$2:$U$1001,0),1)&gt;=100000,INDEX($AB$1005:$AQ$1005,1,MATCH(COLUMNS($AB$1006:AD1006),$AB$1006:$AQ$1006,0))&gt;=100000), " ",IF(INDEX($AB$2:$AQ$1001,MATCH(ROWS($U$2:U596),$U$2:$U$1001,0),MATCH(COLUMNS($AB$1006:AD1006),$AB$1006:$AQ$1006,0)), HYPERLINK("#",""), HYPERLINK(CONCATENATE("#metadata!", ADDRESS(INDEX($W$2:$W$1001,MATCH(ROWS($U$2:U596),$U$2:$U$1001,0),0), INDEX($AB$1004:$AQ$1004,1,MATCH(COLUMNS($AB$1006:AD1006),$AB$1006:$AQ$1006,0)))),"Fix")))</f>
        <v>0</v>
      </c>
      <c r="E596" s="4">
        <f>IF(OR(INDEX($V$2:$V$1001,MATCH(ROWS($U$2:U596),$U$2:$U$1001,0),1)&gt;=100000,INDEX($AB$1005:$AQ$1005,1,MATCH(COLUMNS($AB$1006:AE1006),$AB$1006:$AQ$1006,0))&gt;=100000), " ",IF(INDEX($AB$2:$AQ$1001,MATCH(ROWS($U$2:U596),$U$2:$U$1001,0),MATCH(COLUMNS($AB$1006:AE1006),$AB$1006:$AQ$1006,0)), HYPERLINK("#",""), HYPERLINK(CONCATENATE("#metadata!", ADDRESS(INDEX($W$2:$W$1001,MATCH(ROWS($U$2:U596),$U$2:$U$1001,0),0), INDEX($AB$1004:$AQ$1004,1,MATCH(COLUMNS($AB$1006:AE1006),$AB$1006:$AQ$1006,0)))),"Fix")))</f>
        <v>0</v>
      </c>
      <c r="F596" s="4">
        <f>IF(OR(INDEX($V$2:$V$1001,MATCH(ROWS($U$2:U596),$U$2:$U$1001,0),1)&gt;=100000,INDEX($AB$1005:$AQ$1005,1,MATCH(COLUMNS($AB$1006:AF1006),$AB$1006:$AQ$1006,0))&gt;=100000), " ",IF(INDEX($AB$2:$AQ$1001,MATCH(ROWS($U$2:U596),$U$2:$U$1001,0),MATCH(COLUMNS($AB$1006:AF1006),$AB$1006:$AQ$1006,0)), HYPERLINK("#",""), HYPERLINK(CONCATENATE("#metadata!", ADDRESS(INDEX($W$2:$W$1001,MATCH(ROWS($U$2:U596),$U$2:$U$1001,0),0), INDEX($AB$1004:$AQ$1004,1,MATCH(COLUMNS($AB$1006:AF1006),$AB$1006:$AQ$1006,0)))),"Fix")))</f>
        <v>0</v>
      </c>
      <c r="G596" s="4">
        <f>IF(OR(INDEX($V$2:$V$1001,MATCH(ROWS($U$2:U596),$U$2:$U$1001,0),1)&gt;=100000,INDEX($AB$1005:$AQ$1005,1,MATCH(COLUMNS($AB$1006:AG1006),$AB$1006:$AQ$1006,0))&gt;=100000), " ",IF(INDEX($AB$2:$AQ$1001,MATCH(ROWS($U$2:U596),$U$2:$U$1001,0),MATCH(COLUMNS($AB$1006:AG1006),$AB$1006:$AQ$1006,0)), HYPERLINK("#",""), HYPERLINK(CONCATENATE("#metadata!", ADDRESS(INDEX($W$2:$W$1001,MATCH(ROWS($U$2:U596),$U$2:$U$1001,0),0), INDEX($AB$1004:$AQ$1004,1,MATCH(COLUMNS($AB$1006:AG1006),$AB$1006:$AQ$1006,0)))),"Fix")))</f>
        <v>0</v>
      </c>
      <c r="H596" s="4">
        <f>IF(OR(INDEX($V$2:$V$1001,MATCH(ROWS($U$2:U596),$U$2:$U$1001,0),1)&gt;=100000,INDEX($AB$1005:$AQ$1005,1,MATCH(COLUMNS($AB$1006:AH1006),$AB$1006:$AQ$1006,0))&gt;=100000), " ",IF(INDEX($AB$2:$AQ$1001,MATCH(ROWS($U$2:U596),$U$2:$U$1001,0),MATCH(COLUMNS($AB$1006:AH1006),$AB$1006:$AQ$1006,0)), HYPERLINK("#",""), HYPERLINK(CONCATENATE("#metadata!", ADDRESS(INDEX($W$2:$W$1001,MATCH(ROWS($U$2:U596),$U$2:$U$1001,0),0), INDEX($AB$1004:$AQ$1004,1,MATCH(COLUMNS($AB$1006:AH1006),$AB$1006:$AQ$1006,0)))),"Fix")))</f>
        <v>0</v>
      </c>
      <c r="I596" s="4">
        <f>IF(OR(INDEX($V$2:$V$1001,MATCH(ROWS($U$2:U596),$U$2:$U$1001,0),1)&gt;=100000,INDEX($AB$1005:$AQ$1005,1,MATCH(COLUMNS($AB$1006:AI1006),$AB$1006:$AQ$1006,0))&gt;=100000), " ",IF(INDEX($AB$2:$AQ$1001,MATCH(ROWS($U$2:U596),$U$2:$U$1001,0),MATCH(COLUMNS($AB$1006:AI1006),$AB$1006:$AQ$1006,0)), HYPERLINK("#",""), HYPERLINK(CONCATENATE("#metadata!", ADDRESS(INDEX($W$2:$W$1001,MATCH(ROWS($U$2:U596),$U$2:$U$1001,0),0), INDEX($AB$1004:$AQ$1004,1,MATCH(COLUMNS($AB$1006:AI1006),$AB$1006:$AQ$1006,0)))),"Fix")))</f>
        <v>0</v>
      </c>
      <c r="J596" s="4">
        <f>IF(OR(INDEX($V$2:$V$1001,MATCH(ROWS($U$2:U596),$U$2:$U$1001,0),1)&gt;=100000,INDEX($AB$1005:$AQ$1005,1,MATCH(COLUMNS($AB$1006:AJ1006),$AB$1006:$AQ$1006,0))&gt;=100000), " ",IF(INDEX($AB$2:$AQ$1001,MATCH(ROWS($U$2:U596),$U$2:$U$1001,0),MATCH(COLUMNS($AB$1006:AJ1006),$AB$1006:$AQ$1006,0)), HYPERLINK("#",""), HYPERLINK(CONCATENATE("#metadata!", ADDRESS(INDEX($W$2:$W$1001,MATCH(ROWS($U$2:U596),$U$2:$U$1001,0),0), INDEX($AB$1004:$AQ$1004,1,MATCH(COLUMNS($AB$1006:AJ1006),$AB$1006:$AQ$1006,0)))),"Fix")))</f>
        <v>0</v>
      </c>
      <c r="K596" s="4">
        <f>IF(OR(INDEX($V$2:$V$1001,MATCH(ROWS($U$2:U596),$U$2:$U$1001,0),1)&gt;=100000,INDEX($AB$1005:$AQ$1005,1,MATCH(COLUMNS($AB$1006:AK1006),$AB$1006:$AQ$1006,0))&gt;=100000), " ",IF(INDEX($AB$2:$AQ$1001,MATCH(ROWS($U$2:U596),$U$2:$U$1001,0),MATCH(COLUMNS($AB$1006:AK1006),$AB$1006:$AQ$1006,0)), HYPERLINK("#",""), HYPERLINK(CONCATENATE("#metadata!", ADDRESS(INDEX($W$2:$W$1001,MATCH(ROWS($U$2:U596),$U$2:$U$1001,0),0), INDEX($AB$1004:$AQ$1004,1,MATCH(COLUMNS($AB$1006:AK1006),$AB$1006:$AQ$1006,0)))),"Fix")))</f>
        <v>0</v>
      </c>
      <c r="L596" s="4">
        <f>IF(OR(INDEX($V$2:$V$1001,MATCH(ROWS($U$2:U596),$U$2:$U$1001,0),1)&gt;=100000,INDEX($AB$1005:$AQ$1005,1,MATCH(COLUMNS($AB$1006:AL1006),$AB$1006:$AQ$1006,0))&gt;=100000), " ",IF(INDEX($AB$2:$AQ$1001,MATCH(ROWS($U$2:U596),$U$2:$U$1001,0),MATCH(COLUMNS($AB$1006:AL1006),$AB$1006:$AQ$1006,0)), HYPERLINK("#",""), HYPERLINK(CONCATENATE("#metadata!", ADDRESS(INDEX($W$2:$W$1001,MATCH(ROWS($U$2:U596),$U$2:$U$1001,0),0), INDEX($AB$1004:$AQ$1004,1,MATCH(COLUMNS($AB$1006:AL1006),$AB$1006:$AQ$1006,0)))),"Fix")))</f>
        <v>0</v>
      </c>
      <c r="M596" s="4">
        <f>IF(OR(INDEX($V$2:$V$1001,MATCH(ROWS($U$2:U596),$U$2:$U$1001,0),1)&gt;=100000,INDEX($AB$1005:$AQ$1005,1,MATCH(COLUMNS($AB$1006:AM1006),$AB$1006:$AQ$1006,0))&gt;=100000), " ",IF(INDEX($AB$2:$AQ$1001,MATCH(ROWS($U$2:U596),$U$2:$U$1001,0),MATCH(COLUMNS($AB$1006:AM1006),$AB$1006:$AQ$1006,0)), HYPERLINK("#",""), HYPERLINK(CONCATENATE("#metadata!", ADDRESS(INDEX($W$2:$W$1001,MATCH(ROWS($U$2:U596),$U$2:$U$1001,0),0), INDEX($AB$1004:$AQ$1004,1,MATCH(COLUMNS($AB$1006:AM1006),$AB$1006:$AQ$1006,0)))),"Fix")))</f>
        <v>0</v>
      </c>
      <c r="N596" s="4">
        <f>IF(OR(INDEX($V$2:$V$1001,MATCH(ROWS($U$2:U596),$U$2:$U$1001,0),1)&gt;=100000,INDEX($AB$1005:$AQ$1005,1,MATCH(COLUMNS($AB$1006:AN1006),$AB$1006:$AQ$1006,0))&gt;=100000), " ",IF(INDEX($AB$2:$AQ$1001,MATCH(ROWS($U$2:U596),$U$2:$U$1001,0),MATCH(COLUMNS($AB$1006:AN1006),$AB$1006:$AQ$1006,0)), HYPERLINK("#",""), HYPERLINK(CONCATENATE("#metadata!", ADDRESS(INDEX($W$2:$W$1001,MATCH(ROWS($U$2:U596),$U$2:$U$1001,0),0), INDEX($AB$1004:$AQ$1004,1,MATCH(COLUMNS($AB$1006:AN1006),$AB$1006:$AQ$1006,0)))),"Fix")))</f>
        <v>0</v>
      </c>
      <c r="O596" s="4">
        <f>IF(OR(INDEX($V$2:$V$1001,MATCH(ROWS($U$2:U596),$U$2:$U$1001,0),1)&gt;=100000,INDEX($AB$1005:$AQ$1005,1,MATCH(COLUMNS($AB$1006:AO1006),$AB$1006:$AQ$1006,0))&gt;=100000), " ",IF(INDEX($AB$2:$AQ$1001,MATCH(ROWS($U$2:U596),$U$2:$U$1001,0),MATCH(COLUMNS($AB$1006:AO1006),$AB$1006:$AQ$1006,0)), HYPERLINK("#",""), HYPERLINK(CONCATENATE("#metadata!", ADDRESS(INDEX($W$2:$W$1001,MATCH(ROWS($U$2:U596),$U$2:$U$1001,0),0), INDEX($AB$1004:$AQ$1004,1,MATCH(COLUMNS($AB$1006:AO1006),$AB$1006:$AQ$1006,0)))),"Fix")))</f>
        <v>0</v>
      </c>
      <c r="P596" s="4">
        <f>IF(OR(INDEX($V$2:$V$1001,MATCH(ROWS($U$2:U596),$U$2:$U$1001,0),1)&gt;=100000,INDEX($AB$1005:$AQ$1005,1,MATCH(COLUMNS($AB$1006:AP1006),$AB$1006:$AQ$1006,0))&gt;=100000), " ",IF(INDEX($AB$2:$AQ$1001,MATCH(ROWS($U$2:U596),$U$2:$U$1001,0),MATCH(COLUMNS($AB$1006:AP1006),$AB$1006:$AQ$1006,0)), HYPERLINK("#",""), HYPERLINK(CONCATENATE("#metadata!", ADDRESS(INDEX($W$2:$W$1001,MATCH(ROWS($U$2:U596),$U$2:$U$1001,0),0), INDEX($AB$1004:$AQ$1004,1,MATCH(COLUMNS($AB$1006:AP1006),$AB$1006:$AQ$1006,0)))),"Fix")))</f>
        <v>0</v>
      </c>
      <c r="Q596" s="4">
        <f>IF(OR(INDEX($V$2:$V$1001,MATCH(ROWS($U$2:U596),$U$2:$U$1001,0),1)&gt;=100000,INDEX($AB$1005:$AQ$1005,1,MATCH(COLUMNS($AB$1006:AQ1006),$AB$1006:$AQ$1006,0))&gt;=100000), " ",IF(INDEX($AB$2:$AQ$1001,MATCH(ROWS($U$2:U596),$U$2:$U$1001,0),MATCH(COLUMNS($AB$1006:AQ1006),$AB$1006:$AQ$1006,0)), HYPERLINK("#",""), HYPERLINK(CONCATENATE("#metadata!", ADDRESS(INDEX($W$2:$W$1001,MATCH(ROWS($U$2:U596),$U$2:$U$1001,0),0), INDEX($AB$1004:$AQ$1004,1,MATCH(COLUMNS($AB$1006:AQ1006),$AB$1006:$AQ$1006,0)))),"Fix")))</f>
        <v>0</v>
      </c>
      <c r="U596">
        <v>0</v>
      </c>
      <c r="V596">
        <v>0</v>
      </c>
      <c r="W596">
        <v>0</v>
      </c>
      <c r="X596">
        <f>IF(Y596,TRUE,AND(AB596:AQ596))</f>
        <v>0</v>
      </c>
      <c r="Y596">
        <f>COUNTBLANK(metadata!B596:Q596)=COLUMNS(metadata!B596:Q596)</f>
        <v>0</v>
      </c>
      <c r="Z596">
        <v>0</v>
      </c>
      <c r="AB596">
        <f>AND(IF(metadata!B596="",FALSE,TRUE),COUNTIF(metadata!B:B, metadata!B596) = 1,NOT(ISERROR(SUMPRODUCT(SEARCH(MID(metadata!B596,ROW(INDIRECT("1:"&amp;LEN(metadata!B596))), 1),"0123456789abcdefghijklmnopqrstuvwxyzABCDEFGHIJKLMNOPQRSTUVWXYZ.")))))</f>
        <v>0</v>
      </c>
      <c r="AC596">
        <f>OR(AND(IF(metadata!C596="",FALSE,TRUE),OR(exact(metadata!C596,"missing: not collected"),exact(metadata!C596,"missing: not provided"),exact(metadata!C596,"missing: restricted access"))),AND(IF(metadata!C596="",FALSE,TRUE),AND(AND(IFERROR(INT(LEFT(metadata!C596,4))&gt;1900,FALSE),IFERROR(INT(LEFT(metadata!C596,4))&lt;=YEAR(NOW()),FALSE)), OR(MID(metadata!C596,5,1)="", AND(AND(MID(metadata!C596,5,1)="-",IFERROR(INT(MID(metadata!C596,6,1))&gt;=0,FALSE),IFERROR(INT(MID(metadata!C596,6,1))&lt;=1,FALSE),NOT(MID(metadata!C596,7,1)=""),IFERROR(INT(MID(metadata!C596,6,2))&gt;=1,FALSE),IFERROR(INT(MID(metadata!C596,6,2))&lt;=12,FALSE)), OR(MID(metadata!C596,8,1)="", AND(AND(MID(metadata!C596,8,1)="-",IFERROR(INT(MID(metadata!C596,9,1))&gt;=0,FALSE),IFERROR(INT(MID(metadata!C596,9,1))&lt;=3,FALSE),NOT(MID(metadata!C596,10,1)=""),IFERROR(INT(MID(metadata!C596,9,2))&gt;=1,FALSE),IFERROR(INT(MID(metadata!C596,9,2))&lt;=31,FALSE)), OR(MID(metadata!C596,11,1)="", AND(AND(MID(metadata!C596,11,1)=" ",IFERROR(INT(MID(metadata!C596,12,1))&gt;=0,FALSE),IFERROR(INT(MID(metadata!C596,12,1))&lt;=2,FALSE),NOT(MID(metadata!C596,13,1)=""),IFERROR(INT(MID(metadata!C596,12,2))&gt;=0,FALSE),IFERROR(INT(MID(metadata!C596,12,2))&lt;=23,FALSE)), OR(MID(metadata!C596,14,1)="", AND(AND(MID(metadata!C596,14,1)=":",IFERROR(INT(MID(metadata!C596,15,1))&gt;=0,FALSE),IFERROR(INT(MID(metadata!C596,15,1))&lt;=5,FALSE),NOT(MID(metadata!C596,16,1)=""),IFERROR(INT(MID(metadata!C596,15,2))&gt;=0,FALSE),IFERROR(INT(MID(metadata!C596,15,2))&lt;=59,FALSE)), OR(MID(metadata!C596,17,1)="", AND(AND(MID(metadata!C596,17,1)=":",IFERROR(INT(MID(metadata!C596,18,1))&gt;=0,FALSE),IFERROR(INT(MID(metadata!C596,18,1))&lt;=5,FALSE),NOT(MID(metadata!C596,19,1)=""),IFERROR(INT(MID(metadata!C596,18,2))&gt;=0,FALSE),IFERROR(INT(MID(metadata!C596,18,2))&lt;=59,FALSE)), LEN(metadata!C596)&lt;=19)))))))))))))</f>
        <v>0</v>
      </c>
      <c r="AD596">
        <f>IF(metadata!D596="",FALSE,TRUE)</f>
        <v>0</v>
      </c>
      <c r="AE596">
        <f>OR(AND(IF(metadata!E596="",FALSE,TRUE),OR(exact(metadata!E596,"missing: not collected"),exact(metadata!E596,"missing: not provided"))),AND(IF(metadata!E596="",FALSE,TRUE),OR(exact(metadata!E596,"TRUE"),exact(metadata!E596,"FALSE"))))</f>
        <v>0</v>
      </c>
      <c r="AF596">
        <f>IF(metadata!F596="",FALSE,TRUE)</f>
        <v>0</v>
      </c>
      <c r="AG596">
        <f>IF(metadata!G596="",FALSE,TRUE)</f>
        <v>0</v>
      </c>
      <c r="AH596">
        <f>IF(metadata!H596="",FALSE,TRUE)</f>
        <v>0</v>
      </c>
      <c r="AI596">
        <f>OR(AND(IF(metadata!I596="",FALSE,TRUE),OR(exact(metadata!I596,"missing: not collected"),exact(metadata!I596,"missing: not provided"),exact(metadata!I596,"missing: restricted access"))),AND(IF(metadata!I596="",FALSE,TRUE),OR(exact(metadata!I596,"air"),exact(metadata!I596,"built environment"),exact(metadata!I596,"host-associated"),exact(metadata!I596,"human-associated"),exact(metadata!I596,"human-skin"),exact(metadata!I596,"human-oral"),exact(metadata!I596,"human-gut"),exact(metadata!I596,"human-vaginal"),exact(metadata!I596,"microbial mat/biofilm"),exact(metadata!I596,"misc environment"),exact(metadata!I596,"plant-associated"),exact(metadata!I596,"sediment"),exact(metadata!I596,"soil"),exact(metadata!I596,"wastewater/sludge"),exact(metadata!I596,"water"))))</f>
        <v>0</v>
      </c>
      <c r="AJ596">
        <f>IF(metadata!J596="",FALSE,TRUE)</f>
        <v>0</v>
      </c>
      <c r="AK596">
        <f>OR(AND(IF(metadata!K596="",FALSE,TRUE),OR(exact(metadata!K596,"missing: not collected"),exact(metadata!K596,"missing: not provided"),exact(metadata!K596,"missing: restricted access"))),AND(IF(metadata!K596="",FALSE,ISNUMBER(VALUE(metadata!K596))),metadata!K596&gt;=-90.00,metadata!K596&lt;=90.00))</f>
        <v>0</v>
      </c>
      <c r="AL596">
        <f>OR(AND(IF(metadata!L596="",FALSE,TRUE),OR(exact(metadata!L596,"missing: not collected"),exact(metadata!L596,"missing: not provided"),exact(metadata!L596,"missing: restricted access"))),AND(IF(metadata!L596="",FALSE,ISNUMBER(VALUE(metadata!L596))),metadata!L596&gt;=-180.00,metadata!L596&lt;=180.00))</f>
        <v>0</v>
      </c>
      <c r="AM596">
        <f>IF(metadata!M596="",FALSE,TRUE)</f>
        <v>0</v>
      </c>
      <c r="AN596">
        <f>OR(AND(IF(metadata!N596="",FALSE,TRUE),OR(exact(metadata!N596,"missing: not collected"),exact(metadata!N596,"missing: not provided"),exact(metadata!N596,"missing: restricted access"))),AND(IF(metadata!N596="",FALSE,TRUE),OR(exact(metadata!N596,"TRUE"),exact(metadata!N596,"FALSE"))))</f>
        <v>0</v>
      </c>
      <c r="AO596">
        <f>IF(metadata!O596="",FALSE,TRUE)</f>
        <v>0</v>
      </c>
      <c r="AP596">
        <f>OR(AND(IF(metadata!P596="",FALSE,TRUE),OR(exact(metadata!P596,"missing: not collected"),exact(metadata!P596,"missing: not provided"))),AND(IF(metadata!P596="",FALSE,IF(ISERROR(INT(metadata!P596)),FALSE,INT(metadata!P596)=metadata!P596)),metadata!P596&gt;0))</f>
        <v>0</v>
      </c>
      <c r="AQ596">
        <f>IF(metadata!Q596="",FALSE,TRUE)</f>
        <v>0</v>
      </c>
    </row>
    <row r="597" spans="1:43">
      <c r="A597" s="5">
        <f>IF(B597=" "," ",HYPERLINK(CONCATENATE("#metadata!",ADDRESS(INDEX($W$2:$W$1001,MATCH(ROWS($U$2:U597),$U$2:$U$1001,0),0),1)),INDEX($Z$2:$Z$1001,MATCH(ROWS($U$2:U597),$U$2:$U$1001,0),0)))</f>
        <v>0</v>
      </c>
      <c r="B597" s="4">
        <f>IF(OR(INDEX($V$2:$V$1001,MATCH(ROWS($U$2:U597),$U$2:$U$1001,0),1)&gt;=100000,INDEX($AB$1005:$AQ$1005,1,MATCH(COLUMNS($AB$1006:AB1006),$AB$1006:$AQ$1006,0))&gt;=100000), " ",IF(INDEX($AB$2:$AQ$1001,MATCH(ROWS($U$2:U597),$U$2:$U$1001,0),MATCH(COLUMNS($AB$1006:AB1006),$AB$1006:$AQ$1006,0)), HYPERLINK("#",""), HYPERLINK(CONCATENATE("#metadata!", ADDRESS(INDEX($W$2:$W$1001,MATCH(ROWS($U$2:U597),$U$2:$U$1001,0),0), INDEX($AB$1004:$AQ$1004,1,MATCH(COLUMNS($AB$1006:AB1006),$AB$1006:$AQ$1006,0)))),"Fix")))</f>
        <v>0</v>
      </c>
      <c r="C597" s="4">
        <f>IF(OR(INDEX($V$2:$V$1001,MATCH(ROWS($U$2:U597),$U$2:$U$1001,0),1)&gt;=100000,INDEX($AB$1005:$AQ$1005,1,MATCH(COLUMNS($AB$1006:AC1006),$AB$1006:$AQ$1006,0))&gt;=100000), " ",IF(INDEX($AB$2:$AQ$1001,MATCH(ROWS($U$2:U597),$U$2:$U$1001,0),MATCH(COLUMNS($AB$1006:AC1006),$AB$1006:$AQ$1006,0)), HYPERLINK("#",""), HYPERLINK(CONCATENATE("#metadata!", ADDRESS(INDEX($W$2:$W$1001,MATCH(ROWS($U$2:U597),$U$2:$U$1001,0),0), INDEX($AB$1004:$AQ$1004,1,MATCH(COLUMNS($AB$1006:AC1006),$AB$1006:$AQ$1006,0)))),"Fix")))</f>
        <v>0</v>
      </c>
      <c r="D597" s="4">
        <f>IF(OR(INDEX($V$2:$V$1001,MATCH(ROWS($U$2:U597),$U$2:$U$1001,0),1)&gt;=100000,INDEX($AB$1005:$AQ$1005,1,MATCH(COLUMNS($AB$1006:AD1006),$AB$1006:$AQ$1006,0))&gt;=100000), " ",IF(INDEX($AB$2:$AQ$1001,MATCH(ROWS($U$2:U597),$U$2:$U$1001,0),MATCH(COLUMNS($AB$1006:AD1006),$AB$1006:$AQ$1006,0)), HYPERLINK("#",""), HYPERLINK(CONCATENATE("#metadata!", ADDRESS(INDEX($W$2:$W$1001,MATCH(ROWS($U$2:U597),$U$2:$U$1001,0),0), INDEX($AB$1004:$AQ$1004,1,MATCH(COLUMNS($AB$1006:AD1006),$AB$1006:$AQ$1006,0)))),"Fix")))</f>
        <v>0</v>
      </c>
      <c r="E597" s="4">
        <f>IF(OR(INDEX($V$2:$V$1001,MATCH(ROWS($U$2:U597),$U$2:$U$1001,0),1)&gt;=100000,INDEX($AB$1005:$AQ$1005,1,MATCH(COLUMNS($AB$1006:AE1006),$AB$1006:$AQ$1006,0))&gt;=100000), " ",IF(INDEX($AB$2:$AQ$1001,MATCH(ROWS($U$2:U597),$U$2:$U$1001,0),MATCH(COLUMNS($AB$1006:AE1006),$AB$1006:$AQ$1006,0)), HYPERLINK("#",""), HYPERLINK(CONCATENATE("#metadata!", ADDRESS(INDEX($W$2:$W$1001,MATCH(ROWS($U$2:U597),$U$2:$U$1001,0),0), INDEX($AB$1004:$AQ$1004,1,MATCH(COLUMNS($AB$1006:AE1006),$AB$1006:$AQ$1006,0)))),"Fix")))</f>
        <v>0</v>
      </c>
      <c r="F597" s="4">
        <f>IF(OR(INDEX($V$2:$V$1001,MATCH(ROWS($U$2:U597),$U$2:$U$1001,0),1)&gt;=100000,INDEX($AB$1005:$AQ$1005,1,MATCH(COLUMNS($AB$1006:AF1006),$AB$1006:$AQ$1006,0))&gt;=100000), " ",IF(INDEX($AB$2:$AQ$1001,MATCH(ROWS($U$2:U597),$U$2:$U$1001,0),MATCH(COLUMNS($AB$1006:AF1006),$AB$1006:$AQ$1006,0)), HYPERLINK("#",""), HYPERLINK(CONCATENATE("#metadata!", ADDRESS(INDEX($W$2:$W$1001,MATCH(ROWS($U$2:U597),$U$2:$U$1001,0),0), INDEX($AB$1004:$AQ$1004,1,MATCH(COLUMNS($AB$1006:AF1006),$AB$1006:$AQ$1006,0)))),"Fix")))</f>
        <v>0</v>
      </c>
      <c r="G597" s="4">
        <f>IF(OR(INDEX($V$2:$V$1001,MATCH(ROWS($U$2:U597),$U$2:$U$1001,0),1)&gt;=100000,INDEX($AB$1005:$AQ$1005,1,MATCH(COLUMNS($AB$1006:AG1006),$AB$1006:$AQ$1006,0))&gt;=100000), " ",IF(INDEX($AB$2:$AQ$1001,MATCH(ROWS($U$2:U597),$U$2:$U$1001,0),MATCH(COLUMNS($AB$1006:AG1006),$AB$1006:$AQ$1006,0)), HYPERLINK("#",""), HYPERLINK(CONCATENATE("#metadata!", ADDRESS(INDEX($W$2:$W$1001,MATCH(ROWS($U$2:U597),$U$2:$U$1001,0),0), INDEX($AB$1004:$AQ$1004,1,MATCH(COLUMNS($AB$1006:AG1006),$AB$1006:$AQ$1006,0)))),"Fix")))</f>
        <v>0</v>
      </c>
      <c r="H597" s="4">
        <f>IF(OR(INDEX($V$2:$V$1001,MATCH(ROWS($U$2:U597),$U$2:$U$1001,0),1)&gt;=100000,INDEX($AB$1005:$AQ$1005,1,MATCH(COLUMNS($AB$1006:AH1006),$AB$1006:$AQ$1006,0))&gt;=100000), " ",IF(INDEX($AB$2:$AQ$1001,MATCH(ROWS($U$2:U597),$U$2:$U$1001,0),MATCH(COLUMNS($AB$1006:AH1006),$AB$1006:$AQ$1006,0)), HYPERLINK("#",""), HYPERLINK(CONCATENATE("#metadata!", ADDRESS(INDEX($W$2:$W$1001,MATCH(ROWS($U$2:U597),$U$2:$U$1001,0),0), INDEX($AB$1004:$AQ$1004,1,MATCH(COLUMNS($AB$1006:AH1006),$AB$1006:$AQ$1006,0)))),"Fix")))</f>
        <v>0</v>
      </c>
      <c r="I597" s="4">
        <f>IF(OR(INDEX($V$2:$V$1001,MATCH(ROWS($U$2:U597),$U$2:$U$1001,0),1)&gt;=100000,INDEX($AB$1005:$AQ$1005,1,MATCH(COLUMNS($AB$1006:AI1006),$AB$1006:$AQ$1006,0))&gt;=100000), " ",IF(INDEX($AB$2:$AQ$1001,MATCH(ROWS($U$2:U597),$U$2:$U$1001,0),MATCH(COLUMNS($AB$1006:AI1006),$AB$1006:$AQ$1006,0)), HYPERLINK("#",""), HYPERLINK(CONCATENATE("#metadata!", ADDRESS(INDEX($W$2:$W$1001,MATCH(ROWS($U$2:U597),$U$2:$U$1001,0),0), INDEX($AB$1004:$AQ$1004,1,MATCH(COLUMNS($AB$1006:AI1006),$AB$1006:$AQ$1006,0)))),"Fix")))</f>
        <v>0</v>
      </c>
      <c r="J597" s="4">
        <f>IF(OR(INDEX($V$2:$V$1001,MATCH(ROWS($U$2:U597),$U$2:$U$1001,0),1)&gt;=100000,INDEX($AB$1005:$AQ$1005,1,MATCH(COLUMNS($AB$1006:AJ1006),$AB$1006:$AQ$1006,0))&gt;=100000), " ",IF(INDEX($AB$2:$AQ$1001,MATCH(ROWS($U$2:U597),$U$2:$U$1001,0),MATCH(COLUMNS($AB$1006:AJ1006),$AB$1006:$AQ$1006,0)), HYPERLINK("#",""), HYPERLINK(CONCATENATE("#metadata!", ADDRESS(INDEX($W$2:$W$1001,MATCH(ROWS($U$2:U597),$U$2:$U$1001,0),0), INDEX($AB$1004:$AQ$1004,1,MATCH(COLUMNS($AB$1006:AJ1006),$AB$1006:$AQ$1006,0)))),"Fix")))</f>
        <v>0</v>
      </c>
      <c r="K597" s="4">
        <f>IF(OR(INDEX($V$2:$V$1001,MATCH(ROWS($U$2:U597),$U$2:$U$1001,0),1)&gt;=100000,INDEX($AB$1005:$AQ$1005,1,MATCH(COLUMNS($AB$1006:AK1006),$AB$1006:$AQ$1006,0))&gt;=100000), " ",IF(INDEX($AB$2:$AQ$1001,MATCH(ROWS($U$2:U597),$U$2:$U$1001,0),MATCH(COLUMNS($AB$1006:AK1006),$AB$1006:$AQ$1006,0)), HYPERLINK("#",""), HYPERLINK(CONCATENATE("#metadata!", ADDRESS(INDEX($W$2:$W$1001,MATCH(ROWS($U$2:U597),$U$2:$U$1001,0),0), INDEX($AB$1004:$AQ$1004,1,MATCH(COLUMNS($AB$1006:AK1006),$AB$1006:$AQ$1006,0)))),"Fix")))</f>
        <v>0</v>
      </c>
      <c r="L597" s="4">
        <f>IF(OR(INDEX($V$2:$V$1001,MATCH(ROWS($U$2:U597),$U$2:$U$1001,0),1)&gt;=100000,INDEX($AB$1005:$AQ$1005,1,MATCH(COLUMNS($AB$1006:AL1006),$AB$1006:$AQ$1006,0))&gt;=100000), " ",IF(INDEX($AB$2:$AQ$1001,MATCH(ROWS($U$2:U597),$U$2:$U$1001,0),MATCH(COLUMNS($AB$1006:AL1006),$AB$1006:$AQ$1006,0)), HYPERLINK("#",""), HYPERLINK(CONCATENATE("#metadata!", ADDRESS(INDEX($W$2:$W$1001,MATCH(ROWS($U$2:U597),$U$2:$U$1001,0),0), INDEX($AB$1004:$AQ$1004,1,MATCH(COLUMNS($AB$1006:AL1006),$AB$1006:$AQ$1006,0)))),"Fix")))</f>
        <v>0</v>
      </c>
      <c r="M597" s="4">
        <f>IF(OR(INDEX($V$2:$V$1001,MATCH(ROWS($U$2:U597),$U$2:$U$1001,0),1)&gt;=100000,INDEX($AB$1005:$AQ$1005,1,MATCH(COLUMNS($AB$1006:AM1006),$AB$1006:$AQ$1006,0))&gt;=100000), " ",IF(INDEX($AB$2:$AQ$1001,MATCH(ROWS($U$2:U597),$U$2:$U$1001,0),MATCH(COLUMNS($AB$1006:AM1006),$AB$1006:$AQ$1006,0)), HYPERLINK("#",""), HYPERLINK(CONCATENATE("#metadata!", ADDRESS(INDEX($W$2:$W$1001,MATCH(ROWS($U$2:U597),$U$2:$U$1001,0),0), INDEX($AB$1004:$AQ$1004,1,MATCH(COLUMNS($AB$1006:AM1006),$AB$1006:$AQ$1006,0)))),"Fix")))</f>
        <v>0</v>
      </c>
      <c r="N597" s="4">
        <f>IF(OR(INDEX($V$2:$V$1001,MATCH(ROWS($U$2:U597),$U$2:$U$1001,0),1)&gt;=100000,INDEX($AB$1005:$AQ$1005,1,MATCH(COLUMNS($AB$1006:AN1006),$AB$1006:$AQ$1006,0))&gt;=100000), " ",IF(INDEX($AB$2:$AQ$1001,MATCH(ROWS($U$2:U597),$U$2:$U$1001,0),MATCH(COLUMNS($AB$1006:AN1006),$AB$1006:$AQ$1006,0)), HYPERLINK("#",""), HYPERLINK(CONCATENATE("#metadata!", ADDRESS(INDEX($W$2:$W$1001,MATCH(ROWS($U$2:U597),$U$2:$U$1001,0),0), INDEX($AB$1004:$AQ$1004,1,MATCH(COLUMNS($AB$1006:AN1006),$AB$1006:$AQ$1006,0)))),"Fix")))</f>
        <v>0</v>
      </c>
      <c r="O597" s="4">
        <f>IF(OR(INDEX($V$2:$V$1001,MATCH(ROWS($U$2:U597),$U$2:$U$1001,0),1)&gt;=100000,INDEX($AB$1005:$AQ$1005,1,MATCH(COLUMNS($AB$1006:AO1006),$AB$1006:$AQ$1006,0))&gt;=100000), " ",IF(INDEX($AB$2:$AQ$1001,MATCH(ROWS($U$2:U597),$U$2:$U$1001,0),MATCH(COLUMNS($AB$1006:AO1006),$AB$1006:$AQ$1006,0)), HYPERLINK("#",""), HYPERLINK(CONCATENATE("#metadata!", ADDRESS(INDEX($W$2:$W$1001,MATCH(ROWS($U$2:U597),$U$2:$U$1001,0),0), INDEX($AB$1004:$AQ$1004,1,MATCH(COLUMNS($AB$1006:AO1006),$AB$1006:$AQ$1006,0)))),"Fix")))</f>
        <v>0</v>
      </c>
      <c r="P597" s="4">
        <f>IF(OR(INDEX($V$2:$V$1001,MATCH(ROWS($U$2:U597),$U$2:$U$1001,0),1)&gt;=100000,INDEX($AB$1005:$AQ$1005,1,MATCH(COLUMNS($AB$1006:AP1006),$AB$1006:$AQ$1006,0))&gt;=100000), " ",IF(INDEX($AB$2:$AQ$1001,MATCH(ROWS($U$2:U597),$U$2:$U$1001,0),MATCH(COLUMNS($AB$1006:AP1006),$AB$1006:$AQ$1006,0)), HYPERLINK("#",""), HYPERLINK(CONCATENATE("#metadata!", ADDRESS(INDEX($W$2:$W$1001,MATCH(ROWS($U$2:U597),$U$2:$U$1001,0),0), INDEX($AB$1004:$AQ$1004,1,MATCH(COLUMNS($AB$1006:AP1006),$AB$1006:$AQ$1006,0)))),"Fix")))</f>
        <v>0</v>
      </c>
      <c r="Q597" s="4">
        <f>IF(OR(INDEX($V$2:$V$1001,MATCH(ROWS($U$2:U597),$U$2:$U$1001,0),1)&gt;=100000,INDEX($AB$1005:$AQ$1005,1,MATCH(COLUMNS($AB$1006:AQ1006),$AB$1006:$AQ$1006,0))&gt;=100000), " ",IF(INDEX($AB$2:$AQ$1001,MATCH(ROWS($U$2:U597),$U$2:$U$1001,0),MATCH(COLUMNS($AB$1006:AQ1006),$AB$1006:$AQ$1006,0)), HYPERLINK("#",""), HYPERLINK(CONCATENATE("#metadata!", ADDRESS(INDEX($W$2:$W$1001,MATCH(ROWS($U$2:U597),$U$2:$U$1001,0),0), INDEX($AB$1004:$AQ$1004,1,MATCH(COLUMNS($AB$1006:AQ1006),$AB$1006:$AQ$1006,0)))),"Fix")))</f>
        <v>0</v>
      </c>
      <c r="U597">
        <v>0</v>
      </c>
      <c r="V597">
        <v>0</v>
      </c>
      <c r="W597">
        <v>0</v>
      </c>
      <c r="X597">
        <f>IF(Y597,TRUE,AND(AB597:AQ597))</f>
        <v>0</v>
      </c>
      <c r="Y597">
        <f>COUNTBLANK(metadata!B597:Q597)=COLUMNS(metadata!B597:Q597)</f>
        <v>0</v>
      </c>
      <c r="Z597">
        <v>0</v>
      </c>
      <c r="AB597">
        <f>AND(IF(metadata!B597="",FALSE,TRUE),COUNTIF(metadata!B:B, metadata!B597) = 1,NOT(ISERROR(SUMPRODUCT(SEARCH(MID(metadata!B597,ROW(INDIRECT("1:"&amp;LEN(metadata!B597))), 1),"0123456789abcdefghijklmnopqrstuvwxyzABCDEFGHIJKLMNOPQRSTUVWXYZ.")))))</f>
        <v>0</v>
      </c>
      <c r="AC597">
        <f>OR(AND(IF(metadata!C597="",FALSE,TRUE),OR(exact(metadata!C597,"missing: not collected"),exact(metadata!C597,"missing: not provided"),exact(metadata!C597,"missing: restricted access"))),AND(IF(metadata!C597="",FALSE,TRUE),AND(AND(IFERROR(INT(LEFT(metadata!C597,4))&gt;1900,FALSE),IFERROR(INT(LEFT(metadata!C597,4))&lt;=YEAR(NOW()),FALSE)), OR(MID(metadata!C597,5,1)="", AND(AND(MID(metadata!C597,5,1)="-",IFERROR(INT(MID(metadata!C597,6,1))&gt;=0,FALSE),IFERROR(INT(MID(metadata!C597,6,1))&lt;=1,FALSE),NOT(MID(metadata!C597,7,1)=""),IFERROR(INT(MID(metadata!C597,6,2))&gt;=1,FALSE),IFERROR(INT(MID(metadata!C597,6,2))&lt;=12,FALSE)), OR(MID(metadata!C597,8,1)="", AND(AND(MID(metadata!C597,8,1)="-",IFERROR(INT(MID(metadata!C597,9,1))&gt;=0,FALSE),IFERROR(INT(MID(metadata!C597,9,1))&lt;=3,FALSE),NOT(MID(metadata!C597,10,1)=""),IFERROR(INT(MID(metadata!C597,9,2))&gt;=1,FALSE),IFERROR(INT(MID(metadata!C597,9,2))&lt;=31,FALSE)), OR(MID(metadata!C597,11,1)="", AND(AND(MID(metadata!C597,11,1)=" ",IFERROR(INT(MID(metadata!C597,12,1))&gt;=0,FALSE),IFERROR(INT(MID(metadata!C597,12,1))&lt;=2,FALSE),NOT(MID(metadata!C597,13,1)=""),IFERROR(INT(MID(metadata!C597,12,2))&gt;=0,FALSE),IFERROR(INT(MID(metadata!C597,12,2))&lt;=23,FALSE)), OR(MID(metadata!C597,14,1)="", AND(AND(MID(metadata!C597,14,1)=":",IFERROR(INT(MID(metadata!C597,15,1))&gt;=0,FALSE),IFERROR(INT(MID(metadata!C597,15,1))&lt;=5,FALSE),NOT(MID(metadata!C597,16,1)=""),IFERROR(INT(MID(metadata!C597,15,2))&gt;=0,FALSE),IFERROR(INT(MID(metadata!C597,15,2))&lt;=59,FALSE)), OR(MID(metadata!C597,17,1)="", AND(AND(MID(metadata!C597,17,1)=":",IFERROR(INT(MID(metadata!C597,18,1))&gt;=0,FALSE),IFERROR(INT(MID(metadata!C597,18,1))&lt;=5,FALSE),NOT(MID(metadata!C597,19,1)=""),IFERROR(INT(MID(metadata!C597,18,2))&gt;=0,FALSE),IFERROR(INT(MID(metadata!C597,18,2))&lt;=59,FALSE)), LEN(metadata!C597)&lt;=19)))))))))))))</f>
        <v>0</v>
      </c>
      <c r="AD597">
        <f>IF(metadata!D597="",FALSE,TRUE)</f>
        <v>0</v>
      </c>
      <c r="AE597">
        <f>OR(AND(IF(metadata!E597="",FALSE,TRUE),OR(exact(metadata!E597,"missing: not collected"),exact(metadata!E597,"missing: not provided"))),AND(IF(metadata!E597="",FALSE,TRUE),OR(exact(metadata!E597,"TRUE"),exact(metadata!E597,"FALSE"))))</f>
        <v>0</v>
      </c>
      <c r="AF597">
        <f>IF(metadata!F597="",FALSE,TRUE)</f>
        <v>0</v>
      </c>
      <c r="AG597">
        <f>IF(metadata!G597="",FALSE,TRUE)</f>
        <v>0</v>
      </c>
      <c r="AH597">
        <f>IF(metadata!H597="",FALSE,TRUE)</f>
        <v>0</v>
      </c>
      <c r="AI597">
        <f>OR(AND(IF(metadata!I597="",FALSE,TRUE),OR(exact(metadata!I597,"missing: not collected"),exact(metadata!I597,"missing: not provided"),exact(metadata!I597,"missing: restricted access"))),AND(IF(metadata!I597="",FALSE,TRUE),OR(exact(metadata!I597,"air"),exact(metadata!I597,"built environment"),exact(metadata!I597,"host-associated"),exact(metadata!I597,"human-associated"),exact(metadata!I597,"human-skin"),exact(metadata!I597,"human-oral"),exact(metadata!I597,"human-gut"),exact(metadata!I597,"human-vaginal"),exact(metadata!I597,"microbial mat/biofilm"),exact(metadata!I597,"misc environment"),exact(metadata!I597,"plant-associated"),exact(metadata!I597,"sediment"),exact(metadata!I597,"soil"),exact(metadata!I597,"wastewater/sludge"),exact(metadata!I597,"water"))))</f>
        <v>0</v>
      </c>
      <c r="AJ597">
        <f>IF(metadata!J597="",FALSE,TRUE)</f>
        <v>0</v>
      </c>
      <c r="AK597">
        <f>OR(AND(IF(metadata!K597="",FALSE,TRUE),OR(exact(metadata!K597,"missing: not collected"),exact(metadata!K597,"missing: not provided"),exact(metadata!K597,"missing: restricted access"))),AND(IF(metadata!K597="",FALSE,ISNUMBER(VALUE(metadata!K597))),metadata!K597&gt;=-90.00,metadata!K597&lt;=90.00))</f>
        <v>0</v>
      </c>
      <c r="AL597">
        <f>OR(AND(IF(metadata!L597="",FALSE,TRUE),OR(exact(metadata!L597,"missing: not collected"),exact(metadata!L597,"missing: not provided"),exact(metadata!L597,"missing: restricted access"))),AND(IF(metadata!L597="",FALSE,ISNUMBER(VALUE(metadata!L597))),metadata!L597&gt;=-180.00,metadata!L597&lt;=180.00))</f>
        <v>0</v>
      </c>
      <c r="AM597">
        <f>IF(metadata!M597="",FALSE,TRUE)</f>
        <v>0</v>
      </c>
      <c r="AN597">
        <f>OR(AND(IF(metadata!N597="",FALSE,TRUE),OR(exact(metadata!N597,"missing: not collected"),exact(metadata!N597,"missing: not provided"),exact(metadata!N597,"missing: restricted access"))),AND(IF(metadata!N597="",FALSE,TRUE),OR(exact(metadata!N597,"TRUE"),exact(metadata!N597,"FALSE"))))</f>
        <v>0</v>
      </c>
      <c r="AO597">
        <f>IF(metadata!O597="",FALSE,TRUE)</f>
        <v>0</v>
      </c>
      <c r="AP597">
        <f>OR(AND(IF(metadata!P597="",FALSE,TRUE),OR(exact(metadata!P597,"missing: not collected"),exact(metadata!P597,"missing: not provided"))),AND(IF(metadata!P597="",FALSE,IF(ISERROR(INT(metadata!P597)),FALSE,INT(metadata!P597)=metadata!P597)),metadata!P597&gt;0))</f>
        <v>0</v>
      </c>
      <c r="AQ597">
        <f>IF(metadata!Q597="",FALSE,TRUE)</f>
        <v>0</v>
      </c>
    </row>
    <row r="598" spans="1:43">
      <c r="A598" s="5">
        <f>IF(B598=" "," ",HYPERLINK(CONCATENATE("#metadata!",ADDRESS(INDEX($W$2:$W$1001,MATCH(ROWS($U$2:U598),$U$2:$U$1001,0),0),1)),INDEX($Z$2:$Z$1001,MATCH(ROWS($U$2:U598),$U$2:$U$1001,0),0)))</f>
        <v>0</v>
      </c>
      <c r="B598" s="4">
        <f>IF(OR(INDEX($V$2:$V$1001,MATCH(ROWS($U$2:U598),$U$2:$U$1001,0),1)&gt;=100000,INDEX($AB$1005:$AQ$1005,1,MATCH(COLUMNS($AB$1006:AB1006),$AB$1006:$AQ$1006,0))&gt;=100000), " ",IF(INDEX($AB$2:$AQ$1001,MATCH(ROWS($U$2:U598),$U$2:$U$1001,0),MATCH(COLUMNS($AB$1006:AB1006),$AB$1006:$AQ$1006,0)), HYPERLINK("#",""), HYPERLINK(CONCATENATE("#metadata!", ADDRESS(INDEX($W$2:$W$1001,MATCH(ROWS($U$2:U598),$U$2:$U$1001,0),0), INDEX($AB$1004:$AQ$1004,1,MATCH(COLUMNS($AB$1006:AB1006),$AB$1006:$AQ$1006,0)))),"Fix")))</f>
        <v>0</v>
      </c>
      <c r="C598" s="4">
        <f>IF(OR(INDEX($V$2:$V$1001,MATCH(ROWS($U$2:U598),$U$2:$U$1001,0),1)&gt;=100000,INDEX($AB$1005:$AQ$1005,1,MATCH(COLUMNS($AB$1006:AC1006),$AB$1006:$AQ$1006,0))&gt;=100000), " ",IF(INDEX($AB$2:$AQ$1001,MATCH(ROWS($U$2:U598),$U$2:$U$1001,0),MATCH(COLUMNS($AB$1006:AC1006),$AB$1006:$AQ$1006,0)), HYPERLINK("#",""), HYPERLINK(CONCATENATE("#metadata!", ADDRESS(INDEX($W$2:$W$1001,MATCH(ROWS($U$2:U598),$U$2:$U$1001,0),0), INDEX($AB$1004:$AQ$1004,1,MATCH(COLUMNS($AB$1006:AC1006),$AB$1006:$AQ$1006,0)))),"Fix")))</f>
        <v>0</v>
      </c>
      <c r="D598" s="4">
        <f>IF(OR(INDEX($V$2:$V$1001,MATCH(ROWS($U$2:U598),$U$2:$U$1001,0),1)&gt;=100000,INDEX($AB$1005:$AQ$1005,1,MATCH(COLUMNS($AB$1006:AD1006),$AB$1006:$AQ$1006,0))&gt;=100000), " ",IF(INDEX($AB$2:$AQ$1001,MATCH(ROWS($U$2:U598),$U$2:$U$1001,0),MATCH(COLUMNS($AB$1006:AD1006),$AB$1006:$AQ$1006,0)), HYPERLINK("#",""), HYPERLINK(CONCATENATE("#metadata!", ADDRESS(INDEX($W$2:$W$1001,MATCH(ROWS($U$2:U598),$U$2:$U$1001,0),0), INDEX($AB$1004:$AQ$1004,1,MATCH(COLUMNS($AB$1006:AD1006),$AB$1006:$AQ$1006,0)))),"Fix")))</f>
        <v>0</v>
      </c>
      <c r="E598" s="4">
        <f>IF(OR(INDEX($V$2:$V$1001,MATCH(ROWS($U$2:U598),$U$2:$U$1001,0),1)&gt;=100000,INDEX($AB$1005:$AQ$1005,1,MATCH(COLUMNS($AB$1006:AE1006),$AB$1006:$AQ$1006,0))&gt;=100000), " ",IF(INDEX($AB$2:$AQ$1001,MATCH(ROWS($U$2:U598),$U$2:$U$1001,0),MATCH(COLUMNS($AB$1006:AE1006),$AB$1006:$AQ$1006,0)), HYPERLINK("#",""), HYPERLINK(CONCATENATE("#metadata!", ADDRESS(INDEX($W$2:$W$1001,MATCH(ROWS($U$2:U598),$U$2:$U$1001,0),0), INDEX($AB$1004:$AQ$1004,1,MATCH(COLUMNS($AB$1006:AE1006),$AB$1006:$AQ$1006,0)))),"Fix")))</f>
        <v>0</v>
      </c>
      <c r="F598" s="4">
        <f>IF(OR(INDEX($V$2:$V$1001,MATCH(ROWS($U$2:U598),$U$2:$U$1001,0),1)&gt;=100000,INDEX($AB$1005:$AQ$1005,1,MATCH(COLUMNS($AB$1006:AF1006),$AB$1006:$AQ$1006,0))&gt;=100000), " ",IF(INDEX($AB$2:$AQ$1001,MATCH(ROWS($U$2:U598),$U$2:$U$1001,0),MATCH(COLUMNS($AB$1006:AF1006),$AB$1006:$AQ$1006,0)), HYPERLINK("#",""), HYPERLINK(CONCATENATE("#metadata!", ADDRESS(INDEX($W$2:$W$1001,MATCH(ROWS($U$2:U598),$U$2:$U$1001,0),0), INDEX($AB$1004:$AQ$1004,1,MATCH(COLUMNS($AB$1006:AF1006),$AB$1006:$AQ$1006,0)))),"Fix")))</f>
        <v>0</v>
      </c>
      <c r="G598" s="4">
        <f>IF(OR(INDEX($V$2:$V$1001,MATCH(ROWS($U$2:U598),$U$2:$U$1001,0),1)&gt;=100000,INDEX($AB$1005:$AQ$1005,1,MATCH(COLUMNS($AB$1006:AG1006),$AB$1006:$AQ$1006,0))&gt;=100000), " ",IF(INDEX($AB$2:$AQ$1001,MATCH(ROWS($U$2:U598),$U$2:$U$1001,0),MATCH(COLUMNS($AB$1006:AG1006),$AB$1006:$AQ$1006,0)), HYPERLINK("#",""), HYPERLINK(CONCATENATE("#metadata!", ADDRESS(INDEX($W$2:$W$1001,MATCH(ROWS($U$2:U598),$U$2:$U$1001,0),0), INDEX($AB$1004:$AQ$1004,1,MATCH(COLUMNS($AB$1006:AG1006),$AB$1006:$AQ$1006,0)))),"Fix")))</f>
        <v>0</v>
      </c>
      <c r="H598" s="4">
        <f>IF(OR(INDEX($V$2:$V$1001,MATCH(ROWS($U$2:U598),$U$2:$U$1001,0),1)&gt;=100000,INDEX($AB$1005:$AQ$1005,1,MATCH(COLUMNS($AB$1006:AH1006),$AB$1006:$AQ$1006,0))&gt;=100000), " ",IF(INDEX($AB$2:$AQ$1001,MATCH(ROWS($U$2:U598),$U$2:$U$1001,0),MATCH(COLUMNS($AB$1006:AH1006),$AB$1006:$AQ$1006,0)), HYPERLINK("#",""), HYPERLINK(CONCATENATE("#metadata!", ADDRESS(INDEX($W$2:$W$1001,MATCH(ROWS($U$2:U598),$U$2:$U$1001,0),0), INDEX($AB$1004:$AQ$1004,1,MATCH(COLUMNS($AB$1006:AH1006),$AB$1006:$AQ$1006,0)))),"Fix")))</f>
        <v>0</v>
      </c>
      <c r="I598" s="4">
        <f>IF(OR(INDEX($V$2:$V$1001,MATCH(ROWS($U$2:U598),$U$2:$U$1001,0),1)&gt;=100000,INDEX($AB$1005:$AQ$1005,1,MATCH(COLUMNS($AB$1006:AI1006),$AB$1006:$AQ$1006,0))&gt;=100000), " ",IF(INDEX($AB$2:$AQ$1001,MATCH(ROWS($U$2:U598),$U$2:$U$1001,0),MATCH(COLUMNS($AB$1006:AI1006),$AB$1006:$AQ$1006,0)), HYPERLINK("#",""), HYPERLINK(CONCATENATE("#metadata!", ADDRESS(INDEX($W$2:$W$1001,MATCH(ROWS($U$2:U598),$U$2:$U$1001,0),0), INDEX($AB$1004:$AQ$1004,1,MATCH(COLUMNS($AB$1006:AI1006),$AB$1006:$AQ$1006,0)))),"Fix")))</f>
        <v>0</v>
      </c>
      <c r="J598" s="4">
        <f>IF(OR(INDEX($V$2:$V$1001,MATCH(ROWS($U$2:U598),$U$2:$U$1001,0),1)&gt;=100000,INDEX($AB$1005:$AQ$1005,1,MATCH(COLUMNS($AB$1006:AJ1006),$AB$1006:$AQ$1006,0))&gt;=100000), " ",IF(INDEX($AB$2:$AQ$1001,MATCH(ROWS($U$2:U598),$U$2:$U$1001,0),MATCH(COLUMNS($AB$1006:AJ1006),$AB$1006:$AQ$1006,0)), HYPERLINK("#",""), HYPERLINK(CONCATENATE("#metadata!", ADDRESS(INDEX($W$2:$W$1001,MATCH(ROWS($U$2:U598),$U$2:$U$1001,0),0), INDEX($AB$1004:$AQ$1004,1,MATCH(COLUMNS($AB$1006:AJ1006),$AB$1006:$AQ$1006,0)))),"Fix")))</f>
        <v>0</v>
      </c>
      <c r="K598" s="4">
        <f>IF(OR(INDEX($V$2:$V$1001,MATCH(ROWS($U$2:U598),$U$2:$U$1001,0),1)&gt;=100000,INDEX($AB$1005:$AQ$1005,1,MATCH(COLUMNS($AB$1006:AK1006),$AB$1006:$AQ$1006,0))&gt;=100000), " ",IF(INDEX($AB$2:$AQ$1001,MATCH(ROWS($U$2:U598),$U$2:$U$1001,0),MATCH(COLUMNS($AB$1006:AK1006),$AB$1006:$AQ$1006,0)), HYPERLINK("#",""), HYPERLINK(CONCATENATE("#metadata!", ADDRESS(INDEX($W$2:$W$1001,MATCH(ROWS($U$2:U598),$U$2:$U$1001,0),0), INDEX($AB$1004:$AQ$1004,1,MATCH(COLUMNS($AB$1006:AK1006),$AB$1006:$AQ$1006,0)))),"Fix")))</f>
        <v>0</v>
      </c>
      <c r="L598" s="4">
        <f>IF(OR(INDEX($V$2:$V$1001,MATCH(ROWS($U$2:U598),$U$2:$U$1001,0),1)&gt;=100000,INDEX($AB$1005:$AQ$1005,1,MATCH(COLUMNS($AB$1006:AL1006),$AB$1006:$AQ$1006,0))&gt;=100000), " ",IF(INDEX($AB$2:$AQ$1001,MATCH(ROWS($U$2:U598),$U$2:$U$1001,0),MATCH(COLUMNS($AB$1006:AL1006),$AB$1006:$AQ$1006,0)), HYPERLINK("#",""), HYPERLINK(CONCATENATE("#metadata!", ADDRESS(INDEX($W$2:$W$1001,MATCH(ROWS($U$2:U598),$U$2:$U$1001,0),0), INDEX($AB$1004:$AQ$1004,1,MATCH(COLUMNS($AB$1006:AL1006),$AB$1006:$AQ$1006,0)))),"Fix")))</f>
        <v>0</v>
      </c>
      <c r="M598" s="4">
        <f>IF(OR(INDEX($V$2:$V$1001,MATCH(ROWS($U$2:U598),$U$2:$U$1001,0),1)&gt;=100000,INDEX($AB$1005:$AQ$1005,1,MATCH(COLUMNS($AB$1006:AM1006),$AB$1006:$AQ$1006,0))&gt;=100000), " ",IF(INDEX($AB$2:$AQ$1001,MATCH(ROWS($U$2:U598),$U$2:$U$1001,0),MATCH(COLUMNS($AB$1006:AM1006),$AB$1006:$AQ$1006,0)), HYPERLINK("#",""), HYPERLINK(CONCATENATE("#metadata!", ADDRESS(INDEX($W$2:$W$1001,MATCH(ROWS($U$2:U598),$U$2:$U$1001,0),0), INDEX($AB$1004:$AQ$1004,1,MATCH(COLUMNS($AB$1006:AM1006),$AB$1006:$AQ$1006,0)))),"Fix")))</f>
        <v>0</v>
      </c>
      <c r="N598" s="4">
        <f>IF(OR(INDEX($V$2:$V$1001,MATCH(ROWS($U$2:U598),$U$2:$U$1001,0),1)&gt;=100000,INDEX($AB$1005:$AQ$1005,1,MATCH(COLUMNS($AB$1006:AN1006),$AB$1006:$AQ$1006,0))&gt;=100000), " ",IF(INDEX($AB$2:$AQ$1001,MATCH(ROWS($U$2:U598),$U$2:$U$1001,0),MATCH(COLUMNS($AB$1006:AN1006),$AB$1006:$AQ$1006,0)), HYPERLINK("#",""), HYPERLINK(CONCATENATE("#metadata!", ADDRESS(INDEX($W$2:$W$1001,MATCH(ROWS($U$2:U598),$U$2:$U$1001,0),0), INDEX($AB$1004:$AQ$1004,1,MATCH(COLUMNS($AB$1006:AN1006),$AB$1006:$AQ$1006,0)))),"Fix")))</f>
        <v>0</v>
      </c>
      <c r="O598" s="4">
        <f>IF(OR(INDEX($V$2:$V$1001,MATCH(ROWS($U$2:U598),$U$2:$U$1001,0),1)&gt;=100000,INDEX($AB$1005:$AQ$1005,1,MATCH(COLUMNS($AB$1006:AO1006),$AB$1006:$AQ$1006,0))&gt;=100000), " ",IF(INDEX($AB$2:$AQ$1001,MATCH(ROWS($U$2:U598),$U$2:$U$1001,0),MATCH(COLUMNS($AB$1006:AO1006),$AB$1006:$AQ$1006,0)), HYPERLINK("#",""), HYPERLINK(CONCATENATE("#metadata!", ADDRESS(INDEX($W$2:$W$1001,MATCH(ROWS($U$2:U598),$U$2:$U$1001,0),0), INDEX($AB$1004:$AQ$1004,1,MATCH(COLUMNS($AB$1006:AO1006),$AB$1006:$AQ$1006,0)))),"Fix")))</f>
        <v>0</v>
      </c>
      <c r="P598" s="4">
        <f>IF(OR(INDEX($V$2:$V$1001,MATCH(ROWS($U$2:U598),$U$2:$U$1001,0),1)&gt;=100000,INDEX($AB$1005:$AQ$1005,1,MATCH(COLUMNS($AB$1006:AP1006),$AB$1006:$AQ$1006,0))&gt;=100000), " ",IF(INDEX($AB$2:$AQ$1001,MATCH(ROWS($U$2:U598),$U$2:$U$1001,0),MATCH(COLUMNS($AB$1006:AP1006),$AB$1006:$AQ$1006,0)), HYPERLINK("#",""), HYPERLINK(CONCATENATE("#metadata!", ADDRESS(INDEX($W$2:$W$1001,MATCH(ROWS($U$2:U598),$U$2:$U$1001,0),0), INDEX($AB$1004:$AQ$1004,1,MATCH(COLUMNS($AB$1006:AP1006),$AB$1006:$AQ$1006,0)))),"Fix")))</f>
        <v>0</v>
      </c>
      <c r="Q598" s="4">
        <f>IF(OR(INDEX($V$2:$V$1001,MATCH(ROWS($U$2:U598),$U$2:$U$1001,0),1)&gt;=100000,INDEX($AB$1005:$AQ$1005,1,MATCH(COLUMNS($AB$1006:AQ1006),$AB$1006:$AQ$1006,0))&gt;=100000), " ",IF(INDEX($AB$2:$AQ$1001,MATCH(ROWS($U$2:U598),$U$2:$U$1001,0),MATCH(COLUMNS($AB$1006:AQ1006),$AB$1006:$AQ$1006,0)), HYPERLINK("#",""), HYPERLINK(CONCATENATE("#metadata!", ADDRESS(INDEX($W$2:$W$1001,MATCH(ROWS($U$2:U598),$U$2:$U$1001,0),0), INDEX($AB$1004:$AQ$1004,1,MATCH(COLUMNS($AB$1006:AQ1006),$AB$1006:$AQ$1006,0)))),"Fix")))</f>
        <v>0</v>
      </c>
      <c r="U598">
        <v>0</v>
      </c>
      <c r="V598">
        <v>0</v>
      </c>
      <c r="W598">
        <v>0</v>
      </c>
      <c r="X598">
        <f>IF(Y598,TRUE,AND(AB598:AQ598))</f>
        <v>0</v>
      </c>
      <c r="Y598">
        <f>COUNTBLANK(metadata!B598:Q598)=COLUMNS(metadata!B598:Q598)</f>
        <v>0</v>
      </c>
      <c r="Z598">
        <v>0</v>
      </c>
      <c r="AB598">
        <f>AND(IF(metadata!B598="",FALSE,TRUE),COUNTIF(metadata!B:B, metadata!B598) = 1,NOT(ISERROR(SUMPRODUCT(SEARCH(MID(metadata!B598,ROW(INDIRECT("1:"&amp;LEN(metadata!B598))), 1),"0123456789abcdefghijklmnopqrstuvwxyzABCDEFGHIJKLMNOPQRSTUVWXYZ.")))))</f>
        <v>0</v>
      </c>
      <c r="AC598">
        <f>OR(AND(IF(metadata!C598="",FALSE,TRUE),OR(exact(metadata!C598,"missing: not collected"),exact(metadata!C598,"missing: not provided"),exact(metadata!C598,"missing: restricted access"))),AND(IF(metadata!C598="",FALSE,TRUE),AND(AND(IFERROR(INT(LEFT(metadata!C598,4))&gt;1900,FALSE),IFERROR(INT(LEFT(metadata!C598,4))&lt;=YEAR(NOW()),FALSE)), OR(MID(metadata!C598,5,1)="", AND(AND(MID(metadata!C598,5,1)="-",IFERROR(INT(MID(metadata!C598,6,1))&gt;=0,FALSE),IFERROR(INT(MID(metadata!C598,6,1))&lt;=1,FALSE),NOT(MID(metadata!C598,7,1)=""),IFERROR(INT(MID(metadata!C598,6,2))&gt;=1,FALSE),IFERROR(INT(MID(metadata!C598,6,2))&lt;=12,FALSE)), OR(MID(metadata!C598,8,1)="", AND(AND(MID(metadata!C598,8,1)="-",IFERROR(INT(MID(metadata!C598,9,1))&gt;=0,FALSE),IFERROR(INT(MID(metadata!C598,9,1))&lt;=3,FALSE),NOT(MID(metadata!C598,10,1)=""),IFERROR(INT(MID(metadata!C598,9,2))&gt;=1,FALSE),IFERROR(INT(MID(metadata!C598,9,2))&lt;=31,FALSE)), OR(MID(metadata!C598,11,1)="", AND(AND(MID(metadata!C598,11,1)=" ",IFERROR(INT(MID(metadata!C598,12,1))&gt;=0,FALSE),IFERROR(INT(MID(metadata!C598,12,1))&lt;=2,FALSE),NOT(MID(metadata!C598,13,1)=""),IFERROR(INT(MID(metadata!C598,12,2))&gt;=0,FALSE),IFERROR(INT(MID(metadata!C598,12,2))&lt;=23,FALSE)), OR(MID(metadata!C598,14,1)="", AND(AND(MID(metadata!C598,14,1)=":",IFERROR(INT(MID(metadata!C598,15,1))&gt;=0,FALSE),IFERROR(INT(MID(metadata!C598,15,1))&lt;=5,FALSE),NOT(MID(metadata!C598,16,1)=""),IFERROR(INT(MID(metadata!C598,15,2))&gt;=0,FALSE),IFERROR(INT(MID(metadata!C598,15,2))&lt;=59,FALSE)), OR(MID(metadata!C598,17,1)="", AND(AND(MID(metadata!C598,17,1)=":",IFERROR(INT(MID(metadata!C598,18,1))&gt;=0,FALSE),IFERROR(INT(MID(metadata!C598,18,1))&lt;=5,FALSE),NOT(MID(metadata!C598,19,1)=""),IFERROR(INT(MID(metadata!C598,18,2))&gt;=0,FALSE),IFERROR(INT(MID(metadata!C598,18,2))&lt;=59,FALSE)), LEN(metadata!C598)&lt;=19)))))))))))))</f>
        <v>0</v>
      </c>
      <c r="AD598">
        <f>IF(metadata!D598="",FALSE,TRUE)</f>
        <v>0</v>
      </c>
      <c r="AE598">
        <f>OR(AND(IF(metadata!E598="",FALSE,TRUE),OR(exact(metadata!E598,"missing: not collected"),exact(metadata!E598,"missing: not provided"))),AND(IF(metadata!E598="",FALSE,TRUE),OR(exact(metadata!E598,"TRUE"),exact(metadata!E598,"FALSE"))))</f>
        <v>0</v>
      </c>
      <c r="AF598">
        <f>IF(metadata!F598="",FALSE,TRUE)</f>
        <v>0</v>
      </c>
      <c r="AG598">
        <f>IF(metadata!G598="",FALSE,TRUE)</f>
        <v>0</v>
      </c>
      <c r="AH598">
        <f>IF(metadata!H598="",FALSE,TRUE)</f>
        <v>0</v>
      </c>
      <c r="AI598">
        <f>OR(AND(IF(metadata!I598="",FALSE,TRUE),OR(exact(metadata!I598,"missing: not collected"),exact(metadata!I598,"missing: not provided"),exact(metadata!I598,"missing: restricted access"))),AND(IF(metadata!I598="",FALSE,TRUE),OR(exact(metadata!I598,"air"),exact(metadata!I598,"built environment"),exact(metadata!I598,"host-associated"),exact(metadata!I598,"human-associated"),exact(metadata!I598,"human-skin"),exact(metadata!I598,"human-oral"),exact(metadata!I598,"human-gut"),exact(metadata!I598,"human-vaginal"),exact(metadata!I598,"microbial mat/biofilm"),exact(metadata!I598,"misc environment"),exact(metadata!I598,"plant-associated"),exact(metadata!I598,"sediment"),exact(metadata!I598,"soil"),exact(metadata!I598,"wastewater/sludge"),exact(metadata!I598,"water"))))</f>
        <v>0</v>
      </c>
      <c r="AJ598">
        <f>IF(metadata!J598="",FALSE,TRUE)</f>
        <v>0</v>
      </c>
      <c r="AK598">
        <f>OR(AND(IF(metadata!K598="",FALSE,TRUE),OR(exact(metadata!K598,"missing: not collected"),exact(metadata!K598,"missing: not provided"),exact(metadata!K598,"missing: restricted access"))),AND(IF(metadata!K598="",FALSE,ISNUMBER(VALUE(metadata!K598))),metadata!K598&gt;=-90.00,metadata!K598&lt;=90.00))</f>
        <v>0</v>
      </c>
      <c r="AL598">
        <f>OR(AND(IF(metadata!L598="",FALSE,TRUE),OR(exact(metadata!L598,"missing: not collected"),exact(metadata!L598,"missing: not provided"),exact(metadata!L598,"missing: restricted access"))),AND(IF(metadata!L598="",FALSE,ISNUMBER(VALUE(metadata!L598))),metadata!L598&gt;=-180.00,metadata!L598&lt;=180.00))</f>
        <v>0</v>
      </c>
      <c r="AM598">
        <f>IF(metadata!M598="",FALSE,TRUE)</f>
        <v>0</v>
      </c>
      <c r="AN598">
        <f>OR(AND(IF(metadata!N598="",FALSE,TRUE),OR(exact(metadata!N598,"missing: not collected"),exact(metadata!N598,"missing: not provided"),exact(metadata!N598,"missing: restricted access"))),AND(IF(metadata!N598="",FALSE,TRUE),OR(exact(metadata!N598,"TRUE"),exact(metadata!N598,"FALSE"))))</f>
        <v>0</v>
      </c>
      <c r="AO598">
        <f>IF(metadata!O598="",FALSE,TRUE)</f>
        <v>0</v>
      </c>
      <c r="AP598">
        <f>OR(AND(IF(metadata!P598="",FALSE,TRUE),OR(exact(metadata!P598,"missing: not collected"),exact(metadata!P598,"missing: not provided"))),AND(IF(metadata!P598="",FALSE,IF(ISERROR(INT(metadata!P598)),FALSE,INT(metadata!P598)=metadata!P598)),metadata!P598&gt;0))</f>
        <v>0</v>
      </c>
      <c r="AQ598">
        <f>IF(metadata!Q598="",FALSE,TRUE)</f>
        <v>0</v>
      </c>
    </row>
    <row r="599" spans="1:43">
      <c r="A599" s="5">
        <f>IF(B599=" "," ",HYPERLINK(CONCATENATE("#metadata!",ADDRESS(INDEX($W$2:$W$1001,MATCH(ROWS($U$2:U599),$U$2:$U$1001,0),0),1)),INDEX($Z$2:$Z$1001,MATCH(ROWS($U$2:U599),$U$2:$U$1001,0),0)))</f>
        <v>0</v>
      </c>
      <c r="B599" s="4">
        <f>IF(OR(INDEX($V$2:$V$1001,MATCH(ROWS($U$2:U599),$U$2:$U$1001,0),1)&gt;=100000,INDEX($AB$1005:$AQ$1005,1,MATCH(COLUMNS($AB$1006:AB1006),$AB$1006:$AQ$1006,0))&gt;=100000), " ",IF(INDEX($AB$2:$AQ$1001,MATCH(ROWS($U$2:U599),$U$2:$U$1001,0),MATCH(COLUMNS($AB$1006:AB1006),$AB$1006:$AQ$1006,0)), HYPERLINK("#",""), HYPERLINK(CONCATENATE("#metadata!", ADDRESS(INDEX($W$2:$W$1001,MATCH(ROWS($U$2:U599),$U$2:$U$1001,0),0), INDEX($AB$1004:$AQ$1004,1,MATCH(COLUMNS($AB$1006:AB1006),$AB$1006:$AQ$1006,0)))),"Fix")))</f>
        <v>0</v>
      </c>
      <c r="C599" s="4">
        <f>IF(OR(INDEX($V$2:$V$1001,MATCH(ROWS($U$2:U599),$U$2:$U$1001,0),1)&gt;=100000,INDEX($AB$1005:$AQ$1005,1,MATCH(COLUMNS($AB$1006:AC1006),$AB$1006:$AQ$1006,0))&gt;=100000), " ",IF(INDEX($AB$2:$AQ$1001,MATCH(ROWS($U$2:U599),$U$2:$U$1001,0),MATCH(COLUMNS($AB$1006:AC1006),$AB$1006:$AQ$1006,0)), HYPERLINK("#",""), HYPERLINK(CONCATENATE("#metadata!", ADDRESS(INDEX($W$2:$W$1001,MATCH(ROWS($U$2:U599),$U$2:$U$1001,0),0), INDEX($AB$1004:$AQ$1004,1,MATCH(COLUMNS($AB$1006:AC1006),$AB$1006:$AQ$1006,0)))),"Fix")))</f>
        <v>0</v>
      </c>
      <c r="D599" s="4">
        <f>IF(OR(INDEX($V$2:$V$1001,MATCH(ROWS($U$2:U599),$U$2:$U$1001,0),1)&gt;=100000,INDEX($AB$1005:$AQ$1005,1,MATCH(COLUMNS($AB$1006:AD1006),$AB$1006:$AQ$1006,0))&gt;=100000), " ",IF(INDEX($AB$2:$AQ$1001,MATCH(ROWS($U$2:U599),$U$2:$U$1001,0),MATCH(COLUMNS($AB$1006:AD1006),$AB$1006:$AQ$1006,0)), HYPERLINK("#",""), HYPERLINK(CONCATENATE("#metadata!", ADDRESS(INDEX($W$2:$W$1001,MATCH(ROWS($U$2:U599),$U$2:$U$1001,0),0), INDEX($AB$1004:$AQ$1004,1,MATCH(COLUMNS($AB$1006:AD1006),$AB$1006:$AQ$1006,0)))),"Fix")))</f>
        <v>0</v>
      </c>
      <c r="E599" s="4">
        <f>IF(OR(INDEX($V$2:$V$1001,MATCH(ROWS($U$2:U599),$U$2:$U$1001,0),1)&gt;=100000,INDEX($AB$1005:$AQ$1005,1,MATCH(COLUMNS($AB$1006:AE1006),$AB$1006:$AQ$1006,0))&gt;=100000), " ",IF(INDEX($AB$2:$AQ$1001,MATCH(ROWS($U$2:U599),$U$2:$U$1001,0),MATCH(COLUMNS($AB$1006:AE1006),$AB$1006:$AQ$1006,0)), HYPERLINK("#",""), HYPERLINK(CONCATENATE("#metadata!", ADDRESS(INDEX($W$2:$W$1001,MATCH(ROWS($U$2:U599),$U$2:$U$1001,0),0), INDEX($AB$1004:$AQ$1004,1,MATCH(COLUMNS($AB$1006:AE1006),$AB$1006:$AQ$1006,0)))),"Fix")))</f>
        <v>0</v>
      </c>
      <c r="F599" s="4">
        <f>IF(OR(INDEX($V$2:$V$1001,MATCH(ROWS($U$2:U599),$U$2:$U$1001,0),1)&gt;=100000,INDEX($AB$1005:$AQ$1005,1,MATCH(COLUMNS($AB$1006:AF1006),$AB$1006:$AQ$1006,0))&gt;=100000), " ",IF(INDEX($AB$2:$AQ$1001,MATCH(ROWS($U$2:U599),$U$2:$U$1001,0),MATCH(COLUMNS($AB$1006:AF1006),$AB$1006:$AQ$1006,0)), HYPERLINK("#",""), HYPERLINK(CONCATENATE("#metadata!", ADDRESS(INDEX($W$2:$W$1001,MATCH(ROWS($U$2:U599),$U$2:$U$1001,0),0), INDEX($AB$1004:$AQ$1004,1,MATCH(COLUMNS($AB$1006:AF1006),$AB$1006:$AQ$1006,0)))),"Fix")))</f>
        <v>0</v>
      </c>
      <c r="G599" s="4">
        <f>IF(OR(INDEX($V$2:$V$1001,MATCH(ROWS($U$2:U599),$U$2:$U$1001,0),1)&gt;=100000,INDEX($AB$1005:$AQ$1005,1,MATCH(COLUMNS($AB$1006:AG1006),$AB$1006:$AQ$1006,0))&gt;=100000), " ",IF(INDEX($AB$2:$AQ$1001,MATCH(ROWS($U$2:U599),$U$2:$U$1001,0),MATCH(COLUMNS($AB$1006:AG1006),$AB$1006:$AQ$1006,0)), HYPERLINK("#",""), HYPERLINK(CONCATENATE("#metadata!", ADDRESS(INDEX($W$2:$W$1001,MATCH(ROWS($U$2:U599),$U$2:$U$1001,0),0), INDEX($AB$1004:$AQ$1004,1,MATCH(COLUMNS($AB$1006:AG1006),$AB$1006:$AQ$1006,0)))),"Fix")))</f>
        <v>0</v>
      </c>
      <c r="H599" s="4">
        <f>IF(OR(INDEX($V$2:$V$1001,MATCH(ROWS($U$2:U599),$U$2:$U$1001,0),1)&gt;=100000,INDEX($AB$1005:$AQ$1005,1,MATCH(COLUMNS($AB$1006:AH1006),$AB$1006:$AQ$1006,0))&gt;=100000), " ",IF(INDEX($AB$2:$AQ$1001,MATCH(ROWS($U$2:U599),$U$2:$U$1001,0),MATCH(COLUMNS($AB$1006:AH1006),$AB$1006:$AQ$1006,0)), HYPERLINK("#",""), HYPERLINK(CONCATENATE("#metadata!", ADDRESS(INDEX($W$2:$W$1001,MATCH(ROWS($U$2:U599),$U$2:$U$1001,0),0), INDEX($AB$1004:$AQ$1004,1,MATCH(COLUMNS($AB$1006:AH1006),$AB$1006:$AQ$1006,0)))),"Fix")))</f>
        <v>0</v>
      </c>
      <c r="I599" s="4">
        <f>IF(OR(INDEX($V$2:$V$1001,MATCH(ROWS($U$2:U599),$U$2:$U$1001,0),1)&gt;=100000,INDEX($AB$1005:$AQ$1005,1,MATCH(COLUMNS($AB$1006:AI1006),$AB$1006:$AQ$1006,0))&gt;=100000), " ",IF(INDEX($AB$2:$AQ$1001,MATCH(ROWS($U$2:U599),$U$2:$U$1001,0),MATCH(COLUMNS($AB$1006:AI1006),$AB$1006:$AQ$1006,0)), HYPERLINK("#",""), HYPERLINK(CONCATENATE("#metadata!", ADDRESS(INDEX($W$2:$W$1001,MATCH(ROWS($U$2:U599),$U$2:$U$1001,0),0), INDEX($AB$1004:$AQ$1004,1,MATCH(COLUMNS($AB$1006:AI1006),$AB$1006:$AQ$1006,0)))),"Fix")))</f>
        <v>0</v>
      </c>
      <c r="J599" s="4">
        <f>IF(OR(INDEX($V$2:$V$1001,MATCH(ROWS($U$2:U599),$U$2:$U$1001,0),1)&gt;=100000,INDEX($AB$1005:$AQ$1005,1,MATCH(COLUMNS($AB$1006:AJ1006),$AB$1006:$AQ$1006,0))&gt;=100000), " ",IF(INDEX($AB$2:$AQ$1001,MATCH(ROWS($U$2:U599),$U$2:$U$1001,0),MATCH(COLUMNS($AB$1006:AJ1006),$AB$1006:$AQ$1006,0)), HYPERLINK("#",""), HYPERLINK(CONCATENATE("#metadata!", ADDRESS(INDEX($W$2:$W$1001,MATCH(ROWS($U$2:U599),$U$2:$U$1001,0),0), INDEX($AB$1004:$AQ$1004,1,MATCH(COLUMNS($AB$1006:AJ1006),$AB$1006:$AQ$1006,0)))),"Fix")))</f>
        <v>0</v>
      </c>
      <c r="K599" s="4">
        <f>IF(OR(INDEX($V$2:$V$1001,MATCH(ROWS($U$2:U599),$U$2:$U$1001,0),1)&gt;=100000,INDEX($AB$1005:$AQ$1005,1,MATCH(COLUMNS($AB$1006:AK1006),$AB$1006:$AQ$1006,0))&gt;=100000), " ",IF(INDEX($AB$2:$AQ$1001,MATCH(ROWS($U$2:U599),$U$2:$U$1001,0),MATCH(COLUMNS($AB$1006:AK1006),$AB$1006:$AQ$1006,0)), HYPERLINK("#",""), HYPERLINK(CONCATENATE("#metadata!", ADDRESS(INDEX($W$2:$W$1001,MATCH(ROWS($U$2:U599),$U$2:$U$1001,0),0), INDEX($AB$1004:$AQ$1004,1,MATCH(COLUMNS($AB$1006:AK1006),$AB$1006:$AQ$1006,0)))),"Fix")))</f>
        <v>0</v>
      </c>
      <c r="L599" s="4">
        <f>IF(OR(INDEX($V$2:$V$1001,MATCH(ROWS($U$2:U599),$U$2:$U$1001,0),1)&gt;=100000,INDEX($AB$1005:$AQ$1005,1,MATCH(COLUMNS($AB$1006:AL1006),$AB$1006:$AQ$1006,0))&gt;=100000), " ",IF(INDEX($AB$2:$AQ$1001,MATCH(ROWS($U$2:U599),$U$2:$U$1001,0),MATCH(COLUMNS($AB$1006:AL1006),$AB$1006:$AQ$1006,0)), HYPERLINK("#",""), HYPERLINK(CONCATENATE("#metadata!", ADDRESS(INDEX($W$2:$W$1001,MATCH(ROWS($U$2:U599),$U$2:$U$1001,0),0), INDEX($AB$1004:$AQ$1004,1,MATCH(COLUMNS($AB$1006:AL1006),$AB$1006:$AQ$1006,0)))),"Fix")))</f>
        <v>0</v>
      </c>
      <c r="M599" s="4">
        <f>IF(OR(INDEX($V$2:$V$1001,MATCH(ROWS($U$2:U599),$U$2:$U$1001,0),1)&gt;=100000,INDEX($AB$1005:$AQ$1005,1,MATCH(COLUMNS($AB$1006:AM1006),$AB$1006:$AQ$1006,0))&gt;=100000), " ",IF(INDEX($AB$2:$AQ$1001,MATCH(ROWS($U$2:U599),$U$2:$U$1001,0),MATCH(COLUMNS($AB$1006:AM1006),$AB$1006:$AQ$1006,0)), HYPERLINK("#",""), HYPERLINK(CONCATENATE("#metadata!", ADDRESS(INDEX($W$2:$W$1001,MATCH(ROWS($U$2:U599),$U$2:$U$1001,0),0), INDEX($AB$1004:$AQ$1004,1,MATCH(COLUMNS($AB$1006:AM1006),$AB$1006:$AQ$1006,0)))),"Fix")))</f>
        <v>0</v>
      </c>
      <c r="N599" s="4">
        <f>IF(OR(INDEX($V$2:$V$1001,MATCH(ROWS($U$2:U599),$U$2:$U$1001,0),1)&gt;=100000,INDEX($AB$1005:$AQ$1005,1,MATCH(COLUMNS($AB$1006:AN1006),$AB$1006:$AQ$1006,0))&gt;=100000), " ",IF(INDEX($AB$2:$AQ$1001,MATCH(ROWS($U$2:U599),$U$2:$U$1001,0),MATCH(COLUMNS($AB$1006:AN1006),$AB$1006:$AQ$1006,0)), HYPERLINK("#",""), HYPERLINK(CONCATENATE("#metadata!", ADDRESS(INDEX($W$2:$W$1001,MATCH(ROWS($U$2:U599),$U$2:$U$1001,0),0), INDEX($AB$1004:$AQ$1004,1,MATCH(COLUMNS($AB$1006:AN1006),$AB$1006:$AQ$1006,0)))),"Fix")))</f>
        <v>0</v>
      </c>
      <c r="O599" s="4">
        <f>IF(OR(INDEX($V$2:$V$1001,MATCH(ROWS($U$2:U599),$U$2:$U$1001,0),1)&gt;=100000,INDEX($AB$1005:$AQ$1005,1,MATCH(COLUMNS($AB$1006:AO1006),$AB$1006:$AQ$1006,0))&gt;=100000), " ",IF(INDEX($AB$2:$AQ$1001,MATCH(ROWS($U$2:U599),$U$2:$U$1001,0),MATCH(COLUMNS($AB$1006:AO1006),$AB$1006:$AQ$1006,0)), HYPERLINK("#",""), HYPERLINK(CONCATENATE("#metadata!", ADDRESS(INDEX($W$2:$W$1001,MATCH(ROWS($U$2:U599),$U$2:$U$1001,0),0), INDEX($AB$1004:$AQ$1004,1,MATCH(COLUMNS($AB$1006:AO1006),$AB$1006:$AQ$1006,0)))),"Fix")))</f>
        <v>0</v>
      </c>
      <c r="P599" s="4">
        <f>IF(OR(INDEX($V$2:$V$1001,MATCH(ROWS($U$2:U599),$U$2:$U$1001,0),1)&gt;=100000,INDEX($AB$1005:$AQ$1005,1,MATCH(COLUMNS($AB$1006:AP1006),$AB$1006:$AQ$1006,0))&gt;=100000), " ",IF(INDEX($AB$2:$AQ$1001,MATCH(ROWS($U$2:U599),$U$2:$U$1001,0),MATCH(COLUMNS($AB$1006:AP1006),$AB$1006:$AQ$1006,0)), HYPERLINK("#",""), HYPERLINK(CONCATENATE("#metadata!", ADDRESS(INDEX($W$2:$W$1001,MATCH(ROWS($U$2:U599),$U$2:$U$1001,0),0), INDEX($AB$1004:$AQ$1004,1,MATCH(COLUMNS($AB$1006:AP1006),$AB$1006:$AQ$1006,0)))),"Fix")))</f>
        <v>0</v>
      </c>
      <c r="Q599" s="4">
        <f>IF(OR(INDEX($V$2:$V$1001,MATCH(ROWS($U$2:U599),$U$2:$U$1001,0),1)&gt;=100000,INDEX($AB$1005:$AQ$1005,1,MATCH(COLUMNS($AB$1006:AQ1006),$AB$1006:$AQ$1006,0))&gt;=100000), " ",IF(INDEX($AB$2:$AQ$1001,MATCH(ROWS($U$2:U599),$U$2:$U$1001,0),MATCH(COLUMNS($AB$1006:AQ1006),$AB$1006:$AQ$1006,0)), HYPERLINK("#",""), HYPERLINK(CONCATENATE("#metadata!", ADDRESS(INDEX($W$2:$W$1001,MATCH(ROWS($U$2:U599),$U$2:$U$1001,0),0), INDEX($AB$1004:$AQ$1004,1,MATCH(COLUMNS($AB$1006:AQ1006),$AB$1006:$AQ$1006,0)))),"Fix")))</f>
        <v>0</v>
      </c>
      <c r="U599">
        <v>0</v>
      </c>
      <c r="V599">
        <v>0</v>
      </c>
      <c r="W599">
        <v>0</v>
      </c>
      <c r="X599">
        <f>IF(Y599,TRUE,AND(AB599:AQ599))</f>
        <v>0</v>
      </c>
      <c r="Y599">
        <f>COUNTBLANK(metadata!B599:Q599)=COLUMNS(metadata!B599:Q599)</f>
        <v>0</v>
      </c>
      <c r="Z599">
        <v>0</v>
      </c>
      <c r="AB599">
        <f>AND(IF(metadata!B599="",FALSE,TRUE),COUNTIF(metadata!B:B, metadata!B599) = 1,NOT(ISERROR(SUMPRODUCT(SEARCH(MID(metadata!B599,ROW(INDIRECT("1:"&amp;LEN(metadata!B599))), 1),"0123456789abcdefghijklmnopqrstuvwxyzABCDEFGHIJKLMNOPQRSTUVWXYZ.")))))</f>
        <v>0</v>
      </c>
      <c r="AC599">
        <f>OR(AND(IF(metadata!C599="",FALSE,TRUE),OR(exact(metadata!C599,"missing: not collected"),exact(metadata!C599,"missing: not provided"),exact(metadata!C599,"missing: restricted access"))),AND(IF(metadata!C599="",FALSE,TRUE),AND(AND(IFERROR(INT(LEFT(metadata!C599,4))&gt;1900,FALSE),IFERROR(INT(LEFT(metadata!C599,4))&lt;=YEAR(NOW()),FALSE)), OR(MID(metadata!C599,5,1)="", AND(AND(MID(metadata!C599,5,1)="-",IFERROR(INT(MID(metadata!C599,6,1))&gt;=0,FALSE),IFERROR(INT(MID(metadata!C599,6,1))&lt;=1,FALSE),NOT(MID(metadata!C599,7,1)=""),IFERROR(INT(MID(metadata!C599,6,2))&gt;=1,FALSE),IFERROR(INT(MID(metadata!C599,6,2))&lt;=12,FALSE)), OR(MID(metadata!C599,8,1)="", AND(AND(MID(metadata!C599,8,1)="-",IFERROR(INT(MID(metadata!C599,9,1))&gt;=0,FALSE),IFERROR(INT(MID(metadata!C599,9,1))&lt;=3,FALSE),NOT(MID(metadata!C599,10,1)=""),IFERROR(INT(MID(metadata!C599,9,2))&gt;=1,FALSE),IFERROR(INT(MID(metadata!C599,9,2))&lt;=31,FALSE)), OR(MID(metadata!C599,11,1)="", AND(AND(MID(metadata!C599,11,1)=" ",IFERROR(INT(MID(metadata!C599,12,1))&gt;=0,FALSE),IFERROR(INT(MID(metadata!C599,12,1))&lt;=2,FALSE),NOT(MID(metadata!C599,13,1)=""),IFERROR(INT(MID(metadata!C599,12,2))&gt;=0,FALSE),IFERROR(INT(MID(metadata!C599,12,2))&lt;=23,FALSE)), OR(MID(metadata!C599,14,1)="", AND(AND(MID(metadata!C599,14,1)=":",IFERROR(INT(MID(metadata!C599,15,1))&gt;=0,FALSE),IFERROR(INT(MID(metadata!C599,15,1))&lt;=5,FALSE),NOT(MID(metadata!C599,16,1)=""),IFERROR(INT(MID(metadata!C599,15,2))&gt;=0,FALSE),IFERROR(INT(MID(metadata!C599,15,2))&lt;=59,FALSE)), OR(MID(metadata!C599,17,1)="", AND(AND(MID(metadata!C599,17,1)=":",IFERROR(INT(MID(metadata!C599,18,1))&gt;=0,FALSE),IFERROR(INT(MID(metadata!C599,18,1))&lt;=5,FALSE),NOT(MID(metadata!C599,19,1)=""),IFERROR(INT(MID(metadata!C599,18,2))&gt;=0,FALSE),IFERROR(INT(MID(metadata!C599,18,2))&lt;=59,FALSE)), LEN(metadata!C599)&lt;=19)))))))))))))</f>
        <v>0</v>
      </c>
      <c r="AD599">
        <f>IF(metadata!D599="",FALSE,TRUE)</f>
        <v>0</v>
      </c>
      <c r="AE599">
        <f>OR(AND(IF(metadata!E599="",FALSE,TRUE),OR(exact(metadata!E599,"missing: not collected"),exact(metadata!E599,"missing: not provided"))),AND(IF(metadata!E599="",FALSE,TRUE),OR(exact(metadata!E599,"TRUE"),exact(metadata!E599,"FALSE"))))</f>
        <v>0</v>
      </c>
      <c r="AF599">
        <f>IF(metadata!F599="",FALSE,TRUE)</f>
        <v>0</v>
      </c>
      <c r="AG599">
        <f>IF(metadata!G599="",FALSE,TRUE)</f>
        <v>0</v>
      </c>
      <c r="AH599">
        <f>IF(metadata!H599="",FALSE,TRUE)</f>
        <v>0</v>
      </c>
      <c r="AI599">
        <f>OR(AND(IF(metadata!I599="",FALSE,TRUE),OR(exact(metadata!I599,"missing: not collected"),exact(metadata!I599,"missing: not provided"),exact(metadata!I599,"missing: restricted access"))),AND(IF(metadata!I599="",FALSE,TRUE),OR(exact(metadata!I599,"air"),exact(metadata!I599,"built environment"),exact(metadata!I599,"host-associated"),exact(metadata!I599,"human-associated"),exact(metadata!I599,"human-skin"),exact(metadata!I599,"human-oral"),exact(metadata!I599,"human-gut"),exact(metadata!I599,"human-vaginal"),exact(metadata!I599,"microbial mat/biofilm"),exact(metadata!I599,"misc environment"),exact(metadata!I599,"plant-associated"),exact(metadata!I599,"sediment"),exact(metadata!I599,"soil"),exact(metadata!I599,"wastewater/sludge"),exact(metadata!I599,"water"))))</f>
        <v>0</v>
      </c>
      <c r="AJ599">
        <f>IF(metadata!J599="",FALSE,TRUE)</f>
        <v>0</v>
      </c>
      <c r="AK599">
        <f>OR(AND(IF(metadata!K599="",FALSE,TRUE),OR(exact(metadata!K599,"missing: not collected"),exact(metadata!K599,"missing: not provided"),exact(metadata!K599,"missing: restricted access"))),AND(IF(metadata!K599="",FALSE,ISNUMBER(VALUE(metadata!K599))),metadata!K599&gt;=-90.00,metadata!K599&lt;=90.00))</f>
        <v>0</v>
      </c>
      <c r="AL599">
        <f>OR(AND(IF(metadata!L599="",FALSE,TRUE),OR(exact(metadata!L599,"missing: not collected"),exact(metadata!L599,"missing: not provided"),exact(metadata!L599,"missing: restricted access"))),AND(IF(metadata!L599="",FALSE,ISNUMBER(VALUE(metadata!L599))),metadata!L599&gt;=-180.00,metadata!L599&lt;=180.00))</f>
        <v>0</v>
      </c>
      <c r="AM599">
        <f>IF(metadata!M599="",FALSE,TRUE)</f>
        <v>0</v>
      </c>
      <c r="AN599">
        <f>OR(AND(IF(metadata!N599="",FALSE,TRUE),OR(exact(metadata!N599,"missing: not collected"),exact(metadata!N599,"missing: not provided"),exact(metadata!N599,"missing: restricted access"))),AND(IF(metadata!N599="",FALSE,TRUE),OR(exact(metadata!N599,"TRUE"),exact(metadata!N599,"FALSE"))))</f>
        <v>0</v>
      </c>
      <c r="AO599">
        <f>IF(metadata!O599="",FALSE,TRUE)</f>
        <v>0</v>
      </c>
      <c r="AP599">
        <f>OR(AND(IF(metadata!P599="",FALSE,TRUE),OR(exact(metadata!P599,"missing: not collected"),exact(metadata!P599,"missing: not provided"))),AND(IF(metadata!P599="",FALSE,IF(ISERROR(INT(metadata!P599)),FALSE,INT(metadata!P599)=metadata!P599)),metadata!P599&gt;0))</f>
        <v>0</v>
      </c>
      <c r="AQ599">
        <f>IF(metadata!Q599="",FALSE,TRUE)</f>
        <v>0</v>
      </c>
    </row>
    <row r="600" spans="1:43">
      <c r="A600" s="5">
        <f>IF(B600=" "," ",HYPERLINK(CONCATENATE("#metadata!",ADDRESS(INDEX($W$2:$W$1001,MATCH(ROWS($U$2:U600),$U$2:$U$1001,0),0),1)),INDEX($Z$2:$Z$1001,MATCH(ROWS($U$2:U600),$U$2:$U$1001,0),0)))</f>
        <v>0</v>
      </c>
      <c r="B600" s="4">
        <f>IF(OR(INDEX($V$2:$V$1001,MATCH(ROWS($U$2:U600),$U$2:$U$1001,0),1)&gt;=100000,INDEX($AB$1005:$AQ$1005,1,MATCH(COLUMNS($AB$1006:AB1006),$AB$1006:$AQ$1006,0))&gt;=100000), " ",IF(INDEX($AB$2:$AQ$1001,MATCH(ROWS($U$2:U600),$U$2:$U$1001,0),MATCH(COLUMNS($AB$1006:AB1006),$AB$1006:$AQ$1006,0)), HYPERLINK("#",""), HYPERLINK(CONCATENATE("#metadata!", ADDRESS(INDEX($W$2:$W$1001,MATCH(ROWS($U$2:U600),$U$2:$U$1001,0),0), INDEX($AB$1004:$AQ$1004,1,MATCH(COLUMNS($AB$1006:AB1006),$AB$1006:$AQ$1006,0)))),"Fix")))</f>
        <v>0</v>
      </c>
      <c r="C600" s="4">
        <f>IF(OR(INDEX($V$2:$V$1001,MATCH(ROWS($U$2:U600),$U$2:$U$1001,0),1)&gt;=100000,INDEX($AB$1005:$AQ$1005,1,MATCH(COLUMNS($AB$1006:AC1006),$AB$1006:$AQ$1006,0))&gt;=100000), " ",IF(INDEX($AB$2:$AQ$1001,MATCH(ROWS($U$2:U600),$U$2:$U$1001,0),MATCH(COLUMNS($AB$1006:AC1006),$AB$1006:$AQ$1006,0)), HYPERLINK("#",""), HYPERLINK(CONCATENATE("#metadata!", ADDRESS(INDEX($W$2:$W$1001,MATCH(ROWS($U$2:U600),$U$2:$U$1001,0),0), INDEX($AB$1004:$AQ$1004,1,MATCH(COLUMNS($AB$1006:AC1006),$AB$1006:$AQ$1006,0)))),"Fix")))</f>
        <v>0</v>
      </c>
      <c r="D600" s="4">
        <f>IF(OR(INDEX($V$2:$V$1001,MATCH(ROWS($U$2:U600),$U$2:$U$1001,0),1)&gt;=100000,INDEX($AB$1005:$AQ$1005,1,MATCH(COLUMNS($AB$1006:AD1006),$AB$1006:$AQ$1006,0))&gt;=100000), " ",IF(INDEX($AB$2:$AQ$1001,MATCH(ROWS($U$2:U600),$U$2:$U$1001,0),MATCH(COLUMNS($AB$1006:AD1006),$AB$1006:$AQ$1006,0)), HYPERLINK("#",""), HYPERLINK(CONCATENATE("#metadata!", ADDRESS(INDEX($W$2:$W$1001,MATCH(ROWS($U$2:U600),$U$2:$U$1001,0),0), INDEX($AB$1004:$AQ$1004,1,MATCH(COLUMNS($AB$1006:AD1006),$AB$1006:$AQ$1006,0)))),"Fix")))</f>
        <v>0</v>
      </c>
      <c r="E600" s="4">
        <f>IF(OR(INDEX($V$2:$V$1001,MATCH(ROWS($U$2:U600),$U$2:$U$1001,0),1)&gt;=100000,INDEX($AB$1005:$AQ$1005,1,MATCH(COLUMNS($AB$1006:AE1006),$AB$1006:$AQ$1006,0))&gt;=100000), " ",IF(INDEX($AB$2:$AQ$1001,MATCH(ROWS($U$2:U600),$U$2:$U$1001,0),MATCH(COLUMNS($AB$1006:AE1006),$AB$1006:$AQ$1006,0)), HYPERLINK("#",""), HYPERLINK(CONCATENATE("#metadata!", ADDRESS(INDEX($W$2:$W$1001,MATCH(ROWS($U$2:U600),$U$2:$U$1001,0),0), INDEX($AB$1004:$AQ$1004,1,MATCH(COLUMNS($AB$1006:AE1006),$AB$1006:$AQ$1006,0)))),"Fix")))</f>
        <v>0</v>
      </c>
      <c r="F600" s="4">
        <f>IF(OR(INDEX($V$2:$V$1001,MATCH(ROWS($U$2:U600),$U$2:$U$1001,0),1)&gt;=100000,INDEX($AB$1005:$AQ$1005,1,MATCH(COLUMNS($AB$1006:AF1006),$AB$1006:$AQ$1006,0))&gt;=100000), " ",IF(INDEX($AB$2:$AQ$1001,MATCH(ROWS($U$2:U600),$U$2:$U$1001,0),MATCH(COLUMNS($AB$1006:AF1006),$AB$1006:$AQ$1006,0)), HYPERLINK("#",""), HYPERLINK(CONCATENATE("#metadata!", ADDRESS(INDEX($W$2:$W$1001,MATCH(ROWS($U$2:U600),$U$2:$U$1001,0),0), INDEX($AB$1004:$AQ$1004,1,MATCH(COLUMNS($AB$1006:AF1006),$AB$1006:$AQ$1006,0)))),"Fix")))</f>
        <v>0</v>
      </c>
      <c r="G600" s="4">
        <f>IF(OR(INDEX($V$2:$V$1001,MATCH(ROWS($U$2:U600),$U$2:$U$1001,0),1)&gt;=100000,INDEX($AB$1005:$AQ$1005,1,MATCH(COLUMNS($AB$1006:AG1006),$AB$1006:$AQ$1006,0))&gt;=100000), " ",IF(INDEX($AB$2:$AQ$1001,MATCH(ROWS($U$2:U600),$U$2:$U$1001,0),MATCH(COLUMNS($AB$1006:AG1006),$AB$1006:$AQ$1006,0)), HYPERLINK("#",""), HYPERLINK(CONCATENATE("#metadata!", ADDRESS(INDEX($W$2:$W$1001,MATCH(ROWS($U$2:U600),$U$2:$U$1001,0),0), INDEX($AB$1004:$AQ$1004,1,MATCH(COLUMNS($AB$1006:AG1006),$AB$1006:$AQ$1006,0)))),"Fix")))</f>
        <v>0</v>
      </c>
      <c r="H600" s="4">
        <f>IF(OR(INDEX($V$2:$V$1001,MATCH(ROWS($U$2:U600),$U$2:$U$1001,0),1)&gt;=100000,INDEX($AB$1005:$AQ$1005,1,MATCH(COLUMNS($AB$1006:AH1006),$AB$1006:$AQ$1006,0))&gt;=100000), " ",IF(INDEX($AB$2:$AQ$1001,MATCH(ROWS($U$2:U600),$U$2:$U$1001,0),MATCH(COLUMNS($AB$1006:AH1006),$AB$1006:$AQ$1006,0)), HYPERLINK("#",""), HYPERLINK(CONCATENATE("#metadata!", ADDRESS(INDEX($W$2:$W$1001,MATCH(ROWS($U$2:U600),$U$2:$U$1001,0),0), INDEX($AB$1004:$AQ$1004,1,MATCH(COLUMNS($AB$1006:AH1006),$AB$1006:$AQ$1006,0)))),"Fix")))</f>
        <v>0</v>
      </c>
      <c r="I600" s="4">
        <f>IF(OR(INDEX($V$2:$V$1001,MATCH(ROWS($U$2:U600),$U$2:$U$1001,0),1)&gt;=100000,INDEX($AB$1005:$AQ$1005,1,MATCH(COLUMNS($AB$1006:AI1006),$AB$1006:$AQ$1006,0))&gt;=100000), " ",IF(INDEX($AB$2:$AQ$1001,MATCH(ROWS($U$2:U600),$U$2:$U$1001,0),MATCH(COLUMNS($AB$1006:AI1006),$AB$1006:$AQ$1006,0)), HYPERLINK("#",""), HYPERLINK(CONCATENATE("#metadata!", ADDRESS(INDEX($W$2:$W$1001,MATCH(ROWS($U$2:U600),$U$2:$U$1001,0),0), INDEX($AB$1004:$AQ$1004,1,MATCH(COLUMNS($AB$1006:AI1006),$AB$1006:$AQ$1006,0)))),"Fix")))</f>
        <v>0</v>
      </c>
      <c r="J600" s="4">
        <f>IF(OR(INDEX($V$2:$V$1001,MATCH(ROWS($U$2:U600),$U$2:$U$1001,0),1)&gt;=100000,INDEX($AB$1005:$AQ$1005,1,MATCH(COLUMNS($AB$1006:AJ1006),$AB$1006:$AQ$1006,0))&gt;=100000), " ",IF(INDEX($AB$2:$AQ$1001,MATCH(ROWS($U$2:U600),$U$2:$U$1001,0),MATCH(COLUMNS($AB$1006:AJ1006),$AB$1006:$AQ$1006,0)), HYPERLINK("#",""), HYPERLINK(CONCATENATE("#metadata!", ADDRESS(INDEX($W$2:$W$1001,MATCH(ROWS($U$2:U600),$U$2:$U$1001,0),0), INDEX($AB$1004:$AQ$1004,1,MATCH(COLUMNS($AB$1006:AJ1006),$AB$1006:$AQ$1006,0)))),"Fix")))</f>
        <v>0</v>
      </c>
      <c r="K600" s="4">
        <f>IF(OR(INDEX($V$2:$V$1001,MATCH(ROWS($U$2:U600),$U$2:$U$1001,0),1)&gt;=100000,INDEX($AB$1005:$AQ$1005,1,MATCH(COLUMNS($AB$1006:AK1006),$AB$1006:$AQ$1006,0))&gt;=100000), " ",IF(INDEX($AB$2:$AQ$1001,MATCH(ROWS($U$2:U600),$U$2:$U$1001,0),MATCH(COLUMNS($AB$1006:AK1006),$AB$1006:$AQ$1006,0)), HYPERLINK("#",""), HYPERLINK(CONCATENATE("#metadata!", ADDRESS(INDEX($W$2:$W$1001,MATCH(ROWS($U$2:U600),$U$2:$U$1001,0),0), INDEX($AB$1004:$AQ$1004,1,MATCH(COLUMNS($AB$1006:AK1006),$AB$1006:$AQ$1006,0)))),"Fix")))</f>
        <v>0</v>
      </c>
      <c r="L600" s="4">
        <f>IF(OR(INDEX($V$2:$V$1001,MATCH(ROWS($U$2:U600),$U$2:$U$1001,0),1)&gt;=100000,INDEX($AB$1005:$AQ$1005,1,MATCH(COLUMNS($AB$1006:AL1006),$AB$1006:$AQ$1006,0))&gt;=100000), " ",IF(INDEX($AB$2:$AQ$1001,MATCH(ROWS($U$2:U600),$U$2:$U$1001,0),MATCH(COLUMNS($AB$1006:AL1006),$AB$1006:$AQ$1006,0)), HYPERLINK("#",""), HYPERLINK(CONCATENATE("#metadata!", ADDRESS(INDEX($W$2:$W$1001,MATCH(ROWS($U$2:U600),$U$2:$U$1001,0),0), INDEX($AB$1004:$AQ$1004,1,MATCH(COLUMNS($AB$1006:AL1006),$AB$1006:$AQ$1006,0)))),"Fix")))</f>
        <v>0</v>
      </c>
      <c r="M600" s="4">
        <f>IF(OR(INDEX($V$2:$V$1001,MATCH(ROWS($U$2:U600),$U$2:$U$1001,0),1)&gt;=100000,INDEX($AB$1005:$AQ$1005,1,MATCH(COLUMNS($AB$1006:AM1006),$AB$1006:$AQ$1006,0))&gt;=100000), " ",IF(INDEX($AB$2:$AQ$1001,MATCH(ROWS($U$2:U600),$U$2:$U$1001,0),MATCH(COLUMNS($AB$1006:AM1006),$AB$1006:$AQ$1006,0)), HYPERLINK("#",""), HYPERLINK(CONCATENATE("#metadata!", ADDRESS(INDEX($W$2:$W$1001,MATCH(ROWS($U$2:U600),$U$2:$U$1001,0),0), INDEX($AB$1004:$AQ$1004,1,MATCH(COLUMNS($AB$1006:AM1006),$AB$1006:$AQ$1006,0)))),"Fix")))</f>
        <v>0</v>
      </c>
      <c r="N600" s="4">
        <f>IF(OR(INDEX($V$2:$V$1001,MATCH(ROWS($U$2:U600),$U$2:$U$1001,0),1)&gt;=100000,INDEX($AB$1005:$AQ$1005,1,MATCH(COLUMNS($AB$1006:AN1006),$AB$1006:$AQ$1006,0))&gt;=100000), " ",IF(INDEX($AB$2:$AQ$1001,MATCH(ROWS($U$2:U600),$U$2:$U$1001,0),MATCH(COLUMNS($AB$1006:AN1006),$AB$1006:$AQ$1006,0)), HYPERLINK("#",""), HYPERLINK(CONCATENATE("#metadata!", ADDRESS(INDEX($W$2:$W$1001,MATCH(ROWS($U$2:U600),$U$2:$U$1001,0),0), INDEX($AB$1004:$AQ$1004,1,MATCH(COLUMNS($AB$1006:AN1006),$AB$1006:$AQ$1006,0)))),"Fix")))</f>
        <v>0</v>
      </c>
      <c r="O600" s="4">
        <f>IF(OR(INDEX($V$2:$V$1001,MATCH(ROWS($U$2:U600),$U$2:$U$1001,0),1)&gt;=100000,INDEX($AB$1005:$AQ$1005,1,MATCH(COLUMNS($AB$1006:AO1006),$AB$1006:$AQ$1006,0))&gt;=100000), " ",IF(INDEX($AB$2:$AQ$1001,MATCH(ROWS($U$2:U600),$U$2:$U$1001,0),MATCH(COLUMNS($AB$1006:AO1006),$AB$1006:$AQ$1006,0)), HYPERLINK("#",""), HYPERLINK(CONCATENATE("#metadata!", ADDRESS(INDEX($W$2:$W$1001,MATCH(ROWS($U$2:U600),$U$2:$U$1001,0),0), INDEX($AB$1004:$AQ$1004,1,MATCH(COLUMNS($AB$1006:AO1006),$AB$1006:$AQ$1006,0)))),"Fix")))</f>
        <v>0</v>
      </c>
      <c r="P600" s="4">
        <f>IF(OR(INDEX($V$2:$V$1001,MATCH(ROWS($U$2:U600),$U$2:$U$1001,0),1)&gt;=100000,INDEX($AB$1005:$AQ$1005,1,MATCH(COLUMNS($AB$1006:AP1006),$AB$1006:$AQ$1006,0))&gt;=100000), " ",IF(INDEX($AB$2:$AQ$1001,MATCH(ROWS($U$2:U600),$U$2:$U$1001,0),MATCH(COLUMNS($AB$1006:AP1006),$AB$1006:$AQ$1006,0)), HYPERLINK("#",""), HYPERLINK(CONCATENATE("#metadata!", ADDRESS(INDEX($W$2:$W$1001,MATCH(ROWS($U$2:U600),$U$2:$U$1001,0),0), INDEX($AB$1004:$AQ$1004,1,MATCH(COLUMNS($AB$1006:AP1006),$AB$1006:$AQ$1006,0)))),"Fix")))</f>
        <v>0</v>
      </c>
      <c r="Q600" s="4">
        <f>IF(OR(INDEX($V$2:$V$1001,MATCH(ROWS($U$2:U600),$U$2:$U$1001,0),1)&gt;=100000,INDEX($AB$1005:$AQ$1005,1,MATCH(COLUMNS($AB$1006:AQ1006),$AB$1006:$AQ$1006,0))&gt;=100000), " ",IF(INDEX($AB$2:$AQ$1001,MATCH(ROWS($U$2:U600),$U$2:$U$1001,0),MATCH(COLUMNS($AB$1006:AQ1006),$AB$1006:$AQ$1006,0)), HYPERLINK("#",""), HYPERLINK(CONCATENATE("#metadata!", ADDRESS(INDEX($W$2:$W$1001,MATCH(ROWS($U$2:U600),$U$2:$U$1001,0),0), INDEX($AB$1004:$AQ$1004,1,MATCH(COLUMNS($AB$1006:AQ1006),$AB$1006:$AQ$1006,0)))),"Fix")))</f>
        <v>0</v>
      </c>
      <c r="U600">
        <v>0</v>
      </c>
      <c r="V600">
        <v>0</v>
      </c>
      <c r="W600">
        <v>0</v>
      </c>
      <c r="X600">
        <f>IF(Y600,TRUE,AND(AB600:AQ600))</f>
        <v>0</v>
      </c>
      <c r="Y600">
        <f>COUNTBLANK(metadata!B600:Q600)=COLUMNS(metadata!B600:Q600)</f>
        <v>0</v>
      </c>
      <c r="Z600">
        <v>0</v>
      </c>
      <c r="AB600">
        <f>AND(IF(metadata!B600="",FALSE,TRUE),COUNTIF(metadata!B:B, metadata!B600) = 1,NOT(ISERROR(SUMPRODUCT(SEARCH(MID(metadata!B600,ROW(INDIRECT("1:"&amp;LEN(metadata!B600))), 1),"0123456789abcdefghijklmnopqrstuvwxyzABCDEFGHIJKLMNOPQRSTUVWXYZ.")))))</f>
        <v>0</v>
      </c>
      <c r="AC600">
        <f>OR(AND(IF(metadata!C600="",FALSE,TRUE),OR(exact(metadata!C600,"missing: not collected"),exact(metadata!C600,"missing: not provided"),exact(metadata!C600,"missing: restricted access"))),AND(IF(metadata!C600="",FALSE,TRUE),AND(AND(IFERROR(INT(LEFT(metadata!C600,4))&gt;1900,FALSE),IFERROR(INT(LEFT(metadata!C600,4))&lt;=YEAR(NOW()),FALSE)), OR(MID(metadata!C600,5,1)="", AND(AND(MID(metadata!C600,5,1)="-",IFERROR(INT(MID(metadata!C600,6,1))&gt;=0,FALSE),IFERROR(INT(MID(metadata!C600,6,1))&lt;=1,FALSE),NOT(MID(metadata!C600,7,1)=""),IFERROR(INT(MID(metadata!C600,6,2))&gt;=1,FALSE),IFERROR(INT(MID(metadata!C600,6,2))&lt;=12,FALSE)), OR(MID(metadata!C600,8,1)="", AND(AND(MID(metadata!C600,8,1)="-",IFERROR(INT(MID(metadata!C600,9,1))&gt;=0,FALSE),IFERROR(INT(MID(metadata!C600,9,1))&lt;=3,FALSE),NOT(MID(metadata!C600,10,1)=""),IFERROR(INT(MID(metadata!C600,9,2))&gt;=1,FALSE),IFERROR(INT(MID(metadata!C600,9,2))&lt;=31,FALSE)), OR(MID(metadata!C600,11,1)="", AND(AND(MID(metadata!C600,11,1)=" ",IFERROR(INT(MID(metadata!C600,12,1))&gt;=0,FALSE),IFERROR(INT(MID(metadata!C600,12,1))&lt;=2,FALSE),NOT(MID(metadata!C600,13,1)=""),IFERROR(INT(MID(metadata!C600,12,2))&gt;=0,FALSE),IFERROR(INT(MID(metadata!C600,12,2))&lt;=23,FALSE)), OR(MID(metadata!C600,14,1)="", AND(AND(MID(metadata!C600,14,1)=":",IFERROR(INT(MID(metadata!C600,15,1))&gt;=0,FALSE),IFERROR(INT(MID(metadata!C600,15,1))&lt;=5,FALSE),NOT(MID(metadata!C600,16,1)=""),IFERROR(INT(MID(metadata!C600,15,2))&gt;=0,FALSE),IFERROR(INT(MID(metadata!C600,15,2))&lt;=59,FALSE)), OR(MID(metadata!C600,17,1)="", AND(AND(MID(metadata!C600,17,1)=":",IFERROR(INT(MID(metadata!C600,18,1))&gt;=0,FALSE),IFERROR(INT(MID(metadata!C600,18,1))&lt;=5,FALSE),NOT(MID(metadata!C600,19,1)=""),IFERROR(INT(MID(metadata!C600,18,2))&gt;=0,FALSE),IFERROR(INT(MID(metadata!C600,18,2))&lt;=59,FALSE)), LEN(metadata!C600)&lt;=19)))))))))))))</f>
        <v>0</v>
      </c>
      <c r="AD600">
        <f>IF(metadata!D600="",FALSE,TRUE)</f>
        <v>0</v>
      </c>
      <c r="AE600">
        <f>OR(AND(IF(metadata!E600="",FALSE,TRUE),OR(exact(metadata!E600,"missing: not collected"),exact(metadata!E600,"missing: not provided"))),AND(IF(metadata!E600="",FALSE,TRUE),OR(exact(metadata!E600,"TRUE"),exact(metadata!E600,"FALSE"))))</f>
        <v>0</v>
      </c>
      <c r="AF600">
        <f>IF(metadata!F600="",FALSE,TRUE)</f>
        <v>0</v>
      </c>
      <c r="AG600">
        <f>IF(metadata!G600="",FALSE,TRUE)</f>
        <v>0</v>
      </c>
      <c r="AH600">
        <f>IF(metadata!H600="",FALSE,TRUE)</f>
        <v>0</v>
      </c>
      <c r="AI600">
        <f>OR(AND(IF(metadata!I600="",FALSE,TRUE),OR(exact(metadata!I600,"missing: not collected"),exact(metadata!I600,"missing: not provided"),exact(metadata!I600,"missing: restricted access"))),AND(IF(metadata!I600="",FALSE,TRUE),OR(exact(metadata!I600,"air"),exact(metadata!I600,"built environment"),exact(metadata!I600,"host-associated"),exact(metadata!I600,"human-associated"),exact(metadata!I600,"human-skin"),exact(metadata!I600,"human-oral"),exact(metadata!I600,"human-gut"),exact(metadata!I600,"human-vaginal"),exact(metadata!I600,"microbial mat/biofilm"),exact(metadata!I600,"misc environment"),exact(metadata!I600,"plant-associated"),exact(metadata!I600,"sediment"),exact(metadata!I600,"soil"),exact(metadata!I600,"wastewater/sludge"),exact(metadata!I600,"water"))))</f>
        <v>0</v>
      </c>
      <c r="AJ600">
        <f>IF(metadata!J600="",FALSE,TRUE)</f>
        <v>0</v>
      </c>
      <c r="AK600">
        <f>OR(AND(IF(metadata!K600="",FALSE,TRUE),OR(exact(metadata!K600,"missing: not collected"),exact(metadata!K600,"missing: not provided"),exact(metadata!K600,"missing: restricted access"))),AND(IF(metadata!K600="",FALSE,ISNUMBER(VALUE(metadata!K600))),metadata!K600&gt;=-90.00,metadata!K600&lt;=90.00))</f>
        <v>0</v>
      </c>
      <c r="AL600">
        <f>OR(AND(IF(metadata!L600="",FALSE,TRUE),OR(exact(metadata!L600,"missing: not collected"),exact(metadata!L600,"missing: not provided"),exact(metadata!L600,"missing: restricted access"))),AND(IF(metadata!L600="",FALSE,ISNUMBER(VALUE(metadata!L600))),metadata!L600&gt;=-180.00,metadata!L600&lt;=180.00))</f>
        <v>0</v>
      </c>
      <c r="AM600">
        <f>IF(metadata!M600="",FALSE,TRUE)</f>
        <v>0</v>
      </c>
      <c r="AN600">
        <f>OR(AND(IF(metadata!N600="",FALSE,TRUE),OR(exact(metadata!N600,"missing: not collected"),exact(metadata!N600,"missing: not provided"),exact(metadata!N600,"missing: restricted access"))),AND(IF(metadata!N600="",FALSE,TRUE),OR(exact(metadata!N600,"TRUE"),exact(metadata!N600,"FALSE"))))</f>
        <v>0</v>
      </c>
      <c r="AO600">
        <f>IF(metadata!O600="",FALSE,TRUE)</f>
        <v>0</v>
      </c>
      <c r="AP600">
        <f>OR(AND(IF(metadata!P600="",FALSE,TRUE),OR(exact(metadata!P600,"missing: not collected"),exact(metadata!P600,"missing: not provided"))),AND(IF(metadata!P600="",FALSE,IF(ISERROR(INT(metadata!P600)),FALSE,INT(metadata!P600)=metadata!P600)),metadata!P600&gt;0))</f>
        <v>0</v>
      </c>
      <c r="AQ600">
        <f>IF(metadata!Q600="",FALSE,TRUE)</f>
        <v>0</v>
      </c>
    </row>
    <row r="601" spans="1:43">
      <c r="A601" s="5">
        <f>IF(B601=" "," ",HYPERLINK(CONCATENATE("#metadata!",ADDRESS(INDEX($W$2:$W$1001,MATCH(ROWS($U$2:U601),$U$2:$U$1001,0),0),1)),INDEX($Z$2:$Z$1001,MATCH(ROWS($U$2:U601),$U$2:$U$1001,0),0)))</f>
        <v>0</v>
      </c>
      <c r="B601" s="4">
        <f>IF(OR(INDEX($V$2:$V$1001,MATCH(ROWS($U$2:U601),$U$2:$U$1001,0),1)&gt;=100000,INDEX($AB$1005:$AQ$1005,1,MATCH(COLUMNS($AB$1006:AB1006),$AB$1006:$AQ$1006,0))&gt;=100000), " ",IF(INDEX($AB$2:$AQ$1001,MATCH(ROWS($U$2:U601),$U$2:$U$1001,0),MATCH(COLUMNS($AB$1006:AB1006),$AB$1006:$AQ$1006,0)), HYPERLINK("#",""), HYPERLINK(CONCATENATE("#metadata!", ADDRESS(INDEX($W$2:$W$1001,MATCH(ROWS($U$2:U601),$U$2:$U$1001,0),0), INDEX($AB$1004:$AQ$1004,1,MATCH(COLUMNS($AB$1006:AB1006),$AB$1006:$AQ$1006,0)))),"Fix")))</f>
        <v>0</v>
      </c>
      <c r="C601" s="4">
        <f>IF(OR(INDEX($V$2:$V$1001,MATCH(ROWS($U$2:U601),$U$2:$U$1001,0),1)&gt;=100000,INDEX($AB$1005:$AQ$1005,1,MATCH(COLUMNS($AB$1006:AC1006),$AB$1006:$AQ$1006,0))&gt;=100000), " ",IF(INDEX($AB$2:$AQ$1001,MATCH(ROWS($U$2:U601),$U$2:$U$1001,0),MATCH(COLUMNS($AB$1006:AC1006),$AB$1006:$AQ$1006,0)), HYPERLINK("#",""), HYPERLINK(CONCATENATE("#metadata!", ADDRESS(INDEX($W$2:$W$1001,MATCH(ROWS($U$2:U601),$U$2:$U$1001,0),0), INDEX($AB$1004:$AQ$1004,1,MATCH(COLUMNS($AB$1006:AC1006),$AB$1006:$AQ$1006,0)))),"Fix")))</f>
        <v>0</v>
      </c>
      <c r="D601" s="4">
        <f>IF(OR(INDEX($V$2:$V$1001,MATCH(ROWS($U$2:U601),$U$2:$U$1001,0),1)&gt;=100000,INDEX($AB$1005:$AQ$1005,1,MATCH(COLUMNS($AB$1006:AD1006),$AB$1006:$AQ$1006,0))&gt;=100000), " ",IF(INDEX($AB$2:$AQ$1001,MATCH(ROWS($U$2:U601),$U$2:$U$1001,0),MATCH(COLUMNS($AB$1006:AD1006),$AB$1006:$AQ$1006,0)), HYPERLINK("#",""), HYPERLINK(CONCATENATE("#metadata!", ADDRESS(INDEX($W$2:$W$1001,MATCH(ROWS($U$2:U601),$U$2:$U$1001,0),0), INDEX($AB$1004:$AQ$1004,1,MATCH(COLUMNS($AB$1006:AD1006),$AB$1006:$AQ$1006,0)))),"Fix")))</f>
        <v>0</v>
      </c>
      <c r="E601" s="4">
        <f>IF(OR(INDEX($V$2:$V$1001,MATCH(ROWS($U$2:U601),$U$2:$U$1001,0),1)&gt;=100000,INDEX($AB$1005:$AQ$1005,1,MATCH(COLUMNS($AB$1006:AE1006),$AB$1006:$AQ$1006,0))&gt;=100000), " ",IF(INDEX($AB$2:$AQ$1001,MATCH(ROWS($U$2:U601),$U$2:$U$1001,0),MATCH(COLUMNS($AB$1006:AE1006),$AB$1006:$AQ$1006,0)), HYPERLINK("#",""), HYPERLINK(CONCATENATE("#metadata!", ADDRESS(INDEX($W$2:$W$1001,MATCH(ROWS($U$2:U601),$U$2:$U$1001,0),0), INDEX($AB$1004:$AQ$1004,1,MATCH(COLUMNS($AB$1006:AE1006),$AB$1006:$AQ$1006,0)))),"Fix")))</f>
        <v>0</v>
      </c>
      <c r="F601" s="4">
        <f>IF(OR(INDEX($V$2:$V$1001,MATCH(ROWS($U$2:U601),$U$2:$U$1001,0),1)&gt;=100000,INDEX($AB$1005:$AQ$1005,1,MATCH(COLUMNS($AB$1006:AF1006),$AB$1006:$AQ$1006,0))&gt;=100000), " ",IF(INDEX($AB$2:$AQ$1001,MATCH(ROWS($U$2:U601),$U$2:$U$1001,0),MATCH(COLUMNS($AB$1006:AF1006),$AB$1006:$AQ$1006,0)), HYPERLINK("#",""), HYPERLINK(CONCATENATE("#metadata!", ADDRESS(INDEX($W$2:$W$1001,MATCH(ROWS($U$2:U601),$U$2:$U$1001,0),0), INDEX($AB$1004:$AQ$1004,1,MATCH(COLUMNS($AB$1006:AF1006),$AB$1006:$AQ$1006,0)))),"Fix")))</f>
        <v>0</v>
      </c>
      <c r="G601" s="4">
        <f>IF(OR(INDEX($V$2:$V$1001,MATCH(ROWS($U$2:U601),$U$2:$U$1001,0),1)&gt;=100000,INDEX($AB$1005:$AQ$1005,1,MATCH(COLUMNS($AB$1006:AG1006),$AB$1006:$AQ$1006,0))&gt;=100000), " ",IF(INDEX($AB$2:$AQ$1001,MATCH(ROWS($U$2:U601),$U$2:$U$1001,0),MATCH(COLUMNS($AB$1006:AG1006),$AB$1006:$AQ$1006,0)), HYPERLINK("#",""), HYPERLINK(CONCATENATE("#metadata!", ADDRESS(INDEX($W$2:$W$1001,MATCH(ROWS($U$2:U601),$U$2:$U$1001,0),0), INDEX($AB$1004:$AQ$1004,1,MATCH(COLUMNS($AB$1006:AG1006),$AB$1006:$AQ$1006,0)))),"Fix")))</f>
        <v>0</v>
      </c>
      <c r="H601" s="4">
        <f>IF(OR(INDEX($V$2:$V$1001,MATCH(ROWS($U$2:U601),$U$2:$U$1001,0),1)&gt;=100000,INDEX($AB$1005:$AQ$1005,1,MATCH(COLUMNS($AB$1006:AH1006),$AB$1006:$AQ$1006,0))&gt;=100000), " ",IF(INDEX($AB$2:$AQ$1001,MATCH(ROWS($U$2:U601),$U$2:$U$1001,0),MATCH(COLUMNS($AB$1006:AH1006),$AB$1006:$AQ$1006,0)), HYPERLINK("#",""), HYPERLINK(CONCATENATE("#metadata!", ADDRESS(INDEX($W$2:$W$1001,MATCH(ROWS($U$2:U601),$U$2:$U$1001,0),0), INDEX($AB$1004:$AQ$1004,1,MATCH(COLUMNS($AB$1006:AH1006),$AB$1006:$AQ$1006,0)))),"Fix")))</f>
        <v>0</v>
      </c>
      <c r="I601" s="4">
        <f>IF(OR(INDEX($V$2:$V$1001,MATCH(ROWS($U$2:U601),$U$2:$U$1001,0),1)&gt;=100000,INDEX($AB$1005:$AQ$1005,1,MATCH(COLUMNS($AB$1006:AI1006),$AB$1006:$AQ$1006,0))&gt;=100000), " ",IF(INDEX($AB$2:$AQ$1001,MATCH(ROWS($U$2:U601),$U$2:$U$1001,0),MATCH(COLUMNS($AB$1006:AI1006),$AB$1006:$AQ$1006,0)), HYPERLINK("#",""), HYPERLINK(CONCATENATE("#metadata!", ADDRESS(INDEX($W$2:$W$1001,MATCH(ROWS($U$2:U601),$U$2:$U$1001,0),0), INDEX($AB$1004:$AQ$1004,1,MATCH(COLUMNS($AB$1006:AI1006),$AB$1006:$AQ$1006,0)))),"Fix")))</f>
        <v>0</v>
      </c>
      <c r="J601" s="4">
        <f>IF(OR(INDEX($V$2:$V$1001,MATCH(ROWS($U$2:U601),$U$2:$U$1001,0),1)&gt;=100000,INDEX($AB$1005:$AQ$1005,1,MATCH(COLUMNS($AB$1006:AJ1006),$AB$1006:$AQ$1006,0))&gt;=100000), " ",IF(INDEX($AB$2:$AQ$1001,MATCH(ROWS($U$2:U601),$U$2:$U$1001,0),MATCH(COLUMNS($AB$1006:AJ1006),$AB$1006:$AQ$1006,0)), HYPERLINK("#",""), HYPERLINK(CONCATENATE("#metadata!", ADDRESS(INDEX($W$2:$W$1001,MATCH(ROWS($U$2:U601),$U$2:$U$1001,0),0), INDEX($AB$1004:$AQ$1004,1,MATCH(COLUMNS($AB$1006:AJ1006),$AB$1006:$AQ$1006,0)))),"Fix")))</f>
        <v>0</v>
      </c>
      <c r="K601" s="4">
        <f>IF(OR(INDEX($V$2:$V$1001,MATCH(ROWS($U$2:U601),$U$2:$U$1001,0),1)&gt;=100000,INDEX($AB$1005:$AQ$1005,1,MATCH(COLUMNS($AB$1006:AK1006),$AB$1006:$AQ$1006,0))&gt;=100000), " ",IF(INDEX($AB$2:$AQ$1001,MATCH(ROWS($U$2:U601),$U$2:$U$1001,0),MATCH(COLUMNS($AB$1006:AK1006),$AB$1006:$AQ$1006,0)), HYPERLINK("#",""), HYPERLINK(CONCATENATE("#metadata!", ADDRESS(INDEX($W$2:$W$1001,MATCH(ROWS($U$2:U601),$U$2:$U$1001,0),0), INDEX($AB$1004:$AQ$1004,1,MATCH(COLUMNS($AB$1006:AK1006),$AB$1006:$AQ$1006,0)))),"Fix")))</f>
        <v>0</v>
      </c>
      <c r="L601" s="4">
        <f>IF(OR(INDEX($V$2:$V$1001,MATCH(ROWS($U$2:U601),$U$2:$U$1001,0),1)&gt;=100000,INDEX($AB$1005:$AQ$1005,1,MATCH(COLUMNS($AB$1006:AL1006),$AB$1006:$AQ$1006,0))&gt;=100000), " ",IF(INDEX($AB$2:$AQ$1001,MATCH(ROWS($U$2:U601),$U$2:$U$1001,0),MATCH(COLUMNS($AB$1006:AL1006),$AB$1006:$AQ$1006,0)), HYPERLINK("#",""), HYPERLINK(CONCATENATE("#metadata!", ADDRESS(INDEX($W$2:$W$1001,MATCH(ROWS($U$2:U601),$U$2:$U$1001,0),0), INDEX($AB$1004:$AQ$1004,1,MATCH(COLUMNS($AB$1006:AL1006),$AB$1006:$AQ$1006,0)))),"Fix")))</f>
        <v>0</v>
      </c>
      <c r="M601" s="4">
        <f>IF(OR(INDEX($V$2:$V$1001,MATCH(ROWS($U$2:U601),$U$2:$U$1001,0),1)&gt;=100000,INDEX($AB$1005:$AQ$1005,1,MATCH(COLUMNS($AB$1006:AM1006),$AB$1006:$AQ$1006,0))&gt;=100000), " ",IF(INDEX($AB$2:$AQ$1001,MATCH(ROWS($U$2:U601),$U$2:$U$1001,0),MATCH(COLUMNS($AB$1006:AM1006),$AB$1006:$AQ$1006,0)), HYPERLINK("#",""), HYPERLINK(CONCATENATE("#metadata!", ADDRESS(INDEX($W$2:$W$1001,MATCH(ROWS($U$2:U601),$U$2:$U$1001,0),0), INDEX($AB$1004:$AQ$1004,1,MATCH(COLUMNS($AB$1006:AM1006),$AB$1006:$AQ$1006,0)))),"Fix")))</f>
        <v>0</v>
      </c>
      <c r="N601" s="4">
        <f>IF(OR(INDEX($V$2:$V$1001,MATCH(ROWS($U$2:U601),$U$2:$U$1001,0),1)&gt;=100000,INDEX($AB$1005:$AQ$1005,1,MATCH(COLUMNS($AB$1006:AN1006),$AB$1006:$AQ$1006,0))&gt;=100000), " ",IF(INDEX($AB$2:$AQ$1001,MATCH(ROWS($U$2:U601),$U$2:$U$1001,0),MATCH(COLUMNS($AB$1006:AN1006),$AB$1006:$AQ$1006,0)), HYPERLINK("#",""), HYPERLINK(CONCATENATE("#metadata!", ADDRESS(INDEX($W$2:$W$1001,MATCH(ROWS($U$2:U601),$U$2:$U$1001,0),0), INDEX($AB$1004:$AQ$1004,1,MATCH(COLUMNS($AB$1006:AN1006),$AB$1006:$AQ$1006,0)))),"Fix")))</f>
        <v>0</v>
      </c>
      <c r="O601" s="4">
        <f>IF(OR(INDEX($V$2:$V$1001,MATCH(ROWS($U$2:U601),$U$2:$U$1001,0),1)&gt;=100000,INDEX($AB$1005:$AQ$1005,1,MATCH(COLUMNS($AB$1006:AO1006),$AB$1006:$AQ$1006,0))&gt;=100000), " ",IF(INDEX($AB$2:$AQ$1001,MATCH(ROWS($U$2:U601),$U$2:$U$1001,0),MATCH(COLUMNS($AB$1006:AO1006),$AB$1006:$AQ$1006,0)), HYPERLINK("#",""), HYPERLINK(CONCATENATE("#metadata!", ADDRESS(INDEX($W$2:$W$1001,MATCH(ROWS($U$2:U601),$U$2:$U$1001,0),0), INDEX($AB$1004:$AQ$1004,1,MATCH(COLUMNS($AB$1006:AO1006),$AB$1006:$AQ$1006,0)))),"Fix")))</f>
        <v>0</v>
      </c>
      <c r="P601" s="4">
        <f>IF(OR(INDEX($V$2:$V$1001,MATCH(ROWS($U$2:U601),$U$2:$U$1001,0),1)&gt;=100000,INDEX($AB$1005:$AQ$1005,1,MATCH(COLUMNS($AB$1006:AP1006),$AB$1006:$AQ$1006,0))&gt;=100000), " ",IF(INDEX($AB$2:$AQ$1001,MATCH(ROWS($U$2:U601),$U$2:$U$1001,0),MATCH(COLUMNS($AB$1006:AP1006),$AB$1006:$AQ$1006,0)), HYPERLINK("#",""), HYPERLINK(CONCATENATE("#metadata!", ADDRESS(INDEX($W$2:$W$1001,MATCH(ROWS($U$2:U601),$U$2:$U$1001,0),0), INDEX($AB$1004:$AQ$1004,1,MATCH(COLUMNS($AB$1006:AP1006),$AB$1006:$AQ$1006,0)))),"Fix")))</f>
        <v>0</v>
      </c>
      <c r="Q601" s="4">
        <f>IF(OR(INDEX($V$2:$V$1001,MATCH(ROWS($U$2:U601),$U$2:$U$1001,0),1)&gt;=100000,INDEX($AB$1005:$AQ$1005,1,MATCH(COLUMNS($AB$1006:AQ1006),$AB$1006:$AQ$1006,0))&gt;=100000), " ",IF(INDEX($AB$2:$AQ$1001,MATCH(ROWS($U$2:U601),$U$2:$U$1001,0),MATCH(COLUMNS($AB$1006:AQ1006),$AB$1006:$AQ$1006,0)), HYPERLINK("#",""), HYPERLINK(CONCATENATE("#metadata!", ADDRESS(INDEX($W$2:$W$1001,MATCH(ROWS($U$2:U601),$U$2:$U$1001,0),0), INDEX($AB$1004:$AQ$1004,1,MATCH(COLUMNS($AB$1006:AQ1006),$AB$1006:$AQ$1006,0)))),"Fix")))</f>
        <v>0</v>
      </c>
      <c r="U601">
        <v>0</v>
      </c>
      <c r="V601">
        <v>0</v>
      </c>
      <c r="W601">
        <v>0</v>
      </c>
      <c r="X601">
        <f>IF(Y601,TRUE,AND(AB601:AQ601))</f>
        <v>0</v>
      </c>
      <c r="Y601">
        <f>COUNTBLANK(metadata!B601:Q601)=COLUMNS(metadata!B601:Q601)</f>
        <v>0</v>
      </c>
      <c r="Z601">
        <v>0</v>
      </c>
      <c r="AB601">
        <f>AND(IF(metadata!B601="",FALSE,TRUE),COUNTIF(metadata!B:B, metadata!B601) = 1,NOT(ISERROR(SUMPRODUCT(SEARCH(MID(metadata!B601,ROW(INDIRECT("1:"&amp;LEN(metadata!B601))), 1),"0123456789abcdefghijklmnopqrstuvwxyzABCDEFGHIJKLMNOPQRSTUVWXYZ.")))))</f>
        <v>0</v>
      </c>
      <c r="AC601">
        <f>OR(AND(IF(metadata!C601="",FALSE,TRUE),OR(exact(metadata!C601,"missing: not collected"),exact(metadata!C601,"missing: not provided"),exact(metadata!C601,"missing: restricted access"))),AND(IF(metadata!C601="",FALSE,TRUE),AND(AND(IFERROR(INT(LEFT(metadata!C601,4))&gt;1900,FALSE),IFERROR(INT(LEFT(metadata!C601,4))&lt;=YEAR(NOW()),FALSE)), OR(MID(metadata!C601,5,1)="", AND(AND(MID(metadata!C601,5,1)="-",IFERROR(INT(MID(metadata!C601,6,1))&gt;=0,FALSE),IFERROR(INT(MID(metadata!C601,6,1))&lt;=1,FALSE),NOT(MID(metadata!C601,7,1)=""),IFERROR(INT(MID(metadata!C601,6,2))&gt;=1,FALSE),IFERROR(INT(MID(metadata!C601,6,2))&lt;=12,FALSE)), OR(MID(metadata!C601,8,1)="", AND(AND(MID(metadata!C601,8,1)="-",IFERROR(INT(MID(metadata!C601,9,1))&gt;=0,FALSE),IFERROR(INT(MID(metadata!C601,9,1))&lt;=3,FALSE),NOT(MID(metadata!C601,10,1)=""),IFERROR(INT(MID(metadata!C601,9,2))&gt;=1,FALSE),IFERROR(INT(MID(metadata!C601,9,2))&lt;=31,FALSE)), OR(MID(metadata!C601,11,1)="", AND(AND(MID(metadata!C601,11,1)=" ",IFERROR(INT(MID(metadata!C601,12,1))&gt;=0,FALSE),IFERROR(INT(MID(metadata!C601,12,1))&lt;=2,FALSE),NOT(MID(metadata!C601,13,1)=""),IFERROR(INT(MID(metadata!C601,12,2))&gt;=0,FALSE),IFERROR(INT(MID(metadata!C601,12,2))&lt;=23,FALSE)), OR(MID(metadata!C601,14,1)="", AND(AND(MID(metadata!C601,14,1)=":",IFERROR(INT(MID(metadata!C601,15,1))&gt;=0,FALSE),IFERROR(INT(MID(metadata!C601,15,1))&lt;=5,FALSE),NOT(MID(metadata!C601,16,1)=""),IFERROR(INT(MID(metadata!C601,15,2))&gt;=0,FALSE),IFERROR(INT(MID(metadata!C601,15,2))&lt;=59,FALSE)), OR(MID(metadata!C601,17,1)="", AND(AND(MID(metadata!C601,17,1)=":",IFERROR(INT(MID(metadata!C601,18,1))&gt;=0,FALSE),IFERROR(INT(MID(metadata!C601,18,1))&lt;=5,FALSE),NOT(MID(metadata!C601,19,1)=""),IFERROR(INT(MID(metadata!C601,18,2))&gt;=0,FALSE),IFERROR(INT(MID(metadata!C601,18,2))&lt;=59,FALSE)), LEN(metadata!C601)&lt;=19)))))))))))))</f>
        <v>0</v>
      </c>
      <c r="AD601">
        <f>IF(metadata!D601="",FALSE,TRUE)</f>
        <v>0</v>
      </c>
      <c r="AE601">
        <f>OR(AND(IF(metadata!E601="",FALSE,TRUE),OR(exact(metadata!E601,"missing: not collected"),exact(metadata!E601,"missing: not provided"))),AND(IF(metadata!E601="",FALSE,TRUE),OR(exact(metadata!E601,"TRUE"),exact(metadata!E601,"FALSE"))))</f>
        <v>0</v>
      </c>
      <c r="AF601">
        <f>IF(metadata!F601="",FALSE,TRUE)</f>
        <v>0</v>
      </c>
      <c r="AG601">
        <f>IF(metadata!G601="",FALSE,TRUE)</f>
        <v>0</v>
      </c>
      <c r="AH601">
        <f>IF(metadata!H601="",FALSE,TRUE)</f>
        <v>0</v>
      </c>
      <c r="AI601">
        <f>OR(AND(IF(metadata!I601="",FALSE,TRUE),OR(exact(metadata!I601,"missing: not collected"),exact(metadata!I601,"missing: not provided"),exact(metadata!I601,"missing: restricted access"))),AND(IF(metadata!I601="",FALSE,TRUE),OR(exact(metadata!I601,"air"),exact(metadata!I601,"built environment"),exact(metadata!I601,"host-associated"),exact(metadata!I601,"human-associated"),exact(metadata!I601,"human-skin"),exact(metadata!I601,"human-oral"),exact(metadata!I601,"human-gut"),exact(metadata!I601,"human-vaginal"),exact(metadata!I601,"microbial mat/biofilm"),exact(metadata!I601,"misc environment"),exact(metadata!I601,"plant-associated"),exact(metadata!I601,"sediment"),exact(metadata!I601,"soil"),exact(metadata!I601,"wastewater/sludge"),exact(metadata!I601,"water"))))</f>
        <v>0</v>
      </c>
      <c r="AJ601">
        <f>IF(metadata!J601="",FALSE,TRUE)</f>
        <v>0</v>
      </c>
      <c r="AK601">
        <f>OR(AND(IF(metadata!K601="",FALSE,TRUE),OR(exact(metadata!K601,"missing: not collected"),exact(metadata!K601,"missing: not provided"),exact(metadata!K601,"missing: restricted access"))),AND(IF(metadata!K601="",FALSE,ISNUMBER(VALUE(metadata!K601))),metadata!K601&gt;=-90.00,metadata!K601&lt;=90.00))</f>
        <v>0</v>
      </c>
      <c r="AL601">
        <f>OR(AND(IF(metadata!L601="",FALSE,TRUE),OR(exact(metadata!L601,"missing: not collected"),exact(metadata!L601,"missing: not provided"),exact(metadata!L601,"missing: restricted access"))),AND(IF(metadata!L601="",FALSE,ISNUMBER(VALUE(metadata!L601))),metadata!L601&gt;=-180.00,metadata!L601&lt;=180.00))</f>
        <v>0</v>
      </c>
      <c r="AM601">
        <f>IF(metadata!M601="",FALSE,TRUE)</f>
        <v>0</v>
      </c>
      <c r="AN601">
        <f>OR(AND(IF(metadata!N601="",FALSE,TRUE),OR(exact(metadata!N601,"missing: not collected"),exact(metadata!N601,"missing: not provided"),exact(metadata!N601,"missing: restricted access"))),AND(IF(metadata!N601="",FALSE,TRUE),OR(exact(metadata!N601,"TRUE"),exact(metadata!N601,"FALSE"))))</f>
        <v>0</v>
      </c>
      <c r="AO601">
        <f>IF(metadata!O601="",FALSE,TRUE)</f>
        <v>0</v>
      </c>
      <c r="AP601">
        <f>OR(AND(IF(metadata!P601="",FALSE,TRUE),OR(exact(metadata!P601,"missing: not collected"),exact(metadata!P601,"missing: not provided"))),AND(IF(metadata!P601="",FALSE,IF(ISERROR(INT(metadata!P601)),FALSE,INT(metadata!P601)=metadata!P601)),metadata!P601&gt;0))</f>
        <v>0</v>
      </c>
      <c r="AQ601">
        <f>IF(metadata!Q601="",FALSE,TRUE)</f>
        <v>0</v>
      </c>
    </row>
    <row r="602" spans="1:43">
      <c r="A602" s="5">
        <f>IF(B602=" "," ",HYPERLINK(CONCATENATE("#metadata!",ADDRESS(INDEX($W$2:$W$1001,MATCH(ROWS($U$2:U602),$U$2:$U$1001,0),0),1)),INDEX($Z$2:$Z$1001,MATCH(ROWS($U$2:U602),$U$2:$U$1001,0),0)))</f>
        <v>0</v>
      </c>
      <c r="B602" s="4">
        <f>IF(OR(INDEX($V$2:$V$1001,MATCH(ROWS($U$2:U602),$U$2:$U$1001,0),1)&gt;=100000,INDEX($AB$1005:$AQ$1005,1,MATCH(COLUMNS($AB$1006:AB1006),$AB$1006:$AQ$1006,0))&gt;=100000), " ",IF(INDEX($AB$2:$AQ$1001,MATCH(ROWS($U$2:U602),$U$2:$U$1001,0),MATCH(COLUMNS($AB$1006:AB1006),$AB$1006:$AQ$1006,0)), HYPERLINK("#",""), HYPERLINK(CONCATENATE("#metadata!", ADDRESS(INDEX($W$2:$W$1001,MATCH(ROWS($U$2:U602),$U$2:$U$1001,0),0), INDEX($AB$1004:$AQ$1004,1,MATCH(COLUMNS($AB$1006:AB1006),$AB$1006:$AQ$1006,0)))),"Fix")))</f>
        <v>0</v>
      </c>
      <c r="C602" s="4">
        <f>IF(OR(INDEX($V$2:$V$1001,MATCH(ROWS($U$2:U602),$U$2:$U$1001,0),1)&gt;=100000,INDEX($AB$1005:$AQ$1005,1,MATCH(COLUMNS($AB$1006:AC1006),$AB$1006:$AQ$1006,0))&gt;=100000), " ",IF(INDEX($AB$2:$AQ$1001,MATCH(ROWS($U$2:U602),$U$2:$U$1001,0),MATCH(COLUMNS($AB$1006:AC1006),$AB$1006:$AQ$1006,0)), HYPERLINK("#",""), HYPERLINK(CONCATENATE("#metadata!", ADDRESS(INDEX($W$2:$W$1001,MATCH(ROWS($U$2:U602),$U$2:$U$1001,0),0), INDEX($AB$1004:$AQ$1004,1,MATCH(COLUMNS($AB$1006:AC1006),$AB$1006:$AQ$1006,0)))),"Fix")))</f>
        <v>0</v>
      </c>
      <c r="D602" s="4">
        <f>IF(OR(INDEX($V$2:$V$1001,MATCH(ROWS($U$2:U602),$U$2:$U$1001,0),1)&gt;=100000,INDEX($AB$1005:$AQ$1005,1,MATCH(COLUMNS($AB$1006:AD1006),$AB$1006:$AQ$1006,0))&gt;=100000), " ",IF(INDEX($AB$2:$AQ$1001,MATCH(ROWS($U$2:U602),$U$2:$U$1001,0),MATCH(COLUMNS($AB$1006:AD1006),$AB$1006:$AQ$1006,0)), HYPERLINK("#",""), HYPERLINK(CONCATENATE("#metadata!", ADDRESS(INDEX($W$2:$W$1001,MATCH(ROWS($U$2:U602),$U$2:$U$1001,0),0), INDEX($AB$1004:$AQ$1004,1,MATCH(COLUMNS($AB$1006:AD1006),$AB$1006:$AQ$1006,0)))),"Fix")))</f>
        <v>0</v>
      </c>
      <c r="E602" s="4">
        <f>IF(OR(INDEX($V$2:$V$1001,MATCH(ROWS($U$2:U602),$U$2:$U$1001,0),1)&gt;=100000,INDEX($AB$1005:$AQ$1005,1,MATCH(COLUMNS($AB$1006:AE1006),$AB$1006:$AQ$1006,0))&gt;=100000), " ",IF(INDEX($AB$2:$AQ$1001,MATCH(ROWS($U$2:U602),$U$2:$U$1001,0),MATCH(COLUMNS($AB$1006:AE1006),$AB$1006:$AQ$1006,0)), HYPERLINK("#",""), HYPERLINK(CONCATENATE("#metadata!", ADDRESS(INDEX($W$2:$W$1001,MATCH(ROWS($U$2:U602),$U$2:$U$1001,0),0), INDEX($AB$1004:$AQ$1004,1,MATCH(COLUMNS($AB$1006:AE1006),$AB$1006:$AQ$1006,0)))),"Fix")))</f>
        <v>0</v>
      </c>
      <c r="F602" s="4">
        <f>IF(OR(INDEX($V$2:$V$1001,MATCH(ROWS($U$2:U602),$U$2:$U$1001,0),1)&gt;=100000,INDEX($AB$1005:$AQ$1005,1,MATCH(COLUMNS($AB$1006:AF1006),$AB$1006:$AQ$1006,0))&gt;=100000), " ",IF(INDEX($AB$2:$AQ$1001,MATCH(ROWS($U$2:U602),$U$2:$U$1001,0),MATCH(COLUMNS($AB$1006:AF1006),$AB$1006:$AQ$1006,0)), HYPERLINK("#",""), HYPERLINK(CONCATENATE("#metadata!", ADDRESS(INDEX($W$2:$W$1001,MATCH(ROWS($U$2:U602),$U$2:$U$1001,0),0), INDEX($AB$1004:$AQ$1004,1,MATCH(COLUMNS($AB$1006:AF1006),$AB$1006:$AQ$1006,0)))),"Fix")))</f>
        <v>0</v>
      </c>
      <c r="G602" s="4">
        <f>IF(OR(INDEX($V$2:$V$1001,MATCH(ROWS($U$2:U602),$U$2:$U$1001,0),1)&gt;=100000,INDEX($AB$1005:$AQ$1005,1,MATCH(COLUMNS($AB$1006:AG1006),$AB$1006:$AQ$1006,0))&gt;=100000), " ",IF(INDEX($AB$2:$AQ$1001,MATCH(ROWS($U$2:U602),$U$2:$U$1001,0),MATCH(COLUMNS($AB$1006:AG1006),$AB$1006:$AQ$1006,0)), HYPERLINK("#",""), HYPERLINK(CONCATENATE("#metadata!", ADDRESS(INDEX($W$2:$W$1001,MATCH(ROWS($U$2:U602),$U$2:$U$1001,0),0), INDEX($AB$1004:$AQ$1004,1,MATCH(COLUMNS($AB$1006:AG1006),$AB$1006:$AQ$1006,0)))),"Fix")))</f>
        <v>0</v>
      </c>
      <c r="H602" s="4">
        <f>IF(OR(INDEX($V$2:$V$1001,MATCH(ROWS($U$2:U602),$U$2:$U$1001,0),1)&gt;=100000,INDEX($AB$1005:$AQ$1005,1,MATCH(COLUMNS($AB$1006:AH1006),$AB$1006:$AQ$1006,0))&gt;=100000), " ",IF(INDEX($AB$2:$AQ$1001,MATCH(ROWS($U$2:U602),$U$2:$U$1001,0),MATCH(COLUMNS($AB$1006:AH1006),$AB$1006:$AQ$1006,0)), HYPERLINK("#",""), HYPERLINK(CONCATENATE("#metadata!", ADDRESS(INDEX($W$2:$W$1001,MATCH(ROWS($U$2:U602),$U$2:$U$1001,0),0), INDEX($AB$1004:$AQ$1004,1,MATCH(COLUMNS($AB$1006:AH1006),$AB$1006:$AQ$1006,0)))),"Fix")))</f>
        <v>0</v>
      </c>
      <c r="I602" s="4">
        <f>IF(OR(INDEX($V$2:$V$1001,MATCH(ROWS($U$2:U602),$U$2:$U$1001,0),1)&gt;=100000,INDEX($AB$1005:$AQ$1005,1,MATCH(COLUMNS($AB$1006:AI1006),$AB$1006:$AQ$1006,0))&gt;=100000), " ",IF(INDEX($AB$2:$AQ$1001,MATCH(ROWS($U$2:U602),$U$2:$U$1001,0),MATCH(COLUMNS($AB$1006:AI1006),$AB$1006:$AQ$1006,0)), HYPERLINK("#",""), HYPERLINK(CONCATENATE("#metadata!", ADDRESS(INDEX($W$2:$W$1001,MATCH(ROWS($U$2:U602),$U$2:$U$1001,0),0), INDEX($AB$1004:$AQ$1004,1,MATCH(COLUMNS($AB$1006:AI1006),$AB$1006:$AQ$1006,0)))),"Fix")))</f>
        <v>0</v>
      </c>
      <c r="J602" s="4">
        <f>IF(OR(INDEX($V$2:$V$1001,MATCH(ROWS($U$2:U602),$U$2:$U$1001,0),1)&gt;=100000,INDEX($AB$1005:$AQ$1005,1,MATCH(COLUMNS($AB$1006:AJ1006),$AB$1006:$AQ$1006,0))&gt;=100000), " ",IF(INDEX($AB$2:$AQ$1001,MATCH(ROWS($U$2:U602),$U$2:$U$1001,0),MATCH(COLUMNS($AB$1006:AJ1006),$AB$1006:$AQ$1006,0)), HYPERLINK("#",""), HYPERLINK(CONCATENATE("#metadata!", ADDRESS(INDEX($W$2:$W$1001,MATCH(ROWS($U$2:U602),$U$2:$U$1001,0),0), INDEX($AB$1004:$AQ$1004,1,MATCH(COLUMNS($AB$1006:AJ1006),$AB$1006:$AQ$1006,0)))),"Fix")))</f>
        <v>0</v>
      </c>
      <c r="K602" s="4">
        <f>IF(OR(INDEX($V$2:$V$1001,MATCH(ROWS($U$2:U602),$U$2:$U$1001,0),1)&gt;=100000,INDEX($AB$1005:$AQ$1005,1,MATCH(COLUMNS($AB$1006:AK1006),$AB$1006:$AQ$1006,0))&gt;=100000), " ",IF(INDEX($AB$2:$AQ$1001,MATCH(ROWS($U$2:U602),$U$2:$U$1001,0),MATCH(COLUMNS($AB$1006:AK1006),$AB$1006:$AQ$1006,0)), HYPERLINK("#",""), HYPERLINK(CONCATENATE("#metadata!", ADDRESS(INDEX($W$2:$W$1001,MATCH(ROWS($U$2:U602),$U$2:$U$1001,0),0), INDEX($AB$1004:$AQ$1004,1,MATCH(COLUMNS($AB$1006:AK1006),$AB$1006:$AQ$1006,0)))),"Fix")))</f>
        <v>0</v>
      </c>
      <c r="L602" s="4">
        <f>IF(OR(INDEX($V$2:$V$1001,MATCH(ROWS($U$2:U602),$U$2:$U$1001,0),1)&gt;=100000,INDEX($AB$1005:$AQ$1005,1,MATCH(COLUMNS($AB$1006:AL1006),$AB$1006:$AQ$1006,0))&gt;=100000), " ",IF(INDEX($AB$2:$AQ$1001,MATCH(ROWS($U$2:U602),$U$2:$U$1001,0),MATCH(COLUMNS($AB$1006:AL1006),$AB$1006:$AQ$1006,0)), HYPERLINK("#",""), HYPERLINK(CONCATENATE("#metadata!", ADDRESS(INDEX($W$2:$W$1001,MATCH(ROWS($U$2:U602),$U$2:$U$1001,0),0), INDEX($AB$1004:$AQ$1004,1,MATCH(COLUMNS($AB$1006:AL1006),$AB$1006:$AQ$1006,0)))),"Fix")))</f>
        <v>0</v>
      </c>
      <c r="M602" s="4">
        <f>IF(OR(INDEX($V$2:$V$1001,MATCH(ROWS($U$2:U602),$U$2:$U$1001,0),1)&gt;=100000,INDEX($AB$1005:$AQ$1005,1,MATCH(COLUMNS($AB$1006:AM1006),$AB$1006:$AQ$1006,0))&gt;=100000), " ",IF(INDEX($AB$2:$AQ$1001,MATCH(ROWS($U$2:U602),$U$2:$U$1001,0),MATCH(COLUMNS($AB$1006:AM1006),$AB$1006:$AQ$1006,0)), HYPERLINK("#",""), HYPERLINK(CONCATENATE("#metadata!", ADDRESS(INDEX($W$2:$W$1001,MATCH(ROWS($U$2:U602),$U$2:$U$1001,0),0), INDEX($AB$1004:$AQ$1004,1,MATCH(COLUMNS($AB$1006:AM1006),$AB$1006:$AQ$1006,0)))),"Fix")))</f>
        <v>0</v>
      </c>
      <c r="N602" s="4">
        <f>IF(OR(INDEX($V$2:$V$1001,MATCH(ROWS($U$2:U602),$U$2:$U$1001,0),1)&gt;=100000,INDEX($AB$1005:$AQ$1005,1,MATCH(COLUMNS($AB$1006:AN1006),$AB$1006:$AQ$1006,0))&gt;=100000), " ",IF(INDEX($AB$2:$AQ$1001,MATCH(ROWS($U$2:U602),$U$2:$U$1001,0),MATCH(COLUMNS($AB$1006:AN1006),$AB$1006:$AQ$1006,0)), HYPERLINK("#",""), HYPERLINK(CONCATENATE("#metadata!", ADDRESS(INDEX($W$2:$W$1001,MATCH(ROWS($U$2:U602),$U$2:$U$1001,0),0), INDEX($AB$1004:$AQ$1004,1,MATCH(COLUMNS($AB$1006:AN1006),$AB$1006:$AQ$1006,0)))),"Fix")))</f>
        <v>0</v>
      </c>
      <c r="O602" s="4">
        <f>IF(OR(INDEX($V$2:$V$1001,MATCH(ROWS($U$2:U602),$U$2:$U$1001,0),1)&gt;=100000,INDEX($AB$1005:$AQ$1005,1,MATCH(COLUMNS($AB$1006:AO1006),$AB$1006:$AQ$1006,0))&gt;=100000), " ",IF(INDEX($AB$2:$AQ$1001,MATCH(ROWS($U$2:U602),$U$2:$U$1001,0),MATCH(COLUMNS($AB$1006:AO1006),$AB$1006:$AQ$1006,0)), HYPERLINK("#",""), HYPERLINK(CONCATENATE("#metadata!", ADDRESS(INDEX($W$2:$W$1001,MATCH(ROWS($U$2:U602),$U$2:$U$1001,0),0), INDEX($AB$1004:$AQ$1004,1,MATCH(COLUMNS($AB$1006:AO1006),$AB$1006:$AQ$1006,0)))),"Fix")))</f>
        <v>0</v>
      </c>
      <c r="P602" s="4">
        <f>IF(OR(INDEX($V$2:$V$1001,MATCH(ROWS($U$2:U602),$U$2:$U$1001,0),1)&gt;=100000,INDEX($AB$1005:$AQ$1005,1,MATCH(COLUMNS($AB$1006:AP1006),$AB$1006:$AQ$1006,0))&gt;=100000), " ",IF(INDEX($AB$2:$AQ$1001,MATCH(ROWS($U$2:U602),$U$2:$U$1001,0),MATCH(COLUMNS($AB$1006:AP1006),$AB$1006:$AQ$1006,0)), HYPERLINK("#",""), HYPERLINK(CONCATENATE("#metadata!", ADDRESS(INDEX($W$2:$W$1001,MATCH(ROWS($U$2:U602),$U$2:$U$1001,0),0), INDEX($AB$1004:$AQ$1004,1,MATCH(COLUMNS($AB$1006:AP1006),$AB$1006:$AQ$1006,0)))),"Fix")))</f>
        <v>0</v>
      </c>
      <c r="Q602" s="4">
        <f>IF(OR(INDEX($V$2:$V$1001,MATCH(ROWS($U$2:U602),$U$2:$U$1001,0),1)&gt;=100000,INDEX($AB$1005:$AQ$1005,1,MATCH(COLUMNS($AB$1006:AQ1006),$AB$1006:$AQ$1006,0))&gt;=100000), " ",IF(INDEX($AB$2:$AQ$1001,MATCH(ROWS($U$2:U602),$U$2:$U$1001,0),MATCH(COLUMNS($AB$1006:AQ1006),$AB$1006:$AQ$1006,0)), HYPERLINK("#",""), HYPERLINK(CONCATENATE("#metadata!", ADDRESS(INDEX($W$2:$W$1001,MATCH(ROWS($U$2:U602),$U$2:$U$1001,0),0), INDEX($AB$1004:$AQ$1004,1,MATCH(COLUMNS($AB$1006:AQ1006),$AB$1006:$AQ$1006,0)))),"Fix")))</f>
        <v>0</v>
      </c>
      <c r="U602">
        <v>0</v>
      </c>
      <c r="V602">
        <v>0</v>
      </c>
      <c r="W602">
        <v>0</v>
      </c>
      <c r="X602">
        <f>IF(Y602,TRUE,AND(AB602:AQ602))</f>
        <v>0</v>
      </c>
      <c r="Y602">
        <f>COUNTBLANK(metadata!B602:Q602)=COLUMNS(metadata!B602:Q602)</f>
        <v>0</v>
      </c>
      <c r="Z602">
        <v>0</v>
      </c>
      <c r="AB602">
        <f>AND(IF(metadata!B602="",FALSE,TRUE),COUNTIF(metadata!B:B, metadata!B602) = 1,NOT(ISERROR(SUMPRODUCT(SEARCH(MID(metadata!B602,ROW(INDIRECT("1:"&amp;LEN(metadata!B602))), 1),"0123456789abcdefghijklmnopqrstuvwxyzABCDEFGHIJKLMNOPQRSTUVWXYZ.")))))</f>
        <v>0</v>
      </c>
      <c r="AC602">
        <f>OR(AND(IF(metadata!C602="",FALSE,TRUE),OR(exact(metadata!C602,"missing: not collected"),exact(metadata!C602,"missing: not provided"),exact(metadata!C602,"missing: restricted access"))),AND(IF(metadata!C602="",FALSE,TRUE),AND(AND(IFERROR(INT(LEFT(metadata!C602,4))&gt;1900,FALSE),IFERROR(INT(LEFT(metadata!C602,4))&lt;=YEAR(NOW()),FALSE)), OR(MID(metadata!C602,5,1)="", AND(AND(MID(metadata!C602,5,1)="-",IFERROR(INT(MID(metadata!C602,6,1))&gt;=0,FALSE),IFERROR(INT(MID(metadata!C602,6,1))&lt;=1,FALSE),NOT(MID(metadata!C602,7,1)=""),IFERROR(INT(MID(metadata!C602,6,2))&gt;=1,FALSE),IFERROR(INT(MID(metadata!C602,6,2))&lt;=12,FALSE)), OR(MID(metadata!C602,8,1)="", AND(AND(MID(metadata!C602,8,1)="-",IFERROR(INT(MID(metadata!C602,9,1))&gt;=0,FALSE),IFERROR(INT(MID(metadata!C602,9,1))&lt;=3,FALSE),NOT(MID(metadata!C602,10,1)=""),IFERROR(INT(MID(metadata!C602,9,2))&gt;=1,FALSE),IFERROR(INT(MID(metadata!C602,9,2))&lt;=31,FALSE)), OR(MID(metadata!C602,11,1)="", AND(AND(MID(metadata!C602,11,1)=" ",IFERROR(INT(MID(metadata!C602,12,1))&gt;=0,FALSE),IFERROR(INT(MID(metadata!C602,12,1))&lt;=2,FALSE),NOT(MID(metadata!C602,13,1)=""),IFERROR(INT(MID(metadata!C602,12,2))&gt;=0,FALSE),IFERROR(INT(MID(metadata!C602,12,2))&lt;=23,FALSE)), OR(MID(metadata!C602,14,1)="", AND(AND(MID(metadata!C602,14,1)=":",IFERROR(INT(MID(metadata!C602,15,1))&gt;=0,FALSE),IFERROR(INT(MID(metadata!C602,15,1))&lt;=5,FALSE),NOT(MID(metadata!C602,16,1)=""),IFERROR(INT(MID(metadata!C602,15,2))&gt;=0,FALSE),IFERROR(INT(MID(metadata!C602,15,2))&lt;=59,FALSE)), OR(MID(metadata!C602,17,1)="", AND(AND(MID(metadata!C602,17,1)=":",IFERROR(INT(MID(metadata!C602,18,1))&gt;=0,FALSE),IFERROR(INT(MID(metadata!C602,18,1))&lt;=5,FALSE),NOT(MID(metadata!C602,19,1)=""),IFERROR(INT(MID(metadata!C602,18,2))&gt;=0,FALSE),IFERROR(INT(MID(metadata!C602,18,2))&lt;=59,FALSE)), LEN(metadata!C602)&lt;=19)))))))))))))</f>
        <v>0</v>
      </c>
      <c r="AD602">
        <f>IF(metadata!D602="",FALSE,TRUE)</f>
        <v>0</v>
      </c>
      <c r="AE602">
        <f>OR(AND(IF(metadata!E602="",FALSE,TRUE),OR(exact(metadata!E602,"missing: not collected"),exact(metadata!E602,"missing: not provided"))),AND(IF(metadata!E602="",FALSE,TRUE),OR(exact(metadata!E602,"TRUE"),exact(metadata!E602,"FALSE"))))</f>
        <v>0</v>
      </c>
      <c r="AF602">
        <f>IF(metadata!F602="",FALSE,TRUE)</f>
        <v>0</v>
      </c>
      <c r="AG602">
        <f>IF(metadata!G602="",FALSE,TRUE)</f>
        <v>0</v>
      </c>
      <c r="AH602">
        <f>IF(metadata!H602="",FALSE,TRUE)</f>
        <v>0</v>
      </c>
      <c r="AI602">
        <f>OR(AND(IF(metadata!I602="",FALSE,TRUE),OR(exact(metadata!I602,"missing: not collected"),exact(metadata!I602,"missing: not provided"),exact(metadata!I602,"missing: restricted access"))),AND(IF(metadata!I602="",FALSE,TRUE),OR(exact(metadata!I602,"air"),exact(metadata!I602,"built environment"),exact(metadata!I602,"host-associated"),exact(metadata!I602,"human-associated"),exact(metadata!I602,"human-skin"),exact(metadata!I602,"human-oral"),exact(metadata!I602,"human-gut"),exact(metadata!I602,"human-vaginal"),exact(metadata!I602,"microbial mat/biofilm"),exact(metadata!I602,"misc environment"),exact(metadata!I602,"plant-associated"),exact(metadata!I602,"sediment"),exact(metadata!I602,"soil"),exact(metadata!I602,"wastewater/sludge"),exact(metadata!I602,"water"))))</f>
        <v>0</v>
      </c>
      <c r="AJ602">
        <f>IF(metadata!J602="",FALSE,TRUE)</f>
        <v>0</v>
      </c>
      <c r="AK602">
        <f>OR(AND(IF(metadata!K602="",FALSE,TRUE),OR(exact(metadata!K602,"missing: not collected"),exact(metadata!K602,"missing: not provided"),exact(metadata!K602,"missing: restricted access"))),AND(IF(metadata!K602="",FALSE,ISNUMBER(VALUE(metadata!K602))),metadata!K602&gt;=-90.00,metadata!K602&lt;=90.00))</f>
        <v>0</v>
      </c>
      <c r="AL602">
        <f>OR(AND(IF(metadata!L602="",FALSE,TRUE),OR(exact(metadata!L602,"missing: not collected"),exact(metadata!L602,"missing: not provided"),exact(metadata!L602,"missing: restricted access"))),AND(IF(metadata!L602="",FALSE,ISNUMBER(VALUE(metadata!L602))),metadata!L602&gt;=-180.00,metadata!L602&lt;=180.00))</f>
        <v>0</v>
      </c>
      <c r="AM602">
        <f>IF(metadata!M602="",FALSE,TRUE)</f>
        <v>0</v>
      </c>
      <c r="AN602">
        <f>OR(AND(IF(metadata!N602="",FALSE,TRUE),OR(exact(metadata!N602,"missing: not collected"),exact(metadata!N602,"missing: not provided"),exact(metadata!N602,"missing: restricted access"))),AND(IF(metadata!N602="",FALSE,TRUE),OR(exact(metadata!N602,"TRUE"),exact(metadata!N602,"FALSE"))))</f>
        <v>0</v>
      </c>
      <c r="AO602">
        <f>IF(metadata!O602="",FALSE,TRUE)</f>
        <v>0</v>
      </c>
      <c r="AP602">
        <f>OR(AND(IF(metadata!P602="",FALSE,TRUE),OR(exact(metadata!P602,"missing: not collected"),exact(metadata!P602,"missing: not provided"))),AND(IF(metadata!P602="",FALSE,IF(ISERROR(INT(metadata!P602)),FALSE,INT(metadata!P602)=metadata!P602)),metadata!P602&gt;0))</f>
        <v>0</v>
      </c>
      <c r="AQ602">
        <f>IF(metadata!Q602="",FALSE,TRUE)</f>
        <v>0</v>
      </c>
    </row>
    <row r="603" spans="1:43">
      <c r="A603" s="5">
        <f>IF(B603=" "," ",HYPERLINK(CONCATENATE("#metadata!",ADDRESS(INDEX($W$2:$W$1001,MATCH(ROWS($U$2:U603),$U$2:$U$1001,0),0),1)),INDEX($Z$2:$Z$1001,MATCH(ROWS($U$2:U603),$U$2:$U$1001,0),0)))</f>
        <v>0</v>
      </c>
      <c r="B603" s="4">
        <f>IF(OR(INDEX($V$2:$V$1001,MATCH(ROWS($U$2:U603),$U$2:$U$1001,0),1)&gt;=100000,INDEX($AB$1005:$AQ$1005,1,MATCH(COLUMNS($AB$1006:AB1006),$AB$1006:$AQ$1006,0))&gt;=100000), " ",IF(INDEX($AB$2:$AQ$1001,MATCH(ROWS($U$2:U603),$U$2:$U$1001,0),MATCH(COLUMNS($AB$1006:AB1006),$AB$1006:$AQ$1006,0)), HYPERLINK("#",""), HYPERLINK(CONCATENATE("#metadata!", ADDRESS(INDEX($W$2:$W$1001,MATCH(ROWS($U$2:U603),$U$2:$U$1001,0),0), INDEX($AB$1004:$AQ$1004,1,MATCH(COLUMNS($AB$1006:AB1006),$AB$1006:$AQ$1006,0)))),"Fix")))</f>
        <v>0</v>
      </c>
      <c r="C603" s="4">
        <f>IF(OR(INDEX($V$2:$V$1001,MATCH(ROWS($U$2:U603),$U$2:$U$1001,0),1)&gt;=100000,INDEX($AB$1005:$AQ$1005,1,MATCH(COLUMNS($AB$1006:AC1006),$AB$1006:$AQ$1006,0))&gt;=100000), " ",IF(INDEX($AB$2:$AQ$1001,MATCH(ROWS($U$2:U603),$U$2:$U$1001,0),MATCH(COLUMNS($AB$1006:AC1006),$AB$1006:$AQ$1006,0)), HYPERLINK("#",""), HYPERLINK(CONCATENATE("#metadata!", ADDRESS(INDEX($W$2:$W$1001,MATCH(ROWS($U$2:U603),$U$2:$U$1001,0),0), INDEX($AB$1004:$AQ$1004,1,MATCH(COLUMNS($AB$1006:AC1006),$AB$1006:$AQ$1006,0)))),"Fix")))</f>
        <v>0</v>
      </c>
      <c r="D603" s="4">
        <f>IF(OR(INDEX($V$2:$V$1001,MATCH(ROWS($U$2:U603),$U$2:$U$1001,0),1)&gt;=100000,INDEX($AB$1005:$AQ$1005,1,MATCH(COLUMNS($AB$1006:AD1006),$AB$1006:$AQ$1006,0))&gt;=100000), " ",IF(INDEX($AB$2:$AQ$1001,MATCH(ROWS($U$2:U603),$U$2:$U$1001,0),MATCH(COLUMNS($AB$1006:AD1006),$AB$1006:$AQ$1006,0)), HYPERLINK("#",""), HYPERLINK(CONCATENATE("#metadata!", ADDRESS(INDEX($W$2:$W$1001,MATCH(ROWS($U$2:U603),$U$2:$U$1001,0),0), INDEX($AB$1004:$AQ$1004,1,MATCH(COLUMNS($AB$1006:AD1006),$AB$1006:$AQ$1006,0)))),"Fix")))</f>
        <v>0</v>
      </c>
      <c r="E603" s="4">
        <f>IF(OR(INDEX($V$2:$V$1001,MATCH(ROWS($U$2:U603),$U$2:$U$1001,0),1)&gt;=100000,INDEX($AB$1005:$AQ$1005,1,MATCH(COLUMNS($AB$1006:AE1006),$AB$1006:$AQ$1006,0))&gt;=100000), " ",IF(INDEX($AB$2:$AQ$1001,MATCH(ROWS($U$2:U603),$U$2:$U$1001,0),MATCH(COLUMNS($AB$1006:AE1006),$AB$1006:$AQ$1006,0)), HYPERLINK("#",""), HYPERLINK(CONCATENATE("#metadata!", ADDRESS(INDEX($W$2:$W$1001,MATCH(ROWS($U$2:U603),$U$2:$U$1001,0),0), INDEX($AB$1004:$AQ$1004,1,MATCH(COLUMNS($AB$1006:AE1006),$AB$1006:$AQ$1006,0)))),"Fix")))</f>
        <v>0</v>
      </c>
      <c r="F603" s="4">
        <f>IF(OR(INDEX($V$2:$V$1001,MATCH(ROWS($U$2:U603),$U$2:$U$1001,0),1)&gt;=100000,INDEX($AB$1005:$AQ$1005,1,MATCH(COLUMNS($AB$1006:AF1006),$AB$1006:$AQ$1006,0))&gt;=100000), " ",IF(INDEX($AB$2:$AQ$1001,MATCH(ROWS($U$2:U603),$U$2:$U$1001,0),MATCH(COLUMNS($AB$1006:AF1006),$AB$1006:$AQ$1006,0)), HYPERLINK("#",""), HYPERLINK(CONCATENATE("#metadata!", ADDRESS(INDEX($W$2:$W$1001,MATCH(ROWS($U$2:U603),$U$2:$U$1001,0),0), INDEX($AB$1004:$AQ$1004,1,MATCH(COLUMNS($AB$1006:AF1006),$AB$1006:$AQ$1006,0)))),"Fix")))</f>
        <v>0</v>
      </c>
      <c r="G603" s="4">
        <f>IF(OR(INDEX($V$2:$V$1001,MATCH(ROWS($U$2:U603),$U$2:$U$1001,0),1)&gt;=100000,INDEX($AB$1005:$AQ$1005,1,MATCH(COLUMNS($AB$1006:AG1006),$AB$1006:$AQ$1006,0))&gt;=100000), " ",IF(INDEX($AB$2:$AQ$1001,MATCH(ROWS($U$2:U603),$U$2:$U$1001,0),MATCH(COLUMNS($AB$1006:AG1006),$AB$1006:$AQ$1006,0)), HYPERLINK("#",""), HYPERLINK(CONCATENATE("#metadata!", ADDRESS(INDEX($W$2:$W$1001,MATCH(ROWS($U$2:U603),$U$2:$U$1001,0),0), INDEX($AB$1004:$AQ$1004,1,MATCH(COLUMNS($AB$1006:AG1006),$AB$1006:$AQ$1006,0)))),"Fix")))</f>
        <v>0</v>
      </c>
      <c r="H603" s="4">
        <f>IF(OR(INDEX($V$2:$V$1001,MATCH(ROWS($U$2:U603),$U$2:$U$1001,0),1)&gt;=100000,INDEX($AB$1005:$AQ$1005,1,MATCH(COLUMNS($AB$1006:AH1006),$AB$1006:$AQ$1006,0))&gt;=100000), " ",IF(INDEX($AB$2:$AQ$1001,MATCH(ROWS($U$2:U603),$U$2:$U$1001,0),MATCH(COLUMNS($AB$1006:AH1006),$AB$1006:$AQ$1006,0)), HYPERLINK("#",""), HYPERLINK(CONCATENATE("#metadata!", ADDRESS(INDEX($W$2:$W$1001,MATCH(ROWS($U$2:U603),$U$2:$U$1001,0),0), INDEX($AB$1004:$AQ$1004,1,MATCH(COLUMNS($AB$1006:AH1006),$AB$1006:$AQ$1006,0)))),"Fix")))</f>
        <v>0</v>
      </c>
      <c r="I603" s="4">
        <f>IF(OR(INDEX($V$2:$V$1001,MATCH(ROWS($U$2:U603),$U$2:$U$1001,0),1)&gt;=100000,INDEX($AB$1005:$AQ$1005,1,MATCH(COLUMNS($AB$1006:AI1006),$AB$1006:$AQ$1006,0))&gt;=100000), " ",IF(INDEX($AB$2:$AQ$1001,MATCH(ROWS($U$2:U603),$U$2:$U$1001,0),MATCH(COLUMNS($AB$1006:AI1006),$AB$1006:$AQ$1006,0)), HYPERLINK("#",""), HYPERLINK(CONCATENATE("#metadata!", ADDRESS(INDEX($W$2:$W$1001,MATCH(ROWS($U$2:U603),$U$2:$U$1001,0),0), INDEX($AB$1004:$AQ$1004,1,MATCH(COLUMNS($AB$1006:AI1006),$AB$1006:$AQ$1006,0)))),"Fix")))</f>
        <v>0</v>
      </c>
      <c r="J603" s="4">
        <f>IF(OR(INDEX($V$2:$V$1001,MATCH(ROWS($U$2:U603),$U$2:$U$1001,0),1)&gt;=100000,INDEX($AB$1005:$AQ$1005,1,MATCH(COLUMNS($AB$1006:AJ1006),$AB$1006:$AQ$1006,0))&gt;=100000), " ",IF(INDEX($AB$2:$AQ$1001,MATCH(ROWS($U$2:U603),$U$2:$U$1001,0),MATCH(COLUMNS($AB$1006:AJ1006),$AB$1006:$AQ$1006,0)), HYPERLINK("#",""), HYPERLINK(CONCATENATE("#metadata!", ADDRESS(INDEX($W$2:$W$1001,MATCH(ROWS($U$2:U603),$U$2:$U$1001,0),0), INDEX($AB$1004:$AQ$1004,1,MATCH(COLUMNS($AB$1006:AJ1006),$AB$1006:$AQ$1006,0)))),"Fix")))</f>
        <v>0</v>
      </c>
      <c r="K603" s="4">
        <f>IF(OR(INDEX($V$2:$V$1001,MATCH(ROWS($U$2:U603),$U$2:$U$1001,0),1)&gt;=100000,INDEX($AB$1005:$AQ$1005,1,MATCH(COLUMNS($AB$1006:AK1006),$AB$1006:$AQ$1006,0))&gt;=100000), " ",IF(INDEX($AB$2:$AQ$1001,MATCH(ROWS($U$2:U603),$U$2:$U$1001,0),MATCH(COLUMNS($AB$1006:AK1006),$AB$1006:$AQ$1006,0)), HYPERLINK("#",""), HYPERLINK(CONCATENATE("#metadata!", ADDRESS(INDEX($W$2:$W$1001,MATCH(ROWS($U$2:U603),$U$2:$U$1001,0),0), INDEX($AB$1004:$AQ$1004,1,MATCH(COLUMNS($AB$1006:AK1006),$AB$1006:$AQ$1006,0)))),"Fix")))</f>
        <v>0</v>
      </c>
      <c r="L603" s="4">
        <f>IF(OR(INDEX($V$2:$V$1001,MATCH(ROWS($U$2:U603),$U$2:$U$1001,0),1)&gt;=100000,INDEX($AB$1005:$AQ$1005,1,MATCH(COLUMNS($AB$1006:AL1006),$AB$1006:$AQ$1006,0))&gt;=100000), " ",IF(INDEX($AB$2:$AQ$1001,MATCH(ROWS($U$2:U603),$U$2:$U$1001,0),MATCH(COLUMNS($AB$1006:AL1006),$AB$1006:$AQ$1006,0)), HYPERLINK("#",""), HYPERLINK(CONCATENATE("#metadata!", ADDRESS(INDEX($W$2:$W$1001,MATCH(ROWS($U$2:U603),$U$2:$U$1001,0),0), INDEX($AB$1004:$AQ$1004,1,MATCH(COLUMNS($AB$1006:AL1006),$AB$1006:$AQ$1006,0)))),"Fix")))</f>
        <v>0</v>
      </c>
      <c r="M603" s="4">
        <f>IF(OR(INDEX($V$2:$V$1001,MATCH(ROWS($U$2:U603),$U$2:$U$1001,0),1)&gt;=100000,INDEX($AB$1005:$AQ$1005,1,MATCH(COLUMNS($AB$1006:AM1006),$AB$1006:$AQ$1006,0))&gt;=100000), " ",IF(INDEX($AB$2:$AQ$1001,MATCH(ROWS($U$2:U603),$U$2:$U$1001,0),MATCH(COLUMNS($AB$1006:AM1006),$AB$1006:$AQ$1006,0)), HYPERLINK("#",""), HYPERLINK(CONCATENATE("#metadata!", ADDRESS(INDEX($W$2:$W$1001,MATCH(ROWS($U$2:U603),$U$2:$U$1001,0),0), INDEX($AB$1004:$AQ$1004,1,MATCH(COLUMNS($AB$1006:AM1006),$AB$1006:$AQ$1006,0)))),"Fix")))</f>
        <v>0</v>
      </c>
      <c r="N603" s="4">
        <f>IF(OR(INDEX($V$2:$V$1001,MATCH(ROWS($U$2:U603),$U$2:$U$1001,0),1)&gt;=100000,INDEX($AB$1005:$AQ$1005,1,MATCH(COLUMNS($AB$1006:AN1006),$AB$1006:$AQ$1006,0))&gt;=100000), " ",IF(INDEX($AB$2:$AQ$1001,MATCH(ROWS($U$2:U603),$U$2:$U$1001,0),MATCH(COLUMNS($AB$1006:AN1006),$AB$1006:$AQ$1006,0)), HYPERLINK("#",""), HYPERLINK(CONCATENATE("#metadata!", ADDRESS(INDEX($W$2:$W$1001,MATCH(ROWS($U$2:U603),$U$2:$U$1001,0),0), INDEX($AB$1004:$AQ$1004,1,MATCH(COLUMNS($AB$1006:AN1006),$AB$1006:$AQ$1006,0)))),"Fix")))</f>
        <v>0</v>
      </c>
      <c r="O603" s="4">
        <f>IF(OR(INDEX($V$2:$V$1001,MATCH(ROWS($U$2:U603),$U$2:$U$1001,0),1)&gt;=100000,INDEX($AB$1005:$AQ$1005,1,MATCH(COLUMNS($AB$1006:AO1006),$AB$1006:$AQ$1006,0))&gt;=100000), " ",IF(INDEX($AB$2:$AQ$1001,MATCH(ROWS($U$2:U603),$U$2:$U$1001,0),MATCH(COLUMNS($AB$1006:AO1006),$AB$1006:$AQ$1006,0)), HYPERLINK("#",""), HYPERLINK(CONCATENATE("#metadata!", ADDRESS(INDEX($W$2:$W$1001,MATCH(ROWS($U$2:U603),$U$2:$U$1001,0),0), INDEX($AB$1004:$AQ$1004,1,MATCH(COLUMNS($AB$1006:AO1006),$AB$1006:$AQ$1006,0)))),"Fix")))</f>
        <v>0</v>
      </c>
      <c r="P603" s="4">
        <f>IF(OR(INDEX($V$2:$V$1001,MATCH(ROWS($U$2:U603),$U$2:$U$1001,0),1)&gt;=100000,INDEX($AB$1005:$AQ$1005,1,MATCH(COLUMNS($AB$1006:AP1006),$AB$1006:$AQ$1006,0))&gt;=100000), " ",IF(INDEX($AB$2:$AQ$1001,MATCH(ROWS($U$2:U603),$U$2:$U$1001,0),MATCH(COLUMNS($AB$1006:AP1006),$AB$1006:$AQ$1006,0)), HYPERLINK("#",""), HYPERLINK(CONCATENATE("#metadata!", ADDRESS(INDEX($W$2:$W$1001,MATCH(ROWS($U$2:U603),$U$2:$U$1001,0),0), INDEX($AB$1004:$AQ$1004,1,MATCH(COLUMNS($AB$1006:AP1006),$AB$1006:$AQ$1006,0)))),"Fix")))</f>
        <v>0</v>
      </c>
      <c r="Q603" s="4">
        <f>IF(OR(INDEX($V$2:$V$1001,MATCH(ROWS($U$2:U603),$U$2:$U$1001,0),1)&gt;=100000,INDEX($AB$1005:$AQ$1005,1,MATCH(COLUMNS($AB$1006:AQ1006),$AB$1006:$AQ$1006,0))&gt;=100000), " ",IF(INDEX($AB$2:$AQ$1001,MATCH(ROWS($U$2:U603),$U$2:$U$1001,0),MATCH(COLUMNS($AB$1006:AQ1006),$AB$1006:$AQ$1006,0)), HYPERLINK("#",""), HYPERLINK(CONCATENATE("#metadata!", ADDRESS(INDEX($W$2:$W$1001,MATCH(ROWS($U$2:U603),$U$2:$U$1001,0),0), INDEX($AB$1004:$AQ$1004,1,MATCH(COLUMNS($AB$1006:AQ1006),$AB$1006:$AQ$1006,0)))),"Fix")))</f>
        <v>0</v>
      </c>
      <c r="U603">
        <v>0</v>
      </c>
      <c r="V603">
        <v>0</v>
      </c>
      <c r="W603">
        <v>0</v>
      </c>
      <c r="X603">
        <f>IF(Y603,TRUE,AND(AB603:AQ603))</f>
        <v>0</v>
      </c>
      <c r="Y603">
        <f>COUNTBLANK(metadata!B603:Q603)=COLUMNS(metadata!B603:Q603)</f>
        <v>0</v>
      </c>
      <c r="Z603">
        <v>0</v>
      </c>
      <c r="AB603">
        <f>AND(IF(metadata!B603="",FALSE,TRUE),COUNTIF(metadata!B:B, metadata!B603) = 1,NOT(ISERROR(SUMPRODUCT(SEARCH(MID(metadata!B603,ROW(INDIRECT("1:"&amp;LEN(metadata!B603))), 1),"0123456789abcdefghijklmnopqrstuvwxyzABCDEFGHIJKLMNOPQRSTUVWXYZ.")))))</f>
        <v>0</v>
      </c>
      <c r="AC603">
        <f>OR(AND(IF(metadata!C603="",FALSE,TRUE),OR(exact(metadata!C603,"missing: not collected"),exact(metadata!C603,"missing: not provided"),exact(metadata!C603,"missing: restricted access"))),AND(IF(metadata!C603="",FALSE,TRUE),AND(AND(IFERROR(INT(LEFT(metadata!C603,4))&gt;1900,FALSE),IFERROR(INT(LEFT(metadata!C603,4))&lt;=YEAR(NOW()),FALSE)), OR(MID(metadata!C603,5,1)="", AND(AND(MID(metadata!C603,5,1)="-",IFERROR(INT(MID(metadata!C603,6,1))&gt;=0,FALSE),IFERROR(INT(MID(metadata!C603,6,1))&lt;=1,FALSE),NOT(MID(metadata!C603,7,1)=""),IFERROR(INT(MID(metadata!C603,6,2))&gt;=1,FALSE),IFERROR(INT(MID(metadata!C603,6,2))&lt;=12,FALSE)), OR(MID(metadata!C603,8,1)="", AND(AND(MID(metadata!C603,8,1)="-",IFERROR(INT(MID(metadata!C603,9,1))&gt;=0,FALSE),IFERROR(INT(MID(metadata!C603,9,1))&lt;=3,FALSE),NOT(MID(metadata!C603,10,1)=""),IFERROR(INT(MID(metadata!C603,9,2))&gt;=1,FALSE),IFERROR(INT(MID(metadata!C603,9,2))&lt;=31,FALSE)), OR(MID(metadata!C603,11,1)="", AND(AND(MID(metadata!C603,11,1)=" ",IFERROR(INT(MID(metadata!C603,12,1))&gt;=0,FALSE),IFERROR(INT(MID(metadata!C603,12,1))&lt;=2,FALSE),NOT(MID(metadata!C603,13,1)=""),IFERROR(INT(MID(metadata!C603,12,2))&gt;=0,FALSE),IFERROR(INT(MID(metadata!C603,12,2))&lt;=23,FALSE)), OR(MID(metadata!C603,14,1)="", AND(AND(MID(metadata!C603,14,1)=":",IFERROR(INT(MID(metadata!C603,15,1))&gt;=0,FALSE),IFERROR(INT(MID(metadata!C603,15,1))&lt;=5,FALSE),NOT(MID(metadata!C603,16,1)=""),IFERROR(INT(MID(metadata!C603,15,2))&gt;=0,FALSE),IFERROR(INT(MID(metadata!C603,15,2))&lt;=59,FALSE)), OR(MID(metadata!C603,17,1)="", AND(AND(MID(metadata!C603,17,1)=":",IFERROR(INT(MID(metadata!C603,18,1))&gt;=0,FALSE),IFERROR(INT(MID(metadata!C603,18,1))&lt;=5,FALSE),NOT(MID(metadata!C603,19,1)=""),IFERROR(INT(MID(metadata!C603,18,2))&gt;=0,FALSE),IFERROR(INT(MID(metadata!C603,18,2))&lt;=59,FALSE)), LEN(metadata!C603)&lt;=19)))))))))))))</f>
        <v>0</v>
      </c>
      <c r="AD603">
        <f>IF(metadata!D603="",FALSE,TRUE)</f>
        <v>0</v>
      </c>
      <c r="AE603">
        <f>OR(AND(IF(metadata!E603="",FALSE,TRUE),OR(exact(metadata!E603,"missing: not collected"),exact(metadata!E603,"missing: not provided"))),AND(IF(metadata!E603="",FALSE,TRUE),OR(exact(metadata!E603,"TRUE"),exact(metadata!E603,"FALSE"))))</f>
        <v>0</v>
      </c>
      <c r="AF603">
        <f>IF(metadata!F603="",FALSE,TRUE)</f>
        <v>0</v>
      </c>
      <c r="AG603">
        <f>IF(metadata!G603="",FALSE,TRUE)</f>
        <v>0</v>
      </c>
      <c r="AH603">
        <f>IF(metadata!H603="",FALSE,TRUE)</f>
        <v>0</v>
      </c>
      <c r="AI603">
        <f>OR(AND(IF(metadata!I603="",FALSE,TRUE),OR(exact(metadata!I603,"missing: not collected"),exact(metadata!I603,"missing: not provided"),exact(metadata!I603,"missing: restricted access"))),AND(IF(metadata!I603="",FALSE,TRUE),OR(exact(metadata!I603,"air"),exact(metadata!I603,"built environment"),exact(metadata!I603,"host-associated"),exact(metadata!I603,"human-associated"),exact(metadata!I603,"human-skin"),exact(metadata!I603,"human-oral"),exact(metadata!I603,"human-gut"),exact(metadata!I603,"human-vaginal"),exact(metadata!I603,"microbial mat/biofilm"),exact(metadata!I603,"misc environment"),exact(metadata!I603,"plant-associated"),exact(metadata!I603,"sediment"),exact(metadata!I603,"soil"),exact(metadata!I603,"wastewater/sludge"),exact(metadata!I603,"water"))))</f>
        <v>0</v>
      </c>
      <c r="AJ603">
        <f>IF(metadata!J603="",FALSE,TRUE)</f>
        <v>0</v>
      </c>
      <c r="AK603">
        <f>OR(AND(IF(metadata!K603="",FALSE,TRUE),OR(exact(metadata!K603,"missing: not collected"),exact(metadata!K603,"missing: not provided"),exact(metadata!K603,"missing: restricted access"))),AND(IF(metadata!K603="",FALSE,ISNUMBER(VALUE(metadata!K603))),metadata!K603&gt;=-90.00,metadata!K603&lt;=90.00))</f>
        <v>0</v>
      </c>
      <c r="AL603">
        <f>OR(AND(IF(metadata!L603="",FALSE,TRUE),OR(exact(metadata!L603,"missing: not collected"),exact(metadata!L603,"missing: not provided"),exact(metadata!L603,"missing: restricted access"))),AND(IF(metadata!L603="",FALSE,ISNUMBER(VALUE(metadata!L603))),metadata!L603&gt;=-180.00,metadata!L603&lt;=180.00))</f>
        <v>0</v>
      </c>
      <c r="AM603">
        <f>IF(metadata!M603="",FALSE,TRUE)</f>
        <v>0</v>
      </c>
      <c r="AN603">
        <f>OR(AND(IF(metadata!N603="",FALSE,TRUE),OR(exact(metadata!N603,"missing: not collected"),exact(metadata!N603,"missing: not provided"),exact(metadata!N603,"missing: restricted access"))),AND(IF(metadata!N603="",FALSE,TRUE),OR(exact(metadata!N603,"TRUE"),exact(metadata!N603,"FALSE"))))</f>
        <v>0</v>
      </c>
      <c r="AO603">
        <f>IF(metadata!O603="",FALSE,TRUE)</f>
        <v>0</v>
      </c>
      <c r="AP603">
        <f>OR(AND(IF(metadata!P603="",FALSE,TRUE),OR(exact(metadata!P603,"missing: not collected"),exact(metadata!P603,"missing: not provided"))),AND(IF(metadata!P603="",FALSE,IF(ISERROR(INT(metadata!P603)),FALSE,INT(metadata!P603)=metadata!P603)),metadata!P603&gt;0))</f>
        <v>0</v>
      </c>
      <c r="AQ603">
        <f>IF(metadata!Q603="",FALSE,TRUE)</f>
        <v>0</v>
      </c>
    </row>
    <row r="604" spans="1:43">
      <c r="A604" s="5">
        <f>IF(B604=" "," ",HYPERLINK(CONCATENATE("#metadata!",ADDRESS(INDEX($W$2:$W$1001,MATCH(ROWS($U$2:U604),$U$2:$U$1001,0),0),1)),INDEX($Z$2:$Z$1001,MATCH(ROWS($U$2:U604),$U$2:$U$1001,0),0)))</f>
        <v>0</v>
      </c>
      <c r="B604" s="4">
        <f>IF(OR(INDEX($V$2:$V$1001,MATCH(ROWS($U$2:U604),$U$2:$U$1001,0),1)&gt;=100000,INDEX($AB$1005:$AQ$1005,1,MATCH(COLUMNS($AB$1006:AB1006),$AB$1006:$AQ$1006,0))&gt;=100000), " ",IF(INDEX($AB$2:$AQ$1001,MATCH(ROWS($U$2:U604),$U$2:$U$1001,0),MATCH(COLUMNS($AB$1006:AB1006),$AB$1006:$AQ$1006,0)), HYPERLINK("#",""), HYPERLINK(CONCATENATE("#metadata!", ADDRESS(INDEX($W$2:$W$1001,MATCH(ROWS($U$2:U604),$U$2:$U$1001,0),0), INDEX($AB$1004:$AQ$1004,1,MATCH(COLUMNS($AB$1006:AB1006),$AB$1006:$AQ$1006,0)))),"Fix")))</f>
        <v>0</v>
      </c>
      <c r="C604" s="4">
        <f>IF(OR(INDEX($V$2:$V$1001,MATCH(ROWS($U$2:U604),$U$2:$U$1001,0),1)&gt;=100000,INDEX($AB$1005:$AQ$1005,1,MATCH(COLUMNS($AB$1006:AC1006),$AB$1006:$AQ$1006,0))&gt;=100000), " ",IF(INDEX($AB$2:$AQ$1001,MATCH(ROWS($U$2:U604),$U$2:$U$1001,0),MATCH(COLUMNS($AB$1006:AC1006),$AB$1006:$AQ$1006,0)), HYPERLINK("#",""), HYPERLINK(CONCATENATE("#metadata!", ADDRESS(INDEX($W$2:$W$1001,MATCH(ROWS($U$2:U604),$U$2:$U$1001,0),0), INDEX($AB$1004:$AQ$1004,1,MATCH(COLUMNS($AB$1006:AC1006),$AB$1006:$AQ$1006,0)))),"Fix")))</f>
        <v>0</v>
      </c>
      <c r="D604" s="4">
        <f>IF(OR(INDEX($V$2:$V$1001,MATCH(ROWS($U$2:U604),$U$2:$U$1001,0),1)&gt;=100000,INDEX($AB$1005:$AQ$1005,1,MATCH(COLUMNS($AB$1006:AD1006),$AB$1006:$AQ$1006,0))&gt;=100000), " ",IF(INDEX($AB$2:$AQ$1001,MATCH(ROWS($U$2:U604),$U$2:$U$1001,0),MATCH(COLUMNS($AB$1006:AD1006),$AB$1006:$AQ$1006,0)), HYPERLINK("#",""), HYPERLINK(CONCATENATE("#metadata!", ADDRESS(INDEX($W$2:$W$1001,MATCH(ROWS($U$2:U604),$U$2:$U$1001,0),0), INDEX($AB$1004:$AQ$1004,1,MATCH(COLUMNS($AB$1006:AD1006),$AB$1006:$AQ$1006,0)))),"Fix")))</f>
        <v>0</v>
      </c>
      <c r="E604" s="4">
        <f>IF(OR(INDEX($V$2:$V$1001,MATCH(ROWS($U$2:U604),$U$2:$U$1001,0),1)&gt;=100000,INDEX($AB$1005:$AQ$1005,1,MATCH(COLUMNS($AB$1006:AE1006),$AB$1006:$AQ$1006,0))&gt;=100000), " ",IF(INDEX($AB$2:$AQ$1001,MATCH(ROWS($U$2:U604),$U$2:$U$1001,0),MATCH(COLUMNS($AB$1006:AE1006),$AB$1006:$AQ$1006,0)), HYPERLINK("#",""), HYPERLINK(CONCATENATE("#metadata!", ADDRESS(INDEX($W$2:$W$1001,MATCH(ROWS($U$2:U604),$U$2:$U$1001,0),0), INDEX($AB$1004:$AQ$1004,1,MATCH(COLUMNS($AB$1006:AE1006),$AB$1006:$AQ$1006,0)))),"Fix")))</f>
        <v>0</v>
      </c>
      <c r="F604" s="4">
        <f>IF(OR(INDEX($V$2:$V$1001,MATCH(ROWS($U$2:U604),$U$2:$U$1001,0),1)&gt;=100000,INDEX($AB$1005:$AQ$1005,1,MATCH(COLUMNS($AB$1006:AF1006),$AB$1006:$AQ$1006,0))&gt;=100000), " ",IF(INDEX($AB$2:$AQ$1001,MATCH(ROWS($U$2:U604),$U$2:$U$1001,0),MATCH(COLUMNS($AB$1006:AF1006),$AB$1006:$AQ$1006,0)), HYPERLINK("#",""), HYPERLINK(CONCATENATE("#metadata!", ADDRESS(INDEX($W$2:$W$1001,MATCH(ROWS($U$2:U604),$U$2:$U$1001,0),0), INDEX($AB$1004:$AQ$1004,1,MATCH(COLUMNS($AB$1006:AF1006),$AB$1006:$AQ$1006,0)))),"Fix")))</f>
        <v>0</v>
      </c>
      <c r="G604" s="4">
        <f>IF(OR(INDEX($V$2:$V$1001,MATCH(ROWS($U$2:U604),$U$2:$U$1001,0),1)&gt;=100000,INDEX($AB$1005:$AQ$1005,1,MATCH(COLUMNS($AB$1006:AG1006),$AB$1006:$AQ$1006,0))&gt;=100000), " ",IF(INDEX($AB$2:$AQ$1001,MATCH(ROWS($U$2:U604),$U$2:$U$1001,0),MATCH(COLUMNS($AB$1006:AG1006),$AB$1006:$AQ$1006,0)), HYPERLINK("#",""), HYPERLINK(CONCATENATE("#metadata!", ADDRESS(INDEX($W$2:$W$1001,MATCH(ROWS($U$2:U604),$U$2:$U$1001,0),0), INDEX($AB$1004:$AQ$1004,1,MATCH(COLUMNS($AB$1006:AG1006),$AB$1006:$AQ$1006,0)))),"Fix")))</f>
        <v>0</v>
      </c>
      <c r="H604" s="4">
        <f>IF(OR(INDEX($V$2:$V$1001,MATCH(ROWS($U$2:U604),$U$2:$U$1001,0),1)&gt;=100000,INDEX($AB$1005:$AQ$1005,1,MATCH(COLUMNS($AB$1006:AH1006),$AB$1006:$AQ$1006,0))&gt;=100000), " ",IF(INDEX($AB$2:$AQ$1001,MATCH(ROWS($U$2:U604),$U$2:$U$1001,0),MATCH(COLUMNS($AB$1006:AH1006),$AB$1006:$AQ$1006,0)), HYPERLINK("#",""), HYPERLINK(CONCATENATE("#metadata!", ADDRESS(INDEX($W$2:$W$1001,MATCH(ROWS($U$2:U604),$U$2:$U$1001,0),0), INDEX($AB$1004:$AQ$1004,1,MATCH(COLUMNS($AB$1006:AH1006),$AB$1006:$AQ$1006,0)))),"Fix")))</f>
        <v>0</v>
      </c>
      <c r="I604" s="4">
        <f>IF(OR(INDEX($V$2:$V$1001,MATCH(ROWS($U$2:U604),$U$2:$U$1001,0),1)&gt;=100000,INDEX($AB$1005:$AQ$1005,1,MATCH(COLUMNS($AB$1006:AI1006),$AB$1006:$AQ$1006,0))&gt;=100000), " ",IF(INDEX($AB$2:$AQ$1001,MATCH(ROWS($U$2:U604),$U$2:$U$1001,0),MATCH(COLUMNS($AB$1006:AI1006),$AB$1006:$AQ$1006,0)), HYPERLINK("#",""), HYPERLINK(CONCATENATE("#metadata!", ADDRESS(INDEX($W$2:$W$1001,MATCH(ROWS($U$2:U604),$U$2:$U$1001,0),0), INDEX($AB$1004:$AQ$1004,1,MATCH(COLUMNS($AB$1006:AI1006),$AB$1006:$AQ$1006,0)))),"Fix")))</f>
        <v>0</v>
      </c>
      <c r="J604" s="4">
        <f>IF(OR(INDEX($V$2:$V$1001,MATCH(ROWS($U$2:U604),$U$2:$U$1001,0),1)&gt;=100000,INDEX($AB$1005:$AQ$1005,1,MATCH(COLUMNS($AB$1006:AJ1006),$AB$1006:$AQ$1006,0))&gt;=100000), " ",IF(INDEX($AB$2:$AQ$1001,MATCH(ROWS($U$2:U604),$U$2:$U$1001,0),MATCH(COLUMNS($AB$1006:AJ1006),$AB$1006:$AQ$1006,0)), HYPERLINK("#",""), HYPERLINK(CONCATENATE("#metadata!", ADDRESS(INDEX($W$2:$W$1001,MATCH(ROWS($U$2:U604),$U$2:$U$1001,0),0), INDEX($AB$1004:$AQ$1004,1,MATCH(COLUMNS($AB$1006:AJ1006),$AB$1006:$AQ$1006,0)))),"Fix")))</f>
        <v>0</v>
      </c>
      <c r="K604" s="4">
        <f>IF(OR(INDEX($V$2:$V$1001,MATCH(ROWS($U$2:U604),$U$2:$U$1001,0),1)&gt;=100000,INDEX($AB$1005:$AQ$1005,1,MATCH(COLUMNS($AB$1006:AK1006),$AB$1006:$AQ$1006,0))&gt;=100000), " ",IF(INDEX($AB$2:$AQ$1001,MATCH(ROWS($U$2:U604),$U$2:$U$1001,0),MATCH(COLUMNS($AB$1006:AK1006),$AB$1006:$AQ$1006,0)), HYPERLINK("#",""), HYPERLINK(CONCATENATE("#metadata!", ADDRESS(INDEX($W$2:$W$1001,MATCH(ROWS($U$2:U604),$U$2:$U$1001,0),0), INDEX($AB$1004:$AQ$1004,1,MATCH(COLUMNS($AB$1006:AK1006),$AB$1006:$AQ$1006,0)))),"Fix")))</f>
        <v>0</v>
      </c>
      <c r="L604" s="4">
        <f>IF(OR(INDEX($V$2:$V$1001,MATCH(ROWS($U$2:U604),$U$2:$U$1001,0),1)&gt;=100000,INDEX($AB$1005:$AQ$1005,1,MATCH(COLUMNS($AB$1006:AL1006),$AB$1006:$AQ$1006,0))&gt;=100000), " ",IF(INDEX($AB$2:$AQ$1001,MATCH(ROWS($U$2:U604),$U$2:$U$1001,0),MATCH(COLUMNS($AB$1006:AL1006),$AB$1006:$AQ$1006,0)), HYPERLINK("#",""), HYPERLINK(CONCATENATE("#metadata!", ADDRESS(INDEX($W$2:$W$1001,MATCH(ROWS($U$2:U604),$U$2:$U$1001,0),0), INDEX($AB$1004:$AQ$1004,1,MATCH(COLUMNS($AB$1006:AL1006),$AB$1006:$AQ$1006,0)))),"Fix")))</f>
        <v>0</v>
      </c>
      <c r="M604" s="4">
        <f>IF(OR(INDEX($V$2:$V$1001,MATCH(ROWS($U$2:U604),$U$2:$U$1001,0),1)&gt;=100000,INDEX($AB$1005:$AQ$1005,1,MATCH(COLUMNS($AB$1006:AM1006),$AB$1006:$AQ$1006,0))&gt;=100000), " ",IF(INDEX($AB$2:$AQ$1001,MATCH(ROWS($U$2:U604),$U$2:$U$1001,0),MATCH(COLUMNS($AB$1006:AM1006),$AB$1006:$AQ$1006,0)), HYPERLINK("#",""), HYPERLINK(CONCATENATE("#metadata!", ADDRESS(INDEX($W$2:$W$1001,MATCH(ROWS($U$2:U604),$U$2:$U$1001,0),0), INDEX($AB$1004:$AQ$1004,1,MATCH(COLUMNS($AB$1006:AM1006),$AB$1006:$AQ$1006,0)))),"Fix")))</f>
        <v>0</v>
      </c>
      <c r="N604" s="4">
        <f>IF(OR(INDEX($V$2:$V$1001,MATCH(ROWS($U$2:U604),$U$2:$U$1001,0),1)&gt;=100000,INDEX($AB$1005:$AQ$1005,1,MATCH(COLUMNS($AB$1006:AN1006),$AB$1006:$AQ$1006,0))&gt;=100000), " ",IF(INDEX($AB$2:$AQ$1001,MATCH(ROWS($U$2:U604),$U$2:$U$1001,0),MATCH(COLUMNS($AB$1006:AN1006),$AB$1006:$AQ$1006,0)), HYPERLINK("#",""), HYPERLINK(CONCATENATE("#metadata!", ADDRESS(INDEX($W$2:$W$1001,MATCH(ROWS($U$2:U604),$U$2:$U$1001,0),0), INDEX($AB$1004:$AQ$1004,1,MATCH(COLUMNS($AB$1006:AN1006),$AB$1006:$AQ$1006,0)))),"Fix")))</f>
        <v>0</v>
      </c>
      <c r="O604" s="4">
        <f>IF(OR(INDEX($V$2:$V$1001,MATCH(ROWS($U$2:U604),$U$2:$U$1001,0),1)&gt;=100000,INDEX($AB$1005:$AQ$1005,1,MATCH(COLUMNS($AB$1006:AO1006),$AB$1006:$AQ$1006,0))&gt;=100000), " ",IF(INDEX($AB$2:$AQ$1001,MATCH(ROWS($U$2:U604),$U$2:$U$1001,0),MATCH(COLUMNS($AB$1006:AO1006),$AB$1006:$AQ$1006,0)), HYPERLINK("#",""), HYPERLINK(CONCATENATE("#metadata!", ADDRESS(INDEX($W$2:$W$1001,MATCH(ROWS($U$2:U604),$U$2:$U$1001,0),0), INDEX($AB$1004:$AQ$1004,1,MATCH(COLUMNS($AB$1006:AO1006),$AB$1006:$AQ$1006,0)))),"Fix")))</f>
        <v>0</v>
      </c>
      <c r="P604" s="4">
        <f>IF(OR(INDEX($V$2:$V$1001,MATCH(ROWS($U$2:U604),$U$2:$U$1001,0),1)&gt;=100000,INDEX($AB$1005:$AQ$1005,1,MATCH(COLUMNS($AB$1006:AP1006),$AB$1006:$AQ$1006,0))&gt;=100000), " ",IF(INDEX($AB$2:$AQ$1001,MATCH(ROWS($U$2:U604),$U$2:$U$1001,0),MATCH(COLUMNS($AB$1006:AP1006),$AB$1006:$AQ$1006,0)), HYPERLINK("#",""), HYPERLINK(CONCATENATE("#metadata!", ADDRESS(INDEX($W$2:$W$1001,MATCH(ROWS($U$2:U604),$U$2:$U$1001,0),0), INDEX($AB$1004:$AQ$1004,1,MATCH(COLUMNS($AB$1006:AP1006),$AB$1006:$AQ$1006,0)))),"Fix")))</f>
        <v>0</v>
      </c>
      <c r="Q604" s="4">
        <f>IF(OR(INDEX($V$2:$V$1001,MATCH(ROWS($U$2:U604),$U$2:$U$1001,0),1)&gt;=100000,INDEX($AB$1005:$AQ$1005,1,MATCH(COLUMNS($AB$1006:AQ1006),$AB$1006:$AQ$1006,0))&gt;=100000), " ",IF(INDEX($AB$2:$AQ$1001,MATCH(ROWS($U$2:U604),$U$2:$U$1001,0),MATCH(COLUMNS($AB$1006:AQ1006),$AB$1006:$AQ$1006,0)), HYPERLINK("#",""), HYPERLINK(CONCATENATE("#metadata!", ADDRESS(INDEX($W$2:$W$1001,MATCH(ROWS($U$2:U604),$U$2:$U$1001,0),0), INDEX($AB$1004:$AQ$1004,1,MATCH(COLUMNS($AB$1006:AQ1006),$AB$1006:$AQ$1006,0)))),"Fix")))</f>
        <v>0</v>
      </c>
      <c r="U604">
        <v>0</v>
      </c>
      <c r="V604">
        <v>0</v>
      </c>
      <c r="W604">
        <v>0</v>
      </c>
      <c r="X604">
        <f>IF(Y604,TRUE,AND(AB604:AQ604))</f>
        <v>0</v>
      </c>
      <c r="Y604">
        <f>COUNTBLANK(metadata!B604:Q604)=COLUMNS(metadata!B604:Q604)</f>
        <v>0</v>
      </c>
      <c r="Z604">
        <v>0</v>
      </c>
      <c r="AB604">
        <f>AND(IF(metadata!B604="",FALSE,TRUE),COUNTIF(metadata!B:B, metadata!B604) = 1,NOT(ISERROR(SUMPRODUCT(SEARCH(MID(metadata!B604,ROW(INDIRECT("1:"&amp;LEN(metadata!B604))), 1),"0123456789abcdefghijklmnopqrstuvwxyzABCDEFGHIJKLMNOPQRSTUVWXYZ.")))))</f>
        <v>0</v>
      </c>
      <c r="AC604">
        <f>OR(AND(IF(metadata!C604="",FALSE,TRUE),OR(exact(metadata!C604,"missing: not collected"),exact(metadata!C604,"missing: not provided"),exact(metadata!C604,"missing: restricted access"))),AND(IF(metadata!C604="",FALSE,TRUE),AND(AND(IFERROR(INT(LEFT(metadata!C604,4))&gt;1900,FALSE),IFERROR(INT(LEFT(metadata!C604,4))&lt;=YEAR(NOW()),FALSE)), OR(MID(metadata!C604,5,1)="", AND(AND(MID(metadata!C604,5,1)="-",IFERROR(INT(MID(metadata!C604,6,1))&gt;=0,FALSE),IFERROR(INT(MID(metadata!C604,6,1))&lt;=1,FALSE),NOT(MID(metadata!C604,7,1)=""),IFERROR(INT(MID(metadata!C604,6,2))&gt;=1,FALSE),IFERROR(INT(MID(metadata!C604,6,2))&lt;=12,FALSE)), OR(MID(metadata!C604,8,1)="", AND(AND(MID(metadata!C604,8,1)="-",IFERROR(INT(MID(metadata!C604,9,1))&gt;=0,FALSE),IFERROR(INT(MID(metadata!C604,9,1))&lt;=3,FALSE),NOT(MID(metadata!C604,10,1)=""),IFERROR(INT(MID(metadata!C604,9,2))&gt;=1,FALSE),IFERROR(INT(MID(metadata!C604,9,2))&lt;=31,FALSE)), OR(MID(metadata!C604,11,1)="", AND(AND(MID(metadata!C604,11,1)=" ",IFERROR(INT(MID(metadata!C604,12,1))&gt;=0,FALSE),IFERROR(INT(MID(metadata!C604,12,1))&lt;=2,FALSE),NOT(MID(metadata!C604,13,1)=""),IFERROR(INT(MID(metadata!C604,12,2))&gt;=0,FALSE),IFERROR(INT(MID(metadata!C604,12,2))&lt;=23,FALSE)), OR(MID(metadata!C604,14,1)="", AND(AND(MID(metadata!C604,14,1)=":",IFERROR(INT(MID(metadata!C604,15,1))&gt;=0,FALSE),IFERROR(INT(MID(metadata!C604,15,1))&lt;=5,FALSE),NOT(MID(metadata!C604,16,1)=""),IFERROR(INT(MID(metadata!C604,15,2))&gt;=0,FALSE),IFERROR(INT(MID(metadata!C604,15,2))&lt;=59,FALSE)), OR(MID(metadata!C604,17,1)="", AND(AND(MID(metadata!C604,17,1)=":",IFERROR(INT(MID(metadata!C604,18,1))&gt;=0,FALSE),IFERROR(INT(MID(metadata!C604,18,1))&lt;=5,FALSE),NOT(MID(metadata!C604,19,1)=""),IFERROR(INT(MID(metadata!C604,18,2))&gt;=0,FALSE),IFERROR(INT(MID(metadata!C604,18,2))&lt;=59,FALSE)), LEN(metadata!C604)&lt;=19)))))))))))))</f>
        <v>0</v>
      </c>
      <c r="AD604">
        <f>IF(metadata!D604="",FALSE,TRUE)</f>
        <v>0</v>
      </c>
      <c r="AE604">
        <f>OR(AND(IF(metadata!E604="",FALSE,TRUE),OR(exact(metadata!E604,"missing: not collected"),exact(metadata!E604,"missing: not provided"))),AND(IF(metadata!E604="",FALSE,TRUE),OR(exact(metadata!E604,"TRUE"),exact(metadata!E604,"FALSE"))))</f>
        <v>0</v>
      </c>
      <c r="AF604">
        <f>IF(metadata!F604="",FALSE,TRUE)</f>
        <v>0</v>
      </c>
      <c r="AG604">
        <f>IF(metadata!G604="",FALSE,TRUE)</f>
        <v>0</v>
      </c>
      <c r="AH604">
        <f>IF(metadata!H604="",FALSE,TRUE)</f>
        <v>0</v>
      </c>
      <c r="AI604">
        <f>OR(AND(IF(metadata!I604="",FALSE,TRUE),OR(exact(metadata!I604,"missing: not collected"),exact(metadata!I604,"missing: not provided"),exact(metadata!I604,"missing: restricted access"))),AND(IF(metadata!I604="",FALSE,TRUE),OR(exact(metadata!I604,"air"),exact(metadata!I604,"built environment"),exact(metadata!I604,"host-associated"),exact(metadata!I604,"human-associated"),exact(metadata!I604,"human-skin"),exact(metadata!I604,"human-oral"),exact(metadata!I604,"human-gut"),exact(metadata!I604,"human-vaginal"),exact(metadata!I604,"microbial mat/biofilm"),exact(metadata!I604,"misc environment"),exact(metadata!I604,"plant-associated"),exact(metadata!I604,"sediment"),exact(metadata!I604,"soil"),exact(metadata!I604,"wastewater/sludge"),exact(metadata!I604,"water"))))</f>
        <v>0</v>
      </c>
      <c r="AJ604">
        <f>IF(metadata!J604="",FALSE,TRUE)</f>
        <v>0</v>
      </c>
      <c r="AK604">
        <f>OR(AND(IF(metadata!K604="",FALSE,TRUE),OR(exact(metadata!K604,"missing: not collected"),exact(metadata!K604,"missing: not provided"),exact(metadata!K604,"missing: restricted access"))),AND(IF(metadata!K604="",FALSE,ISNUMBER(VALUE(metadata!K604))),metadata!K604&gt;=-90.00,metadata!K604&lt;=90.00))</f>
        <v>0</v>
      </c>
      <c r="AL604">
        <f>OR(AND(IF(metadata!L604="",FALSE,TRUE),OR(exact(metadata!L604,"missing: not collected"),exact(metadata!L604,"missing: not provided"),exact(metadata!L604,"missing: restricted access"))),AND(IF(metadata!L604="",FALSE,ISNUMBER(VALUE(metadata!L604))),metadata!L604&gt;=-180.00,metadata!L604&lt;=180.00))</f>
        <v>0</v>
      </c>
      <c r="AM604">
        <f>IF(metadata!M604="",FALSE,TRUE)</f>
        <v>0</v>
      </c>
      <c r="AN604">
        <f>OR(AND(IF(metadata!N604="",FALSE,TRUE),OR(exact(metadata!N604,"missing: not collected"),exact(metadata!N604,"missing: not provided"),exact(metadata!N604,"missing: restricted access"))),AND(IF(metadata!N604="",FALSE,TRUE),OR(exact(metadata!N604,"TRUE"),exact(metadata!N604,"FALSE"))))</f>
        <v>0</v>
      </c>
      <c r="AO604">
        <f>IF(metadata!O604="",FALSE,TRUE)</f>
        <v>0</v>
      </c>
      <c r="AP604">
        <f>OR(AND(IF(metadata!P604="",FALSE,TRUE),OR(exact(metadata!P604,"missing: not collected"),exact(metadata!P604,"missing: not provided"))),AND(IF(metadata!P604="",FALSE,IF(ISERROR(INT(metadata!P604)),FALSE,INT(metadata!P604)=metadata!P604)),metadata!P604&gt;0))</f>
        <v>0</v>
      </c>
      <c r="AQ604">
        <f>IF(metadata!Q604="",FALSE,TRUE)</f>
        <v>0</v>
      </c>
    </row>
    <row r="605" spans="1:43">
      <c r="A605" s="5">
        <f>IF(B605=" "," ",HYPERLINK(CONCATENATE("#metadata!",ADDRESS(INDEX($W$2:$W$1001,MATCH(ROWS($U$2:U605),$U$2:$U$1001,0),0),1)),INDEX($Z$2:$Z$1001,MATCH(ROWS($U$2:U605),$U$2:$U$1001,0),0)))</f>
        <v>0</v>
      </c>
      <c r="B605" s="4">
        <f>IF(OR(INDEX($V$2:$V$1001,MATCH(ROWS($U$2:U605),$U$2:$U$1001,0),1)&gt;=100000,INDEX($AB$1005:$AQ$1005,1,MATCH(COLUMNS($AB$1006:AB1006),$AB$1006:$AQ$1006,0))&gt;=100000), " ",IF(INDEX($AB$2:$AQ$1001,MATCH(ROWS($U$2:U605),$U$2:$U$1001,0),MATCH(COLUMNS($AB$1006:AB1006),$AB$1006:$AQ$1006,0)), HYPERLINK("#",""), HYPERLINK(CONCATENATE("#metadata!", ADDRESS(INDEX($W$2:$W$1001,MATCH(ROWS($U$2:U605),$U$2:$U$1001,0),0), INDEX($AB$1004:$AQ$1004,1,MATCH(COLUMNS($AB$1006:AB1006),$AB$1006:$AQ$1006,0)))),"Fix")))</f>
        <v>0</v>
      </c>
      <c r="C605" s="4">
        <f>IF(OR(INDEX($V$2:$V$1001,MATCH(ROWS($U$2:U605),$U$2:$U$1001,0),1)&gt;=100000,INDEX($AB$1005:$AQ$1005,1,MATCH(COLUMNS($AB$1006:AC1006),$AB$1006:$AQ$1006,0))&gt;=100000), " ",IF(INDEX($AB$2:$AQ$1001,MATCH(ROWS($U$2:U605),$U$2:$U$1001,0),MATCH(COLUMNS($AB$1006:AC1006),$AB$1006:$AQ$1006,0)), HYPERLINK("#",""), HYPERLINK(CONCATENATE("#metadata!", ADDRESS(INDEX($W$2:$W$1001,MATCH(ROWS($U$2:U605),$U$2:$U$1001,0),0), INDEX($AB$1004:$AQ$1004,1,MATCH(COLUMNS($AB$1006:AC1006),$AB$1006:$AQ$1006,0)))),"Fix")))</f>
        <v>0</v>
      </c>
      <c r="D605" s="4">
        <f>IF(OR(INDEX($V$2:$V$1001,MATCH(ROWS($U$2:U605),$U$2:$U$1001,0),1)&gt;=100000,INDEX($AB$1005:$AQ$1005,1,MATCH(COLUMNS($AB$1006:AD1006),$AB$1006:$AQ$1006,0))&gt;=100000), " ",IF(INDEX($AB$2:$AQ$1001,MATCH(ROWS($U$2:U605),$U$2:$U$1001,0),MATCH(COLUMNS($AB$1006:AD1006),$AB$1006:$AQ$1006,0)), HYPERLINK("#",""), HYPERLINK(CONCATENATE("#metadata!", ADDRESS(INDEX($W$2:$W$1001,MATCH(ROWS($U$2:U605),$U$2:$U$1001,0),0), INDEX($AB$1004:$AQ$1004,1,MATCH(COLUMNS($AB$1006:AD1006),$AB$1006:$AQ$1006,0)))),"Fix")))</f>
        <v>0</v>
      </c>
      <c r="E605" s="4">
        <f>IF(OR(INDEX($V$2:$V$1001,MATCH(ROWS($U$2:U605),$U$2:$U$1001,0),1)&gt;=100000,INDEX($AB$1005:$AQ$1005,1,MATCH(COLUMNS($AB$1006:AE1006),$AB$1006:$AQ$1006,0))&gt;=100000), " ",IF(INDEX($AB$2:$AQ$1001,MATCH(ROWS($U$2:U605),$U$2:$U$1001,0),MATCH(COLUMNS($AB$1006:AE1006),$AB$1006:$AQ$1006,0)), HYPERLINK("#",""), HYPERLINK(CONCATENATE("#metadata!", ADDRESS(INDEX($W$2:$W$1001,MATCH(ROWS($U$2:U605),$U$2:$U$1001,0),0), INDEX($AB$1004:$AQ$1004,1,MATCH(COLUMNS($AB$1006:AE1006),$AB$1006:$AQ$1006,0)))),"Fix")))</f>
        <v>0</v>
      </c>
      <c r="F605" s="4">
        <f>IF(OR(INDEX($V$2:$V$1001,MATCH(ROWS($U$2:U605),$U$2:$U$1001,0),1)&gt;=100000,INDEX($AB$1005:$AQ$1005,1,MATCH(COLUMNS($AB$1006:AF1006),$AB$1006:$AQ$1006,0))&gt;=100000), " ",IF(INDEX($AB$2:$AQ$1001,MATCH(ROWS($U$2:U605),$U$2:$U$1001,0),MATCH(COLUMNS($AB$1006:AF1006),$AB$1006:$AQ$1006,0)), HYPERLINK("#",""), HYPERLINK(CONCATENATE("#metadata!", ADDRESS(INDEX($W$2:$W$1001,MATCH(ROWS($U$2:U605),$U$2:$U$1001,0),0), INDEX($AB$1004:$AQ$1004,1,MATCH(COLUMNS($AB$1006:AF1006),$AB$1006:$AQ$1006,0)))),"Fix")))</f>
        <v>0</v>
      </c>
      <c r="G605" s="4">
        <f>IF(OR(INDEX($V$2:$V$1001,MATCH(ROWS($U$2:U605),$U$2:$U$1001,0),1)&gt;=100000,INDEX($AB$1005:$AQ$1005,1,MATCH(COLUMNS($AB$1006:AG1006),$AB$1006:$AQ$1006,0))&gt;=100000), " ",IF(INDEX($AB$2:$AQ$1001,MATCH(ROWS($U$2:U605),$U$2:$U$1001,0),MATCH(COLUMNS($AB$1006:AG1006),$AB$1006:$AQ$1006,0)), HYPERLINK("#",""), HYPERLINK(CONCATENATE("#metadata!", ADDRESS(INDEX($W$2:$W$1001,MATCH(ROWS($U$2:U605),$U$2:$U$1001,0),0), INDEX($AB$1004:$AQ$1004,1,MATCH(COLUMNS($AB$1006:AG1006),$AB$1006:$AQ$1006,0)))),"Fix")))</f>
        <v>0</v>
      </c>
      <c r="H605" s="4">
        <f>IF(OR(INDEX($V$2:$V$1001,MATCH(ROWS($U$2:U605),$U$2:$U$1001,0),1)&gt;=100000,INDEX($AB$1005:$AQ$1005,1,MATCH(COLUMNS($AB$1006:AH1006),$AB$1006:$AQ$1006,0))&gt;=100000), " ",IF(INDEX($AB$2:$AQ$1001,MATCH(ROWS($U$2:U605),$U$2:$U$1001,0),MATCH(COLUMNS($AB$1006:AH1006),$AB$1006:$AQ$1006,0)), HYPERLINK("#",""), HYPERLINK(CONCATENATE("#metadata!", ADDRESS(INDEX($W$2:$W$1001,MATCH(ROWS($U$2:U605),$U$2:$U$1001,0),0), INDEX($AB$1004:$AQ$1004,1,MATCH(COLUMNS($AB$1006:AH1006),$AB$1006:$AQ$1006,0)))),"Fix")))</f>
        <v>0</v>
      </c>
      <c r="I605" s="4">
        <f>IF(OR(INDEX($V$2:$V$1001,MATCH(ROWS($U$2:U605),$U$2:$U$1001,0),1)&gt;=100000,INDEX($AB$1005:$AQ$1005,1,MATCH(COLUMNS($AB$1006:AI1006),$AB$1006:$AQ$1006,0))&gt;=100000), " ",IF(INDEX($AB$2:$AQ$1001,MATCH(ROWS($U$2:U605),$U$2:$U$1001,0),MATCH(COLUMNS($AB$1006:AI1006),$AB$1006:$AQ$1006,0)), HYPERLINK("#",""), HYPERLINK(CONCATENATE("#metadata!", ADDRESS(INDEX($W$2:$W$1001,MATCH(ROWS($U$2:U605),$U$2:$U$1001,0),0), INDEX($AB$1004:$AQ$1004,1,MATCH(COLUMNS($AB$1006:AI1006),$AB$1006:$AQ$1006,0)))),"Fix")))</f>
        <v>0</v>
      </c>
      <c r="J605" s="4">
        <f>IF(OR(INDEX($V$2:$V$1001,MATCH(ROWS($U$2:U605),$U$2:$U$1001,0),1)&gt;=100000,INDEX($AB$1005:$AQ$1005,1,MATCH(COLUMNS($AB$1006:AJ1006),$AB$1006:$AQ$1006,0))&gt;=100000), " ",IF(INDEX($AB$2:$AQ$1001,MATCH(ROWS($U$2:U605),$U$2:$U$1001,0),MATCH(COLUMNS($AB$1006:AJ1006),$AB$1006:$AQ$1006,0)), HYPERLINK("#",""), HYPERLINK(CONCATENATE("#metadata!", ADDRESS(INDEX($W$2:$W$1001,MATCH(ROWS($U$2:U605),$U$2:$U$1001,0),0), INDEX($AB$1004:$AQ$1004,1,MATCH(COLUMNS($AB$1006:AJ1006),$AB$1006:$AQ$1006,0)))),"Fix")))</f>
        <v>0</v>
      </c>
      <c r="K605" s="4">
        <f>IF(OR(INDEX($V$2:$V$1001,MATCH(ROWS($U$2:U605),$U$2:$U$1001,0),1)&gt;=100000,INDEX($AB$1005:$AQ$1005,1,MATCH(COLUMNS($AB$1006:AK1006),$AB$1006:$AQ$1006,0))&gt;=100000), " ",IF(INDEX($AB$2:$AQ$1001,MATCH(ROWS($U$2:U605),$U$2:$U$1001,0),MATCH(COLUMNS($AB$1006:AK1006),$AB$1006:$AQ$1006,0)), HYPERLINK("#",""), HYPERLINK(CONCATENATE("#metadata!", ADDRESS(INDEX($W$2:$W$1001,MATCH(ROWS($U$2:U605),$U$2:$U$1001,0),0), INDEX($AB$1004:$AQ$1004,1,MATCH(COLUMNS($AB$1006:AK1006),$AB$1006:$AQ$1006,0)))),"Fix")))</f>
        <v>0</v>
      </c>
      <c r="L605" s="4">
        <f>IF(OR(INDEX($V$2:$V$1001,MATCH(ROWS($U$2:U605),$U$2:$U$1001,0),1)&gt;=100000,INDEX($AB$1005:$AQ$1005,1,MATCH(COLUMNS($AB$1006:AL1006),$AB$1006:$AQ$1006,0))&gt;=100000), " ",IF(INDEX($AB$2:$AQ$1001,MATCH(ROWS($U$2:U605),$U$2:$U$1001,0),MATCH(COLUMNS($AB$1006:AL1006),$AB$1006:$AQ$1006,0)), HYPERLINK("#",""), HYPERLINK(CONCATENATE("#metadata!", ADDRESS(INDEX($W$2:$W$1001,MATCH(ROWS($U$2:U605),$U$2:$U$1001,0),0), INDEX($AB$1004:$AQ$1004,1,MATCH(COLUMNS($AB$1006:AL1006),$AB$1006:$AQ$1006,0)))),"Fix")))</f>
        <v>0</v>
      </c>
      <c r="M605" s="4">
        <f>IF(OR(INDEX($V$2:$V$1001,MATCH(ROWS($U$2:U605),$U$2:$U$1001,0),1)&gt;=100000,INDEX($AB$1005:$AQ$1005,1,MATCH(COLUMNS($AB$1006:AM1006),$AB$1006:$AQ$1006,0))&gt;=100000), " ",IF(INDEX($AB$2:$AQ$1001,MATCH(ROWS($U$2:U605),$U$2:$U$1001,0),MATCH(COLUMNS($AB$1006:AM1006),$AB$1006:$AQ$1006,0)), HYPERLINK("#",""), HYPERLINK(CONCATENATE("#metadata!", ADDRESS(INDEX($W$2:$W$1001,MATCH(ROWS($U$2:U605),$U$2:$U$1001,0),0), INDEX($AB$1004:$AQ$1004,1,MATCH(COLUMNS($AB$1006:AM1006),$AB$1006:$AQ$1006,0)))),"Fix")))</f>
        <v>0</v>
      </c>
      <c r="N605" s="4">
        <f>IF(OR(INDEX($V$2:$V$1001,MATCH(ROWS($U$2:U605),$U$2:$U$1001,0),1)&gt;=100000,INDEX($AB$1005:$AQ$1005,1,MATCH(COLUMNS($AB$1006:AN1006),$AB$1006:$AQ$1006,0))&gt;=100000), " ",IF(INDEX($AB$2:$AQ$1001,MATCH(ROWS($U$2:U605),$U$2:$U$1001,0),MATCH(COLUMNS($AB$1006:AN1006),$AB$1006:$AQ$1006,0)), HYPERLINK("#",""), HYPERLINK(CONCATENATE("#metadata!", ADDRESS(INDEX($W$2:$W$1001,MATCH(ROWS($U$2:U605),$U$2:$U$1001,0),0), INDEX($AB$1004:$AQ$1004,1,MATCH(COLUMNS($AB$1006:AN1006),$AB$1006:$AQ$1006,0)))),"Fix")))</f>
        <v>0</v>
      </c>
      <c r="O605" s="4">
        <f>IF(OR(INDEX($V$2:$V$1001,MATCH(ROWS($U$2:U605),$U$2:$U$1001,0),1)&gt;=100000,INDEX($AB$1005:$AQ$1005,1,MATCH(COLUMNS($AB$1006:AO1006),$AB$1006:$AQ$1006,0))&gt;=100000), " ",IF(INDEX($AB$2:$AQ$1001,MATCH(ROWS($U$2:U605),$U$2:$U$1001,0),MATCH(COLUMNS($AB$1006:AO1006),$AB$1006:$AQ$1006,0)), HYPERLINK("#",""), HYPERLINK(CONCATENATE("#metadata!", ADDRESS(INDEX($W$2:$W$1001,MATCH(ROWS($U$2:U605),$U$2:$U$1001,0),0), INDEX($AB$1004:$AQ$1004,1,MATCH(COLUMNS($AB$1006:AO1006),$AB$1006:$AQ$1006,0)))),"Fix")))</f>
        <v>0</v>
      </c>
      <c r="P605" s="4">
        <f>IF(OR(INDEX($V$2:$V$1001,MATCH(ROWS($U$2:U605),$U$2:$U$1001,0),1)&gt;=100000,INDEX($AB$1005:$AQ$1005,1,MATCH(COLUMNS($AB$1006:AP1006),$AB$1006:$AQ$1006,0))&gt;=100000), " ",IF(INDEX($AB$2:$AQ$1001,MATCH(ROWS($U$2:U605),$U$2:$U$1001,0),MATCH(COLUMNS($AB$1006:AP1006),$AB$1006:$AQ$1006,0)), HYPERLINK("#",""), HYPERLINK(CONCATENATE("#metadata!", ADDRESS(INDEX($W$2:$W$1001,MATCH(ROWS($U$2:U605),$U$2:$U$1001,0),0), INDEX($AB$1004:$AQ$1004,1,MATCH(COLUMNS($AB$1006:AP1006),$AB$1006:$AQ$1006,0)))),"Fix")))</f>
        <v>0</v>
      </c>
      <c r="Q605" s="4">
        <f>IF(OR(INDEX($V$2:$V$1001,MATCH(ROWS($U$2:U605),$U$2:$U$1001,0),1)&gt;=100000,INDEX($AB$1005:$AQ$1005,1,MATCH(COLUMNS($AB$1006:AQ1006),$AB$1006:$AQ$1006,0))&gt;=100000), " ",IF(INDEX($AB$2:$AQ$1001,MATCH(ROWS($U$2:U605),$U$2:$U$1001,0),MATCH(COLUMNS($AB$1006:AQ1006),$AB$1006:$AQ$1006,0)), HYPERLINK("#",""), HYPERLINK(CONCATENATE("#metadata!", ADDRESS(INDEX($W$2:$W$1001,MATCH(ROWS($U$2:U605),$U$2:$U$1001,0),0), INDEX($AB$1004:$AQ$1004,1,MATCH(COLUMNS($AB$1006:AQ1006),$AB$1006:$AQ$1006,0)))),"Fix")))</f>
        <v>0</v>
      </c>
      <c r="U605">
        <v>0</v>
      </c>
      <c r="V605">
        <v>0</v>
      </c>
      <c r="W605">
        <v>0</v>
      </c>
      <c r="X605">
        <f>IF(Y605,TRUE,AND(AB605:AQ605))</f>
        <v>0</v>
      </c>
      <c r="Y605">
        <f>COUNTBLANK(metadata!B605:Q605)=COLUMNS(metadata!B605:Q605)</f>
        <v>0</v>
      </c>
      <c r="Z605">
        <v>0</v>
      </c>
      <c r="AB605">
        <f>AND(IF(metadata!B605="",FALSE,TRUE),COUNTIF(metadata!B:B, metadata!B605) = 1,NOT(ISERROR(SUMPRODUCT(SEARCH(MID(metadata!B605,ROW(INDIRECT("1:"&amp;LEN(metadata!B605))), 1),"0123456789abcdefghijklmnopqrstuvwxyzABCDEFGHIJKLMNOPQRSTUVWXYZ.")))))</f>
        <v>0</v>
      </c>
      <c r="AC605">
        <f>OR(AND(IF(metadata!C605="",FALSE,TRUE),OR(exact(metadata!C605,"missing: not collected"),exact(metadata!C605,"missing: not provided"),exact(metadata!C605,"missing: restricted access"))),AND(IF(metadata!C605="",FALSE,TRUE),AND(AND(IFERROR(INT(LEFT(metadata!C605,4))&gt;1900,FALSE),IFERROR(INT(LEFT(metadata!C605,4))&lt;=YEAR(NOW()),FALSE)), OR(MID(metadata!C605,5,1)="", AND(AND(MID(metadata!C605,5,1)="-",IFERROR(INT(MID(metadata!C605,6,1))&gt;=0,FALSE),IFERROR(INT(MID(metadata!C605,6,1))&lt;=1,FALSE),NOT(MID(metadata!C605,7,1)=""),IFERROR(INT(MID(metadata!C605,6,2))&gt;=1,FALSE),IFERROR(INT(MID(metadata!C605,6,2))&lt;=12,FALSE)), OR(MID(metadata!C605,8,1)="", AND(AND(MID(metadata!C605,8,1)="-",IFERROR(INT(MID(metadata!C605,9,1))&gt;=0,FALSE),IFERROR(INT(MID(metadata!C605,9,1))&lt;=3,FALSE),NOT(MID(metadata!C605,10,1)=""),IFERROR(INT(MID(metadata!C605,9,2))&gt;=1,FALSE),IFERROR(INT(MID(metadata!C605,9,2))&lt;=31,FALSE)), OR(MID(metadata!C605,11,1)="", AND(AND(MID(metadata!C605,11,1)=" ",IFERROR(INT(MID(metadata!C605,12,1))&gt;=0,FALSE),IFERROR(INT(MID(metadata!C605,12,1))&lt;=2,FALSE),NOT(MID(metadata!C605,13,1)=""),IFERROR(INT(MID(metadata!C605,12,2))&gt;=0,FALSE),IFERROR(INT(MID(metadata!C605,12,2))&lt;=23,FALSE)), OR(MID(metadata!C605,14,1)="", AND(AND(MID(metadata!C605,14,1)=":",IFERROR(INT(MID(metadata!C605,15,1))&gt;=0,FALSE),IFERROR(INT(MID(metadata!C605,15,1))&lt;=5,FALSE),NOT(MID(metadata!C605,16,1)=""),IFERROR(INT(MID(metadata!C605,15,2))&gt;=0,FALSE),IFERROR(INT(MID(metadata!C605,15,2))&lt;=59,FALSE)), OR(MID(metadata!C605,17,1)="", AND(AND(MID(metadata!C605,17,1)=":",IFERROR(INT(MID(metadata!C605,18,1))&gt;=0,FALSE),IFERROR(INT(MID(metadata!C605,18,1))&lt;=5,FALSE),NOT(MID(metadata!C605,19,1)=""),IFERROR(INT(MID(metadata!C605,18,2))&gt;=0,FALSE),IFERROR(INT(MID(metadata!C605,18,2))&lt;=59,FALSE)), LEN(metadata!C605)&lt;=19)))))))))))))</f>
        <v>0</v>
      </c>
      <c r="AD605">
        <f>IF(metadata!D605="",FALSE,TRUE)</f>
        <v>0</v>
      </c>
      <c r="AE605">
        <f>OR(AND(IF(metadata!E605="",FALSE,TRUE),OR(exact(metadata!E605,"missing: not collected"),exact(metadata!E605,"missing: not provided"))),AND(IF(metadata!E605="",FALSE,TRUE),OR(exact(metadata!E605,"TRUE"),exact(metadata!E605,"FALSE"))))</f>
        <v>0</v>
      </c>
      <c r="AF605">
        <f>IF(metadata!F605="",FALSE,TRUE)</f>
        <v>0</v>
      </c>
      <c r="AG605">
        <f>IF(metadata!G605="",FALSE,TRUE)</f>
        <v>0</v>
      </c>
      <c r="AH605">
        <f>IF(metadata!H605="",FALSE,TRUE)</f>
        <v>0</v>
      </c>
      <c r="AI605">
        <f>OR(AND(IF(metadata!I605="",FALSE,TRUE),OR(exact(metadata!I605,"missing: not collected"),exact(metadata!I605,"missing: not provided"),exact(metadata!I605,"missing: restricted access"))),AND(IF(metadata!I605="",FALSE,TRUE),OR(exact(metadata!I605,"air"),exact(metadata!I605,"built environment"),exact(metadata!I605,"host-associated"),exact(metadata!I605,"human-associated"),exact(metadata!I605,"human-skin"),exact(metadata!I605,"human-oral"),exact(metadata!I605,"human-gut"),exact(metadata!I605,"human-vaginal"),exact(metadata!I605,"microbial mat/biofilm"),exact(metadata!I605,"misc environment"),exact(metadata!I605,"plant-associated"),exact(metadata!I605,"sediment"),exact(metadata!I605,"soil"),exact(metadata!I605,"wastewater/sludge"),exact(metadata!I605,"water"))))</f>
        <v>0</v>
      </c>
      <c r="AJ605">
        <f>IF(metadata!J605="",FALSE,TRUE)</f>
        <v>0</v>
      </c>
      <c r="AK605">
        <f>OR(AND(IF(metadata!K605="",FALSE,TRUE),OR(exact(metadata!K605,"missing: not collected"),exact(metadata!K605,"missing: not provided"),exact(metadata!K605,"missing: restricted access"))),AND(IF(metadata!K605="",FALSE,ISNUMBER(VALUE(metadata!K605))),metadata!K605&gt;=-90.00,metadata!K605&lt;=90.00))</f>
        <v>0</v>
      </c>
      <c r="AL605">
        <f>OR(AND(IF(metadata!L605="",FALSE,TRUE),OR(exact(metadata!L605,"missing: not collected"),exact(metadata!L605,"missing: not provided"),exact(metadata!L605,"missing: restricted access"))),AND(IF(metadata!L605="",FALSE,ISNUMBER(VALUE(metadata!L605))),metadata!L605&gt;=-180.00,metadata!L605&lt;=180.00))</f>
        <v>0</v>
      </c>
      <c r="AM605">
        <f>IF(metadata!M605="",FALSE,TRUE)</f>
        <v>0</v>
      </c>
      <c r="AN605">
        <f>OR(AND(IF(metadata!N605="",FALSE,TRUE),OR(exact(metadata!N605,"missing: not collected"),exact(metadata!N605,"missing: not provided"),exact(metadata!N605,"missing: restricted access"))),AND(IF(metadata!N605="",FALSE,TRUE),OR(exact(metadata!N605,"TRUE"),exact(metadata!N605,"FALSE"))))</f>
        <v>0</v>
      </c>
      <c r="AO605">
        <f>IF(metadata!O605="",FALSE,TRUE)</f>
        <v>0</v>
      </c>
      <c r="AP605">
        <f>OR(AND(IF(metadata!P605="",FALSE,TRUE),OR(exact(metadata!P605,"missing: not collected"),exact(metadata!P605,"missing: not provided"))),AND(IF(metadata!P605="",FALSE,IF(ISERROR(INT(metadata!P605)),FALSE,INT(metadata!P605)=metadata!P605)),metadata!P605&gt;0))</f>
        <v>0</v>
      </c>
      <c r="AQ605">
        <f>IF(metadata!Q605="",FALSE,TRUE)</f>
        <v>0</v>
      </c>
    </row>
    <row r="606" spans="1:43">
      <c r="A606" s="5">
        <f>IF(B606=" "," ",HYPERLINK(CONCATENATE("#metadata!",ADDRESS(INDEX($W$2:$W$1001,MATCH(ROWS($U$2:U606),$U$2:$U$1001,0),0),1)),INDEX($Z$2:$Z$1001,MATCH(ROWS($U$2:U606),$U$2:$U$1001,0),0)))</f>
        <v>0</v>
      </c>
      <c r="B606" s="4">
        <f>IF(OR(INDEX($V$2:$V$1001,MATCH(ROWS($U$2:U606),$U$2:$U$1001,0),1)&gt;=100000,INDEX($AB$1005:$AQ$1005,1,MATCH(COLUMNS($AB$1006:AB1006),$AB$1006:$AQ$1006,0))&gt;=100000), " ",IF(INDEX($AB$2:$AQ$1001,MATCH(ROWS($U$2:U606),$U$2:$U$1001,0),MATCH(COLUMNS($AB$1006:AB1006),$AB$1006:$AQ$1006,0)), HYPERLINK("#",""), HYPERLINK(CONCATENATE("#metadata!", ADDRESS(INDEX($W$2:$W$1001,MATCH(ROWS($U$2:U606),$U$2:$U$1001,0),0), INDEX($AB$1004:$AQ$1004,1,MATCH(COLUMNS($AB$1006:AB1006),$AB$1006:$AQ$1006,0)))),"Fix")))</f>
        <v>0</v>
      </c>
      <c r="C606" s="4">
        <f>IF(OR(INDEX($V$2:$V$1001,MATCH(ROWS($U$2:U606),$U$2:$U$1001,0),1)&gt;=100000,INDEX($AB$1005:$AQ$1005,1,MATCH(COLUMNS($AB$1006:AC1006),$AB$1006:$AQ$1006,0))&gt;=100000), " ",IF(INDEX($AB$2:$AQ$1001,MATCH(ROWS($U$2:U606),$U$2:$U$1001,0),MATCH(COLUMNS($AB$1006:AC1006),$AB$1006:$AQ$1006,0)), HYPERLINK("#",""), HYPERLINK(CONCATENATE("#metadata!", ADDRESS(INDEX($W$2:$W$1001,MATCH(ROWS($U$2:U606),$U$2:$U$1001,0),0), INDEX($AB$1004:$AQ$1004,1,MATCH(COLUMNS($AB$1006:AC1006),$AB$1006:$AQ$1006,0)))),"Fix")))</f>
        <v>0</v>
      </c>
      <c r="D606" s="4">
        <f>IF(OR(INDEX($V$2:$V$1001,MATCH(ROWS($U$2:U606),$U$2:$U$1001,0),1)&gt;=100000,INDEX($AB$1005:$AQ$1005,1,MATCH(COLUMNS($AB$1006:AD1006),$AB$1006:$AQ$1006,0))&gt;=100000), " ",IF(INDEX($AB$2:$AQ$1001,MATCH(ROWS($U$2:U606),$U$2:$U$1001,0),MATCH(COLUMNS($AB$1006:AD1006),$AB$1006:$AQ$1006,0)), HYPERLINK("#",""), HYPERLINK(CONCATENATE("#metadata!", ADDRESS(INDEX($W$2:$W$1001,MATCH(ROWS($U$2:U606),$U$2:$U$1001,0),0), INDEX($AB$1004:$AQ$1004,1,MATCH(COLUMNS($AB$1006:AD1006),$AB$1006:$AQ$1006,0)))),"Fix")))</f>
        <v>0</v>
      </c>
      <c r="E606" s="4">
        <f>IF(OR(INDEX($V$2:$V$1001,MATCH(ROWS($U$2:U606),$U$2:$U$1001,0),1)&gt;=100000,INDEX($AB$1005:$AQ$1005,1,MATCH(COLUMNS($AB$1006:AE1006),$AB$1006:$AQ$1006,0))&gt;=100000), " ",IF(INDEX($AB$2:$AQ$1001,MATCH(ROWS($U$2:U606),$U$2:$U$1001,0),MATCH(COLUMNS($AB$1006:AE1006),$AB$1006:$AQ$1006,0)), HYPERLINK("#",""), HYPERLINK(CONCATENATE("#metadata!", ADDRESS(INDEX($W$2:$W$1001,MATCH(ROWS($U$2:U606),$U$2:$U$1001,0),0), INDEX($AB$1004:$AQ$1004,1,MATCH(COLUMNS($AB$1006:AE1006),$AB$1006:$AQ$1006,0)))),"Fix")))</f>
        <v>0</v>
      </c>
      <c r="F606" s="4">
        <f>IF(OR(INDEX($V$2:$V$1001,MATCH(ROWS($U$2:U606),$U$2:$U$1001,0),1)&gt;=100000,INDEX($AB$1005:$AQ$1005,1,MATCH(COLUMNS($AB$1006:AF1006),$AB$1006:$AQ$1006,0))&gt;=100000), " ",IF(INDEX($AB$2:$AQ$1001,MATCH(ROWS($U$2:U606),$U$2:$U$1001,0),MATCH(COLUMNS($AB$1006:AF1006),$AB$1006:$AQ$1006,0)), HYPERLINK("#",""), HYPERLINK(CONCATENATE("#metadata!", ADDRESS(INDEX($W$2:$W$1001,MATCH(ROWS($U$2:U606),$U$2:$U$1001,0),0), INDEX($AB$1004:$AQ$1004,1,MATCH(COLUMNS($AB$1006:AF1006),$AB$1006:$AQ$1006,0)))),"Fix")))</f>
        <v>0</v>
      </c>
      <c r="G606" s="4">
        <f>IF(OR(INDEX($V$2:$V$1001,MATCH(ROWS($U$2:U606),$U$2:$U$1001,0),1)&gt;=100000,INDEX($AB$1005:$AQ$1005,1,MATCH(COLUMNS($AB$1006:AG1006),$AB$1006:$AQ$1006,0))&gt;=100000), " ",IF(INDEX($AB$2:$AQ$1001,MATCH(ROWS($U$2:U606),$U$2:$U$1001,0),MATCH(COLUMNS($AB$1006:AG1006),$AB$1006:$AQ$1006,0)), HYPERLINK("#",""), HYPERLINK(CONCATENATE("#metadata!", ADDRESS(INDEX($W$2:$W$1001,MATCH(ROWS($U$2:U606),$U$2:$U$1001,0),0), INDEX($AB$1004:$AQ$1004,1,MATCH(COLUMNS($AB$1006:AG1006),$AB$1006:$AQ$1006,0)))),"Fix")))</f>
        <v>0</v>
      </c>
      <c r="H606" s="4">
        <f>IF(OR(INDEX($V$2:$V$1001,MATCH(ROWS($U$2:U606),$U$2:$U$1001,0),1)&gt;=100000,INDEX($AB$1005:$AQ$1005,1,MATCH(COLUMNS($AB$1006:AH1006),$AB$1006:$AQ$1006,0))&gt;=100000), " ",IF(INDEX($AB$2:$AQ$1001,MATCH(ROWS($U$2:U606),$U$2:$U$1001,0),MATCH(COLUMNS($AB$1006:AH1006),$AB$1006:$AQ$1006,0)), HYPERLINK("#",""), HYPERLINK(CONCATENATE("#metadata!", ADDRESS(INDEX($W$2:$W$1001,MATCH(ROWS($U$2:U606),$U$2:$U$1001,0),0), INDEX($AB$1004:$AQ$1004,1,MATCH(COLUMNS($AB$1006:AH1006),$AB$1006:$AQ$1006,0)))),"Fix")))</f>
        <v>0</v>
      </c>
      <c r="I606" s="4">
        <f>IF(OR(INDEX($V$2:$V$1001,MATCH(ROWS($U$2:U606),$U$2:$U$1001,0),1)&gt;=100000,INDEX($AB$1005:$AQ$1005,1,MATCH(COLUMNS($AB$1006:AI1006),$AB$1006:$AQ$1006,0))&gt;=100000), " ",IF(INDEX($AB$2:$AQ$1001,MATCH(ROWS($U$2:U606),$U$2:$U$1001,0),MATCH(COLUMNS($AB$1006:AI1006),$AB$1006:$AQ$1006,0)), HYPERLINK("#",""), HYPERLINK(CONCATENATE("#metadata!", ADDRESS(INDEX($W$2:$W$1001,MATCH(ROWS($U$2:U606),$U$2:$U$1001,0),0), INDEX($AB$1004:$AQ$1004,1,MATCH(COLUMNS($AB$1006:AI1006),$AB$1006:$AQ$1006,0)))),"Fix")))</f>
        <v>0</v>
      </c>
      <c r="J606" s="4">
        <f>IF(OR(INDEX($V$2:$V$1001,MATCH(ROWS($U$2:U606),$U$2:$U$1001,0),1)&gt;=100000,INDEX($AB$1005:$AQ$1005,1,MATCH(COLUMNS($AB$1006:AJ1006),$AB$1006:$AQ$1006,0))&gt;=100000), " ",IF(INDEX($AB$2:$AQ$1001,MATCH(ROWS($U$2:U606),$U$2:$U$1001,0),MATCH(COLUMNS($AB$1006:AJ1006),$AB$1006:$AQ$1006,0)), HYPERLINK("#",""), HYPERLINK(CONCATENATE("#metadata!", ADDRESS(INDEX($W$2:$W$1001,MATCH(ROWS($U$2:U606),$U$2:$U$1001,0),0), INDEX($AB$1004:$AQ$1004,1,MATCH(COLUMNS($AB$1006:AJ1006),$AB$1006:$AQ$1006,0)))),"Fix")))</f>
        <v>0</v>
      </c>
      <c r="K606" s="4">
        <f>IF(OR(INDEX($V$2:$V$1001,MATCH(ROWS($U$2:U606),$U$2:$U$1001,0),1)&gt;=100000,INDEX($AB$1005:$AQ$1005,1,MATCH(COLUMNS($AB$1006:AK1006),$AB$1006:$AQ$1006,0))&gt;=100000), " ",IF(INDEX($AB$2:$AQ$1001,MATCH(ROWS($U$2:U606),$U$2:$U$1001,0),MATCH(COLUMNS($AB$1006:AK1006),$AB$1006:$AQ$1006,0)), HYPERLINK("#",""), HYPERLINK(CONCATENATE("#metadata!", ADDRESS(INDEX($W$2:$W$1001,MATCH(ROWS($U$2:U606),$U$2:$U$1001,0),0), INDEX($AB$1004:$AQ$1004,1,MATCH(COLUMNS($AB$1006:AK1006),$AB$1006:$AQ$1006,0)))),"Fix")))</f>
        <v>0</v>
      </c>
      <c r="L606" s="4">
        <f>IF(OR(INDEX($V$2:$V$1001,MATCH(ROWS($U$2:U606),$U$2:$U$1001,0),1)&gt;=100000,INDEX($AB$1005:$AQ$1005,1,MATCH(COLUMNS($AB$1006:AL1006),$AB$1006:$AQ$1006,0))&gt;=100000), " ",IF(INDEX($AB$2:$AQ$1001,MATCH(ROWS($U$2:U606),$U$2:$U$1001,0),MATCH(COLUMNS($AB$1006:AL1006),$AB$1006:$AQ$1006,0)), HYPERLINK("#",""), HYPERLINK(CONCATENATE("#metadata!", ADDRESS(INDEX($W$2:$W$1001,MATCH(ROWS($U$2:U606),$U$2:$U$1001,0),0), INDEX($AB$1004:$AQ$1004,1,MATCH(COLUMNS($AB$1006:AL1006),$AB$1006:$AQ$1006,0)))),"Fix")))</f>
        <v>0</v>
      </c>
      <c r="M606" s="4">
        <f>IF(OR(INDEX($V$2:$V$1001,MATCH(ROWS($U$2:U606),$U$2:$U$1001,0),1)&gt;=100000,INDEX($AB$1005:$AQ$1005,1,MATCH(COLUMNS($AB$1006:AM1006),$AB$1006:$AQ$1006,0))&gt;=100000), " ",IF(INDEX($AB$2:$AQ$1001,MATCH(ROWS($U$2:U606),$U$2:$U$1001,0),MATCH(COLUMNS($AB$1006:AM1006),$AB$1006:$AQ$1006,0)), HYPERLINK("#",""), HYPERLINK(CONCATENATE("#metadata!", ADDRESS(INDEX($W$2:$W$1001,MATCH(ROWS($U$2:U606),$U$2:$U$1001,0),0), INDEX($AB$1004:$AQ$1004,1,MATCH(COLUMNS($AB$1006:AM1006),$AB$1006:$AQ$1006,0)))),"Fix")))</f>
        <v>0</v>
      </c>
      <c r="N606" s="4">
        <f>IF(OR(INDEX($V$2:$V$1001,MATCH(ROWS($U$2:U606),$U$2:$U$1001,0),1)&gt;=100000,INDEX($AB$1005:$AQ$1005,1,MATCH(COLUMNS($AB$1006:AN1006),$AB$1006:$AQ$1006,0))&gt;=100000), " ",IF(INDEX($AB$2:$AQ$1001,MATCH(ROWS($U$2:U606),$U$2:$U$1001,0),MATCH(COLUMNS($AB$1006:AN1006),$AB$1006:$AQ$1006,0)), HYPERLINK("#",""), HYPERLINK(CONCATENATE("#metadata!", ADDRESS(INDEX($W$2:$W$1001,MATCH(ROWS($U$2:U606),$U$2:$U$1001,0),0), INDEX($AB$1004:$AQ$1004,1,MATCH(COLUMNS($AB$1006:AN1006),$AB$1006:$AQ$1006,0)))),"Fix")))</f>
        <v>0</v>
      </c>
      <c r="O606" s="4">
        <f>IF(OR(INDEX($V$2:$V$1001,MATCH(ROWS($U$2:U606),$U$2:$U$1001,0),1)&gt;=100000,INDEX($AB$1005:$AQ$1005,1,MATCH(COLUMNS($AB$1006:AO1006),$AB$1006:$AQ$1006,0))&gt;=100000), " ",IF(INDEX($AB$2:$AQ$1001,MATCH(ROWS($U$2:U606),$U$2:$U$1001,0),MATCH(COLUMNS($AB$1006:AO1006),$AB$1006:$AQ$1006,0)), HYPERLINK("#",""), HYPERLINK(CONCATENATE("#metadata!", ADDRESS(INDEX($W$2:$W$1001,MATCH(ROWS($U$2:U606),$U$2:$U$1001,0),0), INDEX($AB$1004:$AQ$1004,1,MATCH(COLUMNS($AB$1006:AO1006),$AB$1006:$AQ$1006,0)))),"Fix")))</f>
        <v>0</v>
      </c>
      <c r="P606" s="4">
        <f>IF(OR(INDEX($V$2:$V$1001,MATCH(ROWS($U$2:U606),$U$2:$U$1001,0),1)&gt;=100000,INDEX($AB$1005:$AQ$1005,1,MATCH(COLUMNS($AB$1006:AP1006),$AB$1006:$AQ$1006,0))&gt;=100000), " ",IF(INDEX($AB$2:$AQ$1001,MATCH(ROWS($U$2:U606),$U$2:$U$1001,0),MATCH(COLUMNS($AB$1006:AP1006),$AB$1006:$AQ$1006,0)), HYPERLINK("#",""), HYPERLINK(CONCATENATE("#metadata!", ADDRESS(INDEX($W$2:$W$1001,MATCH(ROWS($U$2:U606),$U$2:$U$1001,0),0), INDEX($AB$1004:$AQ$1004,1,MATCH(COLUMNS($AB$1006:AP1006),$AB$1006:$AQ$1006,0)))),"Fix")))</f>
        <v>0</v>
      </c>
      <c r="Q606" s="4">
        <f>IF(OR(INDEX($V$2:$V$1001,MATCH(ROWS($U$2:U606),$U$2:$U$1001,0),1)&gt;=100000,INDEX($AB$1005:$AQ$1005,1,MATCH(COLUMNS($AB$1006:AQ1006),$AB$1006:$AQ$1006,0))&gt;=100000), " ",IF(INDEX($AB$2:$AQ$1001,MATCH(ROWS($U$2:U606),$U$2:$U$1001,0),MATCH(COLUMNS($AB$1006:AQ1006),$AB$1006:$AQ$1006,0)), HYPERLINK("#",""), HYPERLINK(CONCATENATE("#metadata!", ADDRESS(INDEX($W$2:$W$1001,MATCH(ROWS($U$2:U606),$U$2:$U$1001,0),0), INDEX($AB$1004:$AQ$1004,1,MATCH(COLUMNS($AB$1006:AQ1006),$AB$1006:$AQ$1006,0)))),"Fix")))</f>
        <v>0</v>
      </c>
      <c r="U606">
        <v>0</v>
      </c>
      <c r="V606">
        <v>0</v>
      </c>
      <c r="W606">
        <v>0</v>
      </c>
      <c r="X606">
        <f>IF(Y606,TRUE,AND(AB606:AQ606))</f>
        <v>0</v>
      </c>
      <c r="Y606">
        <f>COUNTBLANK(metadata!B606:Q606)=COLUMNS(metadata!B606:Q606)</f>
        <v>0</v>
      </c>
      <c r="Z606">
        <v>0</v>
      </c>
      <c r="AB606">
        <f>AND(IF(metadata!B606="",FALSE,TRUE),COUNTIF(metadata!B:B, metadata!B606) = 1,NOT(ISERROR(SUMPRODUCT(SEARCH(MID(metadata!B606,ROW(INDIRECT("1:"&amp;LEN(metadata!B606))), 1),"0123456789abcdefghijklmnopqrstuvwxyzABCDEFGHIJKLMNOPQRSTUVWXYZ.")))))</f>
        <v>0</v>
      </c>
      <c r="AC606">
        <f>OR(AND(IF(metadata!C606="",FALSE,TRUE),OR(exact(metadata!C606,"missing: not collected"),exact(metadata!C606,"missing: not provided"),exact(metadata!C606,"missing: restricted access"))),AND(IF(metadata!C606="",FALSE,TRUE),AND(AND(IFERROR(INT(LEFT(metadata!C606,4))&gt;1900,FALSE),IFERROR(INT(LEFT(metadata!C606,4))&lt;=YEAR(NOW()),FALSE)), OR(MID(metadata!C606,5,1)="", AND(AND(MID(metadata!C606,5,1)="-",IFERROR(INT(MID(metadata!C606,6,1))&gt;=0,FALSE),IFERROR(INT(MID(metadata!C606,6,1))&lt;=1,FALSE),NOT(MID(metadata!C606,7,1)=""),IFERROR(INT(MID(metadata!C606,6,2))&gt;=1,FALSE),IFERROR(INT(MID(metadata!C606,6,2))&lt;=12,FALSE)), OR(MID(metadata!C606,8,1)="", AND(AND(MID(metadata!C606,8,1)="-",IFERROR(INT(MID(metadata!C606,9,1))&gt;=0,FALSE),IFERROR(INT(MID(metadata!C606,9,1))&lt;=3,FALSE),NOT(MID(metadata!C606,10,1)=""),IFERROR(INT(MID(metadata!C606,9,2))&gt;=1,FALSE),IFERROR(INT(MID(metadata!C606,9,2))&lt;=31,FALSE)), OR(MID(metadata!C606,11,1)="", AND(AND(MID(metadata!C606,11,1)=" ",IFERROR(INT(MID(metadata!C606,12,1))&gt;=0,FALSE),IFERROR(INT(MID(metadata!C606,12,1))&lt;=2,FALSE),NOT(MID(metadata!C606,13,1)=""),IFERROR(INT(MID(metadata!C606,12,2))&gt;=0,FALSE),IFERROR(INT(MID(metadata!C606,12,2))&lt;=23,FALSE)), OR(MID(metadata!C606,14,1)="", AND(AND(MID(metadata!C606,14,1)=":",IFERROR(INT(MID(metadata!C606,15,1))&gt;=0,FALSE),IFERROR(INT(MID(metadata!C606,15,1))&lt;=5,FALSE),NOT(MID(metadata!C606,16,1)=""),IFERROR(INT(MID(metadata!C606,15,2))&gt;=0,FALSE),IFERROR(INT(MID(metadata!C606,15,2))&lt;=59,FALSE)), OR(MID(metadata!C606,17,1)="", AND(AND(MID(metadata!C606,17,1)=":",IFERROR(INT(MID(metadata!C606,18,1))&gt;=0,FALSE),IFERROR(INT(MID(metadata!C606,18,1))&lt;=5,FALSE),NOT(MID(metadata!C606,19,1)=""),IFERROR(INT(MID(metadata!C606,18,2))&gt;=0,FALSE),IFERROR(INT(MID(metadata!C606,18,2))&lt;=59,FALSE)), LEN(metadata!C606)&lt;=19)))))))))))))</f>
        <v>0</v>
      </c>
      <c r="AD606">
        <f>IF(metadata!D606="",FALSE,TRUE)</f>
        <v>0</v>
      </c>
      <c r="AE606">
        <f>OR(AND(IF(metadata!E606="",FALSE,TRUE),OR(exact(metadata!E606,"missing: not collected"),exact(metadata!E606,"missing: not provided"))),AND(IF(metadata!E606="",FALSE,TRUE),OR(exact(metadata!E606,"TRUE"),exact(metadata!E606,"FALSE"))))</f>
        <v>0</v>
      </c>
      <c r="AF606">
        <f>IF(metadata!F606="",FALSE,TRUE)</f>
        <v>0</v>
      </c>
      <c r="AG606">
        <f>IF(metadata!G606="",FALSE,TRUE)</f>
        <v>0</v>
      </c>
      <c r="AH606">
        <f>IF(metadata!H606="",FALSE,TRUE)</f>
        <v>0</v>
      </c>
      <c r="AI606">
        <f>OR(AND(IF(metadata!I606="",FALSE,TRUE),OR(exact(metadata!I606,"missing: not collected"),exact(metadata!I606,"missing: not provided"),exact(metadata!I606,"missing: restricted access"))),AND(IF(metadata!I606="",FALSE,TRUE),OR(exact(metadata!I606,"air"),exact(metadata!I606,"built environment"),exact(metadata!I606,"host-associated"),exact(metadata!I606,"human-associated"),exact(metadata!I606,"human-skin"),exact(metadata!I606,"human-oral"),exact(metadata!I606,"human-gut"),exact(metadata!I606,"human-vaginal"),exact(metadata!I606,"microbial mat/biofilm"),exact(metadata!I606,"misc environment"),exact(metadata!I606,"plant-associated"),exact(metadata!I606,"sediment"),exact(metadata!I606,"soil"),exact(metadata!I606,"wastewater/sludge"),exact(metadata!I606,"water"))))</f>
        <v>0</v>
      </c>
      <c r="AJ606">
        <f>IF(metadata!J606="",FALSE,TRUE)</f>
        <v>0</v>
      </c>
      <c r="AK606">
        <f>OR(AND(IF(metadata!K606="",FALSE,TRUE),OR(exact(metadata!K606,"missing: not collected"),exact(metadata!K606,"missing: not provided"),exact(metadata!K606,"missing: restricted access"))),AND(IF(metadata!K606="",FALSE,ISNUMBER(VALUE(metadata!K606))),metadata!K606&gt;=-90.00,metadata!K606&lt;=90.00))</f>
        <v>0</v>
      </c>
      <c r="AL606">
        <f>OR(AND(IF(metadata!L606="",FALSE,TRUE),OR(exact(metadata!L606,"missing: not collected"),exact(metadata!L606,"missing: not provided"),exact(metadata!L606,"missing: restricted access"))),AND(IF(metadata!L606="",FALSE,ISNUMBER(VALUE(metadata!L606))),metadata!L606&gt;=-180.00,metadata!L606&lt;=180.00))</f>
        <v>0</v>
      </c>
      <c r="AM606">
        <f>IF(metadata!M606="",FALSE,TRUE)</f>
        <v>0</v>
      </c>
      <c r="AN606">
        <f>OR(AND(IF(metadata!N606="",FALSE,TRUE),OR(exact(metadata!N606,"missing: not collected"),exact(metadata!N606,"missing: not provided"),exact(metadata!N606,"missing: restricted access"))),AND(IF(metadata!N606="",FALSE,TRUE),OR(exact(metadata!N606,"TRUE"),exact(metadata!N606,"FALSE"))))</f>
        <v>0</v>
      </c>
      <c r="AO606">
        <f>IF(metadata!O606="",FALSE,TRUE)</f>
        <v>0</v>
      </c>
      <c r="AP606">
        <f>OR(AND(IF(metadata!P606="",FALSE,TRUE),OR(exact(metadata!P606,"missing: not collected"),exact(metadata!P606,"missing: not provided"))),AND(IF(metadata!P606="",FALSE,IF(ISERROR(INT(metadata!P606)),FALSE,INT(metadata!P606)=metadata!P606)),metadata!P606&gt;0))</f>
        <v>0</v>
      </c>
      <c r="AQ606">
        <f>IF(metadata!Q606="",FALSE,TRUE)</f>
        <v>0</v>
      </c>
    </row>
    <row r="607" spans="1:43">
      <c r="A607" s="5">
        <f>IF(B607=" "," ",HYPERLINK(CONCATENATE("#metadata!",ADDRESS(INDEX($W$2:$W$1001,MATCH(ROWS($U$2:U607),$U$2:$U$1001,0),0),1)),INDEX($Z$2:$Z$1001,MATCH(ROWS($U$2:U607),$U$2:$U$1001,0),0)))</f>
        <v>0</v>
      </c>
      <c r="B607" s="4">
        <f>IF(OR(INDEX($V$2:$V$1001,MATCH(ROWS($U$2:U607),$U$2:$U$1001,0),1)&gt;=100000,INDEX($AB$1005:$AQ$1005,1,MATCH(COLUMNS($AB$1006:AB1006),$AB$1006:$AQ$1006,0))&gt;=100000), " ",IF(INDEX($AB$2:$AQ$1001,MATCH(ROWS($U$2:U607),$U$2:$U$1001,0),MATCH(COLUMNS($AB$1006:AB1006),$AB$1006:$AQ$1006,0)), HYPERLINK("#",""), HYPERLINK(CONCATENATE("#metadata!", ADDRESS(INDEX($W$2:$W$1001,MATCH(ROWS($U$2:U607),$U$2:$U$1001,0),0), INDEX($AB$1004:$AQ$1004,1,MATCH(COLUMNS($AB$1006:AB1006),$AB$1006:$AQ$1006,0)))),"Fix")))</f>
        <v>0</v>
      </c>
      <c r="C607" s="4">
        <f>IF(OR(INDEX($V$2:$V$1001,MATCH(ROWS($U$2:U607),$U$2:$U$1001,0),1)&gt;=100000,INDEX($AB$1005:$AQ$1005,1,MATCH(COLUMNS($AB$1006:AC1006),$AB$1006:$AQ$1006,0))&gt;=100000), " ",IF(INDEX($AB$2:$AQ$1001,MATCH(ROWS($U$2:U607),$U$2:$U$1001,0),MATCH(COLUMNS($AB$1006:AC1006),$AB$1006:$AQ$1006,0)), HYPERLINK("#",""), HYPERLINK(CONCATENATE("#metadata!", ADDRESS(INDEX($W$2:$W$1001,MATCH(ROWS($U$2:U607),$U$2:$U$1001,0),0), INDEX($AB$1004:$AQ$1004,1,MATCH(COLUMNS($AB$1006:AC1006),$AB$1006:$AQ$1006,0)))),"Fix")))</f>
        <v>0</v>
      </c>
      <c r="D607" s="4">
        <f>IF(OR(INDEX($V$2:$V$1001,MATCH(ROWS($U$2:U607),$U$2:$U$1001,0),1)&gt;=100000,INDEX($AB$1005:$AQ$1005,1,MATCH(COLUMNS($AB$1006:AD1006),$AB$1006:$AQ$1006,0))&gt;=100000), " ",IF(INDEX($AB$2:$AQ$1001,MATCH(ROWS($U$2:U607),$U$2:$U$1001,0),MATCH(COLUMNS($AB$1006:AD1006),$AB$1006:$AQ$1006,0)), HYPERLINK("#",""), HYPERLINK(CONCATENATE("#metadata!", ADDRESS(INDEX($W$2:$W$1001,MATCH(ROWS($U$2:U607),$U$2:$U$1001,0),0), INDEX($AB$1004:$AQ$1004,1,MATCH(COLUMNS($AB$1006:AD1006),$AB$1006:$AQ$1006,0)))),"Fix")))</f>
        <v>0</v>
      </c>
      <c r="E607" s="4">
        <f>IF(OR(INDEX($V$2:$V$1001,MATCH(ROWS($U$2:U607),$U$2:$U$1001,0),1)&gt;=100000,INDEX($AB$1005:$AQ$1005,1,MATCH(COLUMNS($AB$1006:AE1006),$AB$1006:$AQ$1006,0))&gt;=100000), " ",IF(INDEX($AB$2:$AQ$1001,MATCH(ROWS($U$2:U607),$U$2:$U$1001,0),MATCH(COLUMNS($AB$1006:AE1006),$AB$1006:$AQ$1006,0)), HYPERLINK("#",""), HYPERLINK(CONCATENATE("#metadata!", ADDRESS(INDEX($W$2:$W$1001,MATCH(ROWS($U$2:U607),$U$2:$U$1001,0),0), INDEX($AB$1004:$AQ$1004,1,MATCH(COLUMNS($AB$1006:AE1006),$AB$1006:$AQ$1006,0)))),"Fix")))</f>
        <v>0</v>
      </c>
      <c r="F607" s="4">
        <f>IF(OR(INDEX($V$2:$V$1001,MATCH(ROWS($U$2:U607),$U$2:$U$1001,0),1)&gt;=100000,INDEX($AB$1005:$AQ$1005,1,MATCH(COLUMNS($AB$1006:AF1006),$AB$1006:$AQ$1006,0))&gt;=100000), " ",IF(INDEX($AB$2:$AQ$1001,MATCH(ROWS($U$2:U607),$U$2:$U$1001,0),MATCH(COLUMNS($AB$1006:AF1006),$AB$1006:$AQ$1006,0)), HYPERLINK("#",""), HYPERLINK(CONCATENATE("#metadata!", ADDRESS(INDEX($W$2:$W$1001,MATCH(ROWS($U$2:U607),$U$2:$U$1001,0),0), INDEX($AB$1004:$AQ$1004,1,MATCH(COLUMNS($AB$1006:AF1006),$AB$1006:$AQ$1006,0)))),"Fix")))</f>
        <v>0</v>
      </c>
      <c r="G607" s="4">
        <f>IF(OR(INDEX($V$2:$V$1001,MATCH(ROWS($U$2:U607),$U$2:$U$1001,0),1)&gt;=100000,INDEX($AB$1005:$AQ$1005,1,MATCH(COLUMNS($AB$1006:AG1006),$AB$1006:$AQ$1006,0))&gt;=100000), " ",IF(INDEX($AB$2:$AQ$1001,MATCH(ROWS($U$2:U607),$U$2:$U$1001,0),MATCH(COLUMNS($AB$1006:AG1006),$AB$1006:$AQ$1006,0)), HYPERLINK("#",""), HYPERLINK(CONCATENATE("#metadata!", ADDRESS(INDEX($W$2:$W$1001,MATCH(ROWS($U$2:U607),$U$2:$U$1001,0),0), INDEX($AB$1004:$AQ$1004,1,MATCH(COLUMNS($AB$1006:AG1006),$AB$1006:$AQ$1006,0)))),"Fix")))</f>
        <v>0</v>
      </c>
      <c r="H607" s="4">
        <f>IF(OR(INDEX($V$2:$V$1001,MATCH(ROWS($U$2:U607),$U$2:$U$1001,0),1)&gt;=100000,INDEX($AB$1005:$AQ$1005,1,MATCH(COLUMNS($AB$1006:AH1006),$AB$1006:$AQ$1006,0))&gt;=100000), " ",IF(INDEX($AB$2:$AQ$1001,MATCH(ROWS($U$2:U607),$U$2:$U$1001,0),MATCH(COLUMNS($AB$1006:AH1006),$AB$1006:$AQ$1006,0)), HYPERLINK("#",""), HYPERLINK(CONCATENATE("#metadata!", ADDRESS(INDEX($W$2:$W$1001,MATCH(ROWS($U$2:U607),$U$2:$U$1001,0),0), INDEX($AB$1004:$AQ$1004,1,MATCH(COLUMNS($AB$1006:AH1006),$AB$1006:$AQ$1006,0)))),"Fix")))</f>
        <v>0</v>
      </c>
      <c r="I607" s="4">
        <f>IF(OR(INDEX($V$2:$V$1001,MATCH(ROWS($U$2:U607),$U$2:$U$1001,0),1)&gt;=100000,INDEX($AB$1005:$AQ$1005,1,MATCH(COLUMNS($AB$1006:AI1006),$AB$1006:$AQ$1006,0))&gt;=100000), " ",IF(INDEX($AB$2:$AQ$1001,MATCH(ROWS($U$2:U607),$U$2:$U$1001,0),MATCH(COLUMNS($AB$1006:AI1006),$AB$1006:$AQ$1006,0)), HYPERLINK("#",""), HYPERLINK(CONCATENATE("#metadata!", ADDRESS(INDEX($W$2:$W$1001,MATCH(ROWS($U$2:U607),$U$2:$U$1001,0),0), INDEX($AB$1004:$AQ$1004,1,MATCH(COLUMNS($AB$1006:AI1006),$AB$1006:$AQ$1006,0)))),"Fix")))</f>
        <v>0</v>
      </c>
      <c r="J607" s="4">
        <f>IF(OR(INDEX($V$2:$V$1001,MATCH(ROWS($U$2:U607),$U$2:$U$1001,0),1)&gt;=100000,INDEX($AB$1005:$AQ$1005,1,MATCH(COLUMNS($AB$1006:AJ1006),$AB$1006:$AQ$1006,0))&gt;=100000), " ",IF(INDEX($AB$2:$AQ$1001,MATCH(ROWS($U$2:U607),$U$2:$U$1001,0),MATCH(COLUMNS($AB$1006:AJ1006),$AB$1006:$AQ$1006,0)), HYPERLINK("#",""), HYPERLINK(CONCATENATE("#metadata!", ADDRESS(INDEX($W$2:$W$1001,MATCH(ROWS($U$2:U607),$U$2:$U$1001,0),0), INDEX($AB$1004:$AQ$1004,1,MATCH(COLUMNS($AB$1006:AJ1006),$AB$1006:$AQ$1006,0)))),"Fix")))</f>
        <v>0</v>
      </c>
      <c r="K607" s="4">
        <f>IF(OR(INDEX($V$2:$V$1001,MATCH(ROWS($U$2:U607),$U$2:$U$1001,0),1)&gt;=100000,INDEX($AB$1005:$AQ$1005,1,MATCH(COLUMNS($AB$1006:AK1006),$AB$1006:$AQ$1006,0))&gt;=100000), " ",IF(INDEX($AB$2:$AQ$1001,MATCH(ROWS($U$2:U607),$U$2:$U$1001,0),MATCH(COLUMNS($AB$1006:AK1006),$AB$1006:$AQ$1006,0)), HYPERLINK("#",""), HYPERLINK(CONCATENATE("#metadata!", ADDRESS(INDEX($W$2:$W$1001,MATCH(ROWS($U$2:U607),$U$2:$U$1001,0),0), INDEX($AB$1004:$AQ$1004,1,MATCH(COLUMNS($AB$1006:AK1006),$AB$1006:$AQ$1006,0)))),"Fix")))</f>
        <v>0</v>
      </c>
      <c r="L607" s="4">
        <f>IF(OR(INDEX($V$2:$V$1001,MATCH(ROWS($U$2:U607),$U$2:$U$1001,0),1)&gt;=100000,INDEX($AB$1005:$AQ$1005,1,MATCH(COLUMNS($AB$1006:AL1006),$AB$1006:$AQ$1006,0))&gt;=100000), " ",IF(INDEX($AB$2:$AQ$1001,MATCH(ROWS($U$2:U607),$U$2:$U$1001,0),MATCH(COLUMNS($AB$1006:AL1006),$AB$1006:$AQ$1006,0)), HYPERLINK("#",""), HYPERLINK(CONCATENATE("#metadata!", ADDRESS(INDEX($W$2:$W$1001,MATCH(ROWS($U$2:U607),$U$2:$U$1001,0),0), INDEX($AB$1004:$AQ$1004,1,MATCH(COLUMNS($AB$1006:AL1006),$AB$1006:$AQ$1006,0)))),"Fix")))</f>
        <v>0</v>
      </c>
      <c r="M607" s="4">
        <f>IF(OR(INDEX($V$2:$V$1001,MATCH(ROWS($U$2:U607),$U$2:$U$1001,0),1)&gt;=100000,INDEX($AB$1005:$AQ$1005,1,MATCH(COLUMNS($AB$1006:AM1006),$AB$1006:$AQ$1006,0))&gt;=100000), " ",IF(INDEX($AB$2:$AQ$1001,MATCH(ROWS($U$2:U607),$U$2:$U$1001,0),MATCH(COLUMNS($AB$1006:AM1006),$AB$1006:$AQ$1006,0)), HYPERLINK("#",""), HYPERLINK(CONCATENATE("#metadata!", ADDRESS(INDEX($W$2:$W$1001,MATCH(ROWS($U$2:U607),$U$2:$U$1001,0),0), INDEX($AB$1004:$AQ$1004,1,MATCH(COLUMNS($AB$1006:AM1006),$AB$1006:$AQ$1006,0)))),"Fix")))</f>
        <v>0</v>
      </c>
      <c r="N607" s="4">
        <f>IF(OR(INDEX($V$2:$V$1001,MATCH(ROWS($U$2:U607),$U$2:$U$1001,0),1)&gt;=100000,INDEX($AB$1005:$AQ$1005,1,MATCH(COLUMNS($AB$1006:AN1006),$AB$1006:$AQ$1006,0))&gt;=100000), " ",IF(INDEX($AB$2:$AQ$1001,MATCH(ROWS($U$2:U607),$U$2:$U$1001,0),MATCH(COLUMNS($AB$1006:AN1006),$AB$1006:$AQ$1006,0)), HYPERLINK("#",""), HYPERLINK(CONCATENATE("#metadata!", ADDRESS(INDEX($W$2:$W$1001,MATCH(ROWS($U$2:U607),$U$2:$U$1001,0),0), INDEX($AB$1004:$AQ$1004,1,MATCH(COLUMNS($AB$1006:AN1006),$AB$1006:$AQ$1006,0)))),"Fix")))</f>
        <v>0</v>
      </c>
      <c r="O607" s="4">
        <f>IF(OR(INDEX($V$2:$V$1001,MATCH(ROWS($U$2:U607),$U$2:$U$1001,0),1)&gt;=100000,INDEX($AB$1005:$AQ$1005,1,MATCH(COLUMNS($AB$1006:AO1006),$AB$1006:$AQ$1006,0))&gt;=100000), " ",IF(INDEX($AB$2:$AQ$1001,MATCH(ROWS($U$2:U607),$U$2:$U$1001,0),MATCH(COLUMNS($AB$1006:AO1006),$AB$1006:$AQ$1006,0)), HYPERLINK("#",""), HYPERLINK(CONCATENATE("#metadata!", ADDRESS(INDEX($W$2:$W$1001,MATCH(ROWS($U$2:U607),$U$2:$U$1001,0),0), INDEX($AB$1004:$AQ$1004,1,MATCH(COLUMNS($AB$1006:AO1006),$AB$1006:$AQ$1006,0)))),"Fix")))</f>
        <v>0</v>
      </c>
      <c r="P607" s="4">
        <f>IF(OR(INDEX($V$2:$V$1001,MATCH(ROWS($U$2:U607),$U$2:$U$1001,0),1)&gt;=100000,INDEX($AB$1005:$AQ$1005,1,MATCH(COLUMNS($AB$1006:AP1006),$AB$1006:$AQ$1006,0))&gt;=100000), " ",IF(INDEX($AB$2:$AQ$1001,MATCH(ROWS($U$2:U607),$U$2:$U$1001,0),MATCH(COLUMNS($AB$1006:AP1006),$AB$1006:$AQ$1006,0)), HYPERLINK("#",""), HYPERLINK(CONCATENATE("#metadata!", ADDRESS(INDEX($W$2:$W$1001,MATCH(ROWS($U$2:U607),$U$2:$U$1001,0),0), INDEX($AB$1004:$AQ$1004,1,MATCH(COLUMNS($AB$1006:AP1006),$AB$1006:$AQ$1006,0)))),"Fix")))</f>
        <v>0</v>
      </c>
      <c r="Q607" s="4">
        <f>IF(OR(INDEX($V$2:$V$1001,MATCH(ROWS($U$2:U607),$U$2:$U$1001,0),1)&gt;=100000,INDEX($AB$1005:$AQ$1005,1,MATCH(COLUMNS($AB$1006:AQ1006),$AB$1006:$AQ$1006,0))&gt;=100000), " ",IF(INDEX($AB$2:$AQ$1001,MATCH(ROWS($U$2:U607),$U$2:$U$1001,0),MATCH(COLUMNS($AB$1006:AQ1006),$AB$1006:$AQ$1006,0)), HYPERLINK("#",""), HYPERLINK(CONCATENATE("#metadata!", ADDRESS(INDEX($W$2:$W$1001,MATCH(ROWS($U$2:U607),$U$2:$U$1001,0),0), INDEX($AB$1004:$AQ$1004,1,MATCH(COLUMNS($AB$1006:AQ1006),$AB$1006:$AQ$1006,0)))),"Fix")))</f>
        <v>0</v>
      </c>
      <c r="U607">
        <v>0</v>
      </c>
      <c r="V607">
        <v>0</v>
      </c>
      <c r="W607">
        <v>0</v>
      </c>
      <c r="X607">
        <f>IF(Y607,TRUE,AND(AB607:AQ607))</f>
        <v>0</v>
      </c>
      <c r="Y607">
        <f>COUNTBLANK(metadata!B607:Q607)=COLUMNS(metadata!B607:Q607)</f>
        <v>0</v>
      </c>
      <c r="Z607">
        <v>0</v>
      </c>
      <c r="AB607">
        <f>AND(IF(metadata!B607="",FALSE,TRUE),COUNTIF(metadata!B:B, metadata!B607) = 1,NOT(ISERROR(SUMPRODUCT(SEARCH(MID(metadata!B607,ROW(INDIRECT("1:"&amp;LEN(metadata!B607))), 1),"0123456789abcdefghijklmnopqrstuvwxyzABCDEFGHIJKLMNOPQRSTUVWXYZ.")))))</f>
        <v>0</v>
      </c>
      <c r="AC607">
        <f>OR(AND(IF(metadata!C607="",FALSE,TRUE),OR(exact(metadata!C607,"missing: not collected"),exact(metadata!C607,"missing: not provided"),exact(metadata!C607,"missing: restricted access"))),AND(IF(metadata!C607="",FALSE,TRUE),AND(AND(IFERROR(INT(LEFT(metadata!C607,4))&gt;1900,FALSE),IFERROR(INT(LEFT(metadata!C607,4))&lt;=YEAR(NOW()),FALSE)), OR(MID(metadata!C607,5,1)="", AND(AND(MID(metadata!C607,5,1)="-",IFERROR(INT(MID(metadata!C607,6,1))&gt;=0,FALSE),IFERROR(INT(MID(metadata!C607,6,1))&lt;=1,FALSE),NOT(MID(metadata!C607,7,1)=""),IFERROR(INT(MID(metadata!C607,6,2))&gt;=1,FALSE),IFERROR(INT(MID(metadata!C607,6,2))&lt;=12,FALSE)), OR(MID(metadata!C607,8,1)="", AND(AND(MID(metadata!C607,8,1)="-",IFERROR(INT(MID(metadata!C607,9,1))&gt;=0,FALSE),IFERROR(INT(MID(metadata!C607,9,1))&lt;=3,FALSE),NOT(MID(metadata!C607,10,1)=""),IFERROR(INT(MID(metadata!C607,9,2))&gt;=1,FALSE),IFERROR(INT(MID(metadata!C607,9,2))&lt;=31,FALSE)), OR(MID(metadata!C607,11,1)="", AND(AND(MID(metadata!C607,11,1)=" ",IFERROR(INT(MID(metadata!C607,12,1))&gt;=0,FALSE),IFERROR(INT(MID(metadata!C607,12,1))&lt;=2,FALSE),NOT(MID(metadata!C607,13,1)=""),IFERROR(INT(MID(metadata!C607,12,2))&gt;=0,FALSE),IFERROR(INT(MID(metadata!C607,12,2))&lt;=23,FALSE)), OR(MID(metadata!C607,14,1)="", AND(AND(MID(metadata!C607,14,1)=":",IFERROR(INT(MID(metadata!C607,15,1))&gt;=0,FALSE),IFERROR(INT(MID(metadata!C607,15,1))&lt;=5,FALSE),NOT(MID(metadata!C607,16,1)=""),IFERROR(INT(MID(metadata!C607,15,2))&gt;=0,FALSE),IFERROR(INT(MID(metadata!C607,15,2))&lt;=59,FALSE)), OR(MID(metadata!C607,17,1)="", AND(AND(MID(metadata!C607,17,1)=":",IFERROR(INT(MID(metadata!C607,18,1))&gt;=0,FALSE),IFERROR(INT(MID(metadata!C607,18,1))&lt;=5,FALSE),NOT(MID(metadata!C607,19,1)=""),IFERROR(INT(MID(metadata!C607,18,2))&gt;=0,FALSE),IFERROR(INT(MID(metadata!C607,18,2))&lt;=59,FALSE)), LEN(metadata!C607)&lt;=19)))))))))))))</f>
        <v>0</v>
      </c>
      <c r="AD607">
        <f>IF(metadata!D607="",FALSE,TRUE)</f>
        <v>0</v>
      </c>
      <c r="AE607">
        <f>OR(AND(IF(metadata!E607="",FALSE,TRUE),OR(exact(metadata!E607,"missing: not collected"),exact(metadata!E607,"missing: not provided"))),AND(IF(metadata!E607="",FALSE,TRUE),OR(exact(metadata!E607,"TRUE"),exact(metadata!E607,"FALSE"))))</f>
        <v>0</v>
      </c>
      <c r="AF607">
        <f>IF(metadata!F607="",FALSE,TRUE)</f>
        <v>0</v>
      </c>
      <c r="AG607">
        <f>IF(metadata!G607="",FALSE,TRUE)</f>
        <v>0</v>
      </c>
      <c r="AH607">
        <f>IF(metadata!H607="",FALSE,TRUE)</f>
        <v>0</v>
      </c>
      <c r="AI607">
        <f>OR(AND(IF(metadata!I607="",FALSE,TRUE),OR(exact(metadata!I607,"missing: not collected"),exact(metadata!I607,"missing: not provided"),exact(metadata!I607,"missing: restricted access"))),AND(IF(metadata!I607="",FALSE,TRUE),OR(exact(metadata!I607,"air"),exact(metadata!I607,"built environment"),exact(metadata!I607,"host-associated"),exact(metadata!I607,"human-associated"),exact(metadata!I607,"human-skin"),exact(metadata!I607,"human-oral"),exact(metadata!I607,"human-gut"),exact(metadata!I607,"human-vaginal"),exact(metadata!I607,"microbial mat/biofilm"),exact(metadata!I607,"misc environment"),exact(metadata!I607,"plant-associated"),exact(metadata!I607,"sediment"),exact(metadata!I607,"soil"),exact(metadata!I607,"wastewater/sludge"),exact(metadata!I607,"water"))))</f>
        <v>0</v>
      </c>
      <c r="AJ607">
        <f>IF(metadata!J607="",FALSE,TRUE)</f>
        <v>0</v>
      </c>
      <c r="AK607">
        <f>OR(AND(IF(metadata!K607="",FALSE,TRUE),OR(exact(metadata!K607,"missing: not collected"),exact(metadata!K607,"missing: not provided"),exact(metadata!K607,"missing: restricted access"))),AND(IF(metadata!K607="",FALSE,ISNUMBER(VALUE(metadata!K607))),metadata!K607&gt;=-90.00,metadata!K607&lt;=90.00))</f>
        <v>0</v>
      </c>
      <c r="AL607">
        <f>OR(AND(IF(metadata!L607="",FALSE,TRUE),OR(exact(metadata!L607,"missing: not collected"),exact(metadata!L607,"missing: not provided"),exact(metadata!L607,"missing: restricted access"))),AND(IF(metadata!L607="",FALSE,ISNUMBER(VALUE(metadata!L607))),metadata!L607&gt;=-180.00,metadata!L607&lt;=180.00))</f>
        <v>0</v>
      </c>
      <c r="AM607">
        <f>IF(metadata!M607="",FALSE,TRUE)</f>
        <v>0</v>
      </c>
      <c r="AN607">
        <f>OR(AND(IF(metadata!N607="",FALSE,TRUE),OR(exact(metadata!N607,"missing: not collected"),exact(metadata!N607,"missing: not provided"),exact(metadata!N607,"missing: restricted access"))),AND(IF(metadata!N607="",FALSE,TRUE),OR(exact(metadata!N607,"TRUE"),exact(metadata!N607,"FALSE"))))</f>
        <v>0</v>
      </c>
      <c r="AO607">
        <f>IF(metadata!O607="",FALSE,TRUE)</f>
        <v>0</v>
      </c>
      <c r="AP607">
        <f>OR(AND(IF(metadata!P607="",FALSE,TRUE),OR(exact(metadata!P607,"missing: not collected"),exact(metadata!P607,"missing: not provided"))),AND(IF(metadata!P607="",FALSE,IF(ISERROR(INT(metadata!P607)),FALSE,INT(metadata!P607)=metadata!P607)),metadata!P607&gt;0))</f>
        <v>0</v>
      </c>
      <c r="AQ607">
        <f>IF(metadata!Q607="",FALSE,TRUE)</f>
        <v>0</v>
      </c>
    </row>
    <row r="608" spans="1:43">
      <c r="A608" s="5">
        <f>IF(B608=" "," ",HYPERLINK(CONCATENATE("#metadata!",ADDRESS(INDEX($W$2:$W$1001,MATCH(ROWS($U$2:U608),$U$2:$U$1001,0),0),1)),INDEX($Z$2:$Z$1001,MATCH(ROWS($U$2:U608),$U$2:$U$1001,0),0)))</f>
        <v>0</v>
      </c>
      <c r="B608" s="4">
        <f>IF(OR(INDEX($V$2:$V$1001,MATCH(ROWS($U$2:U608),$U$2:$U$1001,0),1)&gt;=100000,INDEX($AB$1005:$AQ$1005,1,MATCH(COLUMNS($AB$1006:AB1006),$AB$1006:$AQ$1006,0))&gt;=100000), " ",IF(INDEX($AB$2:$AQ$1001,MATCH(ROWS($U$2:U608),$U$2:$U$1001,0),MATCH(COLUMNS($AB$1006:AB1006),$AB$1006:$AQ$1006,0)), HYPERLINK("#",""), HYPERLINK(CONCATENATE("#metadata!", ADDRESS(INDEX($W$2:$W$1001,MATCH(ROWS($U$2:U608),$U$2:$U$1001,0),0), INDEX($AB$1004:$AQ$1004,1,MATCH(COLUMNS($AB$1006:AB1006),$AB$1006:$AQ$1006,0)))),"Fix")))</f>
        <v>0</v>
      </c>
      <c r="C608" s="4">
        <f>IF(OR(INDEX($V$2:$V$1001,MATCH(ROWS($U$2:U608),$U$2:$U$1001,0),1)&gt;=100000,INDEX($AB$1005:$AQ$1005,1,MATCH(COLUMNS($AB$1006:AC1006),$AB$1006:$AQ$1006,0))&gt;=100000), " ",IF(INDEX($AB$2:$AQ$1001,MATCH(ROWS($U$2:U608),$U$2:$U$1001,0),MATCH(COLUMNS($AB$1006:AC1006),$AB$1006:$AQ$1006,0)), HYPERLINK("#",""), HYPERLINK(CONCATENATE("#metadata!", ADDRESS(INDEX($W$2:$W$1001,MATCH(ROWS($U$2:U608),$U$2:$U$1001,0),0), INDEX($AB$1004:$AQ$1004,1,MATCH(COLUMNS($AB$1006:AC1006),$AB$1006:$AQ$1006,0)))),"Fix")))</f>
        <v>0</v>
      </c>
      <c r="D608" s="4">
        <f>IF(OR(INDEX($V$2:$V$1001,MATCH(ROWS($U$2:U608),$U$2:$U$1001,0),1)&gt;=100000,INDEX($AB$1005:$AQ$1005,1,MATCH(COLUMNS($AB$1006:AD1006),$AB$1006:$AQ$1006,0))&gt;=100000), " ",IF(INDEX($AB$2:$AQ$1001,MATCH(ROWS($U$2:U608),$U$2:$U$1001,0),MATCH(COLUMNS($AB$1006:AD1006),$AB$1006:$AQ$1006,0)), HYPERLINK("#",""), HYPERLINK(CONCATENATE("#metadata!", ADDRESS(INDEX($W$2:$W$1001,MATCH(ROWS($U$2:U608),$U$2:$U$1001,0),0), INDEX($AB$1004:$AQ$1004,1,MATCH(COLUMNS($AB$1006:AD1006),$AB$1006:$AQ$1006,0)))),"Fix")))</f>
        <v>0</v>
      </c>
      <c r="E608" s="4">
        <f>IF(OR(INDEX($V$2:$V$1001,MATCH(ROWS($U$2:U608),$U$2:$U$1001,0),1)&gt;=100000,INDEX($AB$1005:$AQ$1005,1,MATCH(COLUMNS($AB$1006:AE1006),$AB$1006:$AQ$1006,0))&gt;=100000), " ",IF(INDEX($AB$2:$AQ$1001,MATCH(ROWS($U$2:U608),$U$2:$U$1001,0),MATCH(COLUMNS($AB$1006:AE1006),$AB$1006:$AQ$1006,0)), HYPERLINK("#",""), HYPERLINK(CONCATENATE("#metadata!", ADDRESS(INDEX($W$2:$W$1001,MATCH(ROWS($U$2:U608),$U$2:$U$1001,0),0), INDEX($AB$1004:$AQ$1004,1,MATCH(COLUMNS($AB$1006:AE1006),$AB$1006:$AQ$1006,0)))),"Fix")))</f>
        <v>0</v>
      </c>
      <c r="F608" s="4">
        <f>IF(OR(INDEX($V$2:$V$1001,MATCH(ROWS($U$2:U608),$U$2:$U$1001,0),1)&gt;=100000,INDEX($AB$1005:$AQ$1005,1,MATCH(COLUMNS($AB$1006:AF1006),$AB$1006:$AQ$1006,0))&gt;=100000), " ",IF(INDEX($AB$2:$AQ$1001,MATCH(ROWS($U$2:U608),$U$2:$U$1001,0),MATCH(COLUMNS($AB$1006:AF1006),$AB$1006:$AQ$1006,0)), HYPERLINK("#",""), HYPERLINK(CONCATENATE("#metadata!", ADDRESS(INDEX($W$2:$W$1001,MATCH(ROWS($U$2:U608),$U$2:$U$1001,0),0), INDEX($AB$1004:$AQ$1004,1,MATCH(COLUMNS($AB$1006:AF1006),$AB$1006:$AQ$1006,0)))),"Fix")))</f>
        <v>0</v>
      </c>
      <c r="G608" s="4">
        <f>IF(OR(INDEX($V$2:$V$1001,MATCH(ROWS($U$2:U608),$U$2:$U$1001,0),1)&gt;=100000,INDEX($AB$1005:$AQ$1005,1,MATCH(COLUMNS($AB$1006:AG1006),$AB$1006:$AQ$1006,0))&gt;=100000), " ",IF(INDEX($AB$2:$AQ$1001,MATCH(ROWS($U$2:U608),$U$2:$U$1001,0),MATCH(COLUMNS($AB$1006:AG1006),$AB$1006:$AQ$1006,0)), HYPERLINK("#",""), HYPERLINK(CONCATENATE("#metadata!", ADDRESS(INDEX($W$2:$W$1001,MATCH(ROWS($U$2:U608),$U$2:$U$1001,0),0), INDEX($AB$1004:$AQ$1004,1,MATCH(COLUMNS($AB$1006:AG1006),$AB$1006:$AQ$1006,0)))),"Fix")))</f>
        <v>0</v>
      </c>
      <c r="H608" s="4">
        <f>IF(OR(INDEX($V$2:$V$1001,MATCH(ROWS($U$2:U608),$U$2:$U$1001,0),1)&gt;=100000,INDEX($AB$1005:$AQ$1005,1,MATCH(COLUMNS($AB$1006:AH1006),$AB$1006:$AQ$1006,0))&gt;=100000), " ",IF(INDEX($AB$2:$AQ$1001,MATCH(ROWS($U$2:U608),$U$2:$U$1001,0),MATCH(COLUMNS($AB$1006:AH1006),$AB$1006:$AQ$1006,0)), HYPERLINK("#",""), HYPERLINK(CONCATENATE("#metadata!", ADDRESS(INDEX($W$2:$W$1001,MATCH(ROWS($U$2:U608),$U$2:$U$1001,0),0), INDEX($AB$1004:$AQ$1004,1,MATCH(COLUMNS($AB$1006:AH1006),$AB$1006:$AQ$1006,0)))),"Fix")))</f>
        <v>0</v>
      </c>
      <c r="I608" s="4">
        <f>IF(OR(INDEX($V$2:$V$1001,MATCH(ROWS($U$2:U608),$U$2:$U$1001,0),1)&gt;=100000,INDEX($AB$1005:$AQ$1005,1,MATCH(COLUMNS($AB$1006:AI1006),$AB$1006:$AQ$1006,0))&gt;=100000), " ",IF(INDEX($AB$2:$AQ$1001,MATCH(ROWS($U$2:U608),$U$2:$U$1001,0),MATCH(COLUMNS($AB$1006:AI1006),$AB$1006:$AQ$1006,0)), HYPERLINK("#",""), HYPERLINK(CONCATENATE("#metadata!", ADDRESS(INDEX($W$2:$W$1001,MATCH(ROWS($U$2:U608),$U$2:$U$1001,0),0), INDEX($AB$1004:$AQ$1004,1,MATCH(COLUMNS($AB$1006:AI1006),$AB$1006:$AQ$1006,0)))),"Fix")))</f>
        <v>0</v>
      </c>
      <c r="J608" s="4">
        <f>IF(OR(INDEX($V$2:$V$1001,MATCH(ROWS($U$2:U608),$U$2:$U$1001,0),1)&gt;=100000,INDEX($AB$1005:$AQ$1005,1,MATCH(COLUMNS($AB$1006:AJ1006),$AB$1006:$AQ$1006,0))&gt;=100000), " ",IF(INDEX($AB$2:$AQ$1001,MATCH(ROWS($U$2:U608),$U$2:$U$1001,0),MATCH(COLUMNS($AB$1006:AJ1006),$AB$1006:$AQ$1006,0)), HYPERLINK("#",""), HYPERLINK(CONCATENATE("#metadata!", ADDRESS(INDEX($W$2:$W$1001,MATCH(ROWS($U$2:U608),$U$2:$U$1001,0),0), INDEX($AB$1004:$AQ$1004,1,MATCH(COLUMNS($AB$1006:AJ1006),$AB$1006:$AQ$1006,0)))),"Fix")))</f>
        <v>0</v>
      </c>
      <c r="K608" s="4">
        <f>IF(OR(INDEX($V$2:$V$1001,MATCH(ROWS($U$2:U608),$U$2:$U$1001,0),1)&gt;=100000,INDEX($AB$1005:$AQ$1005,1,MATCH(COLUMNS($AB$1006:AK1006),$AB$1006:$AQ$1006,0))&gt;=100000), " ",IF(INDEX($AB$2:$AQ$1001,MATCH(ROWS($U$2:U608),$U$2:$U$1001,0),MATCH(COLUMNS($AB$1006:AK1006),$AB$1006:$AQ$1006,0)), HYPERLINK("#",""), HYPERLINK(CONCATENATE("#metadata!", ADDRESS(INDEX($W$2:$W$1001,MATCH(ROWS($U$2:U608),$U$2:$U$1001,0),0), INDEX($AB$1004:$AQ$1004,1,MATCH(COLUMNS($AB$1006:AK1006),$AB$1006:$AQ$1006,0)))),"Fix")))</f>
        <v>0</v>
      </c>
      <c r="L608" s="4">
        <f>IF(OR(INDEX($V$2:$V$1001,MATCH(ROWS($U$2:U608),$U$2:$U$1001,0),1)&gt;=100000,INDEX($AB$1005:$AQ$1005,1,MATCH(COLUMNS($AB$1006:AL1006),$AB$1006:$AQ$1006,0))&gt;=100000), " ",IF(INDEX($AB$2:$AQ$1001,MATCH(ROWS($U$2:U608),$U$2:$U$1001,0),MATCH(COLUMNS($AB$1006:AL1006),$AB$1006:$AQ$1006,0)), HYPERLINK("#",""), HYPERLINK(CONCATENATE("#metadata!", ADDRESS(INDEX($W$2:$W$1001,MATCH(ROWS($U$2:U608),$U$2:$U$1001,0),0), INDEX($AB$1004:$AQ$1004,1,MATCH(COLUMNS($AB$1006:AL1006),$AB$1006:$AQ$1006,0)))),"Fix")))</f>
        <v>0</v>
      </c>
      <c r="M608" s="4">
        <f>IF(OR(INDEX($V$2:$V$1001,MATCH(ROWS($U$2:U608),$U$2:$U$1001,0),1)&gt;=100000,INDEX($AB$1005:$AQ$1005,1,MATCH(COLUMNS($AB$1006:AM1006),$AB$1006:$AQ$1006,0))&gt;=100000), " ",IF(INDEX($AB$2:$AQ$1001,MATCH(ROWS($U$2:U608),$U$2:$U$1001,0),MATCH(COLUMNS($AB$1006:AM1006),$AB$1006:$AQ$1006,0)), HYPERLINK("#",""), HYPERLINK(CONCATENATE("#metadata!", ADDRESS(INDEX($W$2:$W$1001,MATCH(ROWS($U$2:U608),$U$2:$U$1001,0),0), INDEX($AB$1004:$AQ$1004,1,MATCH(COLUMNS($AB$1006:AM1006),$AB$1006:$AQ$1006,0)))),"Fix")))</f>
        <v>0</v>
      </c>
      <c r="N608" s="4">
        <f>IF(OR(INDEX($V$2:$V$1001,MATCH(ROWS($U$2:U608),$U$2:$U$1001,0),1)&gt;=100000,INDEX($AB$1005:$AQ$1005,1,MATCH(COLUMNS($AB$1006:AN1006),$AB$1006:$AQ$1006,0))&gt;=100000), " ",IF(INDEX($AB$2:$AQ$1001,MATCH(ROWS($U$2:U608),$U$2:$U$1001,0),MATCH(COLUMNS($AB$1006:AN1006),$AB$1006:$AQ$1006,0)), HYPERLINK("#",""), HYPERLINK(CONCATENATE("#metadata!", ADDRESS(INDEX($W$2:$W$1001,MATCH(ROWS($U$2:U608),$U$2:$U$1001,0),0), INDEX($AB$1004:$AQ$1004,1,MATCH(COLUMNS($AB$1006:AN1006),$AB$1006:$AQ$1006,0)))),"Fix")))</f>
        <v>0</v>
      </c>
      <c r="O608" s="4">
        <f>IF(OR(INDEX($V$2:$V$1001,MATCH(ROWS($U$2:U608),$U$2:$U$1001,0),1)&gt;=100000,INDEX($AB$1005:$AQ$1005,1,MATCH(COLUMNS($AB$1006:AO1006),$AB$1006:$AQ$1006,0))&gt;=100000), " ",IF(INDEX($AB$2:$AQ$1001,MATCH(ROWS($U$2:U608),$U$2:$U$1001,0),MATCH(COLUMNS($AB$1006:AO1006),$AB$1006:$AQ$1006,0)), HYPERLINK("#",""), HYPERLINK(CONCATENATE("#metadata!", ADDRESS(INDEX($W$2:$W$1001,MATCH(ROWS($U$2:U608),$U$2:$U$1001,0),0), INDEX($AB$1004:$AQ$1004,1,MATCH(COLUMNS($AB$1006:AO1006),$AB$1006:$AQ$1006,0)))),"Fix")))</f>
        <v>0</v>
      </c>
      <c r="P608" s="4">
        <f>IF(OR(INDEX($V$2:$V$1001,MATCH(ROWS($U$2:U608),$U$2:$U$1001,0),1)&gt;=100000,INDEX($AB$1005:$AQ$1005,1,MATCH(COLUMNS($AB$1006:AP1006),$AB$1006:$AQ$1006,0))&gt;=100000), " ",IF(INDEX($AB$2:$AQ$1001,MATCH(ROWS($U$2:U608),$U$2:$U$1001,0),MATCH(COLUMNS($AB$1006:AP1006),$AB$1006:$AQ$1006,0)), HYPERLINK("#",""), HYPERLINK(CONCATENATE("#metadata!", ADDRESS(INDEX($W$2:$W$1001,MATCH(ROWS($U$2:U608),$U$2:$U$1001,0),0), INDEX($AB$1004:$AQ$1004,1,MATCH(COLUMNS($AB$1006:AP1006),$AB$1006:$AQ$1006,0)))),"Fix")))</f>
        <v>0</v>
      </c>
      <c r="Q608" s="4">
        <f>IF(OR(INDEX($V$2:$V$1001,MATCH(ROWS($U$2:U608),$U$2:$U$1001,0),1)&gt;=100000,INDEX($AB$1005:$AQ$1005,1,MATCH(COLUMNS($AB$1006:AQ1006),$AB$1006:$AQ$1006,0))&gt;=100000), " ",IF(INDEX($AB$2:$AQ$1001,MATCH(ROWS($U$2:U608),$U$2:$U$1001,0),MATCH(COLUMNS($AB$1006:AQ1006),$AB$1006:$AQ$1006,0)), HYPERLINK("#",""), HYPERLINK(CONCATENATE("#metadata!", ADDRESS(INDEX($W$2:$W$1001,MATCH(ROWS($U$2:U608),$U$2:$U$1001,0),0), INDEX($AB$1004:$AQ$1004,1,MATCH(COLUMNS($AB$1006:AQ1006),$AB$1006:$AQ$1006,0)))),"Fix")))</f>
        <v>0</v>
      </c>
      <c r="U608">
        <v>0</v>
      </c>
      <c r="V608">
        <v>0</v>
      </c>
      <c r="W608">
        <v>0</v>
      </c>
      <c r="X608">
        <f>IF(Y608,TRUE,AND(AB608:AQ608))</f>
        <v>0</v>
      </c>
      <c r="Y608">
        <f>COUNTBLANK(metadata!B608:Q608)=COLUMNS(metadata!B608:Q608)</f>
        <v>0</v>
      </c>
      <c r="Z608">
        <v>0</v>
      </c>
      <c r="AB608">
        <f>AND(IF(metadata!B608="",FALSE,TRUE),COUNTIF(metadata!B:B, metadata!B608) = 1,NOT(ISERROR(SUMPRODUCT(SEARCH(MID(metadata!B608,ROW(INDIRECT("1:"&amp;LEN(metadata!B608))), 1),"0123456789abcdefghijklmnopqrstuvwxyzABCDEFGHIJKLMNOPQRSTUVWXYZ.")))))</f>
        <v>0</v>
      </c>
      <c r="AC608">
        <f>OR(AND(IF(metadata!C608="",FALSE,TRUE),OR(exact(metadata!C608,"missing: not collected"),exact(metadata!C608,"missing: not provided"),exact(metadata!C608,"missing: restricted access"))),AND(IF(metadata!C608="",FALSE,TRUE),AND(AND(IFERROR(INT(LEFT(metadata!C608,4))&gt;1900,FALSE),IFERROR(INT(LEFT(metadata!C608,4))&lt;=YEAR(NOW()),FALSE)), OR(MID(metadata!C608,5,1)="", AND(AND(MID(metadata!C608,5,1)="-",IFERROR(INT(MID(metadata!C608,6,1))&gt;=0,FALSE),IFERROR(INT(MID(metadata!C608,6,1))&lt;=1,FALSE),NOT(MID(metadata!C608,7,1)=""),IFERROR(INT(MID(metadata!C608,6,2))&gt;=1,FALSE),IFERROR(INT(MID(metadata!C608,6,2))&lt;=12,FALSE)), OR(MID(metadata!C608,8,1)="", AND(AND(MID(metadata!C608,8,1)="-",IFERROR(INT(MID(metadata!C608,9,1))&gt;=0,FALSE),IFERROR(INT(MID(metadata!C608,9,1))&lt;=3,FALSE),NOT(MID(metadata!C608,10,1)=""),IFERROR(INT(MID(metadata!C608,9,2))&gt;=1,FALSE),IFERROR(INT(MID(metadata!C608,9,2))&lt;=31,FALSE)), OR(MID(metadata!C608,11,1)="", AND(AND(MID(metadata!C608,11,1)=" ",IFERROR(INT(MID(metadata!C608,12,1))&gt;=0,FALSE),IFERROR(INT(MID(metadata!C608,12,1))&lt;=2,FALSE),NOT(MID(metadata!C608,13,1)=""),IFERROR(INT(MID(metadata!C608,12,2))&gt;=0,FALSE),IFERROR(INT(MID(metadata!C608,12,2))&lt;=23,FALSE)), OR(MID(metadata!C608,14,1)="", AND(AND(MID(metadata!C608,14,1)=":",IFERROR(INT(MID(metadata!C608,15,1))&gt;=0,FALSE),IFERROR(INT(MID(metadata!C608,15,1))&lt;=5,FALSE),NOT(MID(metadata!C608,16,1)=""),IFERROR(INT(MID(metadata!C608,15,2))&gt;=0,FALSE),IFERROR(INT(MID(metadata!C608,15,2))&lt;=59,FALSE)), OR(MID(metadata!C608,17,1)="", AND(AND(MID(metadata!C608,17,1)=":",IFERROR(INT(MID(metadata!C608,18,1))&gt;=0,FALSE),IFERROR(INT(MID(metadata!C608,18,1))&lt;=5,FALSE),NOT(MID(metadata!C608,19,1)=""),IFERROR(INT(MID(metadata!C608,18,2))&gt;=0,FALSE),IFERROR(INT(MID(metadata!C608,18,2))&lt;=59,FALSE)), LEN(metadata!C608)&lt;=19)))))))))))))</f>
        <v>0</v>
      </c>
      <c r="AD608">
        <f>IF(metadata!D608="",FALSE,TRUE)</f>
        <v>0</v>
      </c>
      <c r="AE608">
        <f>OR(AND(IF(metadata!E608="",FALSE,TRUE),OR(exact(metadata!E608,"missing: not collected"),exact(metadata!E608,"missing: not provided"))),AND(IF(metadata!E608="",FALSE,TRUE),OR(exact(metadata!E608,"TRUE"),exact(metadata!E608,"FALSE"))))</f>
        <v>0</v>
      </c>
      <c r="AF608">
        <f>IF(metadata!F608="",FALSE,TRUE)</f>
        <v>0</v>
      </c>
      <c r="AG608">
        <f>IF(metadata!G608="",FALSE,TRUE)</f>
        <v>0</v>
      </c>
      <c r="AH608">
        <f>IF(metadata!H608="",FALSE,TRUE)</f>
        <v>0</v>
      </c>
      <c r="AI608">
        <f>OR(AND(IF(metadata!I608="",FALSE,TRUE),OR(exact(metadata!I608,"missing: not collected"),exact(metadata!I608,"missing: not provided"),exact(metadata!I608,"missing: restricted access"))),AND(IF(metadata!I608="",FALSE,TRUE),OR(exact(metadata!I608,"air"),exact(metadata!I608,"built environment"),exact(metadata!I608,"host-associated"),exact(metadata!I608,"human-associated"),exact(metadata!I608,"human-skin"),exact(metadata!I608,"human-oral"),exact(metadata!I608,"human-gut"),exact(metadata!I608,"human-vaginal"),exact(metadata!I608,"microbial mat/biofilm"),exact(metadata!I608,"misc environment"),exact(metadata!I608,"plant-associated"),exact(metadata!I608,"sediment"),exact(metadata!I608,"soil"),exact(metadata!I608,"wastewater/sludge"),exact(metadata!I608,"water"))))</f>
        <v>0</v>
      </c>
      <c r="AJ608">
        <f>IF(metadata!J608="",FALSE,TRUE)</f>
        <v>0</v>
      </c>
      <c r="AK608">
        <f>OR(AND(IF(metadata!K608="",FALSE,TRUE),OR(exact(metadata!K608,"missing: not collected"),exact(metadata!K608,"missing: not provided"),exact(metadata!K608,"missing: restricted access"))),AND(IF(metadata!K608="",FALSE,ISNUMBER(VALUE(metadata!K608))),metadata!K608&gt;=-90.00,metadata!K608&lt;=90.00))</f>
        <v>0</v>
      </c>
      <c r="AL608">
        <f>OR(AND(IF(metadata!L608="",FALSE,TRUE),OR(exact(metadata!L608,"missing: not collected"),exact(metadata!L608,"missing: not provided"),exact(metadata!L608,"missing: restricted access"))),AND(IF(metadata!L608="",FALSE,ISNUMBER(VALUE(metadata!L608))),metadata!L608&gt;=-180.00,metadata!L608&lt;=180.00))</f>
        <v>0</v>
      </c>
      <c r="AM608">
        <f>IF(metadata!M608="",FALSE,TRUE)</f>
        <v>0</v>
      </c>
      <c r="AN608">
        <f>OR(AND(IF(metadata!N608="",FALSE,TRUE),OR(exact(metadata!N608,"missing: not collected"),exact(metadata!N608,"missing: not provided"),exact(metadata!N608,"missing: restricted access"))),AND(IF(metadata!N608="",FALSE,TRUE),OR(exact(metadata!N608,"TRUE"),exact(metadata!N608,"FALSE"))))</f>
        <v>0</v>
      </c>
      <c r="AO608">
        <f>IF(metadata!O608="",FALSE,TRUE)</f>
        <v>0</v>
      </c>
      <c r="AP608">
        <f>OR(AND(IF(metadata!P608="",FALSE,TRUE),OR(exact(metadata!P608,"missing: not collected"),exact(metadata!P608,"missing: not provided"))),AND(IF(metadata!P608="",FALSE,IF(ISERROR(INT(metadata!P608)),FALSE,INT(metadata!P608)=metadata!P608)),metadata!P608&gt;0))</f>
        <v>0</v>
      </c>
      <c r="AQ608">
        <f>IF(metadata!Q608="",FALSE,TRUE)</f>
        <v>0</v>
      </c>
    </row>
    <row r="609" spans="1:43">
      <c r="A609" s="5">
        <f>IF(B609=" "," ",HYPERLINK(CONCATENATE("#metadata!",ADDRESS(INDEX($W$2:$W$1001,MATCH(ROWS($U$2:U609),$U$2:$U$1001,0),0),1)),INDEX($Z$2:$Z$1001,MATCH(ROWS($U$2:U609),$U$2:$U$1001,0),0)))</f>
        <v>0</v>
      </c>
      <c r="B609" s="4">
        <f>IF(OR(INDEX($V$2:$V$1001,MATCH(ROWS($U$2:U609),$U$2:$U$1001,0),1)&gt;=100000,INDEX($AB$1005:$AQ$1005,1,MATCH(COLUMNS($AB$1006:AB1006),$AB$1006:$AQ$1006,0))&gt;=100000), " ",IF(INDEX($AB$2:$AQ$1001,MATCH(ROWS($U$2:U609),$U$2:$U$1001,0),MATCH(COLUMNS($AB$1006:AB1006),$AB$1006:$AQ$1006,0)), HYPERLINK("#",""), HYPERLINK(CONCATENATE("#metadata!", ADDRESS(INDEX($W$2:$W$1001,MATCH(ROWS($U$2:U609),$U$2:$U$1001,0),0), INDEX($AB$1004:$AQ$1004,1,MATCH(COLUMNS($AB$1006:AB1006),$AB$1006:$AQ$1006,0)))),"Fix")))</f>
        <v>0</v>
      </c>
      <c r="C609" s="4">
        <f>IF(OR(INDEX($V$2:$V$1001,MATCH(ROWS($U$2:U609),$U$2:$U$1001,0),1)&gt;=100000,INDEX($AB$1005:$AQ$1005,1,MATCH(COLUMNS($AB$1006:AC1006),$AB$1006:$AQ$1006,0))&gt;=100000), " ",IF(INDEX($AB$2:$AQ$1001,MATCH(ROWS($U$2:U609),$U$2:$U$1001,0),MATCH(COLUMNS($AB$1006:AC1006),$AB$1006:$AQ$1006,0)), HYPERLINK("#",""), HYPERLINK(CONCATENATE("#metadata!", ADDRESS(INDEX($W$2:$W$1001,MATCH(ROWS($U$2:U609),$U$2:$U$1001,0),0), INDEX($AB$1004:$AQ$1004,1,MATCH(COLUMNS($AB$1006:AC1006),$AB$1006:$AQ$1006,0)))),"Fix")))</f>
        <v>0</v>
      </c>
      <c r="D609" s="4">
        <f>IF(OR(INDEX($V$2:$V$1001,MATCH(ROWS($U$2:U609),$U$2:$U$1001,0),1)&gt;=100000,INDEX($AB$1005:$AQ$1005,1,MATCH(COLUMNS($AB$1006:AD1006),$AB$1006:$AQ$1006,0))&gt;=100000), " ",IF(INDEX($AB$2:$AQ$1001,MATCH(ROWS($U$2:U609),$U$2:$U$1001,0),MATCH(COLUMNS($AB$1006:AD1006),$AB$1006:$AQ$1006,0)), HYPERLINK("#",""), HYPERLINK(CONCATENATE("#metadata!", ADDRESS(INDEX($W$2:$W$1001,MATCH(ROWS($U$2:U609),$U$2:$U$1001,0),0), INDEX($AB$1004:$AQ$1004,1,MATCH(COLUMNS($AB$1006:AD1006),$AB$1006:$AQ$1006,0)))),"Fix")))</f>
        <v>0</v>
      </c>
      <c r="E609" s="4">
        <f>IF(OR(INDEX($V$2:$V$1001,MATCH(ROWS($U$2:U609),$U$2:$U$1001,0),1)&gt;=100000,INDEX($AB$1005:$AQ$1005,1,MATCH(COLUMNS($AB$1006:AE1006),$AB$1006:$AQ$1006,0))&gt;=100000), " ",IF(INDEX($AB$2:$AQ$1001,MATCH(ROWS($U$2:U609),$U$2:$U$1001,0),MATCH(COLUMNS($AB$1006:AE1006),$AB$1006:$AQ$1006,0)), HYPERLINK("#",""), HYPERLINK(CONCATENATE("#metadata!", ADDRESS(INDEX($W$2:$W$1001,MATCH(ROWS($U$2:U609),$U$2:$U$1001,0),0), INDEX($AB$1004:$AQ$1004,1,MATCH(COLUMNS($AB$1006:AE1006),$AB$1006:$AQ$1006,0)))),"Fix")))</f>
        <v>0</v>
      </c>
      <c r="F609" s="4">
        <f>IF(OR(INDEX($V$2:$V$1001,MATCH(ROWS($U$2:U609),$U$2:$U$1001,0),1)&gt;=100000,INDEX($AB$1005:$AQ$1005,1,MATCH(COLUMNS($AB$1006:AF1006),$AB$1006:$AQ$1006,0))&gt;=100000), " ",IF(INDEX($AB$2:$AQ$1001,MATCH(ROWS($U$2:U609),$U$2:$U$1001,0),MATCH(COLUMNS($AB$1006:AF1006),$AB$1006:$AQ$1006,0)), HYPERLINK("#",""), HYPERLINK(CONCATENATE("#metadata!", ADDRESS(INDEX($W$2:$W$1001,MATCH(ROWS($U$2:U609),$U$2:$U$1001,0),0), INDEX($AB$1004:$AQ$1004,1,MATCH(COLUMNS($AB$1006:AF1006),$AB$1006:$AQ$1006,0)))),"Fix")))</f>
        <v>0</v>
      </c>
      <c r="G609" s="4">
        <f>IF(OR(INDEX($V$2:$V$1001,MATCH(ROWS($U$2:U609),$U$2:$U$1001,0),1)&gt;=100000,INDEX($AB$1005:$AQ$1005,1,MATCH(COLUMNS($AB$1006:AG1006),$AB$1006:$AQ$1006,0))&gt;=100000), " ",IF(INDEX($AB$2:$AQ$1001,MATCH(ROWS($U$2:U609),$U$2:$U$1001,0),MATCH(COLUMNS($AB$1006:AG1006),$AB$1006:$AQ$1006,0)), HYPERLINK("#",""), HYPERLINK(CONCATENATE("#metadata!", ADDRESS(INDEX($W$2:$W$1001,MATCH(ROWS($U$2:U609),$U$2:$U$1001,0),0), INDEX($AB$1004:$AQ$1004,1,MATCH(COLUMNS($AB$1006:AG1006),$AB$1006:$AQ$1006,0)))),"Fix")))</f>
        <v>0</v>
      </c>
      <c r="H609" s="4">
        <f>IF(OR(INDEX($V$2:$V$1001,MATCH(ROWS($U$2:U609),$U$2:$U$1001,0),1)&gt;=100000,INDEX($AB$1005:$AQ$1005,1,MATCH(COLUMNS($AB$1006:AH1006),$AB$1006:$AQ$1006,0))&gt;=100000), " ",IF(INDEX($AB$2:$AQ$1001,MATCH(ROWS($U$2:U609),$U$2:$U$1001,0),MATCH(COLUMNS($AB$1006:AH1006),$AB$1006:$AQ$1006,0)), HYPERLINK("#",""), HYPERLINK(CONCATENATE("#metadata!", ADDRESS(INDEX($W$2:$W$1001,MATCH(ROWS($U$2:U609),$U$2:$U$1001,0),0), INDEX($AB$1004:$AQ$1004,1,MATCH(COLUMNS($AB$1006:AH1006),$AB$1006:$AQ$1006,0)))),"Fix")))</f>
        <v>0</v>
      </c>
      <c r="I609" s="4">
        <f>IF(OR(INDEX($V$2:$V$1001,MATCH(ROWS($U$2:U609),$U$2:$U$1001,0),1)&gt;=100000,INDEX($AB$1005:$AQ$1005,1,MATCH(COLUMNS($AB$1006:AI1006),$AB$1006:$AQ$1006,0))&gt;=100000), " ",IF(INDEX($AB$2:$AQ$1001,MATCH(ROWS($U$2:U609),$U$2:$U$1001,0),MATCH(COLUMNS($AB$1006:AI1006),$AB$1006:$AQ$1006,0)), HYPERLINK("#",""), HYPERLINK(CONCATENATE("#metadata!", ADDRESS(INDEX($W$2:$W$1001,MATCH(ROWS($U$2:U609),$U$2:$U$1001,0),0), INDEX($AB$1004:$AQ$1004,1,MATCH(COLUMNS($AB$1006:AI1006),$AB$1006:$AQ$1006,0)))),"Fix")))</f>
        <v>0</v>
      </c>
      <c r="J609" s="4">
        <f>IF(OR(INDEX($V$2:$V$1001,MATCH(ROWS($U$2:U609),$U$2:$U$1001,0),1)&gt;=100000,INDEX($AB$1005:$AQ$1005,1,MATCH(COLUMNS($AB$1006:AJ1006),$AB$1006:$AQ$1006,0))&gt;=100000), " ",IF(INDEX($AB$2:$AQ$1001,MATCH(ROWS($U$2:U609),$U$2:$U$1001,0),MATCH(COLUMNS($AB$1006:AJ1006),$AB$1006:$AQ$1006,0)), HYPERLINK("#",""), HYPERLINK(CONCATENATE("#metadata!", ADDRESS(INDEX($W$2:$W$1001,MATCH(ROWS($U$2:U609),$U$2:$U$1001,0),0), INDEX($AB$1004:$AQ$1004,1,MATCH(COLUMNS($AB$1006:AJ1006),$AB$1006:$AQ$1006,0)))),"Fix")))</f>
        <v>0</v>
      </c>
      <c r="K609" s="4">
        <f>IF(OR(INDEX($V$2:$V$1001,MATCH(ROWS($U$2:U609),$U$2:$U$1001,0),1)&gt;=100000,INDEX($AB$1005:$AQ$1005,1,MATCH(COLUMNS($AB$1006:AK1006),$AB$1006:$AQ$1006,0))&gt;=100000), " ",IF(INDEX($AB$2:$AQ$1001,MATCH(ROWS($U$2:U609),$U$2:$U$1001,0),MATCH(COLUMNS($AB$1006:AK1006),$AB$1006:$AQ$1006,0)), HYPERLINK("#",""), HYPERLINK(CONCATENATE("#metadata!", ADDRESS(INDEX($W$2:$W$1001,MATCH(ROWS($U$2:U609),$U$2:$U$1001,0),0), INDEX($AB$1004:$AQ$1004,1,MATCH(COLUMNS($AB$1006:AK1006),$AB$1006:$AQ$1006,0)))),"Fix")))</f>
        <v>0</v>
      </c>
      <c r="L609" s="4">
        <f>IF(OR(INDEX($V$2:$V$1001,MATCH(ROWS($U$2:U609),$U$2:$U$1001,0),1)&gt;=100000,INDEX($AB$1005:$AQ$1005,1,MATCH(COLUMNS($AB$1006:AL1006),$AB$1006:$AQ$1006,0))&gt;=100000), " ",IF(INDEX($AB$2:$AQ$1001,MATCH(ROWS($U$2:U609),$U$2:$U$1001,0),MATCH(COLUMNS($AB$1006:AL1006),$AB$1006:$AQ$1006,0)), HYPERLINK("#",""), HYPERLINK(CONCATENATE("#metadata!", ADDRESS(INDEX($W$2:$W$1001,MATCH(ROWS($U$2:U609),$U$2:$U$1001,0),0), INDEX($AB$1004:$AQ$1004,1,MATCH(COLUMNS($AB$1006:AL1006),$AB$1006:$AQ$1006,0)))),"Fix")))</f>
        <v>0</v>
      </c>
      <c r="M609" s="4">
        <f>IF(OR(INDEX($V$2:$V$1001,MATCH(ROWS($U$2:U609),$U$2:$U$1001,0),1)&gt;=100000,INDEX($AB$1005:$AQ$1005,1,MATCH(COLUMNS($AB$1006:AM1006),$AB$1006:$AQ$1006,0))&gt;=100000), " ",IF(INDEX($AB$2:$AQ$1001,MATCH(ROWS($U$2:U609),$U$2:$U$1001,0),MATCH(COLUMNS($AB$1006:AM1006),$AB$1006:$AQ$1006,0)), HYPERLINK("#",""), HYPERLINK(CONCATENATE("#metadata!", ADDRESS(INDEX($W$2:$W$1001,MATCH(ROWS($U$2:U609),$U$2:$U$1001,0),0), INDEX($AB$1004:$AQ$1004,1,MATCH(COLUMNS($AB$1006:AM1006),$AB$1006:$AQ$1006,0)))),"Fix")))</f>
        <v>0</v>
      </c>
      <c r="N609" s="4">
        <f>IF(OR(INDEX($V$2:$V$1001,MATCH(ROWS($U$2:U609),$U$2:$U$1001,0),1)&gt;=100000,INDEX($AB$1005:$AQ$1005,1,MATCH(COLUMNS($AB$1006:AN1006),$AB$1006:$AQ$1006,0))&gt;=100000), " ",IF(INDEX($AB$2:$AQ$1001,MATCH(ROWS($U$2:U609),$U$2:$U$1001,0),MATCH(COLUMNS($AB$1006:AN1006),$AB$1006:$AQ$1006,0)), HYPERLINK("#",""), HYPERLINK(CONCATENATE("#metadata!", ADDRESS(INDEX($W$2:$W$1001,MATCH(ROWS($U$2:U609),$U$2:$U$1001,0),0), INDEX($AB$1004:$AQ$1004,1,MATCH(COLUMNS($AB$1006:AN1006),$AB$1006:$AQ$1006,0)))),"Fix")))</f>
        <v>0</v>
      </c>
      <c r="O609" s="4">
        <f>IF(OR(INDEX($V$2:$V$1001,MATCH(ROWS($U$2:U609),$U$2:$U$1001,0),1)&gt;=100000,INDEX($AB$1005:$AQ$1005,1,MATCH(COLUMNS($AB$1006:AO1006),$AB$1006:$AQ$1006,0))&gt;=100000), " ",IF(INDEX($AB$2:$AQ$1001,MATCH(ROWS($U$2:U609),$U$2:$U$1001,0),MATCH(COLUMNS($AB$1006:AO1006),$AB$1006:$AQ$1006,0)), HYPERLINK("#",""), HYPERLINK(CONCATENATE("#metadata!", ADDRESS(INDEX($W$2:$W$1001,MATCH(ROWS($U$2:U609),$U$2:$U$1001,0),0), INDEX($AB$1004:$AQ$1004,1,MATCH(COLUMNS($AB$1006:AO1006),$AB$1006:$AQ$1006,0)))),"Fix")))</f>
        <v>0</v>
      </c>
      <c r="P609" s="4">
        <f>IF(OR(INDEX($V$2:$V$1001,MATCH(ROWS($U$2:U609),$U$2:$U$1001,0),1)&gt;=100000,INDEX($AB$1005:$AQ$1005,1,MATCH(COLUMNS($AB$1006:AP1006),$AB$1006:$AQ$1006,0))&gt;=100000), " ",IF(INDEX($AB$2:$AQ$1001,MATCH(ROWS($U$2:U609),$U$2:$U$1001,0),MATCH(COLUMNS($AB$1006:AP1006),$AB$1006:$AQ$1006,0)), HYPERLINK("#",""), HYPERLINK(CONCATENATE("#metadata!", ADDRESS(INDEX($W$2:$W$1001,MATCH(ROWS($U$2:U609),$U$2:$U$1001,0),0), INDEX($AB$1004:$AQ$1004,1,MATCH(COLUMNS($AB$1006:AP1006),$AB$1006:$AQ$1006,0)))),"Fix")))</f>
        <v>0</v>
      </c>
      <c r="Q609" s="4">
        <f>IF(OR(INDEX($V$2:$V$1001,MATCH(ROWS($U$2:U609),$U$2:$U$1001,0),1)&gt;=100000,INDEX($AB$1005:$AQ$1005,1,MATCH(COLUMNS($AB$1006:AQ1006),$AB$1006:$AQ$1006,0))&gt;=100000), " ",IF(INDEX($AB$2:$AQ$1001,MATCH(ROWS($U$2:U609),$U$2:$U$1001,0),MATCH(COLUMNS($AB$1006:AQ1006),$AB$1006:$AQ$1006,0)), HYPERLINK("#",""), HYPERLINK(CONCATENATE("#metadata!", ADDRESS(INDEX($W$2:$W$1001,MATCH(ROWS($U$2:U609),$U$2:$U$1001,0),0), INDEX($AB$1004:$AQ$1004,1,MATCH(COLUMNS($AB$1006:AQ1006),$AB$1006:$AQ$1006,0)))),"Fix")))</f>
        <v>0</v>
      </c>
      <c r="U609">
        <v>0</v>
      </c>
      <c r="V609">
        <v>0</v>
      </c>
      <c r="W609">
        <v>0</v>
      </c>
      <c r="X609">
        <f>IF(Y609,TRUE,AND(AB609:AQ609))</f>
        <v>0</v>
      </c>
      <c r="Y609">
        <f>COUNTBLANK(metadata!B609:Q609)=COLUMNS(metadata!B609:Q609)</f>
        <v>0</v>
      </c>
      <c r="Z609">
        <v>0</v>
      </c>
      <c r="AB609">
        <f>AND(IF(metadata!B609="",FALSE,TRUE),COUNTIF(metadata!B:B, metadata!B609) = 1,NOT(ISERROR(SUMPRODUCT(SEARCH(MID(metadata!B609,ROW(INDIRECT("1:"&amp;LEN(metadata!B609))), 1),"0123456789abcdefghijklmnopqrstuvwxyzABCDEFGHIJKLMNOPQRSTUVWXYZ.")))))</f>
        <v>0</v>
      </c>
      <c r="AC609">
        <f>OR(AND(IF(metadata!C609="",FALSE,TRUE),OR(exact(metadata!C609,"missing: not collected"),exact(metadata!C609,"missing: not provided"),exact(metadata!C609,"missing: restricted access"))),AND(IF(metadata!C609="",FALSE,TRUE),AND(AND(IFERROR(INT(LEFT(metadata!C609,4))&gt;1900,FALSE),IFERROR(INT(LEFT(metadata!C609,4))&lt;=YEAR(NOW()),FALSE)), OR(MID(metadata!C609,5,1)="", AND(AND(MID(metadata!C609,5,1)="-",IFERROR(INT(MID(metadata!C609,6,1))&gt;=0,FALSE),IFERROR(INT(MID(metadata!C609,6,1))&lt;=1,FALSE),NOT(MID(metadata!C609,7,1)=""),IFERROR(INT(MID(metadata!C609,6,2))&gt;=1,FALSE),IFERROR(INT(MID(metadata!C609,6,2))&lt;=12,FALSE)), OR(MID(metadata!C609,8,1)="", AND(AND(MID(metadata!C609,8,1)="-",IFERROR(INT(MID(metadata!C609,9,1))&gt;=0,FALSE),IFERROR(INT(MID(metadata!C609,9,1))&lt;=3,FALSE),NOT(MID(metadata!C609,10,1)=""),IFERROR(INT(MID(metadata!C609,9,2))&gt;=1,FALSE),IFERROR(INT(MID(metadata!C609,9,2))&lt;=31,FALSE)), OR(MID(metadata!C609,11,1)="", AND(AND(MID(metadata!C609,11,1)=" ",IFERROR(INT(MID(metadata!C609,12,1))&gt;=0,FALSE),IFERROR(INT(MID(metadata!C609,12,1))&lt;=2,FALSE),NOT(MID(metadata!C609,13,1)=""),IFERROR(INT(MID(metadata!C609,12,2))&gt;=0,FALSE),IFERROR(INT(MID(metadata!C609,12,2))&lt;=23,FALSE)), OR(MID(metadata!C609,14,1)="", AND(AND(MID(metadata!C609,14,1)=":",IFERROR(INT(MID(metadata!C609,15,1))&gt;=0,FALSE),IFERROR(INT(MID(metadata!C609,15,1))&lt;=5,FALSE),NOT(MID(metadata!C609,16,1)=""),IFERROR(INT(MID(metadata!C609,15,2))&gt;=0,FALSE),IFERROR(INT(MID(metadata!C609,15,2))&lt;=59,FALSE)), OR(MID(metadata!C609,17,1)="", AND(AND(MID(metadata!C609,17,1)=":",IFERROR(INT(MID(metadata!C609,18,1))&gt;=0,FALSE),IFERROR(INT(MID(metadata!C609,18,1))&lt;=5,FALSE),NOT(MID(metadata!C609,19,1)=""),IFERROR(INT(MID(metadata!C609,18,2))&gt;=0,FALSE),IFERROR(INT(MID(metadata!C609,18,2))&lt;=59,FALSE)), LEN(metadata!C609)&lt;=19)))))))))))))</f>
        <v>0</v>
      </c>
      <c r="AD609">
        <f>IF(metadata!D609="",FALSE,TRUE)</f>
        <v>0</v>
      </c>
      <c r="AE609">
        <f>OR(AND(IF(metadata!E609="",FALSE,TRUE),OR(exact(metadata!E609,"missing: not collected"),exact(metadata!E609,"missing: not provided"))),AND(IF(metadata!E609="",FALSE,TRUE),OR(exact(metadata!E609,"TRUE"),exact(metadata!E609,"FALSE"))))</f>
        <v>0</v>
      </c>
      <c r="AF609">
        <f>IF(metadata!F609="",FALSE,TRUE)</f>
        <v>0</v>
      </c>
      <c r="AG609">
        <f>IF(metadata!G609="",FALSE,TRUE)</f>
        <v>0</v>
      </c>
      <c r="AH609">
        <f>IF(metadata!H609="",FALSE,TRUE)</f>
        <v>0</v>
      </c>
      <c r="AI609">
        <f>OR(AND(IF(metadata!I609="",FALSE,TRUE),OR(exact(metadata!I609,"missing: not collected"),exact(metadata!I609,"missing: not provided"),exact(metadata!I609,"missing: restricted access"))),AND(IF(metadata!I609="",FALSE,TRUE),OR(exact(metadata!I609,"air"),exact(metadata!I609,"built environment"),exact(metadata!I609,"host-associated"),exact(metadata!I609,"human-associated"),exact(metadata!I609,"human-skin"),exact(metadata!I609,"human-oral"),exact(metadata!I609,"human-gut"),exact(metadata!I609,"human-vaginal"),exact(metadata!I609,"microbial mat/biofilm"),exact(metadata!I609,"misc environment"),exact(metadata!I609,"plant-associated"),exact(metadata!I609,"sediment"),exact(metadata!I609,"soil"),exact(metadata!I609,"wastewater/sludge"),exact(metadata!I609,"water"))))</f>
        <v>0</v>
      </c>
      <c r="AJ609">
        <f>IF(metadata!J609="",FALSE,TRUE)</f>
        <v>0</v>
      </c>
      <c r="AK609">
        <f>OR(AND(IF(metadata!K609="",FALSE,TRUE),OR(exact(metadata!K609,"missing: not collected"),exact(metadata!K609,"missing: not provided"),exact(metadata!K609,"missing: restricted access"))),AND(IF(metadata!K609="",FALSE,ISNUMBER(VALUE(metadata!K609))),metadata!K609&gt;=-90.00,metadata!K609&lt;=90.00))</f>
        <v>0</v>
      </c>
      <c r="AL609">
        <f>OR(AND(IF(metadata!L609="",FALSE,TRUE),OR(exact(metadata!L609,"missing: not collected"),exact(metadata!L609,"missing: not provided"),exact(metadata!L609,"missing: restricted access"))),AND(IF(metadata!L609="",FALSE,ISNUMBER(VALUE(metadata!L609))),metadata!L609&gt;=-180.00,metadata!L609&lt;=180.00))</f>
        <v>0</v>
      </c>
      <c r="AM609">
        <f>IF(metadata!M609="",FALSE,TRUE)</f>
        <v>0</v>
      </c>
      <c r="AN609">
        <f>OR(AND(IF(metadata!N609="",FALSE,TRUE),OR(exact(metadata!N609,"missing: not collected"),exact(metadata!N609,"missing: not provided"),exact(metadata!N609,"missing: restricted access"))),AND(IF(metadata!N609="",FALSE,TRUE),OR(exact(metadata!N609,"TRUE"),exact(metadata!N609,"FALSE"))))</f>
        <v>0</v>
      </c>
      <c r="AO609">
        <f>IF(metadata!O609="",FALSE,TRUE)</f>
        <v>0</v>
      </c>
      <c r="AP609">
        <f>OR(AND(IF(metadata!P609="",FALSE,TRUE),OR(exact(metadata!P609,"missing: not collected"),exact(metadata!P609,"missing: not provided"))),AND(IF(metadata!P609="",FALSE,IF(ISERROR(INT(metadata!P609)),FALSE,INT(metadata!P609)=metadata!P609)),metadata!P609&gt;0))</f>
        <v>0</v>
      </c>
      <c r="AQ609">
        <f>IF(metadata!Q609="",FALSE,TRUE)</f>
        <v>0</v>
      </c>
    </row>
    <row r="610" spans="1:43">
      <c r="A610" s="5">
        <f>IF(B610=" "," ",HYPERLINK(CONCATENATE("#metadata!",ADDRESS(INDEX($W$2:$W$1001,MATCH(ROWS($U$2:U610),$U$2:$U$1001,0),0),1)),INDEX($Z$2:$Z$1001,MATCH(ROWS($U$2:U610),$U$2:$U$1001,0),0)))</f>
        <v>0</v>
      </c>
      <c r="B610" s="4">
        <f>IF(OR(INDEX($V$2:$V$1001,MATCH(ROWS($U$2:U610),$U$2:$U$1001,0),1)&gt;=100000,INDEX($AB$1005:$AQ$1005,1,MATCH(COLUMNS($AB$1006:AB1006),$AB$1006:$AQ$1006,0))&gt;=100000), " ",IF(INDEX($AB$2:$AQ$1001,MATCH(ROWS($U$2:U610),$U$2:$U$1001,0),MATCH(COLUMNS($AB$1006:AB1006),$AB$1006:$AQ$1006,0)), HYPERLINK("#",""), HYPERLINK(CONCATENATE("#metadata!", ADDRESS(INDEX($W$2:$W$1001,MATCH(ROWS($U$2:U610),$U$2:$U$1001,0),0), INDEX($AB$1004:$AQ$1004,1,MATCH(COLUMNS($AB$1006:AB1006),$AB$1006:$AQ$1006,0)))),"Fix")))</f>
        <v>0</v>
      </c>
      <c r="C610" s="4">
        <f>IF(OR(INDEX($V$2:$V$1001,MATCH(ROWS($U$2:U610),$U$2:$U$1001,0),1)&gt;=100000,INDEX($AB$1005:$AQ$1005,1,MATCH(COLUMNS($AB$1006:AC1006),$AB$1006:$AQ$1006,0))&gt;=100000), " ",IF(INDEX($AB$2:$AQ$1001,MATCH(ROWS($U$2:U610),$U$2:$U$1001,0),MATCH(COLUMNS($AB$1006:AC1006),$AB$1006:$AQ$1006,0)), HYPERLINK("#",""), HYPERLINK(CONCATENATE("#metadata!", ADDRESS(INDEX($W$2:$W$1001,MATCH(ROWS($U$2:U610),$U$2:$U$1001,0),0), INDEX($AB$1004:$AQ$1004,1,MATCH(COLUMNS($AB$1006:AC1006),$AB$1006:$AQ$1006,0)))),"Fix")))</f>
        <v>0</v>
      </c>
      <c r="D610" s="4">
        <f>IF(OR(INDEX($V$2:$V$1001,MATCH(ROWS($U$2:U610),$U$2:$U$1001,0),1)&gt;=100000,INDEX($AB$1005:$AQ$1005,1,MATCH(COLUMNS($AB$1006:AD1006),$AB$1006:$AQ$1006,0))&gt;=100000), " ",IF(INDEX($AB$2:$AQ$1001,MATCH(ROWS($U$2:U610),$U$2:$U$1001,0),MATCH(COLUMNS($AB$1006:AD1006),$AB$1006:$AQ$1006,0)), HYPERLINK("#",""), HYPERLINK(CONCATENATE("#metadata!", ADDRESS(INDEX($W$2:$W$1001,MATCH(ROWS($U$2:U610),$U$2:$U$1001,0),0), INDEX($AB$1004:$AQ$1004,1,MATCH(COLUMNS($AB$1006:AD1006),$AB$1006:$AQ$1006,0)))),"Fix")))</f>
        <v>0</v>
      </c>
      <c r="E610" s="4">
        <f>IF(OR(INDEX($V$2:$V$1001,MATCH(ROWS($U$2:U610),$U$2:$U$1001,0),1)&gt;=100000,INDEX($AB$1005:$AQ$1005,1,MATCH(COLUMNS($AB$1006:AE1006),$AB$1006:$AQ$1006,0))&gt;=100000), " ",IF(INDEX($AB$2:$AQ$1001,MATCH(ROWS($U$2:U610),$U$2:$U$1001,0),MATCH(COLUMNS($AB$1006:AE1006),$AB$1006:$AQ$1006,0)), HYPERLINK("#",""), HYPERLINK(CONCATENATE("#metadata!", ADDRESS(INDEX($W$2:$W$1001,MATCH(ROWS($U$2:U610),$U$2:$U$1001,0),0), INDEX($AB$1004:$AQ$1004,1,MATCH(COLUMNS($AB$1006:AE1006),$AB$1006:$AQ$1006,0)))),"Fix")))</f>
        <v>0</v>
      </c>
      <c r="F610" s="4">
        <f>IF(OR(INDEX($V$2:$V$1001,MATCH(ROWS($U$2:U610),$U$2:$U$1001,0),1)&gt;=100000,INDEX($AB$1005:$AQ$1005,1,MATCH(COLUMNS($AB$1006:AF1006),$AB$1006:$AQ$1006,0))&gt;=100000), " ",IF(INDEX($AB$2:$AQ$1001,MATCH(ROWS($U$2:U610),$U$2:$U$1001,0),MATCH(COLUMNS($AB$1006:AF1006),$AB$1006:$AQ$1006,0)), HYPERLINK("#",""), HYPERLINK(CONCATENATE("#metadata!", ADDRESS(INDEX($W$2:$W$1001,MATCH(ROWS($U$2:U610),$U$2:$U$1001,0),0), INDEX($AB$1004:$AQ$1004,1,MATCH(COLUMNS($AB$1006:AF1006),$AB$1006:$AQ$1006,0)))),"Fix")))</f>
        <v>0</v>
      </c>
      <c r="G610" s="4">
        <f>IF(OR(INDEX($V$2:$V$1001,MATCH(ROWS($U$2:U610),$U$2:$U$1001,0),1)&gt;=100000,INDEX($AB$1005:$AQ$1005,1,MATCH(COLUMNS($AB$1006:AG1006),$AB$1006:$AQ$1006,0))&gt;=100000), " ",IF(INDEX($AB$2:$AQ$1001,MATCH(ROWS($U$2:U610),$U$2:$U$1001,0),MATCH(COLUMNS($AB$1006:AG1006),$AB$1006:$AQ$1006,0)), HYPERLINK("#",""), HYPERLINK(CONCATENATE("#metadata!", ADDRESS(INDEX($W$2:$W$1001,MATCH(ROWS($U$2:U610),$U$2:$U$1001,0),0), INDEX($AB$1004:$AQ$1004,1,MATCH(COLUMNS($AB$1006:AG1006),$AB$1006:$AQ$1006,0)))),"Fix")))</f>
        <v>0</v>
      </c>
      <c r="H610" s="4">
        <f>IF(OR(INDEX($V$2:$V$1001,MATCH(ROWS($U$2:U610),$U$2:$U$1001,0),1)&gt;=100000,INDEX($AB$1005:$AQ$1005,1,MATCH(COLUMNS($AB$1006:AH1006),$AB$1006:$AQ$1006,0))&gt;=100000), " ",IF(INDEX($AB$2:$AQ$1001,MATCH(ROWS($U$2:U610),$U$2:$U$1001,0),MATCH(COLUMNS($AB$1006:AH1006),$AB$1006:$AQ$1006,0)), HYPERLINK("#",""), HYPERLINK(CONCATENATE("#metadata!", ADDRESS(INDEX($W$2:$W$1001,MATCH(ROWS($U$2:U610),$U$2:$U$1001,0),0), INDEX($AB$1004:$AQ$1004,1,MATCH(COLUMNS($AB$1006:AH1006),$AB$1006:$AQ$1006,0)))),"Fix")))</f>
        <v>0</v>
      </c>
      <c r="I610" s="4">
        <f>IF(OR(INDEX($V$2:$V$1001,MATCH(ROWS($U$2:U610),$U$2:$U$1001,0),1)&gt;=100000,INDEX($AB$1005:$AQ$1005,1,MATCH(COLUMNS($AB$1006:AI1006),$AB$1006:$AQ$1006,0))&gt;=100000), " ",IF(INDEX($AB$2:$AQ$1001,MATCH(ROWS($U$2:U610),$U$2:$U$1001,0),MATCH(COLUMNS($AB$1006:AI1006),$AB$1006:$AQ$1006,0)), HYPERLINK("#",""), HYPERLINK(CONCATENATE("#metadata!", ADDRESS(INDEX($W$2:$W$1001,MATCH(ROWS($U$2:U610),$U$2:$U$1001,0),0), INDEX($AB$1004:$AQ$1004,1,MATCH(COLUMNS($AB$1006:AI1006),$AB$1006:$AQ$1006,0)))),"Fix")))</f>
        <v>0</v>
      </c>
      <c r="J610" s="4">
        <f>IF(OR(INDEX($V$2:$V$1001,MATCH(ROWS($U$2:U610),$U$2:$U$1001,0),1)&gt;=100000,INDEX($AB$1005:$AQ$1005,1,MATCH(COLUMNS($AB$1006:AJ1006),$AB$1006:$AQ$1006,0))&gt;=100000), " ",IF(INDEX($AB$2:$AQ$1001,MATCH(ROWS($U$2:U610),$U$2:$U$1001,0),MATCH(COLUMNS($AB$1006:AJ1006),$AB$1006:$AQ$1006,0)), HYPERLINK("#",""), HYPERLINK(CONCATENATE("#metadata!", ADDRESS(INDEX($W$2:$W$1001,MATCH(ROWS($U$2:U610),$U$2:$U$1001,0),0), INDEX($AB$1004:$AQ$1004,1,MATCH(COLUMNS($AB$1006:AJ1006),$AB$1006:$AQ$1006,0)))),"Fix")))</f>
        <v>0</v>
      </c>
      <c r="K610" s="4">
        <f>IF(OR(INDEX($V$2:$V$1001,MATCH(ROWS($U$2:U610),$U$2:$U$1001,0),1)&gt;=100000,INDEX($AB$1005:$AQ$1005,1,MATCH(COLUMNS($AB$1006:AK1006),$AB$1006:$AQ$1006,0))&gt;=100000), " ",IF(INDEX($AB$2:$AQ$1001,MATCH(ROWS($U$2:U610),$U$2:$U$1001,0),MATCH(COLUMNS($AB$1006:AK1006),$AB$1006:$AQ$1006,0)), HYPERLINK("#",""), HYPERLINK(CONCATENATE("#metadata!", ADDRESS(INDEX($W$2:$W$1001,MATCH(ROWS($U$2:U610),$U$2:$U$1001,0),0), INDEX($AB$1004:$AQ$1004,1,MATCH(COLUMNS($AB$1006:AK1006),$AB$1006:$AQ$1006,0)))),"Fix")))</f>
        <v>0</v>
      </c>
      <c r="L610" s="4">
        <f>IF(OR(INDEX($V$2:$V$1001,MATCH(ROWS($U$2:U610),$U$2:$U$1001,0),1)&gt;=100000,INDEX($AB$1005:$AQ$1005,1,MATCH(COLUMNS($AB$1006:AL1006),$AB$1006:$AQ$1006,0))&gt;=100000), " ",IF(INDEX($AB$2:$AQ$1001,MATCH(ROWS($U$2:U610),$U$2:$U$1001,0),MATCH(COLUMNS($AB$1006:AL1006),$AB$1006:$AQ$1006,0)), HYPERLINK("#",""), HYPERLINK(CONCATENATE("#metadata!", ADDRESS(INDEX($W$2:$W$1001,MATCH(ROWS($U$2:U610),$U$2:$U$1001,0),0), INDEX($AB$1004:$AQ$1004,1,MATCH(COLUMNS($AB$1006:AL1006),$AB$1006:$AQ$1006,0)))),"Fix")))</f>
        <v>0</v>
      </c>
      <c r="M610" s="4">
        <f>IF(OR(INDEX($V$2:$V$1001,MATCH(ROWS($U$2:U610),$U$2:$U$1001,0),1)&gt;=100000,INDEX($AB$1005:$AQ$1005,1,MATCH(COLUMNS($AB$1006:AM1006),$AB$1006:$AQ$1006,0))&gt;=100000), " ",IF(INDEX($AB$2:$AQ$1001,MATCH(ROWS($U$2:U610),$U$2:$U$1001,0),MATCH(COLUMNS($AB$1006:AM1006),$AB$1006:$AQ$1006,0)), HYPERLINK("#",""), HYPERLINK(CONCATENATE("#metadata!", ADDRESS(INDEX($W$2:$W$1001,MATCH(ROWS($U$2:U610),$U$2:$U$1001,0),0), INDEX($AB$1004:$AQ$1004,1,MATCH(COLUMNS($AB$1006:AM1006),$AB$1006:$AQ$1006,0)))),"Fix")))</f>
        <v>0</v>
      </c>
      <c r="N610" s="4">
        <f>IF(OR(INDEX($V$2:$V$1001,MATCH(ROWS($U$2:U610),$U$2:$U$1001,0),1)&gt;=100000,INDEX($AB$1005:$AQ$1005,1,MATCH(COLUMNS($AB$1006:AN1006),$AB$1006:$AQ$1006,0))&gt;=100000), " ",IF(INDEX($AB$2:$AQ$1001,MATCH(ROWS($U$2:U610),$U$2:$U$1001,0),MATCH(COLUMNS($AB$1006:AN1006),$AB$1006:$AQ$1006,0)), HYPERLINK("#",""), HYPERLINK(CONCATENATE("#metadata!", ADDRESS(INDEX($W$2:$W$1001,MATCH(ROWS($U$2:U610),$U$2:$U$1001,0),0), INDEX($AB$1004:$AQ$1004,1,MATCH(COLUMNS($AB$1006:AN1006),$AB$1006:$AQ$1006,0)))),"Fix")))</f>
        <v>0</v>
      </c>
      <c r="O610" s="4">
        <f>IF(OR(INDEX($V$2:$V$1001,MATCH(ROWS($U$2:U610),$U$2:$U$1001,0),1)&gt;=100000,INDEX($AB$1005:$AQ$1005,1,MATCH(COLUMNS($AB$1006:AO1006),$AB$1006:$AQ$1006,0))&gt;=100000), " ",IF(INDEX($AB$2:$AQ$1001,MATCH(ROWS($U$2:U610),$U$2:$U$1001,0),MATCH(COLUMNS($AB$1006:AO1006),$AB$1006:$AQ$1006,0)), HYPERLINK("#",""), HYPERLINK(CONCATENATE("#metadata!", ADDRESS(INDEX($W$2:$W$1001,MATCH(ROWS($U$2:U610),$U$2:$U$1001,0),0), INDEX($AB$1004:$AQ$1004,1,MATCH(COLUMNS($AB$1006:AO1006),$AB$1006:$AQ$1006,0)))),"Fix")))</f>
        <v>0</v>
      </c>
      <c r="P610" s="4">
        <f>IF(OR(INDEX($V$2:$V$1001,MATCH(ROWS($U$2:U610),$U$2:$U$1001,0),1)&gt;=100000,INDEX($AB$1005:$AQ$1005,1,MATCH(COLUMNS($AB$1006:AP1006),$AB$1006:$AQ$1006,0))&gt;=100000), " ",IF(INDEX($AB$2:$AQ$1001,MATCH(ROWS($U$2:U610),$U$2:$U$1001,0),MATCH(COLUMNS($AB$1006:AP1006),$AB$1006:$AQ$1006,0)), HYPERLINK("#",""), HYPERLINK(CONCATENATE("#metadata!", ADDRESS(INDEX($W$2:$W$1001,MATCH(ROWS($U$2:U610),$U$2:$U$1001,0),0), INDEX($AB$1004:$AQ$1004,1,MATCH(COLUMNS($AB$1006:AP1006),$AB$1006:$AQ$1006,0)))),"Fix")))</f>
        <v>0</v>
      </c>
      <c r="Q610" s="4">
        <f>IF(OR(INDEX($V$2:$V$1001,MATCH(ROWS($U$2:U610),$U$2:$U$1001,0),1)&gt;=100000,INDEX($AB$1005:$AQ$1005,1,MATCH(COLUMNS($AB$1006:AQ1006),$AB$1006:$AQ$1006,0))&gt;=100000), " ",IF(INDEX($AB$2:$AQ$1001,MATCH(ROWS($U$2:U610),$U$2:$U$1001,0),MATCH(COLUMNS($AB$1006:AQ1006),$AB$1006:$AQ$1006,0)), HYPERLINK("#",""), HYPERLINK(CONCATENATE("#metadata!", ADDRESS(INDEX($W$2:$W$1001,MATCH(ROWS($U$2:U610),$U$2:$U$1001,0),0), INDEX($AB$1004:$AQ$1004,1,MATCH(COLUMNS($AB$1006:AQ1006),$AB$1006:$AQ$1006,0)))),"Fix")))</f>
        <v>0</v>
      </c>
      <c r="U610">
        <v>0</v>
      </c>
      <c r="V610">
        <v>0</v>
      </c>
      <c r="W610">
        <v>0</v>
      </c>
      <c r="X610">
        <f>IF(Y610,TRUE,AND(AB610:AQ610))</f>
        <v>0</v>
      </c>
      <c r="Y610">
        <f>COUNTBLANK(metadata!B610:Q610)=COLUMNS(metadata!B610:Q610)</f>
        <v>0</v>
      </c>
      <c r="Z610">
        <v>0</v>
      </c>
      <c r="AB610">
        <f>AND(IF(metadata!B610="",FALSE,TRUE),COUNTIF(metadata!B:B, metadata!B610) = 1,NOT(ISERROR(SUMPRODUCT(SEARCH(MID(metadata!B610,ROW(INDIRECT("1:"&amp;LEN(metadata!B610))), 1),"0123456789abcdefghijklmnopqrstuvwxyzABCDEFGHIJKLMNOPQRSTUVWXYZ.")))))</f>
        <v>0</v>
      </c>
      <c r="AC610">
        <f>OR(AND(IF(metadata!C610="",FALSE,TRUE),OR(exact(metadata!C610,"missing: not collected"),exact(metadata!C610,"missing: not provided"),exact(metadata!C610,"missing: restricted access"))),AND(IF(metadata!C610="",FALSE,TRUE),AND(AND(IFERROR(INT(LEFT(metadata!C610,4))&gt;1900,FALSE),IFERROR(INT(LEFT(metadata!C610,4))&lt;=YEAR(NOW()),FALSE)), OR(MID(metadata!C610,5,1)="", AND(AND(MID(metadata!C610,5,1)="-",IFERROR(INT(MID(metadata!C610,6,1))&gt;=0,FALSE),IFERROR(INT(MID(metadata!C610,6,1))&lt;=1,FALSE),NOT(MID(metadata!C610,7,1)=""),IFERROR(INT(MID(metadata!C610,6,2))&gt;=1,FALSE),IFERROR(INT(MID(metadata!C610,6,2))&lt;=12,FALSE)), OR(MID(metadata!C610,8,1)="", AND(AND(MID(metadata!C610,8,1)="-",IFERROR(INT(MID(metadata!C610,9,1))&gt;=0,FALSE),IFERROR(INT(MID(metadata!C610,9,1))&lt;=3,FALSE),NOT(MID(metadata!C610,10,1)=""),IFERROR(INT(MID(metadata!C610,9,2))&gt;=1,FALSE),IFERROR(INT(MID(metadata!C610,9,2))&lt;=31,FALSE)), OR(MID(metadata!C610,11,1)="", AND(AND(MID(metadata!C610,11,1)=" ",IFERROR(INT(MID(metadata!C610,12,1))&gt;=0,FALSE),IFERROR(INT(MID(metadata!C610,12,1))&lt;=2,FALSE),NOT(MID(metadata!C610,13,1)=""),IFERROR(INT(MID(metadata!C610,12,2))&gt;=0,FALSE),IFERROR(INT(MID(metadata!C610,12,2))&lt;=23,FALSE)), OR(MID(metadata!C610,14,1)="", AND(AND(MID(metadata!C610,14,1)=":",IFERROR(INT(MID(metadata!C610,15,1))&gt;=0,FALSE),IFERROR(INT(MID(metadata!C610,15,1))&lt;=5,FALSE),NOT(MID(metadata!C610,16,1)=""),IFERROR(INT(MID(metadata!C610,15,2))&gt;=0,FALSE),IFERROR(INT(MID(metadata!C610,15,2))&lt;=59,FALSE)), OR(MID(metadata!C610,17,1)="", AND(AND(MID(metadata!C610,17,1)=":",IFERROR(INT(MID(metadata!C610,18,1))&gt;=0,FALSE),IFERROR(INT(MID(metadata!C610,18,1))&lt;=5,FALSE),NOT(MID(metadata!C610,19,1)=""),IFERROR(INT(MID(metadata!C610,18,2))&gt;=0,FALSE),IFERROR(INT(MID(metadata!C610,18,2))&lt;=59,FALSE)), LEN(metadata!C610)&lt;=19)))))))))))))</f>
        <v>0</v>
      </c>
      <c r="AD610">
        <f>IF(metadata!D610="",FALSE,TRUE)</f>
        <v>0</v>
      </c>
      <c r="AE610">
        <f>OR(AND(IF(metadata!E610="",FALSE,TRUE),OR(exact(metadata!E610,"missing: not collected"),exact(metadata!E610,"missing: not provided"))),AND(IF(metadata!E610="",FALSE,TRUE),OR(exact(metadata!E610,"TRUE"),exact(metadata!E610,"FALSE"))))</f>
        <v>0</v>
      </c>
      <c r="AF610">
        <f>IF(metadata!F610="",FALSE,TRUE)</f>
        <v>0</v>
      </c>
      <c r="AG610">
        <f>IF(metadata!G610="",FALSE,TRUE)</f>
        <v>0</v>
      </c>
      <c r="AH610">
        <f>IF(metadata!H610="",FALSE,TRUE)</f>
        <v>0</v>
      </c>
      <c r="AI610">
        <f>OR(AND(IF(metadata!I610="",FALSE,TRUE),OR(exact(metadata!I610,"missing: not collected"),exact(metadata!I610,"missing: not provided"),exact(metadata!I610,"missing: restricted access"))),AND(IF(metadata!I610="",FALSE,TRUE),OR(exact(metadata!I610,"air"),exact(metadata!I610,"built environment"),exact(metadata!I610,"host-associated"),exact(metadata!I610,"human-associated"),exact(metadata!I610,"human-skin"),exact(metadata!I610,"human-oral"),exact(metadata!I610,"human-gut"),exact(metadata!I610,"human-vaginal"),exact(metadata!I610,"microbial mat/biofilm"),exact(metadata!I610,"misc environment"),exact(metadata!I610,"plant-associated"),exact(metadata!I610,"sediment"),exact(metadata!I610,"soil"),exact(metadata!I610,"wastewater/sludge"),exact(metadata!I610,"water"))))</f>
        <v>0</v>
      </c>
      <c r="AJ610">
        <f>IF(metadata!J610="",FALSE,TRUE)</f>
        <v>0</v>
      </c>
      <c r="AK610">
        <f>OR(AND(IF(metadata!K610="",FALSE,TRUE),OR(exact(metadata!K610,"missing: not collected"),exact(metadata!K610,"missing: not provided"),exact(metadata!K610,"missing: restricted access"))),AND(IF(metadata!K610="",FALSE,ISNUMBER(VALUE(metadata!K610))),metadata!K610&gt;=-90.00,metadata!K610&lt;=90.00))</f>
        <v>0</v>
      </c>
      <c r="AL610">
        <f>OR(AND(IF(metadata!L610="",FALSE,TRUE),OR(exact(metadata!L610,"missing: not collected"),exact(metadata!L610,"missing: not provided"),exact(metadata!L610,"missing: restricted access"))),AND(IF(metadata!L610="",FALSE,ISNUMBER(VALUE(metadata!L610))),metadata!L610&gt;=-180.00,metadata!L610&lt;=180.00))</f>
        <v>0</v>
      </c>
      <c r="AM610">
        <f>IF(metadata!M610="",FALSE,TRUE)</f>
        <v>0</v>
      </c>
      <c r="AN610">
        <f>OR(AND(IF(metadata!N610="",FALSE,TRUE),OR(exact(metadata!N610,"missing: not collected"),exact(metadata!N610,"missing: not provided"),exact(metadata!N610,"missing: restricted access"))),AND(IF(metadata!N610="",FALSE,TRUE),OR(exact(metadata!N610,"TRUE"),exact(metadata!N610,"FALSE"))))</f>
        <v>0</v>
      </c>
      <c r="AO610">
        <f>IF(metadata!O610="",FALSE,TRUE)</f>
        <v>0</v>
      </c>
      <c r="AP610">
        <f>OR(AND(IF(metadata!P610="",FALSE,TRUE),OR(exact(metadata!P610,"missing: not collected"),exact(metadata!P610,"missing: not provided"))),AND(IF(metadata!P610="",FALSE,IF(ISERROR(INT(metadata!P610)),FALSE,INT(metadata!P610)=metadata!P610)),metadata!P610&gt;0))</f>
        <v>0</v>
      </c>
      <c r="AQ610">
        <f>IF(metadata!Q610="",FALSE,TRUE)</f>
        <v>0</v>
      </c>
    </row>
    <row r="611" spans="1:43">
      <c r="A611" s="5">
        <f>IF(B611=" "," ",HYPERLINK(CONCATENATE("#metadata!",ADDRESS(INDEX($W$2:$W$1001,MATCH(ROWS($U$2:U611),$U$2:$U$1001,0),0),1)),INDEX($Z$2:$Z$1001,MATCH(ROWS($U$2:U611),$U$2:$U$1001,0),0)))</f>
        <v>0</v>
      </c>
      <c r="B611" s="4">
        <f>IF(OR(INDEX($V$2:$V$1001,MATCH(ROWS($U$2:U611),$U$2:$U$1001,0),1)&gt;=100000,INDEX($AB$1005:$AQ$1005,1,MATCH(COLUMNS($AB$1006:AB1006),$AB$1006:$AQ$1006,0))&gt;=100000), " ",IF(INDEX($AB$2:$AQ$1001,MATCH(ROWS($U$2:U611),$U$2:$U$1001,0),MATCH(COLUMNS($AB$1006:AB1006),$AB$1006:$AQ$1006,0)), HYPERLINK("#",""), HYPERLINK(CONCATENATE("#metadata!", ADDRESS(INDEX($W$2:$W$1001,MATCH(ROWS($U$2:U611),$U$2:$U$1001,0),0), INDEX($AB$1004:$AQ$1004,1,MATCH(COLUMNS($AB$1006:AB1006),$AB$1006:$AQ$1006,0)))),"Fix")))</f>
        <v>0</v>
      </c>
      <c r="C611" s="4">
        <f>IF(OR(INDEX($V$2:$V$1001,MATCH(ROWS($U$2:U611),$U$2:$U$1001,0),1)&gt;=100000,INDEX($AB$1005:$AQ$1005,1,MATCH(COLUMNS($AB$1006:AC1006),$AB$1006:$AQ$1006,0))&gt;=100000), " ",IF(INDEX($AB$2:$AQ$1001,MATCH(ROWS($U$2:U611),$U$2:$U$1001,0),MATCH(COLUMNS($AB$1006:AC1006),$AB$1006:$AQ$1006,0)), HYPERLINK("#",""), HYPERLINK(CONCATENATE("#metadata!", ADDRESS(INDEX($W$2:$W$1001,MATCH(ROWS($U$2:U611),$U$2:$U$1001,0),0), INDEX($AB$1004:$AQ$1004,1,MATCH(COLUMNS($AB$1006:AC1006),$AB$1006:$AQ$1006,0)))),"Fix")))</f>
        <v>0</v>
      </c>
      <c r="D611" s="4">
        <f>IF(OR(INDEX($V$2:$V$1001,MATCH(ROWS($U$2:U611),$U$2:$U$1001,0),1)&gt;=100000,INDEX($AB$1005:$AQ$1005,1,MATCH(COLUMNS($AB$1006:AD1006),$AB$1006:$AQ$1006,0))&gt;=100000), " ",IF(INDEX($AB$2:$AQ$1001,MATCH(ROWS($U$2:U611),$U$2:$U$1001,0),MATCH(COLUMNS($AB$1006:AD1006),$AB$1006:$AQ$1006,0)), HYPERLINK("#",""), HYPERLINK(CONCATENATE("#metadata!", ADDRESS(INDEX($W$2:$W$1001,MATCH(ROWS($U$2:U611),$U$2:$U$1001,0),0), INDEX($AB$1004:$AQ$1004,1,MATCH(COLUMNS($AB$1006:AD1006),$AB$1006:$AQ$1006,0)))),"Fix")))</f>
        <v>0</v>
      </c>
      <c r="E611" s="4">
        <f>IF(OR(INDEX($V$2:$V$1001,MATCH(ROWS($U$2:U611),$U$2:$U$1001,0),1)&gt;=100000,INDEX($AB$1005:$AQ$1005,1,MATCH(COLUMNS($AB$1006:AE1006),$AB$1006:$AQ$1006,0))&gt;=100000), " ",IF(INDEX($AB$2:$AQ$1001,MATCH(ROWS($U$2:U611),$U$2:$U$1001,0),MATCH(COLUMNS($AB$1006:AE1006),$AB$1006:$AQ$1006,0)), HYPERLINK("#",""), HYPERLINK(CONCATENATE("#metadata!", ADDRESS(INDEX($W$2:$W$1001,MATCH(ROWS($U$2:U611),$U$2:$U$1001,0),0), INDEX($AB$1004:$AQ$1004,1,MATCH(COLUMNS($AB$1006:AE1006),$AB$1006:$AQ$1006,0)))),"Fix")))</f>
        <v>0</v>
      </c>
      <c r="F611" s="4">
        <f>IF(OR(INDEX($V$2:$V$1001,MATCH(ROWS($U$2:U611),$U$2:$U$1001,0),1)&gt;=100000,INDEX($AB$1005:$AQ$1005,1,MATCH(COLUMNS($AB$1006:AF1006),$AB$1006:$AQ$1006,0))&gt;=100000), " ",IF(INDEX($AB$2:$AQ$1001,MATCH(ROWS($U$2:U611),$U$2:$U$1001,0),MATCH(COLUMNS($AB$1006:AF1006),$AB$1006:$AQ$1006,0)), HYPERLINK("#",""), HYPERLINK(CONCATENATE("#metadata!", ADDRESS(INDEX($W$2:$W$1001,MATCH(ROWS($U$2:U611),$U$2:$U$1001,0),0), INDEX($AB$1004:$AQ$1004,1,MATCH(COLUMNS($AB$1006:AF1006),$AB$1006:$AQ$1006,0)))),"Fix")))</f>
        <v>0</v>
      </c>
      <c r="G611" s="4">
        <f>IF(OR(INDEX($V$2:$V$1001,MATCH(ROWS($U$2:U611),$U$2:$U$1001,0),1)&gt;=100000,INDEX($AB$1005:$AQ$1005,1,MATCH(COLUMNS($AB$1006:AG1006),$AB$1006:$AQ$1006,0))&gt;=100000), " ",IF(INDEX($AB$2:$AQ$1001,MATCH(ROWS($U$2:U611),$U$2:$U$1001,0),MATCH(COLUMNS($AB$1006:AG1006),$AB$1006:$AQ$1006,0)), HYPERLINK("#",""), HYPERLINK(CONCATENATE("#metadata!", ADDRESS(INDEX($W$2:$W$1001,MATCH(ROWS($U$2:U611),$U$2:$U$1001,0),0), INDEX($AB$1004:$AQ$1004,1,MATCH(COLUMNS($AB$1006:AG1006),$AB$1006:$AQ$1006,0)))),"Fix")))</f>
        <v>0</v>
      </c>
      <c r="H611" s="4">
        <f>IF(OR(INDEX($V$2:$V$1001,MATCH(ROWS($U$2:U611),$U$2:$U$1001,0),1)&gt;=100000,INDEX($AB$1005:$AQ$1005,1,MATCH(COLUMNS($AB$1006:AH1006),$AB$1006:$AQ$1006,0))&gt;=100000), " ",IF(INDEX($AB$2:$AQ$1001,MATCH(ROWS($U$2:U611),$U$2:$U$1001,0),MATCH(COLUMNS($AB$1006:AH1006),$AB$1006:$AQ$1006,0)), HYPERLINK("#",""), HYPERLINK(CONCATENATE("#metadata!", ADDRESS(INDEX($W$2:$W$1001,MATCH(ROWS($U$2:U611),$U$2:$U$1001,0),0), INDEX($AB$1004:$AQ$1004,1,MATCH(COLUMNS($AB$1006:AH1006),$AB$1006:$AQ$1006,0)))),"Fix")))</f>
        <v>0</v>
      </c>
      <c r="I611" s="4">
        <f>IF(OR(INDEX($V$2:$V$1001,MATCH(ROWS($U$2:U611),$U$2:$U$1001,0),1)&gt;=100000,INDEX($AB$1005:$AQ$1005,1,MATCH(COLUMNS($AB$1006:AI1006),$AB$1006:$AQ$1006,0))&gt;=100000), " ",IF(INDEX($AB$2:$AQ$1001,MATCH(ROWS($U$2:U611),$U$2:$U$1001,0),MATCH(COLUMNS($AB$1006:AI1006),$AB$1006:$AQ$1006,0)), HYPERLINK("#",""), HYPERLINK(CONCATENATE("#metadata!", ADDRESS(INDEX($W$2:$W$1001,MATCH(ROWS($U$2:U611),$U$2:$U$1001,0),0), INDEX($AB$1004:$AQ$1004,1,MATCH(COLUMNS($AB$1006:AI1006),$AB$1006:$AQ$1006,0)))),"Fix")))</f>
        <v>0</v>
      </c>
      <c r="J611" s="4">
        <f>IF(OR(INDEX($V$2:$V$1001,MATCH(ROWS($U$2:U611),$U$2:$U$1001,0),1)&gt;=100000,INDEX($AB$1005:$AQ$1005,1,MATCH(COLUMNS($AB$1006:AJ1006),$AB$1006:$AQ$1006,0))&gt;=100000), " ",IF(INDEX($AB$2:$AQ$1001,MATCH(ROWS($U$2:U611),$U$2:$U$1001,0),MATCH(COLUMNS($AB$1006:AJ1006),$AB$1006:$AQ$1006,0)), HYPERLINK("#",""), HYPERLINK(CONCATENATE("#metadata!", ADDRESS(INDEX($W$2:$W$1001,MATCH(ROWS($U$2:U611),$U$2:$U$1001,0),0), INDEX($AB$1004:$AQ$1004,1,MATCH(COLUMNS($AB$1006:AJ1006),$AB$1006:$AQ$1006,0)))),"Fix")))</f>
        <v>0</v>
      </c>
      <c r="K611" s="4">
        <f>IF(OR(INDEX($V$2:$V$1001,MATCH(ROWS($U$2:U611),$U$2:$U$1001,0),1)&gt;=100000,INDEX($AB$1005:$AQ$1005,1,MATCH(COLUMNS($AB$1006:AK1006),$AB$1006:$AQ$1006,0))&gt;=100000), " ",IF(INDEX($AB$2:$AQ$1001,MATCH(ROWS($U$2:U611),$U$2:$U$1001,0),MATCH(COLUMNS($AB$1006:AK1006),$AB$1006:$AQ$1006,0)), HYPERLINK("#",""), HYPERLINK(CONCATENATE("#metadata!", ADDRESS(INDEX($W$2:$W$1001,MATCH(ROWS($U$2:U611),$U$2:$U$1001,0),0), INDEX($AB$1004:$AQ$1004,1,MATCH(COLUMNS($AB$1006:AK1006),$AB$1006:$AQ$1006,0)))),"Fix")))</f>
        <v>0</v>
      </c>
      <c r="L611" s="4">
        <f>IF(OR(INDEX($V$2:$V$1001,MATCH(ROWS($U$2:U611),$U$2:$U$1001,0),1)&gt;=100000,INDEX($AB$1005:$AQ$1005,1,MATCH(COLUMNS($AB$1006:AL1006),$AB$1006:$AQ$1006,0))&gt;=100000), " ",IF(INDEX($AB$2:$AQ$1001,MATCH(ROWS($U$2:U611),$U$2:$U$1001,0),MATCH(COLUMNS($AB$1006:AL1006),$AB$1006:$AQ$1006,0)), HYPERLINK("#",""), HYPERLINK(CONCATENATE("#metadata!", ADDRESS(INDEX($W$2:$W$1001,MATCH(ROWS($U$2:U611),$U$2:$U$1001,0),0), INDEX($AB$1004:$AQ$1004,1,MATCH(COLUMNS($AB$1006:AL1006),$AB$1006:$AQ$1006,0)))),"Fix")))</f>
        <v>0</v>
      </c>
      <c r="M611" s="4">
        <f>IF(OR(INDEX($V$2:$V$1001,MATCH(ROWS($U$2:U611),$U$2:$U$1001,0),1)&gt;=100000,INDEX($AB$1005:$AQ$1005,1,MATCH(COLUMNS($AB$1006:AM1006),$AB$1006:$AQ$1006,0))&gt;=100000), " ",IF(INDEX($AB$2:$AQ$1001,MATCH(ROWS($U$2:U611),$U$2:$U$1001,0),MATCH(COLUMNS($AB$1006:AM1006),$AB$1006:$AQ$1006,0)), HYPERLINK("#",""), HYPERLINK(CONCATENATE("#metadata!", ADDRESS(INDEX($W$2:$W$1001,MATCH(ROWS($U$2:U611),$U$2:$U$1001,0),0), INDEX($AB$1004:$AQ$1004,1,MATCH(COLUMNS($AB$1006:AM1006),$AB$1006:$AQ$1006,0)))),"Fix")))</f>
        <v>0</v>
      </c>
      <c r="N611" s="4">
        <f>IF(OR(INDEX($V$2:$V$1001,MATCH(ROWS($U$2:U611),$U$2:$U$1001,0),1)&gt;=100000,INDEX($AB$1005:$AQ$1005,1,MATCH(COLUMNS($AB$1006:AN1006),$AB$1006:$AQ$1006,0))&gt;=100000), " ",IF(INDEX($AB$2:$AQ$1001,MATCH(ROWS($U$2:U611),$U$2:$U$1001,0),MATCH(COLUMNS($AB$1006:AN1006),$AB$1006:$AQ$1006,0)), HYPERLINK("#",""), HYPERLINK(CONCATENATE("#metadata!", ADDRESS(INDEX($W$2:$W$1001,MATCH(ROWS($U$2:U611),$U$2:$U$1001,0),0), INDEX($AB$1004:$AQ$1004,1,MATCH(COLUMNS($AB$1006:AN1006),$AB$1006:$AQ$1006,0)))),"Fix")))</f>
        <v>0</v>
      </c>
      <c r="O611" s="4">
        <f>IF(OR(INDEX($V$2:$V$1001,MATCH(ROWS($U$2:U611),$U$2:$U$1001,0),1)&gt;=100000,INDEX($AB$1005:$AQ$1005,1,MATCH(COLUMNS($AB$1006:AO1006),$AB$1006:$AQ$1006,0))&gt;=100000), " ",IF(INDEX($AB$2:$AQ$1001,MATCH(ROWS($U$2:U611),$U$2:$U$1001,0),MATCH(COLUMNS($AB$1006:AO1006),$AB$1006:$AQ$1006,0)), HYPERLINK("#",""), HYPERLINK(CONCATENATE("#metadata!", ADDRESS(INDEX($W$2:$W$1001,MATCH(ROWS($U$2:U611),$U$2:$U$1001,0),0), INDEX($AB$1004:$AQ$1004,1,MATCH(COLUMNS($AB$1006:AO1006),$AB$1006:$AQ$1006,0)))),"Fix")))</f>
        <v>0</v>
      </c>
      <c r="P611" s="4">
        <f>IF(OR(INDEX($V$2:$V$1001,MATCH(ROWS($U$2:U611),$U$2:$U$1001,0),1)&gt;=100000,INDEX($AB$1005:$AQ$1005,1,MATCH(COLUMNS($AB$1006:AP1006),$AB$1006:$AQ$1006,0))&gt;=100000), " ",IF(INDEX($AB$2:$AQ$1001,MATCH(ROWS($U$2:U611),$U$2:$U$1001,0),MATCH(COLUMNS($AB$1006:AP1006),$AB$1006:$AQ$1006,0)), HYPERLINK("#",""), HYPERLINK(CONCATENATE("#metadata!", ADDRESS(INDEX($W$2:$W$1001,MATCH(ROWS($U$2:U611),$U$2:$U$1001,0),0), INDEX($AB$1004:$AQ$1004,1,MATCH(COLUMNS($AB$1006:AP1006),$AB$1006:$AQ$1006,0)))),"Fix")))</f>
        <v>0</v>
      </c>
      <c r="Q611" s="4">
        <f>IF(OR(INDEX($V$2:$V$1001,MATCH(ROWS($U$2:U611),$U$2:$U$1001,0),1)&gt;=100000,INDEX($AB$1005:$AQ$1005,1,MATCH(COLUMNS($AB$1006:AQ1006),$AB$1006:$AQ$1006,0))&gt;=100000), " ",IF(INDEX($AB$2:$AQ$1001,MATCH(ROWS($U$2:U611),$U$2:$U$1001,0),MATCH(COLUMNS($AB$1006:AQ1006),$AB$1006:$AQ$1006,0)), HYPERLINK("#",""), HYPERLINK(CONCATENATE("#metadata!", ADDRESS(INDEX($W$2:$W$1001,MATCH(ROWS($U$2:U611),$U$2:$U$1001,0),0), INDEX($AB$1004:$AQ$1004,1,MATCH(COLUMNS($AB$1006:AQ1006),$AB$1006:$AQ$1006,0)))),"Fix")))</f>
        <v>0</v>
      </c>
      <c r="U611">
        <v>0</v>
      </c>
      <c r="V611">
        <v>0</v>
      </c>
      <c r="W611">
        <v>0</v>
      </c>
      <c r="X611">
        <f>IF(Y611,TRUE,AND(AB611:AQ611))</f>
        <v>0</v>
      </c>
      <c r="Y611">
        <f>COUNTBLANK(metadata!B611:Q611)=COLUMNS(metadata!B611:Q611)</f>
        <v>0</v>
      </c>
      <c r="Z611">
        <v>0</v>
      </c>
      <c r="AB611">
        <f>AND(IF(metadata!B611="",FALSE,TRUE),COUNTIF(metadata!B:B, metadata!B611) = 1,NOT(ISERROR(SUMPRODUCT(SEARCH(MID(metadata!B611,ROW(INDIRECT("1:"&amp;LEN(metadata!B611))), 1),"0123456789abcdefghijklmnopqrstuvwxyzABCDEFGHIJKLMNOPQRSTUVWXYZ.")))))</f>
        <v>0</v>
      </c>
      <c r="AC611">
        <f>OR(AND(IF(metadata!C611="",FALSE,TRUE),OR(exact(metadata!C611,"missing: not collected"),exact(metadata!C611,"missing: not provided"),exact(metadata!C611,"missing: restricted access"))),AND(IF(metadata!C611="",FALSE,TRUE),AND(AND(IFERROR(INT(LEFT(metadata!C611,4))&gt;1900,FALSE),IFERROR(INT(LEFT(metadata!C611,4))&lt;=YEAR(NOW()),FALSE)), OR(MID(metadata!C611,5,1)="", AND(AND(MID(metadata!C611,5,1)="-",IFERROR(INT(MID(metadata!C611,6,1))&gt;=0,FALSE),IFERROR(INT(MID(metadata!C611,6,1))&lt;=1,FALSE),NOT(MID(metadata!C611,7,1)=""),IFERROR(INT(MID(metadata!C611,6,2))&gt;=1,FALSE),IFERROR(INT(MID(metadata!C611,6,2))&lt;=12,FALSE)), OR(MID(metadata!C611,8,1)="", AND(AND(MID(metadata!C611,8,1)="-",IFERROR(INT(MID(metadata!C611,9,1))&gt;=0,FALSE),IFERROR(INT(MID(metadata!C611,9,1))&lt;=3,FALSE),NOT(MID(metadata!C611,10,1)=""),IFERROR(INT(MID(metadata!C611,9,2))&gt;=1,FALSE),IFERROR(INT(MID(metadata!C611,9,2))&lt;=31,FALSE)), OR(MID(metadata!C611,11,1)="", AND(AND(MID(metadata!C611,11,1)=" ",IFERROR(INT(MID(metadata!C611,12,1))&gt;=0,FALSE),IFERROR(INT(MID(metadata!C611,12,1))&lt;=2,FALSE),NOT(MID(metadata!C611,13,1)=""),IFERROR(INT(MID(metadata!C611,12,2))&gt;=0,FALSE),IFERROR(INT(MID(metadata!C611,12,2))&lt;=23,FALSE)), OR(MID(metadata!C611,14,1)="", AND(AND(MID(metadata!C611,14,1)=":",IFERROR(INT(MID(metadata!C611,15,1))&gt;=0,FALSE),IFERROR(INT(MID(metadata!C611,15,1))&lt;=5,FALSE),NOT(MID(metadata!C611,16,1)=""),IFERROR(INT(MID(metadata!C611,15,2))&gt;=0,FALSE),IFERROR(INT(MID(metadata!C611,15,2))&lt;=59,FALSE)), OR(MID(metadata!C611,17,1)="", AND(AND(MID(metadata!C611,17,1)=":",IFERROR(INT(MID(metadata!C611,18,1))&gt;=0,FALSE),IFERROR(INT(MID(metadata!C611,18,1))&lt;=5,FALSE),NOT(MID(metadata!C611,19,1)=""),IFERROR(INT(MID(metadata!C611,18,2))&gt;=0,FALSE),IFERROR(INT(MID(metadata!C611,18,2))&lt;=59,FALSE)), LEN(metadata!C611)&lt;=19)))))))))))))</f>
        <v>0</v>
      </c>
      <c r="AD611">
        <f>IF(metadata!D611="",FALSE,TRUE)</f>
        <v>0</v>
      </c>
      <c r="AE611">
        <f>OR(AND(IF(metadata!E611="",FALSE,TRUE),OR(exact(metadata!E611,"missing: not collected"),exact(metadata!E611,"missing: not provided"))),AND(IF(metadata!E611="",FALSE,TRUE),OR(exact(metadata!E611,"TRUE"),exact(metadata!E611,"FALSE"))))</f>
        <v>0</v>
      </c>
      <c r="AF611">
        <f>IF(metadata!F611="",FALSE,TRUE)</f>
        <v>0</v>
      </c>
      <c r="AG611">
        <f>IF(metadata!G611="",FALSE,TRUE)</f>
        <v>0</v>
      </c>
      <c r="AH611">
        <f>IF(metadata!H611="",FALSE,TRUE)</f>
        <v>0</v>
      </c>
      <c r="AI611">
        <f>OR(AND(IF(metadata!I611="",FALSE,TRUE),OR(exact(metadata!I611,"missing: not collected"),exact(metadata!I611,"missing: not provided"),exact(metadata!I611,"missing: restricted access"))),AND(IF(metadata!I611="",FALSE,TRUE),OR(exact(metadata!I611,"air"),exact(metadata!I611,"built environment"),exact(metadata!I611,"host-associated"),exact(metadata!I611,"human-associated"),exact(metadata!I611,"human-skin"),exact(metadata!I611,"human-oral"),exact(metadata!I611,"human-gut"),exact(metadata!I611,"human-vaginal"),exact(metadata!I611,"microbial mat/biofilm"),exact(metadata!I611,"misc environment"),exact(metadata!I611,"plant-associated"),exact(metadata!I611,"sediment"),exact(metadata!I611,"soil"),exact(metadata!I611,"wastewater/sludge"),exact(metadata!I611,"water"))))</f>
        <v>0</v>
      </c>
      <c r="AJ611">
        <f>IF(metadata!J611="",FALSE,TRUE)</f>
        <v>0</v>
      </c>
      <c r="AK611">
        <f>OR(AND(IF(metadata!K611="",FALSE,TRUE),OR(exact(metadata!K611,"missing: not collected"),exact(metadata!K611,"missing: not provided"),exact(metadata!K611,"missing: restricted access"))),AND(IF(metadata!K611="",FALSE,ISNUMBER(VALUE(metadata!K611))),metadata!K611&gt;=-90.00,metadata!K611&lt;=90.00))</f>
        <v>0</v>
      </c>
      <c r="AL611">
        <f>OR(AND(IF(metadata!L611="",FALSE,TRUE),OR(exact(metadata!L611,"missing: not collected"),exact(metadata!L611,"missing: not provided"),exact(metadata!L611,"missing: restricted access"))),AND(IF(metadata!L611="",FALSE,ISNUMBER(VALUE(metadata!L611))),metadata!L611&gt;=-180.00,metadata!L611&lt;=180.00))</f>
        <v>0</v>
      </c>
      <c r="AM611">
        <f>IF(metadata!M611="",FALSE,TRUE)</f>
        <v>0</v>
      </c>
      <c r="AN611">
        <f>OR(AND(IF(metadata!N611="",FALSE,TRUE),OR(exact(metadata!N611,"missing: not collected"),exact(metadata!N611,"missing: not provided"),exact(metadata!N611,"missing: restricted access"))),AND(IF(metadata!N611="",FALSE,TRUE),OR(exact(metadata!N611,"TRUE"),exact(metadata!N611,"FALSE"))))</f>
        <v>0</v>
      </c>
      <c r="AO611">
        <f>IF(metadata!O611="",FALSE,TRUE)</f>
        <v>0</v>
      </c>
      <c r="AP611">
        <f>OR(AND(IF(metadata!P611="",FALSE,TRUE),OR(exact(metadata!P611,"missing: not collected"),exact(metadata!P611,"missing: not provided"))),AND(IF(metadata!P611="",FALSE,IF(ISERROR(INT(metadata!P611)),FALSE,INT(metadata!P611)=metadata!P611)),metadata!P611&gt;0))</f>
        <v>0</v>
      </c>
      <c r="AQ611">
        <f>IF(metadata!Q611="",FALSE,TRUE)</f>
        <v>0</v>
      </c>
    </row>
    <row r="612" spans="1:43">
      <c r="A612" s="5">
        <f>IF(B612=" "," ",HYPERLINK(CONCATENATE("#metadata!",ADDRESS(INDEX($W$2:$W$1001,MATCH(ROWS($U$2:U612),$U$2:$U$1001,0),0),1)),INDEX($Z$2:$Z$1001,MATCH(ROWS($U$2:U612),$U$2:$U$1001,0),0)))</f>
        <v>0</v>
      </c>
      <c r="B612" s="4">
        <f>IF(OR(INDEX($V$2:$V$1001,MATCH(ROWS($U$2:U612),$U$2:$U$1001,0),1)&gt;=100000,INDEX($AB$1005:$AQ$1005,1,MATCH(COLUMNS($AB$1006:AB1006),$AB$1006:$AQ$1006,0))&gt;=100000), " ",IF(INDEX($AB$2:$AQ$1001,MATCH(ROWS($U$2:U612),$U$2:$U$1001,0),MATCH(COLUMNS($AB$1006:AB1006),$AB$1006:$AQ$1006,0)), HYPERLINK("#",""), HYPERLINK(CONCATENATE("#metadata!", ADDRESS(INDEX($W$2:$W$1001,MATCH(ROWS($U$2:U612),$U$2:$U$1001,0),0), INDEX($AB$1004:$AQ$1004,1,MATCH(COLUMNS($AB$1006:AB1006),$AB$1006:$AQ$1006,0)))),"Fix")))</f>
        <v>0</v>
      </c>
      <c r="C612" s="4">
        <f>IF(OR(INDEX($V$2:$V$1001,MATCH(ROWS($U$2:U612),$U$2:$U$1001,0),1)&gt;=100000,INDEX($AB$1005:$AQ$1005,1,MATCH(COLUMNS($AB$1006:AC1006),$AB$1006:$AQ$1006,0))&gt;=100000), " ",IF(INDEX($AB$2:$AQ$1001,MATCH(ROWS($U$2:U612),$U$2:$U$1001,0),MATCH(COLUMNS($AB$1006:AC1006),$AB$1006:$AQ$1006,0)), HYPERLINK("#",""), HYPERLINK(CONCATENATE("#metadata!", ADDRESS(INDEX($W$2:$W$1001,MATCH(ROWS($U$2:U612),$U$2:$U$1001,0),0), INDEX($AB$1004:$AQ$1004,1,MATCH(COLUMNS($AB$1006:AC1006),$AB$1006:$AQ$1006,0)))),"Fix")))</f>
        <v>0</v>
      </c>
      <c r="D612" s="4">
        <f>IF(OR(INDEX($V$2:$V$1001,MATCH(ROWS($U$2:U612),$U$2:$U$1001,0),1)&gt;=100000,INDEX($AB$1005:$AQ$1005,1,MATCH(COLUMNS($AB$1006:AD1006),$AB$1006:$AQ$1006,0))&gt;=100000), " ",IF(INDEX($AB$2:$AQ$1001,MATCH(ROWS($U$2:U612),$U$2:$U$1001,0),MATCH(COLUMNS($AB$1006:AD1006),$AB$1006:$AQ$1006,0)), HYPERLINK("#",""), HYPERLINK(CONCATENATE("#metadata!", ADDRESS(INDEX($W$2:$W$1001,MATCH(ROWS($U$2:U612),$U$2:$U$1001,0),0), INDEX($AB$1004:$AQ$1004,1,MATCH(COLUMNS($AB$1006:AD1006),$AB$1006:$AQ$1006,0)))),"Fix")))</f>
        <v>0</v>
      </c>
      <c r="E612" s="4">
        <f>IF(OR(INDEX($V$2:$V$1001,MATCH(ROWS($U$2:U612),$U$2:$U$1001,0),1)&gt;=100000,INDEX($AB$1005:$AQ$1005,1,MATCH(COLUMNS($AB$1006:AE1006),$AB$1006:$AQ$1006,0))&gt;=100000), " ",IF(INDEX($AB$2:$AQ$1001,MATCH(ROWS($U$2:U612),$U$2:$U$1001,0),MATCH(COLUMNS($AB$1006:AE1006),$AB$1006:$AQ$1006,0)), HYPERLINK("#",""), HYPERLINK(CONCATENATE("#metadata!", ADDRESS(INDEX($W$2:$W$1001,MATCH(ROWS($U$2:U612),$U$2:$U$1001,0),0), INDEX($AB$1004:$AQ$1004,1,MATCH(COLUMNS($AB$1006:AE1006),$AB$1006:$AQ$1006,0)))),"Fix")))</f>
        <v>0</v>
      </c>
      <c r="F612" s="4">
        <f>IF(OR(INDEX($V$2:$V$1001,MATCH(ROWS($U$2:U612),$U$2:$U$1001,0),1)&gt;=100000,INDEX($AB$1005:$AQ$1005,1,MATCH(COLUMNS($AB$1006:AF1006),$AB$1006:$AQ$1006,0))&gt;=100000), " ",IF(INDEX($AB$2:$AQ$1001,MATCH(ROWS($U$2:U612),$U$2:$U$1001,0),MATCH(COLUMNS($AB$1006:AF1006),$AB$1006:$AQ$1006,0)), HYPERLINK("#",""), HYPERLINK(CONCATENATE("#metadata!", ADDRESS(INDEX($W$2:$W$1001,MATCH(ROWS($U$2:U612),$U$2:$U$1001,0),0), INDEX($AB$1004:$AQ$1004,1,MATCH(COLUMNS($AB$1006:AF1006),$AB$1006:$AQ$1006,0)))),"Fix")))</f>
        <v>0</v>
      </c>
      <c r="G612" s="4">
        <f>IF(OR(INDEX($V$2:$V$1001,MATCH(ROWS($U$2:U612),$U$2:$U$1001,0),1)&gt;=100000,INDEX($AB$1005:$AQ$1005,1,MATCH(COLUMNS($AB$1006:AG1006),$AB$1006:$AQ$1006,0))&gt;=100000), " ",IF(INDEX($AB$2:$AQ$1001,MATCH(ROWS($U$2:U612),$U$2:$U$1001,0),MATCH(COLUMNS($AB$1006:AG1006),$AB$1006:$AQ$1006,0)), HYPERLINK("#",""), HYPERLINK(CONCATENATE("#metadata!", ADDRESS(INDEX($W$2:$W$1001,MATCH(ROWS($U$2:U612),$U$2:$U$1001,0),0), INDEX($AB$1004:$AQ$1004,1,MATCH(COLUMNS($AB$1006:AG1006),$AB$1006:$AQ$1006,0)))),"Fix")))</f>
        <v>0</v>
      </c>
      <c r="H612" s="4">
        <f>IF(OR(INDEX($V$2:$V$1001,MATCH(ROWS($U$2:U612),$U$2:$U$1001,0),1)&gt;=100000,INDEX($AB$1005:$AQ$1005,1,MATCH(COLUMNS($AB$1006:AH1006),$AB$1006:$AQ$1006,0))&gt;=100000), " ",IF(INDEX($AB$2:$AQ$1001,MATCH(ROWS($U$2:U612),$U$2:$U$1001,0),MATCH(COLUMNS($AB$1006:AH1006),$AB$1006:$AQ$1006,0)), HYPERLINK("#",""), HYPERLINK(CONCATENATE("#metadata!", ADDRESS(INDEX($W$2:$W$1001,MATCH(ROWS($U$2:U612),$U$2:$U$1001,0),0), INDEX($AB$1004:$AQ$1004,1,MATCH(COLUMNS($AB$1006:AH1006),$AB$1006:$AQ$1006,0)))),"Fix")))</f>
        <v>0</v>
      </c>
      <c r="I612" s="4">
        <f>IF(OR(INDEX($V$2:$V$1001,MATCH(ROWS($U$2:U612),$U$2:$U$1001,0),1)&gt;=100000,INDEX($AB$1005:$AQ$1005,1,MATCH(COLUMNS($AB$1006:AI1006),$AB$1006:$AQ$1006,0))&gt;=100000), " ",IF(INDEX($AB$2:$AQ$1001,MATCH(ROWS($U$2:U612),$U$2:$U$1001,0),MATCH(COLUMNS($AB$1006:AI1006),$AB$1006:$AQ$1006,0)), HYPERLINK("#",""), HYPERLINK(CONCATENATE("#metadata!", ADDRESS(INDEX($W$2:$W$1001,MATCH(ROWS($U$2:U612),$U$2:$U$1001,0),0), INDEX($AB$1004:$AQ$1004,1,MATCH(COLUMNS($AB$1006:AI1006),$AB$1006:$AQ$1006,0)))),"Fix")))</f>
        <v>0</v>
      </c>
      <c r="J612" s="4">
        <f>IF(OR(INDEX($V$2:$V$1001,MATCH(ROWS($U$2:U612),$U$2:$U$1001,0),1)&gt;=100000,INDEX($AB$1005:$AQ$1005,1,MATCH(COLUMNS($AB$1006:AJ1006),$AB$1006:$AQ$1006,0))&gt;=100000), " ",IF(INDEX($AB$2:$AQ$1001,MATCH(ROWS($U$2:U612),$U$2:$U$1001,0),MATCH(COLUMNS($AB$1006:AJ1006),$AB$1006:$AQ$1006,0)), HYPERLINK("#",""), HYPERLINK(CONCATENATE("#metadata!", ADDRESS(INDEX($W$2:$W$1001,MATCH(ROWS($U$2:U612),$U$2:$U$1001,0),0), INDEX($AB$1004:$AQ$1004,1,MATCH(COLUMNS($AB$1006:AJ1006),$AB$1006:$AQ$1006,0)))),"Fix")))</f>
        <v>0</v>
      </c>
      <c r="K612" s="4">
        <f>IF(OR(INDEX($V$2:$V$1001,MATCH(ROWS($U$2:U612),$U$2:$U$1001,0),1)&gt;=100000,INDEX($AB$1005:$AQ$1005,1,MATCH(COLUMNS($AB$1006:AK1006),$AB$1006:$AQ$1006,0))&gt;=100000), " ",IF(INDEX($AB$2:$AQ$1001,MATCH(ROWS($U$2:U612),$U$2:$U$1001,0),MATCH(COLUMNS($AB$1006:AK1006),$AB$1006:$AQ$1006,0)), HYPERLINK("#",""), HYPERLINK(CONCATENATE("#metadata!", ADDRESS(INDEX($W$2:$W$1001,MATCH(ROWS($U$2:U612),$U$2:$U$1001,0),0), INDEX($AB$1004:$AQ$1004,1,MATCH(COLUMNS($AB$1006:AK1006),$AB$1006:$AQ$1006,0)))),"Fix")))</f>
        <v>0</v>
      </c>
      <c r="L612" s="4">
        <f>IF(OR(INDEX($V$2:$V$1001,MATCH(ROWS($U$2:U612),$U$2:$U$1001,0),1)&gt;=100000,INDEX($AB$1005:$AQ$1005,1,MATCH(COLUMNS($AB$1006:AL1006),$AB$1006:$AQ$1006,0))&gt;=100000), " ",IF(INDEX($AB$2:$AQ$1001,MATCH(ROWS($U$2:U612),$U$2:$U$1001,0),MATCH(COLUMNS($AB$1006:AL1006),$AB$1006:$AQ$1006,0)), HYPERLINK("#",""), HYPERLINK(CONCATENATE("#metadata!", ADDRESS(INDEX($W$2:$W$1001,MATCH(ROWS($U$2:U612),$U$2:$U$1001,0),0), INDEX($AB$1004:$AQ$1004,1,MATCH(COLUMNS($AB$1006:AL1006),$AB$1006:$AQ$1006,0)))),"Fix")))</f>
        <v>0</v>
      </c>
      <c r="M612" s="4">
        <f>IF(OR(INDEX($V$2:$V$1001,MATCH(ROWS($U$2:U612),$U$2:$U$1001,0),1)&gt;=100000,INDEX($AB$1005:$AQ$1005,1,MATCH(COLUMNS($AB$1006:AM1006),$AB$1006:$AQ$1006,0))&gt;=100000), " ",IF(INDEX($AB$2:$AQ$1001,MATCH(ROWS($U$2:U612),$U$2:$U$1001,0),MATCH(COLUMNS($AB$1006:AM1006),$AB$1006:$AQ$1006,0)), HYPERLINK("#",""), HYPERLINK(CONCATENATE("#metadata!", ADDRESS(INDEX($W$2:$W$1001,MATCH(ROWS($U$2:U612),$U$2:$U$1001,0),0), INDEX($AB$1004:$AQ$1004,1,MATCH(COLUMNS($AB$1006:AM1006),$AB$1006:$AQ$1006,0)))),"Fix")))</f>
        <v>0</v>
      </c>
      <c r="N612" s="4">
        <f>IF(OR(INDEX($V$2:$V$1001,MATCH(ROWS($U$2:U612),$U$2:$U$1001,0),1)&gt;=100000,INDEX($AB$1005:$AQ$1005,1,MATCH(COLUMNS($AB$1006:AN1006),$AB$1006:$AQ$1006,0))&gt;=100000), " ",IF(INDEX($AB$2:$AQ$1001,MATCH(ROWS($U$2:U612),$U$2:$U$1001,0),MATCH(COLUMNS($AB$1006:AN1006),$AB$1006:$AQ$1006,0)), HYPERLINK("#",""), HYPERLINK(CONCATENATE("#metadata!", ADDRESS(INDEX($W$2:$W$1001,MATCH(ROWS($U$2:U612),$U$2:$U$1001,0),0), INDEX($AB$1004:$AQ$1004,1,MATCH(COLUMNS($AB$1006:AN1006),$AB$1006:$AQ$1006,0)))),"Fix")))</f>
        <v>0</v>
      </c>
      <c r="O612" s="4">
        <f>IF(OR(INDEX($V$2:$V$1001,MATCH(ROWS($U$2:U612),$U$2:$U$1001,0),1)&gt;=100000,INDEX($AB$1005:$AQ$1005,1,MATCH(COLUMNS($AB$1006:AO1006),$AB$1006:$AQ$1006,0))&gt;=100000), " ",IF(INDEX($AB$2:$AQ$1001,MATCH(ROWS($U$2:U612),$U$2:$U$1001,0),MATCH(COLUMNS($AB$1006:AO1006),$AB$1006:$AQ$1006,0)), HYPERLINK("#",""), HYPERLINK(CONCATENATE("#metadata!", ADDRESS(INDEX($W$2:$W$1001,MATCH(ROWS($U$2:U612),$U$2:$U$1001,0),0), INDEX($AB$1004:$AQ$1004,1,MATCH(COLUMNS($AB$1006:AO1006),$AB$1006:$AQ$1006,0)))),"Fix")))</f>
        <v>0</v>
      </c>
      <c r="P612" s="4">
        <f>IF(OR(INDEX($V$2:$V$1001,MATCH(ROWS($U$2:U612),$U$2:$U$1001,0),1)&gt;=100000,INDEX($AB$1005:$AQ$1005,1,MATCH(COLUMNS($AB$1006:AP1006),$AB$1006:$AQ$1006,0))&gt;=100000), " ",IF(INDEX($AB$2:$AQ$1001,MATCH(ROWS($U$2:U612),$U$2:$U$1001,0),MATCH(COLUMNS($AB$1006:AP1006),$AB$1006:$AQ$1006,0)), HYPERLINK("#",""), HYPERLINK(CONCATENATE("#metadata!", ADDRESS(INDEX($W$2:$W$1001,MATCH(ROWS($U$2:U612),$U$2:$U$1001,0),0), INDEX($AB$1004:$AQ$1004,1,MATCH(COLUMNS($AB$1006:AP1006),$AB$1006:$AQ$1006,0)))),"Fix")))</f>
        <v>0</v>
      </c>
      <c r="Q612" s="4">
        <f>IF(OR(INDEX($V$2:$V$1001,MATCH(ROWS($U$2:U612),$U$2:$U$1001,0),1)&gt;=100000,INDEX($AB$1005:$AQ$1005,1,MATCH(COLUMNS($AB$1006:AQ1006),$AB$1006:$AQ$1006,0))&gt;=100000), " ",IF(INDEX($AB$2:$AQ$1001,MATCH(ROWS($U$2:U612),$U$2:$U$1001,0),MATCH(COLUMNS($AB$1006:AQ1006),$AB$1006:$AQ$1006,0)), HYPERLINK("#",""), HYPERLINK(CONCATENATE("#metadata!", ADDRESS(INDEX($W$2:$W$1001,MATCH(ROWS($U$2:U612),$U$2:$U$1001,0),0), INDEX($AB$1004:$AQ$1004,1,MATCH(COLUMNS($AB$1006:AQ1006),$AB$1006:$AQ$1006,0)))),"Fix")))</f>
        <v>0</v>
      </c>
      <c r="U612">
        <v>0</v>
      </c>
      <c r="V612">
        <v>0</v>
      </c>
      <c r="W612">
        <v>0</v>
      </c>
      <c r="X612">
        <f>IF(Y612,TRUE,AND(AB612:AQ612))</f>
        <v>0</v>
      </c>
      <c r="Y612">
        <f>COUNTBLANK(metadata!B612:Q612)=COLUMNS(metadata!B612:Q612)</f>
        <v>0</v>
      </c>
      <c r="Z612">
        <v>0</v>
      </c>
      <c r="AB612">
        <f>AND(IF(metadata!B612="",FALSE,TRUE),COUNTIF(metadata!B:B, metadata!B612) = 1,NOT(ISERROR(SUMPRODUCT(SEARCH(MID(metadata!B612,ROW(INDIRECT("1:"&amp;LEN(metadata!B612))), 1),"0123456789abcdefghijklmnopqrstuvwxyzABCDEFGHIJKLMNOPQRSTUVWXYZ.")))))</f>
        <v>0</v>
      </c>
      <c r="AC612">
        <f>OR(AND(IF(metadata!C612="",FALSE,TRUE),OR(exact(metadata!C612,"missing: not collected"),exact(metadata!C612,"missing: not provided"),exact(metadata!C612,"missing: restricted access"))),AND(IF(metadata!C612="",FALSE,TRUE),AND(AND(IFERROR(INT(LEFT(metadata!C612,4))&gt;1900,FALSE),IFERROR(INT(LEFT(metadata!C612,4))&lt;=YEAR(NOW()),FALSE)), OR(MID(metadata!C612,5,1)="", AND(AND(MID(metadata!C612,5,1)="-",IFERROR(INT(MID(metadata!C612,6,1))&gt;=0,FALSE),IFERROR(INT(MID(metadata!C612,6,1))&lt;=1,FALSE),NOT(MID(metadata!C612,7,1)=""),IFERROR(INT(MID(metadata!C612,6,2))&gt;=1,FALSE),IFERROR(INT(MID(metadata!C612,6,2))&lt;=12,FALSE)), OR(MID(metadata!C612,8,1)="", AND(AND(MID(metadata!C612,8,1)="-",IFERROR(INT(MID(metadata!C612,9,1))&gt;=0,FALSE),IFERROR(INT(MID(metadata!C612,9,1))&lt;=3,FALSE),NOT(MID(metadata!C612,10,1)=""),IFERROR(INT(MID(metadata!C612,9,2))&gt;=1,FALSE),IFERROR(INT(MID(metadata!C612,9,2))&lt;=31,FALSE)), OR(MID(metadata!C612,11,1)="", AND(AND(MID(metadata!C612,11,1)=" ",IFERROR(INT(MID(metadata!C612,12,1))&gt;=0,FALSE),IFERROR(INT(MID(metadata!C612,12,1))&lt;=2,FALSE),NOT(MID(metadata!C612,13,1)=""),IFERROR(INT(MID(metadata!C612,12,2))&gt;=0,FALSE),IFERROR(INT(MID(metadata!C612,12,2))&lt;=23,FALSE)), OR(MID(metadata!C612,14,1)="", AND(AND(MID(metadata!C612,14,1)=":",IFERROR(INT(MID(metadata!C612,15,1))&gt;=0,FALSE),IFERROR(INT(MID(metadata!C612,15,1))&lt;=5,FALSE),NOT(MID(metadata!C612,16,1)=""),IFERROR(INT(MID(metadata!C612,15,2))&gt;=0,FALSE),IFERROR(INT(MID(metadata!C612,15,2))&lt;=59,FALSE)), OR(MID(metadata!C612,17,1)="", AND(AND(MID(metadata!C612,17,1)=":",IFERROR(INT(MID(metadata!C612,18,1))&gt;=0,FALSE),IFERROR(INT(MID(metadata!C612,18,1))&lt;=5,FALSE),NOT(MID(metadata!C612,19,1)=""),IFERROR(INT(MID(metadata!C612,18,2))&gt;=0,FALSE),IFERROR(INT(MID(metadata!C612,18,2))&lt;=59,FALSE)), LEN(metadata!C612)&lt;=19)))))))))))))</f>
        <v>0</v>
      </c>
      <c r="AD612">
        <f>IF(metadata!D612="",FALSE,TRUE)</f>
        <v>0</v>
      </c>
      <c r="AE612">
        <f>OR(AND(IF(metadata!E612="",FALSE,TRUE),OR(exact(metadata!E612,"missing: not collected"),exact(metadata!E612,"missing: not provided"))),AND(IF(metadata!E612="",FALSE,TRUE),OR(exact(metadata!E612,"TRUE"),exact(metadata!E612,"FALSE"))))</f>
        <v>0</v>
      </c>
      <c r="AF612">
        <f>IF(metadata!F612="",FALSE,TRUE)</f>
        <v>0</v>
      </c>
      <c r="AG612">
        <f>IF(metadata!G612="",FALSE,TRUE)</f>
        <v>0</v>
      </c>
      <c r="AH612">
        <f>IF(metadata!H612="",FALSE,TRUE)</f>
        <v>0</v>
      </c>
      <c r="AI612">
        <f>OR(AND(IF(metadata!I612="",FALSE,TRUE),OR(exact(metadata!I612,"missing: not collected"),exact(metadata!I612,"missing: not provided"),exact(metadata!I612,"missing: restricted access"))),AND(IF(metadata!I612="",FALSE,TRUE),OR(exact(metadata!I612,"air"),exact(metadata!I612,"built environment"),exact(metadata!I612,"host-associated"),exact(metadata!I612,"human-associated"),exact(metadata!I612,"human-skin"),exact(metadata!I612,"human-oral"),exact(metadata!I612,"human-gut"),exact(metadata!I612,"human-vaginal"),exact(metadata!I612,"microbial mat/biofilm"),exact(metadata!I612,"misc environment"),exact(metadata!I612,"plant-associated"),exact(metadata!I612,"sediment"),exact(metadata!I612,"soil"),exact(metadata!I612,"wastewater/sludge"),exact(metadata!I612,"water"))))</f>
        <v>0</v>
      </c>
      <c r="AJ612">
        <f>IF(metadata!J612="",FALSE,TRUE)</f>
        <v>0</v>
      </c>
      <c r="AK612">
        <f>OR(AND(IF(metadata!K612="",FALSE,TRUE),OR(exact(metadata!K612,"missing: not collected"),exact(metadata!K612,"missing: not provided"),exact(metadata!K612,"missing: restricted access"))),AND(IF(metadata!K612="",FALSE,ISNUMBER(VALUE(metadata!K612))),metadata!K612&gt;=-90.00,metadata!K612&lt;=90.00))</f>
        <v>0</v>
      </c>
      <c r="AL612">
        <f>OR(AND(IF(metadata!L612="",FALSE,TRUE),OR(exact(metadata!L612,"missing: not collected"),exact(metadata!L612,"missing: not provided"),exact(metadata!L612,"missing: restricted access"))),AND(IF(metadata!L612="",FALSE,ISNUMBER(VALUE(metadata!L612))),metadata!L612&gt;=-180.00,metadata!L612&lt;=180.00))</f>
        <v>0</v>
      </c>
      <c r="AM612">
        <f>IF(metadata!M612="",FALSE,TRUE)</f>
        <v>0</v>
      </c>
      <c r="AN612">
        <f>OR(AND(IF(metadata!N612="",FALSE,TRUE),OR(exact(metadata!N612,"missing: not collected"),exact(metadata!N612,"missing: not provided"),exact(metadata!N612,"missing: restricted access"))),AND(IF(metadata!N612="",FALSE,TRUE),OR(exact(metadata!N612,"TRUE"),exact(metadata!N612,"FALSE"))))</f>
        <v>0</v>
      </c>
      <c r="AO612">
        <f>IF(metadata!O612="",FALSE,TRUE)</f>
        <v>0</v>
      </c>
      <c r="AP612">
        <f>OR(AND(IF(metadata!P612="",FALSE,TRUE),OR(exact(metadata!P612,"missing: not collected"),exact(metadata!P612,"missing: not provided"))),AND(IF(metadata!P612="",FALSE,IF(ISERROR(INT(metadata!P612)),FALSE,INT(metadata!P612)=metadata!P612)),metadata!P612&gt;0))</f>
        <v>0</v>
      </c>
      <c r="AQ612">
        <f>IF(metadata!Q612="",FALSE,TRUE)</f>
        <v>0</v>
      </c>
    </row>
    <row r="613" spans="1:43">
      <c r="A613" s="5">
        <f>IF(B613=" "," ",HYPERLINK(CONCATENATE("#metadata!",ADDRESS(INDEX($W$2:$W$1001,MATCH(ROWS($U$2:U613),$U$2:$U$1001,0),0),1)),INDEX($Z$2:$Z$1001,MATCH(ROWS($U$2:U613),$U$2:$U$1001,0),0)))</f>
        <v>0</v>
      </c>
      <c r="B613" s="4">
        <f>IF(OR(INDEX($V$2:$V$1001,MATCH(ROWS($U$2:U613),$U$2:$U$1001,0),1)&gt;=100000,INDEX($AB$1005:$AQ$1005,1,MATCH(COLUMNS($AB$1006:AB1006),$AB$1006:$AQ$1006,0))&gt;=100000), " ",IF(INDEX($AB$2:$AQ$1001,MATCH(ROWS($U$2:U613),$U$2:$U$1001,0),MATCH(COLUMNS($AB$1006:AB1006),$AB$1006:$AQ$1006,0)), HYPERLINK("#",""), HYPERLINK(CONCATENATE("#metadata!", ADDRESS(INDEX($W$2:$W$1001,MATCH(ROWS($U$2:U613),$U$2:$U$1001,0),0), INDEX($AB$1004:$AQ$1004,1,MATCH(COLUMNS($AB$1006:AB1006),$AB$1006:$AQ$1006,0)))),"Fix")))</f>
        <v>0</v>
      </c>
      <c r="C613" s="4">
        <f>IF(OR(INDEX($V$2:$V$1001,MATCH(ROWS($U$2:U613),$U$2:$U$1001,0),1)&gt;=100000,INDEX($AB$1005:$AQ$1005,1,MATCH(COLUMNS($AB$1006:AC1006),$AB$1006:$AQ$1006,0))&gt;=100000), " ",IF(INDEX($AB$2:$AQ$1001,MATCH(ROWS($U$2:U613),$U$2:$U$1001,0),MATCH(COLUMNS($AB$1006:AC1006),$AB$1006:$AQ$1006,0)), HYPERLINK("#",""), HYPERLINK(CONCATENATE("#metadata!", ADDRESS(INDEX($W$2:$W$1001,MATCH(ROWS($U$2:U613),$U$2:$U$1001,0),0), INDEX($AB$1004:$AQ$1004,1,MATCH(COLUMNS($AB$1006:AC1006),$AB$1006:$AQ$1006,0)))),"Fix")))</f>
        <v>0</v>
      </c>
      <c r="D613" s="4">
        <f>IF(OR(INDEX($V$2:$V$1001,MATCH(ROWS($U$2:U613),$U$2:$U$1001,0),1)&gt;=100000,INDEX($AB$1005:$AQ$1005,1,MATCH(COLUMNS($AB$1006:AD1006),$AB$1006:$AQ$1006,0))&gt;=100000), " ",IF(INDEX($AB$2:$AQ$1001,MATCH(ROWS($U$2:U613),$U$2:$U$1001,0),MATCH(COLUMNS($AB$1006:AD1006),$AB$1006:$AQ$1006,0)), HYPERLINK("#",""), HYPERLINK(CONCATENATE("#metadata!", ADDRESS(INDEX($W$2:$W$1001,MATCH(ROWS($U$2:U613),$U$2:$U$1001,0),0), INDEX($AB$1004:$AQ$1004,1,MATCH(COLUMNS($AB$1006:AD1006),$AB$1006:$AQ$1006,0)))),"Fix")))</f>
        <v>0</v>
      </c>
      <c r="E613" s="4">
        <f>IF(OR(INDEX($V$2:$V$1001,MATCH(ROWS($U$2:U613),$U$2:$U$1001,0),1)&gt;=100000,INDEX($AB$1005:$AQ$1005,1,MATCH(COLUMNS($AB$1006:AE1006),$AB$1006:$AQ$1006,0))&gt;=100000), " ",IF(INDEX($AB$2:$AQ$1001,MATCH(ROWS($U$2:U613),$U$2:$U$1001,0),MATCH(COLUMNS($AB$1006:AE1006),$AB$1006:$AQ$1006,0)), HYPERLINK("#",""), HYPERLINK(CONCATENATE("#metadata!", ADDRESS(INDEX($W$2:$W$1001,MATCH(ROWS($U$2:U613),$U$2:$U$1001,0),0), INDEX($AB$1004:$AQ$1004,1,MATCH(COLUMNS($AB$1006:AE1006),$AB$1006:$AQ$1006,0)))),"Fix")))</f>
        <v>0</v>
      </c>
      <c r="F613" s="4">
        <f>IF(OR(INDEX($V$2:$V$1001,MATCH(ROWS($U$2:U613),$U$2:$U$1001,0),1)&gt;=100000,INDEX($AB$1005:$AQ$1005,1,MATCH(COLUMNS($AB$1006:AF1006),$AB$1006:$AQ$1006,0))&gt;=100000), " ",IF(INDEX($AB$2:$AQ$1001,MATCH(ROWS($U$2:U613),$U$2:$U$1001,0),MATCH(COLUMNS($AB$1006:AF1006),$AB$1006:$AQ$1006,0)), HYPERLINK("#",""), HYPERLINK(CONCATENATE("#metadata!", ADDRESS(INDEX($W$2:$W$1001,MATCH(ROWS($U$2:U613),$U$2:$U$1001,0),0), INDEX($AB$1004:$AQ$1004,1,MATCH(COLUMNS($AB$1006:AF1006),$AB$1006:$AQ$1006,0)))),"Fix")))</f>
        <v>0</v>
      </c>
      <c r="G613" s="4">
        <f>IF(OR(INDEX($V$2:$V$1001,MATCH(ROWS($U$2:U613),$U$2:$U$1001,0),1)&gt;=100000,INDEX($AB$1005:$AQ$1005,1,MATCH(COLUMNS($AB$1006:AG1006),$AB$1006:$AQ$1006,0))&gt;=100000), " ",IF(INDEX($AB$2:$AQ$1001,MATCH(ROWS($U$2:U613),$U$2:$U$1001,0),MATCH(COLUMNS($AB$1006:AG1006),$AB$1006:$AQ$1006,0)), HYPERLINK("#",""), HYPERLINK(CONCATENATE("#metadata!", ADDRESS(INDEX($W$2:$W$1001,MATCH(ROWS($U$2:U613),$U$2:$U$1001,0),0), INDEX($AB$1004:$AQ$1004,1,MATCH(COLUMNS($AB$1006:AG1006),$AB$1006:$AQ$1006,0)))),"Fix")))</f>
        <v>0</v>
      </c>
      <c r="H613" s="4">
        <f>IF(OR(INDEX($V$2:$V$1001,MATCH(ROWS($U$2:U613),$U$2:$U$1001,0),1)&gt;=100000,INDEX($AB$1005:$AQ$1005,1,MATCH(COLUMNS($AB$1006:AH1006),$AB$1006:$AQ$1006,0))&gt;=100000), " ",IF(INDEX($AB$2:$AQ$1001,MATCH(ROWS($U$2:U613),$U$2:$U$1001,0),MATCH(COLUMNS($AB$1006:AH1006),$AB$1006:$AQ$1006,0)), HYPERLINK("#",""), HYPERLINK(CONCATENATE("#metadata!", ADDRESS(INDEX($W$2:$W$1001,MATCH(ROWS($U$2:U613),$U$2:$U$1001,0),0), INDEX($AB$1004:$AQ$1004,1,MATCH(COLUMNS($AB$1006:AH1006),$AB$1006:$AQ$1006,0)))),"Fix")))</f>
        <v>0</v>
      </c>
      <c r="I613" s="4">
        <f>IF(OR(INDEX($V$2:$V$1001,MATCH(ROWS($U$2:U613),$U$2:$U$1001,0),1)&gt;=100000,INDEX($AB$1005:$AQ$1005,1,MATCH(COLUMNS($AB$1006:AI1006),$AB$1006:$AQ$1006,0))&gt;=100000), " ",IF(INDEX($AB$2:$AQ$1001,MATCH(ROWS($U$2:U613),$U$2:$U$1001,0),MATCH(COLUMNS($AB$1006:AI1006),$AB$1006:$AQ$1006,0)), HYPERLINK("#",""), HYPERLINK(CONCATENATE("#metadata!", ADDRESS(INDEX($W$2:$W$1001,MATCH(ROWS($U$2:U613),$U$2:$U$1001,0),0), INDEX($AB$1004:$AQ$1004,1,MATCH(COLUMNS($AB$1006:AI1006),$AB$1006:$AQ$1006,0)))),"Fix")))</f>
        <v>0</v>
      </c>
      <c r="J613" s="4">
        <f>IF(OR(INDEX($V$2:$V$1001,MATCH(ROWS($U$2:U613),$U$2:$U$1001,0),1)&gt;=100000,INDEX($AB$1005:$AQ$1005,1,MATCH(COLUMNS($AB$1006:AJ1006),$AB$1006:$AQ$1006,0))&gt;=100000), " ",IF(INDEX($AB$2:$AQ$1001,MATCH(ROWS($U$2:U613),$U$2:$U$1001,0),MATCH(COLUMNS($AB$1006:AJ1006),$AB$1006:$AQ$1006,0)), HYPERLINK("#",""), HYPERLINK(CONCATENATE("#metadata!", ADDRESS(INDEX($W$2:$W$1001,MATCH(ROWS($U$2:U613),$U$2:$U$1001,0),0), INDEX($AB$1004:$AQ$1004,1,MATCH(COLUMNS($AB$1006:AJ1006),$AB$1006:$AQ$1006,0)))),"Fix")))</f>
        <v>0</v>
      </c>
      <c r="K613" s="4">
        <f>IF(OR(INDEX($V$2:$V$1001,MATCH(ROWS($U$2:U613),$U$2:$U$1001,0),1)&gt;=100000,INDEX($AB$1005:$AQ$1005,1,MATCH(COLUMNS($AB$1006:AK1006),$AB$1006:$AQ$1006,0))&gt;=100000), " ",IF(INDEX($AB$2:$AQ$1001,MATCH(ROWS($U$2:U613),$U$2:$U$1001,0),MATCH(COLUMNS($AB$1006:AK1006),$AB$1006:$AQ$1006,0)), HYPERLINK("#",""), HYPERLINK(CONCATENATE("#metadata!", ADDRESS(INDEX($W$2:$W$1001,MATCH(ROWS($U$2:U613),$U$2:$U$1001,0),0), INDEX($AB$1004:$AQ$1004,1,MATCH(COLUMNS($AB$1006:AK1006),$AB$1006:$AQ$1006,0)))),"Fix")))</f>
        <v>0</v>
      </c>
      <c r="L613" s="4">
        <f>IF(OR(INDEX($V$2:$V$1001,MATCH(ROWS($U$2:U613),$U$2:$U$1001,0),1)&gt;=100000,INDEX($AB$1005:$AQ$1005,1,MATCH(COLUMNS($AB$1006:AL1006),$AB$1006:$AQ$1006,0))&gt;=100000), " ",IF(INDEX($AB$2:$AQ$1001,MATCH(ROWS($U$2:U613),$U$2:$U$1001,0),MATCH(COLUMNS($AB$1006:AL1006),$AB$1006:$AQ$1006,0)), HYPERLINK("#",""), HYPERLINK(CONCATENATE("#metadata!", ADDRESS(INDEX($W$2:$W$1001,MATCH(ROWS($U$2:U613),$U$2:$U$1001,0),0), INDEX($AB$1004:$AQ$1004,1,MATCH(COLUMNS($AB$1006:AL1006),$AB$1006:$AQ$1006,0)))),"Fix")))</f>
        <v>0</v>
      </c>
      <c r="M613" s="4">
        <f>IF(OR(INDEX($V$2:$V$1001,MATCH(ROWS($U$2:U613),$U$2:$U$1001,0),1)&gt;=100000,INDEX($AB$1005:$AQ$1005,1,MATCH(COLUMNS($AB$1006:AM1006),$AB$1006:$AQ$1006,0))&gt;=100000), " ",IF(INDEX($AB$2:$AQ$1001,MATCH(ROWS($U$2:U613),$U$2:$U$1001,0),MATCH(COLUMNS($AB$1006:AM1006),$AB$1006:$AQ$1006,0)), HYPERLINK("#",""), HYPERLINK(CONCATENATE("#metadata!", ADDRESS(INDEX($W$2:$W$1001,MATCH(ROWS($U$2:U613),$U$2:$U$1001,0),0), INDEX($AB$1004:$AQ$1004,1,MATCH(COLUMNS($AB$1006:AM1006),$AB$1006:$AQ$1006,0)))),"Fix")))</f>
        <v>0</v>
      </c>
      <c r="N613" s="4">
        <f>IF(OR(INDEX($V$2:$V$1001,MATCH(ROWS($U$2:U613),$U$2:$U$1001,0),1)&gt;=100000,INDEX($AB$1005:$AQ$1005,1,MATCH(COLUMNS($AB$1006:AN1006),$AB$1006:$AQ$1006,0))&gt;=100000), " ",IF(INDEX($AB$2:$AQ$1001,MATCH(ROWS($U$2:U613),$U$2:$U$1001,0),MATCH(COLUMNS($AB$1006:AN1006),$AB$1006:$AQ$1006,0)), HYPERLINK("#",""), HYPERLINK(CONCATENATE("#metadata!", ADDRESS(INDEX($W$2:$W$1001,MATCH(ROWS($U$2:U613),$U$2:$U$1001,0),0), INDEX($AB$1004:$AQ$1004,1,MATCH(COLUMNS($AB$1006:AN1006),$AB$1006:$AQ$1006,0)))),"Fix")))</f>
        <v>0</v>
      </c>
      <c r="O613" s="4">
        <f>IF(OR(INDEX($V$2:$V$1001,MATCH(ROWS($U$2:U613),$U$2:$U$1001,0),1)&gt;=100000,INDEX($AB$1005:$AQ$1005,1,MATCH(COLUMNS($AB$1006:AO1006),$AB$1006:$AQ$1006,0))&gt;=100000), " ",IF(INDEX($AB$2:$AQ$1001,MATCH(ROWS($U$2:U613),$U$2:$U$1001,0),MATCH(COLUMNS($AB$1006:AO1006),$AB$1006:$AQ$1006,0)), HYPERLINK("#",""), HYPERLINK(CONCATENATE("#metadata!", ADDRESS(INDEX($W$2:$W$1001,MATCH(ROWS($U$2:U613),$U$2:$U$1001,0),0), INDEX($AB$1004:$AQ$1004,1,MATCH(COLUMNS($AB$1006:AO1006),$AB$1006:$AQ$1006,0)))),"Fix")))</f>
        <v>0</v>
      </c>
      <c r="P613" s="4">
        <f>IF(OR(INDEX($V$2:$V$1001,MATCH(ROWS($U$2:U613),$U$2:$U$1001,0),1)&gt;=100000,INDEX($AB$1005:$AQ$1005,1,MATCH(COLUMNS($AB$1006:AP1006),$AB$1006:$AQ$1006,0))&gt;=100000), " ",IF(INDEX($AB$2:$AQ$1001,MATCH(ROWS($U$2:U613),$U$2:$U$1001,0),MATCH(COLUMNS($AB$1006:AP1006),$AB$1006:$AQ$1006,0)), HYPERLINK("#",""), HYPERLINK(CONCATENATE("#metadata!", ADDRESS(INDEX($W$2:$W$1001,MATCH(ROWS($U$2:U613),$U$2:$U$1001,0),0), INDEX($AB$1004:$AQ$1004,1,MATCH(COLUMNS($AB$1006:AP1006),$AB$1006:$AQ$1006,0)))),"Fix")))</f>
        <v>0</v>
      </c>
      <c r="Q613" s="4">
        <f>IF(OR(INDEX($V$2:$V$1001,MATCH(ROWS($U$2:U613),$U$2:$U$1001,0),1)&gt;=100000,INDEX($AB$1005:$AQ$1005,1,MATCH(COLUMNS($AB$1006:AQ1006),$AB$1006:$AQ$1006,0))&gt;=100000), " ",IF(INDEX($AB$2:$AQ$1001,MATCH(ROWS($U$2:U613),$U$2:$U$1001,0),MATCH(COLUMNS($AB$1006:AQ1006),$AB$1006:$AQ$1006,0)), HYPERLINK("#",""), HYPERLINK(CONCATENATE("#metadata!", ADDRESS(INDEX($W$2:$W$1001,MATCH(ROWS($U$2:U613),$U$2:$U$1001,0),0), INDEX($AB$1004:$AQ$1004,1,MATCH(COLUMNS($AB$1006:AQ1006),$AB$1006:$AQ$1006,0)))),"Fix")))</f>
        <v>0</v>
      </c>
      <c r="U613">
        <v>0</v>
      </c>
      <c r="V613">
        <v>0</v>
      </c>
      <c r="W613">
        <v>0</v>
      </c>
      <c r="X613">
        <f>IF(Y613,TRUE,AND(AB613:AQ613))</f>
        <v>0</v>
      </c>
      <c r="Y613">
        <f>COUNTBLANK(metadata!B613:Q613)=COLUMNS(metadata!B613:Q613)</f>
        <v>0</v>
      </c>
      <c r="Z613">
        <v>0</v>
      </c>
      <c r="AB613">
        <f>AND(IF(metadata!B613="",FALSE,TRUE),COUNTIF(metadata!B:B, metadata!B613) = 1,NOT(ISERROR(SUMPRODUCT(SEARCH(MID(metadata!B613,ROW(INDIRECT("1:"&amp;LEN(metadata!B613))), 1),"0123456789abcdefghijklmnopqrstuvwxyzABCDEFGHIJKLMNOPQRSTUVWXYZ.")))))</f>
        <v>0</v>
      </c>
      <c r="AC613">
        <f>OR(AND(IF(metadata!C613="",FALSE,TRUE),OR(exact(metadata!C613,"missing: not collected"),exact(metadata!C613,"missing: not provided"),exact(metadata!C613,"missing: restricted access"))),AND(IF(metadata!C613="",FALSE,TRUE),AND(AND(IFERROR(INT(LEFT(metadata!C613,4))&gt;1900,FALSE),IFERROR(INT(LEFT(metadata!C613,4))&lt;=YEAR(NOW()),FALSE)), OR(MID(metadata!C613,5,1)="", AND(AND(MID(metadata!C613,5,1)="-",IFERROR(INT(MID(metadata!C613,6,1))&gt;=0,FALSE),IFERROR(INT(MID(metadata!C613,6,1))&lt;=1,FALSE),NOT(MID(metadata!C613,7,1)=""),IFERROR(INT(MID(metadata!C613,6,2))&gt;=1,FALSE),IFERROR(INT(MID(metadata!C613,6,2))&lt;=12,FALSE)), OR(MID(metadata!C613,8,1)="", AND(AND(MID(metadata!C613,8,1)="-",IFERROR(INT(MID(metadata!C613,9,1))&gt;=0,FALSE),IFERROR(INT(MID(metadata!C613,9,1))&lt;=3,FALSE),NOT(MID(metadata!C613,10,1)=""),IFERROR(INT(MID(metadata!C613,9,2))&gt;=1,FALSE),IFERROR(INT(MID(metadata!C613,9,2))&lt;=31,FALSE)), OR(MID(metadata!C613,11,1)="", AND(AND(MID(metadata!C613,11,1)=" ",IFERROR(INT(MID(metadata!C613,12,1))&gt;=0,FALSE),IFERROR(INT(MID(metadata!C613,12,1))&lt;=2,FALSE),NOT(MID(metadata!C613,13,1)=""),IFERROR(INT(MID(metadata!C613,12,2))&gt;=0,FALSE),IFERROR(INT(MID(metadata!C613,12,2))&lt;=23,FALSE)), OR(MID(metadata!C613,14,1)="", AND(AND(MID(metadata!C613,14,1)=":",IFERROR(INT(MID(metadata!C613,15,1))&gt;=0,FALSE),IFERROR(INT(MID(metadata!C613,15,1))&lt;=5,FALSE),NOT(MID(metadata!C613,16,1)=""),IFERROR(INT(MID(metadata!C613,15,2))&gt;=0,FALSE),IFERROR(INT(MID(metadata!C613,15,2))&lt;=59,FALSE)), OR(MID(metadata!C613,17,1)="", AND(AND(MID(metadata!C613,17,1)=":",IFERROR(INT(MID(metadata!C613,18,1))&gt;=0,FALSE),IFERROR(INT(MID(metadata!C613,18,1))&lt;=5,FALSE),NOT(MID(metadata!C613,19,1)=""),IFERROR(INT(MID(metadata!C613,18,2))&gt;=0,FALSE),IFERROR(INT(MID(metadata!C613,18,2))&lt;=59,FALSE)), LEN(metadata!C613)&lt;=19)))))))))))))</f>
        <v>0</v>
      </c>
      <c r="AD613">
        <f>IF(metadata!D613="",FALSE,TRUE)</f>
        <v>0</v>
      </c>
      <c r="AE613">
        <f>OR(AND(IF(metadata!E613="",FALSE,TRUE),OR(exact(metadata!E613,"missing: not collected"),exact(metadata!E613,"missing: not provided"))),AND(IF(metadata!E613="",FALSE,TRUE),OR(exact(metadata!E613,"TRUE"),exact(metadata!E613,"FALSE"))))</f>
        <v>0</v>
      </c>
      <c r="AF613">
        <f>IF(metadata!F613="",FALSE,TRUE)</f>
        <v>0</v>
      </c>
      <c r="AG613">
        <f>IF(metadata!G613="",FALSE,TRUE)</f>
        <v>0</v>
      </c>
      <c r="AH613">
        <f>IF(metadata!H613="",FALSE,TRUE)</f>
        <v>0</v>
      </c>
      <c r="AI613">
        <f>OR(AND(IF(metadata!I613="",FALSE,TRUE),OR(exact(metadata!I613,"missing: not collected"),exact(metadata!I613,"missing: not provided"),exact(metadata!I613,"missing: restricted access"))),AND(IF(metadata!I613="",FALSE,TRUE),OR(exact(metadata!I613,"air"),exact(metadata!I613,"built environment"),exact(metadata!I613,"host-associated"),exact(metadata!I613,"human-associated"),exact(metadata!I613,"human-skin"),exact(metadata!I613,"human-oral"),exact(metadata!I613,"human-gut"),exact(metadata!I613,"human-vaginal"),exact(metadata!I613,"microbial mat/biofilm"),exact(metadata!I613,"misc environment"),exact(metadata!I613,"plant-associated"),exact(metadata!I613,"sediment"),exact(metadata!I613,"soil"),exact(metadata!I613,"wastewater/sludge"),exact(metadata!I613,"water"))))</f>
        <v>0</v>
      </c>
      <c r="AJ613">
        <f>IF(metadata!J613="",FALSE,TRUE)</f>
        <v>0</v>
      </c>
      <c r="AK613">
        <f>OR(AND(IF(metadata!K613="",FALSE,TRUE),OR(exact(metadata!K613,"missing: not collected"),exact(metadata!K613,"missing: not provided"),exact(metadata!K613,"missing: restricted access"))),AND(IF(metadata!K613="",FALSE,ISNUMBER(VALUE(metadata!K613))),metadata!K613&gt;=-90.00,metadata!K613&lt;=90.00))</f>
        <v>0</v>
      </c>
      <c r="AL613">
        <f>OR(AND(IF(metadata!L613="",FALSE,TRUE),OR(exact(metadata!L613,"missing: not collected"),exact(metadata!L613,"missing: not provided"),exact(metadata!L613,"missing: restricted access"))),AND(IF(metadata!L613="",FALSE,ISNUMBER(VALUE(metadata!L613))),metadata!L613&gt;=-180.00,metadata!L613&lt;=180.00))</f>
        <v>0</v>
      </c>
      <c r="AM613">
        <f>IF(metadata!M613="",FALSE,TRUE)</f>
        <v>0</v>
      </c>
      <c r="AN613">
        <f>OR(AND(IF(metadata!N613="",FALSE,TRUE),OR(exact(metadata!N613,"missing: not collected"),exact(metadata!N613,"missing: not provided"),exact(metadata!N613,"missing: restricted access"))),AND(IF(metadata!N613="",FALSE,TRUE),OR(exact(metadata!N613,"TRUE"),exact(metadata!N613,"FALSE"))))</f>
        <v>0</v>
      </c>
      <c r="AO613">
        <f>IF(metadata!O613="",FALSE,TRUE)</f>
        <v>0</v>
      </c>
      <c r="AP613">
        <f>OR(AND(IF(metadata!P613="",FALSE,TRUE),OR(exact(metadata!P613,"missing: not collected"),exact(metadata!P613,"missing: not provided"))),AND(IF(metadata!P613="",FALSE,IF(ISERROR(INT(metadata!P613)),FALSE,INT(metadata!P613)=metadata!P613)),metadata!P613&gt;0))</f>
        <v>0</v>
      </c>
      <c r="AQ613">
        <f>IF(metadata!Q613="",FALSE,TRUE)</f>
        <v>0</v>
      </c>
    </row>
    <row r="614" spans="1:43">
      <c r="A614" s="5">
        <f>IF(B614=" "," ",HYPERLINK(CONCATENATE("#metadata!",ADDRESS(INDEX($W$2:$W$1001,MATCH(ROWS($U$2:U614),$U$2:$U$1001,0),0),1)),INDEX($Z$2:$Z$1001,MATCH(ROWS($U$2:U614),$U$2:$U$1001,0),0)))</f>
        <v>0</v>
      </c>
      <c r="B614" s="4">
        <f>IF(OR(INDEX($V$2:$V$1001,MATCH(ROWS($U$2:U614),$U$2:$U$1001,0),1)&gt;=100000,INDEX($AB$1005:$AQ$1005,1,MATCH(COLUMNS($AB$1006:AB1006),$AB$1006:$AQ$1006,0))&gt;=100000), " ",IF(INDEX($AB$2:$AQ$1001,MATCH(ROWS($U$2:U614),$U$2:$U$1001,0),MATCH(COLUMNS($AB$1006:AB1006),$AB$1006:$AQ$1006,0)), HYPERLINK("#",""), HYPERLINK(CONCATENATE("#metadata!", ADDRESS(INDEX($W$2:$W$1001,MATCH(ROWS($U$2:U614),$U$2:$U$1001,0),0), INDEX($AB$1004:$AQ$1004,1,MATCH(COLUMNS($AB$1006:AB1006),$AB$1006:$AQ$1006,0)))),"Fix")))</f>
        <v>0</v>
      </c>
      <c r="C614" s="4">
        <f>IF(OR(INDEX($V$2:$V$1001,MATCH(ROWS($U$2:U614),$U$2:$U$1001,0),1)&gt;=100000,INDEX($AB$1005:$AQ$1005,1,MATCH(COLUMNS($AB$1006:AC1006),$AB$1006:$AQ$1006,0))&gt;=100000), " ",IF(INDEX($AB$2:$AQ$1001,MATCH(ROWS($U$2:U614),$U$2:$U$1001,0),MATCH(COLUMNS($AB$1006:AC1006),$AB$1006:$AQ$1006,0)), HYPERLINK("#",""), HYPERLINK(CONCATENATE("#metadata!", ADDRESS(INDEX($W$2:$W$1001,MATCH(ROWS($U$2:U614),$U$2:$U$1001,0),0), INDEX($AB$1004:$AQ$1004,1,MATCH(COLUMNS($AB$1006:AC1006),$AB$1006:$AQ$1006,0)))),"Fix")))</f>
        <v>0</v>
      </c>
      <c r="D614" s="4">
        <f>IF(OR(INDEX($V$2:$V$1001,MATCH(ROWS($U$2:U614),$U$2:$U$1001,0),1)&gt;=100000,INDEX($AB$1005:$AQ$1005,1,MATCH(COLUMNS($AB$1006:AD1006),$AB$1006:$AQ$1006,0))&gt;=100000), " ",IF(INDEX($AB$2:$AQ$1001,MATCH(ROWS($U$2:U614),$U$2:$U$1001,0),MATCH(COLUMNS($AB$1006:AD1006),$AB$1006:$AQ$1006,0)), HYPERLINK("#",""), HYPERLINK(CONCATENATE("#metadata!", ADDRESS(INDEX($W$2:$W$1001,MATCH(ROWS($U$2:U614),$U$2:$U$1001,0),0), INDEX($AB$1004:$AQ$1004,1,MATCH(COLUMNS($AB$1006:AD1006),$AB$1006:$AQ$1006,0)))),"Fix")))</f>
        <v>0</v>
      </c>
      <c r="E614" s="4">
        <f>IF(OR(INDEX($V$2:$V$1001,MATCH(ROWS($U$2:U614),$U$2:$U$1001,0),1)&gt;=100000,INDEX($AB$1005:$AQ$1005,1,MATCH(COLUMNS($AB$1006:AE1006),$AB$1006:$AQ$1006,0))&gt;=100000), " ",IF(INDEX($AB$2:$AQ$1001,MATCH(ROWS($U$2:U614),$U$2:$U$1001,0),MATCH(COLUMNS($AB$1006:AE1006),$AB$1006:$AQ$1006,0)), HYPERLINK("#",""), HYPERLINK(CONCATENATE("#metadata!", ADDRESS(INDEX($W$2:$W$1001,MATCH(ROWS($U$2:U614),$U$2:$U$1001,0),0), INDEX($AB$1004:$AQ$1004,1,MATCH(COLUMNS($AB$1006:AE1006),$AB$1006:$AQ$1006,0)))),"Fix")))</f>
        <v>0</v>
      </c>
      <c r="F614" s="4">
        <f>IF(OR(INDEX($V$2:$V$1001,MATCH(ROWS($U$2:U614),$U$2:$U$1001,0),1)&gt;=100000,INDEX($AB$1005:$AQ$1005,1,MATCH(COLUMNS($AB$1006:AF1006),$AB$1006:$AQ$1006,0))&gt;=100000), " ",IF(INDEX($AB$2:$AQ$1001,MATCH(ROWS($U$2:U614),$U$2:$U$1001,0),MATCH(COLUMNS($AB$1006:AF1006),$AB$1006:$AQ$1006,0)), HYPERLINK("#",""), HYPERLINK(CONCATENATE("#metadata!", ADDRESS(INDEX($W$2:$W$1001,MATCH(ROWS($U$2:U614),$U$2:$U$1001,0),0), INDEX($AB$1004:$AQ$1004,1,MATCH(COLUMNS($AB$1006:AF1006),$AB$1006:$AQ$1006,0)))),"Fix")))</f>
        <v>0</v>
      </c>
      <c r="G614" s="4">
        <f>IF(OR(INDEX($V$2:$V$1001,MATCH(ROWS($U$2:U614),$U$2:$U$1001,0),1)&gt;=100000,INDEX($AB$1005:$AQ$1005,1,MATCH(COLUMNS($AB$1006:AG1006),$AB$1006:$AQ$1006,0))&gt;=100000), " ",IF(INDEX($AB$2:$AQ$1001,MATCH(ROWS($U$2:U614),$U$2:$U$1001,0),MATCH(COLUMNS($AB$1006:AG1006),$AB$1006:$AQ$1006,0)), HYPERLINK("#",""), HYPERLINK(CONCATENATE("#metadata!", ADDRESS(INDEX($W$2:$W$1001,MATCH(ROWS($U$2:U614),$U$2:$U$1001,0),0), INDEX($AB$1004:$AQ$1004,1,MATCH(COLUMNS($AB$1006:AG1006),$AB$1006:$AQ$1006,0)))),"Fix")))</f>
        <v>0</v>
      </c>
      <c r="H614" s="4">
        <f>IF(OR(INDEX($V$2:$V$1001,MATCH(ROWS($U$2:U614),$U$2:$U$1001,0),1)&gt;=100000,INDEX($AB$1005:$AQ$1005,1,MATCH(COLUMNS($AB$1006:AH1006),$AB$1006:$AQ$1006,0))&gt;=100000), " ",IF(INDEX($AB$2:$AQ$1001,MATCH(ROWS($U$2:U614),$U$2:$U$1001,0),MATCH(COLUMNS($AB$1006:AH1006),$AB$1006:$AQ$1006,0)), HYPERLINK("#",""), HYPERLINK(CONCATENATE("#metadata!", ADDRESS(INDEX($W$2:$W$1001,MATCH(ROWS($U$2:U614),$U$2:$U$1001,0),0), INDEX($AB$1004:$AQ$1004,1,MATCH(COLUMNS($AB$1006:AH1006),$AB$1006:$AQ$1006,0)))),"Fix")))</f>
        <v>0</v>
      </c>
      <c r="I614" s="4">
        <f>IF(OR(INDEX($V$2:$V$1001,MATCH(ROWS($U$2:U614),$U$2:$U$1001,0),1)&gt;=100000,INDEX($AB$1005:$AQ$1005,1,MATCH(COLUMNS($AB$1006:AI1006),$AB$1006:$AQ$1006,0))&gt;=100000), " ",IF(INDEX($AB$2:$AQ$1001,MATCH(ROWS($U$2:U614),$U$2:$U$1001,0),MATCH(COLUMNS($AB$1006:AI1006),$AB$1006:$AQ$1006,0)), HYPERLINK("#",""), HYPERLINK(CONCATENATE("#metadata!", ADDRESS(INDEX($W$2:$W$1001,MATCH(ROWS($U$2:U614),$U$2:$U$1001,0),0), INDEX($AB$1004:$AQ$1004,1,MATCH(COLUMNS($AB$1006:AI1006),$AB$1006:$AQ$1006,0)))),"Fix")))</f>
        <v>0</v>
      </c>
      <c r="J614" s="4">
        <f>IF(OR(INDEX($V$2:$V$1001,MATCH(ROWS($U$2:U614),$U$2:$U$1001,0),1)&gt;=100000,INDEX($AB$1005:$AQ$1005,1,MATCH(COLUMNS($AB$1006:AJ1006),$AB$1006:$AQ$1006,0))&gt;=100000), " ",IF(INDEX($AB$2:$AQ$1001,MATCH(ROWS($U$2:U614),$U$2:$U$1001,0),MATCH(COLUMNS($AB$1006:AJ1006),$AB$1006:$AQ$1006,0)), HYPERLINK("#",""), HYPERLINK(CONCATENATE("#metadata!", ADDRESS(INDEX($W$2:$W$1001,MATCH(ROWS($U$2:U614),$U$2:$U$1001,0),0), INDEX($AB$1004:$AQ$1004,1,MATCH(COLUMNS($AB$1006:AJ1006),$AB$1006:$AQ$1006,0)))),"Fix")))</f>
        <v>0</v>
      </c>
      <c r="K614" s="4">
        <f>IF(OR(INDEX($V$2:$V$1001,MATCH(ROWS($U$2:U614),$U$2:$U$1001,0),1)&gt;=100000,INDEX($AB$1005:$AQ$1005,1,MATCH(COLUMNS($AB$1006:AK1006),$AB$1006:$AQ$1006,0))&gt;=100000), " ",IF(INDEX($AB$2:$AQ$1001,MATCH(ROWS($U$2:U614),$U$2:$U$1001,0),MATCH(COLUMNS($AB$1006:AK1006),$AB$1006:$AQ$1006,0)), HYPERLINK("#",""), HYPERLINK(CONCATENATE("#metadata!", ADDRESS(INDEX($W$2:$W$1001,MATCH(ROWS($U$2:U614),$U$2:$U$1001,0),0), INDEX($AB$1004:$AQ$1004,1,MATCH(COLUMNS($AB$1006:AK1006),$AB$1006:$AQ$1006,0)))),"Fix")))</f>
        <v>0</v>
      </c>
      <c r="L614" s="4">
        <f>IF(OR(INDEX($V$2:$V$1001,MATCH(ROWS($U$2:U614),$U$2:$U$1001,0),1)&gt;=100000,INDEX($AB$1005:$AQ$1005,1,MATCH(COLUMNS($AB$1006:AL1006),$AB$1006:$AQ$1006,0))&gt;=100000), " ",IF(INDEX($AB$2:$AQ$1001,MATCH(ROWS($U$2:U614),$U$2:$U$1001,0),MATCH(COLUMNS($AB$1006:AL1006),$AB$1006:$AQ$1006,0)), HYPERLINK("#",""), HYPERLINK(CONCATENATE("#metadata!", ADDRESS(INDEX($W$2:$W$1001,MATCH(ROWS($U$2:U614),$U$2:$U$1001,0),0), INDEX($AB$1004:$AQ$1004,1,MATCH(COLUMNS($AB$1006:AL1006),$AB$1006:$AQ$1006,0)))),"Fix")))</f>
        <v>0</v>
      </c>
      <c r="M614" s="4">
        <f>IF(OR(INDEX($V$2:$V$1001,MATCH(ROWS($U$2:U614),$U$2:$U$1001,0),1)&gt;=100000,INDEX($AB$1005:$AQ$1005,1,MATCH(COLUMNS($AB$1006:AM1006),$AB$1006:$AQ$1006,0))&gt;=100000), " ",IF(INDEX($AB$2:$AQ$1001,MATCH(ROWS($U$2:U614),$U$2:$U$1001,0),MATCH(COLUMNS($AB$1006:AM1006),$AB$1006:$AQ$1006,0)), HYPERLINK("#",""), HYPERLINK(CONCATENATE("#metadata!", ADDRESS(INDEX($W$2:$W$1001,MATCH(ROWS($U$2:U614),$U$2:$U$1001,0),0), INDEX($AB$1004:$AQ$1004,1,MATCH(COLUMNS($AB$1006:AM1006),$AB$1006:$AQ$1006,0)))),"Fix")))</f>
        <v>0</v>
      </c>
      <c r="N614" s="4">
        <f>IF(OR(INDEX($V$2:$V$1001,MATCH(ROWS($U$2:U614),$U$2:$U$1001,0),1)&gt;=100000,INDEX($AB$1005:$AQ$1005,1,MATCH(COLUMNS($AB$1006:AN1006),$AB$1006:$AQ$1006,0))&gt;=100000), " ",IF(INDEX($AB$2:$AQ$1001,MATCH(ROWS($U$2:U614),$U$2:$U$1001,0),MATCH(COLUMNS($AB$1006:AN1006),$AB$1006:$AQ$1006,0)), HYPERLINK("#",""), HYPERLINK(CONCATENATE("#metadata!", ADDRESS(INDEX($W$2:$W$1001,MATCH(ROWS($U$2:U614),$U$2:$U$1001,0),0), INDEX($AB$1004:$AQ$1004,1,MATCH(COLUMNS($AB$1006:AN1006),$AB$1006:$AQ$1006,0)))),"Fix")))</f>
        <v>0</v>
      </c>
      <c r="O614" s="4">
        <f>IF(OR(INDEX($V$2:$V$1001,MATCH(ROWS($U$2:U614),$U$2:$U$1001,0),1)&gt;=100000,INDEX($AB$1005:$AQ$1005,1,MATCH(COLUMNS($AB$1006:AO1006),$AB$1006:$AQ$1006,0))&gt;=100000), " ",IF(INDEX($AB$2:$AQ$1001,MATCH(ROWS($U$2:U614),$U$2:$U$1001,0),MATCH(COLUMNS($AB$1006:AO1006),$AB$1006:$AQ$1006,0)), HYPERLINK("#",""), HYPERLINK(CONCATENATE("#metadata!", ADDRESS(INDEX($W$2:$W$1001,MATCH(ROWS($U$2:U614),$U$2:$U$1001,0),0), INDEX($AB$1004:$AQ$1004,1,MATCH(COLUMNS($AB$1006:AO1006),$AB$1006:$AQ$1006,0)))),"Fix")))</f>
        <v>0</v>
      </c>
      <c r="P614" s="4">
        <f>IF(OR(INDEX($V$2:$V$1001,MATCH(ROWS($U$2:U614),$U$2:$U$1001,0),1)&gt;=100000,INDEX($AB$1005:$AQ$1005,1,MATCH(COLUMNS($AB$1006:AP1006),$AB$1006:$AQ$1006,0))&gt;=100000), " ",IF(INDEX($AB$2:$AQ$1001,MATCH(ROWS($U$2:U614),$U$2:$U$1001,0),MATCH(COLUMNS($AB$1006:AP1006),$AB$1006:$AQ$1006,0)), HYPERLINK("#",""), HYPERLINK(CONCATENATE("#metadata!", ADDRESS(INDEX($W$2:$W$1001,MATCH(ROWS($U$2:U614),$U$2:$U$1001,0),0), INDEX($AB$1004:$AQ$1004,1,MATCH(COLUMNS($AB$1006:AP1006),$AB$1006:$AQ$1006,0)))),"Fix")))</f>
        <v>0</v>
      </c>
      <c r="Q614" s="4">
        <f>IF(OR(INDEX($V$2:$V$1001,MATCH(ROWS($U$2:U614),$U$2:$U$1001,0),1)&gt;=100000,INDEX($AB$1005:$AQ$1005,1,MATCH(COLUMNS($AB$1006:AQ1006),$AB$1006:$AQ$1006,0))&gt;=100000), " ",IF(INDEX($AB$2:$AQ$1001,MATCH(ROWS($U$2:U614),$U$2:$U$1001,0),MATCH(COLUMNS($AB$1006:AQ1006),$AB$1006:$AQ$1006,0)), HYPERLINK("#",""), HYPERLINK(CONCATENATE("#metadata!", ADDRESS(INDEX($W$2:$W$1001,MATCH(ROWS($U$2:U614),$U$2:$U$1001,0),0), INDEX($AB$1004:$AQ$1004,1,MATCH(COLUMNS($AB$1006:AQ1006),$AB$1006:$AQ$1006,0)))),"Fix")))</f>
        <v>0</v>
      </c>
      <c r="U614">
        <v>0</v>
      </c>
      <c r="V614">
        <v>0</v>
      </c>
      <c r="W614">
        <v>0</v>
      </c>
      <c r="X614">
        <f>IF(Y614,TRUE,AND(AB614:AQ614))</f>
        <v>0</v>
      </c>
      <c r="Y614">
        <f>COUNTBLANK(metadata!B614:Q614)=COLUMNS(metadata!B614:Q614)</f>
        <v>0</v>
      </c>
      <c r="Z614">
        <v>0</v>
      </c>
      <c r="AB614">
        <f>AND(IF(metadata!B614="",FALSE,TRUE),COUNTIF(metadata!B:B, metadata!B614) = 1,NOT(ISERROR(SUMPRODUCT(SEARCH(MID(metadata!B614,ROW(INDIRECT("1:"&amp;LEN(metadata!B614))), 1),"0123456789abcdefghijklmnopqrstuvwxyzABCDEFGHIJKLMNOPQRSTUVWXYZ.")))))</f>
        <v>0</v>
      </c>
      <c r="AC614">
        <f>OR(AND(IF(metadata!C614="",FALSE,TRUE),OR(exact(metadata!C614,"missing: not collected"),exact(metadata!C614,"missing: not provided"),exact(metadata!C614,"missing: restricted access"))),AND(IF(metadata!C614="",FALSE,TRUE),AND(AND(IFERROR(INT(LEFT(metadata!C614,4))&gt;1900,FALSE),IFERROR(INT(LEFT(metadata!C614,4))&lt;=YEAR(NOW()),FALSE)), OR(MID(metadata!C614,5,1)="", AND(AND(MID(metadata!C614,5,1)="-",IFERROR(INT(MID(metadata!C614,6,1))&gt;=0,FALSE),IFERROR(INT(MID(metadata!C614,6,1))&lt;=1,FALSE),NOT(MID(metadata!C614,7,1)=""),IFERROR(INT(MID(metadata!C614,6,2))&gt;=1,FALSE),IFERROR(INT(MID(metadata!C614,6,2))&lt;=12,FALSE)), OR(MID(metadata!C614,8,1)="", AND(AND(MID(metadata!C614,8,1)="-",IFERROR(INT(MID(metadata!C614,9,1))&gt;=0,FALSE),IFERROR(INT(MID(metadata!C614,9,1))&lt;=3,FALSE),NOT(MID(metadata!C614,10,1)=""),IFERROR(INT(MID(metadata!C614,9,2))&gt;=1,FALSE),IFERROR(INT(MID(metadata!C614,9,2))&lt;=31,FALSE)), OR(MID(metadata!C614,11,1)="", AND(AND(MID(metadata!C614,11,1)=" ",IFERROR(INT(MID(metadata!C614,12,1))&gt;=0,FALSE),IFERROR(INT(MID(metadata!C614,12,1))&lt;=2,FALSE),NOT(MID(metadata!C614,13,1)=""),IFERROR(INT(MID(metadata!C614,12,2))&gt;=0,FALSE),IFERROR(INT(MID(metadata!C614,12,2))&lt;=23,FALSE)), OR(MID(metadata!C614,14,1)="", AND(AND(MID(metadata!C614,14,1)=":",IFERROR(INT(MID(metadata!C614,15,1))&gt;=0,FALSE),IFERROR(INT(MID(metadata!C614,15,1))&lt;=5,FALSE),NOT(MID(metadata!C614,16,1)=""),IFERROR(INT(MID(metadata!C614,15,2))&gt;=0,FALSE),IFERROR(INT(MID(metadata!C614,15,2))&lt;=59,FALSE)), OR(MID(metadata!C614,17,1)="", AND(AND(MID(metadata!C614,17,1)=":",IFERROR(INT(MID(metadata!C614,18,1))&gt;=0,FALSE),IFERROR(INT(MID(metadata!C614,18,1))&lt;=5,FALSE),NOT(MID(metadata!C614,19,1)=""),IFERROR(INT(MID(metadata!C614,18,2))&gt;=0,FALSE),IFERROR(INT(MID(metadata!C614,18,2))&lt;=59,FALSE)), LEN(metadata!C614)&lt;=19)))))))))))))</f>
        <v>0</v>
      </c>
      <c r="AD614">
        <f>IF(metadata!D614="",FALSE,TRUE)</f>
        <v>0</v>
      </c>
      <c r="AE614">
        <f>OR(AND(IF(metadata!E614="",FALSE,TRUE),OR(exact(metadata!E614,"missing: not collected"),exact(metadata!E614,"missing: not provided"))),AND(IF(metadata!E614="",FALSE,TRUE),OR(exact(metadata!E614,"TRUE"),exact(metadata!E614,"FALSE"))))</f>
        <v>0</v>
      </c>
      <c r="AF614">
        <f>IF(metadata!F614="",FALSE,TRUE)</f>
        <v>0</v>
      </c>
      <c r="AG614">
        <f>IF(metadata!G614="",FALSE,TRUE)</f>
        <v>0</v>
      </c>
      <c r="AH614">
        <f>IF(metadata!H614="",FALSE,TRUE)</f>
        <v>0</v>
      </c>
      <c r="AI614">
        <f>OR(AND(IF(metadata!I614="",FALSE,TRUE),OR(exact(metadata!I614,"missing: not collected"),exact(metadata!I614,"missing: not provided"),exact(metadata!I614,"missing: restricted access"))),AND(IF(metadata!I614="",FALSE,TRUE),OR(exact(metadata!I614,"air"),exact(metadata!I614,"built environment"),exact(metadata!I614,"host-associated"),exact(metadata!I614,"human-associated"),exact(metadata!I614,"human-skin"),exact(metadata!I614,"human-oral"),exact(metadata!I614,"human-gut"),exact(metadata!I614,"human-vaginal"),exact(metadata!I614,"microbial mat/biofilm"),exact(metadata!I614,"misc environment"),exact(metadata!I614,"plant-associated"),exact(metadata!I614,"sediment"),exact(metadata!I614,"soil"),exact(metadata!I614,"wastewater/sludge"),exact(metadata!I614,"water"))))</f>
        <v>0</v>
      </c>
      <c r="AJ614">
        <f>IF(metadata!J614="",FALSE,TRUE)</f>
        <v>0</v>
      </c>
      <c r="AK614">
        <f>OR(AND(IF(metadata!K614="",FALSE,TRUE),OR(exact(metadata!K614,"missing: not collected"),exact(metadata!K614,"missing: not provided"),exact(metadata!K614,"missing: restricted access"))),AND(IF(metadata!K614="",FALSE,ISNUMBER(VALUE(metadata!K614))),metadata!K614&gt;=-90.00,metadata!K614&lt;=90.00))</f>
        <v>0</v>
      </c>
      <c r="AL614">
        <f>OR(AND(IF(metadata!L614="",FALSE,TRUE),OR(exact(metadata!L614,"missing: not collected"),exact(metadata!L614,"missing: not provided"),exact(metadata!L614,"missing: restricted access"))),AND(IF(metadata!L614="",FALSE,ISNUMBER(VALUE(metadata!L614))),metadata!L614&gt;=-180.00,metadata!L614&lt;=180.00))</f>
        <v>0</v>
      </c>
      <c r="AM614">
        <f>IF(metadata!M614="",FALSE,TRUE)</f>
        <v>0</v>
      </c>
      <c r="AN614">
        <f>OR(AND(IF(metadata!N614="",FALSE,TRUE),OR(exact(metadata!N614,"missing: not collected"),exact(metadata!N614,"missing: not provided"),exact(metadata!N614,"missing: restricted access"))),AND(IF(metadata!N614="",FALSE,TRUE),OR(exact(metadata!N614,"TRUE"),exact(metadata!N614,"FALSE"))))</f>
        <v>0</v>
      </c>
      <c r="AO614">
        <f>IF(metadata!O614="",FALSE,TRUE)</f>
        <v>0</v>
      </c>
      <c r="AP614">
        <f>OR(AND(IF(metadata!P614="",FALSE,TRUE),OR(exact(metadata!P614,"missing: not collected"),exact(metadata!P614,"missing: not provided"))),AND(IF(metadata!P614="",FALSE,IF(ISERROR(INT(metadata!P614)),FALSE,INT(metadata!P614)=metadata!P614)),metadata!P614&gt;0))</f>
        <v>0</v>
      </c>
      <c r="AQ614">
        <f>IF(metadata!Q614="",FALSE,TRUE)</f>
        <v>0</v>
      </c>
    </row>
    <row r="615" spans="1:43">
      <c r="A615" s="5">
        <f>IF(B615=" "," ",HYPERLINK(CONCATENATE("#metadata!",ADDRESS(INDEX($W$2:$W$1001,MATCH(ROWS($U$2:U615),$U$2:$U$1001,0),0),1)),INDEX($Z$2:$Z$1001,MATCH(ROWS($U$2:U615),$U$2:$U$1001,0),0)))</f>
        <v>0</v>
      </c>
      <c r="B615" s="4">
        <f>IF(OR(INDEX($V$2:$V$1001,MATCH(ROWS($U$2:U615),$U$2:$U$1001,0),1)&gt;=100000,INDEX($AB$1005:$AQ$1005,1,MATCH(COLUMNS($AB$1006:AB1006),$AB$1006:$AQ$1006,0))&gt;=100000), " ",IF(INDEX($AB$2:$AQ$1001,MATCH(ROWS($U$2:U615),$U$2:$U$1001,0),MATCH(COLUMNS($AB$1006:AB1006),$AB$1006:$AQ$1006,0)), HYPERLINK("#",""), HYPERLINK(CONCATENATE("#metadata!", ADDRESS(INDEX($W$2:$W$1001,MATCH(ROWS($U$2:U615),$U$2:$U$1001,0),0), INDEX($AB$1004:$AQ$1004,1,MATCH(COLUMNS($AB$1006:AB1006),$AB$1006:$AQ$1006,0)))),"Fix")))</f>
        <v>0</v>
      </c>
      <c r="C615" s="4">
        <f>IF(OR(INDEX($V$2:$V$1001,MATCH(ROWS($U$2:U615),$U$2:$U$1001,0),1)&gt;=100000,INDEX($AB$1005:$AQ$1005,1,MATCH(COLUMNS($AB$1006:AC1006),$AB$1006:$AQ$1006,0))&gt;=100000), " ",IF(INDEX($AB$2:$AQ$1001,MATCH(ROWS($U$2:U615),$U$2:$U$1001,0),MATCH(COLUMNS($AB$1006:AC1006),$AB$1006:$AQ$1006,0)), HYPERLINK("#",""), HYPERLINK(CONCATENATE("#metadata!", ADDRESS(INDEX($W$2:$W$1001,MATCH(ROWS($U$2:U615),$U$2:$U$1001,0),0), INDEX($AB$1004:$AQ$1004,1,MATCH(COLUMNS($AB$1006:AC1006),$AB$1006:$AQ$1006,0)))),"Fix")))</f>
        <v>0</v>
      </c>
      <c r="D615" s="4">
        <f>IF(OR(INDEX($V$2:$V$1001,MATCH(ROWS($U$2:U615),$U$2:$U$1001,0),1)&gt;=100000,INDEX($AB$1005:$AQ$1005,1,MATCH(COLUMNS($AB$1006:AD1006),$AB$1006:$AQ$1006,0))&gt;=100000), " ",IF(INDEX($AB$2:$AQ$1001,MATCH(ROWS($U$2:U615),$U$2:$U$1001,0),MATCH(COLUMNS($AB$1006:AD1006),$AB$1006:$AQ$1006,0)), HYPERLINK("#",""), HYPERLINK(CONCATENATE("#metadata!", ADDRESS(INDEX($W$2:$W$1001,MATCH(ROWS($U$2:U615),$U$2:$U$1001,0),0), INDEX($AB$1004:$AQ$1004,1,MATCH(COLUMNS($AB$1006:AD1006),$AB$1006:$AQ$1006,0)))),"Fix")))</f>
        <v>0</v>
      </c>
      <c r="E615" s="4">
        <f>IF(OR(INDEX($V$2:$V$1001,MATCH(ROWS($U$2:U615),$U$2:$U$1001,0),1)&gt;=100000,INDEX($AB$1005:$AQ$1005,1,MATCH(COLUMNS($AB$1006:AE1006),$AB$1006:$AQ$1006,0))&gt;=100000), " ",IF(INDEX($AB$2:$AQ$1001,MATCH(ROWS($U$2:U615),$U$2:$U$1001,0),MATCH(COLUMNS($AB$1006:AE1006),$AB$1006:$AQ$1006,0)), HYPERLINK("#",""), HYPERLINK(CONCATENATE("#metadata!", ADDRESS(INDEX($W$2:$W$1001,MATCH(ROWS($U$2:U615),$U$2:$U$1001,0),0), INDEX($AB$1004:$AQ$1004,1,MATCH(COLUMNS($AB$1006:AE1006),$AB$1006:$AQ$1006,0)))),"Fix")))</f>
        <v>0</v>
      </c>
      <c r="F615" s="4">
        <f>IF(OR(INDEX($V$2:$V$1001,MATCH(ROWS($U$2:U615),$U$2:$U$1001,0),1)&gt;=100000,INDEX($AB$1005:$AQ$1005,1,MATCH(COLUMNS($AB$1006:AF1006),$AB$1006:$AQ$1006,0))&gt;=100000), " ",IF(INDEX($AB$2:$AQ$1001,MATCH(ROWS($U$2:U615),$U$2:$U$1001,0),MATCH(COLUMNS($AB$1006:AF1006),$AB$1006:$AQ$1006,0)), HYPERLINK("#",""), HYPERLINK(CONCATENATE("#metadata!", ADDRESS(INDEX($W$2:$W$1001,MATCH(ROWS($U$2:U615),$U$2:$U$1001,0),0), INDEX($AB$1004:$AQ$1004,1,MATCH(COLUMNS($AB$1006:AF1006),$AB$1006:$AQ$1006,0)))),"Fix")))</f>
        <v>0</v>
      </c>
      <c r="G615" s="4">
        <f>IF(OR(INDEX($V$2:$V$1001,MATCH(ROWS($U$2:U615),$U$2:$U$1001,0),1)&gt;=100000,INDEX($AB$1005:$AQ$1005,1,MATCH(COLUMNS($AB$1006:AG1006),$AB$1006:$AQ$1006,0))&gt;=100000), " ",IF(INDEX($AB$2:$AQ$1001,MATCH(ROWS($U$2:U615),$U$2:$U$1001,0),MATCH(COLUMNS($AB$1006:AG1006),$AB$1006:$AQ$1006,0)), HYPERLINK("#",""), HYPERLINK(CONCATENATE("#metadata!", ADDRESS(INDEX($W$2:$W$1001,MATCH(ROWS($U$2:U615),$U$2:$U$1001,0),0), INDEX($AB$1004:$AQ$1004,1,MATCH(COLUMNS($AB$1006:AG1006),$AB$1006:$AQ$1006,0)))),"Fix")))</f>
        <v>0</v>
      </c>
      <c r="H615" s="4">
        <f>IF(OR(INDEX($V$2:$V$1001,MATCH(ROWS($U$2:U615),$U$2:$U$1001,0),1)&gt;=100000,INDEX($AB$1005:$AQ$1005,1,MATCH(COLUMNS($AB$1006:AH1006),$AB$1006:$AQ$1006,0))&gt;=100000), " ",IF(INDEX($AB$2:$AQ$1001,MATCH(ROWS($U$2:U615),$U$2:$U$1001,0),MATCH(COLUMNS($AB$1006:AH1006),$AB$1006:$AQ$1006,0)), HYPERLINK("#",""), HYPERLINK(CONCATENATE("#metadata!", ADDRESS(INDEX($W$2:$W$1001,MATCH(ROWS($U$2:U615),$U$2:$U$1001,0),0), INDEX($AB$1004:$AQ$1004,1,MATCH(COLUMNS($AB$1006:AH1006),$AB$1006:$AQ$1006,0)))),"Fix")))</f>
        <v>0</v>
      </c>
      <c r="I615" s="4">
        <f>IF(OR(INDEX($V$2:$V$1001,MATCH(ROWS($U$2:U615),$U$2:$U$1001,0),1)&gt;=100000,INDEX($AB$1005:$AQ$1005,1,MATCH(COLUMNS($AB$1006:AI1006),$AB$1006:$AQ$1006,0))&gt;=100000), " ",IF(INDEX($AB$2:$AQ$1001,MATCH(ROWS($U$2:U615),$U$2:$U$1001,0),MATCH(COLUMNS($AB$1006:AI1006),$AB$1006:$AQ$1006,0)), HYPERLINK("#",""), HYPERLINK(CONCATENATE("#metadata!", ADDRESS(INDEX($W$2:$W$1001,MATCH(ROWS($U$2:U615),$U$2:$U$1001,0),0), INDEX($AB$1004:$AQ$1004,1,MATCH(COLUMNS($AB$1006:AI1006),$AB$1006:$AQ$1006,0)))),"Fix")))</f>
        <v>0</v>
      </c>
      <c r="J615" s="4">
        <f>IF(OR(INDEX($V$2:$V$1001,MATCH(ROWS($U$2:U615),$U$2:$U$1001,0),1)&gt;=100000,INDEX($AB$1005:$AQ$1005,1,MATCH(COLUMNS($AB$1006:AJ1006),$AB$1006:$AQ$1006,0))&gt;=100000), " ",IF(INDEX($AB$2:$AQ$1001,MATCH(ROWS($U$2:U615),$U$2:$U$1001,0),MATCH(COLUMNS($AB$1006:AJ1006),$AB$1006:$AQ$1006,0)), HYPERLINK("#",""), HYPERLINK(CONCATENATE("#metadata!", ADDRESS(INDEX($W$2:$W$1001,MATCH(ROWS($U$2:U615),$U$2:$U$1001,0),0), INDEX($AB$1004:$AQ$1004,1,MATCH(COLUMNS($AB$1006:AJ1006),$AB$1006:$AQ$1006,0)))),"Fix")))</f>
        <v>0</v>
      </c>
      <c r="K615" s="4">
        <f>IF(OR(INDEX($V$2:$V$1001,MATCH(ROWS($U$2:U615),$U$2:$U$1001,0),1)&gt;=100000,INDEX($AB$1005:$AQ$1005,1,MATCH(COLUMNS($AB$1006:AK1006),$AB$1006:$AQ$1006,0))&gt;=100000), " ",IF(INDEX($AB$2:$AQ$1001,MATCH(ROWS($U$2:U615),$U$2:$U$1001,0),MATCH(COLUMNS($AB$1006:AK1006),$AB$1006:$AQ$1006,0)), HYPERLINK("#",""), HYPERLINK(CONCATENATE("#metadata!", ADDRESS(INDEX($W$2:$W$1001,MATCH(ROWS($U$2:U615),$U$2:$U$1001,0),0), INDEX($AB$1004:$AQ$1004,1,MATCH(COLUMNS($AB$1006:AK1006),$AB$1006:$AQ$1006,0)))),"Fix")))</f>
        <v>0</v>
      </c>
      <c r="L615" s="4">
        <f>IF(OR(INDEX($V$2:$V$1001,MATCH(ROWS($U$2:U615),$U$2:$U$1001,0),1)&gt;=100000,INDEX($AB$1005:$AQ$1005,1,MATCH(COLUMNS($AB$1006:AL1006),$AB$1006:$AQ$1006,0))&gt;=100000), " ",IF(INDEX($AB$2:$AQ$1001,MATCH(ROWS($U$2:U615),$U$2:$U$1001,0),MATCH(COLUMNS($AB$1006:AL1006),$AB$1006:$AQ$1006,0)), HYPERLINK("#",""), HYPERLINK(CONCATENATE("#metadata!", ADDRESS(INDEX($W$2:$W$1001,MATCH(ROWS($U$2:U615),$U$2:$U$1001,0),0), INDEX($AB$1004:$AQ$1004,1,MATCH(COLUMNS($AB$1006:AL1006),$AB$1006:$AQ$1006,0)))),"Fix")))</f>
        <v>0</v>
      </c>
      <c r="M615" s="4">
        <f>IF(OR(INDEX($V$2:$V$1001,MATCH(ROWS($U$2:U615),$U$2:$U$1001,0),1)&gt;=100000,INDEX($AB$1005:$AQ$1005,1,MATCH(COLUMNS($AB$1006:AM1006),$AB$1006:$AQ$1006,0))&gt;=100000), " ",IF(INDEX($AB$2:$AQ$1001,MATCH(ROWS($U$2:U615),$U$2:$U$1001,0),MATCH(COLUMNS($AB$1006:AM1006),$AB$1006:$AQ$1006,0)), HYPERLINK("#",""), HYPERLINK(CONCATENATE("#metadata!", ADDRESS(INDEX($W$2:$W$1001,MATCH(ROWS($U$2:U615),$U$2:$U$1001,0),0), INDEX($AB$1004:$AQ$1004,1,MATCH(COLUMNS($AB$1006:AM1006),$AB$1006:$AQ$1006,0)))),"Fix")))</f>
        <v>0</v>
      </c>
      <c r="N615" s="4">
        <f>IF(OR(INDEX($V$2:$V$1001,MATCH(ROWS($U$2:U615),$U$2:$U$1001,0),1)&gt;=100000,INDEX($AB$1005:$AQ$1005,1,MATCH(COLUMNS($AB$1006:AN1006),$AB$1006:$AQ$1006,0))&gt;=100000), " ",IF(INDEX($AB$2:$AQ$1001,MATCH(ROWS($U$2:U615),$U$2:$U$1001,0),MATCH(COLUMNS($AB$1006:AN1006),$AB$1006:$AQ$1006,0)), HYPERLINK("#",""), HYPERLINK(CONCATENATE("#metadata!", ADDRESS(INDEX($W$2:$W$1001,MATCH(ROWS($U$2:U615),$U$2:$U$1001,0),0), INDEX($AB$1004:$AQ$1004,1,MATCH(COLUMNS($AB$1006:AN1006),$AB$1006:$AQ$1006,0)))),"Fix")))</f>
        <v>0</v>
      </c>
      <c r="O615" s="4">
        <f>IF(OR(INDEX($V$2:$V$1001,MATCH(ROWS($U$2:U615),$U$2:$U$1001,0),1)&gt;=100000,INDEX($AB$1005:$AQ$1005,1,MATCH(COLUMNS($AB$1006:AO1006),$AB$1006:$AQ$1006,0))&gt;=100000), " ",IF(INDEX($AB$2:$AQ$1001,MATCH(ROWS($U$2:U615),$U$2:$U$1001,0),MATCH(COLUMNS($AB$1006:AO1006),$AB$1006:$AQ$1006,0)), HYPERLINK("#",""), HYPERLINK(CONCATENATE("#metadata!", ADDRESS(INDEX($W$2:$W$1001,MATCH(ROWS($U$2:U615),$U$2:$U$1001,0),0), INDEX($AB$1004:$AQ$1004,1,MATCH(COLUMNS($AB$1006:AO1006),$AB$1006:$AQ$1006,0)))),"Fix")))</f>
        <v>0</v>
      </c>
      <c r="P615" s="4">
        <f>IF(OR(INDEX($V$2:$V$1001,MATCH(ROWS($U$2:U615),$U$2:$U$1001,0),1)&gt;=100000,INDEX($AB$1005:$AQ$1005,1,MATCH(COLUMNS($AB$1006:AP1006),$AB$1006:$AQ$1006,0))&gt;=100000), " ",IF(INDEX($AB$2:$AQ$1001,MATCH(ROWS($U$2:U615),$U$2:$U$1001,0),MATCH(COLUMNS($AB$1006:AP1006),$AB$1006:$AQ$1006,0)), HYPERLINK("#",""), HYPERLINK(CONCATENATE("#metadata!", ADDRESS(INDEX($W$2:$W$1001,MATCH(ROWS($U$2:U615),$U$2:$U$1001,0),0), INDEX($AB$1004:$AQ$1004,1,MATCH(COLUMNS($AB$1006:AP1006),$AB$1006:$AQ$1006,0)))),"Fix")))</f>
        <v>0</v>
      </c>
      <c r="Q615" s="4">
        <f>IF(OR(INDEX($V$2:$V$1001,MATCH(ROWS($U$2:U615),$U$2:$U$1001,0),1)&gt;=100000,INDEX($AB$1005:$AQ$1005,1,MATCH(COLUMNS($AB$1006:AQ1006),$AB$1006:$AQ$1006,0))&gt;=100000), " ",IF(INDEX($AB$2:$AQ$1001,MATCH(ROWS($U$2:U615),$U$2:$U$1001,0),MATCH(COLUMNS($AB$1006:AQ1006),$AB$1006:$AQ$1006,0)), HYPERLINK("#",""), HYPERLINK(CONCATENATE("#metadata!", ADDRESS(INDEX($W$2:$W$1001,MATCH(ROWS($U$2:U615),$U$2:$U$1001,0),0), INDEX($AB$1004:$AQ$1004,1,MATCH(COLUMNS($AB$1006:AQ1006),$AB$1006:$AQ$1006,0)))),"Fix")))</f>
        <v>0</v>
      </c>
      <c r="U615">
        <v>0</v>
      </c>
      <c r="V615">
        <v>0</v>
      </c>
      <c r="W615">
        <v>0</v>
      </c>
      <c r="X615">
        <f>IF(Y615,TRUE,AND(AB615:AQ615))</f>
        <v>0</v>
      </c>
      <c r="Y615">
        <f>COUNTBLANK(metadata!B615:Q615)=COLUMNS(metadata!B615:Q615)</f>
        <v>0</v>
      </c>
      <c r="Z615">
        <v>0</v>
      </c>
      <c r="AB615">
        <f>AND(IF(metadata!B615="",FALSE,TRUE),COUNTIF(metadata!B:B, metadata!B615) = 1,NOT(ISERROR(SUMPRODUCT(SEARCH(MID(metadata!B615,ROW(INDIRECT("1:"&amp;LEN(metadata!B615))), 1),"0123456789abcdefghijklmnopqrstuvwxyzABCDEFGHIJKLMNOPQRSTUVWXYZ.")))))</f>
        <v>0</v>
      </c>
      <c r="AC615">
        <f>OR(AND(IF(metadata!C615="",FALSE,TRUE),OR(exact(metadata!C615,"missing: not collected"),exact(metadata!C615,"missing: not provided"),exact(metadata!C615,"missing: restricted access"))),AND(IF(metadata!C615="",FALSE,TRUE),AND(AND(IFERROR(INT(LEFT(metadata!C615,4))&gt;1900,FALSE),IFERROR(INT(LEFT(metadata!C615,4))&lt;=YEAR(NOW()),FALSE)), OR(MID(metadata!C615,5,1)="", AND(AND(MID(metadata!C615,5,1)="-",IFERROR(INT(MID(metadata!C615,6,1))&gt;=0,FALSE),IFERROR(INT(MID(metadata!C615,6,1))&lt;=1,FALSE),NOT(MID(metadata!C615,7,1)=""),IFERROR(INT(MID(metadata!C615,6,2))&gt;=1,FALSE),IFERROR(INT(MID(metadata!C615,6,2))&lt;=12,FALSE)), OR(MID(metadata!C615,8,1)="", AND(AND(MID(metadata!C615,8,1)="-",IFERROR(INT(MID(metadata!C615,9,1))&gt;=0,FALSE),IFERROR(INT(MID(metadata!C615,9,1))&lt;=3,FALSE),NOT(MID(metadata!C615,10,1)=""),IFERROR(INT(MID(metadata!C615,9,2))&gt;=1,FALSE),IFERROR(INT(MID(metadata!C615,9,2))&lt;=31,FALSE)), OR(MID(metadata!C615,11,1)="", AND(AND(MID(metadata!C615,11,1)=" ",IFERROR(INT(MID(metadata!C615,12,1))&gt;=0,FALSE),IFERROR(INT(MID(metadata!C615,12,1))&lt;=2,FALSE),NOT(MID(metadata!C615,13,1)=""),IFERROR(INT(MID(metadata!C615,12,2))&gt;=0,FALSE),IFERROR(INT(MID(metadata!C615,12,2))&lt;=23,FALSE)), OR(MID(metadata!C615,14,1)="", AND(AND(MID(metadata!C615,14,1)=":",IFERROR(INT(MID(metadata!C615,15,1))&gt;=0,FALSE),IFERROR(INT(MID(metadata!C615,15,1))&lt;=5,FALSE),NOT(MID(metadata!C615,16,1)=""),IFERROR(INT(MID(metadata!C615,15,2))&gt;=0,FALSE),IFERROR(INT(MID(metadata!C615,15,2))&lt;=59,FALSE)), OR(MID(metadata!C615,17,1)="", AND(AND(MID(metadata!C615,17,1)=":",IFERROR(INT(MID(metadata!C615,18,1))&gt;=0,FALSE),IFERROR(INT(MID(metadata!C615,18,1))&lt;=5,FALSE),NOT(MID(metadata!C615,19,1)=""),IFERROR(INT(MID(metadata!C615,18,2))&gt;=0,FALSE),IFERROR(INT(MID(metadata!C615,18,2))&lt;=59,FALSE)), LEN(metadata!C615)&lt;=19)))))))))))))</f>
        <v>0</v>
      </c>
      <c r="AD615">
        <f>IF(metadata!D615="",FALSE,TRUE)</f>
        <v>0</v>
      </c>
      <c r="AE615">
        <f>OR(AND(IF(metadata!E615="",FALSE,TRUE),OR(exact(metadata!E615,"missing: not collected"),exact(metadata!E615,"missing: not provided"))),AND(IF(metadata!E615="",FALSE,TRUE),OR(exact(metadata!E615,"TRUE"),exact(metadata!E615,"FALSE"))))</f>
        <v>0</v>
      </c>
      <c r="AF615">
        <f>IF(metadata!F615="",FALSE,TRUE)</f>
        <v>0</v>
      </c>
      <c r="AG615">
        <f>IF(metadata!G615="",FALSE,TRUE)</f>
        <v>0</v>
      </c>
      <c r="AH615">
        <f>IF(metadata!H615="",FALSE,TRUE)</f>
        <v>0</v>
      </c>
      <c r="AI615">
        <f>OR(AND(IF(metadata!I615="",FALSE,TRUE),OR(exact(metadata!I615,"missing: not collected"),exact(metadata!I615,"missing: not provided"),exact(metadata!I615,"missing: restricted access"))),AND(IF(metadata!I615="",FALSE,TRUE),OR(exact(metadata!I615,"air"),exact(metadata!I615,"built environment"),exact(metadata!I615,"host-associated"),exact(metadata!I615,"human-associated"),exact(metadata!I615,"human-skin"),exact(metadata!I615,"human-oral"),exact(metadata!I615,"human-gut"),exact(metadata!I615,"human-vaginal"),exact(metadata!I615,"microbial mat/biofilm"),exact(metadata!I615,"misc environment"),exact(metadata!I615,"plant-associated"),exact(metadata!I615,"sediment"),exact(metadata!I615,"soil"),exact(metadata!I615,"wastewater/sludge"),exact(metadata!I615,"water"))))</f>
        <v>0</v>
      </c>
      <c r="AJ615">
        <f>IF(metadata!J615="",FALSE,TRUE)</f>
        <v>0</v>
      </c>
      <c r="AK615">
        <f>OR(AND(IF(metadata!K615="",FALSE,TRUE),OR(exact(metadata!K615,"missing: not collected"),exact(metadata!K615,"missing: not provided"),exact(metadata!K615,"missing: restricted access"))),AND(IF(metadata!K615="",FALSE,ISNUMBER(VALUE(metadata!K615))),metadata!K615&gt;=-90.00,metadata!K615&lt;=90.00))</f>
        <v>0</v>
      </c>
      <c r="AL615">
        <f>OR(AND(IF(metadata!L615="",FALSE,TRUE),OR(exact(metadata!L615,"missing: not collected"),exact(metadata!L615,"missing: not provided"),exact(metadata!L615,"missing: restricted access"))),AND(IF(metadata!L615="",FALSE,ISNUMBER(VALUE(metadata!L615))),metadata!L615&gt;=-180.00,metadata!L615&lt;=180.00))</f>
        <v>0</v>
      </c>
      <c r="AM615">
        <f>IF(metadata!M615="",FALSE,TRUE)</f>
        <v>0</v>
      </c>
      <c r="AN615">
        <f>OR(AND(IF(metadata!N615="",FALSE,TRUE),OR(exact(metadata!N615,"missing: not collected"),exact(metadata!N615,"missing: not provided"),exact(metadata!N615,"missing: restricted access"))),AND(IF(metadata!N615="",FALSE,TRUE),OR(exact(metadata!N615,"TRUE"),exact(metadata!N615,"FALSE"))))</f>
        <v>0</v>
      </c>
      <c r="AO615">
        <f>IF(metadata!O615="",FALSE,TRUE)</f>
        <v>0</v>
      </c>
      <c r="AP615">
        <f>OR(AND(IF(metadata!P615="",FALSE,TRUE),OR(exact(metadata!P615,"missing: not collected"),exact(metadata!P615,"missing: not provided"))),AND(IF(metadata!P615="",FALSE,IF(ISERROR(INT(metadata!P615)),FALSE,INT(metadata!P615)=metadata!P615)),metadata!P615&gt;0))</f>
        <v>0</v>
      </c>
      <c r="AQ615">
        <f>IF(metadata!Q615="",FALSE,TRUE)</f>
        <v>0</v>
      </c>
    </row>
    <row r="616" spans="1:43">
      <c r="A616" s="5">
        <f>IF(B616=" "," ",HYPERLINK(CONCATENATE("#metadata!",ADDRESS(INDEX($W$2:$W$1001,MATCH(ROWS($U$2:U616),$U$2:$U$1001,0),0),1)),INDEX($Z$2:$Z$1001,MATCH(ROWS($U$2:U616),$U$2:$U$1001,0),0)))</f>
        <v>0</v>
      </c>
      <c r="B616" s="4">
        <f>IF(OR(INDEX($V$2:$V$1001,MATCH(ROWS($U$2:U616),$U$2:$U$1001,0),1)&gt;=100000,INDEX($AB$1005:$AQ$1005,1,MATCH(COLUMNS($AB$1006:AB1006),$AB$1006:$AQ$1006,0))&gt;=100000), " ",IF(INDEX($AB$2:$AQ$1001,MATCH(ROWS($U$2:U616),$U$2:$U$1001,0),MATCH(COLUMNS($AB$1006:AB1006),$AB$1006:$AQ$1006,0)), HYPERLINK("#",""), HYPERLINK(CONCATENATE("#metadata!", ADDRESS(INDEX($W$2:$W$1001,MATCH(ROWS($U$2:U616),$U$2:$U$1001,0),0), INDEX($AB$1004:$AQ$1004,1,MATCH(COLUMNS($AB$1006:AB1006),$AB$1006:$AQ$1006,0)))),"Fix")))</f>
        <v>0</v>
      </c>
      <c r="C616" s="4">
        <f>IF(OR(INDEX($V$2:$V$1001,MATCH(ROWS($U$2:U616),$U$2:$U$1001,0),1)&gt;=100000,INDEX($AB$1005:$AQ$1005,1,MATCH(COLUMNS($AB$1006:AC1006),$AB$1006:$AQ$1006,0))&gt;=100000), " ",IF(INDEX($AB$2:$AQ$1001,MATCH(ROWS($U$2:U616),$U$2:$U$1001,0),MATCH(COLUMNS($AB$1006:AC1006),$AB$1006:$AQ$1006,0)), HYPERLINK("#",""), HYPERLINK(CONCATENATE("#metadata!", ADDRESS(INDEX($W$2:$W$1001,MATCH(ROWS($U$2:U616),$U$2:$U$1001,0),0), INDEX($AB$1004:$AQ$1004,1,MATCH(COLUMNS($AB$1006:AC1006),$AB$1006:$AQ$1006,0)))),"Fix")))</f>
        <v>0</v>
      </c>
      <c r="D616" s="4">
        <f>IF(OR(INDEX($V$2:$V$1001,MATCH(ROWS($U$2:U616),$U$2:$U$1001,0),1)&gt;=100000,INDEX($AB$1005:$AQ$1005,1,MATCH(COLUMNS($AB$1006:AD1006),$AB$1006:$AQ$1006,0))&gt;=100000), " ",IF(INDEX($AB$2:$AQ$1001,MATCH(ROWS($U$2:U616),$U$2:$U$1001,0),MATCH(COLUMNS($AB$1006:AD1006),$AB$1006:$AQ$1006,0)), HYPERLINK("#",""), HYPERLINK(CONCATENATE("#metadata!", ADDRESS(INDEX($W$2:$W$1001,MATCH(ROWS($U$2:U616),$U$2:$U$1001,0),0), INDEX($AB$1004:$AQ$1004,1,MATCH(COLUMNS($AB$1006:AD1006),$AB$1006:$AQ$1006,0)))),"Fix")))</f>
        <v>0</v>
      </c>
      <c r="E616" s="4">
        <f>IF(OR(INDEX($V$2:$V$1001,MATCH(ROWS($U$2:U616),$U$2:$U$1001,0),1)&gt;=100000,INDEX($AB$1005:$AQ$1005,1,MATCH(COLUMNS($AB$1006:AE1006),$AB$1006:$AQ$1006,0))&gt;=100000), " ",IF(INDEX($AB$2:$AQ$1001,MATCH(ROWS($U$2:U616),$U$2:$U$1001,0),MATCH(COLUMNS($AB$1006:AE1006),$AB$1006:$AQ$1006,0)), HYPERLINK("#",""), HYPERLINK(CONCATENATE("#metadata!", ADDRESS(INDEX($W$2:$W$1001,MATCH(ROWS($U$2:U616),$U$2:$U$1001,0),0), INDEX($AB$1004:$AQ$1004,1,MATCH(COLUMNS($AB$1006:AE1006),$AB$1006:$AQ$1006,0)))),"Fix")))</f>
        <v>0</v>
      </c>
      <c r="F616" s="4">
        <f>IF(OR(INDEX($V$2:$V$1001,MATCH(ROWS($U$2:U616),$U$2:$U$1001,0),1)&gt;=100000,INDEX($AB$1005:$AQ$1005,1,MATCH(COLUMNS($AB$1006:AF1006),$AB$1006:$AQ$1006,0))&gt;=100000), " ",IF(INDEX($AB$2:$AQ$1001,MATCH(ROWS($U$2:U616),$U$2:$U$1001,0),MATCH(COLUMNS($AB$1006:AF1006),$AB$1006:$AQ$1006,0)), HYPERLINK("#",""), HYPERLINK(CONCATENATE("#metadata!", ADDRESS(INDEX($W$2:$W$1001,MATCH(ROWS($U$2:U616),$U$2:$U$1001,0),0), INDEX($AB$1004:$AQ$1004,1,MATCH(COLUMNS($AB$1006:AF1006),$AB$1006:$AQ$1006,0)))),"Fix")))</f>
        <v>0</v>
      </c>
      <c r="G616" s="4">
        <f>IF(OR(INDEX($V$2:$V$1001,MATCH(ROWS($U$2:U616),$U$2:$U$1001,0),1)&gt;=100000,INDEX($AB$1005:$AQ$1005,1,MATCH(COLUMNS($AB$1006:AG1006),$AB$1006:$AQ$1006,0))&gt;=100000), " ",IF(INDEX($AB$2:$AQ$1001,MATCH(ROWS($U$2:U616),$U$2:$U$1001,0),MATCH(COLUMNS($AB$1006:AG1006),$AB$1006:$AQ$1006,0)), HYPERLINK("#",""), HYPERLINK(CONCATENATE("#metadata!", ADDRESS(INDEX($W$2:$W$1001,MATCH(ROWS($U$2:U616),$U$2:$U$1001,0),0), INDEX($AB$1004:$AQ$1004,1,MATCH(COLUMNS($AB$1006:AG1006),$AB$1006:$AQ$1006,0)))),"Fix")))</f>
        <v>0</v>
      </c>
      <c r="H616" s="4">
        <f>IF(OR(INDEX($V$2:$V$1001,MATCH(ROWS($U$2:U616),$U$2:$U$1001,0),1)&gt;=100000,INDEX($AB$1005:$AQ$1005,1,MATCH(COLUMNS($AB$1006:AH1006),$AB$1006:$AQ$1006,0))&gt;=100000), " ",IF(INDEX($AB$2:$AQ$1001,MATCH(ROWS($U$2:U616),$U$2:$U$1001,0),MATCH(COLUMNS($AB$1006:AH1006),$AB$1006:$AQ$1006,0)), HYPERLINK("#",""), HYPERLINK(CONCATENATE("#metadata!", ADDRESS(INDEX($W$2:$W$1001,MATCH(ROWS($U$2:U616),$U$2:$U$1001,0),0), INDEX($AB$1004:$AQ$1004,1,MATCH(COLUMNS($AB$1006:AH1006),$AB$1006:$AQ$1006,0)))),"Fix")))</f>
        <v>0</v>
      </c>
      <c r="I616" s="4">
        <f>IF(OR(INDEX($V$2:$V$1001,MATCH(ROWS($U$2:U616),$U$2:$U$1001,0),1)&gt;=100000,INDEX($AB$1005:$AQ$1005,1,MATCH(COLUMNS($AB$1006:AI1006),$AB$1006:$AQ$1006,0))&gt;=100000), " ",IF(INDEX($AB$2:$AQ$1001,MATCH(ROWS($U$2:U616),$U$2:$U$1001,0),MATCH(COLUMNS($AB$1006:AI1006),$AB$1006:$AQ$1006,0)), HYPERLINK("#",""), HYPERLINK(CONCATENATE("#metadata!", ADDRESS(INDEX($W$2:$W$1001,MATCH(ROWS($U$2:U616),$U$2:$U$1001,0),0), INDEX($AB$1004:$AQ$1004,1,MATCH(COLUMNS($AB$1006:AI1006),$AB$1006:$AQ$1006,0)))),"Fix")))</f>
        <v>0</v>
      </c>
      <c r="J616" s="4">
        <f>IF(OR(INDEX($V$2:$V$1001,MATCH(ROWS($U$2:U616),$U$2:$U$1001,0),1)&gt;=100000,INDEX($AB$1005:$AQ$1005,1,MATCH(COLUMNS($AB$1006:AJ1006),$AB$1006:$AQ$1006,0))&gt;=100000), " ",IF(INDEX($AB$2:$AQ$1001,MATCH(ROWS($U$2:U616),$U$2:$U$1001,0),MATCH(COLUMNS($AB$1006:AJ1006),$AB$1006:$AQ$1006,0)), HYPERLINK("#",""), HYPERLINK(CONCATENATE("#metadata!", ADDRESS(INDEX($W$2:$W$1001,MATCH(ROWS($U$2:U616),$U$2:$U$1001,0),0), INDEX($AB$1004:$AQ$1004,1,MATCH(COLUMNS($AB$1006:AJ1006),$AB$1006:$AQ$1006,0)))),"Fix")))</f>
        <v>0</v>
      </c>
      <c r="K616" s="4">
        <f>IF(OR(INDEX($V$2:$V$1001,MATCH(ROWS($U$2:U616),$U$2:$U$1001,0),1)&gt;=100000,INDEX($AB$1005:$AQ$1005,1,MATCH(COLUMNS($AB$1006:AK1006),$AB$1006:$AQ$1006,0))&gt;=100000), " ",IF(INDEX($AB$2:$AQ$1001,MATCH(ROWS($U$2:U616),$U$2:$U$1001,0),MATCH(COLUMNS($AB$1006:AK1006),$AB$1006:$AQ$1006,0)), HYPERLINK("#",""), HYPERLINK(CONCATENATE("#metadata!", ADDRESS(INDEX($W$2:$W$1001,MATCH(ROWS($U$2:U616),$U$2:$U$1001,0),0), INDEX($AB$1004:$AQ$1004,1,MATCH(COLUMNS($AB$1006:AK1006),$AB$1006:$AQ$1006,0)))),"Fix")))</f>
        <v>0</v>
      </c>
      <c r="L616" s="4">
        <f>IF(OR(INDEX($V$2:$V$1001,MATCH(ROWS($U$2:U616),$U$2:$U$1001,0),1)&gt;=100000,INDEX($AB$1005:$AQ$1005,1,MATCH(COLUMNS($AB$1006:AL1006),$AB$1006:$AQ$1006,0))&gt;=100000), " ",IF(INDEX($AB$2:$AQ$1001,MATCH(ROWS($U$2:U616),$U$2:$U$1001,0),MATCH(COLUMNS($AB$1006:AL1006),$AB$1006:$AQ$1006,0)), HYPERLINK("#",""), HYPERLINK(CONCATENATE("#metadata!", ADDRESS(INDEX($W$2:$W$1001,MATCH(ROWS($U$2:U616),$U$2:$U$1001,0),0), INDEX($AB$1004:$AQ$1004,1,MATCH(COLUMNS($AB$1006:AL1006),$AB$1006:$AQ$1006,0)))),"Fix")))</f>
        <v>0</v>
      </c>
      <c r="M616" s="4">
        <f>IF(OR(INDEX($V$2:$V$1001,MATCH(ROWS($U$2:U616),$U$2:$U$1001,0),1)&gt;=100000,INDEX($AB$1005:$AQ$1005,1,MATCH(COLUMNS($AB$1006:AM1006),$AB$1006:$AQ$1006,0))&gt;=100000), " ",IF(INDEX($AB$2:$AQ$1001,MATCH(ROWS($U$2:U616),$U$2:$U$1001,0),MATCH(COLUMNS($AB$1006:AM1006),$AB$1006:$AQ$1006,0)), HYPERLINK("#",""), HYPERLINK(CONCATENATE("#metadata!", ADDRESS(INDEX($W$2:$W$1001,MATCH(ROWS($U$2:U616),$U$2:$U$1001,0),0), INDEX($AB$1004:$AQ$1004,1,MATCH(COLUMNS($AB$1006:AM1006),$AB$1006:$AQ$1006,0)))),"Fix")))</f>
        <v>0</v>
      </c>
      <c r="N616" s="4">
        <f>IF(OR(INDEX($V$2:$V$1001,MATCH(ROWS($U$2:U616),$U$2:$U$1001,0),1)&gt;=100000,INDEX($AB$1005:$AQ$1005,1,MATCH(COLUMNS($AB$1006:AN1006),$AB$1006:$AQ$1006,0))&gt;=100000), " ",IF(INDEX($AB$2:$AQ$1001,MATCH(ROWS($U$2:U616),$U$2:$U$1001,0),MATCH(COLUMNS($AB$1006:AN1006),$AB$1006:$AQ$1006,0)), HYPERLINK("#",""), HYPERLINK(CONCATENATE("#metadata!", ADDRESS(INDEX($W$2:$W$1001,MATCH(ROWS($U$2:U616),$U$2:$U$1001,0),0), INDEX($AB$1004:$AQ$1004,1,MATCH(COLUMNS($AB$1006:AN1006),$AB$1006:$AQ$1006,0)))),"Fix")))</f>
        <v>0</v>
      </c>
      <c r="O616" s="4">
        <f>IF(OR(INDEX($V$2:$V$1001,MATCH(ROWS($U$2:U616),$U$2:$U$1001,0),1)&gt;=100000,INDEX($AB$1005:$AQ$1005,1,MATCH(COLUMNS($AB$1006:AO1006),$AB$1006:$AQ$1006,0))&gt;=100000), " ",IF(INDEX($AB$2:$AQ$1001,MATCH(ROWS($U$2:U616),$U$2:$U$1001,0),MATCH(COLUMNS($AB$1006:AO1006),$AB$1006:$AQ$1006,0)), HYPERLINK("#",""), HYPERLINK(CONCATENATE("#metadata!", ADDRESS(INDEX($W$2:$W$1001,MATCH(ROWS($U$2:U616),$U$2:$U$1001,0),0), INDEX($AB$1004:$AQ$1004,1,MATCH(COLUMNS($AB$1006:AO1006),$AB$1006:$AQ$1006,0)))),"Fix")))</f>
        <v>0</v>
      </c>
      <c r="P616" s="4">
        <f>IF(OR(INDEX($V$2:$V$1001,MATCH(ROWS($U$2:U616),$U$2:$U$1001,0),1)&gt;=100000,INDEX($AB$1005:$AQ$1005,1,MATCH(COLUMNS($AB$1006:AP1006),$AB$1006:$AQ$1006,0))&gt;=100000), " ",IF(INDEX($AB$2:$AQ$1001,MATCH(ROWS($U$2:U616),$U$2:$U$1001,0),MATCH(COLUMNS($AB$1006:AP1006),$AB$1006:$AQ$1006,0)), HYPERLINK("#",""), HYPERLINK(CONCATENATE("#metadata!", ADDRESS(INDEX($W$2:$W$1001,MATCH(ROWS($U$2:U616),$U$2:$U$1001,0),0), INDEX($AB$1004:$AQ$1004,1,MATCH(COLUMNS($AB$1006:AP1006),$AB$1006:$AQ$1006,0)))),"Fix")))</f>
        <v>0</v>
      </c>
      <c r="Q616" s="4">
        <f>IF(OR(INDEX($V$2:$V$1001,MATCH(ROWS($U$2:U616),$U$2:$U$1001,0),1)&gt;=100000,INDEX($AB$1005:$AQ$1005,1,MATCH(COLUMNS($AB$1006:AQ1006),$AB$1006:$AQ$1006,0))&gt;=100000), " ",IF(INDEX($AB$2:$AQ$1001,MATCH(ROWS($U$2:U616),$U$2:$U$1001,0),MATCH(COLUMNS($AB$1006:AQ1006),$AB$1006:$AQ$1006,0)), HYPERLINK("#",""), HYPERLINK(CONCATENATE("#metadata!", ADDRESS(INDEX($W$2:$W$1001,MATCH(ROWS($U$2:U616),$U$2:$U$1001,0),0), INDEX($AB$1004:$AQ$1004,1,MATCH(COLUMNS($AB$1006:AQ1006),$AB$1006:$AQ$1006,0)))),"Fix")))</f>
        <v>0</v>
      </c>
      <c r="U616">
        <v>0</v>
      </c>
      <c r="V616">
        <v>0</v>
      </c>
      <c r="W616">
        <v>0</v>
      </c>
      <c r="X616">
        <f>IF(Y616,TRUE,AND(AB616:AQ616))</f>
        <v>0</v>
      </c>
      <c r="Y616">
        <f>COUNTBLANK(metadata!B616:Q616)=COLUMNS(metadata!B616:Q616)</f>
        <v>0</v>
      </c>
      <c r="Z616">
        <v>0</v>
      </c>
      <c r="AB616">
        <f>AND(IF(metadata!B616="",FALSE,TRUE),COUNTIF(metadata!B:B, metadata!B616) = 1,NOT(ISERROR(SUMPRODUCT(SEARCH(MID(metadata!B616,ROW(INDIRECT("1:"&amp;LEN(metadata!B616))), 1),"0123456789abcdefghijklmnopqrstuvwxyzABCDEFGHIJKLMNOPQRSTUVWXYZ.")))))</f>
        <v>0</v>
      </c>
      <c r="AC616">
        <f>OR(AND(IF(metadata!C616="",FALSE,TRUE),OR(exact(metadata!C616,"missing: not collected"),exact(metadata!C616,"missing: not provided"),exact(metadata!C616,"missing: restricted access"))),AND(IF(metadata!C616="",FALSE,TRUE),AND(AND(IFERROR(INT(LEFT(metadata!C616,4))&gt;1900,FALSE),IFERROR(INT(LEFT(metadata!C616,4))&lt;=YEAR(NOW()),FALSE)), OR(MID(metadata!C616,5,1)="", AND(AND(MID(metadata!C616,5,1)="-",IFERROR(INT(MID(metadata!C616,6,1))&gt;=0,FALSE),IFERROR(INT(MID(metadata!C616,6,1))&lt;=1,FALSE),NOT(MID(metadata!C616,7,1)=""),IFERROR(INT(MID(metadata!C616,6,2))&gt;=1,FALSE),IFERROR(INT(MID(metadata!C616,6,2))&lt;=12,FALSE)), OR(MID(metadata!C616,8,1)="", AND(AND(MID(metadata!C616,8,1)="-",IFERROR(INT(MID(metadata!C616,9,1))&gt;=0,FALSE),IFERROR(INT(MID(metadata!C616,9,1))&lt;=3,FALSE),NOT(MID(metadata!C616,10,1)=""),IFERROR(INT(MID(metadata!C616,9,2))&gt;=1,FALSE),IFERROR(INT(MID(metadata!C616,9,2))&lt;=31,FALSE)), OR(MID(metadata!C616,11,1)="", AND(AND(MID(metadata!C616,11,1)=" ",IFERROR(INT(MID(metadata!C616,12,1))&gt;=0,FALSE),IFERROR(INT(MID(metadata!C616,12,1))&lt;=2,FALSE),NOT(MID(metadata!C616,13,1)=""),IFERROR(INT(MID(metadata!C616,12,2))&gt;=0,FALSE),IFERROR(INT(MID(metadata!C616,12,2))&lt;=23,FALSE)), OR(MID(metadata!C616,14,1)="", AND(AND(MID(metadata!C616,14,1)=":",IFERROR(INT(MID(metadata!C616,15,1))&gt;=0,FALSE),IFERROR(INT(MID(metadata!C616,15,1))&lt;=5,FALSE),NOT(MID(metadata!C616,16,1)=""),IFERROR(INT(MID(metadata!C616,15,2))&gt;=0,FALSE),IFERROR(INT(MID(metadata!C616,15,2))&lt;=59,FALSE)), OR(MID(metadata!C616,17,1)="", AND(AND(MID(metadata!C616,17,1)=":",IFERROR(INT(MID(metadata!C616,18,1))&gt;=0,FALSE),IFERROR(INT(MID(metadata!C616,18,1))&lt;=5,FALSE),NOT(MID(metadata!C616,19,1)=""),IFERROR(INT(MID(metadata!C616,18,2))&gt;=0,FALSE),IFERROR(INT(MID(metadata!C616,18,2))&lt;=59,FALSE)), LEN(metadata!C616)&lt;=19)))))))))))))</f>
        <v>0</v>
      </c>
      <c r="AD616">
        <f>IF(metadata!D616="",FALSE,TRUE)</f>
        <v>0</v>
      </c>
      <c r="AE616">
        <f>OR(AND(IF(metadata!E616="",FALSE,TRUE),OR(exact(metadata!E616,"missing: not collected"),exact(metadata!E616,"missing: not provided"))),AND(IF(metadata!E616="",FALSE,TRUE),OR(exact(metadata!E616,"TRUE"),exact(metadata!E616,"FALSE"))))</f>
        <v>0</v>
      </c>
      <c r="AF616">
        <f>IF(metadata!F616="",FALSE,TRUE)</f>
        <v>0</v>
      </c>
      <c r="AG616">
        <f>IF(metadata!G616="",FALSE,TRUE)</f>
        <v>0</v>
      </c>
      <c r="AH616">
        <f>IF(metadata!H616="",FALSE,TRUE)</f>
        <v>0</v>
      </c>
      <c r="AI616">
        <f>OR(AND(IF(metadata!I616="",FALSE,TRUE),OR(exact(metadata!I616,"missing: not collected"),exact(metadata!I616,"missing: not provided"),exact(metadata!I616,"missing: restricted access"))),AND(IF(metadata!I616="",FALSE,TRUE),OR(exact(metadata!I616,"air"),exact(metadata!I616,"built environment"),exact(metadata!I616,"host-associated"),exact(metadata!I616,"human-associated"),exact(metadata!I616,"human-skin"),exact(metadata!I616,"human-oral"),exact(metadata!I616,"human-gut"),exact(metadata!I616,"human-vaginal"),exact(metadata!I616,"microbial mat/biofilm"),exact(metadata!I616,"misc environment"),exact(metadata!I616,"plant-associated"),exact(metadata!I616,"sediment"),exact(metadata!I616,"soil"),exact(metadata!I616,"wastewater/sludge"),exact(metadata!I616,"water"))))</f>
        <v>0</v>
      </c>
      <c r="AJ616">
        <f>IF(metadata!J616="",FALSE,TRUE)</f>
        <v>0</v>
      </c>
      <c r="AK616">
        <f>OR(AND(IF(metadata!K616="",FALSE,TRUE),OR(exact(metadata!K616,"missing: not collected"),exact(metadata!K616,"missing: not provided"),exact(metadata!K616,"missing: restricted access"))),AND(IF(metadata!K616="",FALSE,ISNUMBER(VALUE(metadata!K616))),metadata!K616&gt;=-90.00,metadata!K616&lt;=90.00))</f>
        <v>0</v>
      </c>
      <c r="AL616">
        <f>OR(AND(IF(metadata!L616="",FALSE,TRUE),OR(exact(metadata!L616,"missing: not collected"),exact(metadata!L616,"missing: not provided"),exact(metadata!L616,"missing: restricted access"))),AND(IF(metadata!L616="",FALSE,ISNUMBER(VALUE(metadata!L616))),metadata!L616&gt;=-180.00,metadata!L616&lt;=180.00))</f>
        <v>0</v>
      </c>
      <c r="AM616">
        <f>IF(metadata!M616="",FALSE,TRUE)</f>
        <v>0</v>
      </c>
      <c r="AN616">
        <f>OR(AND(IF(metadata!N616="",FALSE,TRUE),OR(exact(metadata!N616,"missing: not collected"),exact(metadata!N616,"missing: not provided"),exact(metadata!N616,"missing: restricted access"))),AND(IF(metadata!N616="",FALSE,TRUE),OR(exact(metadata!N616,"TRUE"),exact(metadata!N616,"FALSE"))))</f>
        <v>0</v>
      </c>
      <c r="AO616">
        <f>IF(metadata!O616="",FALSE,TRUE)</f>
        <v>0</v>
      </c>
      <c r="AP616">
        <f>OR(AND(IF(metadata!P616="",FALSE,TRUE),OR(exact(metadata!P616,"missing: not collected"),exact(metadata!P616,"missing: not provided"))),AND(IF(metadata!P616="",FALSE,IF(ISERROR(INT(metadata!P616)),FALSE,INT(metadata!P616)=metadata!P616)),metadata!P616&gt;0))</f>
        <v>0</v>
      </c>
      <c r="AQ616">
        <f>IF(metadata!Q616="",FALSE,TRUE)</f>
        <v>0</v>
      </c>
    </row>
    <row r="617" spans="1:43">
      <c r="A617" s="5">
        <f>IF(B617=" "," ",HYPERLINK(CONCATENATE("#metadata!",ADDRESS(INDEX($W$2:$W$1001,MATCH(ROWS($U$2:U617),$U$2:$U$1001,0),0),1)),INDEX($Z$2:$Z$1001,MATCH(ROWS($U$2:U617),$U$2:$U$1001,0),0)))</f>
        <v>0</v>
      </c>
      <c r="B617" s="4">
        <f>IF(OR(INDEX($V$2:$V$1001,MATCH(ROWS($U$2:U617),$U$2:$U$1001,0),1)&gt;=100000,INDEX($AB$1005:$AQ$1005,1,MATCH(COLUMNS($AB$1006:AB1006),$AB$1006:$AQ$1006,0))&gt;=100000), " ",IF(INDEX($AB$2:$AQ$1001,MATCH(ROWS($U$2:U617),$U$2:$U$1001,0),MATCH(COLUMNS($AB$1006:AB1006),$AB$1006:$AQ$1006,0)), HYPERLINK("#",""), HYPERLINK(CONCATENATE("#metadata!", ADDRESS(INDEX($W$2:$W$1001,MATCH(ROWS($U$2:U617),$U$2:$U$1001,0),0), INDEX($AB$1004:$AQ$1004,1,MATCH(COLUMNS($AB$1006:AB1006),$AB$1006:$AQ$1006,0)))),"Fix")))</f>
        <v>0</v>
      </c>
      <c r="C617" s="4">
        <f>IF(OR(INDEX($V$2:$V$1001,MATCH(ROWS($U$2:U617),$U$2:$U$1001,0),1)&gt;=100000,INDEX($AB$1005:$AQ$1005,1,MATCH(COLUMNS($AB$1006:AC1006),$AB$1006:$AQ$1006,0))&gt;=100000), " ",IF(INDEX($AB$2:$AQ$1001,MATCH(ROWS($U$2:U617),$U$2:$U$1001,0),MATCH(COLUMNS($AB$1006:AC1006),$AB$1006:$AQ$1006,0)), HYPERLINK("#",""), HYPERLINK(CONCATENATE("#metadata!", ADDRESS(INDEX($W$2:$W$1001,MATCH(ROWS($U$2:U617),$U$2:$U$1001,0),0), INDEX($AB$1004:$AQ$1004,1,MATCH(COLUMNS($AB$1006:AC1006),$AB$1006:$AQ$1006,0)))),"Fix")))</f>
        <v>0</v>
      </c>
      <c r="D617" s="4">
        <f>IF(OR(INDEX($V$2:$V$1001,MATCH(ROWS($U$2:U617),$U$2:$U$1001,0),1)&gt;=100000,INDEX($AB$1005:$AQ$1005,1,MATCH(COLUMNS($AB$1006:AD1006),$AB$1006:$AQ$1006,0))&gt;=100000), " ",IF(INDEX($AB$2:$AQ$1001,MATCH(ROWS($U$2:U617),$U$2:$U$1001,0),MATCH(COLUMNS($AB$1006:AD1006),$AB$1006:$AQ$1006,0)), HYPERLINK("#",""), HYPERLINK(CONCATENATE("#metadata!", ADDRESS(INDEX($W$2:$W$1001,MATCH(ROWS($U$2:U617),$U$2:$U$1001,0),0), INDEX($AB$1004:$AQ$1004,1,MATCH(COLUMNS($AB$1006:AD1006),$AB$1006:$AQ$1006,0)))),"Fix")))</f>
        <v>0</v>
      </c>
      <c r="E617" s="4">
        <f>IF(OR(INDEX($V$2:$V$1001,MATCH(ROWS($U$2:U617),$U$2:$U$1001,0),1)&gt;=100000,INDEX($AB$1005:$AQ$1005,1,MATCH(COLUMNS($AB$1006:AE1006),$AB$1006:$AQ$1006,0))&gt;=100000), " ",IF(INDEX($AB$2:$AQ$1001,MATCH(ROWS($U$2:U617),$U$2:$U$1001,0),MATCH(COLUMNS($AB$1006:AE1006),$AB$1006:$AQ$1006,0)), HYPERLINK("#",""), HYPERLINK(CONCATENATE("#metadata!", ADDRESS(INDEX($W$2:$W$1001,MATCH(ROWS($U$2:U617),$U$2:$U$1001,0),0), INDEX($AB$1004:$AQ$1004,1,MATCH(COLUMNS($AB$1006:AE1006),$AB$1006:$AQ$1006,0)))),"Fix")))</f>
        <v>0</v>
      </c>
      <c r="F617" s="4">
        <f>IF(OR(INDEX($V$2:$V$1001,MATCH(ROWS($U$2:U617),$U$2:$U$1001,0),1)&gt;=100000,INDEX($AB$1005:$AQ$1005,1,MATCH(COLUMNS($AB$1006:AF1006),$AB$1006:$AQ$1006,0))&gt;=100000), " ",IF(INDEX($AB$2:$AQ$1001,MATCH(ROWS($U$2:U617),$U$2:$U$1001,0),MATCH(COLUMNS($AB$1006:AF1006),$AB$1006:$AQ$1006,0)), HYPERLINK("#",""), HYPERLINK(CONCATENATE("#metadata!", ADDRESS(INDEX($W$2:$W$1001,MATCH(ROWS($U$2:U617),$U$2:$U$1001,0),0), INDEX($AB$1004:$AQ$1004,1,MATCH(COLUMNS($AB$1006:AF1006),$AB$1006:$AQ$1006,0)))),"Fix")))</f>
        <v>0</v>
      </c>
      <c r="G617" s="4">
        <f>IF(OR(INDEX($V$2:$V$1001,MATCH(ROWS($U$2:U617),$U$2:$U$1001,0),1)&gt;=100000,INDEX($AB$1005:$AQ$1005,1,MATCH(COLUMNS($AB$1006:AG1006),$AB$1006:$AQ$1006,0))&gt;=100000), " ",IF(INDEX($AB$2:$AQ$1001,MATCH(ROWS($U$2:U617),$U$2:$U$1001,0),MATCH(COLUMNS($AB$1006:AG1006),$AB$1006:$AQ$1006,0)), HYPERLINK("#",""), HYPERLINK(CONCATENATE("#metadata!", ADDRESS(INDEX($W$2:$W$1001,MATCH(ROWS($U$2:U617),$U$2:$U$1001,0),0), INDEX($AB$1004:$AQ$1004,1,MATCH(COLUMNS($AB$1006:AG1006),$AB$1006:$AQ$1006,0)))),"Fix")))</f>
        <v>0</v>
      </c>
      <c r="H617" s="4">
        <f>IF(OR(INDEX($V$2:$V$1001,MATCH(ROWS($U$2:U617),$U$2:$U$1001,0),1)&gt;=100000,INDEX($AB$1005:$AQ$1005,1,MATCH(COLUMNS($AB$1006:AH1006),$AB$1006:$AQ$1006,0))&gt;=100000), " ",IF(INDEX($AB$2:$AQ$1001,MATCH(ROWS($U$2:U617),$U$2:$U$1001,0),MATCH(COLUMNS($AB$1006:AH1006),$AB$1006:$AQ$1006,0)), HYPERLINK("#",""), HYPERLINK(CONCATENATE("#metadata!", ADDRESS(INDEX($W$2:$W$1001,MATCH(ROWS($U$2:U617),$U$2:$U$1001,0),0), INDEX($AB$1004:$AQ$1004,1,MATCH(COLUMNS($AB$1006:AH1006),$AB$1006:$AQ$1006,0)))),"Fix")))</f>
        <v>0</v>
      </c>
      <c r="I617" s="4">
        <f>IF(OR(INDEX($V$2:$V$1001,MATCH(ROWS($U$2:U617),$U$2:$U$1001,0),1)&gt;=100000,INDEX($AB$1005:$AQ$1005,1,MATCH(COLUMNS($AB$1006:AI1006),$AB$1006:$AQ$1006,0))&gt;=100000), " ",IF(INDEX($AB$2:$AQ$1001,MATCH(ROWS($U$2:U617),$U$2:$U$1001,0),MATCH(COLUMNS($AB$1006:AI1006),$AB$1006:$AQ$1006,0)), HYPERLINK("#",""), HYPERLINK(CONCATENATE("#metadata!", ADDRESS(INDEX($W$2:$W$1001,MATCH(ROWS($U$2:U617),$U$2:$U$1001,0),0), INDEX($AB$1004:$AQ$1004,1,MATCH(COLUMNS($AB$1006:AI1006),$AB$1006:$AQ$1006,0)))),"Fix")))</f>
        <v>0</v>
      </c>
      <c r="J617" s="4">
        <f>IF(OR(INDEX($V$2:$V$1001,MATCH(ROWS($U$2:U617),$U$2:$U$1001,0),1)&gt;=100000,INDEX($AB$1005:$AQ$1005,1,MATCH(COLUMNS($AB$1006:AJ1006),$AB$1006:$AQ$1006,0))&gt;=100000), " ",IF(INDEX($AB$2:$AQ$1001,MATCH(ROWS($U$2:U617),$U$2:$U$1001,0),MATCH(COLUMNS($AB$1006:AJ1006),$AB$1006:$AQ$1006,0)), HYPERLINK("#",""), HYPERLINK(CONCATENATE("#metadata!", ADDRESS(INDEX($W$2:$W$1001,MATCH(ROWS($U$2:U617),$U$2:$U$1001,0),0), INDEX($AB$1004:$AQ$1004,1,MATCH(COLUMNS($AB$1006:AJ1006),$AB$1006:$AQ$1006,0)))),"Fix")))</f>
        <v>0</v>
      </c>
      <c r="K617" s="4">
        <f>IF(OR(INDEX($V$2:$V$1001,MATCH(ROWS($U$2:U617),$U$2:$U$1001,0),1)&gt;=100000,INDEX($AB$1005:$AQ$1005,1,MATCH(COLUMNS($AB$1006:AK1006),$AB$1006:$AQ$1006,0))&gt;=100000), " ",IF(INDEX($AB$2:$AQ$1001,MATCH(ROWS($U$2:U617),$U$2:$U$1001,0),MATCH(COLUMNS($AB$1006:AK1006),$AB$1006:$AQ$1006,0)), HYPERLINK("#",""), HYPERLINK(CONCATENATE("#metadata!", ADDRESS(INDEX($W$2:$W$1001,MATCH(ROWS($U$2:U617),$U$2:$U$1001,0),0), INDEX($AB$1004:$AQ$1004,1,MATCH(COLUMNS($AB$1006:AK1006),$AB$1006:$AQ$1006,0)))),"Fix")))</f>
        <v>0</v>
      </c>
      <c r="L617" s="4">
        <f>IF(OR(INDEX($V$2:$V$1001,MATCH(ROWS($U$2:U617),$U$2:$U$1001,0),1)&gt;=100000,INDEX($AB$1005:$AQ$1005,1,MATCH(COLUMNS($AB$1006:AL1006),$AB$1006:$AQ$1006,0))&gt;=100000), " ",IF(INDEX($AB$2:$AQ$1001,MATCH(ROWS($U$2:U617),$U$2:$U$1001,0),MATCH(COLUMNS($AB$1006:AL1006),$AB$1006:$AQ$1006,0)), HYPERLINK("#",""), HYPERLINK(CONCATENATE("#metadata!", ADDRESS(INDEX($W$2:$W$1001,MATCH(ROWS($U$2:U617),$U$2:$U$1001,0),0), INDEX($AB$1004:$AQ$1004,1,MATCH(COLUMNS($AB$1006:AL1006),$AB$1006:$AQ$1006,0)))),"Fix")))</f>
        <v>0</v>
      </c>
      <c r="M617" s="4">
        <f>IF(OR(INDEX($V$2:$V$1001,MATCH(ROWS($U$2:U617),$U$2:$U$1001,0),1)&gt;=100000,INDEX($AB$1005:$AQ$1005,1,MATCH(COLUMNS($AB$1006:AM1006),$AB$1006:$AQ$1006,0))&gt;=100000), " ",IF(INDEX($AB$2:$AQ$1001,MATCH(ROWS($U$2:U617),$U$2:$U$1001,0),MATCH(COLUMNS($AB$1006:AM1006),$AB$1006:$AQ$1006,0)), HYPERLINK("#",""), HYPERLINK(CONCATENATE("#metadata!", ADDRESS(INDEX($W$2:$W$1001,MATCH(ROWS($U$2:U617),$U$2:$U$1001,0),0), INDEX($AB$1004:$AQ$1004,1,MATCH(COLUMNS($AB$1006:AM1006),$AB$1006:$AQ$1006,0)))),"Fix")))</f>
        <v>0</v>
      </c>
      <c r="N617" s="4">
        <f>IF(OR(INDEX($V$2:$V$1001,MATCH(ROWS($U$2:U617),$U$2:$U$1001,0),1)&gt;=100000,INDEX($AB$1005:$AQ$1005,1,MATCH(COLUMNS($AB$1006:AN1006),$AB$1006:$AQ$1006,0))&gt;=100000), " ",IF(INDEX($AB$2:$AQ$1001,MATCH(ROWS($U$2:U617),$U$2:$U$1001,0),MATCH(COLUMNS($AB$1006:AN1006),$AB$1006:$AQ$1006,0)), HYPERLINK("#",""), HYPERLINK(CONCATENATE("#metadata!", ADDRESS(INDEX($W$2:$W$1001,MATCH(ROWS($U$2:U617),$U$2:$U$1001,0),0), INDEX($AB$1004:$AQ$1004,1,MATCH(COLUMNS($AB$1006:AN1006),$AB$1006:$AQ$1006,0)))),"Fix")))</f>
        <v>0</v>
      </c>
      <c r="O617" s="4">
        <f>IF(OR(INDEX($V$2:$V$1001,MATCH(ROWS($U$2:U617),$U$2:$U$1001,0),1)&gt;=100000,INDEX($AB$1005:$AQ$1005,1,MATCH(COLUMNS($AB$1006:AO1006),$AB$1006:$AQ$1006,0))&gt;=100000), " ",IF(INDEX($AB$2:$AQ$1001,MATCH(ROWS($U$2:U617),$U$2:$U$1001,0),MATCH(COLUMNS($AB$1006:AO1006),$AB$1006:$AQ$1006,0)), HYPERLINK("#",""), HYPERLINK(CONCATENATE("#metadata!", ADDRESS(INDEX($W$2:$W$1001,MATCH(ROWS($U$2:U617),$U$2:$U$1001,0),0), INDEX($AB$1004:$AQ$1004,1,MATCH(COLUMNS($AB$1006:AO1006),$AB$1006:$AQ$1006,0)))),"Fix")))</f>
        <v>0</v>
      </c>
      <c r="P617" s="4">
        <f>IF(OR(INDEX($V$2:$V$1001,MATCH(ROWS($U$2:U617),$U$2:$U$1001,0),1)&gt;=100000,INDEX($AB$1005:$AQ$1005,1,MATCH(COLUMNS($AB$1006:AP1006),$AB$1006:$AQ$1006,0))&gt;=100000), " ",IF(INDEX($AB$2:$AQ$1001,MATCH(ROWS($U$2:U617),$U$2:$U$1001,0),MATCH(COLUMNS($AB$1006:AP1006),$AB$1006:$AQ$1006,0)), HYPERLINK("#",""), HYPERLINK(CONCATENATE("#metadata!", ADDRESS(INDEX($W$2:$W$1001,MATCH(ROWS($U$2:U617),$U$2:$U$1001,0),0), INDEX($AB$1004:$AQ$1004,1,MATCH(COLUMNS($AB$1006:AP1006),$AB$1006:$AQ$1006,0)))),"Fix")))</f>
        <v>0</v>
      </c>
      <c r="Q617" s="4">
        <f>IF(OR(INDEX($V$2:$V$1001,MATCH(ROWS($U$2:U617),$U$2:$U$1001,0),1)&gt;=100000,INDEX($AB$1005:$AQ$1005,1,MATCH(COLUMNS($AB$1006:AQ1006),$AB$1006:$AQ$1006,0))&gt;=100000), " ",IF(INDEX($AB$2:$AQ$1001,MATCH(ROWS($U$2:U617),$U$2:$U$1001,0),MATCH(COLUMNS($AB$1006:AQ1006),$AB$1006:$AQ$1006,0)), HYPERLINK("#",""), HYPERLINK(CONCATENATE("#metadata!", ADDRESS(INDEX($W$2:$W$1001,MATCH(ROWS($U$2:U617),$U$2:$U$1001,0),0), INDEX($AB$1004:$AQ$1004,1,MATCH(COLUMNS($AB$1006:AQ1006),$AB$1006:$AQ$1006,0)))),"Fix")))</f>
        <v>0</v>
      </c>
      <c r="U617">
        <v>0</v>
      </c>
      <c r="V617">
        <v>0</v>
      </c>
      <c r="W617">
        <v>0</v>
      </c>
      <c r="X617">
        <f>IF(Y617,TRUE,AND(AB617:AQ617))</f>
        <v>0</v>
      </c>
      <c r="Y617">
        <f>COUNTBLANK(metadata!B617:Q617)=COLUMNS(metadata!B617:Q617)</f>
        <v>0</v>
      </c>
      <c r="Z617">
        <v>0</v>
      </c>
      <c r="AB617">
        <f>AND(IF(metadata!B617="",FALSE,TRUE),COUNTIF(metadata!B:B, metadata!B617) = 1,NOT(ISERROR(SUMPRODUCT(SEARCH(MID(metadata!B617,ROW(INDIRECT("1:"&amp;LEN(metadata!B617))), 1),"0123456789abcdefghijklmnopqrstuvwxyzABCDEFGHIJKLMNOPQRSTUVWXYZ.")))))</f>
        <v>0</v>
      </c>
      <c r="AC617">
        <f>OR(AND(IF(metadata!C617="",FALSE,TRUE),OR(exact(metadata!C617,"missing: not collected"),exact(metadata!C617,"missing: not provided"),exact(metadata!C617,"missing: restricted access"))),AND(IF(metadata!C617="",FALSE,TRUE),AND(AND(IFERROR(INT(LEFT(metadata!C617,4))&gt;1900,FALSE),IFERROR(INT(LEFT(metadata!C617,4))&lt;=YEAR(NOW()),FALSE)), OR(MID(metadata!C617,5,1)="", AND(AND(MID(metadata!C617,5,1)="-",IFERROR(INT(MID(metadata!C617,6,1))&gt;=0,FALSE),IFERROR(INT(MID(metadata!C617,6,1))&lt;=1,FALSE),NOT(MID(metadata!C617,7,1)=""),IFERROR(INT(MID(metadata!C617,6,2))&gt;=1,FALSE),IFERROR(INT(MID(metadata!C617,6,2))&lt;=12,FALSE)), OR(MID(metadata!C617,8,1)="", AND(AND(MID(metadata!C617,8,1)="-",IFERROR(INT(MID(metadata!C617,9,1))&gt;=0,FALSE),IFERROR(INT(MID(metadata!C617,9,1))&lt;=3,FALSE),NOT(MID(metadata!C617,10,1)=""),IFERROR(INT(MID(metadata!C617,9,2))&gt;=1,FALSE),IFERROR(INT(MID(metadata!C617,9,2))&lt;=31,FALSE)), OR(MID(metadata!C617,11,1)="", AND(AND(MID(metadata!C617,11,1)=" ",IFERROR(INT(MID(metadata!C617,12,1))&gt;=0,FALSE),IFERROR(INT(MID(metadata!C617,12,1))&lt;=2,FALSE),NOT(MID(metadata!C617,13,1)=""),IFERROR(INT(MID(metadata!C617,12,2))&gt;=0,FALSE),IFERROR(INT(MID(metadata!C617,12,2))&lt;=23,FALSE)), OR(MID(metadata!C617,14,1)="", AND(AND(MID(metadata!C617,14,1)=":",IFERROR(INT(MID(metadata!C617,15,1))&gt;=0,FALSE),IFERROR(INT(MID(metadata!C617,15,1))&lt;=5,FALSE),NOT(MID(metadata!C617,16,1)=""),IFERROR(INT(MID(metadata!C617,15,2))&gt;=0,FALSE),IFERROR(INT(MID(metadata!C617,15,2))&lt;=59,FALSE)), OR(MID(metadata!C617,17,1)="", AND(AND(MID(metadata!C617,17,1)=":",IFERROR(INT(MID(metadata!C617,18,1))&gt;=0,FALSE),IFERROR(INT(MID(metadata!C617,18,1))&lt;=5,FALSE),NOT(MID(metadata!C617,19,1)=""),IFERROR(INT(MID(metadata!C617,18,2))&gt;=0,FALSE),IFERROR(INT(MID(metadata!C617,18,2))&lt;=59,FALSE)), LEN(metadata!C617)&lt;=19)))))))))))))</f>
        <v>0</v>
      </c>
      <c r="AD617">
        <f>IF(metadata!D617="",FALSE,TRUE)</f>
        <v>0</v>
      </c>
      <c r="AE617">
        <f>OR(AND(IF(metadata!E617="",FALSE,TRUE),OR(exact(metadata!E617,"missing: not collected"),exact(metadata!E617,"missing: not provided"))),AND(IF(metadata!E617="",FALSE,TRUE),OR(exact(metadata!E617,"TRUE"),exact(metadata!E617,"FALSE"))))</f>
        <v>0</v>
      </c>
      <c r="AF617">
        <f>IF(metadata!F617="",FALSE,TRUE)</f>
        <v>0</v>
      </c>
      <c r="AG617">
        <f>IF(metadata!G617="",FALSE,TRUE)</f>
        <v>0</v>
      </c>
      <c r="AH617">
        <f>IF(metadata!H617="",FALSE,TRUE)</f>
        <v>0</v>
      </c>
      <c r="AI617">
        <f>OR(AND(IF(metadata!I617="",FALSE,TRUE),OR(exact(metadata!I617,"missing: not collected"),exact(metadata!I617,"missing: not provided"),exact(metadata!I617,"missing: restricted access"))),AND(IF(metadata!I617="",FALSE,TRUE),OR(exact(metadata!I617,"air"),exact(metadata!I617,"built environment"),exact(metadata!I617,"host-associated"),exact(metadata!I617,"human-associated"),exact(metadata!I617,"human-skin"),exact(metadata!I617,"human-oral"),exact(metadata!I617,"human-gut"),exact(metadata!I617,"human-vaginal"),exact(metadata!I617,"microbial mat/biofilm"),exact(metadata!I617,"misc environment"),exact(metadata!I617,"plant-associated"),exact(metadata!I617,"sediment"),exact(metadata!I617,"soil"),exact(metadata!I617,"wastewater/sludge"),exact(metadata!I617,"water"))))</f>
        <v>0</v>
      </c>
      <c r="AJ617">
        <f>IF(metadata!J617="",FALSE,TRUE)</f>
        <v>0</v>
      </c>
      <c r="AK617">
        <f>OR(AND(IF(metadata!K617="",FALSE,TRUE),OR(exact(metadata!K617,"missing: not collected"),exact(metadata!K617,"missing: not provided"),exact(metadata!K617,"missing: restricted access"))),AND(IF(metadata!K617="",FALSE,ISNUMBER(VALUE(metadata!K617))),metadata!K617&gt;=-90.00,metadata!K617&lt;=90.00))</f>
        <v>0</v>
      </c>
      <c r="AL617">
        <f>OR(AND(IF(metadata!L617="",FALSE,TRUE),OR(exact(metadata!L617,"missing: not collected"),exact(metadata!L617,"missing: not provided"),exact(metadata!L617,"missing: restricted access"))),AND(IF(metadata!L617="",FALSE,ISNUMBER(VALUE(metadata!L617))),metadata!L617&gt;=-180.00,metadata!L617&lt;=180.00))</f>
        <v>0</v>
      </c>
      <c r="AM617">
        <f>IF(metadata!M617="",FALSE,TRUE)</f>
        <v>0</v>
      </c>
      <c r="AN617">
        <f>OR(AND(IF(metadata!N617="",FALSE,TRUE),OR(exact(metadata!N617,"missing: not collected"),exact(metadata!N617,"missing: not provided"),exact(metadata!N617,"missing: restricted access"))),AND(IF(metadata!N617="",FALSE,TRUE),OR(exact(metadata!N617,"TRUE"),exact(metadata!N617,"FALSE"))))</f>
        <v>0</v>
      </c>
      <c r="AO617">
        <f>IF(metadata!O617="",FALSE,TRUE)</f>
        <v>0</v>
      </c>
      <c r="AP617">
        <f>OR(AND(IF(metadata!P617="",FALSE,TRUE),OR(exact(metadata!P617,"missing: not collected"),exact(metadata!P617,"missing: not provided"))),AND(IF(metadata!P617="",FALSE,IF(ISERROR(INT(metadata!P617)),FALSE,INT(metadata!P617)=metadata!P617)),metadata!P617&gt;0))</f>
        <v>0</v>
      </c>
      <c r="AQ617">
        <f>IF(metadata!Q617="",FALSE,TRUE)</f>
        <v>0</v>
      </c>
    </row>
    <row r="618" spans="1:43">
      <c r="A618" s="5">
        <f>IF(B618=" "," ",HYPERLINK(CONCATENATE("#metadata!",ADDRESS(INDEX($W$2:$W$1001,MATCH(ROWS($U$2:U618),$U$2:$U$1001,0),0),1)),INDEX($Z$2:$Z$1001,MATCH(ROWS($U$2:U618),$U$2:$U$1001,0),0)))</f>
        <v>0</v>
      </c>
      <c r="B618" s="4">
        <f>IF(OR(INDEX($V$2:$V$1001,MATCH(ROWS($U$2:U618),$U$2:$U$1001,0),1)&gt;=100000,INDEX($AB$1005:$AQ$1005,1,MATCH(COLUMNS($AB$1006:AB1006),$AB$1006:$AQ$1006,0))&gt;=100000), " ",IF(INDEX($AB$2:$AQ$1001,MATCH(ROWS($U$2:U618),$U$2:$U$1001,0),MATCH(COLUMNS($AB$1006:AB1006),$AB$1006:$AQ$1006,0)), HYPERLINK("#",""), HYPERLINK(CONCATENATE("#metadata!", ADDRESS(INDEX($W$2:$W$1001,MATCH(ROWS($U$2:U618),$U$2:$U$1001,0),0), INDEX($AB$1004:$AQ$1004,1,MATCH(COLUMNS($AB$1006:AB1006),$AB$1006:$AQ$1006,0)))),"Fix")))</f>
        <v>0</v>
      </c>
      <c r="C618" s="4">
        <f>IF(OR(INDEX($V$2:$V$1001,MATCH(ROWS($U$2:U618),$U$2:$U$1001,0),1)&gt;=100000,INDEX($AB$1005:$AQ$1005,1,MATCH(COLUMNS($AB$1006:AC1006),$AB$1006:$AQ$1006,0))&gt;=100000), " ",IF(INDEX($AB$2:$AQ$1001,MATCH(ROWS($U$2:U618),$U$2:$U$1001,0),MATCH(COLUMNS($AB$1006:AC1006),$AB$1006:$AQ$1006,0)), HYPERLINK("#",""), HYPERLINK(CONCATENATE("#metadata!", ADDRESS(INDEX($W$2:$W$1001,MATCH(ROWS($U$2:U618),$U$2:$U$1001,0),0), INDEX($AB$1004:$AQ$1004,1,MATCH(COLUMNS($AB$1006:AC1006),$AB$1006:$AQ$1006,0)))),"Fix")))</f>
        <v>0</v>
      </c>
      <c r="D618" s="4">
        <f>IF(OR(INDEX($V$2:$V$1001,MATCH(ROWS($U$2:U618),$U$2:$U$1001,0),1)&gt;=100000,INDEX($AB$1005:$AQ$1005,1,MATCH(COLUMNS($AB$1006:AD1006),$AB$1006:$AQ$1006,0))&gt;=100000), " ",IF(INDEX($AB$2:$AQ$1001,MATCH(ROWS($U$2:U618),$U$2:$U$1001,0),MATCH(COLUMNS($AB$1006:AD1006),$AB$1006:$AQ$1006,0)), HYPERLINK("#",""), HYPERLINK(CONCATENATE("#metadata!", ADDRESS(INDEX($W$2:$W$1001,MATCH(ROWS($U$2:U618),$U$2:$U$1001,0),0), INDEX($AB$1004:$AQ$1004,1,MATCH(COLUMNS($AB$1006:AD1006),$AB$1006:$AQ$1006,0)))),"Fix")))</f>
        <v>0</v>
      </c>
      <c r="E618" s="4">
        <f>IF(OR(INDEX($V$2:$V$1001,MATCH(ROWS($U$2:U618),$U$2:$U$1001,0),1)&gt;=100000,INDEX($AB$1005:$AQ$1005,1,MATCH(COLUMNS($AB$1006:AE1006),$AB$1006:$AQ$1006,0))&gt;=100000), " ",IF(INDEX($AB$2:$AQ$1001,MATCH(ROWS($U$2:U618),$U$2:$U$1001,0),MATCH(COLUMNS($AB$1006:AE1006),$AB$1006:$AQ$1006,0)), HYPERLINK("#",""), HYPERLINK(CONCATENATE("#metadata!", ADDRESS(INDEX($W$2:$W$1001,MATCH(ROWS($U$2:U618),$U$2:$U$1001,0),0), INDEX($AB$1004:$AQ$1004,1,MATCH(COLUMNS($AB$1006:AE1006),$AB$1006:$AQ$1006,0)))),"Fix")))</f>
        <v>0</v>
      </c>
      <c r="F618" s="4">
        <f>IF(OR(INDEX($V$2:$V$1001,MATCH(ROWS($U$2:U618),$U$2:$U$1001,0),1)&gt;=100000,INDEX($AB$1005:$AQ$1005,1,MATCH(COLUMNS($AB$1006:AF1006),$AB$1006:$AQ$1006,0))&gt;=100000), " ",IF(INDEX($AB$2:$AQ$1001,MATCH(ROWS($U$2:U618),$U$2:$U$1001,0),MATCH(COLUMNS($AB$1006:AF1006),$AB$1006:$AQ$1006,0)), HYPERLINK("#",""), HYPERLINK(CONCATENATE("#metadata!", ADDRESS(INDEX($W$2:$W$1001,MATCH(ROWS($U$2:U618),$U$2:$U$1001,0),0), INDEX($AB$1004:$AQ$1004,1,MATCH(COLUMNS($AB$1006:AF1006),$AB$1006:$AQ$1006,0)))),"Fix")))</f>
        <v>0</v>
      </c>
      <c r="G618" s="4">
        <f>IF(OR(INDEX($V$2:$V$1001,MATCH(ROWS($U$2:U618),$U$2:$U$1001,0),1)&gt;=100000,INDEX($AB$1005:$AQ$1005,1,MATCH(COLUMNS($AB$1006:AG1006),$AB$1006:$AQ$1006,0))&gt;=100000), " ",IF(INDEX($AB$2:$AQ$1001,MATCH(ROWS($U$2:U618),$U$2:$U$1001,0),MATCH(COLUMNS($AB$1006:AG1006),$AB$1006:$AQ$1006,0)), HYPERLINK("#",""), HYPERLINK(CONCATENATE("#metadata!", ADDRESS(INDEX($W$2:$W$1001,MATCH(ROWS($U$2:U618),$U$2:$U$1001,0),0), INDEX($AB$1004:$AQ$1004,1,MATCH(COLUMNS($AB$1006:AG1006),$AB$1006:$AQ$1006,0)))),"Fix")))</f>
        <v>0</v>
      </c>
      <c r="H618" s="4">
        <f>IF(OR(INDEX($V$2:$V$1001,MATCH(ROWS($U$2:U618),$U$2:$U$1001,0),1)&gt;=100000,INDEX($AB$1005:$AQ$1005,1,MATCH(COLUMNS($AB$1006:AH1006),$AB$1006:$AQ$1006,0))&gt;=100000), " ",IF(INDEX($AB$2:$AQ$1001,MATCH(ROWS($U$2:U618),$U$2:$U$1001,0),MATCH(COLUMNS($AB$1006:AH1006),$AB$1006:$AQ$1006,0)), HYPERLINK("#",""), HYPERLINK(CONCATENATE("#metadata!", ADDRESS(INDEX($W$2:$W$1001,MATCH(ROWS($U$2:U618),$U$2:$U$1001,0),0), INDEX($AB$1004:$AQ$1004,1,MATCH(COLUMNS($AB$1006:AH1006),$AB$1006:$AQ$1006,0)))),"Fix")))</f>
        <v>0</v>
      </c>
      <c r="I618" s="4">
        <f>IF(OR(INDEX($V$2:$V$1001,MATCH(ROWS($U$2:U618),$U$2:$U$1001,0),1)&gt;=100000,INDEX($AB$1005:$AQ$1005,1,MATCH(COLUMNS($AB$1006:AI1006),$AB$1006:$AQ$1006,0))&gt;=100000), " ",IF(INDEX($AB$2:$AQ$1001,MATCH(ROWS($U$2:U618),$U$2:$U$1001,0),MATCH(COLUMNS($AB$1006:AI1006),$AB$1006:$AQ$1006,0)), HYPERLINK("#",""), HYPERLINK(CONCATENATE("#metadata!", ADDRESS(INDEX($W$2:$W$1001,MATCH(ROWS($U$2:U618),$U$2:$U$1001,0),0), INDEX($AB$1004:$AQ$1004,1,MATCH(COLUMNS($AB$1006:AI1006),$AB$1006:$AQ$1006,0)))),"Fix")))</f>
        <v>0</v>
      </c>
      <c r="J618" s="4">
        <f>IF(OR(INDEX($V$2:$V$1001,MATCH(ROWS($U$2:U618),$U$2:$U$1001,0),1)&gt;=100000,INDEX($AB$1005:$AQ$1005,1,MATCH(COLUMNS($AB$1006:AJ1006),$AB$1006:$AQ$1006,0))&gt;=100000), " ",IF(INDEX($AB$2:$AQ$1001,MATCH(ROWS($U$2:U618),$U$2:$U$1001,0),MATCH(COLUMNS($AB$1006:AJ1006),$AB$1006:$AQ$1006,0)), HYPERLINK("#",""), HYPERLINK(CONCATENATE("#metadata!", ADDRESS(INDEX($W$2:$W$1001,MATCH(ROWS($U$2:U618),$U$2:$U$1001,0),0), INDEX($AB$1004:$AQ$1004,1,MATCH(COLUMNS($AB$1006:AJ1006),$AB$1006:$AQ$1006,0)))),"Fix")))</f>
        <v>0</v>
      </c>
      <c r="K618" s="4">
        <f>IF(OR(INDEX($V$2:$V$1001,MATCH(ROWS($U$2:U618),$U$2:$U$1001,0),1)&gt;=100000,INDEX($AB$1005:$AQ$1005,1,MATCH(COLUMNS($AB$1006:AK1006),$AB$1006:$AQ$1006,0))&gt;=100000), " ",IF(INDEX($AB$2:$AQ$1001,MATCH(ROWS($U$2:U618),$U$2:$U$1001,0),MATCH(COLUMNS($AB$1006:AK1006),$AB$1006:$AQ$1006,0)), HYPERLINK("#",""), HYPERLINK(CONCATENATE("#metadata!", ADDRESS(INDEX($W$2:$W$1001,MATCH(ROWS($U$2:U618),$U$2:$U$1001,0),0), INDEX($AB$1004:$AQ$1004,1,MATCH(COLUMNS($AB$1006:AK1006),$AB$1006:$AQ$1006,0)))),"Fix")))</f>
        <v>0</v>
      </c>
      <c r="L618" s="4">
        <f>IF(OR(INDEX($V$2:$V$1001,MATCH(ROWS($U$2:U618),$U$2:$U$1001,0),1)&gt;=100000,INDEX($AB$1005:$AQ$1005,1,MATCH(COLUMNS($AB$1006:AL1006),$AB$1006:$AQ$1006,0))&gt;=100000), " ",IF(INDEX($AB$2:$AQ$1001,MATCH(ROWS($U$2:U618),$U$2:$U$1001,0),MATCH(COLUMNS($AB$1006:AL1006),$AB$1006:$AQ$1006,0)), HYPERLINK("#",""), HYPERLINK(CONCATENATE("#metadata!", ADDRESS(INDEX($W$2:$W$1001,MATCH(ROWS($U$2:U618),$U$2:$U$1001,0),0), INDEX($AB$1004:$AQ$1004,1,MATCH(COLUMNS($AB$1006:AL1006),$AB$1006:$AQ$1006,0)))),"Fix")))</f>
        <v>0</v>
      </c>
      <c r="M618" s="4">
        <f>IF(OR(INDEX($V$2:$V$1001,MATCH(ROWS($U$2:U618),$U$2:$U$1001,0),1)&gt;=100000,INDEX($AB$1005:$AQ$1005,1,MATCH(COLUMNS($AB$1006:AM1006),$AB$1006:$AQ$1006,0))&gt;=100000), " ",IF(INDEX($AB$2:$AQ$1001,MATCH(ROWS($U$2:U618),$U$2:$U$1001,0),MATCH(COLUMNS($AB$1006:AM1006),$AB$1006:$AQ$1006,0)), HYPERLINK("#",""), HYPERLINK(CONCATENATE("#metadata!", ADDRESS(INDEX($W$2:$W$1001,MATCH(ROWS($U$2:U618),$U$2:$U$1001,0),0), INDEX($AB$1004:$AQ$1004,1,MATCH(COLUMNS($AB$1006:AM1006),$AB$1006:$AQ$1006,0)))),"Fix")))</f>
        <v>0</v>
      </c>
      <c r="N618" s="4">
        <f>IF(OR(INDEX($V$2:$V$1001,MATCH(ROWS($U$2:U618),$U$2:$U$1001,0),1)&gt;=100000,INDEX($AB$1005:$AQ$1005,1,MATCH(COLUMNS($AB$1006:AN1006),$AB$1006:$AQ$1006,0))&gt;=100000), " ",IF(INDEX($AB$2:$AQ$1001,MATCH(ROWS($U$2:U618),$U$2:$U$1001,0),MATCH(COLUMNS($AB$1006:AN1006),$AB$1006:$AQ$1006,0)), HYPERLINK("#",""), HYPERLINK(CONCATENATE("#metadata!", ADDRESS(INDEX($W$2:$W$1001,MATCH(ROWS($U$2:U618),$U$2:$U$1001,0),0), INDEX($AB$1004:$AQ$1004,1,MATCH(COLUMNS($AB$1006:AN1006),$AB$1006:$AQ$1006,0)))),"Fix")))</f>
        <v>0</v>
      </c>
      <c r="O618" s="4">
        <f>IF(OR(INDEX($V$2:$V$1001,MATCH(ROWS($U$2:U618),$U$2:$U$1001,0),1)&gt;=100000,INDEX($AB$1005:$AQ$1005,1,MATCH(COLUMNS($AB$1006:AO1006),$AB$1006:$AQ$1006,0))&gt;=100000), " ",IF(INDEX($AB$2:$AQ$1001,MATCH(ROWS($U$2:U618),$U$2:$U$1001,0),MATCH(COLUMNS($AB$1006:AO1006),$AB$1006:$AQ$1006,0)), HYPERLINK("#",""), HYPERLINK(CONCATENATE("#metadata!", ADDRESS(INDEX($W$2:$W$1001,MATCH(ROWS($U$2:U618),$U$2:$U$1001,0),0), INDEX($AB$1004:$AQ$1004,1,MATCH(COLUMNS($AB$1006:AO1006),$AB$1006:$AQ$1006,0)))),"Fix")))</f>
        <v>0</v>
      </c>
      <c r="P618" s="4">
        <f>IF(OR(INDEX($V$2:$V$1001,MATCH(ROWS($U$2:U618),$U$2:$U$1001,0),1)&gt;=100000,INDEX($AB$1005:$AQ$1005,1,MATCH(COLUMNS($AB$1006:AP1006),$AB$1006:$AQ$1006,0))&gt;=100000), " ",IF(INDEX($AB$2:$AQ$1001,MATCH(ROWS($U$2:U618),$U$2:$U$1001,0),MATCH(COLUMNS($AB$1006:AP1006),$AB$1006:$AQ$1006,0)), HYPERLINK("#",""), HYPERLINK(CONCATENATE("#metadata!", ADDRESS(INDEX($W$2:$W$1001,MATCH(ROWS($U$2:U618),$U$2:$U$1001,0),0), INDEX($AB$1004:$AQ$1004,1,MATCH(COLUMNS($AB$1006:AP1006),$AB$1006:$AQ$1006,0)))),"Fix")))</f>
        <v>0</v>
      </c>
      <c r="Q618" s="4">
        <f>IF(OR(INDEX($V$2:$V$1001,MATCH(ROWS($U$2:U618),$U$2:$U$1001,0),1)&gt;=100000,INDEX($AB$1005:$AQ$1005,1,MATCH(COLUMNS($AB$1006:AQ1006),$AB$1006:$AQ$1006,0))&gt;=100000), " ",IF(INDEX($AB$2:$AQ$1001,MATCH(ROWS($U$2:U618),$U$2:$U$1001,0),MATCH(COLUMNS($AB$1006:AQ1006),$AB$1006:$AQ$1006,0)), HYPERLINK("#",""), HYPERLINK(CONCATENATE("#metadata!", ADDRESS(INDEX($W$2:$W$1001,MATCH(ROWS($U$2:U618),$U$2:$U$1001,0),0), INDEX($AB$1004:$AQ$1004,1,MATCH(COLUMNS($AB$1006:AQ1006),$AB$1006:$AQ$1006,0)))),"Fix")))</f>
        <v>0</v>
      </c>
      <c r="U618">
        <v>0</v>
      </c>
      <c r="V618">
        <v>0</v>
      </c>
      <c r="W618">
        <v>0</v>
      </c>
      <c r="X618">
        <f>IF(Y618,TRUE,AND(AB618:AQ618))</f>
        <v>0</v>
      </c>
      <c r="Y618">
        <f>COUNTBLANK(metadata!B618:Q618)=COLUMNS(metadata!B618:Q618)</f>
        <v>0</v>
      </c>
      <c r="Z618">
        <v>0</v>
      </c>
      <c r="AB618">
        <f>AND(IF(metadata!B618="",FALSE,TRUE),COUNTIF(metadata!B:B, metadata!B618) = 1,NOT(ISERROR(SUMPRODUCT(SEARCH(MID(metadata!B618,ROW(INDIRECT("1:"&amp;LEN(metadata!B618))), 1),"0123456789abcdefghijklmnopqrstuvwxyzABCDEFGHIJKLMNOPQRSTUVWXYZ.")))))</f>
        <v>0</v>
      </c>
      <c r="AC618">
        <f>OR(AND(IF(metadata!C618="",FALSE,TRUE),OR(exact(metadata!C618,"missing: not collected"),exact(metadata!C618,"missing: not provided"),exact(metadata!C618,"missing: restricted access"))),AND(IF(metadata!C618="",FALSE,TRUE),AND(AND(IFERROR(INT(LEFT(metadata!C618,4))&gt;1900,FALSE),IFERROR(INT(LEFT(metadata!C618,4))&lt;=YEAR(NOW()),FALSE)), OR(MID(metadata!C618,5,1)="", AND(AND(MID(metadata!C618,5,1)="-",IFERROR(INT(MID(metadata!C618,6,1))&gt;=0,FALSE),IFERROR(INT(MID(metadata!C618,6,1))&lt;=1,FALSE),NOT(MID(metadata!C618,7,1)=""),IFERROR(INT(MID(metadata!C618,6,2))&gt;=1,FALSE),IFERROR(INT(MID(metadata!C618,6,2))&lt;=12,FALSE)), OR(MID(metadata!C618,8,1)="", AND(AND(MID(metadata!C618,8,1)="-",IFERROR(INT(MID(metadata!C618,9,1))&gt;=0,FALSE),IFERROR(INT(MID(metadata!C618,9,1))&lt;=3,FALSE),NOT(MID(metadata!C618,10,1)=""),IFERROR(INT(MID(metadata!C618,9,2))&gt;=1,FALSE),IFERROR(INT(MID(metadata!C618,9,2))&lt;=31,FALSE)), OR(MID(metadata!C618,11,1)="", AND(AND(MID(metadata!C618,11,1)=" ",IFERROR(INT(MID(metadata!C618,12,1))&gt;=0,FALSE),IFERROR(INT(MID(metadata!C618,12,1))&lt;=2,FALSE),NOT(MID(metadata!C618,13,1)=""),IFERROR(INT(MID(metadata!C618,12,2))&gt;=0,FALSE),IFERROR(INT(MID(metadata!C618,12,2))&lt;=23,FALSE)), OR(MID(metadata!C618,14,1)="", AND(AND(MID(metadata!C618,14,1)=":",IFERROR(INT(MID(metadata!C618,15,1))&gt;=0,FALSE),IFERROR(INT(MID(metadata!C618,15,1))&lt;=5,FALSE),NOT(MID(metadata!C618,16,1)=""),IFERROR(INT(MID(metadata!C618,15,2))&gt;=0,FALSE),IFERROR(INT(MID(metadata!C618,15,2))&lt;=59,FALSE)), OR(MID(metadata!C618,17,1)="", AND(AND(MID(metadata!C618,17,1)=":",IFERROR(INT(MID(metadata!C618,18,1))&gt;=0,FALSE),IFERROR(INT(MID(metadata!C618,18,1))&lt;=5,FALSE),NOT(MID(metadata!C618,19,1)=""),IFERROR(INT(MID(metadata!C618,18,2))&gt;=0,FALSE),IFERROR(INT(MID(metadata!C618,18,2))&lt;=59,FALSE)), LEN(metadata!C618)&lt;=19)))))))))))))</f>
        <v>0</v>
      </c>
      <c r="AD618">
        <f>IF(metadata!D618="",FALSE,TRUE)</f>
        <v>0</v>
      </c>
      <c r="AE618">
        <f>OR(AND(IF(metadata!E618="",FALSE,TRUE),OR(exact(metadata!E618,"missing: not collected"),exact(metadata!E618,"missing: not provided"))),AND(IF(metadata!E618="",FALSE,TRUE),OR(exact(metadata!E618,"TRUE"),exact(metadata!E618,"FALSE"))))</f>
        <v>0</v>
      </c>
      <c r="AF618">
        <f>IF(metadata!F618="",FALSE,TRUE)</f>
        <v>0</v>
      </c>
      <c r="AG618">
        <f>IF(metadata!G618="",FALSE,TRUE)</f>
        <v>0</v>
      </c>
      <c r="AH618">
        <f>IF(metadata!H618="",FALSE,TRUE)</f>
        <v>0</v>
      </c>
      <c r="AI618">
        <f>OR(AND(IF(metadata!I618="",FALSE,TRUE),OR(exact(metadata!I618,"missing: not collected"),exact(metadata!I618,"missing: not provided"),exact(metadata!I618,"missing: restricted access"))),AND(IF(metadata!I618="",FALSE,TRUE),OR(exact(metadata!I618,"air"),exact(metadata!I618,"built environment"),exact(metadata!I618,"host-associated"),exact(metadata!I618,"human-associated"),exact(metadata!I618,"human-skin"),exact(metadata!I618,"human-oral"),exact(metadata!I618,"human-gut"),exact(metadata!I618,"human-vaginal"),exact(metadata!I618,"microbial mat/biofilm"),exact(metadata!I618,"misc environment"),exact(metadata!I618,"plant-associated"),exact(metadata!I618,"sediment"),exact(metadata!I618,"soil"),exact(metadata!I618,"wastewater/sludge"),exact(metadata!I618,"water"))))</f>
        <v>0</v>
      </c>
      <c r="AJ618">
        <f>IF(metadata!J618="",FALSE,TRUE)</f>
        <v>0</v>
      </c>
      <c r="AK618">
        <f>OR(AND(IF(metadata!K618="",FALSE,TRUE),OR(exact(metadata!K618,"missing: not collected"),exact(metadata!K618,"missing: not provided"),exact(metadata!K618,"missing: restricted access"))),AND(IF(metadata!K618="",FALSE,ISNUMBER(VALUE(metadata!K618))),metadata!K618&gt;=-90.00,metadata!K618&lt;=90.00))</f>
        <v>0</v>
      </c>
      <c r="AL618">
        <f>OR(AND(IF(metadata!L618="",FALSE,TRUE),OR(exact(metadata!L618,"missing: not collected"),exact(metadata!L618,"missing: not provided"),exact(metadata!L618,"missing: restricted access"))),AND(IF(metadata!L618="",FALSE,ISNUMBER(VALUE(metadata!L618))),metadata!L618&gt;=-180.00,metadata!L618&lt;=180.00))</f>
        <v>0</v>
      </c>
      <c r="AM618">
        <f>IF(metadata!M618="",FALSE,TRUE)</f>
        <v>0</v>
      </c>
      <c r="AN618">
        <f>OR(AND(IF(metadata!N618="",FALSE,TRUE),OR(exact(metadata!N618,"missing: not collected"),exact(metadata!N618,"missing: not provided"),exact(metadata!N618,"missing: restricted access"))),AND(IF(metadata!N618="",FALSE,TRUE),OR(exact(metadata!N618,"TRUE"),exact(metadata!N618,"FALSE"))))</f>
        <v>0</v>
      </c>
      <c r="AO618">
        <f>IF(metadata!O618="",FALSE,TRUE)</f>
        <v>0</v>
      </c>
      <c r="AP618">
        <f>OR(AND(IF(metadata!P618="",FALSE,TRUE),OR(exact(metadata!P618,"missing: not collected"),exact(metadata!P618,"missing: not provided"))),AND(IF(metadata!P618="",FALSE,IF(ISERROR(INT(metadata!P618)),FALSE,INT(metadata!P618)=metadata!P618)),metadata!P618&gt;0))</f>
        <v>0</v>
      </c>
      <c r="AQ618">
        <f>IF(metadata!Q618="",FALSE,TRUE)</f>
        <v>0</v>
      </c>
    </row>
    <row r="619" spans="1:43">
      <c r="A619" s="5">
        <f>IF(B619=" "," ",HYPERLINK(CONCATENATE("#metadata!",ADDRESS(INDEX($W$2:$W$1001,MATCH(ROWS($U$2:U619),$U$2:$U$1001,0),0),1)),INDEX($Z$2:$Z$1001,MATCH(ROWS($U$2:U619),$U$2:$U$1001,0),0)))</f>
        <v>0</v>
      </c>
      <c r="B619" s="4">
        <f>IF(OR(INDEX($V$2:$V$1001,MATCH(ROWS($U$2:U619),$U$2:$U$1001,0),1)&gt;=100000,INDEX($AB$1005:$AQ$1005,1,MATCH(COLUMNS($AB$1006:AB1006),$AB$1006:$AQ$1006,0))&gt;=100000), " ",IF(INDEX($AB$2:$AQ$1001,MATCH(ROWS($U$2:U619),$U$2:$U$1001,0),MATCH(COLUMNS($AB$1006:AB1006),$AB$1006:$AQ$1006,0)), HYPERLINK("#",""), HYPERLINK(CONCATENATE("#metadata!", ADDRESS(INDEX($W$2:$W$1001,MATCH(ROWS($U$2:U619),$U$2:$U$1001,0),0), INDEX($AB$1004:$AQ$1004,1,MATCH(COLUMNS($AB$1006:AB1006),$AB$1006:$AQ$1006,0)))),"Fix")))</f>
        <v>0</v>
      </c>
      <c r="C619" s="4">
        <f>IF(OR(INDEX($V$2:$V$1001,MATCH(ROWS($U$2:U619),$U$2:$U$1001,0),1)&gt;=100000,INDEX($AB$1005:$AQ$1005,1,MATCH(COLUMNS($AB$1006:AC1006),$AB$1006:$AQ$1006,0))&gt;=100000), " ",IF(INDEX($AB$2:$AQ$1001,MATCH(ROWS($U$2:U619),$U$2:$U$1001,0),MATCH(COLUMNS($AB$1006:AC1006),$AB$1006:$AQ$1006,0)), HYPERLINK("#",""), HYPERLINK(CONCATENATE("#metadata!", ADDRESS(INDEX($W$2:$W$1001,MATCH(ROWS($U$2:U619),$U$2:$U$1001,0),0), INDEX($AB$1004:$AQ$1004,1,MATCH(COLUMNS($AB$1006:AC1006),$AB$1006:$AQ$1006,0)))),"Fix")))</f>
        <v>0</v>
      </c>
      <c r="D619" s="4">
        <f>IF(OR(INDEX($V$2:$V$1001,MATCH(ROWS($U$2:U619),$U$2:$U$1001,0),1)&gt;=100000,INDEX($AB$1005:$AQ$1005,1,MATCH(COLUMNS($AB$1006:AD1006),$AB$1006:$AQ$1006,0))&gt;=100000), " ",IF(INDEX($AB$2:$AQ$1001,MATCH(ROWS($U$2:U619),$U$2:$U$1001,0),MATCH(COLUMNS($AB$1006:AD1006),$AB$1006:$AQ$1006,0)), HYPERLINK("#",""), HYPERLINK(CONCATENATE("#metadata!", ADDRESS(INDEX($W$2:$W$1001,MATCH(ROWS($U$2:U619),$U$2:$U$1001,0),0), INDEX($AB$1004:$AQ$1004,1,MATCH(COLUMNS($AB$1006:AD1006),$AB$1006:$AQ$1006,0)))),"Fix")))</f>
        <v>0</v>
      </c>
      <c r="E619" s="4">
        <f>IF(OR(INDEX($V$2:$V$1001,MATCH(ROWS($U$2:U619),$U$2:$U$1001,0),1)&gt;=100000,INDEX($AB$1005:$AQ$1005,1,MATCH(COLUMNS($AB$1006:AE1006),$AB$1006:$AQ$1006,0))&gt;=100000), " ",IF(INDEX($AB$2:$AQ$1001,MATCH(ROWS($U$2:U619),$U$2:$U$1001,0),MATCH(COLUMNS($AB$1006:AE1006),$AB$1006:$AQ$1006,0)), HYPERLINK("#",""), HYPERLINK(CONCATENATE("#metadata!", ADDRESS(INDEX($W$2:$W$1001,MATCH(ROWS($U$2:U619),$U$2:$U$1001,0),0), INDEX($AB$1004:$AQ$1004,1,MATCH(COLUMNS($AB$1006:AE1006),$AB$1006:$AQ$1006,0)))),"Fix")))</f>
        <v>0</v>
      </c>
      <c r="F619" s="4">
        <f>IF(OR(INDEX($V$2:$V$1001,MATCH(ROWS($U$2:U619),$U$2:$U$1001,0),1)&gt;=100000,INDEX($AB$1005:$AQ$1005,1,MATCH(COLUMNS($AB$1006:AF1006),$AB$1006:$AQ$1006,0))&gt;=100000), " ",IF(INDEX($AB$2:$AQ$1001,MATCH(ROWS($U$2:U619),$U$2:$U$1001,0),MATCH(COLUMNS($AB$1006:AF1006),$AB$1006:$AQ$1006,0)), HYPERLINK("#",""), HYPERLINK(CONCATENATE("#metadata!", ADDRESS(INDEX($W$2:$W$1001,MATCH(ROWS($U$2:U619),$U$2:$U$1001,0),0), INDEX($AB$1004:$AQ$1004,1,MATCH(COLUMNS($AB$1006:AF1006),$AB$1006:$AQ$1006,0)))),"Fix")))</f>
        <v>0</v>
      </c>
      <c r="G619" s="4">
        <f>IF(OR(INDEX($V$2:$V$1001,MATCH(ROWS($U$2:U619),$U$2:$U$1001,0),1)&gt;=100000,INDEX($AB$1005:$AQ$1005,1,MATCH(COLUMNS($AB$1006:AG1006),$AB$1006:$AQ$1006,0))&gt;=100000), " ",IF(INDEX($AB$2:$AQ$1001,MATCH(ROWS($U$2:U619),$U$2:$U$1001,0),MATCH(COLUMNS($AB$1006:AG1006),$AB$1006:$AQ$1006,0)), HYPERLINK("#",""), HYPERLINK(CONCATENATE("#metadata!", ADDRESS(INDEX($W$2:$W$1001,MATCH(ROWS($U$2:U619),$U$2:$U$1001,0),0), INDEX($AB$1004:$AQ$1004,1,MATCH(COLUMNS($AB$1006:AG1006),$AB$1006:$AQ$1006,0)))),"Fix")))</f>
        <v>0</v>
      </c>
      <c r="H619" s="4">
        <f>IF(OR(INDEX($V$2:$V$1001,MATCH(ROWS($U$2:U619),$U$2:$U$1001,0),1)&gt;=100000,INDEX($AB$1005:$AQ$1005,1,MATCH(COLUMNS($AB$1006:AH1006),$AB$1006:$AQ$1006,0))&gt;=100000), " ",IF(INDEX($AB$2:$AQ$1001,MATCH(ROWS($U$2:U619),$U$2:$U$1001,0),MATCH(COLUMNS($AB$1006:AH1006),$AB$1006:$AQ$1006,0)), HYPERLINK("#",""), HYPERLINK(CONCATENATE("#metadata!", ADDRESS(INDEX($W$2:$W$1001,MATCH(ROWS($U$2:U619),$U$2:$U$1001,0),0), INDEX($AB$1004:$AQ$1004,1,MATCH(COLUMNS($AB$1006:AH1006),$AB$1006:$AQ$1006,0)))),"Fix")))</f>
        <v>0</v>
      </c>
      <c r="I619" s="4">
        <f>IF(OR(INDEX($V$2:$V$1001,MATCH(ROWS($U$2:U619),$U$2:$U$1001,0),1)&gt;=100000,INDEX($AB$1005:$AQ$1005,1,MATCH(COLUMNS($AB$1006:AI1006),$AB$1006:$AQ$1006,0))&gt;=100000), " ",IF(INDEX($AB$2:$AQ$1001,MATCH(ROWS($U$2:U619),$U$2:$U$1001,0),MATCH(COLUMNS($AB$1006:AI1006),$AB$1006:$AQ$1006,0)), HYPERLINK("#",""), HYPERLINK(CONCATENATE("#metadata!", ADDRESS(INDEX($W$2:$W$1001,MATCH(ROWS($U$2:U619),$U$2:$U$1001,0),0), INDEX($AB$1004:$AQ$1004,1,MATCH(COLUMNS($AB$1006:AI1006),$AB$1006:$AQ$1006,0)))),"Fix")))</f>
        <v>0</v>
      </c>
      <c r="J619" s="4">
        <f>IF(OR(INDEX($V$2:$V$1001,MATCH(ROWS($U$2:U619),$U$2:$U$1001,0),1)&gt;=100000,INDEX($AB$1005:$AQ$1005,1,MATCH(COLUMNS($AB$1006:AJ1006),$AB$1006:$AQ$1006,0))&gt;=100000), " ",IF(INDEX($AB$2:$AQ$1001,MATCH(ROWS($U$2:U619),$U$2:$U$1001,0),MATCH(COLUMNS($AB$1006:AJ1006),$AB$1006:$AQ$1006,0)), HYPERLINK("#",""), HYPERLINK(CONCATENATE("#metadata!", ADDRESS(INDEX($W$2:$W$1001,MATCH(ROWS($U$2:U619),$U$2:$U$1001,0),0), INDEX($AB$1004:$AQ$1004,1,MATCH(COLUMNS($AB$1006:AJ1006),$AB$1006:$AQ$1006,0)))),"Fix")))</f>
        <v>0</v>
      </c>
      <c r="K619" s="4">
        <f>IF(OR(INDEX($V$2:$V$1001,MATCH(ROWS($U$2:U619),$U$2:$U$1001,0),1)&gt;=100000,INDEX($AB$1005:$AQ$1005,1,MATCH(COLUMNS($AB$1006:AK1006),$AB$1006:$AQ$1006,0))&gt;=100000), " ",IF(INDEX($AB$2:$AQ$1001,MATCH(ROWS($U$2:U619),$U$2:$U$1001,0),MATCH(COLUMNS($AB$1006:AK1006),$AB$1006:$AQ$1006,0)), HYPERLINK("#",""), HYPERLINK(CONCATENATE("#metadata!", ADDRESS(INDEX($W$2:$W$1001,MATCH(ROWS($U$2:U619),$U$2:$U$1001,0),0), INDEX($AB$1004:$AQ$1004,1,MATCH(COLUMNS($AB$1006:AK1006),$AB$1006:$AQ$1006,0)))),"Fix")))</f>
        <v>0</v>
      </c>
      <c r="L619" s="4">
        <f>IF(OR(INDEX($V$2:$V$1001,MATCH(ROWS($U$2:U619),$U$2:$U$1001,0),1)&gt;=100000,INDEX($AB$1005:$AQ$1005,1,MATCH(COLUMNS($AB$1006:AL1006),$AB$1006:$AQ$1006,0))&gt;=100000), " ",IF(INDEX($AB$2:$AQ$1001,MATCH(ROWS($U$2:U619),$U$2:$U$1001,0),MATCH(COLUMNS($AB$1006:AL1006),$AB$1006:$AQ$1006,0)), HYPERLINK("#",""), HYPERLINK(CONCATENATE("#metadata!", ADDRESS(INDEX($W$2:$W$1001,MATCH(ROWS($U$2:U619),$U$2:$U$1001,0),0), INDEX($AB$1004:$AQ$1004,1,MATCH(COLUMNS($AB$1006:AL1006),$AB$1006:$AQ$1006,0)))),"Fix")))</f>
        <v>0</v>
      </c>
      <c r="M619" s="4">
        <f>IF(OR(INDEX($V$2:$V$1001,MATCH(ROWS($U$2:U619),$U$2:$U$1001,0),1)&gt;=100000,INDEX($AB$1005:$AQ$1005,1,MATCH(COLUMNS($AB$1006:AM1006),$AB$1006:$AQ$1006,0))&gt;=100000), " ",IF(INDEX($AB$2:$AQ$1001,MATCH(ROWS($U$2:U619),$U$2:$U$1001,0),MATCH(COLUMNS($AB$1006:AM1006),$AB$1006:$AQ$1006,0)), HYPERLINK("#",""), HYPERLINK(CONCATENATE("#metadata!", ADDRESS(INDEX($W$2:$W$1001,MATCH(ROWS($U$2:U619),$U$2:$U$1001,0),0), INDEX($AB$1004:$AQ$1004,1,MATCH(COLUMNS($AB$1006:AM1006),$AB$1006:$AQ$1006,0)))),"Fix")))</f>
        <v>0</v>
      </c>
      <c r="N619" s="4">
        <f>IF(OR(INDEX($V$2:$V$1001,MATCH(ROWS($U$2:U619),$U$2:$U$1001,0),1)&gt;=100000,INDEX($AB$1005:$AQ$1005,1,MATCH(COLUMNS($AB$1006:AN1006),$AB$1006:$AQ$1006,0))&gt;=100000), " ",IF(INDEX($AB$2:$AQ$1001,MATCH(ROWS($U$2:U619),$U$2:$U$1001,0),MATCH(COLUMNS($AB$1006:AN1006),$AB$1006:$AQ$1006,0)), HYPERLINK("#",""), HYPERLINK(CONCATENATE("#metadata!", ADDRESS(INDEX($W$2:$W$1001,MATCH(ROWS($U$2:U619),$U$2:$U$1001,0),0), INDEX($AB$1004:$AQ$1004,1,MATCH(COLUMNS($AB$1006:AN1006),$AB$1006:$AQ$1006,0)))),"Fix")))</f>
        <v>0</v>
      </c>
      <c r="O619" s="4">
        <f>IF(OR(INDEX($V$2:$V$1001,MATCH(ROWS($U$2:U619),$U$2:$U$1001,0),1)&gt;=100000,INDEX($AB$1005:$AQ$1005,1,MATCH(COLUMNS($AB$1006:AO1006),$AB$1006:$AQ$1006,0))&gt;=100000), " ",IF(INDEX($AB$2:$AQ$1001,MATCH(ROWS($U$2:U619),$U$2:$U$1001,0),MATCH(COLUMNS($AB$1006:AO1006),$AB$1006:$AQ$1006,0)), HYPERLINK("#",""), HYPERLINK(CONCATENATE("#metadata!", ADDRESS(INDEX($W$2:$W$1001,MATCH(ROWS($U$2:U619),$U$2:$U$1001,0),0), INDEX($AB$1004:$AQ$1004,1,MATCH(COLUMNS($AB$1006:AO1006),$AB$1006:$AQ$1006,0)))),"Fix")))</f>
        <v>0</v>
      </c>
      <c r="P619" s="4">
        <f>IF(OR(INDEX($V$2:$V$1001,MATCH(ROWS($U$2:U619),$U$2:$U$1001,0),1)&gt;=100000,INDEX($AB$1005:$AQ$1005,1,MATCH(COLUMNS($AB$1006:AP1006),$AB$1006:$AQ$1006,0))&gt;=100000), " ",IF(INDEX($AB$2:$AQ$1001,MATCH(ROWS($U$2:U619),$U$2:$U$1001,0),MATCH(COLUMNS($AB$1006:AP1006),$AB$1006:$AQ$1006,0)), HYPERLINK("#",""), HYPERLINK(CONCATENATE("#metadata!", ADDRESS(INDEX($W$2:$W$1001,MATCH(ROWS($U$2:U619),$U$2:$U$1001,0),0), INDEX($AB$1004:$AQ$1004,1,MATCH(COLUMNS($AB$1006:AP1006),$AB$1006:$AQ$1006,0)))),"Fix")))</f>
        <v>0</v>
      </c>
      <c r="Q619" s="4">
        <f>IF(OR(INDEX($V$2:$V$1001,MATCH(ROWS($U$2:U619),$U$2:$U$1001,0),1)&gt;=100000,INDEX($AB$1005:$AQ$1005,1,MATCH(COLUMNS($AB$1006:AQ1006),$AB$1006:$AQ$1006,0))&gt;=100000), " ",IF(INDEX($AB$2:$AQ$1001,MATCH(ROWS($U$2:U619),$U$2:$U$1001,0),MATCH(COLUMNS($AB$1006:AQ1006),$AB$1006:$AQ$1006,0)), HYPERLINK("#",""), HYPERLINK(CONCATENATE("#metadata!", ADDRESS(INDEX($W$2:$W$1001,MATCH(ROWS($U$2:U619),$U$2:$U$1001,0),0), INDEX($AB$1004:$AQ$1004,1,MATCH(COLUMNS($AB$1006:AQ1006),$AB$1006:$AQ$1006,0)))),"Fix")))</f>
        <v>0</v>
      </c>
      <c r="U619">
        <v>0</v>
      </c>
      <c r="V619">
        <v>0</v>
      </c>
      <c r="W619">
        <v>0</v>
      </c>
      <c r="X619">
        <f>IF(Y619,TRUE,AND(AB619:AQ619))</f>
        <v>0</v>
      </c>
      <c r="Y619">
        <f>COUNTBLANK(metadata!B619:Q619)=COLUMNS(metadata!B619:Q619)</f>
        <v>0</v>
      </c>
      <c r="Z619">
        <v>0</v>
      </c>
      <c r="AB619">
        <f>AND(IF(metadata!B619="",FALSE,TRUE),COUNTIF(metadata!B:B, metadata!B619) = 1,NOT(ISERROR(SUMPRODUCT(SEARCH(MID(metadata!B619,ROW(INDIRECT("1:"&amp;LEN(metadata!B619))), 1),"0123456789abcdefghijklmnopqrstuvwxyzABCDEFGHIJKLMNOPQRSTUVWXYZ.")))))</f>
        <v>0</v>
      </c>
      <c r="AC619">
        <f>OR(AND(IF(metadata!C619="",FALSE,TRUE),OR(exact(metadata!C619,"missing: not collected"),exact(metadata!C619,"missing: not provided"),exact(metadata!C619,"missing: restricted access"))),AND(IF(metadata!C619="",FALSE,TRUE),AND(AND(IFERROR(INT(LEFT(metadata!C619,4))&gt;1900,FALSE),IFERROR(INT(LEFT(metadata!C619,4))&lt;=YEAR(NOW()),FALSE)), OR(MID(metadata!C619,5,1)="", AND(AND(MID(metadata!C619,5,1)="-",IFERROR(INT(MID(metadata!C619,6,1))&gt;=0,FALSE),IFERROR(INT(MID(metadata!C619,6,1))&lt;=1,FALSE),NOT(MID(metadata!C619,7,1)=""),IFERROR(INT(MID(metadata!C619,6,2))&gt;=1,FALSE),IFERROR(INT(MID(metadata!C619,6,2))&lt;=12,FALSE)), OR(MID(metadata!C619,8,1)="", AND(AND(MID(metadata!C619,8,1)="-",IFERROR(INT(MID(metadata!C619,9,1))&gt;=0,FALSE),IFERROR(INT(MID(metadata!C619,9,1))&lt;=3,FALSE),NOT(MID(metadata!C619,10,1)=""),IFERROR(INT(MID(metadata!C619,9,2))&gt;=1,FALSE),IFERROR(INT(MID(metadata!C619,9,2))&lt;=31,FALSE)), OR(MID(metadata!C619,11,1)="", AND(AND(MID(metadata!C619,11,1)=" ",IFERROR(INT(MID(metadata!C619,12,1))&gt;=0,FALSE),IFERROR(INT(MID(metadata!C619,12,1))&lt;=2,FALSE),NOT(MID(metadata!C619,13,1)=""),IFERROR(INT(MID(metadata!C619,12,2))&gt;=0,FALSE),IFERROR(INT(MID(metadata!C619,12,2))&lt;=23,FALSE)), OR(MID(metadata!C619,14,1)="", AND(AND(MID(metadata!C619,14,1)=":",IFERROR(INT(MID(metadata!C619,15,1))&gt;=0,FALSE),IFERROR(INT(MID(metadata!C619,15,1))&lt;=5,FALSE),NOT(MID(metadata!C619,16,1)=""),IFERROR(INT(MID(metadata!C619,15,2))&gt;=0,FALSE),IFERROR(INT(MID(metadata!C619,15,2))&lt;=59,FALSE)), OR(MID(metadata!C619,17,1)="", AND(AND(MID(metadata!C619,17,1)=":",IFERROR(INT(MID(metadata!C619,18,1))&gt;=0,FALSE),IFERROR(INT(MID(metadata!C619,18,1))&lt;=5,FALSE),NOT(MID(metadata!C619,19,1)=""),IFERROR(INT(MID(metadata!C619,18,2))&gt;=0,FALSE),IFERROR(INT(MID(metadata!C619,18,2))&lt;=59,FALSE)), LEN(metadata!C619)&lt;=19)))))))))))))</f>
        <v>0</v>
      </c>
      <c r="AD619">
        <f>IF(metadata!D619="",FALSE,TRUE)</f>
        <v>0</v>
      </c>
      <c r="AE619">
        <f>OR(AND(IF(metadata!E619="",FALSE,TRUE),OR(exact(metadata!E619,"missing: not collected"),exact(metadata!E619,"missing: not provided"))),AND(IF(metadata!E619="",FALSE,TRUE),OR(exact(metadata!E619,"TRUE"),exact(metadata!E619,"FALSE"))))</f>
        <v>0</v>
      </c>
      <c r="AF619">
        <f>IF(metadata!F619="",FALSE,TRUE)</f>
        <v>0</v>
      </c>
      <c r="AG619">
        <f>IF(metadata!G619="",FALSE,TRUE)</f>
        <v>0</v>
      </c>
      <c r="AH619">
        <f>IF(metadata!H619="",FALSE,TRUE)</f>
        <v>0</v>
      </c>
      <c r="AI619">
        <f>OR(AND(IF(metadata!I619="",FALSE,TRUE),OR(exact(metadata!I619,"missing: not collected"),exact(metadata!I619,"missing: not provided"),exact(metadata!I619,"missing: restricted access"))),AND(IF(metadata!I619="",FALSE,TRUE),OR(exact(metadata!I619,"air"),exact(metadata!I619,"built environment"),exact(metadata!I619,"host-associated"),exact(metadata!I619,"human-associated"),exact(metadata!I619,"human-skin"),exact(metadata!I619,"human-oral"),exact(metadata!I619,"human-gut"),exact(metadata!I619,"human-vaginal"),exact(metadata!I619,"microbial mat/biofilm"),exact(metadata!I619,"misc environment"),exact(metadata!I619,"plant-associated"),exact(metadata!I619,"sediment"),exact(metadata!I619,"soil"),exact(metadata!I619,"wastewater/sludge"),exact(metadata!I619,"water"))))</f>
        <v>0</v>
      </c>
      <c r="AJ619">
        <f>IF(metadata!J619="",FALSE,TRUE)</f>
        <v>0</v>
      </c>
      <c r="AK619">
        <f>OR(AND(IF(metadata!K619="",FALSE,TRUE),OR(exact(metadata!K619,"missing: not collected"),exact(metadata!K619,"missing: not provided"),exact(metadata!K619,"missing: restricted access"))),AND(IF(metadata!K619="",FALSE,ISNUMBER(VALUE(metadata!K619))),metadata!K619&gt;=-90.00,metadata!K619&lt;=90.00))</f>
        <v>0</v>
      </c>
      <c r="AL619">
        <f>OR(AND(IF(metadata!L619="",FALSE,TRUE),OR(exact(metadata!L619,"missing: not collected"),exact(metadata!L619,"missing: not provided"),exact(metadata!L619,"missing: restricted access"))),AND(IF(metadata!L619="",FALSE,ISNUMBER(VALUE(metadata!L619))),metadata!L619&gt;=-180.00,metadata!L619&lt;=180.00))</f>
        <v>0</v>
      </c>
      <c r="AM619">
        <f>IF(metadata!M619="",FALSE,TRUE)</f>
        <v>0</v>
      </c>
      <c r="AN619">
        <f>OR(AND(IF(metadata!N619="",FALSE,TRUE),OR(exact(metadata!N619,"missing: not collected"),exact(metadata!N619,"missing: not provided"),exact(metadata!N619,"missing: restricted access"))),AND(IF(metadata!N619="",FALSE,TRUE),OR(exact(metadata!N619,"TRUE"),exact(metadata!N619,"FALSE"))))</f>
        <v>0</v>
      </c>
      <c r="AO619">
        <f>IF(metadata!O619="",FALSE,TRUE)</f>
        <v>0</v>
      </c>
      <c r="AP619">
        <f>OR(AND(IF(metadata!P619="",FALSE,TRUE),OR(exact(metadata!P619,"missing: not collected"),exact(metadata!P619,"missing: not provided"))),AND(IF(metadata!P619="",FALSE,IF(ISERROR(INT(metadata!P619)),FALSE,INT(metadata!P619)=metadata!P619)),metadata!P619&gt;0))</f>
        <v>0</v>
      </c>
      <c r="AQ619">
        <f>IF(metadata!Q619="",FALSE,TRUE)</f>
        <v>0</v>
      </c>
    </row>
    <row r="620" spans="1:43">
      <c r="A620" s="5">
        <f>IF(B620=" "," ",HYPERLINK(CONCATENATE("#metadata!",ADDRESS(INDEX($W$2:$W$1001,MATCH(ROWS($U$2:U620),$U$2:$U$1001,0),0),1)),INDEX($Z$2:$Z$1001,MATCH(ROWS($U$2:U620),$U$2:$U$1001,0),0)))</f>
        <v>0</v>
      </c>
      <c r="B620" s="4">
        <f>IF(OR(INDEX($V$2:$V$1001,MATCH(ROWS($U$2:U620),$U$2:$U$1001,0),1)&gt;=100000,INDEX($AB$1005:$AQ$1005,1,MATCH(COLUMNS($AB$1006:AB1006),$AB$1006:$AQ$1006,0))&gt;=100000), " ",IF(INDEX($AB$2:$AQ$1001,MATCH(ROWS($U$2:U620),$U$2:$U$1001,0),MATCH(COLUMNS($AB$1006:AB1006),$AB$1006:$AQ$1006,0)), HYPERLINK("#",""), HYPERLINK(CONCATENATE("#metadata!", ADDRESS(INDEX($W$2:$W$1001,MATCH(ROWS($U$2:U620),$U$2:$U$1001,0),0), INDEX($AB$1004:$AQ$1004,1,MATCH(COLUMNS($AB$1006:AB1006),$AB$1006:$AQ$1006,0)))),"Fix")))</f>
        <v>0</v>
      </c>
      <c r="C620" s="4">
        <f>IF(OR(INDEX($V$2:$V$1001,MATCH(ROWS($U$2:U620),$U$2:$U$1001,0),1)&gt;=100000,INDEX($AB$1005:$AQ$1005,1,MATCH(COLUMNS($AB$1006:AC1006),$AB$1006:$AQ$1006,0))&gt;=100000), " ",IF(INDEX($AB$2:$AQ$1001,MATCH(ROWS($U$2:U620),$U$2:$U$1001,0),MATCH(COLUMNS($AB$1006:AC1006),$AB$1006:$AQ$1006,0)), HYPERLINK("#",""), HYPERLINK(CONCATENATE("#metadata!", ADDRESS(INDEX($W$2:$W$1001,MATCH(ROWS($U$2:U620),$U$2:$U$1001,0),0), INDEX($AB$1004:$AQ$1004,1,MATCH(COLUMNS($AB$1006:AC1006),$AB$1006:$AQ$1006,0)))),"Fix")))</f>
        <v>0</v>
      </c>
      <c r="D620" s="4">
        <f>IF(OR(INDEX($V$2:$V$1001,MATCH(ROWS($U$2:U620),$U$2:$U$1001,0),1)&gt;=100000,INDEX($AB$1005:$AQ$1005,1,MATCH(COLUMNS($AB$1006:AD1006),$AB$1006:$AQ$1006,0))&gt;=100000), " ",IF(INDEX($AB$2:$AQ$1001,MATCH(ROWS($U$2:U620),$U$2:$U$1001,0),MATCH(COLUMNS($AB$1006:AD1006),$AB$1006:$AQ$1006,0)), HYPERLINK("#",""), HYPERLINK(CONCATENATE("#metadata!", ADDRESS(INDEX($W$2:$W$1001,MATCH(ROWS($U$2:U620),$U$2:$U$1001,0),0), INDEX($AB$1004:$AQ$1004,1,MATCH(COLUMNS($AB$1006:AD1006),$AB$1006:$AQ$1006,0)))),"Fix")))</f>
        <v>0</v>
      </c>
      <c r="E620" s="4">
        <f>IF(OR(INDEX($V$2:$V$1001,MATCH(ROWS($U$2:U620),$U$2:$U$1001,0),1)&gt;=100000,INDEX($AB$1005:$AQ$1005,1,MATCH(COLUMNS($AB$1006:AE1006),$AB$1006:$AQ$1006,0))&gt;=100000), " ",IF(INDEX($AB$2:$AQ$1001,MATCH(ROWS($U$2:U620),$U$2:$U$1001,0),MATCH(COLUMNS($AB$1006:AE1006),$AB$1006:$AQ$1006,0)), HYPERLINK("#",""), HYPERLINK(CONCATENATE("#metadata!", ADDRESS(INDEX($W$2:$W$1001,MATCH(ROWS($U$2:U620),$U$2:$U$1001,0),0), INDEX($AB$1004:$AQ$1004,1,MATCH(COLUMNS($AB$1006:AE1006),$AB$1006:$AQ$1006,0)))),"Fix")))</f>
        <v>0</v>
      </c>
      <c r="F620" s="4">
        <f>IF(OR(INDEX($V$2:$V$1001,MATCH(ROWS($U$2:U620),$U$2:$U$1001,0),1)&gt;=100000,INDEX($AB$1005:$AQ$1005,1,MATCH(COLUMNS($AB$1006:AF1006),$AB$1006:$AQ$1006,0))&gt;=100000), " ",IF(INDEX($AB$2:$AQ$1001,MATCH(ROWS($U$2:U620),$U$2:$U$1001,0),MATCH(COLUMNS($AB$1006:AF1006),$AB$1006:$AQ$1006,0)), HYPERLINK("#",""), HYPERLINK(CONCATENATE("#metadata!", ADDRESS(INDEX($W$2:$W$1001,MATCH(ROWS($U$2:U620),$U$2:$U$1001,0),0), INDEX($AB$1004:$AQ$1004,1,MATCH(COLUMNS($AB$1006:AF1006),$AB$1006:$AQ$1006,0)))),"Fix")))</f>
        <v>0</v>
      </c>
      <c r="G620" s="4">
        <f>IF(OR(INDEX($V$2:$V$1001,MATCH(ROWS($U$2:U620),$U$2:$U$1001,0),1)&gt;=100000,INDEX($AB$1005:$AQ$1005,1,MATCH(COLUMNS($AB$1006:AG1006),$AB$1006:$AQ$1006,0))&gt;=100000), " ",IF(INDEX($AB$2:$AQ$1001,MATCH(ROWS($U$2:U620),$U$2:$U$1001,0),MATCH(COLUMNS($AB$1006:AG1006),$AB$1006:$AQ$1006,0)), HYPERLINK("#",""), HYPERLINK(CONCATENATE("#metadata!", ADDRESS(INDEX($W$2:$W$1001,MATCH(ROWS($U$2:U620),$U$2:$U$1001,0),0), INDEX($AB$1004:$AQ$1004,1,MATCH(COLUMNS($AB$1006:AG1006),$AB$1006:$AQ$1006,0)))),"Fix")))</f>
        <v>0</v>
      </c>
      <c r="H620" s="4">
        <f>IF(OR(INDEX($V$2:$V$1001,MATCH(ROWS($U$2:U620),$U$2:$U$1001,0),1)&gt;=100000,INDEX($AB$1005:$AQ$1005,1,MATCH(COLUMNS($AB$1006:AH1006),$AB$1006:$AQ$1006,0))&gt;=100000), " ",IF(INDEX($AB$2:$AQ$1001,MATCH(ROWS($U$2:U620),$U$2:$U$1001,0),MATCH(COLUMNS($AB$1006:AH1006),$AB$1006:$AQ$1006,0)), HYPERLINK("#",""), HYPERLINK(CONCATENATE("#metadata!", ADDRESS(INDEX($W$2:$W$1001,MATCH(ROWS($U$2:U620),$U$2:$U$1001,0),0), INDEX($AB$1004:$AQ$1004,1,MATCH(COLUMNS($AB$1006:AH1006),$AB$1006:$AQ$1006,0)))),"Fix")))</f>
        <v>0</v>
      </c>
      <c r="I620" s="4">
        <f>IF(OR(INDEX($V$2:$V$1001,MATCH(ROWS($U$2:U620),$U$2:$U$1001,0),1)&gt;=100000,INDEX($AB$1005:$AQ$1005,1,MATCH(COLUMNS($AB$1006:AI1006),$AB$1006:$AQ$1006,0))&gt;=100000), " ",IF(INDEX($AB$2:$AQ$1001,MATCH(ROWS($U$2:U620),$U$2:$U$1001,0),MATCH(COLUMNS($AB$1006:AI1006),$AB$1006:$AQ$1006,0)), HYPERLINK("#",""), HYPERLINK(CONCATENATE("#metadata!", ADDRESS(INDEX($W$2:$W$1001,MATCH(ROWS($U$2:U620),$U$2:$U$1001,0),0), INDEX($AB$1004:$AQ$1004,1,MATCH(COLUMNS($AB$1006:AI1006),$AB$1006:$AQ$1006,0)))),"Fix")))</f>
        <v>0</v>
      </c>
      <c r="J620" s="4">
        <f>IF(OR(INDEX($V$2:$V$1001,MATCH(ROWS($U$2:U620),$U$2:$U$1001,0),1)&gt;=100000,INDEX($AB$1005:$AQ$1005,1,MATCH(COLUMNS($AB$1006:AJ1006),$AB$1006:$AQ$1006,0))&gt;=100000), " ",IF(INDEX($AB$2:$AQ$1001,MATCH(ROWS($U$2:U620),$U$2:$U$1001,0),MATCH(COLUMNS($AB$1006:AJ1006),$AB$1006:$AQ$1006,0)), HYPERLINK("#",""), HYPERLINK(CONCATENATE("#metadata!", ADDRESS(INDEX($W$2:$W$1001,MATCH(ROWS($U$2:U620),$U$2:$U$1001,0),0), INDEX($AB$1004:$AQ$1004,1,MATCH(COLUMNS($AB$1006:AJ1006),$AB$1006:$AQ$1006,0)))),"Fix")))</f>
        <v>0</v>
      </c>
      <c r="K620" s="4">
        <f>IF(OR(INDEX($V$2:$V$1001,MATCH(ROWS($U$2:U620),$U$2:$U$1001,0),1)&gt;=100000,INDEX($AB$1005:$AQ$1005,1,MATCH(COLUMNS($AB$1006:AK1006),$AB$1006:$AQ$1006,0))&gt;=100000), " ",IF(INDEX($AB$2:$AQ$1001,MATCH(ROWS($U$2:U620),$U$2:$U$1001,0),MATCH(COLUMNS($AB$1006:AK1006),$AB$1006:$AQ$1006,0)), HYPERLINK("#",""), HYPERLINK(CONCATENATE("#metadata!", ADDRESS(INDEX($W$2:$W$1001,MATCH(ROWS($U$2:U620),$U$2:$U$1001,0),0), INDEX($AB$1004:$AQ$1004,1,MATCH(COLUMNS($AB$1006:AK1006),$AB$1006:$AQ$1006,0)))),"Fix")))</f>
        <v>0</v>
      </c>
      <c r="L620" s="4">
        <f>IF(OR(INDEX($V$2:$V$1001,MATCH(ROWS($U$2:U620),$U$2:$U$1001,0),1)&gt;=100000,INDEX($AB$1005:$AQ$1005,1,MATCH(COLUMNS($AB$1006:AL1006),$AB$1006:$AQ$1006,0))&gt;=100000), " ",IF(INDEX($AB$2:$AQ$1001,MATCH(ROWS($U$2:U620),$U$2:$U$1001,0),MATCH(COLUMNS($AB$1006:AL1006),$AB$1006:$AQ$1006,0)), HYPERLINK("#",""), HYPERLINK(CONCATENATE("#metadata!", ADDRESS(INDEX($W$2:$W$1001,MATCH(ROWS($U$2:U620),$U$2:$U$1001,0),0), INDEX($AB$1004:$AQ$1004,1,MATCH(COLUMNS($AB$1006:AL1006),$AB$1006:$AQ$1006,0)))),"Fix")))</f>
        <v>0</v>
      </c>
      <c r="M620" s="4">
        <f>IF(OR(INDEX($V$2:$V$1001,MATCH(ROWS($U$2:U620),$U$2:$U$1001,0),1)&gt;=100000,INDEX($AB$1005:$AQ$1005,1,MATCH(COLUMNS($AB$1006:AM1006),$AB$1006:$AQ$1006,0))&gt;=100000), " ",IF(INDEX($AB$2:$AQ$1001,MATCH(ROWS($U$2:U620),$U$2:$U$1001,0),MATCH(COLUMNS($AB$1006:AM1006),$AB$1006:$AQ$1006,0)), HYPERLINK("#",""), HYPERLINK(CONCATENATE("#metadata!", ADDRESS(INDEX($W$2:$W$1001,MATCH(ROWS($U$2:U620),$U$2:$U$1001,0),0), INDEX($AB$1004:$AQ$1004,1,MATCH(COLUMNS($AB$1006:AM1006),$AB$1006:$AQ$1006,0)))),"Fix")))</f>
        <v>0</v>
      </c>
      <c r="N620" s="4">
        <f>IF(OR(INDEX($V$2:$V$1001,MATCH(ROWS($U$2:U620),$U$2:$U$1001,0),1)&gt;=100000,INDEX($AB$1005:$AQ$1005,1,MATCH(COLUMNS($AB$1006:AN1006),$AB$1006:$AQ$1006,0))&gt;=100000), " ",IF(INDEX($AB$2:$AQ$1001,MATCH(ROWS($U$2:U620),$U$2:$U$1001,0),MATCH(COLUMNS($AB$1006:AN1006),$AB$1006:$AQ$1006,0)), HYPERLINK("#",""), HYPERLINK(CONCATENATE("#metadata!", ADDRESS(INDEX($W$2:$W$1001,MATCH(ROWS($U$2:U620),$U$2:$U$1001,0),0), INDEX($AB$1004:$AQ$1004,1,MATCH(COLUMNS($AB$1006:AN1006),$AB$1006:$AQ$1006,0)))),"Fix")))</f>
        <v>0</v>
      </c>
      <c r="O620" s="4">
        <f>IF(OR(INDEX($V$2:$V$1001,MATCH(ROWS($U$2:U620),$U$2:$U$1001,0),1)&gt;=100000,INDEX($AB$1005:$AQ$1005,1,MATCH(COLUMNS($AB$1006:AO1006),$AB$1006:$AQ$1006,0))&gt;=100000), " ",IF(INDEX($AB$2:$AQ$1001,MATCH(ROWS($U$2:U620),$U$2:$U$1001,0),MATCH(COLUMNS($AB$1006:AO1006),$AB$1006:$AQ$1006,0)), HYPERLINK("#",""), HYPERLINK(CONCATENATE("#metadata!", ADDRESS(INDEX($W$2:$W$1001,MATCH(ROWS($U$2:U620),$U$2:$U$1001,0),0), INDEX($AB$1004:$AQ$1004,1,MATCH(COLUMNS($AB$1006:AO1006),$AB$1006:$AQ$1006,0)))),"Fix")))</f>
        <v>0</v>
      </c>
      <c r="P620" s="4">
        <f>IF(OR(INDEX($V$2:$V$1001,MATCH(ROWS($U$2:U620),$U$2:$U$1001,0),1)&gt;=100000,INDEX($AB$1005:$AQ$1005,1,MATCH(COLUMNS($AB$1006:AP1006),$AB$1006:$AQ$1006,0))&gt;=100000), " ",IF(INDEX($AB$2:$AQ$1001,MATCH(ROWS($U$2:U620),$U$2:$U$1001,0),MATCH(COLUMNS($AB$1006:AP1006),$AB$1006:$AQ$1006,0)), HYPERLINK("#",""), HYPERLINK(CONCATENATE("#metadata!", ADDRESS(INDEX($W$2:$W$1001,MATCH(ROWS($U$2:U620),$U$2:$U$1001,0),0), INDEX($AB$1004:$AQ$1004,1,MATCH(COLUMNS($AB$1006:AP1006),$AB$1006:$AQ$1006,0)))),"Fix")))</f>
        <v>0</v>
      </c>
      <c r="Q620" s="4">
        <f>IF(OR(INDEX($V$2:$V$1001,MATCH(ROWS($U$2:U620),$U$2:$U$1001,0),1)&gt;=100000,INDEX($AB$1005:$AQ$1005,1,MATCH(COLUMNS($AB$1006:AQ1006),$AB$1006:$AQ$1006,0))&gt;=100000), " ",IF(INDEX($AB$2:$AQ$1001,MATCH(ROWS($U$2:U620),$U$2:$U$1001,0),MATCH(COLUMNS($AB$1006:AQ1006),$AB$1006:$AQ$1006,0)), HYPERLINK("#",""), HYPERLINK(CONCATENATE("#metadata!", ADDRESS(INDEX($W$2:$W$1001,MATCH(ROWS($U$2:U620),$U$2:$U$1001,0),0), INDEX($AB$1004:$AQ$1004,1,MATCH(COLUMNS($AB$1006:AQ1006),$AB$1006:$AQ$1006,0)))),"Fix")))</f>
        <v>0</v>
      </c>
      <c r="U620">
        <v>0</v>
      </c>
      <c r="V620">
        <v>0</v>
      </c>
      <c r="W620">
        <v>0</v>
      </c>
      <c r="X620">
        <f>IF(Y620,TRUE,AND(AB620:AQ620))</f>
        <v>0</v>
      </c>
      <c r="Y620">
        <f>COUNTBLANK(metadata!B620:Q620)=COLUMNS(metadata!B620:Q620)</f>
        <v>0</v>
      </c>
      <c r="Z620">
        <v>0</v>
      </c>
      <c r="AB620">
        <f>AND(IF(metadata!B620="",FALSE,TRUE),COUNTIF(metadata!B:B, metadata!B620) = 1,NOT(ISERROR(SUMPRODUCT(SEARCH(MID(metadata!B620,ROW(INDIRECT("1:"&amp;LEN(metadata!B620))), 1),"0123456789abcdefghijklmnopqrstuvwxyzABCDEFGHIJKLMNOPQRSTUVWXYZ.")))))</f>
        <v>0</v>
      </c>
      <c r="AC620">
        <f>OR(AND(IF(metadata!C620="",FALSE,TRUE),OR(exact(metadata!C620,"missing: not collected"),exact(metadata!C620,"missing: not provided"),exact(metadata!C620,"missing: restricted access"))),AND(IF(metadata!C620="",FALSE,TRUE),AND(AND(IFERROR(INT(LEFT(metadata!C620,4))&gt;1900,FALSE),IFERROR(INT(LEFT(metadata!C620,4))&lt;=YEAR(NOW()),FALSE)), OR(MID(metadata!C620,5,1)="", AND(AND(MID(metadata!C620,5,1)="-",IFERROR(INT(MID(metadata!C620,6,1))&gt;=0,FALSE),IFERROR(INT(MID(metadata!C620,6,1))&lt;=1,FALSE),NOT(MID(metadata!C620,7,1)=""),IFERROR(INT(MID(metadata!C620,6,2))&gt;=1,FALSE),IFERROR(INT(MID(metadata!C620,6,2))&lt;=12,FALSE)), OR(MID(metadata!C620,8,1)="", AND(AND(MID(metadata!C620,8,1)="-",IFERROR(INT(MID(metadata!C620,9,1))&gt;=0,FALSE),IFERROR(INT(MID(metadata!C620,9,1))&lt;=3,FALSE),NOT(MID(metadata!C620,10,1)=""),IFERROR(INT(MID(metadata!C620,9,2))&gt;=1,FALSE),IFERROR(INT(MID(metadata!C620,9,2))&lt;=31,FALSE)), OR(MID(metadata!C620,11,1)="", AND(AND(MID(metadata!C620,11,1)=" ",IFERROR(INT(MID(metadata!C620,12,1))&gt;=0,FALSE),IFERROR(INT(MID(metadata!C620,12,1))&lt;=2,FALSE),NOT(MID(metadata!C620,13,1)=""),IFERROR(INT(MID(metadata!C620,12,2))&gt;=0,FALSE),IFERROR(INT(MID(metadata!C620,12,2))&lt;=23,FALSE)), OR(MID(metadata!C620,14,1)="", AND(AND(MID(metadata!C620,14,1)=":",IFERROR(INT(MID(metadata!C620,15,1))&gt;=0,FALSE),IFERROR(INT(MID(metadata!C620,15,1))&lt;=5,FALSE),NOT(MID(metadata!C620,16,1)=""),IFERROR(INT(MID(metadata!C620,15,2))&gt;=0,FALSE),IFERROR(INT(MID(metadata!C620,15,2))&lt;=59,FALSE)), OR(MID(metadata!C620,17,1)="", AND(AND(MID(metadata!C620,17,1)=":",IFERROR(INT(MID(metadata!C620,18,1))&gt;=0,FALSE),IFERROR(INT(MID(metadata!C620,18,1))&lt;=5,FALSE),NOT(MID(metadata!C620,19,1)=""),IFERROR(INT(MID(metadata!C620,18,2))&gt;=0,FALSE),IFERROR(INT(MID(metadata!C620,18,2))&lt;=59,FALSE)), LEN(metadata!C620)&lt;=19)))))))))))))</f>
        <v>0</v>
      </c>
      <c r="AD620">
        <f>IF(metadata!D620="",FALSE,TRUE)</f>
        <v>0</v>
      </c>
      <c r="AE620">
        <f>OR(AND(IF(metadata!E620="",FALSE,TRUE),OR(exact(metadata!E620,"missing: not collected"),exact(metadata!E620,"missing: not provided"))),AND(IF(metadata!E620="",FALSE,TRUE),OR(exact(metadata!E620,"TRUE"),exact(metadata!E620,"FALSE"))))</f>
        <v>0</v>
      </c>
      <c r="AF620">
        <f>IF(metadata!F620="",FALSE,TRUE)</f>
        <v>0</v>
      </c>
      <c r="AG620">
        <f>IF(metadata!G620="",FALSE,TRUE)</f>
        <v>0</v>
      </c>
      <c r="AH620">
        <f>IF(metadata!H620="",FALSE,TRUE)</f>
        <v>0</v>
      </c>
      <c r="AI620">
        <f>OR(AND(IF(metadata!I620="",FALSE,TRUE),OR(exact(metadata!I620,"missing: not collected"),exact(metadata!I620,"missing: not provided"),exact(metadata!I620,"missing: restricted access"))),AND(IF(metadata!I620="",FALSE,TRUE),OR(exact(metadata!I620,"air"),exact(metadata!I620,"built environment"),exact(metadata!I620,"host-associated"),exact(metadata!I620,"human-associated"),exact(metadata!I620,"human-skin"),exact(metadata!I620,"human-oral"),exact(metadata!I620,"human-gut"),exact(metadata!I620,"human-vaginal"),exact(metadata!I620,"microbial mat/biofilm"),exact(metadata!I620,"misc environment"),exact(metadata!I620,"plant-associated"),exact(metadata!I620,"sediment"),exact(metadata!I620,"soil"),exact(metadata!I620,"wastewater/sludge"),exact(metadata!I620,"water"))))</f>
        <v>0</v>
      </c>
      <c r="AJ620">
        <f>IF(metadata!J620="",FALSE,TRUE)</f>
        <v>0</v>
      </c>
      <c r="AK620">
        <f>OR(AND(IF(metadata!K620="",FALSE,TRUE),OR(exact(metadata!K620,"missing: not collected"),exact(metadata!K620,"missing: not provided"),exact(metadata!K620,"missing: restricted access"))),AND(IF(metadata!K620="",FALSE,ISNUMBER(VALUE(metadata!K620))),metadata!K620&gt;=-90.00,metadata!K620&lt;=90.00))</f>
        <v>0</v>
      </c>
      <c r="AL620">
        <f>OR(AND(IF(metadata!L620="",FALSE,TRUE),OR(exact(metadata!L620,"missing: not collected"),exact(metadata!L620,"missing: not provided"),exact(metadata!L620,"missing: restricted access"))),AND(IF(metadata!L620="",FALSE,ISNUMBER(VALUE(metadata!L620))),metadata!L620&gt;=-180.00,metadata!L620&lt;=180.00))</f>
        <v>0</v>
      </c>
      <c r="AM620">
        <f>IF(metadata!M620="",FALSE,TRUE)</f>
        <v>0</v>
      </c>
      <c r="AN620">
        <f>OR(AND(IF(metadata!N620="",FALSE,TRUE),OR(exact(metadata!N620,"missing: not collected"),exact(metadata!N620,"missing: not provided"),exact(metadata!N620,"missing: restricted access"))),AND(IF(metadata!N620="",FALSE,TRUE),OR(exact(metadata!N620,"TRUE"),exact(metadata!N620,"FALSE"))))</f>
        <v>0</v>
      </c>
      <c r="AO620">
        <f>IF(metadata!O620="",FALSE,TRUE)</f>
        <v>0</v>
      </c>
      <c r="AP620">
        <f>OR(AND(IF(metadata!P620="",FALSE,TRUE),OR(exact(metadata!P620,"missing: not collected"),exact(metadata!P620,"missing: not provided"))),AND(IF(metadata!P620="",FALSE,IF(ISERROR(INT(metadata!P620)),FALSE,INT(metadata!P620)=metadata!P620)),metadata!P620&gt;0))</f>
        <v>0</v>
      </c>
      <c r="AQ620">
        <f>IF(metadata!Q620="",FALSE,TRUE)</f>
        <v>0</v>
      </c>
    </row>
    <row r="621" spans="1:43">
      <c r="A621" s="5">
        <f>IF(B621=" "," ",HYPERLINK(CONCATENATE("#metadata!",ADDRESS(INDEX($W$2:$W$1001,MATCH(ROWS($U$2:U621),$U$2:$U$1001,0),0),1)),INDEX($Z$2:$Z$1001,MATCH(ROWS($U$2:U621),$U$2:$U$1001,0),0)))</f>
        <v>0</v>
      </c>
      <c r="B621" s="4">
        <f>IF(OR(INDEX($V$2:$V$1001,MATCH(ROWS($U$2:U621),$U$2:$U$1001,0),1)&gt;=100000,INDEX($AB$1005:$AQ$1005,1,MATCH(COLUMNS($AB$1006:AB1006),$AB$1006:$AQ$1006,0))&gt;=100000), " ",IF(INDEX($AB$2:$AQ$1001,MATCH(ROWS($U$2:U621),$U$2:$U$1001,0),MATCH(COLUMNS($AB$1006:AB1006),$AB$1006:$AQ$1006,0)), HYPERLINK("#",""), HYPERLINK(CONCATENATE("#metadata!", ADDRESS(INDEX($W$2:$W$1001,MATCH(ROWS($U$2:U621),$U$2:$U$1001,0),0), INDEX($AB$1004:$AQ$1004,1,MATCH(COLUMNS($AB$1006:AB1006),$AB$1006:$AQ$1006,0)))),"Fix")))</f>
        <v>0</v>
      </c>
      <c r="C621" s="4">
        <f>IF(OR(INDEX($V$2:$V$1001,MATCH(ROWS($U$2:U621),$U$2:$U$1001,0),1)&gt;=100000,INDEX($AB$1005:$AQ$1005,1,MATCH(COLUMNS($AB$1006:AC1006),$AB$1006:$AQ$1006,0))&gt;=100000), " ",IF(INDEX($AB$2:$AQ$1001,MATCH(ROWS($U$2:U621),$U$2:$U$1001,0),MATCH(COLUMNS($AB$1006:AC1006),$AB$1006:$AQ$1006,0)), HYPERLINK("#",""), HYPERLINK(CONCATENATE("#metadata!", ADDRESS(INDEX($W$2:$W$1001,MATCH(ROWS($U$2:U621),$U$2:$U$1001,0),0), INDEX($AB$1004:$AQ$1004,1,MATCH(COLUMNS($AB$1006:AC1006),$AB$1006:$AQ$1006,0)))),"Fix")))</f>
        <v>0</v>
      </c>
      <c r="D621" s="4">
        <f>IF(OR(INDEX($V$2:$V$1001,MATCH(ROWS($U$2:U621),$U$2:$U$1001,0),1)&gt;=100000,INDEX($AB$1005:$AQ$1005,1,MATCH(COLUMNS($AB$1006:AD1006),$AB$1006:$AQ$1006,0))&gt;=100000), " ",IF(INDEX($AB$2:$AQ$1001,MATCH(ROWS($U$2:U621),$U$2:$U$1001,0),MATCH(COLUMNS($AB$1006:AD1006),$AB$1006:$AQ$1006,0)), HYPERLINK("#",""), HYPERLINK(CONCATENATE("#metadata!", ADDRESS(INDEX($W$2:$W$1001,MATCH(ROWS($U$2:U621),$U$2:$U$1001,0),0), INDEX($AB$1004:$AQ$1004,1,MATCH(COLUMNS($AB$1006:AD1006),$AB$1006:$AQ$1006,0)))),"Fix")))</f>
        <v>0</v>
      </c>
      <c r="E621" s="4">
        <f>IF(OR(INDEX($V$2:$V$1001,MATCH(ROWS($U$2:U621),$U$2:$U$1001,0),1)&gt;=100000,INDEX($AB$1005:$AQ$1005,1,MATCH(COLUMNS($AB$1006:AE1006),$AB$1006:$AQ$1006,0))&gt;=100000), " ",IF(INDEX($AB$2:$AQ$1001,MATCH(ROWS($U$2:U621),$U$2:$U$1001,0),MATCH(COLUMNS($AB$1006:AE1006),$AB$1006:$AQ$1006,0)), HYPERLINK("#",""), HYPERLINK(CONCATENATE("#metadata!", ADDRESS(INDEX($W$2:$W$1001,MATCH(ROWS($U$2:U621),$U$2:$U$1001,0),0), INDEX($AB$1004:$AQ$1004,1,MATCH(COLUMNS($AB$1006:AE1006),$AB$1006:$AQ$1006,0)))),"Fix")))</f>
        <v>0</v>
      </c>
      <c r="F621" s="4">
        <f>IF(OR(INDEX($V$2:$V$1001,MATCH(ROWS($U$2:U621),$U$2:$U$1001,0),1)&gt;=100000,INDEX($AB$1005:$AQ$1005,1,MATCH(COLUMNS($AB$1006:AF1006),$AB$1006:$AQ$1006,0))&gt;=100000), " ",IF(INDEX($AB$2:$AQ$1001,MATCH(ROWS($U$2:U621),$U$2:$U$1001,0),MATCH(COLUMNS($AB$1006:AF1006),$AB$1006:$AQ$1006,0)), HYPERLINK("#",""), HYPERLINK(CONCATENATE("#metadata!", ADDRESS(INDEX($W$2:$W$1001,MATCH(ROWS($U$2:U621),$U$2:$U$1001,0),0), INDEX($AB$1004:$AQ$1004,1,MATCH(COLUMNS($AB$1006:AF1006),$AB$1006:$AQ$1006,0)))),"Fix")))</f>
        <v>0</v>
      </c>
      <c r="G621" s="4">
        <f>IF(OR(INDEX($V$2:$V$1001,MATCH(ROWS($U$2:U621),$U$2:$U$1001,0),1)&gt;=100000,INDEX($AB$1005:$AQ$1005,1,MATCH(COLUMNS($AB$1006:AG1006),$AB$1006:$AQ$1006,0))&gt;=100000), " ",IF(INDEX($AB$2:$AQ$1001,MATCH(ROWS($U$2:U621),$U$2:$U$1001,0),MATCH(COLUMNS($AB$1006:AG1006),$AB$1006:$AQ$1006,0)), HYPERLINK("#",""), HYPERLINK(CONCATENATE("#metadata!", ADDRESS(INDEX($W$2:$W$1001,MATCH(ROWS($U$2:U621),$U$2:$U$1001,0),0), INDEX($AB$1004:$AQ$1004,1,MATCH(COLUMNS($AB$1006:AG1006),$AB$1006:$AQ$1006,0)))),"Fix")))</f>
        <v>0</v>
      </c>
      <c r="H621" s="4">
        <f>IF(OR(INDEX($V$2:$V$1001,MATCH(ROWS($U$2:U621),$U$2:$U$1001,0),1)&gt;=100000,INDEX($AB$1005:$AQ$1005,1,MATCH(COLUMNS($AB$1006:AH1006),$AB$1006:$AQ$1006,0))&gt;=100000), " ",IF(INDEX($AB$2:$AQ$1001,MATCH(ROWS($U$2:U621),$U$2:$U$1001,0),MATCH(COLUMNS($AB$1006:AH1006),$AB$1006:$AQ$1006,0)), HYPERLINK("#",""), HYPERLINK(CONCATENATE("#metadata!", ADDRESS(INDEX($W$2:$W$1001,MATCH(ROWS($U$2:U621),$U$2:$U$1001,0),0), INDEX($AB$1004:$AQ$1004,1,MATCH(COLUMNS($AB$1006:AH1006),$AB$1006:$AQ$1006,0)))),"Fix")))</f>
        <v>0</v>
      </c>
      <c r="I621" s="4">
        <f>IF(OR(INDEX($V$2:$V$1001,MATCH(ROWS($U$2:U621),$U$2:$U$1001,0),1)&gt;=100000,INDEX($AB$1005:$AQ$1005,1,MATCH(COLUMNS($AB$1006:AI1006),$AB$1006:$AQ$1006,0))&gt;=100000), " ",IF(INDEX($AB$2:$AQ$1001,MATCH(ROWS($U$2:U621),$U$2:$U$1001,0),MATCH(COLUMNS($AB$1006:AI1006),$AB$1006:$AQ$1006,0)), HYPERLINK("#",""), HYPERLINK(CONCATENATE("#metadata!", ADDRESS(INDEX($W$2:$W$1001,MATCH(ROWS($U$2:U621),$U$2:$U$1001,0),0), INDEX($AB$1004:$AQ$1004,1,MATCH(COLUMNS($AB$1006:AI1006),$AB$1006:$AQ$1006,0)))),"Fix")))</f>
        <v>0</v>
      </c>
      <c r="J621" s="4">
        <f>IF(OR(INDEX($V$2:$V$1001,MATCH(ROWS($U$2:U621),$U$2:$U$1001,0),1)&gt;=100000,INDEX($AB$1005:$AQ$1005,1,MATCH(COLUMNS($AB$1006:AJ1006),$AB$1006:$AQ$1006,0))&gt;=100000), " ",IF(INDEX($AB$2:$AQ$1001,MATCH(ROWS($U$2:U621),$U$2:$U$1001,0),MATCH(COLUMNS($AB$1006:AJ1006),$AB$1006:$AQ$1006,0)), HYPERLINK("#",""), HYPERLINK(CONCATENATE("#metadata!", ADDRESS(INDEX($W$2:$W$1001,MATCH(ROWS($U$2:U621),$U$2:$U$1001,0),0), INDEX($AB$1004:$AQ$1004,1,MATCH(COLUMNS($AB$1006:AJ1006),$AB$1006:$AQ$1006,0)))),"Fix")))</f>
        <v>0</v>
      </c>
      <c r="K621" s="4">
        <f>IF(OR(INDEX($V$2:$V$1001,MATCH(ROWS($U$2:U621),$U$2:$U$1001,0),1)&gt;=100000,INDEX($AB$1005:$AQ$1005,1,MATCH(COLUMNS($AB$1006:AK1006),$AB$1006:$AQ$1006,0))&gt;=100000), " ",IF(INDEX($AB$2:$AQ$1001,MATCH(ROWS($U$2:U621),$U$2:$U$1001,0),MATCH(COLUMNS($AB$1006:AK1006),$AB$1006:$AQ$1006,0)), HYPERLINK("#",""), HYPERLINK(CONCATENATE("#metadata!", ADDRESS(INDEX($W$2:$W$1001,MATCH(ROWS($U$2:U621),$U$2:$U$1001,0),0), INDEX($AB$1004:$AQ$1004,1,MATCH(COLUMNS($AB$1006:AK1006),$AB$1006:$AQ$1006,0)))),"Fix")))</f>
        <v>0</v>
      </c>
      <c r="L621" s="4">
        <f>IF(OR(INDEX($V$2:$V$1001,MATCH(ROWS($U$2:U621),$U$2:$U$1001,0),1)&gt;=100000,INDEX($AB$1005:$AQ$1005,1,MATCH(COLUMNS($AB$1006:AL1006),$AB$1006:$AQ$1006,0))&gt;=100000), " ",IF(INDEX($AB$2:$AQ$1001,MATCH(ROWS($U$2:U621),$U$2:$U$1001,0),MATCH(COLUMNS($AB$1006:AL1006),$AB$1006:$AQ$1006,0)), HYPERLINK("#",""), HYPERLINK(CONCATENATE("#metadata!", ADDRESS(INDEX($W$2:$W$1001,MATCH(ROWS($U$2:U621),$U$2:$U$1001,0),0), INDEX($AB$1004:$AQ$1004,1,MATCH(COLUMNS($AB$1006:AL1006),$AB$1006:$AQ$1006,0)))),"Fix")))</f>
        <v>0</v>
      </c>
      <c r="M621" s="4">
        <f>IF(OR(INDEX($V$2:$V$1001,MATCH(ROWS($U$2:U621),$U$2:$U$1001,0),1)&gt;=100000,INDEX($AB$1005:$AQ$1005,1,MATCH(COLUMNS($AB$1006:AM1006),$AB$1006:$AQ$1006,0))&gt;=100000), " ",IF(INDEX($AB$2:$AQ$1001,MATCH(ROWS($U$2:U621),$U$2:$U$1001,0),MATCH(COLUMNS($AB$1006:AM1006),$AB$1006:$AQ$1006,0)), HYPERLINK("#",""), HYPERLINK(CONCATENATE("#metadata!", ADDRESS(INDEX($W$2:$W$1001,MATCH(ROWS($U$2:U621),$U$2:$U$1001,0),0), INDEX($AB$1004:$AQ$1004,1,MATCH(COLUMNS($AB$1006:AM1006),$AB$1006:$AQ$1006,0)))),"Fix")))</f>
        <v>0</v>
      </c>
      <c r="N621" s="4">
        <f>IF(OR(INDEX($V$2:$V$1001,MATCH(ROWS($U$2:U621),$U$2:$U$1001,0),1)&gt;=100000,INDEX($AB$1005:$AQ$1005,1,MATCH(COLUMNS($AB$1006:AN1006),$AB$1006:$AQ$1006,0))&gt;=100000), " ",IF(INDEX($AB$2:$AQ$1001,MATCH(ROWS($U$2:U621),$U$2:$U$1001,0),MATCH(COLUMNS($AB$1006:AN1006),$AB$1006:$AQ$1006,0)), HYPERLINK("#",""), HYPERLINK(CONCATENATE("#metadata!", ADDRESS(INDEX($W$2:$W$1001,MATCH(ROWS($U$2:U621),$U$2:$U$1001,0),0), INDEX($AB$1004:$AQ$1004,1,MATCH(COLUMNS($AB$1006:AN1006),$AB$1006:$AQ$1006,0)))),"Fix")))</f>
        <v>0</v>
      </c>
      <c r="O621" s="4">
        <f>IF(OR(INDEX($V$2:$V$1001,MATCH(ROWS($U$2:U621),$U$2:$U$1001,0),1)&gt;=100000,INDEX($AB$1005:$AQ$1005,1,MATCH(COLUMNS($AB$1006:AO1006),$AB$1006:$AQ$1006,0))&gt;=100000), " ",IF(INDEX($AB$2:$AQ$1001,MATCH(ROWS($U$2:U621),$U$2:$U$1001,0),MATCH(COLUMNS($AB$1006:AO1006),$AB$1006:$AQ$1006,0)), HYPERLINK("#",""), HYPERLINK(CONCATENATE("#metadata!", ADDRESS(INDEX($W$2:$W$1001,MATCH(ROWS($U$2:U621),$U$2:$U$1001,0),0), INDEX($AB$1004:$AQ$1004,1,MATCH(COLUMNS($AB$1006:AO1006),$AB$1006:$AQ$1006,0)))),"Fix")))</f>
        <v>0</v>
      </c>
      <c r="P621" s="4">
        <f>IF(OR(INDEX($V$2:$V$1001,MATCH(ROWS($U$2:U621),$U$2:$U$1001,0),1)&gt;=100000,INDEX($AB$1005:$AQ$1005,1,MATCH(COLUMNS($AB$1006:AP1006),$AB$1006:$AQ$1006,0))&gt;=100000), " ",IF(INDEX($AB$2:$AQ$1001,MATCH(ROWS($U$2:U621),$U$2:$U$1001,0),MATCH(COLUMNS($AB$1006:AP1006),$AB$1006:$AQ$1006,0)), HYPERLINK("#",""), HYPERLINK(CONCATENATE("#metadata!", ADDRESS(INDEX($W$2:$W$1001,MATCH(ROWS($U$2:U621),$U$2:$U$1001,0),0), INDEX($AB$1004:$AQ$1004,1,MATCH(COLUMNS($AB$1006:AP1006),$AB$1006:$AQ$1006,0)))),"Fix")))</f>
        <v>0</v>
      </c>
      <c r="Q621" s="4">
        <f>IF(OR(INDEX($V$2:$V$1001,MATCH(ROWS($U$2:U621),$U$2:$U$1001,0),1)&gt;=100000,INDEX($AB$1005:$AQ$1005,1,MATCH(COLUMNS($AB$1006:AQ1006),$AB$1006:$AQ$1006,0))&gt;=100000), " ",IF(INDEX($AB$2:$AQ$1001,MATCH(ROWS($U$2:U621),$U$2:$U$1001,0),MATCH(COLUMNS($AB$1006:AQ1006),$AB$1006:$AQ$1006,0)), HYPERLINK("#",""), HYPERLINK(CONCATENATE("#metadata!", ADDRESS(INDEX($W$2:$W$1001,MATCH(ROWS($U$2:U621),$U$2:$U$1001,0),0), INDEX($AB$1004:$AQ$1004,1,MATCH(COLUMNS($AB$1006:AQ1006),$AB$1006:$AQ$1006,0)))),"Fix")))</f>
        <v>0</v>
      </c>
      <c r="U621">
        <v>0</v>
      </c>
      <c r="V621">
        <v>0</v>
      </c>
      <c r="W621">
        <v>0</v>
      </c>
      <c r="X621">
        <f>IF(Y621,TRUE,AND(AB621:AQ621))</f>
        <v>0</v>
      </c>
      <c r="Y621">
        <f>COUNTBLANK(metadata!B621:Q621)=COLUMNS(metadata!B621:Q621)</f>
        <v>0</v>
      </c>
      <c r="Z621">
        <v>0</v>
      </c>
      <c r="AB621">
        <f>AND(IF(metadata!B621="",FALSE,TRUE),COUNTIF(metadata!B:B, metadata!B621) = 1,NOT(ISERROR(SUMPRODUCT(SEARCH(MID(metadata!B621,ROW(INDIRECT("1:"&amp;LEN(metadata!B621))), 1),"0123456789abcdefghijklmnopqrstuvwxyzABCDEFGHIJKLMNOPQRSTUVWXYZ.")))))</f>
        <v>0</v>
      </c>
      <c r="AC621">
        <f>OR(AND(IF(metadata!C621="",FALSE,TRUE),OR(exact(metadata!C621,"missing: not collected"),exact(metadata!C621,"missing: not provided"),exact(metadata!C621,"missing: restricted access"))),AND(IF(metadata!C621="",FALSE,TRUE),AND(AND(IFERROR(INT(LEFT(metadata!C621,4))&gt;1900,FALSE),IFERROR(INT(LEFT(metadata!C621,4))&lt;=YEAR(NOW()),FALSE)), OR(MID(metadata!C621,5,1)="", AND(AND(MID(metadata!C621,5,1)="-",IFERROR(INT(MID(metadata!C621,6,1))&gt;=0,FALSE),IFERROR(INT(MID(metadata!C621,6,1))&lt;=1,FALSE),NOT(MID(metadata!C621,7,1)=""),IFERROR(INT(MID(metadata!C621,6,2))&gt;=1,FALSE),IFERROR(INT(MID(metadata!C621,6,2))&lt;=12,FALSE)), OR(MID(metadata!C621,8,1)="", AND(AND(MID(metadata!C621,8,1)="-",IFERROR(INT(MID(metadata!C621,9,1))&gt;=0,FALSE),IFERROR(INT(MID(metadata!C621,9,1))&lt;=3,FALSE),NOT(MID(metadata!C621,10,1)=""),IFERROR(INT(MID(metadata!C621,9,2))&gt;=1,FALSE),IFERROR(INT(MID(metadata!C621,9,2))&lt;=31,FALSE)), OR(MID(metadata!C621,11,1)="", AND(AND(MID(metadata!C621,11,1)=" ",IFERROR(INT(MID(metadata!C621,12,1))&gt;=0,FALSE),IFERROR(INT(MID(metadata!C621,12,1))&lt;=2,FALSE),NOT(MID(metadata!C621,13,1)=""),IFERROR(INT(MID(metadata!C621,12,2))&gt;=0,FALSE),IFERROR(INT(MID(metadata!C621,12,2))&lt;=23,FALSE)), OR(MID(metadata!C621,14,1)="", AND(AND(MID(metadata!C621,14,1)=":",IFERROR(INT(MID(metadata!C621,15,1))&gt;=0,FALSE),IFERROR(INT(MID(metadata!C621,15,1))&lt;=5,FALSE),NOT(MID(metadata!C621,16,1)=""),IFERROR(INT(MID(metadata!C621,15,2))&gt;=0,FALSE),IFERROR(INT(MID(metadata!C621,15,2))&lt;=59,FALSE)), OR(MID(metadata!C621,17,1)="", AND(AND(MID(metadata!C621,17,1)=":",IFERROR(INT(MID(metadata!C621,18,1))&gt;=0,FALSE),IFERROR(INT(MID(metadata!C621,18,1))&lt;=5,FALSE),NOT(MID(metadata!C621,19,1)=""),IFERROR(INT(MID(metadata!C621,18,2))&gt;=0,FALSE),IFERROR(INT(MID(metadata!C621,18,2))&lt;=59,FALSE)), LEN(metadata!C621)&lt;=19)))))))))))))</f>
        <v>0</v>
      </c>
      <c r="AD621">
        <f>IF(metadata!D621="",FALSE,TRUE)</f>
        <v>0</v>
      </c>
      <c r="AE621">
        <f>OR(AND(IF(metadata!E621="",FALSE,TRUE),OR(exact(metadata!E621,"missing: not collected"),exact(metadata!E621,"missing: not provided"))),AND(IF(metadata!E621="",FALSE,TRUE),OR(exact(metadata!E621,"TRUE"),exact(metadata!E621,"FALSE"))))</f>
        <v>0</v>
      </c>
      <c r="AF621">
        <f>IF(metadata!F621="",FALSE,TRUE)</f>
        <v>0</v>
      </c>
      <c r="AG621">
        <f>IF(metadata!G621="",FALSE,TRUE)</f>
        <v>0</v>
      </c>
      <c r="AH621">
        <f>IF(metadata!H621="",FALSE,TRUE)</f>
        <v>0</v>
      </c>
      <c r="AI621">
        <f>OR(AND(IF(metadata!I621="",FALSE,TRUE),OR(exact(metadata!I621,"missing: not collected"),exact(metadata!I621,"missing: not provided"),exact(metadata!I621,"missing: restricted access"))),AND(IF(metadata!I621="",FALSE,TRUE),OR(exact(metadata!I621,"air"),exact(metadata!I621,"built environment"),exact(metadata!I621,"host-associated"),exact(metadata!I621,"human-associated"),exact(metadata!I621,"human-skin"),exact(metadata!I621,"human-oral"),exact(metadata!I621,"human-gut"),exact(metadata!I621,"human-vaginal"),exact(metadata!I621,"microbial mat/biofilm"),exact(metadata!I621,"misc environment"),exact(metadata!I621,"plant-associated"),exact(metadata!I621,"sediment"),exact(metadata!I621,"soil"),exact(metadata!I621,"wastewater/sludge"),exact(metadata!I621,"water"))))</f>
        <v>0</v>
      </c>
      <c r="AJ621">
        <f>IF(metadata!J621="",FALSE,TRUE)</f>
        <v>0</v>
      </c>
      <c r="AK621">
        <f>OR(AND(IF(metadata!K621="",FALSE,TRUE),OR(exact(metadata!K621,"missing: not collected"),exact(metadata!K621,"missing: not provided"),exact(metadata!K621,"missing: restricted access"))),AND(IF(metadata!K621="",FALSE,ISNUMBER(VALUE(metadata!K621))),metadata!K621&gt;=-90.00,metadata!K621&lt;=90.00))</f>
        <v>0</v>
      </c>
      <c r="AL621">
        <f>OR(AND(IF(metadata!L621="",FALSE,TRUE),OR(exact(metadata!L621,"missing: not collected"),exact(metadata!L621,"missing: not provided"),exact(metadata!L621,"missing: restricted access"))),AND(IF(metadata!L621="",FALSE,ISNUMBER(VALUE(metadata!L621))),metadata!L621&gt;=-180.00,metadata!L621&lt;=180.00))</f>
        <v>0</v>
      </c>
      <c r="AM621">
        <f>IF(metadata!M621="",FALSE,TRUE)</f>
        <v>0</v>
      </c>
      <c r="AN621">
        <f>OR(AND(IF(metadata!N621="",FALSE,TRUE),OR(exact(metadata!N621,"missing: not collected"),exact(metadata!N621,"missing: not provided"),exact(metadata!N621,"missing: restricted access"))),AND(IF(metadata!N621="",FALSE,TRUE),OR(exact(metadata!N621,"TRUE"),exact(metadata!N621,"FALSE"))))</f>
        <v>0</v>
      </c>
      <c r="AO621">
        <f>IF(metadata!O621="",FALSE,TRUE)</f>
        <v>0</v>
      </c>
      <c r="AP621">
        <f>OR(AND(IF(metadata!P621="",FALSE,TRUE),OR(exact(metadata!P621,"missing: not collected"),exact(metadata!P621,"missing: not provided"))),AND(IF(metadata!P621="",FALSE,IF(ISERROR(INT(metadata!P621)),FALSE,INT(metadata!P621)=metadata!P621)),metadata!P621&gt;0))</f>
        <v>0</v>
      </c>
      <c r="AQ621">
        <f>IF(metadata!Q621="",FALSE,TRUE)</f>
        <v>0</v>
      </c>
    </row>
    <row r="622" spans="1:43">
      <c r="A622" s="5">
        <f>IF(B622=" "," ",HYPERLINK(CONCATENATE("#metadata!",ADDRESS(INDEX($W$2:$W$1001,MATCH(ROWS($U$2:U622),$U$2:$U$1001,0),0),1)),INDEX($Z$2:$Z$1001,MATCH(ROWS($U$2:U622),$U$2:$U$1001,0),0)))</f>
        <v>0</v>
      </c>
      <c r="B622" s="4">
        <f>IF(OR(INDEX($V$2:$V$1001,MATCH(ROWS($U$2:U622),$U$2:$U$1001,0),1)&gt;=100000,INDEX($AB$1005:$AQ$1005,1,MATCH(COLUMNS($AB$1006:AB1006),$AB$1006:$AQ$1006,0))&gt;=100000), " ",IF(INDEX($AB$2:$AQ$1001,MATCH(ROWS($U$2:U622),$U$2:$U$1001,0),MATCH(COLUMNS($AB$1006:AB1006),$AB$1006:$AQ$1006,0)), HYPERLINK("#",""), HYPERLINK(CONCATENATE("#metadata!", ADDRESS(INDEX($W$2:$W$1001,MATCH(ROWS($U$2:U622),$U$2:$U$1001,0),0), INDEX($AB$1004:$AQ$1004,1,MATCH(COLUMNS($AB$1006:AB1006),$AB$1006:$AQ$1006,0)))),"Fix")))</f>
        <v>0</v>
      </c>
      <c r="C622" s="4">
        <f>IF(OR(INDEX($V$2:$V$1001,MATCH(ROWS($U$2:U622),$U$2:$U$1001,0),1)&gt;=100000,INDEX($AB$1005:$AQ$1005,1,MATCH(COLUMNS($AB$1006:AC1006),$AB$1006:$AQ$1006,0))&gt;=100000), " ",IF(INDEX($AB$2:$AQ$1001,MATCH(ROWS($U$2:U622),$U$2:$U$1001,0),MATCH(COLUMNS($AB$1006:AC1006),$AB$1006:$AQ$1006,0)), HYPERLINK("#",""), HYPERLINK(CONCATENATE("#metadata!", ADDRESS(INDEX($W$2:$W$1001,MATCH(ROWS($U$2:U622),$U$2:$U$1001,0),0), INDEX($AB$1004:$AQ$1004,1,MATCH(COLUMNS($AB$1006:AC1006),$AB$1006:$AQ$1006,0)))),"Fix")))</f>
        <v>0</v>
      </c>
      <c r="D622" s="4">
        <f>IF(OR(INDEX($V$2:$V$1001,MATCH(ROWS($U$2:U622),$U$2:$U$1001,0),1)&gt;=100000,INDEX($AB$1005:$AQ$1005,1,MATCH(COLUMNS($AB$1006:AD1006),$AB$1006:$AQ$1006,0))&gt;=100000), " ",IF(INDEX($AB$2:$AQ$1001,MATCH(ROWS($U$2:U622),$U$2:$U$1001,0),MATCH(COLUMNS($AB$1006:AD1006),$AB$1006:$AQ$1006,0)), HYPERLINK("#",""), HYPERLINK(CONCATENATE("#metadata!", ADDRESS(INDEX($W$2:$W$1001,MATCH(ROWS($U$2:U622),$U$2:$U$1001,0),0), INDEX($AB$1004:$AQ$1004,1,MATCH(COLUMNS($AB$1006:AD1006),$AB$1006:$AQ$1006,0)))),"Fix")))</f>
        <v>0</v>
      </c>
      <c r="E622" s="4">
        <f>IF(OR(INDEX($V$2:$V$1001,MATCH(ROWS($U$2:U622),$U$2:$U$1001,0),1)&gt;=100000,INDEX($AB$1005:$AQ$1005,1,MATCH(COLUMNS($AB$1006:AE1006),$AB$1006:$AQ$1006,0))&gt;=100000), " ",IF(INDEX($AB$2:$AQ$1001,MATCH(ROWS($U$2:U622),$U$2:$U$1001,0),MATCH(COLUMNS($AB$1006:AE1006),$AB$1006:$AQ$1006,0)), HYPERLINK("#",""), HYPERLINK(CONCATENATE("#metadata!", ADDRESS(INDEX($W$2:$W$1001,MATCH(ROWS($U$2:U622),$U$2:$U$1001,0),0), INDEX($AB$1004:$AQ$1004,1,MATCH(COLUMNS($AB$1006:AE1006),$AB$1006:$AQ$1006,0)))),"Fix")))</f>
        <v>0</v>
      </c>
      <c r="F622" s="4">
        <f>IF(OR(INDEX($V$2:$V$1001,MATCH(ROWS($U$2:U622),$U$2:$U$1001,0),1)&gt;=100000,INDEX($AB$1005:$AQ$1005,1,MATCH(COLUMNS($AB$1006:AF1006),$AB$1006:$AQ$1006,0))&gt;=100000), " ",IF(INDEX($AB$2:$AQ$1001,MATCH(ROWS($U$2:U622),$U$2:$U$1001,0),MATCH(COLUMNS($AB$1006:AF1006),$AB$1006:$AQ$1006,0)), HYPERLINK("#",""), HYPERLINK(CONCATENATE("#metadata!", ADDRESS(INDEX($W$2:$W$1001,MATCH(ROWS($U$2:U622),$U$2:$U$1001,0),0), INDEX($AB$1004:$AQ$1004,1,MATCH(COLUMNS($AB$1006:AF1006),$AB$1006:$AQ$1006,0)))),"Fix")))</f>
        <v>0</v>
      </c>
      <c r="G622" s="4">
        <f>IF(OR(INDEX($V$2:$V$1001,MATCH(ROWS($U$2:U622),$U$2:$U$1001,0),1)&gt;=100000,INDEX($AB$1005:$AQ$1005,1,MATCH(COLUMNS($AB$1006:AG1006),$AB$1006:$AQ$1006,0))&gt;=100000), " ",IF(INDEX($AB$2:$AQ$1001,MATCH(ROWS($U$2:U622),$U$2:$U$1001,0),MATCH(COLUMNS($AB$1006:AG1006),$AB$1006:$AQ$1006,0)), HYPERLINK("#",""), HYPERLINK(CONCATENATE("#metadata!", ADDRESS(INDEX($W$2:$W$1001,MATCH(ROWS($U$2:U622),$U$2:$U$1001,0),0), INDEX($AB$1004:$AQ$1004,1,MATCH(COLUMNS($AB$1006:AG1006),$AB$1006:$AQ$1006,0)))),"Fix")))</f>
        <v>0</v>
      </c>
      <c r="H622" s="4">
        <f>IF(OR(INDEX($V$2:$V$1001,MATCH(ROWS($U$2:U622),$U$2:$U$1001,0),1)&gt;=100000,INDEX($AB$1005:$AQ$1005,1,MATCH(COLUMNS($AB$1006:AH1006),$AB$1006:$AQ$1006,0))&gt;=100000), " ",IF(INDEX($AB$2:$AQ$1001,MATCH(ROWS($U$2:U622),$U$2:$U$1001,0),MATCH(COLUMNS($AB$1006:AH1006),$AB$1006:$AQ$1006,0)), HYPERLINK("#",""), HYPERLINK(CONCATENATE("#metadata!", ADDRESS(INDEX($W$2:$W$1001,MATCH(ROWS($U$2:U622),$U$2:$U$1001,0),0), INDEX($AB$1004:$AQ$1004,1,MATCH(COLUMNS($AB$1006:AH1006),$AB$1006:$AQ$1006,0)))),"Fix")))</f>
        <v>0</v>
      </c>
      <c r="I622" s="4">
        <f>IF(OR(INDEX($V$2:$V$1001,MATCH(ROWS($U$2:U622),$U$2:$U$1001,0),1)&gt;=100000,INDEX($AB$1005:$AQ$1005,1,MATCH(COLUMNS($AB$1006:AI1006),$AB$1006:$AQ$1006,0))&gt;=100000), " ",IF(INDEX($AB$2:$AQ$1001,MATCH(ROWS($U$2:U622),$U$2:$U$1001,0),MATCH(COLUMNS($AB$1006:AI1006),$AB$1006:$AQ$1006,0)), HYPERLINK("#",""), HYPERLINK(CONCATENATE("#metadata!", ADDRESS(INDEX($W$2:$W$1001,MATCH(ROWS($U$2:U622),$U$2:$U$1001,0),0), INDEX($AB$1004:$AQ$1004,1,MATCH(COLUMNS($AB$1006:AI1006),$AB$1006:$AQ$1006,0)))),"Fix")))</f>
        <v>0</v>
      </c>
      <c r="J622" s="4">
        <f>IF(OR(INDEX($V$2:$V$1001,MATCH(ROWS($U$2:U622),$U$2:$U$1001,0),1)&gt;=100000,INDEX($AB$1005:$AQ$1005,1,MATCH(COLUMNS($AB$1006:AJ1006),$AB$1006:$AQ$1006,0))&gt;=100000), " ",IF(INDEX($AB$2:$AQ$1001,MATCH(ROWS($U$2:U622),$U$2:$U$1001,0),MATCH(COLUMNS($AB$1006:AJ1006),$AB$1006:$AQ$1006,0)), HYPERLINK("#",""), HYPERLINK(CONCATENATE("#metadata!", ADDRESS(INDEX($W$2:$W$1001,MATCH(ROWS($U$2:U622),$U$2:$U$1001,0),0), INDEX($AB$1004:$AQ$1004,1,MATCH(COLUMNS($AB$1006:AJ1006),$AB$1006:$AQ$1006,0)))),"Fix")))</f>
        <v>0</v>
      </c>
      <c r="K622" s="4">
        <f>IF(OR(INDEX($V$2:$V$1001,MATCH(ROWS($U$2:U622),$U$2:$U$1001,0),1)&gt;=100000,INDEX($AB$1005:$AQ$1005,1,MATCH(COLUMNS($AB$1006:AK1006),$AB$1006:$AQ$1006,0))&gt;=100000), " ",IF(INDEX($AB$2:$AQ$1001,MATCH(ROWS($U$2:U622),$U$2:$U$1001,0),MATCH(COLUMNS($AB$1006:AK1006),$AB$1006:$AQ$1006,0)), HYPERLINK("#",""), HYPERLINK(CONCATENATE("#metadata!", ADDRESS(INDEX($W$2:$W$1001,MATCH(ROWS($U$2:U622),$U$2:$U$1001,0),0), INDEX($AB$1004:$AQ$1004,1,MATCH(COLUMNS($AB$1006:AK1006),$AB$1006:$AQ$1006,0)))),"Fix")))</f>
        <v>0</v>
      </c>
      <c r="L622" s="4">
        <f>IF(OR(INDEX($V$2:$V$1001,MATCH(ROWS($U$2:U622),$U$2:$U$1001,0),1)&gt;=100000,INDEX($AB$1005:$AQ$1005,1,MATCH(COLUMNS($AB$1006:AL1006),$AB$1006:$AQ$1006,0))&gt;=100000), " ",IF(INDEX($AB$2:$AQ$1001,MATCH(ROWS($U$2:U622),$U$2:$U$1001,0),MATCH(COLUMNS($AB$1006:AL1006),$AB$1006:$AQ$1006,0)), HYPERLINK("#",""), HYPERLINK(CONCATENATE("#metadata!", ADDRESS(INDEX($W$2:$W$1001,MATCH(ROWS($U$2:U622),$U$2:$U$1001,0),0), INDEX($AB$1004:$AQ$1004,1,MATCH(COLUMNS($AB$1006:AL1006),$AB$1006:$AQ$1006,0)))),"Fix")))</f>
        <v>0</v>
      </c>
      <c r="M622" s="4">
        <f>IF(OR(INDEX($V$2:$V$1001,MATCH(ROWS($U$2:U622),$U$2:$U$1001,0),1)&gt;=100000,INDEX($AB$1005:$AQ$1005,1,MATCH(COLUMNS($AB$1006:AM1006),$AB$1006:$AQ$1006,0))&gt;=100000), " ",IF(INDEX($AB$2:$AQ$1001,MATCH(ROWS($U$2:U622),$U$2:$U$1001,0),MATCH(COLUMNS($AB$1006:AM1006),$AB$1006:$AQ$1006,0)), HYPERLINK("#",""), HYPERLINK(CONCATENATE("#metadata!", ADDRESS(INDEX($W$2:$W$1001,MATCH(ROWS($U$2:U622),$U$2:$U$1001,0),0), INDEX($AB$1004:$AQ$1004,1,MATCH(COLUMNS($AB$1006:AM1006),$AB$1006:$AQ$1006,0)))),"Fix")))</f>
        <v>0</v>
      </c>
      <c r="N622" s="4">
        <f>IF(OR(INDEX($V$2:$V$1001,MATCH(ROWS($U$2:U622),$U$2:$U$1001,0),1)&gt;=100000,INDEX($AB$1005:$AQ$1005,1,MATCH(COLUMNS($AB$1006:AN1006),$AB$1006:$AQ$1006,0))&gt;=100000), " ",IF(INDEX($AB$2:$AQ$1001,MATCH(ROWS($U$2:U622),$U$2:$U$1001,0),MATCH(COLUMNS($AB$1006:AN1006),$AB$1006:$AQ$1006,0)), HYPERLINK("#",""), HYPERLINK(CONCATENATE("#metadata!", ADDRESS(INDEX($W$2:$W$1001,MATCH(ROWS($U$2:U622),$U$2:$U$1001,0),0), INDEX($AB$1004:$AQ$1004,1,MATCH(COLUMNS($AB$1006:AN1006),$AB$1006:$AQ$1006,0)))),"Fix")))</f>
        <v>0</v>
      </c>
      <c r="O622" s="4">
        <f>IF(OR(INDEX($V$2:$V$1001,MATCH(ROWS($U$2:U622),$U$2:$U$1001,0),1)&gt;=100000,INDEX($AB$1005:$AQ$1005,1,MATCH(COLUMNS($AB$1006:AO1006),$AB$1006:$AQ$1006,0))&gt;=100000), " ",IF(INDEX($AB$2:$AQ$1001,MATCH(ROWS($U$2:U622),$U$2:$U$1001,0),MATCH(COLUMNS($AB$1006:AO1006),$AB$1006:$AQ$1006,0)), HYPERLINK("#",""), HYPERLINK(CONCATENATE("#metadata!", ADDRESS(INDEX($W$2:$W$1001,MATCH(ROWS($U$2:U622),$U$2:$U$1001,0),0), INDEX($AB$1004:$AQ$1004,1,MATCH(COLUMNS($AB$1006:AO1006),$AB$1006:$AQ$1006,0)))),"Fix")))</f>
        <v>0</v>
      </c>
      <c r="P622" s="4">
        <f>IF(OR(INDEX($V$2:$V$1001,MATCH(ROWS($U$2:U622),$U$2:$U$1001,0),1)&gt;=100000,INDEX($AB$1005:$AQ$1005,1,MATCH(COLUMNS($AB$1006:AP1006),$AB$1006:$AQ$1006,0))&gt;=100000), " ",IF(INDEX($AB$2:$AQ$1001,MATCH(ROWS($U$2:U622),$U$2:$U$1001,0),MATCH(COLUMNS($AB$1006:AP1006),$AB$1006:$AQ$1006,0)), HYPERLINK("#",""), HYPERLINK(CONCATENATE("#metadata!", ADDRESS(INDEX($W$2:$W$1001,MATCH(ROWS($U$2:U622),$U$2:$U$1001,0),0), INDEX($AB$1004:$AQ$1004,1,MATCH(COLUMNS($AB$1006:AP1006),$AB$1006:$AQ$1006,0)))),"Fix")))</f>
        <v>0</v>
      </c>
      <c r="Q622" s="4">
        <f>IF(OR(INDEX($V$2:$V$1001,MATCH(ROWS($U$2:U622),$U$2:$U$1001,0),1)&gt;=100000,INDEX($AB$1005:$AQ$1005,1,MATCH(COLUMNS($AB$1006:AQ1006),$AB$1006:$AQ$1006,0))&gt;=100000), " ",IF(INDEX($AB$2:$AQ$1001,MATCH(ROWS($U$2:U622),$U$2:$U$1001,0),MATCH(COLUMNS($AB$1006:AQ1006),$AB$1006:$AQ$1006,0)), HYPERLINK("#",""), HYPERLINK(CONCATENATE("#metadata!", ADDRESS(INDEX($W$2:$W$1001,MATCH(ROWS($U$2:U622),$U$2:$U$1001,0),0), INDEX($AB$1004:$AQ$1004,1,MATCH(COLUMNS($AB$1006:AQ1006),$AB$1006:$AQ$1006,0)))),"Fix")))</f>
        <v>0</v>
      </c>
      <c r="U622">
        <v>0</v>
      </c>
      <c r="V622">
        <v>0</v>
      </c>
      <c r="W622">
        <v>0</v>
      </c>
      <c r="X622">
        <f>IF(Y622,TRUE,AND(AB622:AQ622))</f>
        <v>0</v>
      </c>
      <c r="Y622">
        <f>COUNTBLANK(metadata!B622:Q622)=COLUMNS(metadata!B622:Q622)</f>
        <v>0</v>
      </c>
      <c r="Z622">
        <v>0</v>
      </c>
      <c r="AB622">
        <f>AND(IF(metadata!B622="",FALSE,TRUE),COUNTIF(metadata!B:B, metadata!B622) = 1,NOT(ISERROR(SUMPRODUCT(SEARCH(MID(metadata!B622,ROW(INDIRECT("1:"&amp;LEN(metadata!B622))), 1),"0123456789abcdefghijklmnopqrstuvwxyzABCDEFGHIJKLMNOPQRSTUVWXYZ.")))))</f>
        <v>0</v>
      </c>
      <c r="AC622">
        <f>OR(AND(IF(metadata!C622="",FALSE,TRUE),OR(exact(metadata!C622,"missing: not collected"),exact(metadata!C622,"missing: not provided"),exact(metadata!C622,"missing: restricted access"))),AND(IF(metadata!C622="",FALSE,TRUE),AND(AND(IFERROR(INT(LEFT(metadata!C622,4))&gt;1900,FALSE),IFERROR(INT(LEFT(metadata!C622,4))&lt;=YEAR(NOW()),FALSE)), OR(MID(metadata!C622,5,1)="", AND(AND(MID(metadata!C622,5,1)="-",IFERROR(INT(MID(metadata!C622,6,1))&gt;=0,FALSE),IFERROR(INT(MID(metadata!C622,6,1))&lt;=1,FALSE),NOT(MID(metadata!C622,7,1)=""),IFERROR(INT(MID(metadata!C622,6,2))&gt;=1,FALSE),IFERROR(INT(MID(metadata!C622,6,2))&lt;=12,FALSE)), OR(MID(metadata!C622,8,1)="", AND(AND(MID(metadata!C622,8,1)="-",IFERROR(INT(MID(metadata!C622,9,1))&gt;=0,FALSE),IFERROR(INT(MID(metadata!C622,9,1))&lt;=3,FALSE),NOT(MID(metadata!C622,10,1)=""),IFERROR(INT(MID(metadata!C622,9,2))&gt;=1,FALSE),IFERROR(INT(MID(metadata!C622,9,2))&lt;=31,FALSE)), OR(MID(metadata!C622,11,1)="", AND(AND(MID(metadata!C622,11,1)=" ",IFERROR(INT(MID(metadata!C622,12,1))&gt;=0,FALSE),IFERROR(INT(MID(metadata!C622,12,1))&lt;=2,FALSE),NOT(MID(metadata!C622,13,1)=""),IFERROR(INT(MID(metadata!C622,12,2))&gt;=0,FALSE),IFERROR(INT(MID(metadata!C622,12,2))&lt;=23,FALSE)), OR(MID(metadata!C622,14,1)="", AND(AND(MID(metadata!C622,14,1)=":",IFERROR(INT(MID(metadata!C622,15,1))&gt;=0,FALSE),IFERROR(INT(MID(metadata!C622,15,1))&lt;=5,FALSE),NOT(MID(metadata!C622,16,1)=""),IFERROR(INT(MID(metadata!C622,15,2))&gt;=0,FALSE),IFERROR(INT(MID(metadata!C622,15,2))&lt;=59,FALSE)), OR(MID(metadata!C622,17,1)="", AND(AND(MID(metadata!C622,17,1)=":",IFERROR(INT(MID(metadata!C622,18,1))&gt;=0,FALSE),IFERROR(INT(MID(metadata!C622,18,1))&lt;=5,FALSE),NOT(MID(metadata!C622,19,1)=""),IFERROR(INT(MID(metadata!C622,18,2))&gt;=0,FALSE),IFERROR(INT(MID(metadata!C622,18,2))&lt;=59,FALSE)), LEN(metadata!C622)&lt;=19)))))))))))))</f>
        <v>0</v>
      </c>
      <c r="AD622">
        <f>IF(metadata!D622="",FALSE,TRUE)</f>
        <v>0</v>
      </c>
      <c r="AE622">
        <f>OR(AND(IF(metadata!E622="",FALSE,TRUE),OR(exact(metadata!E622,"missing: not collected"),exact(metadata!E622,"missing: not provided"))),AND(IF(metadata!E622="",FALSE,TRUE),OR(exact(metadata!E622,"TRUE"),exact(metadata!E622,"FALSE"))))</f>
        <v>0</v>
      </c>
      <c r="AF622">
        <f>IF(metadata!F622="",FALSE,TRUE)</f>
        <v>0</v>
      </c>
      <c r="AG622">
        <f>IF(metadata!G622="",FALSE,TRUE)</f>
        <v>0</v>
      </c>
      <c r="AH622">
        <f>IF(metadata!H622="",FALSE,TRUE)</f>
        <v>0</v>
      </c>
      <c r="AI622">
        <f>OR(AND(IF(metadata!I622="",FALSE,TRUE),OR(exact(metadata!I622,"missing: not collected"),exact(metadata!I622,"missing: not provided"),exact(metadata!I622,"missing: restricted access"))),AND(IF(metadata!I622="",FALSE,TRUE),OR(exact(metadata!I622,"air"),exact(metadata!I622,"built environment"),exact(metadata!I622,"host-associated"),exact(metadata!I622,"human-associated"),exact(metadata!I622,"human-skin"),exact(metadata!I622,"human-oral"),exact(metadata!I622,"human-gut"),exact(metadata!I622,"human-vaginal"),exact(metadata!I622,"microbial mat/biofilm"),exact(metadata!I622,"misc environment"),exact(metadata!I622,"plant-associated"),exact(metadata!I622,"sediment"),exact(metadata!I622,"soil"),exact(metadata!I622,"wastewater/sludge"),exact(metadata!I622,"water"))))</f>
        <v>0</v>
      </c>
      <c r="AJ622">
        <f>IF(metadata!J622="",FALSE,TRUE)</f>
        <v>0</v>
      </c>
      <c r="AK622">
        <f>OR(AND(IF(metadata!K622="",FALSE,TRUE),OR(exact(metadata!K622,"missing: not collected"),exact(metadata!K622,"missing: not provided"),exact(metadata!K622,"missing: restricted access"))),AND(IF(metadata!K622="",FALSE,ISNUMBER(VALUE(metadata!K622))),metadata!K622&gt;=-90.00,metadata!K622&lt;=90.00))</f>
        <v>0</v>
      </c>
      <c r="AL622">
        <f>OR(AND(IF(metadata!L622="",FALSE,TRUE),OR(exact(metadata!L622,"missing: not collected"),exact(metadata!L622,"missing: not provided"),exact(metadata!L622,"missing: restricted access"))),AND(IF(metadata!L622="",FALSE,ISNUMBER(VALUE(metadata!L622))),metadata!L622&gt;=-180.00,metadata!L622&lt;=180.00))</f>
        <v>0</v>
      </c>
      <c r="AM622">
        <f>IF(metadata!M622="",FALSE,TRUE)</f>
        <v>0</v>
      </c>
      <c r="AN622">
        <f>OR(AND(IF(metadata!N622="",FALSE,TRUE),OR(exact(metadata!N622,"missing: not collected"),exact(metadata!N622,"missing: not provided"),exact(metadata!N622,"missing: restricted access"))),AND(IF(metadata!N622="",FALSE,TRUE),OR(exact(metadata!N622,"TRUE"),exact(metadata!N622,"FALSE"))))</f>
        <v>0</v>
      </c>
      <c r="AO622">
        <f>IF(metadata!O622="",FALSE,TRUE)</f>
        <v>0</v>
      </c>
      <c r="AP622">
        <f>OR(AND(IF(metadata!P622="",FALSE,TRUE),OR(exact(metadata!P622,"missing: not collected"),exact(metadata!P622,"missing: not provided"))),AND(IF(metadata!P622="",FALSE,IF(ISERROR(INT(metadata!P622)),FALSE,INT(metadata!P622)=metadata!P622)),metadata!P622&gt;0))</f>
        <v>0</v>
      </c>
      <c r="AQ622">
        <f>IF(metadata!Q622="",FALSE,TRUE)</f>
        <v>0</v>
      </c>
    </row>
    <row r="623" spans="1:43">
      <c r="A623" s="5">
        <f>IF(B623=" "," ",HYPERLINK(CONCATENATE("#metadata!",ADDRESS(INDEX($W$2:$W$1001,MATCH(ROWS($U$2:U623),$U$2:$U$1001,0),0),1)),INDEX($Z$2:$Z$1001,MATCH(ROWS($U$2:U623),$U$2:$U$1001,0),0)))</f>
        <v>0</v>
      </c>
      <c r="B623" s="4">
        <f>IF(OR(INDEX($V$2:$V$1001,MATCH(ROWS($U$2:U623),$U$2:$U$1001,0),1)&gt;=100000,INDEX($AB$1005:$AQ$1005,1,MATCH(COLUMNS($AB$1006:AB1006),$AB$1006:$AQ$1006,0))&gt;=100000), " ",IF(INDEX($AB$2:$AQ$1001,MATCH(ROWS($U$2:U623),$U$2:$U$1001,0),MATCH(COLUMNS($AB$1006:AB1006),$AB$1006:$AQ$1006,0)), HYPERLINK("#",""), HYPERLINK(CONCATENATE("#metadata!", ADDRESS(INDEX($W$2:$W$1001,MATCH(ROWS($U$2:U623),$U$2:$U$1001,0),0), INDEX($AB$1004:$AQ$1004,1,MATCH(COLUMNS($AB$1006:AB1006),$AB$1006:$AQ$1006,0)))),"Fix")))</f>
        <v>0</v>
      </c>
      <c r="C623" s="4">
        <f>IF(OR(INDEX($V$2:$V$1001,MATCH(ROWS($U$2:U623),$U$2:$U$1001,0),1)&gt;=100000,INDEX($AB$1005:$AQ$1005,1,MATCH(COLUMNS($AB$1006:AC1006),$AB$1006:$AQ$1006,0))&gt;=100000), " ",IF(INDEX($AB$2:$AQ$1001,MATCH(ROWS($U$2:U623),$U$2:$U$1001,0),MATCH(COLUMNS($AB$1006:AC1006),$AB$1006:$AQ$1006,0)), HYPERLINK("#",""), HYPERLINK(CONCATENATE("#metadata!", ADDRESS(INDEX($W$2:$W$1001,MATCH(ROWS($U$2:U623),$U$2:$U$1001,0),0), INDEX($AB$1004:$AQ$1004,1,MATCH(COLUMNS($AB$1006:AC1006),$AB$1006:$AQ$1006,0)))),"Fix")))</f>
        <v>0</v>
      </c>
      <c r="D623" s="4">
        <f>IF(OR(INDEX($V$2:$V$1001,MATCH(ROWS($U$2:U623),$U$2:$U$1001,0),1)&gt;=100000,INDEX($AB$1005:$AQ$1005,1,MATCH(COLUMNS($AB$1006:AD1006),$AB$1006:$AQ$1006,0))&gt;=100000), " ",IF(INDEX($AB$2:$AQ$1001,MATCH(ROWS($U$2:U623),$U$2:$U$1001,0),MATCH(COLUMNS($AB$1006:AD1006),$AB$1006:$AQ$1006,0)), HYPERLINK("#",""), HYPERLINK(CONCATENATE("#metadata!", ADDRESS(INDEX($W$2:$W$1001,MATCH(ROWS($U$2:U623),$U$2:$U$1001,0),0), INDEX($AB$1004:$AQ$1004,1,MATCH(COLUMNS($AB$1006:AD1006),$AB$1006:$AQ$1006,0)))),"Fix")))</f>
        <v>0</v>
      </c>
      <c r="E623" s="4">
        <f>IF(OR(INDEX($V$2:$V$1001,MATCH(ROWS($U$2:U623),$U$2:$U$1001,0),1)&gt;=100000,INDEX($AB$1005:$AQ$1005,1,MATCH(COLUMNS($AB$1006:AE1006),$AB$1006:$AQ$1006,0))&gt;=100000), " ",IF(INDEX($AB$2:$AQ$1001,MATCH(ROWS($U$2:U623),$U$2:$U$1001,0),MATCH(COLUMNS($AB$1006:AE1006),$AB$1006:$AQ$1006,0)), HYPERLINK("#",""), HYPERLINK(CONCATENATE("#metadata!", ADDRESS(INDEX($W$2:$W$1001,MATCH(ROWS($U$2:U623),$U$2:$U$1001,0),0), INDEX($AB$1004:$AQ$1004,1,MATCH(COLUMNS($AB$1006:AE1006),$AB$1006:$AQ$1006,0)))),"Fix")))</f>
        <v>0</v>
      </c>
      <c r="F623" s="4">
        <f>IF(OR(INDEX($V$2:$V$1001,MATCH(ROWS($U$2:U623),$U$2:$U$1001,0),1)&gt;=100000,INDEX($AB$1005:$AQ$1005,1,MATCH(COLUMNS($AB$1006:AF1006),$AB$1006:$AQ$1006,0))&gt;=100000), " ",IF(INDEX($AB$2:$AQ$1001,MATCH(ROWS($U$2:U623),$U$2:$U$1001,0),MATCH(COLUMNS($AB$1006:AF1006),$AB$1006:$AQ$1006,0)), HYPERLINK("#",""), HYPERLINK(CONCATENATE("#metadata!", ADDRESS(INDEX($W$2:$W$1001,MATCH(ROWS($U$2:U623),$U$2:$U$1001,0),0), INDEX($AB$1004:$AQ$1004,1,MATCH(COLUMNS($AB$1006:AF1006),$AB$1006:$AQ$1006,0)))),"Fix")))</f>
        <v>0</v>
      </c>
      <c r="G623" s="4">
        <f>IF(OR(INDEX($V$2:$V$1001,MATCH(ROWS($U$2:U623),$U$2:$U$1001,0),1)&gt;=100000,INDEX($AB$1005:$AQ$1005,1,MATCH(COLUMNS($AB$1006:AG1006),$AB$1006:$AQ$1006,0))&gt;=100000), " ",IF(INDEX($AB$2:$AQ$1001,MATCH(ROWS($U$2:U623),$U$2:$U$1001,0),MATCH(COLUMNS($AB$1006:AG1006),$AB$1006:$AQ$1006,0)), HYPERLINK("#",""), HYPERLINK(CONCATENATE("#metadata!", ADDRESS(INDEX($W$2:$W$1001,MATCH(ROWS($U$2:U623),$U$2:$U$1001,0),0), INDEX($AB$1004:$AQ$1004,1,MATCH(COLUMNS($AB$1006:AG1006),$AB$1006:$AQ$1006,0)))),"Fix")))</f>
        <v>0</v>
      </c>
      <c r="H623" s="4">
        <f>IF(OR(INDEX($V$2:$V$1001,MATCH(ROWS($U$2:U623),$U$2:$U$1001,0),1)&gt;=100000,INDEX($AB$1005:$AQ$1005,1,MATCH(COLUMNS($AB$1006:AH1006),$AB$1006:$AQ$1006,0))&gt;=100000), " ",IF(INDEX($AB$2:$AQ$1001,MATCH(ROWS($U$2:U623),$U$2:$U$1001,0),MATCH(COLUMNS($AB$1006:AH1006),$AB$1006:$AQ$1006,0)), HYPERLINK("#",""), HYPERLINK(CONCATENATE("#metadata!", ADDRESS(INDEX($W$2:$W$1001,MATCH(ROWS($U$2:U623),$U$2:$U$1001,0),0), INDEX($AB$1004:$AQ$1004,1,MATCH(COLUMNS($AB$1006:AH1006),$AB$1006:$AQ$1006,0)))),"Fix")))</f>
        <v>0</v>
      </c>
      <c r="I623" s="4">
        <f>IF(OR(INDEX($V$2:$V$1001,MATCH(ROWS($U$2:U623),$U$2:$U$1001,0),1)&gt;=100000,INDEX($AB$1005:$AQ$1005,1,MATCH(COLUMNS($AB$1006:AI1006),$AB$1006:$AQ$1006,0))&gt;=100000), " ",IF(INDEX($AB$2:$AQ$1001,MATCH(ROWS($U$2:U623),$U$2:$U$1001,0),MATCH(COLUMNS($AB$1006:AI1006),$AB$1006:$AQ$1006,0)), HYPERLINK("#",""), HYPERLINK(CONCATENATE("#metadata!", ADDRESS(INDEX($W$2:$W$1001,MATCH(ROWS($U$2:U623),$U$2:$U$1001,0),0), INDEX($AB$1004:$AQ$1004,1,MATCH(COLUMNS($AB$1006:AI1006),$AB$1006:$AQ$1006,0)))),"Fix")))</f>
        <v>0</v>
      </c>
      <c r="J623" s="4">
        <f>IF(OR(INDEX($V$2:$V$1001,MATCH(ROWS($U$2:U623),$U$2:$U$1001,0),1)&gt;=100000,INDEX($AB$1005:$AQ$1005,1,MATCH(COLUMNS($AB$1006:AJ1006),$AB$1006:$AQ$1006,0))&gt;=100000), " ",IF(INDEX($AB$2:$AQ$1001,MATCH(ROWS($U$2:U623),$U$2:$U$1001,0),MATCH(COLUMNS($AB$1006:AJ1006),$AB$1006:$AQ$1006,0)), HYPERLINK("#",""), HYPERLINK(CONCATENATE("#metadata!", ADDRESS(INDEX($W$2:$W$1001,MATCH(ROWS($U$2:U623),$U$2:$U$1001,0),0), INDEX($AB$1004:$AQ$1004,1,MATCH(COLUMNS($AB$1006:AJ1006),$AB$1006:$AQ$1006,0)))),"Fix")))</f>
        <v>0</v>
      </c>
      <c r="K623" s="4">
        <f>IF(OR(INDEX($V$2:$V$1001,MATCH(ROWS($U$2:U623),$U$2:$U$1001,0),1)&gt;=100000,INDEX($AB$1005:$AQ$1005,1,MATCH(COLUMNS($AB$1006:AK1006),$AB$1006:$AQ$1006,0))&gt;=100000), " ",IF(INDEX($AB$2:$AQ$1001,MATCH(ROWS($U$2:U623),$U$2:$U$1001,0),MATCH(COLUMNS($AB$1006:AK1006),$AB$1006:$AQ$1006,0)), HYPERLINK("#",""), HYPERLINK(CONCATENATE("#metadata!", ADDRESS(INDEX($W$2:$W$1001,MATCH(ROWS($U$2:U623),$U$2:$U$1001,0),0), INDEX($AB$1004:$AQ$1004,1,MATCH(COLUMNS($AB$1006:AK1006),$AB$1006:$AQ$1006,0)))),"Fix")))</f>
        <v>0</v>
      </c>
      <c r="L623" s="4">
        <f>IF(OR(INDEX($V$2:$V$1001,MATCH(ROWS($U$2:U623),$U$2:$U$1001,0),1)&gt;=100000,INDEX($AB$1005:$AQ$1005,1,MATCH(COLUMNS($AB$1006:AL1006),$AB$1006:$AQ$1006,0))&gt;=100000), " ",IF(INDEX($AB$2:$AQ$1001,MATCH(ROWS($U$2:U623),$U$2:$U$1001,0),MATCH(COLUMNS($AB$1006:AL1006),$AB$1006:$AQ$1006,0)), HYPERLINK("#",""), HYPERLINK(CONCATENATE("#metadata!", ADDRESS(INDEX($W$2:$W$1001,MATCH(ROWS($U$2:U623),$U$2:$U$1001,0),0), INDEX($AB$1004:$AQ$1004,1,MATCH(COLUMNS($AB$1006:AL1006),$AB$1006:$AQ$1006,0)))),"Fix")))</f>
        <v>0</v>
      </c>
      <c r="M623" s="4">
        <f>IF(OR(INDEX($V$2:$V$1001,MATCH(ROWS($U$2:U623),$U$2:$U$1001,0),1)&gt;=100000,INDEX($AB$1005:$AQ$1005,1,MATCH(COLUMNS($AB$1006:AM1006),$AB$1006:$AQ$1006,0))&gt;=100000), " ",IF(INDEX($AB$2:$AQ$1001,MATCH(ROWS($U$2:U623),$U$2:$U$1001,0),MATCH(COLUMNS($AB$1006:AM1006),$AB$1006:$AQ$1006,0)), HYPERLINK("#",""), HYPERLINK(CONCATENATE("#metadata!", ADDRESS(INDEX($W$2:$W$1001,MATCH(ROWS($U$2:U623),$U$2:$U$1001,0),0), INDEX($AB$1004:$AQ$1004,1,MATCH(COLUMNS($AB$1006:AM1006),$AB$1006:$AQ$1006,0)))),"Fix")))</f>
        <v>0</v>
      </c>
      <c r="N623" s="4">
        <f>IF(OR(INDEX($V$2:$V$1001,MATCH(ROWS($U$2:U623),$U$2:$U$1001,0),1)&gt;=100000,INDEX($AB$1005:$AQ$1005,1,MATCH(COLUMNS($AB$1006:AN1006),$AB$1006:$AQ$1006,0))&gt;=100000), " ",IF(INDEX($AB$2:$AQ$1001,MATCH(ROWS($U$2:U623),$U$2:$U$1001,0),MATCH(COLUMNS($AB$1006:AN1006),$AB$1006:$AQ$1006,0)), HYPERLINK("#",""), HYPERLINK(CONCATENATE("#metadata!", ADDRESS(INDEX($W$2:$W$1001,MATCH(ROWS($U$2:U623),$U$2:$U$1001,0),0), INDEX($AB$1004:$AQ$1004,1,MATCH(COLUMNS($AB$1006:AN1006),$AB$1006:$AQ$1006,0)))),"Fix")))</f>
        <v>0</v>
      </c>
      <c r="O623" s="4">
        <f>IF(OR(INDEX($V$2:$V$1001,MATCH(ROWS($U$2:U623),$U$2:$U$1001,0),1)&gt;=100000,INDEX($AB$1005:$AQ$1005,1,MATCH(COLUMNS($AB$1006:AO1006),$AB$1006:$AQ$1006,0))&gt;=100000), " ",IF(INDEX($AB$2:$AQ$1001,MATCH(ROWS($U$2:U623),$U$2:$U$1001,0),MATCH(COLUMNS($AB$1006:AO1006),$AB$1006:$AQ$1006,0)), HYPERLINK("#",""), HYPERLINK(CONCATENATE("#metadata!", ADDRESS(INDEX($W$2:$W$1001,MATCH(ROWS($U$2:U623),$U$2:$U$1001,0),0), INDEX($AB$1004:$AQ$1004,1,MATCH(COLUMNS($AB$1006:AO1006),$AB$1006:$AQ$1006,0)))),"Fix")))</f>
        <v>0</v>
      </c>
      <c r="P623" s="4">
        <f>IF(OR(INDEX($V$2:$V$1001,MATCH(ROWS($U$2:U623),$U$2:$U$1001,0),1)&gt;=100000,INDEX($AB$1005:$AQ$1005,1,MATCH(COLUMNS($AB$1006:AP1006),$AB$1006:$AQ$1006,0))&gt;=100000), " ",IF(INDEX($AB$2:$AQ$1001,MATCH(ROWS($U$2:U623),$U$2:$U$1001,0),MATCH(COLUMNS($AB$1006:AP1006),$AB$1006:$AQ$1006,0)), HYPERLINK("#",""), HYPERLINK(CONCATENATE("#metadata!", ADDRESS(INDEX($W$2:$W$1001,MATCH(ROWS($U$2:U623),$U$2:$U$1001,0),0), INDEX($AB$1004:$AQ$1004,1,MATCH(COLUMNS($AB$1006:AP1006),$AB$1006:$AQ$1006,0)))),"Fix")))</f>
        <v>0</v>
      </c>
      <c r="Q623" s="4">
        <f>IF(OR(INDEX($V$2:$V$1001,MATCH(ROWS($U$2:U623),$U$2:$U$1001,0),1)&gt;=100000,INDEX($AB$1005:$AQ$1005,1,MATCH(COLUMNS($AB$1006:AQ1006),$AB$1006:$AQ$1006,0))&gt;=100000), " ",IF(INDEX($AB$2:$AQ$1001,MATCH(ROWS($U$2:U623),$U$2:$U$1001,0),MATCH(COLUMNS($AB$1006:AQ1006),$AB$1006:$AQ$1006,0)), HYPERLINK("#",""), HYPERLINK(CONCATENATE("#metadata!", ADDRESS(INDEX($W$2:$W$1001,MATCH(ROWS($U$2:U623),$U$2:$U$1001,0),0), INDEX($AB$1004:$AQ$1004,1,MATCH(COLUMNS($AB$1006:AQ1006),$AB$1006:$AQ$1006,0)))),"Fix")))</f>
        <v>0</v>
      </c>
      <c r="U623">
        <v>0</v>
      </c>
      <c r="V623">
        <v>0</v>
      </c>
      <c r="W623">
        <v>0</v>
      </c>
      <c r="X623">
        <f>IF(Y623,TRUE,AND(AB623:AQ623))</f>
        <v>0</v>
      </c>
      <c r="Y623">
        <f>COUNTBLANK(metadata!B623:Q623)=COLUMNS(metadata!B623:Q623)</f>
        <v>0</v>
      </c>
      <c r="Z623">
        <v>0</v>
      </c>
      <c r="AB623">
        <f>AND(IF(metadata!B623="",FALSE,TRUE),COUNTIF(metadata!B:B, metadata!B623) = 1,NOT(ISERROR(SUMPRODUCT(SEARCH(MID(metadata!B623,ROW(INDIRECT("1:"&amp;LEN(metadata!B623))), 1),"0123456789abcdefghijklmnopqrstuvwxyzABCDEFGHIJKLMNOPQRSTUVWXYZ.")))))</f>
        <v>0</v>
      </c>
      <c r="AC623">
        <f>OR(AND(IF(metadata!C623="",FALSE,TRUE),OR(exact(metadata!C623,"missing: not collected"),exact(metadata!C623,"missing: not provided"),exact(metadata!C623,"missing: restricted access"))),AND(IF(metadata!C623="",FALSE,TRUE),AND(AND(IFERROR(INT(LEFT(metadata!C623,4))&gt;1900,FALSE),IFERROR(INT(LEFT(metadata!C623,4))&lt;=YEAR(NOW()),FALSE)), OR(MID(metadata!C623,5,1)="", AND(AND(MID(metadata!C623,5,1)="-",IFERROR(INT(MID(metadata!C623,6,1))&gt;=0,FALSE),IFERROR(INT(MID(metadata!C623,6,1))&lt;=1,FALSE),NOT(MID(metadata!C623,7,1)=""),IFERROR(INT(MID(metadata!C623,6,2))&gt;=1,FALSE),IFERROR(INT(MID(metadata!C623,6,2))&lt;=12,FALSE)), OR(MID(metadata!C623,8,1)="", AND(AND(MID(metadata!C623,8,1)="-",IFERROR(INT(MID(metadata!C623,9,1))&gt;=0,FALSE),IFERROR(INT(MID(metadata!C623,9,1))&lt;=3,FALSE),NOT(MID(metadata!C623,10,1)=""),IFERROR(INT(MID(metadata!C623,9,2))&gt;=1,FALSE),IFERROR(INT(MID(metadata!C623,9,2))&lt;=31,FALSE)), OR(MID(metadata!C623,11,1)="", AND(AND(MID(metadata!C623,11,1)=" ",IFERROR(INT(MID(metadata!C623,12,1))&gt;=0,FALSE),IFERROR(INT(MID(metadata!C623,12,1))&lt;=2,FALSE),NOT(MID(metadata!C623,13,1)=""),IFERROR(INT(MID(metadata!C623,12,2))&gt;=0,FALSE),IFERROR(INT(MID(metadata!C623,12,2))&lt;=23,FALSE)), OR(MID(metadata!C623,14,1)="", AND(AND(MID(metadata!C623,14,1)=":",IFERROR(INT(MID(metadata!C623,15,1))&gt;=0,FALSE),IFERROR(INT(MID(metadata!C623,15,1))&lt;=5,FALSE),NOT(MID(metadata!C623,16,1)=""),IFERROR(INT(MID(metadata!C623,15,2))&gt;=0,FALSE),IFERROR(INT(MID(metadata!C623,15,2))&lt;=59,FALSE)), OR(MID(metadata!C623,17,1)="", AND(AND(MID(metadata!C623,17,1)=":",IFERROR(INT(MID(metadata!C623,18,1))&gt;=0,FALSE),IFERROR(INT(MID(metadata!C623,18,1))&lt;=5,FALSE),NOT(MID(metadata!C623,19,1)=""),IFERROR(INT(MID(metadata!C623,18,2))&gt;=0,FALSE),IFERROR(INT(MID(metadata!C623,18,2))&lt;=59,FALSE)), LEN(metadata!C623)&lt;=19)))))))))))))</f>
        <v>0</v>
      </c>
      <c r="AD623">
        <f>IF(metadata!D623="",FALSE,TRUE)</f>
        <v>0</v>
      </c>
      <c r="AE623">
        <f>OR(AND(IF(metadata!E623="",FALSE,TRUE),OR(exact(metadata!E623,"missing: not collected"),exact(metadata!E623,"missing: not provided"))),AND(IF(metadata!E623="",FALSE,TRUE),OR(exact(metadata!E623,"TRUE"),exact(metadata!E623,"FALSE"))))</f>
        <v>0</v>
      </c>
      <c r="AF623">
        <f>IF(metadata!F623="",FALSE,TRUE)</f>
        <v>0</v>
      </c>
      <c r="AG623">
        <f>IF(metadata!G623="",FALSE,TRUE)</f>
        <v>0</v>
      </c>
      <c r="AH623">
        <f>IF(metadata!H623="",FALSE,TRUE)</f>
        <v>0</v>
      </c>
      <c r="AI623">
        <f>OR(AND(IF(metadata!I623="",FALSE,TRUE),OR(exact(metadata!I623,"missing: not collected"),exact(metadata!I623,"missing: not provided"),exact(metadata!I623,"missing: restricted access"))),AND(IF(metadata!I623="",FALSE,TRUE),OR(exact(metadata!I623,"air"),exact(metadata!I623,"built environment"),exact(metadata!I623,"host-associated"),exact(metadata!I623,"human-associated"),exact(metadata!I623,"human-skin"),exact(metadata!I623,"human-oral"),exact(metadata!I623,"human-gut"),exact(metadata!I623,"human-vaginal"),exact(metadata!I623,"microbial mat/biofilm"),exact(metadata!I623,"misc environment"),exact(metadata!I623,"plant-associated"),exact(metadata!I623,"sediment"),exact(metadata!I623,"soil"),exact(metadata!I623,"wastewater/sludge"),exact(metadata!I623,"water"))))</f>
        <v>0</v>
      </c>
      <c r="AJ623">
        <f>IF(metadata!J623="",FALSE,TRUE)</f>
        <v>0</v>
      </c>
      <c r="AK623">
        <f>OR(AND(IF(metadata!K623="",FALSE,TRUE),OR(exact(metadata!K623,"missing: not collected"),exact(metadata!K623,"missing: not provided"),exact(metadata!K623,"missing: restricted access"))),AND(IF(metadata!K623="",FALSE,ISNUMBER(VALUE(metadata!K623))),metadata!K623&gt;=-90.00,metadata!K623&lt;=90.00))</f>
        <v>0</v>
      </c>
      <c r="AL623">
        <f>OR(AND(IF(metadata!L623="",FALSE,TRUE),OR(exact(metadata!L623,"missing: not collected"),exact(metadata!L623,"missing: not provided"),exact(metadata!L623,"missing: restricted access"))),AND(IF(metadata!L623="",FALSE,ISNUMBER(VALUE(metadata!L623))),metadata!L623&gt;=-180.00,metadata!L623&lt;=180.00))</f>
        <v>0</v>
      </c>
      <c r="AM623">
        <f>IF(metadata!M623="",FALSE,TRUE)</f>
        <v>0</v>
      </c>
      <c r="AN623">
        <f>OR(AND(IF(metadata!N623="",FALSE,TRUE),OR(exact(metadata!N623,"missing: not collected"),exact(metadata!N623,"missing: not provided"),exact(metadata!N623,"missing: restricted access"))),AND(IF(metadata!N623="",FALSE,TRUE),OR(exact(metadata!N623,"TRUE"),exact(metadata!N623,"FALSE"))))</f>
        <v>0</v>
      </c>
      <c r="AO623">
        <f>IF(metadata!O623="",FALSE,TRUE)</f>
        <v>0</v>
      </c>
      <c r="AP623">
        <f>OR(AND(IF(metadata!P623="",FALSE,TRUE),OR(exact(metadata!P623,"missing: not collected"),exact(metadata!P623,"missing: not provided"))),AND(IF(metadata!P623="",FALSE,IF(ISERROR(INT(metadata!P623)),FALSE,INT(metadata!P623)=metadata!P623)),metadata!P623&gt;0))</f>
        <v>0</v>
      </c>
      <c r="AQ623">
        <f>IF(metadata!Q623="",FALSE,TRUE)</f>
        <v>0</v>
      </c>
    </row>
    <row r="624" spans="1:43">
      <c r="A624" s="5">
        <f>IF(B624=" "," ",HYPERLINK(CONCATENATE("#metadata!",ADDRESS(INDEX($W$2:$W$1001,MATCH(ROWS($U$2:U624),$U$2:$U$1001,0),0),1)),INDEX($Z$2:$Z$1001,MATCH(ROWS($U$2:U624),$U$2:$U$1001,0),0)))</f>
        <v>0</v>
      </c>
      <c r="B624" s="4">
        <f>IF(OR(INDEX($V$2:$V$1001,MATCH(ROWS($U$2:U624),$U$2:$U$1001,0),1)&gt;=100000,INDEX($AB$1005:$AQ$1005,1,MATCH(COLUMNS($AB$1006:AB1006),$AB$1006:$AQ$1006,0))&gt;=100000), " ",IF(INDEX($AB$2:$AQ$1001,MATCH(ROWS($U$2:U624),$U$2:$U$1001,0),MATCH(COLUMNS($AB$1006:AB1006),$AB$1006:$AQ$1006,0)), HYPERLINK("#",""), HYPERLINK(CONCATENATE("#metadata!", ADDRESS(INDEX($W$2:$W$1001,MATCH(ROWS($U$2:U624),$U$2:$U$1001,0),0), INDEX($AB$1004:$AQ$1004,1,MATCH(COLUMNS($AB$1006:AB1006),$AB$1006:$AQ$1006,0)))),"Fix")))</f>
        <v>0</v>
      </c>
      <c r="C624" s="4">
        <f>IF(OR(INDEX($V$2:$V$1001,MATCH(ROWS($U$2:U624),$U$2:$U$1001,0),1)&gt;=100000,INDEX($AB$1005:$AQ$1005,1,MATCH(COLUMNS($AB$1006:AC1006),$AB$1006:$AQ$1006,0))&gt;=100000), " ",IF(INDEX($AB$2:$AQ$1001,MATCH(ROWS($U$2:U624),$U$2:$U$1001,0),MATCH(COLUMNS($AB$1006:AC1006),$AB$1006:$AQ$1006,0)), HYPERLINK("#",""), HYPERLINK(CONCATENATE("#metadata!", ADDRESS(INDEX($W$2:$W$1001,MATCH(ROWS($U$2:U624),$U$2:$U$1001,0),0), INDEX($AB$1004:$AQ$1004,1,MATCH(COLUMNS($AB$1006:AC1006),$AB$1006:$AQ$1006,0)))),"Fix")))</f>
        <v>0</v>
      </c>
      <c r="D624" s="4">
        <f>IF(OR(INDEX($V$2:$V$1001,MATCH(ROWS($U$2:U624),$U$2:$U$1001,0),1)&gt;=100000,INDEX($AB$1005:$AQ$1005,1,MATCH(COLUMNS($AB$1006:AD1006),$AB$1006:$AQ$1006,0))&gt;=100000), " ",IF(INDEX($AB$2:$AQ$1001,MATCH(ROWS($U$2:U624),$U$2:$U$1001,0),MATCH(COLUMNS($AB$1006:AD1006),$AB$1006:$AQ$1006,0)), HYPERLINK("#",""), HYPERLINK(CONCATENATE("#metadata!", ADDRESS(INDEX($W$2:$W$1001,MATCH(ROWS($U$2:U624),$U$2:$U$1001,0),0), INDEX($AB$1004:$AQ$1004,1,MATCH(COLUMNS($AB$1006:AD1006),$AB$1006:$AQ$1006,0)))),"Fix")))</f>
        <v>0</v>
      </c>
      <c r="E624" s="4">
        <f>IF(OR(INDEX($V$2:$V$1001,MATCH(ROWS($U$2:U624),$U$2:$U$1001,0),1)&gt;=100000,INDEX($AB$1005:$AQ$1005,1,MATCH(COLUMNS($AB$1006:AE1006),$AB$1006:$AQ$1006,0))&gt;=100000), " ",IF(INDEX($AB$2:$AQ$1001,MATCH(ROWS($U$2:U624),$U$2:$U$1001,0),MATCH(COLUMNS($AB$1006:AE1006),$AB$1006:$AQ$1006,0)), HYPERLINK("#",""), HYPERLINK(CONCATENATE("#metadata!", ADDRESS(INDEX($W$2:$W$1001,MATCH(ROWS($U$2:U624),$U$2:$U$1001,0),0), INDEX($AB$1004:$AQ$1004,1,MATCH(COLUMNS($AB$1006:AE1006),$AB$1006:$AQ$1006,0)))),"Fix")))</f>
        <v>0</v>
      </c>
      <c r="F624" s="4">
        <f>IF(OR(INDEX($V$2:$V$1001,MATCH(ROWS($U$2:U624),$U$2:$U$1001,0),1)&gt;=100000,INDEX($AB$1005:$AQ$1005,1,MATCH(COLUMNS($AB$1006:AF1006),$AB$1006:$AQ$1006,0))&gt;=100000), " ",IF(INDEX($AB$2:$AQ$1001,MATCH(ROWS($U$2:U624),$U$2:$U$1001,0),MATCH(COLUMNS($AB$1006:AF1006),$AB$1006:$AQ$1006,0)), HYPERLINK("#",""), HYPERLINK(CONCATENATE("#metadata!", ADDRESS(INDEX($W$2:$W$1001,MATCH(ROWS($U$2:U624),$U$2:$U$1001,0),0), INDEX($AB$1004:$AQ$1004,1,MATCH(COLUMNS($AB$1006:AF1006),$AB$1006:$AQ$1006,0)))),"Fix")))</f>
        <v>0</v>
      </c>
      <c r="G624" s="4">
        <f>IF(OR(INDEX($V$2:$V$1001,MATCH(ROWS($U$2:U624),$U$2:$U$1001,0),1)&gt;=100000,INDEX($AB$1005:$AQ$1005,1,MATCH(COLUMNS($AB$1006:AG1006),$AB$1006:$AQ$1006,0))&gt;=100000), " ",IF(INDEX($AB$2:$AQ$1001,MATCH(ROWS($U$2:U624),$U$2:$U$1001,0),MATCH(COLUMNS($AB$1006:AG1006),$AB$1006:$AQ$1006,0)), HYPERLINK("#",""), HYPERLINK(CONCATENATE("#metadata!", ADDRESS(INDEX($W$2:$W$1001,MATCH(ROWS($U$2:U624),$U$2:$U$1001,0),0), INDEX($AB$1004:$AQ$1004,1,MATCH(COLUMNS($AB$1006:AG1006),$AB$1006:$AQ$1006,0)))),"Fix")))</f>
        <v>0</v>
      </c>
      <c r="H624" s="4">
        <f>IF(OR(INDEX($V$2:$V$1001,MATCH(ROWS($U$2:U624),$U$2:$U$1001,0),1)&gt;=100000,INDEX($AB$1005:$AQ$1005,1,MATCH(COLUMNS($AB$1006:AH1006),$AB$1006:$AQ$1006,0))&gt;=100000), " ",IF(INDEX($AB$2:$AQ$1001,MATCH(ROWS($U$2:U624),$U$2:$U$1001,0),MATCH(COLUMNS($AB$1006:AH1006),$AB$1006:$AQ$1006,0)), HYPERLINK("#",""), HYPERLINK(CONCATENATE("#metadata!", ADDRESS(INDEX($W$2:$W$1001,MATCH(ROWS($U$2:U624),$U$2:$U$1001,0),0), INDEX($AB$1004:$AQ$1004,1,MATCH(COLUMNS($AB$1006:AH1006),$AB$1006:$AQ$1006,0)))),"Fix")))</f>
        <v>0</v>
      </c>
      <c r="I624" s="4">
        <f>IF(OR(INDEX($V$2:$V$1001,MATCH(ROWS($U$2:U624),$U$2:$U$1001,0),1)&gt;=100000,INDEX($AB$1005:$AQ$1005,1,MATCH(COLUMNS($AB$1006:AI1006),$AB$1006:$AQ$1006,0))&gt;=100000), " ",IF(INDEX($AB$2:$AQ$1001,MATCH(ROWS($U$2:U624),$U$2:$U$1001,0),MATCH(COLUMNS($AB$1006:AI1006),$AB$1006:$AQ$1006,0)), HYPERLINK("#",""), HYPERLINK(CONCATENATE("#metadata!", ADDRESS(INDEX($W$2:$W$1001,MATCH(ROWS($U$2:U624),$U$2:$U$1001,0),0), INDEX($AB$1004:$AQ$1004,1,MATCH(COLUMNS($AB$1006:AI1006),$AB$1006:$AQ$1006,0)))),"Fix")))</f>
        <v>0</v>
      </c>
      <c r="J624" s="4">
        <f>IF(OR(INDEX($V$2:$V$1001,MATCH(ROWS($U$2:U624),$U$2:$U$1001,0),1)&gt;=100000,INDEX($AB$1005:$AQ$1005,1,MATCH(COLUMNS($AB$1006:AJ1006),$AB$1006:$AQ$1006,0))&gt;=100000), " ",IF(INDEX($AB$2:$AQ$1001,MATCH(ROWS($U$2:U624),$U$2:$U$1001,0),MATCH(COLUMNS($AB$1006:AJ1006),$AB$1006:$AQ$1006,0)), HYPERLINK("#",""), HYPERLINK(CONCATENATE("#metadata!", ADDRESS(INDEX($W$2:$W$1001,MATCH(ROWS($U$2:U624),$U$2:$U$1001,0),0), INDEX($AB$1004:$AQ$1004,1,MATCH(COLUMNS($AB$1006:AJ1006),$AB$1006:$AQ$1006,0)))),"Fix")))</f>
        <v>0</v>
      </c>
      <c r="K624" s="4">
        <f>IF(OR(INDEX($V$2:$V$1001,MATCH(ROWS($U$2:U624),$U$2:$U$1001,0),1)&gt;=100000,INDEX($AB$1005:$AQ$1005,1,MATCH(COLUMNS($AB$1006:AK1006),$AB$1006:$AQ$1006,0))&gt;=100000), " ",IF(INDEX($AB$2:$AQ$1001,MATCH(ROWS($U$2:U624),$U$2:$U$1001,0),MATCH(COLUMNS($AB$1006:AK1006),$AB$1006:$AQ$1006,0)), HYPERLINK("#",""), HYPERLINK(CONCATENATE("#metadata!", ADDRESS(INDEX($W$2:$W$1001,MATCH(ROWS($U$2:U624),$U$2:$U$1001,0),0), INDEX($AB$1004:$AQ$1004,1,MATCH(COLUMNS($AB$1006:AK1006),$AB$1006:$AQ$1006,0)))),"Fix")))</f>
        <v>0</v>
      </c>
      <c r="L624" s="4">
        <f>IF(OR(INDEX($V$2:$V$1001,MATCH(ROWS($U$2:U624),$U$2:$U$1001,0),1)&gt;=100000,INDEX($AB$1005:$AQ$1005,1,MATCH(COLUMNS($AB$1006:AL1006),$AB$1006:$AQ$1006,0))&gt;=100000), " ",IF(INDEX($AB$2:$AQ$1001,MATCH(ROWS($U$2:U624),$U$2:$U$1001,0),MATCH(COLUMNS($AB$1006:AL1006),$AB$1006:$AQ$1006,0)), HYPERLINK("#",""), HYPERLINK(CONCATENATE("#metadata!", ADDRESS(INDEX($W$2:$W$1001,MATCH(ROWS($U$2:U624),$U$2:$U$1001,0),0), INDEX($AB$1004:$AQ$1004,1,MATCH(COLUMNS($AB$1006:AL1006),$AB$1006:$AQ$1006,0)))),"Fix")))</f>
        <v>0</v>
      </c>
      <c r="M624" s="4">
        <f>IF(OR(INDEX($V$2:$V$1001,MATCH(ROWS($U$2:U624),$U$2:$U$1001,0),1)&gt;=100000,INDEX($AB$1005:$AQ$1005,1,MATCH(COLUMNS($AB$1006:AM1006),$AB$1006:$AQ$1006,0))&gt;=100000), " ",IF(INDEX($AB$2:$AQ$1001,MATCH(ROWS($U$2:U624),$U$2:$U$1001,0),MATCH(COLUMNS($AB$1006:AM1006),$AB$1006:$AQ$1006,0)), HYPERLINK("#",""), HYPERLINK(CONCATENATE("#metadata!", ADDRESS(INDEX($W$2:$W$1001,MATCH(ROWS($U$2:U624),$U$2:$U$1001,0),0), INDEX($AB$1004:$AQ$1004,1,MATCH(COLUMNS($AB$1006:AM1006),$AB$1006:$AQ$1006,0)))),"Fix")))</f>
        <v>0</v>
      </c>
      <c r="N624" s="4">
        <f>IF(OR(INDEX($V$2:$V$1001,MATCH(ROWS($U$2:U624),$U$2:$U$1001,0),1)&gt;=100000,INDEX($AB$1005:$AQ$1005,1,MATCH(COLUMNS($AB$1006:AN1006),$AB$1006:$AQ$1006,0))&gt;=100000), " ",IF(INDEX($AB$2:$AQ$1001,MATCH(ROWS($U$2:U624),$U$2:$U$1001,0),MATCH(COLUMNS($AB$1006:AN1006),$AB$1006:$AQ$1006,0)), HYPERLINK("#",""), HYPERLINK(CONCATENATE("#metadata!", ADDRESS(INDEX($W$2:$W$1001,MATCH(ROWS($U$2:U624),$U$2:$U$1001,0),0), INDEX($AB$1004:$AQ$1004,1,MATCH(COLUMNS($AB$1006:AN1006),$AB$1006:$AQ$1006,0)))),"Fix")))</f>
        <v>0</v>
      </c>
      <c r="O624" s="4">
        <f>IF(OR(INDEX($V$2:$V$1001,MATCH(ROWS($U$2:U624),$U$2:$U$1001,0),1)&gt;=100000,INDEX($AB$1005:$AQ$1005,1,MATCH(COLUMNS($AB$1006:AO1006),$AB$1006:$AQ$1006,0))&gt;=100000), " ",IF(INDEX($AB$2:$AQ$1001,MATCH(ROWS($U$2:U624),$U$2:$U$1001,0),MATCH(COLUMNS($AB$1006:AO1006),$AB$1006:$AQ$1006,0)), HYPERLINK("#",""), HYPERLINK(CONCATENATE("#metadata!", ADDRESS(INDEX($W$2:$W$1001,MATCH(ROWS($U$2:U624),$U$2:$U$1001,0),0), INDEX($AB$1004:$AQ$1004,1,MATCH(COLUMNS($AB$1006:AO1006),$AB$1006:$AQ$1006,0)))),"Fix")))</f>
        <v>0</v>
      </c>
      <c r="P624" s="4">
        <f>IF(OR(INDEX($V$2:$V$1001,MATCH(ROWS($U$2:U624),$U$2:$U$1001,0),1)&gt;=100000,INDEX($AB$1005:$AQ$1005,1,MATCH(COLUMNS($AB$1006:AP1006),$AB$1006:$AQ$1006,0))&gt;=100000), " ",IF(INDEX($AB$2:$AQ$1001,MATCH(ROWS($U$2:U624),$U$2:$U$1001,0),MATCH(COLUMNS($AB$1006:AP1006),$AB$1006:$AQ$1006,0)), HYPERLINK("#",""), HYPERLINK(CONCATENATE("#metadata!", ADDRESS(INDEX($W$2:$W$1001,MATCH(ROWS($U$2:U624),$U$2:$U$1001,0),0), INDEX($AB$1004:$AQ$1004,1,MATCH(COLUMNS($AB$1006:AP1006),$AB$1006:$AQ$1006,0)))),"Fix")))</f>
        <v>0</v>
      </c>
      <c r="Q624" s="4">
        <f>IF(OR(INDEX($V$2:$V$1001,MATCH(ROWS($U$2:U624),$U$2:$U$1001,0),1)&gt;=100000,INDEX($AB$1005:$AQ$1005,1,MATCH(COLUMNS($AB$1006:AQ1006),$AB$1006:$AQ$1006,0))&gt;=100000), " ",IF(INDEX($AB$2:$AQ$1001,MATCH(ROWS($U$2:U624),$U$2:$U$1001,0),MATCH(COLUMNS($AB$1006:AQ1006),$AB$1006:$AQ$1006,0)), HYPERLINK("#",""), HYPERLINK(CONCATENATE("#metadata!", ADDRESS(INDEX($W$2:$W$1001,MATCH(ROWS($U$2:U624),$U$2:$U$1001,0),0), INDEX($AB$1004:$AQ$1004,1,MATCH(COLUMNS($AB$1006:AQ1006),$AB$1006:$AQ$1006,0)))),"Fix")))</f>
        <v>0</v>
      </c>
      <c r="U624">
        <v>0</v>
      </c>
      <c r="V624">
        <v>0</v>
      </c>
      <c r="W624">
        <v>0</v>
      </c>
      <c r="X624">
        <f>IF(Y624,TRUE,AND(AB624:AQ624))</f>
        <v>0</v>
      </c>
      <c r="Y624">
        <f>COUNTBLANK(metadata!B624:Q624)=COLUMNS(metadata!B624:Q624)</f>
        <v>0</v>
      </c>
      <c r="Z624">
        <v>0</v>
      </c>
      <c r="AB624">
        <f>AND(IF(metadata!B624="",FALSE,TRUE),COUNTIF(metadata!B:B, metadata!B624) = 1,NOT(ISERROR(SUMPRODUCT(SEARCH(MID(metadata!B624,ROW(INDIRECT("1:"&amp;LEN(metadata!B624))), 1),"0123456789abcdefghijklmnopqrstuvwxyzABCDEFGHIJKLMNOPQRSTUVWXYZ.")))))</f>
        <v>0</v>
      </c>
      <c r="AC624">
        <f>OR(AND(IF(metadata!C624="",FALSE,TRUE),OR(exact(metadata!C624,"missing: not collected"),exact(metadata!C624,"missing: not provided"),exact(metadata!C624,"missing: restricted access"))),AND(IF(metadata!C624="",FALSE,TRUE),AND(AND(IFERROR(INT(LEFT(metadata!C624,4))&gt;1900,FALSE),IFERROR(INT(LEFT(metadata!C624,4))&lt;=YEAR(NOW()),FALSE)), OR(MID(metadata!C624,5,1)="", AND(AND(MID(metadata!C624,5,1)="-",IFERROR(INT(MID(metadata!C624,6,1))&gt;=0,FALSE),IFERROR(INT(MID(metadata!C624,6,1))&lt;=1,FALSE),NOT(MID(metadata!C624,7,1)=""),IFERROR(INT(MID(metadata!C624,6,2))&gt;=1,FALSE),IFERROR(INT(MID(metadata!C624,6,2))&lt;=12,FALSE)), OR(MID(metadata!C624,8,1)="", AND(AND(MID(metadata!C624,8,1)="-",IFERROR(INT(MID(metadata!C624,9,1))&gt;=0,FALSE),IFERROR(INT(MID(metadata!C624,9,1))&lt;=3,FALSE),NOT(MID(metadata!C624,10,1)=""),IFERROR(INT(MID(metadata!C624,9,2))&gt;=1,FALSE),IFERROR(INT(MID(metadata!C624,9,2))&lt;=31,FALSE)), OR(MID(metadata!C624,11,1)="", AND(AND(MID(metadata!C624,11,1)=" ",IFERROR(INT(MID(metadata!C624,12,1))&gt;=0,FALSE),IFERROR(INT(MID(metadata!C624,12,1))&lt;=2,FALSE),NOT(MID(metadata!C624,13,1)=""),IFERROR(INT(MID(metadata!C624,12,2))&gt;=0,FALSE),IFERROR(INT(MID(metadata!C624,12,2))&lt;=23,FALSE)), OR(MID(metadata!C624,14,1)="", AND(AND(MID(metadata!C624,14,1)=":",IFERROR(INT(MID(metadata!C624,15,1))&gt;=0,FALSE),IFERROR(INT(MID(metadata!C624,15,1))&lt;=5,FALSE),NOT(MID(metadata!C624,16,1)=""),IFERROR(INT(MID(metadata!C624,15,2))&gt;=0,FALSE),IFERROR(INT(MID(metadata!C624,15,2))&lt;=59,FALSE)), OR(MID(metadata!C624,17,1)="", AND(AND(MID(metadata!C624,17,1)=":",IFERROR(INT(MID(metadata!C624,18,1))&gt;=0,FALSE),IFERROR(INT(MID(metadata!C624,18,1))&lt;=5,FALSE),NOT(MID(metadata!C624,19,1)=""),IFERROR(INT(MID(metadata!C624,18,2))&gt;=0,FALSE),IFERROR(INT(MID(metadata!C624,18,2))&lt;=59,FALSE)), LEN(metadata!C624)&lt;=19)))))))))))))</f>
        <v>0</v>
      </c>
      <c r="AD624">
        <f>IF(metadata!D624="",FALSE,TRUE)</f>
        <v>0</v>
      </c>
      <c r="AE624">
        <f>OR(AND(IF(metadata!E624="",FALSE,TRUE),OR(exact(metadata!E624,"missing: not collected"),exact(metadata!E624,"missing: not provided"))),AND(IF(metadata!E624="",FALSE,TRUE),OR(exact(metadata!E624,"TRUE"),exact(metadata!E624,"FALSE"))))</f>
        <v>0</v>
      </c>
      <c r="AF624">
        <f>IF(metadata!F624="",FALSE,TRUE)</f>
        <v>0</v>
      </c>
      <c r="AG624">
        <f>IF(metadata!G624="",FALSE,TRUE)</f>
        <v>0</v>
      </c>
      <c r="AH624">
        <f>IF(metadata!H624="",FALSE,TRUE)</f>
        <v>0</v>
      </c>
      <c r="AI624">
        <f>OR(AND(IF(metadata!I624="",FALSE,TRUE),OR(exact(metadata!I624,"missing: not collected"),exact(metadata!I624,"missing: not provided"),exact(metadata!I624,"missing: restricted access"))),AND(IF(metadata!I624="",FALSE,TRUE),OR(exact(metadata!I624,"air"),exact(metadata!I624,"built environment"),exact(metadata!I624,"host-associated"),exact(metadata!I624,"human-associated"),exact(metadata!I624,"human-skin"),exact(metadata!I624,"human-oral"),exact(metadata!I624,"human-gut"),exact(metadata!I624,"human-vaginal"),exact(metadata!I624,"microbial mat/biofilm"),exact(metadata!I624,"misc environment"),exact(metadata!I624,"plant-associated"),exact(metadata!I624,"sediment"),exact(metadata!I624,"soil"),exact(metadata!I624,"wastewater/sludge"),exact(metadata!I624,"water"))))</f>
        <v>0</v>
      </c>
      <c r="AJ624">
        <f>IF(metadata!J624="",FALSE,TRUE)</f>
        <v>0</v>
      </c>
      <c r="AK624">
        <f>OR(AND(IF(metadata!K624="",FALSE,TRUE),OR(exact(metadata!K624,"missing: not collected"),exact(metadata!K624,"missing: not provided"),exact(metadata!K624,"missing: restricted access"))),AND(IF(metadata!K624="",FALSE,ISNUMBER(VALUE(metadata!K624))),metadata!K624&gt;=-90.00,metadata!K624&lt;=90.00))</f>
        <v>0</v>
      </c>
      <c r="AL624">
        <f>OR(AND(IF(metadata!L624="",FALSE,TRUE),OR(exact(metadata!L624,"missing: not collected"),exact(metadata!L624,"missing: not provided"),exact(metadata!L624,"missing: restricted access"))),AND(IF(metadata!L624="",FALSE,ISNUMBER(VALUE(metadata!L624))),metadata!L624&gt;=-180.00,metadata!L624&lt;=180.00))</f>
        <v>0</v>
      </c>
      <c r="AM624">
        <f>IF(metadata!M624="",FALSE,TRUE)</f>
        <v>0</v>
      </c>
      <c r="AN624">
        <f>OR(AND(IF(metadata!N624="",FALSE,TRUE),OR(exact(metadata!N624,"missing: not collected"),exact(metadata!N624,"missing: not provided"),exact(metadata!N624,"missing: restricted access"))),AND(IF(metadata!N624="",FALSE,TRUE),OR(exact(metadata!N624,"TRUE"),exact(metadata!N624,"FALSE"))))</f>
        <v>0</v>
      </c>
      <c r="AO624">
        <f>IF(metadata!O624="",FALSE,TRUE)</f>
        <v>0</v>
      </c>
      <c r="AP624">
        <f>OR(AND(IF(metadata!P624="",FALSE,TRUE),OR(exact(metadata!P624,"missing: not collected"),exact(metadata!P624,"missing: not provided"))),AND(IF(metadata!P624="",FALSE,IF(ISERROR(INT(metadata!P624)),FALSE,INT(metadata!P624)=metadata!P624)),metadata!P624&gt;0))</f>
        <v>0</v>
      </c>
      <c r="AQ624">
        <f>IF(metadata!Q624="",FALSE,TRUE)</f>
        <v>0</v>
      </c>
    </row>
    <row r="625" spans="1:43">
      <c r="A625" s="5">
        <f>IF(B625=" "," ",HYPERLINK(CONCATENATE("#metadata!",ADDRESS(INDEX($W$2:$W$1001,MATCH(ROWS($U$2:U625),$U$2:$U$1001,0),0),1)),INDEX($Z$2:$Z$1001,MATCH(ROWS($U$2:U625),$U$2:$U$1001,0),0)))</f>
        <v>0</v>
      </c>
      <c r="B625" s="4">
        <f>IF(OR(INDEX($V$2:$V$1001,MATCH(ROWS($U$2:U625),$U$2:$U$1001,0),1)&gt;=100000,INDEX($AB$1005:$AQ$1005,1,MATCH(COLUMNS($AB$1006:AB1006),$AB$1006:$AQ$1006,0))&gt;=100000), " ",IF(INDEX($AB$2:$AQ$1001,MATCH(ROWS($U$2:U625),$U$2:$U$1001,0),MATCH(COLUMNS($AB$1006:AB1006),$AB$1006:$AQ$1006,0)), HYPERLINK("#",""), HYPERLINK(CONCATENATE("#metadata!", ADDRESS(INDEX($W$2:$W$1001,MATCH(ROWS($U$2:U625),$U$2:$U$1001,0),0), INDEX($AB$1004:$AQ$1004,1,MATCH(COLUMNS($AB$1006:AB1006),$AB$1006:$AQ$1006,0)))),"Fix")))</f>
        <v>0</v>
      </c>
      <c r="C625" s="4">
        <f>IF(OR(INDEX($V$2:$V$1001,MATCH(ROWS($U$2:U625),$U$2:$U$1001,0),1)&gt;=100000,INDEX($AB$1005:$AQ$1005,1,MATCH(COLUMNS($AB$1006:AC1006),$AB$1006:$AQ$1006,0))&gt;=100000), " ",IF(INDEX($AB$2:$AQ$1001,MATCH(ROWS($U$2:U625),$U$2:$U$1001,0),MATCH(COLUMNS($AB$1006:AC1006),$AB$1006:$AQ$1006,0)), HYPERLINK("#",""), HYPERLINK(CONCATENATE("#metadata!", ADDRESS(INDEX($W$2:$W$1001,MATCH(ROWS($U$2:U625),$U$2:$U$1001,0),0), INDEX($AB$1004:$AQ$1004,1,MATCH(COLUMNS($AB$1006:AC1006),$AB$1006:$AQ$1006,0)))),"Fix")))</f>
        <v>0</v>
      </c>
      <c r="D625" s="4">
        <f>IF(OR(INDEX($V$2:$V$1001,MATCH(ROWS($U$2:U625),$U$2:$U$1001,0),1)&gt;=100000,INDEX($AB$1005:$AQ$1005,1,MATCH(COLUMNS($AB$1006:AD1006),$AB$1006:$AQ$1006,0))&gt;=100000), " ",IF(INDEX($AB$2:$AQ$1001,MATCH(ROWS($U$2:U625),$U$2:$U$1001,0),MATCH(COLUMNS($AB$1006:AD1006),$AB$1006:$AQ$1006,0)), HYPERLINK("#",""), HYPERLINK(CONCATENATE("#metadata!", ADDRESS(INDEX($W$2:$W$1001,MATCH(ROWS($U$2:U625),$U$2:$U$1001,0),0), INDEX($AB$1004:$AQ$1004,1,MATCH(COLUMNS($AB$1006:AD1006),$AB$1006:$AQ$1006,0)))),"Fix")))</f>
        <v>0</v>
      </c>
      <c r="E625" s="4">
        <f>IF(OR(INDEX($V$2:$V$1001,MATCH(ROWS($U$2:U625),$U$2:$U$1001,0),1)&gt;=100000,INDEX($AB$1005:$AQ$1005,1,MATCH(COLUMNS($AB$1006:AE1006),$AB$1006:$AQ$1006,0))&gt;=100000), " ",IF(INDEX($AB$2:$AQ$1001,MATCH(ROWS($U$2:U625),$U$2:$U$1001,0),MATCH(COLUMNS($AB$1006:AE1006),$AB$1006:$AQ$1006,0)), HYPERLINK("#",""), HYPERLINK(CONCATENATE("#metadata!", ADDRESS(INDEX($W$2:$W$1001,MATCH(ROWS($U$2:U625),$U$2:$U$1001,0),0), INDEX($AB$1004:$AQ$1004,1,MATCH(COLUMNS($AB$1006:AE1006),$AB$1006:$AQ$1006,0)))),"Fix")))</f>
        <v>0</v>
      </c>
      <c r="F625" s="4">
        <f>IF(OR(INDEX($V$2:$V$1001,MATCH(ROWS($U$2:U625),$U$2:$U$1001,0),1)&gt;=100000,INDEX($AB$1005:$AQ$1005,1,MATCH(COLUMNS($AB$1006:AF1006),$AB$1006:$AQ$1006,0))&gt;=100000), " ",IF(INDEX($AB$2:$AQ$1001,MATCH(ROWS($U$2:U625),$U$2:$U$1001,0),MATCH(COLUMNS($AB$1006:AF1006),$AB$1006:$AQ$1006,0)), HYPERLINK("#",""), HYPERLINK(CONCATENATE("#metadata!", ADDRESS(INDEX($W$2:$W$1001,MATCH(ROWS($U$2:U625),$U$2:$U$1001,0),0), INDEX($AB$1004:$AQ$1004,1,MATCH(COLUMNS($AB$1006:AF1006),$AB$1006:$AQ$1006,0)))),"Fix")))</f>
        <v>0</v>
      </c>
      <c r="G625" s="4">
        <f>IF(OR(INDEX($V$2:$V$1001,MATCH(ROWS($U$2:U625),$U$2:$U$1001,0),1)&gt;=100000,INDEX($AB$1005:$AQ$1005,1,MATCH(COLUMNS($AB$1006:AG1006),$AB$1006:$AQ$1006,0))&gt;=100000), " ",IF(INDEX($AB$2:$AQ$1001,MATCH(ROWS($U$2:U625),$U$2:$U$1001,0),MATCH(COLUMNS($AB$1006:AG1006),$AB$1006:$AQ$1006,0)), HYPERLINK("#",""), HYPERLINK(CONCATENATE("#metadata!", ADDRESS(INDEX($W$2:$W$1001,MATCH(ROWS($U$2:U625),$U$2:$U$1001,0),0), INDEX($AB$1004:$AQ$1004,1,MATCH(COLUMNS($AB$1006:AG1006),$AB$1006:$AQ$1006,0)))),"Fix")))</f>
        <v>0</v>
      </c>
      <c r="H625" s="4">
        <f>IF(OR(INDEX($V$2:$V$1001,MATCH(ROWS($U$2:U625),$U$2:$U$1001,0),1)&gt;=100000,INDEX($AB$1005:$AQ$1005,1,MATCH(COLUMNS($AB$1006:AH1006),$AB$1006:$AQ$1006,0))&gt;=100000), " ",IF(INDEX($AB$2:$AQ$1001,MATCH(ROWS($U$2:U625),$U$2:$U$1001,0),MATCH(COLUMNS($AB$1006:AH1006),$AB$1006:$AQ$1006,0)), HYPERLINK("#",""), HYPERLINK(CONCATENATE("#metadata!", ADDRESS(INDEX($W$2:$W$1001,MATCH(ROWS($U$2:U625),$U$2:$U$1001,0),0), INDEX($AB$1004:$AQ$1004,1,MATCH(COLUMNS($AB$1006:AH1006),$AB$1006:$AQ$1006,0)))),"Fix")))</f>
        <v>0</v>
      </c>
      <c r="I625" s="4">
        <f>IF(OR(INDEX($V$2:$V$1001,MATCH(ROWS($U$2:U625),$U$2:$U$1001,0),1)&gt;=100000,INDEX($AB$1005:$AQ$1005,1,MATCH(COLUMNS($AB$1006:AI1006),$AB$1006:$AQ$1006,0))&gt;=100000), " ",IF(INDEX($AB$2:$AQ$1001,MATCH(ROWS($U$2:U625),$U$2:$U$1001,0),MATCH(COLUMNS($AB$1006:AI1006),$AB$1006:$AQ$1006,0)), HYPERLINK("#",""), HYPERLINK(CONCATENATE("#metadata!", ADDRESS(INDEX($W$2:$W$1001,MATCH(ROWS($U$2:U625),$U$2:$U$1001,0),0), INDEX($AB$1004:$AQ$1004,1,MATCH(COLUMNS($AB$1006:AI1006),$AB$1006:$AQ$1006,0)))),"Fix")))</f>
        <v>0</v>
      </c>
      <c r="J625" s="4">
        <f>IF(OR(INDEX($V$2:$V$1001,MATCH(ROWS($U$2:U625),$U$2:$U$1001,0),1)&gt;=100000,INDEX($AB$1005:$AQ$1005,1,MATCH(COLUMNS($AB$1006:AJ1006),$AB$1006:$AQ$1006,0))&gt;=100000), " ",IF(INDEX($AB$2:$AQ$1001,MATCH(ROWS($U$2:U625),$U$2:$U$1001,0),MATCH(COLUMNS($AB$1006:AJ1006),$AB$1006:$AQ$1006,0)), HYPERLINK("#",""), HYPERLINK(CONCATENATE("#metadata!", ADDRESS(INDEX($W$2:$W$1001,MATCH(ROWS($U$2:U625),$U$2:$U$1001,0),0), INDEX($AB$1004:$AQ$1004,1,MATCH(COLUMNS($AB$1006:AJ1006),$AB$1006:$AQ$1006,0)))),"Fix")))</f>
        <v>0</v>
      </c>
      <c r="K625" s="4">
        <f>IF(OR(INDEX($V$2:$V$1001,MATCH(ROWS($U$2:U625),$U$2:$U$1001,0),1)&gt;=100000,INDEX($AB$1005:$AQ$1005,1,MATCH(COLUMNS($AB$1006:AK1006),$AB$1006:$AQ$1006,0))&gt;=100000), " ",IF(INDEX($AB$2:$AQ$1001,MATCH(ROWS($U$2:U625),$U$2:$U$1001,0),MATCH(COLUMNS($AB$1006:AK1006),$AB$1006:$AQ$1006,0)), HYPERLINK("#",""), HYPERLINK(CONCATENATE("#metadata!", ADDRESS(INDEX($W$2:$W$1001,MATCH(ROWS($U$2:U625),$U$2:$U$1001,0),0), INDEX($AB$1004:$AQ$1004,1,MATCH(COLUMNS($AB$1006:AK1006),$AB$1006:$AQ$1006,0)))),"Fix")))</f>
        <v>0</v>
      </c>
      <c r="L625" s="4">
        <f>IF(OR(INDEX($V$2:$V$1001,MATCH(ROWS($U$2:U625),$U$2:$U$1001,0),1)&gt;=100000,INDEX($AB$1005:$AQ$1005,1,MATCH(COLUMNS($AB$1006:AL1006),$AB$1006:$AQ$1006,0))&gt;=100000), " ",IF(INDEX($AB$2:$AQ$1001,MATCH(ROWS($U$2:U625),$U$2:$U$1001,0),MATCH(COLUMNS($AB$1006:AL1006),$AB$1006:$AQ$1006,0)), HYPERLINK("#",""), HYPERLINK(CONCATENATE("#metadata!", ADDRESS(INDEX($W$2:$W$1001,MATCH(ROWS($U$2:U625),$U$2:$U$1001,0),0), INDEX($AB$1004:$AQ$1004,1,MATCH(COLUMNS($AB$1006:AL1006),$AB$1006:$AQ$1006,0)))),"Fix")))</f>
        <v>0</v>
      </c>
      <c r="M625" s="4">
        <f>IF(OR(INDEX($V$2:$V$1001,MATCH(ROWS($U$2:U625),$U$2:$U$1001,0),1)&gt;=100000,INDEX($AB$1005:$AQ$1005,1,MATCH(COLUMNS($AB$1006:AM1006),$AB$1006:$AQ$1006,0))&gt;=100000), " ",IF(INDEX($AB$2:$AQ$1001,MATCH(ROWS($U$2:U625),$U$2:$U$1001,0),MATCH(COLUMNS($AB$1006:AM1006),$AB$1006:$AQ$1006,0)), HYPERLINK("#",""), HYPERLINK(CONCATENATE("#metadata!", ADDRESS(INDEX($W$2:$W$1001,MATCH(ROWS($U$2:U625),$U$2:$U$1001,0),0), INDEX($AB$1004:$AQ$1004,1,MATCH(COLUMNS($AB$1006:AM1006),$AB$1006:$AQ$1006,0)))),"Fix")))</f>
        <v>0</v>
      </c>
      <c r="N625" s="4">
        <f>IF(OR(INDEX($V$2:$V$1001,MATCH(ROWS($U$2:U625),$U$2:$U$1001,0),1)&gt;=100000,INDEX($AB$1005:$AQ$1005,1,MATCH(COLUMNS($AB$1006:AN1006),$AB$1006:$AQ$1006,0))&gt;=100000), " ",IF(INDEX($AB$2:$AQ$1001,MATCH(ROWS($U$2:U625),$U$2:$U$1001,0),MATCH(COLUMNS($AB$1006:AN1006),$AB$1006:$AQ$1006,0)), HYPERLINK("#",""), HYPERLINK(CONCATENATE("#metadata!", ADDRESS(INDEX($W$2:$W$1001,MATCH(ROWS($U$2:U625),$U$2:$U$1001,0),0), INDEX($AB$1004:$AQ$1004,1,MATCH(COLUMNS($AB$1006:AN1006),$AB$1006:$AQ$1006,0)))),"Fix")))</f>
        <v>0</v>
      </c>
      <c r="O625" s="4">
        <f>IF(OR(INDEX($V$2:$V$1001,MATCH(ROWS($U$2:U625),$U$2:$U$1001,0),1)&gt;=100000,INDEX($AB$1005:$AQ$1005,1,MATCH(COLUMNS($AB$1006:AO1006),$AB$1006:$AQ$1006,0))&gt;=100000), " ",IF(INDEX($AB$2:$AQ$1001,MATCH(ROWS($U$2:U625),$U$2:$U$1001,0),MATCH(COLUMNS($AB$1006:AO1006),$AB$1006:$AQ$1006,0)), HYPERLINK("#",""), HYPERLINK(CONCATENATE("#metadata!", ADDRESS(INDEX($W$2:$W$1001,MATCH(ROWS($U$2:U625),$U$2:$U$1001,0),0), INDEX($AB$1004:$AQ$1004,1,MATCH(COLUMNS($AB$1006:AO1006),$AB$1006:$AQ$1006,0)))),"Fix")))</f>
        <v>0</v>
      </c>
      <c r="P625" s="4">
        <f>IF(OR(INDEX($V$2:$V$1001,MATCH(ROWS($U$2:U625),$U$2:$U$1001,0),1)&gt;=100000,INDEX($AB$1005:$AQ$1005,1,MATCH(COLUMNS($AB$1006:AP1006),$AB$1006:$AQ$1006,0))&gt;=100000), " ",IF(INDEX($AB$2:$AQ$1001,MATCH(ROWS($U$2:U625),$U$2:$U$1001,0),MATCH(COLUMNS($AB$1006:AP1006),$AB$1006:$AQ$1006,0)), HYPERLINK("#",""), HYPERLINK(CONCATENATE("#metadata!", ADDRESS(INDEX($W$2:$W$1001,MATCH(ROWS($U$2:U625),$U$2:$U$1001,0),0), INDEX($AB$1004:$AQ$1004,1,MATCH(COLUMNS($AB$1006:AP1006),$AB$1006:$AQ$1006,0)))),"Fix")))</f>
        <v>0</v>
      </c>
      <c r="Q625" s="4">
        <f>IF(OR(INDEX($V$2:$V$1001,MATCH(ROWS($U$2:U625),$U$2:$U$1001,0),1)&gt;=100000,INDEX($AB$1005:$AQ$1005,1,MATCH(COLUMNS($AB$1006:AQ1006),$AB$1006:$AQ$1006,0))&gt;=100000), " ",IF(INDEX($AB$2:$AQ$1001,MATCH(ROWS($U$2:U625),$U$2:$U$1001,0),MATCH(COLUMNS($AB$1006:AQ1006),$AB$1006:$AQ$1006,0)), HYPERLINK("#",""), HYPERLINK(CONCATENATE("#metadata!", ADDRESS(INDEX($W$2:$W$1001,MATCH(ROWS($U$2:U625),$U$2:$U$1001,0),0), INDEX($AB$1004:$AQ$1004,1,MATCH(COLUMNS($AB$1006:AQ1006),$AB$1006:$AQ$1006,0)))),"Fix")))</f>
        <v>0</v>
      </c>
      <c r="U625">
        <v>0</v>
      </c>
      <c r="V625">
        <v>0</v>
      </c>
      <c r="W625">
        <v>0</v>
      </c>
      <c r="X625">
        <f>IF(Y625,TRUE,AND(AB625:AQ625))</f>
        <v>0</v>
      </c>
      <c r="Y625">
        <f>COUNTBLANK(metadata!B625:Q625)=COLUMNS(metadata!B625:Q625)</f>
        <v>0</v>
      </c>
      <c r="Z625">
        <v>0</v>
      </c>
      <c r="AB625">
        <f>AND(IF(metadata!B625="",FALSE,TRUE),COUNTIF(metadata!B:B, metadata!B625) = 1,NOT(ISERROR(SUMPRODUCT(SEARCH(MID(metadata!B625,ROW(INDIRECT("1:"&amp;LEN(metadata!B625))), 1),"0123456789abcdefghijklmnopqrstuvwxyzABCDEFGHIJKLMNOPQRSTUVWXYZ.")))))</f>
        <v>0</v>
      </c>
      <c r="AC625">
        <f>OR(AND(IF(metadata!C625="",FALSE,TRUE),OR(exact(metadata!C625,"missing: not collected"),exact(metadata!C625,"missing: not provided"),exact(metadata!C625,"missing: restricted access"))),AND(IF(metadata!C625="",FALSE,TRUE),AND(AND(IFERROR(INT(LEFT(metadata!C625,4))&gt;1900,FALSE),IFERROR(INT(LEFT(metadata!C625,4))&lt;=YEAR(NOW()),FALSE)), OR(MID(metadata!C625,5,1)="", AND(AND(MID(metadata!C625,5,1)="-",IFERROR(INT(MID(metadata!C625,6,1))&gt;=0,FALSE),IFERROR(INT(MID(metadata!C625,6,1))&lt;=1,FALSE),NOT(MID(metadata!C625,7,1)=""),IFERROR(INT(MID(metadata!C625,6,2))&gt;=1,FALSE),IFERROR(INT(MID(metadata!C625,6,2))&lt;=12,FALSE)), OR(MID(metadata!C625,8,1)="", AND(AND(MID(metadata!C625,8,1)="-",IFERROR(INT(MID(metadata!C625,9,1))&gt;=0,FALSE),IFERROR(INT(MID(metadata!C625,9,1))&lt;=3,FALSE),NOT(MID(metadata!C625,10,1)=""),IFERROR(INT(MID(metadata!C625,9,2))&gt;=1,FALSE),IFERROR(INT(MID(metadata!C625,9,2))&lt;=31,FALSE)), OR(MID(metadata!C625,11,1)="", AND(AND(MID(metadata!C625,11,1)=" ",IFERROR(INT(MID(metadata!C625,12,1))&gt;=0,FALSE),IFERROR(INT(MID(metadata!C625,12,1))&lt;=2,FALSE),NOT(MID(metadata!C625,13,1)=""),IFERROR(INT(MID(metadata!C625,12,2))&gt;=0,FALSE),IFERROR(INT(MID(metadata!C625,12,2))&lt;=23,FALSE)), OR(MID(metadata!C625,14,1)="", AND(AND(MID(metadata!C625,14,1)=":",IFERROR(INT(MID(metadata!C625,15,1))&gt;=0,FALSE),IFERROR(INT(MID(metadata!C625,15,1))&lt;=5,FALSE),NOT(MID(metadata!C625,16,1)=""),IFERROR(INT(MID(metadata!C625,15,2))&gt;=0,FALSE),IFERROR(INT(MID(metadata!C625,15,2))&lt;=59,FALSE)), OR(MID(metadata!C625,17,1)="", AND(AND(MID(metadata!C625,17,1)=":",IFERROR(INT(MID(metadata!C625,18,1))&gt;=0,FALSE),IFERROR(INT(MID(metadata!C625,18,1))&lt;=5,FALSE),NOT(MID(metadata!C625,19,1)=""),IFERROR(INT(MID(metadata!C625,18,2))&gt;=0,FALSE),IFERROR(INT(MID(metadata!C625,18,2))&lt;=59,FALSE)), LEN(metadata!C625)&lt;=19)))))))))))))</f>
        <v>0</v>
      </c>
      <c r="AD625">
        <f>IF(metadata!D625="",FALSE,TRUE)</f>
        <v>0</v>
      </c>
      <c r="AE625">
        <f>OR(AND(IF(metadata!E625="",FALSE,TRUE),OR(exact(metadata!E625,"missing: not collected"),exact(metadata!E625,"missing: not provided"))),AND(IF(metadata!E625="",FALSE,TRUE),OR(exact(metadata!E625,"TRUE"),exact(metadata!E625,"FALSE"))))</f>
        <v>0</v>
      </c>
      <c r="AF625">
        <f>IF(metadata!F625="",FALSE,TRUE)</f>
        <v>0</v>
      </c>
      <c r="AG625">
        <f>IF(metadata!G625="",FALSE,TRUE)</f>
        <v>0</v>
      </c>
      <c r="AH625">
        <f>IF(metadata!H625="",FALSE,TRUE)</f>
        <v>0</v>
      </c>
      <c r="AI625">
        <f>OR(AND(IF(metadata!I625="",FALSE,TRUE),OR(exact(metadata!I625,"missing: not collected"),exact(metadata!I625,"missing: not provided"),exact(metadata!I625,"missing: restricted access"))),AND(IF(metadata!I625="",FALSE,TRUE),OR(exact(metadata!I625,"air"),exact(metadata!I625,"built environment"),exact(metadata!I625,"host-associated"),exact(metadata!I625,"human-associated"),exact(metadata!I625,"human-skin"),exact(metadata!I625,"human-oral"),exact(metadata!I625,"human-gut"),exact(metadata!I625,"human-vaginal"),exact(metadata!I625,"microbial mat/biofilm"),exact(metadata!I625,"misc environment"),exact(metadata!I625,"plant-associated"),exact(metadata!I625,"sediment"),exact(metadata!I625,"soil"),exact(metadata!I625,"wastewater/sludge"),exact(metadata!I625,"water"))))</f>
        <v>0</v>
      </c>
      <c r="AJ625">
        <f>IF(metadata!J625="",FALSE,TRUE)</f>
        <v>0</v>
      </c>
      <c r="AK625">
        <f>OR(AND(IF(metadata!K625="",FALSE,TRUE),OR(exact(metadata!K625,"missing: not collected"),exact(metadata!K625,"missing: not provided"),exact(metadata!K625,"missing: restricted access"))),AND(IF(metadata!K625="",FALSE,ISNUMBER(VALUE(metadata!K625))),metadata!K625&gt;=-90.00,metadata!K625&lt;=90.00))</f>
        <v>0</v>
      </c>
      <c r="AL625">
        <f>OR(AND(IF(metadata!L625="",FALSE,TRUE),OR(exact(metadata!L625,"missing: not collected"),exact(metadata!L625,"missing: not provided"),exact(metadata!L625,"missing: restricted access"))),AND(IF(metadata!L625="",FALSE,ISNUMBER(VALUE(metadata!L625))),metadata!L625&gt;=-180.00,metadata!L625&lt;=180.00))</f>
        <v>0</v>
      </c>
      <c r="AM625">
        <f>IF(metadata!M625="",FALSE,TRUE)</f>
        <v>0</v>
      </c>
      <c r="AN625">
        <f>OR(AND(IF(metadata!N625="",FALSE,TRUE),OR(exact(metadata!N625,"missing: not collected"),exact(metadata!N625,"missing: not provided"),exact(metadata!N625,"missing: restricted access"))),AND(IF(metadata!N625="",FALSE,TRUE),OR(exact(metadata!N625,"TRUE"),exact(metadata!N625,"FALSE"))))</f>
        <v>0</v>
      </c>
      <c r="AO625">
        <f>IF(metadata!O625="",FALSE,TRUE)</f>
        <v>0</v>
      </c>
      <c r="AP625">
        <f>OR(AND(IF(metadata!P625="",FALSE,TRUE),OR(exact(metadata!P625,"missing: not collected"),exact(metadata!P625,"missing: not provided"))),AND(IF(metadata!P625="",FALSE,IF(ISERROR(INT(metadata!P625)),FALSE,INT(metadata!P625)=metadata!P625)),metadata!P625&gt;0))</f>
        <v>0</v>
      </c>
      <c r="AQ625">
        <f>IF(metadata!Q625="",FALSE,TRUE)</f>
        <v>0</v>
      </c>
    </row>
    <row r="626" spans="1:43">
      <c r="A626" s="5">
        <f>IF(B626=" "," ",HYPERLINK(CONCATENATE("#metadata!",ADDRESS(INDEX($W$2:$W$1001,MATCH(ROWS($U$2:U626),$U$2:$U$1001,0),0),1)),INDEX($Z$2:$Z$1001,MATCH(ROWS($U$2:U626),$U$2:$U$1001,0),0)))</f>
        <v>0</v>
      </c>
      <c r="B626" s="4">
        <f>IF(OR(INDEX($V$2:$V$1001,MATCH(ROWS($U$2:U626),$U$2:$U$1001,0),1)&gt;=100000,INDEX($AB$1005:$AQ$1005,1,MATCH(COLUMNS($AB$1006:AB1006),$AB$1006:$AQ$1006,0))&gt;=100000), " ",IF(INDEX($AB$2:$AQ$1001,MATCH(ROWS($U$2:U626),$U$2:$U$1001,0),MATCH(COLUMNS($AB$1006:AB1006),$AB$1006:$AQ$1006,0)), HYPERLINK("#",""), HYPERLINK(CONCATENATE("#metadata!", ADDRESS(INDEX($W$2:$W$1001,MATCH(ROWS($U$2:U626),$U$2:$U$1001,0),0), INDEX($AB$1004:$AQ$1004,1,MATCH(COLUMNS($AB$1006:AB1006),$AB$1006:$AQ$1006,0)))),"Fix")))</f>
        <v>0</v>
      </c>
      <c r="C626" s="4">
        <f>IF(OR(INDEX($V$2:$V$1001,MATCH(ROWS($U$2:U626),$U$2:$U$1001,0),1)&gt;=100000,INDEX($AB$1005:$AQ$1005,1,MATCH(COLUMNS($AB$1006:AC1006),$AB$1006:$AQ$1006,0))&gt;=100000), " ",IF(INDEX($AB$2:$AQ$1001,MATCH(ROWS($U$2:U626),$U$2:$U$1001,0),MATCH(COLUMNS($AB$1006:AC1006),$AB$1006:$AQ$1006,0)), HYPERLINK("#",""), HYPERLINK(CONCATENATE("#metadata!", ADDRESS(INDEX($W$2:$W$1001,MATCH(ROWS($U$2:U626),$U$2:$U$1001,0),0), INDEX($AB$1004:$AQ$1004,1,MATCH(COLUMNS($AB$1006:AC1006),$AB$1006:$AQ$1006,0)))),"Fix")))</f>
        <v>0</v>
      </c>
      <c r="D626" s="4">
        <f>IF(OR(INDEX($V$2:$V$1001,MATCH(ROWS($U$2:U626),$U$2:$U$1001,0),1)&gt;=100000,INDEX($AB$1005:$AQ$1005,1,MATCH(COLUMNS($AB$1006:AD1006),$AB$1006:$AQ$1006,0))&gt;=100000), " ",IF(INDEX($AB$2:$AQ$1001,MATCH(ROWS($U$2:U626),$U$2:$U$1001,0),MATCH(COLUMNS($AB$1006:AD1006),$AB$1006:$AQ$1006,0)), HYPERLINK("#",""), HYPERLINK(CONCATENATE("#metadata!", ADDRESS(INDEX($W$2:$W$1001,MATCH(ROWS($U$2:U626),$U$2:$U$1001,0),0), INDEX($AB$1004:$AQ$1004,1,MATCH(COLUMNS($AB$1006:AD1006),$AB$1006:$AQ$1006,0)))),"Fix")))</f>
        <v>0</v>
      </c>
      <c r="E626" s="4">
        <f>IF(OR(INDEX($V$2:$V$1001,MATCH(ROWS($U$2:U626),$U$2:$U$1001,0),1)&gt;=100000,INDEX($AB$1005:$AQ$1005,1,MATCH(COLUMNS($AB$1006:AE1006),$AB$1006:$AQ$1006,0))&gt;=100000), " ",IF(INDEX($AB$2:$AQ$1001,MATCH(ROWS($U$2:U626),$U$2:$U$1001,0),MATCH(COLUMNS($AB$1006:AE1006),$AB$1006:$AQ$1006,0)), HYPERLINK("#",""), HYPERLINK(CONCATENATE("#metadata!", ADDRESS(INDEX($W$2:$W$1001,MATCH(ROWS($U$2:U626),$U$2:$U$1001,0),0), INDEX($AB$1004:$AQ$1004,1,MATCH(COLUMNS($AB$1006:AE1006),$AB$1006:$AQ$1006,0)))),"Fix")))</f>
        <v>0</v>
      </c>
      <c r="F626" s="4">
        <f>IF(OR(INDEX($V$2:$V$1001,MATCH(ROWS($U$2:U626),$U$2:$U$1001,0),1)&gt;=100000,INDEX($AB$1005:$AQ$1005,1,MATCH(COLUMNS($AB$1006:AF1006),$AB$1006:$AQ$1006,0))&gt;=100000), " ",IF(INDEX($AB$2:$AQ$1001,MATCH(ROWS($U$2:U626),$U$2:$U$1001,0),MATCH(COLUMNS($AB$1006:AF1006),$AB$1006:$AQ$1006,0)), HYPERLINK("#",""), HYPERLINK(CONCATENATE("#metadata!", ADDRESS(INDEX($W$2:$W$1001,MATCH(ROWS($U$2:U626),$U$2:$U$1001,0),0), INDEX($AB$1004:$AQ$1004,1,MATCH(COLUMNS($AB$1006:AF1006),$AB$1006:$AQ$1006,0)))),"Fix")))</f>
        <v>0</v>
      </c>
      <c r="G626" s="4">
        <f>IF(OR(INDEX($V$2:$V$1001,MATCH(ROWS($U$2:U626),$U$2:$U$1001,0),1)&gt;=100000,INDEX($AB$1005:$AQ$1005,1,MATCH(COLUMNS($AB$1006:AG1006),$AB$1006:$AQ$1006,0))&gt;=100000), " ",IF(INDEX($AB$2:$AQ$1001,MATCH(ROWS($U$2:U626),$U$2:$U$1001,0),MATCH(COLUMNS($AB$1006:AG1006),$AB$1006:$AQ$1006,0)), HYPERLINK("#",""), HYPERLINK(CONCATENATE("#metadata!", ADDRESS(INDEX($W$2:$W$1001,MATCH(ROWS($U$2:U626),$U$2:$U$1001,0),0), INDEX($AB$1004:$AQ$1004,1,MATCH(COLUMNS($AB$1006:AG1006),$AB$1006:$AQ$1006,0)))),"Fix")))</f>
        <v>0</v>
      </c>
      <c r="H626" s="4">
        <f>IF(OR(INDEX($V$2:$V$1001,MATCH(ROWS($U$2:U626),$U$2:$U$1001,0),1)&gt;=100000,INDEX($AB$1005:$AQ$1005,1,MATCH(COLUMNS($AB$1006:AH1006),$AB$1006:$AQ$1006,0))&gt;=100000), " ",IF(INDEX($AB$2:$AQ$1001,MATCH(ROWS($U$2:U626),$U$2:$U$1001,0),MATCH(COLUMNS($AB$1006:AH1006),$AB$1006:$AQ$1006,0)), HYPERLINK("#",""), HYPERLINK(CONCATENATE("#metadata!", ADDRESS(INDEX($W$2:$W$1001,MATCH(ROWS($U$2:U626),$U$2:$U$1001,0),0), INDEX($AB$1004:$AQ$1004,1,MATCH(COLUMNS($AB$1006:AH1006),$AB$1006:$AQ$1006,0)))),"Fix")))</f>
        <v>0</v>
      </c>
      <c r="I626" s="4">
        <f>IF(OR(INDEX($V$2:$V$1001,MATCH(ROWS($U$2:U626),$U$2:$U$1001,0),1)&gt;=100000,INDEX($AB$1005:$AQ$1005,1,MATCH(COLUMNS($AB$1006:AI1006),$AB$1006:$AQ$1006,0))&gt;=100000), " ",IF(INDEX($AB$2:$AQ$1001,MATCH(ROWS($U$2:U626),$U$2:$U$1001,0),MATCH(COLUMNS($AB$1006:AI1006),$AB$1006:$AQ$1006,0)), HYPERLINK("#",""), HYPERLINK(CONCATENATE("#metadata!", ADDRESS(INDEX($W$2:$W$1001,MATCH(ROWS($U$2:U626),$U$2:$U$1001,0),0), INDEX($AB$1004:$AQ$1004,1,MATCH(COLUMNS($AB$1006:AI1006),$AB$1006:$AQ$1006,0)))),"Fix")))</f>
        <v>0</v>
      </c>
      <c r="J626" s="4">
        <f>IF(OR(INDEX($V$2:$V$1001,MATCH(ROWS($U$2:U626),$U$2:$U$1001,0),1)&gt;=100000,INDEX($AB$1005:$AQ$1005,1,MATCH(COLUMNS($AB$1006:AJ1006),$AB$1006:$AQ$1006,0))&gt;=100000), " ",IF(INDEX($AB$2:$AQ$1001,MATCH(ROWS($U$2:U626),$U$2:$U$1001,0),MATCH(COLUMNS($AB$1006:AJ1006),$AB$1006:$AQ$1006,0)), HYPERLINK("#",""), HYPERLINK(CONCATENATE("#metadata!", ADDRESS(INDEX($W$2:$W$1001,MATCH(ROWS($U$2:U626),$U$2:$U$1001,0),0), INDEX($AB$1004:$AQ$1004,1,MATCH(COLUMNS($AB$1006:AJ1006),$AB$1006:$AQ$1006,0)))),"Fix")))</f>
        <v>0</v>
      </c>
      <c r="K626" s="4">
        <f>IF(OR(INDEX($V$2:$V$1001,MATCH(ROWS($U$2:U626),$U$2:$U$1001,0),1)&gt;=100000,INDEX($AB$1005:$AQ$1005,1,MATCH(COLUMNS($AB$1006:AK1006),$AB$1006:$AQ$1006,0))&gt;=100000), " ",IF(INDEX($AB$2:$AQ$1001,MATCH(ROWS($U$2:U626),$U$2:$U$1001,0),MATCH(COLUMNS($AB$1006:AK1006),$AB$1006:$AQ$1006,0)), HYPERLINK("#",""), HYPERLINK(CONCATENATE("#metadata!", ADDRESS(INDEX($W$2:$W$1001,MATCH(ROWS($U$2:U626),$U$2:$U$1001,0),0), INDEX($AB$1004:$AQ$1004,1,MATCH(COLUMNS($AB$1006:AK1006),$AB$1006:$AQ$1006,0)))),"Fix")))</f>
        <v>0</v>
      </c>
      <c r="L626" s="4">
        <f>IF(OR(INDEX($V$2:$V$1001,MATCH(ROWS($U$2:U626),$U$2:$U$1001,0),1)&gt;=100000,INDEX($AB$1005:$AQ$1005,1,MATCH(COLUMNS($AB$1006:AL1006),$AB$1006:$AQ$1006,0))&gt;=100000), " ",IF(INDEX($AB$2:$AQ$1001,MATCH(ROWS($U$2:U626),$U$2:$U$1001,0),MATCH(COLUMNS($AB$1006:AL1006),$AB$1006:$AQ$1006,0)), HYPERLINK("#",""), HYPERLINK(CONCATENATE("#metadata!", ADDRESS(INDEX($W$2:$W$1001,MATCH(ROWS($U$2:U626),$U$2:$U$1001,0),0), INDEX($AB$1004:$AQ$1004,1,MATCH(COLUMNS($AB$1006:AL1006),$AB$1006:$AQ$1006,0)))),"Fix")))</f>
        <v>0</v>
      </c>
      <c r="M626" s="4">
        <f>IF(OR(INDEX($V$2:$V$1001,MATCH(ROWS($U$2:U626),$U$2:$U$1001,0),1)&gt;=100000,INDEX($AB$1005:$AQ$1005,1,MATCH(COLUMNS($AB$1006:AM1006),$AB$1006:$AQ$1006,0))&gt;=100000), " ",IF(INDEX($AB$2:$AQ$1001,MATCH(ROWS($U$2:U626),$U$2:$U$1001,0),MATCH(COLUMNS($AB$1006:AM1006),$AB$1006:$AQ$1006,0)), HYPERLINK("#",""), HYPERLINK(CONCATENATE("#metadata!", ADDRESS(INDEX($W$2:$W$1001,MATCH(ROWS($U$2:U626),$U$2:$U$1001,0),0), INDEX($AB$1004:$AQ$1004,1,MATCH(COLUMNS($AB$1006:AM1006),$AB$1006:$AQ$1006,0)))),"Fix")))</f>
        <v>0</v>
      </c>
      <c r="N626" s="4">
        <f>IF(OR(INDEX($V$2:$V$1001,MATCH(ROWS($U$2:U626),$U$2:$U$1001,0),1)&gt;=100000,INDEX($AB$1005:$AQ$1005,1,MATCH(COLUMNS($AB$1006:AN1006),$AB$1006:$AQ$1006,0))&gt;=100000), " ",IF(INDEX($AB$2:$AQ$1001,MATCH(ROWS($U$2:U626),$U$2:$U$1001,0),MATCH(COLUMNS($AB$1006:AN1006),$AB$1006:$AQ$1006,0)), HYPERLINK("#",""), HYPERLINK(CONCATENATE("#metadata!", ADDRESS(INDEX($W$2:$W$1001,MATCH(ROWS($U$2:U626),$U$2:$U$1001,0),0), INDEX($AB$1004:$AQ$1004,1,MATCH(COLUMNS($AB$1006:AN1006),$AB$1006:$AQ$1006,0)))),"Fix")))</f>
        <v>0</v>
      </c>
      <c r="O626" s="4">
        <f>IF(OR(INDEX($V$2:$V$1001,MATCH(ROWS($U$2:U626),$U$2:$U$1001,0),1)&gt;=100000,INDEX($AB$1005:$AQ$1005,1,MATCH(COLUMNS($AB$1006:AO1006),$AB$1006:$AQ$1006,0))&gt;=100000), " ",IF(INDEX($AB$2:$AQ$1001,MATCH(ROWS($U$2:U626),$U$2:$U$1001,0),MATCH(COLUMNS($AB$1006:AO1006),$AB$1006:$AQ$1006,0)), HYPERLINK("#",""), HYPERLINK(CONCATENATE("#metadata!", ADDRESS(INDEX($W$2:$W$1001,MATCH(ROWS($U$2:U626),$U$2:$U$1001,0),0), INDEX($AB$1004:$AQ$1004,1,MATCH(COLUMNS($AB$1006:AO1006),$AB$1006:$AQ$1006,0)))),"Fix")))</f>
        <v>0</v>
      </c>
      <c r="P626" s="4">
        <f>IF(OR(INDEX($V$2:$V$1001,MATCH(ROWS($U$2:U626),$U$2:$U$1001,0),1)&gt;=100000,INDEX($AB$1005:$AQ$1005,1,MATCH(COLUMNS($AB$1006:AP1006),$AB$1006:$AQ$1006,0))&gt;=100000), " ",IF(INDEX($AB$2:$AQ$1001,MATCH(ROWS($U$2:U626),$U$2:$U$1001,0),MATCH(COLUMNS($AB$1006:AP1006),$AB$1006:$AQ$1006,0)), HYPERLINK("#",""), HYPERLINK(CONCATENATE("#metadata!", ADDRESS(INDEX($W$2:$W$1001,MATCH(ROWS($U$2:U626),$U$2:$U$1001,0),0), INDEX($AB$1004:$AQ$1004,1,MATCH(COLUMNS($AB$1006:AP1006),$AB$1006:$AQ$1006,0)))),"Fix")))</f>
        <v>0</v>
      </c>
      <c r="Q626" s="4">
        <f>IF(OR(INDEX($V$2:$V$1001,MATCH(ROWS($U$2:U626),$U$2:$U$1001,0),1)&gt;=100000,INDEX($AB$1005:$AQ$1005,1,MATCH(COLUMNS($AB$1006:AQ1006),$AB$1006:$AQ$1006,0))&gt;=100000), " ",IF(INDEX($AB$2:$AQ$1001,MATCH(ROWS($U$2:U626),$U$2:$U$1001,0),MATCH(COLUMNS($AB$1006:AQ1006),$AB$1006:$AQ$1006,0)), HYPERLINK("#",""), HYPERLINK(CONCATENATE("#metadata!", ADDRESS(INDEX($W$2:$W$1001,MATCH(ROWS($U$2:U626),$U$2:$U$1001,0),0), INDEX($AB$1004:$AQ$1004,1,MATCH(COLUMNS($AB$1006:AQ1006),$AB$1006:$AQ$1006,0)))),"Fix")))</f>
        <v>0</v>
      </c>
      <c r="U626">
        <v>0</v>
      </c>
      <c r="V626">
        <v>0</v>
      </c>
      <c r="W626">
        <v>0</v>
      </c>
      <c r="X626">
        <f>IF(Y626,TRUE,AND(AB626:AQ626))</f>
        <v>0</v>
      </c>
      <c r="Y626">
        <f>COUNTBLANK(metadata!B626:Q626)=COLUMNS(metadata!B626:Q626)</f>
        <v>0</v>
      </c>
      <c r="Z626">
        <v>0</v>
      </c>
      <c r="AB626">
        <f>AND(IF(metadata!B626="",FALSE,TRUE),COUNTIF(metadata!B:B, metadata!B626) = 1,NOT(ISERROR(SUMPRODUCT(SEARCH(MID(metadata!B626,ROW(INDIRECT("1:"&amp;LEN(metadata!B626))), 1),"0123456789abcdefghijklmnopqrstuvwxyzABCDEFGHIJKLMNOPQRSTUVWXYZ.")))))</f>
        <v>0</v>
      </c>
      <c r="AC626">
        <f>OR(AND(IF(metadata!C626="",FALSE,TRUE),OR(exact(metadata!C626,"missing: not collected"),exact(metadata!C626,"missing: not provided"),exact(metadata!C626,"missing: restricted access"))),AND(IF(metadata!C626="",FALSE,TRUE),AND(AND(IFERROR(INT(LEFT(metadata!C626,4))&gt;1900,FALSE),IFERROR(INT(LEFT(metadata!C626,4))&lt;=YEAR(NOW()),FALSE)), OR(MID(metadata!C626,5,1)="", AND(AND(MID(metadata!C626,5,1)="-",IFERROR(INT(MID(metadata!C626,6,1))&gt;=0,FALSE),IFERROR(INT(MID(metadata!C626,6,1))&lt;=1,FALSE),NOT(MID(metadata!C626,7,1)=""),IFERROR(INT(MID(metadata!C626,6,2))&gt;=1,FALSE),IFERROR(INT(MID(metadata!C626,6,2))&lt;=12,FALSE)), OR(MID(metadata!C626,8,1)="", AND(AND(MID(metadata!C626,8,1)="-",IFERROR(INT(MID(metadata!C626,9,1))&gt;=0,FALSE),IFERROR(INT(MID(metadata!C626,9,1))&lt;=3,FALSE),NOT(MID(metadata!C626,10,1)=""),IFERROR(INT(MID(metadata!C626,9,2))&gt;=1,FALSE),IFERROR(INT(MID(metadata!C626,9,2))&lt;=31,FALSE)), OR(MID(metadata!C626,11,1)="", AND(AND(MID(metadata!C626,11,1)=" ",IFERROR(INT(MID(metadata!C626,12,1))&gt;=0,FALSE),IFERROR(INT(MID(metadata!C626,12,1))&lt;=2,FALSE),NOT(MID(metadata!C626,13,1)=""),IFERROR(INT(MID(metadata!C626,12,2))&gt;=0,FALSE),IFERROR(INT(MID(metadata!C626,12,2))&lt;=23,FALSE)), OR(MID(metadata!C626,14,1)="", AND(AND(MID(metadata!C626,14,1)=":",IFERROR(INT(MID(metadata!C626,15,1))&gt;=0,FALSE),IFERROR(INT(MID(metadata!C626,15,1))&lt;=5,FALSE),NOT(MID(metadata!C626,16,1)=""),IFERROR(INT(MID(metadata!C626,15,2))&gt;=0,FALSE),IFERROR(INT(MID(metadata!C626,15,2))&lt;=59,FALSE)), OR(MID(metadata!C626,17,1)="", AND(AND(MID(metadata!C626,17,1)=":",IFERROR(INT(MID(metadata!C626,18,1))&gt;=0,FALSE),IFERROR(INT(MID(metadata!C626,18,1))&lt;=5,FALSE),NOT(MID(metadata!C626,19,1)=""),IFERROR(INT(MID(metadata!C626,18,2))&gt;=0,FALSE),IFERROR(INT(MID(metadata!C626,18,2))&lt;=59,FALSE)), LEN(metadata!C626)&lt;=19)))))))))))))</f>
        <v>0</v>
      </c>
      <c r="AD626">
        <f>IF(metadata!D626="",FALSE,TRUE)</f>
        <v>0</v>
      </c>
      <c r="AE626">
        <f>OR(AND(IF(metadata!E626="",FALSE,TRUE),OR(exact(metadata!E626,"missing: not collected"),exact(metadata!E626,"missing: not provided"))),AND(IF(metadata!E626="",FALSE,TRUE),OR(exact(metadata!E626,"TRUE"),exact(metadata!E626,"FALSE"))))</f>
        <v>0</v>
      </c>
      <c r="AF626">
        <f>IF(metadata!F626="",FALSE,TRUE)</f>
        <v>0</v>
      </c>
      <c r="AG626">
        <f>IF(metadata!G626="",FALSE,TRUE)</f>
        <v>0</v>
      </c>
      <c r="AH626">
        <f>IF(metadata!H626="",FALSE,TRUE)</f>
        <v>0</v>
      </c>
      <c r="AI626">
        <f>OR(AND(IF(metadata!I626="",FALSE,TRUE),OR(exact(metadata!I626,"missing: not collected"),exact(metadata!I626,"missing: not provided"),exact(metadata!I626,"missing: restricted access"))),AND(IF(metadata!I626="",FALSE,TRUE),OR(exact(metadata!I626,"air"),exact(metadata!I626,"built environment"),exact(metadata!I626,"host-associated"),exact(metadata!I626,"human-associated"),exact(metadata!I626,"human-skin"),exact(metadata!I626,"human-oral"),exact(metadata!I626,"human-gut"),exact(metadata!I626,"human-vaginal"),exact(metadata!I626,"microbial mat/biofilm"),exact(metadata!I626,"misc environment"),exact(metadata!I626,"plant-associated"),exact(metadata!I626,"sediment"),exact(metadata!I626,"soil"),exact(metadata!I626,"wastewater/sludge"),exact(metadata!I626,"water"))))</f>
        <v>0</v>
      </c>
      <c r="AJ626">
        <f>IF(metadata!J626="",FALSE,TRUE)</f>
        <v>0</v>
      </c>
      <c r="AK626">
        <f>OR(AND(IF(metadata!K626="",FALSE,TRUE),OR(exact(metadata!K626,"missing: not collected"),exact(metadata!K626,"missing: not provided"),exact(metadata!K626,"missing: restricted access"))),AND(IF(metadata!K626="",FALSE,ISNUMBER(VALUE(metadata!K626))),metadata!K626&gt;=-90.00,metadata!K626&lt;=90.00))</f>
        <v>0</v>
      </c>
      <c r="AL626">
        <f>OR(AND(IF(metadata!L626="",FALSE,TRUE),OR(exact(metadata!L626,"missing: not collected"),exact(metadata!L626,"missing: not provided"),exact(metadata!L626,"missing: restricted access"))),AND(IF(metadata!L626="",FALSE,ISNUMBER(VALUE(metadata!L626))),metadata!L626&gt;=-180.00,metadata!L626&lt;=180.00))</f>
        <v>0</v>
      </c>
      <c r="AM626">
        <f>IF(metadata!M626="",FALSE,TRUE)</f>
        <v>0</v>
      </c>
      <c r="AN626">
        <f>OR(AND(IF(metadata!N626="",FALSE,TRUE),OR(exact(metadata!N626,"missing: not collected"),exact(metadata!N626,"missing: not provided"),exact(metadata!N626,"missing: restricted access"))),AND(IF(metadata!N626="",FALSE,TRUE),OR(exact(metadata!N626,"TRUE"),exact(metadata!N626,"FALSE"))))</f>
        <v>0</v>
      </c>
      <c r="AO626">
        <f>IF(metadata!O626="",FALSE,TRUE)</f>
        <v>0</v>
      </c>
      <c r="AP626">
        <f>OR(AND(IF(metadata!P626="",FALSE,TRUE),OR(exact(metadata!P626,"missing: not collected"),exact(metadata!P626,"missing: not provided"))),AND(IF(metadata!P626="",FALSE,IF(ISERROR(INT(metadata!P626)),FALSE,INT(metadata!P626)=metadata!P626)),metadata!P626&gt;0))</f>
        <v>0</v>
      </c>
      <c r="AQ626">
        <f>IF(metadata!Q626="",FALSE,TRUE)</f>
        <v>0</v>
      </c>
    </row>
    <row r="627" spans="1:43">
      <c r="A627" s="5">
        <f>IF(B627=" "," ",HYPERLINK(CONCATENATE("#metadata!",ADDRESS(INDEX($W$2:$W$1001,MATCH(ROWS($U$2:U627),$U$2:$U$1001,0),0),1)),INDEX($Z$2:$Z$1001,MATCH(ROWS($U$2:U627),$U$2:$U$1001,0),0)))</f>
        <v>0</v>
      </c>
      <c r="B627" s="4">
        <f>IF(OR(INDEX($V$2:$V$1001,MATCH(ROWS($U$2:U627),$U$2:$U$1001,0),1)&gt;=100000,INDEX($AB$1005:$AQ$1005,1,MATCH(COLUMNS($AB$1006:AB1006),$AB$1006:$AQ$1006,0))&gt;=100000), " ",IF(INDEX($AB$2:$AQ$1001,MATCH(ROWS($U$2:U627),$U$2:$U$1001,0),MATCH(COLUMNS($AB$1006:AB1006),$AB$1006:$AQ$1006,0)), HYPERLINK("#",""), HYPERLINK(CONCATENATE("#metadata!", ADDRESS(INDEX($W$2:$W$1001,MATCH(ROWS($U$2:U627),$U$2:$U$1001,0),0), INDEX($AB$1004:$AQ$1004,1,MATCH(COLUMNS($AB$1006:AB1006),$AB$1006:$AQ$1006,0)))),"Fix")))</f>
        <v>0</v>
      </c>
      <c r="C627" s="4">
        <f>IF(OR(INDEX($V$2:$V$1001,MATCH(ROWS($U$2:U627),$U$2:$U$1001,0),1)&gt;=100000,INDEX($AB$1005:$AQ$1005,1,MATCH(COLUMNS($AB$1006:AC1006),$AB$1006:$AQ$1006,0))&gt;=100000), " ",IF(INDEX($AB$2:$AQ$1001,MATCH(ROWS($U$2:U627),$U$2:$U$1001,0),MATCH(COLUMNS($AB$1006:AC1006),$AB$1006:$AQ$1006,0)), HYPERLINK("#",""), HYPERLINK(CONCATENATE("#metadata!", ADDRESS(INDEX($W$2:$W$1001,MATCH(ROWS($U$2:U627),$U$2:$U$1001,0),0), INDEX($AB$1004:$AQ$1004,1,MATCH(COLUMNS($AB$1006:AC1006),$AB$1006:$AQ$1006,0)))),"Fix")))</f>
        <v>0</v>
      </c>
      <c r="D627" s="4">
        <f>IF(OR(INDEX($V$2:$V$1001,MATCH(ROWS($U$2:U627),$U$2:$U$1001,0),1)&gt;=100000,INDEX($AB$1005:$AQ$1005,1,MATCH(COLUMNS($AB$1006:AD1006),$AB$1006:$AQ$1006,0))&gt;=100000), " ",IF(INDEX($AB$2:$AQ$1001,MATCH(ROWS($U$2:U627),$U$2:$U$1001,0),MATCH(COLUMNS($AB$1006:AD1006),$AB$1006:$AQ$1006,0)), HYPERLINK("#",""), HYPERLINK(CONCATENATE("#metadata!", ADDRESS(INDEX($W$2:$W$1001,MATCH(ROWS($U$2:U627),$U$2:$U$1001,0),0), INDEX($AB$1004:$AQ$1004,1,MATCH(COLUMNS($AB$1006:AD1006),$AB$1006:$AQ$1006,0)))),"Fix")))</f>
        <v>0</v>
      </c>
      <c r="E627" s="4">
        <f>IF(OR(INDEX($V$2:$V$1001,MATCH(ROWS($U$2:U627),$U$2:$U$1001,0),1)&gt;=100000,INDEX($AB$1005:$AQ$1005,1,MATCH(COLUMNS($AB$1006:AE1006),$AB$1006:$AQ$1006,0))&gt;=100000), " ",IF(INDEX($AB$2:$AQ$1001,MATCH(ROWS($U$2:U627),$U$2:$U$1001,0),MATCH(COLUMNS($AB$1006:AE1006),$AB$1006:$AQ$1006,0)), HYPERLINK("#",""), HYPERLINK(CONCATENATE("#metadata!", ADDRESS(INDEX($W$2:$W$1001,MATCH(ROWS($U$2:U627),$U$2:$U$1001,0),0), INDEX($AB$1004:$AQ$1004,1,MATCH(COLUMNS($AB$1006:AE1006),$AB$1006:$AQ$1006,0)))),"Fix")))</f>
        <v>0</v>
      </c>
      <c r="F627" s="4">
        <f>IF(OR(INDEX($V$2:$V$1001,MATCH(ROWS($U$2:U627),$U$2:$U$1001,0),1)&gt;=100000,INDEX($AB$1005:$AQ$1005,1,MATCH(COLUMNS($AB$1006:AF1006),$AB$1006:$AQ$1006,0))&gt;=100000), " ",IF(INDEX($AB$2:$AQ$1001,MATCH(ROWS($U$2:U627),$U$2:$U$1001,0),MATCH(COLUMNS($AB$1006:AF1006),$AB$1006:$AQ$1006,0)), HYPERLINK("#",""), HYPERLINK(CONCATENATE("#metadata!", ADDRESS(INDEX($W$2:$W$1001,MATCH(ROWS($U$2:U627),$U$2:$U$1001,0),0), INDEX($AB$1004:$AQ$1004,1,MATCH(COLUMNS($AB$1006:AF1006),$AB$1006:$AQ$1006,0)))),"Fix")))</f>
        <v>0</v>
      </c>
      <c r="G627" s="4">
        <f>IF(OR(INDEX($V$2:$V$1001,MATCH(ROWS($U$2:U627),$U$2:$U$1001,0),1)&gt;=100000,INDEX($AB$1005:$AQ$1005,1,MATCH(COLUMNS($AB$1006:AG1006),$AB$1006:$AQ$1006,0))&gt;=100000), " ",IF(INDEX($AB$2:$AQ$1001,MATCH(ROWS($U$2:U627),$U$2:$U$1001,0),MATCH(COLUMNS($AB$1006:AG1006),$AB$1006:$AQ$1006,0)), HYPERLINK("#",""), HYPERLINK(CONCATENATE("#metadata!", ADDRESS(INDEX($W$2:$W$1001,MATCH(ROWS($U$2:U627),$U$2:$U$1001,0),0), INDEX($AB$1004:$AQ$1004,1,MATCH(COLUMNS($AB$1006:AG1006),$AB$1006:$AQ$1006,0)))),"Fix")))</f>
        <v>0</v>
      </c>
      <c r="H627" s="4">
        <f>IF(OR(INDEX($V$2:$V$1001,MATCH(ROWS($U$2:U627),$U$2:$U$1001,0),1)&gt;=100000,INDEX($AB$1005:$AQ$1005,1,MATCH(COLUMNS($AB$1006:AH1006),$AB$1006:$AQ$1006,0))&gt;=100000), " ",IF(INDEX($AB$2:$AQ$1001,MATCH(ROWS($U$2:U627),$U$2:$U$1001,0),MATCH(COLUMNS($AB$1006:AH1006),$AB$1006:$AQ$1006,0)), HYPERLINK("#",""), HYPERLINK(CONCATENATE("#metadata!", ADDRESS(INDEX($W$2:$W$1001,MATCH(ROWS($U$2:U627),$U$2:$U$1001,0),0), INDEX($AB$1004:$AQ$1004,1,MATCH(COLUMNS($AB$1006:AH1006),$AB$1006:$AQ$1006,0)))),"Fix")))</f>
        <v>0</v>
      </c>
      <c r="I627" s="4">
        <f>IF(OR(INDEX($V$2:$V$1001,MATCH(ROWS($U$2:U627),$U$2:$U$1001,0),1)&gt;=100000,INDEX($AB$1005:$AQ$1005,1,MATCH(COLUMNS($AB$1006:AI1006),$AB$1006:$AQ$1006,0))&gt;=100000), " ",IF(INDEX($AB$2:$AQ$1001,MATCH(ROWS($U$2:U627),$U$2:$U$1001,0),MATCH(COLUMNS($AB$1006:AI1006),$AB$1006:$AQ$1006,0)), HYPERLINK("#",""), HYPERLINK(CONCATENATE("#metadata!", ADDRESS(INDEX($W$2:$W$1001,MATCH(ROWS($U$2:U627),$U$2:$U$1001,0),0), INDEX($AB$1004:$AQ$1004,1,MATCH(COLUMNS($AB$1006:AI1006),$AB$1006:$AQ$1006,0)))),"Fix")))</f>
        <v>0</v>
      </c>
      <c r="J627" s="4">
        <f>IF(OR(INDEX($V$2:$V$1001,MATCH(ROWS($U$2:U627),$U$2:$U$1001,0),1)&gt;=100000,INDEX($AB$1005:$AQ$1005,1,MATCH(COLUMNS($AB$1006:AJ1006),$AB$1006:$AQ$1006,0))&gt;=100000), " ",IF(INDEX($AB$2:$AQ$1001,MATCH(ROWS($U$2:U627),$U$2:$U$1001,0),MATCH(COLUMNS($AB$1006:AJ1006),$AB$1006:$AQ$1006,0)), HYPERLINK("#",""), HYPERLINK(CONCATENATE("#metadata!", ADDRESS(INDEX($W$2:$W$1001,MATCH(ROWS($U$2:U627),$U$2:$U$1001,0),0), INDEX($AB$1004:$AQ$1004,1,MATCH(COLUMNS($AB$1006:AJ1006),$AB$1006:$AQ$1006,0)))),"Fix")))</f>
        <v>0</v>
      </c>
      <c r="K627" s="4">
        <f>IF(OR(INDEX($V$2:$V$1001,MATCH(ROWS($U$2:U627),$U$2:$U$1001,0),1)&gt;=100000,INDEX($AB$1005:$AQ$1005,1,MATCH(COLUMNS($AB$1006:AK1006),$AB$1006:$AQ$1006,0))&gt;=100000), " ",IF(INDEX($AB$2:$AQ$1001,MATCH(ROWS($U$2:U627),$U$2:$U$1001,0),MATCH(COLUMNS($AB$1006:AK1006),$AB$1006:$AQ$1006,0)), HYPERLINK("#",""), HYPERLINK(CONCATENATE("#metadata!", ADDRESS(INDEX($W$2:$W$1001,MATCH(ROWS($U$2:U627),$U$2:$U$1001,0),0), INDEX($AB$1004:$AQ$1004,1,MATCH(COLUMNS($AB$1006:AK1006),$AB$1006:$AQ$1006,0)))),"Fix")))</f>
        <v>0</v>
      </c>
      <c r="L627" s="4">
        <f>IF(OR(INDEX($V$2:$V$1001,MATCH(ROWS($U$2:U627),$U$2:$U$1001,0),1)&gt;=100000,INDEX($AB$1005:$AQ$1005,1,MATCH(COLUMNS($AB$1006:AL1006),$AB$1006:$AQ$1006,0))&gt;=100000), " ",IF(INDEX($AB$2:$AQ$1001,MATCH(ROWS($U$2:U627),$U$2:$U$1001,0),MATCH(COLUMNS($AB$1006:AL1006),$AB$1006:$AQ$1006,0)), HYPERLINK("#",""), HYPERLINK(CONCATENATE("#metadata!", ADDRESS(INDEX($W$2:$W$1001,MATCH(ROWS($U$2:U627),$U$2:$U$1001,0),0), INDEX($AB$1004:$AQ$1004,1,MATCH(COLUMNS($AB$1006:AL1006),$AB$1006:$AQ$1006,0)))),"Fix")))</f>
        <v>0</v>
      </c>
      <c r="M627" s="4">
        <f>IF(OR(INDEX($V$2:$V$1001,MATCH(ROWS($U$2:U627),$U$2:$U$1001,0),1)&gt;=100000,INDEX($AB$1005:$AQ$1005,1,MATCH(COLUMNS($AB$1006:AM1006),$AB$1006:$AQ$1006,0))&gt;=100000), " ",IF(INDEX($AB$2:$AQ$1001,MATCH(ROWS($U$2:U627),$U$2:$U$1001,0),MATCH(COLUMNS($AB$1006:AM1006),$AB$1006:$AQ$1006,0)), HYPERLINK("#",""), HYPERLINK(CONCATENATE("#metadata!", ADDRESS(INDEX($W$2:$W$1001,MATCH(ROWS($U$2:U627),$U$2:$U$1001,0),0), INDEX($AB$1004:$AQ$1004,1,MATCH(COLUMNS($AB$1006:AM1006),$AB$1006:$AQ$1006,0)))),"Fix")))</f>
        <v>0</v>
      </c>
      <c r="N627" s="4">
        <f>IF(OR(INDEX($V$2:$V$1001,MATCH(ROWS($U$2:U627),$U$2:$U$1001,0),1)&gt;=100000,INDEX($AB$1005:$AQ$1005,1,MATCH(COLUMNS($AB$1006:AN1006),$AB$1006:$AQ$1006,0))&gt;=100000), " ",IF(INDEX($AB$2:$AQ$1001,MATCH(ROWS($U$2:U627),$U$2:$U$1001,0),MATCH(COLUMNS($AB$1006:AN1006),$AB$1006:$AQ$1006,0)), HYPERLINK("#",""), HYPERLINK(CONCATENATE("#metadata!", ADDRESS(INDEX($W$2:$W$1001,MATCH(ROWS($U$2:U627),$U$2:$U$1001,0),0), INDEX($AB$1004:$AQ$1004,1,MATCH(COLUMNS($AB$1006:AN1006),$AB$1006:$AQ$1006,0)))),"Fix")))</f>
        <v>0</v>
      </c>
      <c r="O627" s="4">
        <f>IF(OR(INDEX($V$2:$V$1001,MATCH(ROWS($U$2:U627),$U$2:$U$1001,0),1)&gt;=100000,INDEX($AB$1005:$AQ$1005,1,MATCH(COLUMNS($AB$1006:AO1006),$AB$1006:$AQ$1006,0))&gt;=100000), " ",IF(INDEX($AB$2:$AQ$1001,MATCH(ROWS($U$2:U627),$U$2:$U$1001,0),MATCH(COLUMNS($AB$1006:AO1006),$AB$1006:$AQ$1006,0)), HYPERLINK("#",""), HYPERLINK(CONCATENATE("#metadata!", ADDRESS(INDEX($W$2:$W$1001,MATCH(ROWS($U$2:U627),$U$2:$U$1001,0),0), INDEX($AB$1004:$AQ$1004,1,MATCH(COLUMNS($AB$1006:AO1006),$AB$1006:$AQ$1006,0)))),"Fix")))</f>
        <v>0</v>
      </c>
      <c r="P627" s="4">
        <f>IF(OR(INDEX($V$2:$V$1001,MATCH(ROWS($U$2:U627),$U$2:$U$1001,0),1)&gt;=100000,INDEX($AB$1005:$AQ$1005,1,MATCH(COLUMNS($AB$1006:AP1006),$AB$1006:$AQ$1006,0))&gt;=100000), " ",IF(INDEX($AB$2:$AQ$1001,MATCH(ROWS($U$2:U627),$U$2:$U$1001,0),MATCH(COLUMNS($AB$1006:AP1006),$AB$1006:$AQ$1006,0)), HYPERLINK("#",""), HYPERLINK(CONCATENATE("#metadata!", ADDRESS(INDEX($W$2:$W$1001,MATCH(ROWS($U$2:U627),$U$2:$U$1001,0),0), INDEX($AB$1004:$AQ$1004,1,MATCH(COLUMNS($AB$1006:AP1006),$AB$1006:$AQ$1006,0)))),"Fix")))</f>
        <v>0</v>
      </c>
      <c r="Q627" s="4">
        <f>IF(OR(INDEX($V$2:$V$1001,MATCH(ROWS($U$2:U627),$U$2:$U$1001,0),1)&gt;=100000,INDEX($AB$1005:$AQ$1005,1,MATCH(COLUMNS($AB$1006:AQ1006),$AB$1006:$AQ$1006,0))&gt;=100000), " ",IF(INDEX($AB$2:$AQ$1001,MATCH(ROWS($U$2:U627),$U$2:$U$1001,0),MATCH(COLUMNS($AB$1006:AQ1006),$AB$1006:$AQ$1006,0)), HYPERLINK("#",""), HYPERLINK(CONCATENATE("#metadata!", ADDRESS(INDEX($W$2:$W$1001,MATCH(ROWS($U$2:U627),$U$2:$U$1001,0),0), INDEX($AB$1004:$AQ$1004,1,MATCH(COLUMNS($AB$1006:AQ1006),$AB$1006:$AQ$1006,0)))),"Fix")))</f>
        <v>0</v>
      </c>
      <c r="U627">
        <v>0</v>
      </c>
      <c r="V627">
        <v>0</v>
      </c>
      <c r="W627">
        <v>0</v>
      </c>
      <c r="X627">
        <f>IF(Y627,TRUE,AND(AB627:AQ627))</f>
        <v>0</v>
      </c>
      <c r="Y627">
        <f>COUNTBLANK(metadata!B627:Q627)=COLUMNS(metadata!B627:Q627)</f>
        <v>0</v>
      </c>
      <c r="Z627">
        <v>0</v>
      </c>
      <c r="AB627">
        <f>AND(IF(metadata!B627="",FALSE,TRUE),COUNTIF(metadata!B:B, metadata!B627) = 1,NOT(ISERROR(SUMPRODUCT(SEARCH(MID(metadata!B627,ROW(INDIRECT("1:"&amp;LEN(metadata!B627))), 1),"0123456789abcdefghijklmnopqrstuvwxyzABCDEFGHIJKLMNOPQRSTUVWXYZ.")))))</f>
        <v>0</v>
      </c>
      <c r="AC627">
        <f>OR(AND(IF(metadata!C627="",FALSE,TRUE),OR(exact(metadata!C627,"missing: not collected"),exact(metadata!C627,"missing: not provided"),exact(metadata!C627,"missing: restricted access"))),AND(IF(metadata!C627="",FALSE,TRUE),AND(AND(IFERROR(INT(LEFT(metadata!C627,4))&gt;1900,FALSE),IFERROR(INT(LEFT(metadata!C627,4))&lt;=YEAR(NOW()),FALSE)), OR(MID(metadata!C627,5,1)="", AND(AND(MID(metadata!C627,5,1)="-",IFERROR(INT(MID(metadata!C627,6,1))&gt;=0,FALSE),IFERROR(INT(MID(metadata!C627,6,1))&lt;=1,FALSE),NOT(MID(metadata!C627,7,1)=""),IFERROR(INT(MID(metadata!C627,6,2))&gt;=1,FALSE),IFERROR(INT(MID(metadata!C627,6,2))&lt;=12,FALSE)), OR(MID(metadata!C627,8,1)="", AND(AND(MID(metadata!C627,8,1)="-",IFERROR(INT(MID(metadata!C627,9,1))&gt;=0,FALSE),IFERROR(INT(MID(metadata!C627,9,1))&lt;=3,FALSE),NOT(MID(metadata!C627,10,1)=""),IFERROR(INT(MID(metadata!C627,9,2))&gt;=1,FALSE),IFERROR(INT(MID(metadata!C627,9,2))&lt;=31,FALSE)), OR(MID(metadata!C627,11,1)="", AND(AND(MID(metadata!C627,11,1)=" ",IFERROR(INT(MID(metadata!C627,12,1))&gt;=0,FALSE),IFERROR(INT(MID(metadata!C627,12,1))&lt;=2,FALSE),NOT(MID(metadata!C627,13,1)=""),IFERROR(INT(MID(metadata!C627,12,2))&gt;=0,FALSE),IFERROR(INT(MID(metadata!C627,12,2))&lt;=23,FALSE)), OR(MID(metadata!C627,14,1)="", AND(AND(MID(metadata!C627,14,1)=":",IFERROR(INT(MID(metadata!C627,15,1))&gt;=0,FALSE),IFERROR(INT(MID(metadata!C627,15,1))&lt;=5,FALSE),NOT(MID(metadata!C627,16,1)=""),IFERROR(INT(MID(metadata!C627,15,2))&gt;=0,FALSE),IFERROR(INT(MID(metadata!C627,15,2))&lt;=59,FALSE)), OR(MID(metadata!C627,17,1)="", AND(AND(MID(metadata!C627,17,1)=":",IFERROR(INT(MID(metadata!C627,18,1))&gt;=0,FALSE),IFERROR(INT(MID(metadata!C627,18,1))&lt;=5,FALSE),NOT(MID(metadata!C627,19,1)=""),IFERROR(INT(MID(metadata!C627,18,2))&gt;=0,FALSE),IFERROR(INT(MID(metadata!C627,18,2))&lt;=59,FALSE)), LEN(metadata!C627)&lt;=19)))))))))))))</f>
        <v>0</v>
      </c>
      <c r="AD627">
        <f>IF(metadata!D627="",FALSE,TRUE)</f>
        <v>0</v>
      </c>
      <c r="AE627">
        <f>OR(AND(IF(metadata!E627="",FALSE,TRUE),OR(exact(metadata!E627,"missing: not collected"),exact(metadata!E627,"missing: not provided"))),AND(IF(metadata!E627="",FALSE,TRUE),OR(exact(metadata!E627,"TRUE"),exact(metadata!E627,"FALSE"))))</f>
        <v>0</v>
      </c>
      <c r="AF627">
        <f>IF(metadata!F627="",FALSE,TRUE)</f>
        <v>0</v>
      </c>
      <c r="AG627">
        <f>IF(metadata!G627="",FALSE,TRUE)</f>
        <v>0</v>
      </c>
      <c r="AH627">
        <f>IF(metadata!H627="",FALSE,TRUE)</f>
        <v>0</v>
      </c>
      <c r="AI627">
        <f>OR(AND(IF(metadata!I627="",FALSE,TRUE),OR(exact(metadata!I627,"missing: not collected"),exact(metadata!I627,"missing: not provided"),exact(metadata!I627,"missing: restricted access"))),AND(IF(metadata!I627="",FALSE,TRUE),OR(exact(metadata!I627,"air"),exact(metadata!I627,"built environment"),exact(metadata!I627,"host-associated"),exact(metadata!I627,"human-associated"),exact(metadata!I627,"human-skin"),exact(metadata!I627,"human-oral"),exact(metadata!I627,"human-gut"),exact(metadata!I627,"human-vaginal"),exact(metadata!I627,"microbial mat/biofilm"),exact(metadata!I627,"misc environment"),exact(metadata!I627,"plant-associated"),exact(metadata!I627,"sediment"),exact(metadata!I627,"soil"),exact(metadata!I627,"wastewater/sludge"),exact(metadata!I627,"water"))))</f>
        <v>0</v>
      </c>
      <c r="AJ627">
        <f>IF(metadata!J627="",FALSE,TRUE)</f>
        <v>0</v>
      </c>
      <c r="AK627">
        <f>OR(AND(IF(metadata!K627="",FALSE,TRUE),OR(exact(metadata!K627,"missing: not collected"),exact(metadata!K627,"missing: not provided"),exact(metadata!K627,"missing: restricted access"))),AND(IF(metadata!K627="",FALSE,ISNUMBER(VALUE(metadata!K627))),metadata!K627&gt;=-90.00,metadata!K627&lt;=90.00))</f>
        <v>0</v>
      </c>
      <c r="AL627">
        <f>OR(AND(IF(metadata!L627="",FALSE,TRUE),OR(exact(metadata!L627,"missing: not collected"),exact(metadata!L627,"missing: not provided"),exact(metadata!L627,"missing: restricted access"))),AND(IF(metadata!L627="",FALSE,ISNUMBER(VALUE(metadata!L627))),metadata!L627&gt;=-180.00,metadata!L627&lt;=180.00))</f>
        <v>0</v>
      </c>
      <c r="AM627">
        <f>IF(metadata!M627="",FALSE,TRUE)</f>
        <v>0</v>
      </c>
      <c r="AN627">
        <f>OR(AND(IF(metadata!N627="",FALSE,TRUE),OR(exact(metadata!N627,"missing: not collected"),exact(metadata!N627,"missing: not provided"),exact(metadata!N627,"missing: restricted access"))),AND(IF(metadata!N627="",FALSE,TRUE),OR(exact(metadata!N627,"TRUE"),exact(metadata!N627,"FALSE"))))</f>
        <v>0</v>
      </c>
      <c r="AO627">
        <f>IF(metadata!O627="",FALSE,TRUE)</f>
        <v>0</v>
      </c>
      <c r="AP627">
        <f>OR(AND(IF(metadata!P627="",FALSE,TRUE),OR(exact(metadata!P627,"missing: not collected"),exact(metadata!P627,"missing: not provided"))),AND(IF(metadata!P627="",FALSE,IF(ISERROR(INT(metadata!P627)),FALSE,INT(metadata!P627)=metadata!P627)),metadata!P627&gt;0))</f>
        <v>0</v>
      </c>
      <c r="AQ627">
        <f>IF(metadata!Q627="",FALSE,TRUE)</f>
        <v>0</v>
      </c>
    </row>
    <row r="628" spans="1:43">
      <c r="A628" s="5">
        <f>IF(B628=" "," ",HYPERLINK(CONCATENATE("#metadata!",ADDRESS(INDEX($W$2:$W$1001,MATCH(ROWS($U$2:U628),$U$2:$U$1001,0),0),1)),INDEX($Z$2:$Z$1001,MATCH(ROWS($U$2:U628),$U$2:$U$1001,0),0)))</f>
        <v>0</v>
      </c>
      <c r="B628" s="4">
        <f>IF(OR(INDEX($V$2:$V$1001,MATCH(ROWS($U$2:U628),$U$2:$U$1001,0),1)&gt;=100000,INDEX($AB$1005:$AQ$1005,1,MATCH(COLUMNS($AB$1006:AB1006),$AB$1006:$AQ$1006,0))&gt;=100000), " ",IF(INDEX($AB$2:$AQ$1001,MATCH(ROWS($U$2:U628),$U$2:$U$1001,0),MATCH(COLUMNS($AB$1006:AB1006),$AB$1006:$AQ$1006,0)), HYPERLINK("#",""), HYPERLINK(CONCATENATE("#metadata!", ADDRESS(INDEX($W$2:$W$1001,MATCH(ROWS($U$2:U628),$U$2:$U$1001,0),0), INDEX($AB$1004:$AQ$1004,1,MATCH(COLUMNS($AB$1006:AB1006),$AB$1006:$AQ$1006,0)))),"Fix")))</f>
        <v>0</v>
      </c>
      <c r="C628" s="4">
        <f>IF(OR(INDEX($V$2:$V$1001,MATCH(ROWS($U$2:U628),$U$2:$U$1001,0),1)&gt;=100000,INDEX($AB$1005:$AQ$1005,1,MATCH(COLUMNS($AB$1006:AC1006),$AB$1006:$AQ$1006,0))&gt;=100000), " ",IF(INDEX($AB$2:$AQ$1001,MATCH(ROWS($U$2:U628),$U$2:$U$1001,0),MATCH(COLUMNS($AB$1006:AC1006),$AB$1006:$AQ$1006,0)), HYPERLINK("#",""), HYPERLINK(CONCATENATE("#metadata!", ADDRESS(INDEX($W$2:$W$1001,MATCH(ROWS($U$2:U628),$U$2:$U$1001,0),0), INDEX($AB$1004:$AQ$1004,1,MATCH(COLUMNS($AB$1006:AC1006),$AB$1006:$AQ$1006,0)))),"Fix")))</f>
        <v>0</v>
      </c>
      <c r="D628" s="4">
        <f>IF(OR(INDEX($V$2:$V$1001,MATCH(ROWS($U$2:U628),$U$2:$U$1001,0),1)&gt;=100000,INDEX($AB$1005:$AQ$1005,1,MATCH(COLUMNS($AB$1006:AD1006),$AB$1006:$AQ$1006,0))&gt;=100000), " ",IF(INDEX($AB$2:$AQ$1001,MATCH(ROWS($U$2:U628),$U$2:$U$1001,0),MATCH(COLUMNS($AB$1006:AD1006),$AB$1006:$AQ$1006,0)), HYPERLINK("#",""), HYPERLINK(CONCATENATE("#metadata!", ADDRESS(INDEX($W$2:$W$1001,MATCH(ROWS($U$2:U628),$U$2:$U$1001,0),0), INDEX($AB$1004:$AQ$1004,1,MATCH(COLUMNS($AB$1006:AD1006),$AB$1006:$AQ$1006,0)))),"Fix")))</f>
        <v>0</v>
      </c>
      <c r="E628" s="4">
        <f>IF(OR(INDEX($V$2:$V$1001,MATCH(ROWS($U$2:U628),$U$2:$U$1001,0),1)&gt;=100000,INDEX($AB$1005:$AQ$1005,1,MATCH(COLUMNS($AB$1006:AE1006),$AB$1006:$AQ$1006,0))&gt;=100000), " ",IF(INDEX($AB$2:$AQ$1001,MATCH(ROWS($U$2:U628),$U$2:$U$1001,0),MATCH(COLUMNS($AB$1006:AE1006),$AB$1006:$AQ$1006,0)), HYPERLINK("#",""), HYPERLINK(CONCATENATE("#metadata!", ADDRESS(INDEX($W$2:$W$1001,MATCH(ROWS($U$2:U628),$U$2:$U$1001,0),0), INDEX($AB$1004:$AQ$1004,1,MATCH(COLUMNS($AB$1006:AE1006),$AB$1006:$AQ$1006,0)))),"Fix")))</f>
        <v>0</v>
      </c>
      <c r="F628" s="4">
        <f>IF(OR(INDEX($V$2:$V$1001,MATCH(ROWS($U$2:U628),$U$2:$U$1001,0),1)&gt;=100000,INDEX($AB$1005:$AQ$1005,1,MATCH(COLUMNS($AB$1006:AF1006),$AB$1006:$AQ$1006,0))&gt;=100000), " ",IF(INDEX($AB$2:$AQ$1001,MATCH(ROWS($U$2:U628),$U$2:$U$1001,0),MATCH(COLUMNS($AB$1006:AF1006),$AB$1006:$AQ$1006,0)), HYPERLINK("#",""), HYPERLINK(CONCATENATE("#metadata!", ADDRESS(INDEX($W$2:$W$1001,MATCH(ROWS($U$2:U628),$U$2:$U$1001,0),0), INDEX($AB$1004:$AQ$1004,1,MATCH(COLUMNS($AB$1006:AF1006),$AB$1006:$AQ$1006,0)))),"Fix")))</f>
        <v>0</v>
      </c>
      <c r="G628" s="4">
        <f>IF(OR(INDEX($V$2:$V$1001,MATCH(ROWS($U$2:U628),$U$2:$U$1001,0),1)&gt;=100000,INDEX($AB$1005:$AQ$1005,1,MATCH(COLUMNS($AB$1006:AG1006),$AB$1006:$AQ$1006,0))&gt;=100000), " ",IF(INDEX($AB$2:$AQ$1001,MATCH(ROWS($U$2:U628),$U$2:$U$1001,0),MATCH(COLUMNS($AB$1006:AG1006),$AB$1006:$AQ$1006,0)), HYPERLINK("#",""), HYPERLINK(CONCATENATE("#metadata!", ADDRESS(INDEX($W$2:$W$1001,MATCH(ROWS($U$2:U628),$U$2:$U$1001,0),0), INDEX($AB$1004:$AQ$1004,1,MATCH(COLUMNS($AB$1006:AG1006),$AB$1006:$AQ$1006,0)))),"Fix")))</f>
        <v>0</v>
      </c>
      <c r="H628" s="4">
        <f>IF(OR(INDEX($V$2:$V$1001,MATCH(ROWS($U$2:U628),$U$2:$U$1001,0),1)&gt;=100000,INDEX($AB$1005:$AQ$1005,1,MATCH(COLUMNS($AB$1006:AH1006),$AB$1006:$AQ$1006,0))&gt;=100000), " ",IF(INDEX($AB$2:$AQ$1001,MATCH(ROWS($U$2:U628),$U$2:$U$1001,0),MATCH(COLUMNS($AB$1006:AH1006),$AB$1006:$AQ$1006,0)), HYPERLINK("#",""), HYPERLINK(CONCATENATE("#metadata!", ADDRESS(INDEX($W$2:$W$1001,MATCH(ROWS($U$2:U628),$U$2:$U$1001,0),0), INDEX($AB$1004:$AQ$1004,1,MATCH(COLUMNS($AB$1006:AH1006),$AB$1006:$AQ$1006,0)))),"Fix")))</f>
        <v>0</v>
      </c>
      <c r="I628" s="4">
        <f>IF(OR(INDEX($V$2:$V$1001,MATCH(ROWS($U$2:U628),$U$2:$U$1001,0),1)&gt;=100000,INDEX($AB$1005:$AQ$1005,1,MATCH(COLUMNS($AB$1006:AI1006),$AB$1006:$AQ$1006,0))&gt;=100000), " ",IF(INDEX($AB$2:$AQ$1001,MATCH(ROWS($U$2:U628),$U$2:$U$1001,0),MATCH(COLUMNS($AB$1006:AI1006),$AB$1006:$AQ$1006,0)), HYPERLINK("#",""), HYPERLINK(CONCATENATE("#metadata!", ADDRESS(INDEX($W$2:$W$1001,MATCH(ROWS($U$2:U628),$U$2:$U$1001,0),0), INDEX($AB$1004:$AQ$1004,1,MATCH(COLUMNS($AB$1006:AI1006),$AB$1006:$AQ$1006,0)))),"Fix")))</f>
        <v>0</v>
      </c>
      <c r="J628" s="4">
        <f>IF(OR(INDEX($V$2:$V$1001,MATCH(ROWS($U$2:U628),$U$2:$U$1001,0),1)&gt;=100000,INDEX($AB$1005:$AQ$1005,1,MATCH(COLUMNS($AB$1006:AJ1006),$AB$1006:$AQ$1006,0))&gt;=100000), " ",IF(INDEX($AB$2:$AQ$1001,MATCH(ROWS($U$2:U628),$U$2:$U$1001,0),MATCH(COLUMNS($AB$1006:AJ1006),$AB$1006:$AQ$1006,0)), HYPERLINK("#",""), HYPERLINK(CONCATENATE("#metadata!", ADDRESS(INDEX($W$2:$W$1001,MATCH(ROWS($U$2:U628),$U$2:$U$1001,0),0), INDEX($AB$1004:$AQ$1004,1,MATCH(COLUMNS($AB$1006:AJ1006),$AB$1006:$AQ$1006,0)))),"Fix")))</f>
        <v>0</v>
      </c>
      <c r="K628" s="4">
        <f>IF(OR(INDEX($V$2:$V$1001,MATCH(ROWS($U$2:U628),$U$2:$U$1001,0),1)&gt;=100000,INDEX($AB$1005:$AQ$1005,1,MATCH(COLUMNS($AB$1006:AK1006),$AB$1006:$AQ$1006,0))&gt;=100000), " ",IF(INDEX($AB$2:$AQ$1001,MATCH(ROWS($U$2:U628),$U$2:$U$1001,0),MATCH(COLUMNS($AB$1006:AK1006),$AB$1006:$AQ$1006,0)), HYPERLINK("#",""), HYPERLINK(CONCATENATE("#metadata!", ADDRESS(INDEX($W$2:$W$1001,MATCH(ROWS($U$2:U628),$U$2:$U$1001,0),0), INDEX($AB$1004:$AQ$1004,1,MATCH(COLUMNS($AB$1006:AK1006),$AB$1006:$AQ$1006,0)))),"Fix")))</f>
        <v>0</v>
      </c>
      <c r="L628" s="4">
        <f>IF(OR(INDEX($V$2:$V$1001,MATCH(ROWS($U$2:U628),$U$2:$U$1001,0),1)&gt;=100000,INDEX($AB$1005:$AQ$1005,1,MATCH(COLUMNS($AB$1006:AL1006),$AB$1006:$AQ$1006,0))&gt;=100000), " ",IF(INDEX($AB$2:$AQ$1001,MATCH(ROWS($U$2:U628),$U$2:$U$1001,0),MATCH(COLUMNS($AB$1006:AL1006),$AB$1006:$AQ$1006,0)), HYPERLINK("#",""), HYPERLINK(CONCATENATE("#metadata!", ADDRESS(INDEX($W$2:$W$1001,MATCH(ROWS($U$2:U628),$U$2:$U$1001,0),0), INDEX($AB$1004:$AQ$1004,1,MATCH(COLUMNS($AB$1006:AL1006),$AB$1006:$AQ$1006,0)))),"Fix")))</f>
        <v>0</v>
      </c>
      <c r="M628" s="4">
        <f>IF(OR(INDEX($V$2:$V$1001,MATCH(ROWS($U$2:U628),$U$2:$U$1001,0),1)&gt;=100000,INDEX($AB$1005:$AQ$1005,1,MATCH(COLUMNS($AB$1006:AM1006),$AB$1006:$AQ$1006,0))&gt;=100000), " ",IF(INDEX($AB$2:$AQ$1001,MATCH(ROWS($U$2:U628),$U$2:$U$1001,0),MATCH(COLUMNS($AB$1006:AM1006),$AB$1006:$AQ$1006,0)), HYPERLINK("#",""), HYPERLINK(CONCATENATE("#metadata!", ADDRESS(INDEX($W$2:$W$1001,MATCH(ROWS($U$2:U628),$U$2:$U$1001,0),0), INDEX($AB$1004:$AQ$1004,1,MATCH(COLUMNS($AB$1006:AM1006),$AB$1006:$AQ$1006,0)))),"Fix")))</f>
        <v>0</v>
      </c>
      <c r="N628" s="4">
        <f>IF(OR(INDEX($V$2:$V$1001,MATCH(ROWS($U$2:U628),$U$2:$U$1001,0),1)&gt;=100000,INDEX($AB$1005:$AQ$1005,1,MATCH(COLUMNS($AB$1006:AN1006),$AB$1006:$AQ$1006,0))&gt;=100000), " ",IF(INDEX($AB$2:$AQ$1001,MATCH(ROWS($U$2:U628),$U$2:$U$1001,0),MATCH(COLUMNS($AB$1006:AN1006),$AB$1006:$AQ$1006,0)), HYPERLINK("#",""), HYPERLINK(CONCATENATE("#metadata!", ADDRESS(INDEX($W$2:$W$1001,MATCH(ROWS($U$2:U628),$U$2:$U$1001,0),0), INDEX($AB$1004:$AQ$1004,1,MATCH(COLUMNS($AB$1006:AN1006),$AB$1006:$AQ$1006,0)))),"Fix")))</f>
        <v>0</v>
      </c>
      <c r="O628" s="4">
        <f>IF(OR(INDEX($V$2:$V$1001,MATCH(ROWS($U$2:U628),$U$2:$U$1001,0),1)&gt;=100000,INDEX($AB$1005:$AQ$1005,1,MATCH(COLUMNS($AB$1006:AO1006),$AB$1006:$AQ$1006,0))&gt;=100000), " ",IF(INDEX($AB$2:$AQ$1001,MATCH(ROWS($U$2:U628),$U$2:$U$1001,0),MATCH(COLUMNS($AB$1006:AO1006),$AB$1006:$AQ$1006,0)), HYPERLINK("#",""), HYPERLINK(CONCATENATE("#metadata!", ADDRESS(INDEX($W$2:$W$1001,MATCH(ROWS($U$2:U628),$U$2:$U$1001,0),0), INDEX($AB$1004:$AQ$1004,1,MATCH(COLUMNS($AB$1006:AO1006),$AB$1006:$AQ$1006,0)))),"Fix")))</f>
        <v>0</v>
      </c>
      <c r="P628" s="4">
        <f>IF(OR(INDEX($V$2:$V$1001,MATCH(ROWS($U$2:U628),$U$2:$U$1001,0),1)&gt;=100000,INDEX($AB$1005:$AQ$1005,1,MATCH(COLUMNS($AB$1006:AP1006),$AB$1006:$AQ$1006,0))&gt;=100000), " ",IF(INDEX($AB$2:$AQ$1001,MATCH(ROWS($U$2:U628),$U$2:$U$1001,0),MATCH(COLUMNS($AB$1006:AP1006),$AB$1006:$AQ$1006,0)), HYPERLINK("#",""), HYPERLINK(CONCATENATE("#metadata!", ADDRESS(INDEX($W$2:$W$1001,MATCH(ROWS($U$2:U628),$U$2:$U$1001,0),0), INDEX($AB$1004:$AQ$1004,1,MATCH(COLUMNS($AB$1006:AP1006),$AB$1006:$AQ$1006,0)))),"Fix")))</f>
        <v>0</v>
      </c>
      <c r="Q628" s="4">
        <f>IF(OR(INDEX($V$2:$V$1001,MATCH(ROWS($U$2:U628),$U$2:$U$1001,0),1)&gt;=100000,INDEX($AB$1005:$AQ$1005,1,MATCH(COLUMNS($AB$1006:AQ1006),$AB$1006:$AQ$1006,0))&gt;=100000), " ",IF(INDEX($AB$2:$AQ$1001,MATCH(ROWS($U$2:U628),$U$2:$U$1001,0),MATCH(COLUMNS($AB$1006:AQ1006),$AB$1006:$AQ$1006,0)), HYPERLINK("#",""), HYPERLINK(CONCATENATE("#metadata!", ADDRESS(INDEX($W$2:$W$1001,MATCH(ROWS($U$2:U628),$U$2:$U$1001,0),0), INDEX($AB$1004:$AQ$1004,1,MATCH(COLUMNS($AB$1006:AQ1006),$AB$1006:$AQ$1006,0)))),"Fix")))</f>
        <v>0</v>
      </c>
      <c r="U628">
        <v>0</v>
      </c>
      <c r="V628">
        <v>0</v>
      </c>
      <c r="W628">
        <v>0</v>
      </c>
      <c r="X628">
        <f>IF(Y628,TRUE,AND(AB628:AQ628))</f>
        <v>0</v>
      </c>
      <c r="Y628">
        <f>COUNTBLANK(metadata!B628:Q628)=COLUMNS(metadata!B628:Q628)</f>
        <v>0</v>
      </c>
      <c r="Z628">
        <v>0</v>
      </c>
      <c r="AB628">
        <f>AND(IF(metadata!B628="",FALSE,TRUE),COUNTIF(metadata!B:B, metadata!B628) = 1,NOT(ISERROR(SUMPRODUCT(SEARCH(MID(metadata!B628,ROW(INDIRECT("1:"&amp;LEN(metadata!B628))), 1),"0123456789abcdefghijklmnopqrstuvwxyzABCDEFGHIJKLMNOPQRSTUVWXYZ.")))))</f>
        <v>0</v>
      </c>
      <c r="AC628">
        <f>OR(AND(IF(metadata!C628="",FALSE,TRUE),OR(exact(metadata!C628,"missing: not collected"),exact(metadata!C628,"missing: not provided"),exact(metadata!C628,"missing: restricted access"))),AND(IF(metadata!C628="",FALSE,TRUE),AND(AND(IFERROR(INT(LEFT(metadata!C628,4))&gt;1900,FALSE),IFERROR(INT(LEFT(metadata!C628,4))&lt;=YEAR(NOW()),FALSE)), OR(MID(metadata!C628,5,1)="", AND(AND(MID(metadata!C628,5,1)="-",IFERROR(INT(MID(metadata!C628,6,1))&gt;=0,FALSE),IFERROR(INT(MID(metadata!C628,6,1))&lt;=1,FALSE),NOT(MID(metadata!C628,7,1)=""),IFERROR(INT(MID(metadata!C628,6,2))&gt;=1,FALSE),IFERROR(INT(MID(metadata!C628,6,2))&lt;=12,FALSE)), OR(MID(metadata!C628,8,1)="", AND(AND(MID(metadata!C628,8,1)="-",IFERROR(INT(MID(metadata!C628,9,1))&gt;=0,FALSE),IFERROR(INT(MID(metadata!C628,9,1))&lt;=3,FALSE),NOT(MID(metadata!C628,10,1)=""),IFERROR(INT(MID(metadata!C628,9,2))&gt;=1,FALSE),IFERROR(INT(MID(metadata!C628,9,2))&lt;=31,FALSE)), OR(MID(metadata!C628,11,1)="", AND(AND(MID(metadata!C628,11,1)=" ",IFERROR(INT(MID(metadata!C628,12,1))&gt;=0,FALSE),IFERROR(INT(MID(metadata!C628,12,1))&lt;=2,FALSE),NOT(MID(metadata!C628,13,1)=""),IFERROR(INT(MID(metadata!C628,12,2))&gt;=0,FALSE),IFERROR(INT(MID(metadata!C628,12,2))&lt;=23,FALSE)), OR(MID(metadata!C628,14,1)="", AND(AND(MID(metadata!C628,14,1)=":",IFERROR(INT(MID(metadata!C628,15,1))&gt;=0,FALSE),IFERROR(INT(MID(metadata!C628,15,1))&lt;=5,FALSE),NOT(MID(metadata!C628,16,1)=""),IFERROR(INT(MID(metadata!C628,15,2))&gt;=0,FALSE),IFERROR(INT(MID(metadata!C628,15,2))&lt;=59,FALSE)), OR(MID(metadata!C628,17,1)="", AND(AND(MID(metadata!C628,17,1)=":",IFERROR(INT(MID(metadata!C628,18,1))&gt;=0,FALSE),IFERROR(INT(MID(metadata!C628,18,1))&lt;=5,FALSE),NOT(MID(metadata!C628,19,1)=""),IFERROR(INT(MID(metadata!C628,18,2))&gt;=0,FALSE),IFERROR(INT(MID(metadata!C628,18,2))&lt;=59,FALSE)), LEN(metadata!C628)&lt;=19)))))))))))))</f>
        <v>0</v>
      </c>
      <c r="AD628">
        <f>IF(metadata!D628="",FALSE,TRUE)</f>
        <v>0</v>
      </c>
      <c r="AE628">
        <f>OR(AND(IF(metadata!E628="",FALSE,TRUE),OR(exact(metadata!E628,"missing: not collected"),exact(metadata!E628,"missing: not provided"))),AND(IF(metadata!E628="",FALSE,TRUE),OR(exact(metadata!E628,"TRUE"),exact(metadata!E628,"FALSE"))))</f>
        <v>0</v>
      </c>
      <c r="AF628">
        <f>IF(metadata!F628="",FALSE,TRUE)</f>
        <v>0</v>
      </c>
      <c r="AG628">
        <f>IF(metadata!G628="",FALSE,TRUE)</f>
        <v>0</v>
      </c>
      <c r="AH628">
        <f>IF(metadata!H628="",FALSE,TRUE)</f>
        <v>0</v>
      </c>
      <c r="AI628">
        <f>OR(AND(IF(metadata!I628="",FALSE,TRUE),OR(exact(metadata!I628,"missing: not collected"),exact(metadata!I628,"missing: not provided"),exact(metadata!I628,"missing: restricted access"))),AND(IF(metadata!I628="",FALSE,TRUE),OR(exact(metadata!I628,"air"),exact(metadata!I628,"built environment"),exact(metadata!I628,"host-associated"),exact(metadata!I628,"human-associated"),exact(metadata!I628,"human-skin"),exact(metadata!I628,"human-oral"),exact(metadata!I628,"human-gut"),exact(metadata!I628,"human-vaginal"),exact(metadata!I628,"microbial mat/biofilm"),exact(metadata!I628,"misc environment"),exact(metadata!I628,"plant-associated"),exact(metadata!I628,"sediment"),exact(metadata!I628,"soil"),exact(metadata!I628,"wastewater/sludge"),exact(metadata!I628,"water"))))</f>
        <v>0</v>
      </c>
      <c r="AJ628">
        <f>IF(metadata!J628="",FALSE,TRUE)</f>
        <v>0</v>
      </c>
      <c r="AK628">
        <f>OR(AND(IF(metadata!K628="",FALSE,TRUE),OR(exact(metadata!K628,"missing: not collected"),exact(metadata!K628,"missing: not provided"),exact(metadata!K628,"missing: restricted access"))),AND(IF(metadata!K628="",FALSE,ISNUMBER(VALUE(metadata!K628))),metadata!K628&gt;=-90.00,metadata!K628&lt;=90.00))</f>
        <v>0</v>
      </c>
      <c r="AL628">
        <f>OR(AND(IF(metadata!L628="",FALSE,TRUE),OR(exact(metadata!L628,"missing: not collected"),exact(metadata!L628,"missing: not provided"),exact(metadata!L628,"missing: restricted access"))),AND(IF(metadata!L628="",FALSE,ISNUMBER(VALUE(metadata!L628))),metadata!L628&gt;=-180.00,metadata!L628&lt;=180.00))</f>
        <v>0</v>
      </c>
      <c r="AM628">
        <f>IF(metadata!M628="",FALSE,TRUE)</f>
        <v>0</v>
      </c>
      <c r="AN628">
        <f>OR(AND(IF(metadata!N628="",FALSE,TRUE),OR(exact(metadata!N628,"missing: not collected"),exact(metadata!N628,"missing: not provided"),exact(metadata!N628,"missing: restricted access"))),AND(IF(metadata!N628="",FALSE,TRUE),OR(exact(metadata!N628,"TRUE"),exact(metadata!N628,"FALSE"))))</f>
        <v>0</v>
      </c>
      <c r="AO628">
        <f>IF(metadata!O628="",FALSE,TRUE)</f>
        <v>0</v>
      </c>
      <c r="AP628">
        <f>OR(AND(IF(metadata!P628="",FALSE,TRUE),OR(exact(metadata!P628,"missing: not collected"),exact(metadata!P628,"missing: not provided"))),AND(IF(metadata!P628="",FALSE,IF(ISERROR(INT(metadata!P628)),FALSE,INT(metadata!P628)=metadata!P628)),metadata!P628&gt;0))</f>
        <v>0</v>
      </c>
      <c r="AQ628">
        <f>IF(metadata!Q628="",FALSE,TRUE)</f>
        <v>0</v>
      </c>
    </row>
    <row r="629" spans="1:43">
      <c r="A629" s="5">
        <f>IF(B629=" "," ",HYPERLINK(CONCATENATE("#metadata!",ADDRESS(INDEX($W$2:$W$1001,MATCH(ROWS($U$2:U629),$U$2:$U$1001,0),0),1)),INDEX($Z$2:$Z$1001,MATCH(ROWS($U$2:U629),$U$2:$U$1001,0),0)))</f>
        <v>0</v>
      </c>
      <c r="B629" s="4">
        <f>IF(OR(INDEX($V$2:$V$1001,MATCH(ROWS($U$2:U629),$U$2:$U$1001,0),1)&gt;=100000,INDEX($AB$1005:$AQ$1005,1,MATCH(COLUMNS($AB$1006:AB1006),$AB$1006:$AQ$1006,0))&gt;=100000), " ",IF(INDEX($AB$2:$AQ$1001,MATCH(ROWS($U$2:U629),$U$2:$U$1001,0),MATCH(COLUMNS($AB$1006:AB1006),$AB$1006:$AQ$1006,0)), HYPERLINK("#",""), HYPERLINK(CONCATENATE("#metadata!", ADDRESS(INDEX($W$2:$W$1001,MATCH(ROWS($U$2:U629),$U$2:$U$1001,0),0), INDEX($AB$1004:$AQ$1004,1,MATCH(COLUMNS($AB$1006:AB1006),$AB$1006:$AQ$1006,0)))),"Fix")))</f>
        <v>0</v>
      </c>
      <c r="C629" s="4">
        <f>IF(OR(INDEX($V$2:$V$1001,MATCH(ROWS($U$2:U629),$U$2:$U$1001,0),1)&gt;=100000,INDEX($AB$1005:$AQ$1005,1,MATCH(COLUMNS($AB$1006:AC1006),$AB$1006:$AQ$1006,0))&gt;=100000), " ",IF(INDEX($AB$2:$AQ$1001,MATCH(ROWS($U$2:U629),$U$2:$U$1001,0),MATCH(COLUMNS($AB$1006:AC1006),$AB$1006:$AQ$1006,0)), HYPERLINK("#",""), HYPERLINK(CONCATENATE("#metadata!", ADDRESS(INDEX($W$2:$W$1001,MATCH(ROWS($U$2:U629),$U$2:$U$1001,0),0), INDEX($AB$1004:$AQ$1004,1,MATCH(COLUMNS($AB$1006:AC1006),$AB$1006:$AQ$1006,0)))),"Fix")))</f>
        <v>0</v>
      </c>
      <c r="D629" s="4">
        <f>IF(OR(INDEX($V$2:$V$1001,MATCH(ROWS($U$2:U629),$U$2:$U$1001,0),1)&gt;=100000,INDEX($AB$1005:$AQ$1005,1,MATCH(COLUMNS($AB$1006:AD1006),$AB$1006:$AQ$1006,0))&gt;=100000), " ",IF(INDEX($AB$2:$AQ$1001,MATCH(ROWS($U$2:U629),$U$2:$U$1001,0),MATCH(COLUMNS($AB$1006:AD1006),$AB$1006:$AQ$1006,0)), HYPERLINK("#",""), HYPERLINK(CONCATENATE("#metadata!", ADDRESS(INDEX($W$2:$W$1001,MATCH(ROWS($U$2:U629),$U$2:$U$1001,0),0), INDEX($AB$1004:$AQ$1004,1,MATCH(COLUMNS($AB$1006:AD1006),$AB$1006:$AQ$1006,0)))),"Fix")))</f>
        <v>0</v>
      </c>
      <c r="E629" s="4">
        <f>IF(OR(INDEX($V$2:$V$1001,MATCH(ROWS($U$2:U629),$U$2:$U$1001,0),1)&gt;=100000,INDEX($AB$1005:$AQ$1005,1,MATCH(COLUMNS($AB$1006:AE1006),$AB$1006:$AQ$1006,0))&gt;=100000), " ",IF(INDEX($AB$2:$AQ$1001,MATCH(ROWS($U$2:U629),$U$2:$U$1001,0),MATCH(COLUMNS($AB$1006:AE1006),$AB$1006:$AQ$1006,0)), HYPERLINK("#",""), HYPERLINK(CONCATENATE("#metadata!", ADDRESS(INDEX($W$2:$W$1001,MATCH(ROWS($U$2:U629),$U$2:$U$1001,0),0), INDEX($AB$1004:$AQ$1004,1,MATCH(COLUMNS($AB$1006:AE1006),$AB$1006:$AQ$1006,0)))),"Fix")))</f>
        <v>0</v>
      </c>
      <c r="F629" s="4">
        <f>IF(OR(INDEX($V$2:$V$1001,MATCH(ROWS($U$2:U629),$U$2:$U$1001,0),1)&gt;=100000,INDEX($AB$1005:$AQ$1005,1,MATCH(COLUMNS($AB$1006:AF1006),$AB$1006:$AQ$1006,0))&gt;=100000), " ",IF(INDEX($AB$2:$AQ$1001,MATCH(ROWS($U$2:U629),$U$2:$U$1001,0),MATCH(COLUMNS($AB$1006:AF1006),$AB$1006:$AQ$1006,0)), HYPERLINK("#",""), HYPERLINK(CONCATENATE("#metadata!", ADDRESS(INDEX($W$2:$W$1001,MATCH(ROWS($U$2:U629),$U$2:$U$1001,0),0), INDEX($AB$1004:$AQ$1004,1,MATCH(COLUMNS($AB$1006:AF1006),$AB$1006:$AQ$1006,0)))),"Fix")))</f>
        <v>0</v>
      </c>
      <c r="G629" s="4">
        <f>IF(OR(INDEX($V$2:$V$1001,MATCH(ROWS($U$2:U629),$U$2:$U$1001,0),1)&gt;=100000,INDEX($AB$1005:$AQ$1005,1,MATCH(COLUMNS($AB$1006:AG1006),$AB$1006:$AQ$1006,0))&gt;=100000), " ",IF(INDEX($AB$2:$AQ$1001,MATCH(ROWS($U$2:U629),$U$2:$U$1001,0),MATCH(COLUMNS($AB$1006:AG1006),$AB$1006:$AQ$1006,0)), HYPERLINK("#",""), HYPERLINK(CONCATENATE("#metadata!", ADDRESS(INDEX($W$2:$W$1001,MATCH(ROWS($U$2:U629),$U$2:$U$1001,0),0), INDEX($AB$1004:$AQ$1004,1,MATCH(COLUMNS($AB$1006:AG1006),$AB$1006:$AQ$1006,0)))),"Fix")))</f>
        <v>0</v>
      </c>
      <c r="H629" s="4">
        <f>IF(OR(INDEX($V$2:$V$1001,MATCH(ROWS($U$2:U629),$U$2:$U$1001,0),1)&gt;=100000,INDEX($AB$1005:$AQ$1005,1,MATCH(COLUMNS($AB$1006:AH1006),$AB$1006:$AQ$1006,0))&gt;=100000), " ",IF(INDEX($AB$2:$AQ$1001,MATCH(ROWS($U$2:U629),$U$2:$U$1001,0),MATCH(COLUMNS($AB$1006:AH1006),$AB$1006:$AQ$1006,0)), HYPERLINK("#",""), HYPERLINK(CONCATENATE("#metadata!", ADDRESS(INDEX($W$2:$W$1001,MATCH(ROWS($U$2:U629),$U$2:$U$1001,0),0), INDEX($AB$1004:$AQ$1004,1,MATCH(COLUMNS($AB$1006:AH1006),$AB$1006:$AQ$1006,0)))),"Fix")))</f>
        <v>0</v>
      </c>
      <c r="I629" s="4">
        <f>IF(OR(INDEX($V$2:$V$1001,MATCH(ROWS($U$2:U629),$U$2:$U$1001,0),1)&gt;=100000,INDEX($AB$1005:$AQ$1005,1,MATCH(COLUMNS($AB$1006:AI1006),$AB$1006:$AQ$1006,0))&gt;=100000), " ",IF(INDEX($AB$2:$AQ$1001,MATCH(ROWS($U$2:U629),$U$2:$U$1001,0),MATCH(COLUMNS($AB$1006:AI1006),$AB$1006:$AQ$1006,0)), HYPERLINK("#",""), HYPERLINK(CONCATENATE("#metadata!", ADDRESS(INDEX($W$2:$W$1001,MATCH(ROWS($U$2:U629),$U$2:$U$1001,0),0), INDEX($AB$1004:$AQ$1004,1,MATCH(COLUMNS($AB$1006:AI1006),$AB$1006:$AQ$1006,0)))),"Fix")))</f>
        <v>0</v>
      </c>
      <c r="J629" s="4">
        <f>IF(OR(INDEX($V$2:$V$1001,MATCH(ROWS($U$2:U629),$U$2:$U$1001,0),1)&gt;=100000,INDEX($AB$1005:$AQ$1005,1,MATCH(COLUMNS($AB$1006:AJ1006),$AB$1006:$AQ$1006,0))&gt;=100000), " ",IF(INDEX($AB$2:$AQ$1001,MATCH(ROWS($U$2:U629),$U$2:$U$1001,0),MATCH(COLUMNS($AB$1006:AJ1006),$AB$1006:$AQ$1006,0)), HYPERLINK("#",""), HYPERLINK(CONCATENATE("#metadata!", ADDRESS(INDEX($W$2:$W$1001,MATCH(ROWS($U$2:U629),$U$2:$U$1001,0),0), INDEX($AB$1004:$AQ$1004,1,MATCH(COLUMNS($AB$1006:AJ1006),$AB$1006:$AQ$1006,0)))),"Fix")))</f>
        <v>0</v>
      </c>
      <c r="K629" s="4">
        <f>IF(OR(INDEX($V$2:$V$1001,MATCH(ROWS($U$2:U629),$U$2:$U$1001,0),1)&gt;=100000,INDEX($AB$1005:$AQ$1005,1,MATCH(COLUMNS($AB$1006:AK1006),$AB$1006:$AQ$1006,0))&gt;=100000), " ",IF(INDEX($AB$2:$AQ$1001,MATCH(ROWS($U$2:U629),$U$2:$U$1001,0),MATCH(COLUMNS($AB$1006:AK1006),$AB$1006:$AQ$1006,0)), HYPERLINK("#",""), HYPERLINK(CONCATENATE("#metadata!", ADDRESS(INDEX($W$2:$W$1001,MATCH(ROWS($U$2:U629),$U$2:$U$1001,0),0), INDEX($AB$1004:$AQ$1004,1,MATCH(COLUMNS($AB$1006:AK1006),$AB$1006:$AQ$1006,0)))),"Fix")))</f>
        <v>0</v>
      </c>
      <c r="L629" s="4">
        <f>IF(OR(INDEX($V$2:$V$1001,MATCH(ROWS($U$2:U629),$U$2:$U$1001,0),1)&gt;=100000,INDEX($AB$1005:$AQ$1005,1,MATCH(COLUMNS($AB$1006:AL1006),$AB$1006:$AQ$1006,0))&gt;=100000), " ",IF(INDEX($AB$2:$AQ$1001,MATCH(ROWS($U$2:U629),$U$2:$U$1001,0),MATCH(COLUMNS($AB$1006:AL1006),$AB$1006:$AQ$1006,0)), HYPERLINK("#",""), HYPERLINK(CONCATENATE("#metadata!", ADDRESS(INDEX($W$2:$W$1001,MATCH(ROWS($U$2:U629),$U$2:$U$1001,0),0), INDEX($AB$1004:$AQ$1004,1,MATCH(COLUMNS($AB$1006:AL1006),$AB$1006:$AQ$1006,0)))),"Fix")))</f>
        <v>0</v>
      </c>
      <c r="M629" s="4">
        <f>IF(OR(INDEX($V$2:$V$1001,MATCH(ROWS($U$2:U629),$U$2:$U$1001,0),1)&gt;=100000,INDEX($AB$1005:$AQ$1005,1,MATCH(COLUMNS($AB$1006:AM1006),$AB$1006:$AQ$1006,0))&gt;=100000), " ",IF(INDEX($AB$2:$AQ$1001,MATCH(ROWS($U$2:U629),$U$2:$U$1001,0),MATCH(COLUMNS($AB$1006:AM1006),$AB$1006:$AQ$1006,0)), HYPERLINK("#",""), HYPERLINK(CONCATENATE("#metadata!", ADDRESS(INDEX($W$2:$W$1001,MATCH(ROWS($U$2:U629),$U$2:$U$1001,0),0), INDEX($AB$1004:$AQ$1004,1,MATCH(COLUMNS($AB$1006:AM1006),$AB$1006:$AQ$1006,0)))),"Fix")))</f>
        <v>0</v>
      </c>
      <c r="N629" s="4">
        <f>IF(OR(INDEX($V$2:$V$1001,MATCH(ROWS($U$2:U629),$U$2:$U$1001,0),1)&gt;=100000,INDEX($AB$1005:$AQ$1005,1,MATCH(COLUMNS($AB$1006:AN1006),$AB$1006:$AQ$1006,0))&gt;=100000), " ",IF(INDEX($AB$2:$AQ$1001,MATCH(ROWS($U$2:U629),$U$2:$U$1001,0),MATCH(COLUMNS($AB$1006:AN1006),$AB$1006:$AQ$1006,0)), HYPERLINK("#",""), HYPERLINK(CONCATENATE("#metadata!", ADDRESS(INDEX($W$2:$W$1001,MATCH(ROWS($U$2:U629),$U$2:$U$1001,0),0), INDEX($AB$1004:$AQ$1004,1,MATCH(COLUMNS($AB$1006:AN1006),$AB$1006:$AQ$1006,0)))),"Fix")))</f>
        <v>0</v>
      </c>
      <c r="O629" s="4">
        <f>IF(OR(INDEX($V$2:$V$1001,MATCH(ROWS($U$2:U629),$U$2:$U$1001,0),1)&gt;=100000,INDEX($AB$1005:$AQ$1005,1,MATCH(COLUMNS($AB$1006:AO1006),$AB$1006:$AQ$1006,0))&gt;=100000), " ",IF(INDEX($AB$2:$AQ$1001,MATCH(ROWS($U$2:U629),$U$2:$U$1001,0),MATCH(COLUMNS($AB$1006:AO1006),$AB$1006:$AQ$1006,0)), HYPERLINK("#",""), HYPERLINK(CONCATENATE("#metadata!", ADDRESS(INDEX($W$2:$W$1001,MATCH(ROWS($U$2:U629),$U$2:$U$1001,0),0), INDEX($AB$1004:$AQ$1004,1,MATCH(COLUMNS($AB$1006:AO1006),$AB$1006:$AQ$1006,0)))),"Fix")))</f>
        <v>0</v>
      </c>
      <c r="P629" s="4">
        <f>IF(OR(INDEX($V$2:$V$1001,MATCH(ROWS($U$2:U629),$U$2:$U$1001,0),1)&gt;=100000,INDEX($AB$1005:$AQ$1005,1,MATCH(COLUMNS($AB$1006:AP1006),$AB$1006:$AQ$1006,0))&gt;=100000), " ",IF(INDEX($AB$2:$AQ$1001,MATCH(ROWS($U$2:U629),$U$2:$U$1001,0),MATCH(COLUMNS($AB$1006:AP1006),$AB$1006:$AQ$1006,0)), HYPERLINK("#",""), HYPERLINK(CONCATENATE("#metadata!", ADDRESS(INDEX($W$2:$W$1001,MATCH(ROWS($U$2:U629),$U$2:$U$1001,0),0), INDEX($AB$1004:$AQ$1004,1,MATCH(COLUMNS($AB$1006:AP1006),$AB$1006:$AQ$1006,0)))),"Fix")))</f>
        <v>0</v>
      </c>
      <c r="Q629" s="4">
        <f>IF(OR(INDEX($V$2:$V$1001,MATCH(ROWS($U$2:U629),$U$2:$U$1001,0),1)&gt;=100000,INDEX($AB$1005:$AQ$1005,1,MATCH(COLUMNS($AB$1006:AQ1006),$AB$1006:$AQ$1006,0))&gt;=100000), " ",IF(INDEX($AB$2:$AQ$1001,MATCH(ROWS($U$2:U629),$U$2:$U$1001,0),MATCH(COLUMNS($AB$1006:AQ1006),$AB$1006:$AQ$1006,0)), HYPERLINK("#",""), HYPERLINK(CONCATENATE("#metadata!", ADDRESS(INDEX($W$2:$W$1001,MATCH(ROWS($U$2:U629),$U$2:$U$1001,0),0), INDEX($AB$1004:$AQ$1004,1,MATCH(COLUMNS($AB$1006:AQ1006),$AB$1006:$AQ$1006,0)))),"Fix")))</f>
        <v>0</v>
      </c>
      <c r="U629">
        <v>0</v>
      </c>
      <c r="V629">
        <v>0</v>
      </c>
      <c r="W629">
        <v>0</v>
      </c>
      <c r="X629">
        <f>IF(Y629,TRUE,AND(AB629:AQ629))</f>
        <v>0</v>
      </c>
      <c r="Y629">
        <f>COUNTBLANK(metadata!B629:Q629)=COLUMNS(metadata!B629:Q629)</f>
        <v>0</v>
      </c>
      <c r="Z629">
        <v>0</v>
      </c>
      <c r="AB629">
        <f>AND(IF(metadata!B629="",FALSE,TRUE),COUNTIF(metadata!B:B, metadata!B629) = 1,NOT(ISERROR(SUMPRODUCT(SEARCH(MID(metadata!B629,ROW(INDIRECT("1:"&amp;LEN(metadata!B629))), 1),"0123456789abcdefghijklmnopqrstuvwxyzABCDEFGHIJKLMNOPQRSTUVWXYZ.")))))</f>
        <v>0</v>
      </c>
      <c r="AC629">
        <f>OR(AND(IF(metadata!C629="",FALSE,TRUE),OR(exact(metadata!C629,"missing: not collected"),exact(metadata!C629,"missing: not provided"),exact(metadata!C629,"missing: restricted access"))),AND(IF(metadata!C629="",FALSE,TRUE),AND(AND(IFERROR(INT(LEFT(metadata!C629,4))&gt;1900,FALSE),IFERROR(INT(LEFT(metadata!C629,4))&lt;=YEAR(NOW()),FALSE)), OR(MID(metadata!C629,5,1)="", AND(AND(MID(metadata!C629,5,1)="-",IFERROR(INT(MID(metadata!C629,6,1))&gt;=0,FALSE),IFERROR(INT(MID(metadata!C629,6,1))&lt;=1,FALSE),NOT(MID(metadata!C629,7,1)=""),IFERROR(INT(MID(metadata!C629,6,2))&gt;=1,FALSE),IFERROR(INT(MID(metadata!C629,6,2))&lt;=12,FALSE)), OR(MID(metadata!C629,8,1)="", AND(AND(MID(metadata!C629,8,1)="-",IFERROR(INT(MID(metadata!C629,9,1))&gt;=0,FALSE),IFERROR(INT(MID(metadata!C629,9,1))&lt;=3,FALSE),NOT(MID(metadata!C629,10,1)=""),IFERROR(INT(MID(metadata!C629,9,2))&gt;=1,FALSE),IFERROR(INT(MID(metadata!C629,9,2))&lt;=31,FALSE)), OR(MID(metadata!C629,11,1)="", AND(AND(MID(metadata!C629,11,1)=" ",IFERROR(INT(MID(metadata!C629,12,1))&gt;=0,FALSE),IFERROR(INT(MID(metadata!C629,12,1))&lt;=2,FALSE),NOT(MID(metadata!C629,13,1)=""),IFERROR(INT(MID(metadata!C629,12,2))&gt;=0,FALSE),IFERROR(INT(MID(metadata!C629,12,2))&lt;=23,FALSE)), OR(MID(metadata!C629,14,1)="", AND(AND(MID(metadata!C629,14,1)=":",IFERROR(INT(MID(metadata!C629,15,1))&gt;=0,FALSE),IFERROR(INT(MID(metadata!C629,15,1))&lt;=5,FALSE),NOT(MID(metadata!C629,16,1)=""),IFERROR(INT(MID(metadata!C629,15,2))&gt;=0,FALSE),IFERROR(INT(MID(metadata!C629,15,2))&lt;=59,FALSE)), OR(MID(metadata!C629,17,1)="", AND(AND(MID(metadata!C629,17,1)=":",IFERROR(INT(MID(metadata!C629,18,1))&gt;=0,FALSE),IFERROR(INT(MID(metadata!C629,18,1))&lt;=5,FALSE),NOT(MID(metadata!C629,19,1)=""),IFERROR(INT(MID(metadata!C629,18,2))&gt;=0,FALSE),IFERROR(INT(MID(metadata!C629,18,2))&lt;=59,FALSE)), LEN(metadata!C629)&lt;=19)))))))))))))</f>
        <v>0</v>
      </c>
      <c r="AD629">
        <f>IF(metadata!D629="",FALSE,TRUE)</f>
        <v>0</v>
      </c>
      <c r="AE629">
        <f>OR(AND(IF(metadata!E629="",FALSE,TRUE),OR(exact(metadata!E629,"missing: not collected"),exact(metadata!E629,"missing: not provided"))),AND(IF(metadata!E629="",FALSE,TRUE),OR(exact(metadata!E629,"TRUE"),exact(metadata!E629,"FALSE"))))</f>
        <v>0</v>
      </c>
      <c r="AF629">
        <f>IF(metadata!F629="",FALSE,TRUE)</f>
        <v>0</v>
      </c>
      <c r="AG629">
        <f>IF(metadata!G629="",FALSE,TRUE)</f>
        <v>0</v>
      </c>
      <c r="AH629">
        <f>IF(metadata!H629="",FALSE,TRUE)</f>
        <v>0</v>
      </c>
      <c r="AI629">
        <f>OR(AND(IF(metadata!I629="",FALSE,TRUE),OR(exact(metadata!I629,"missing: not collected"),exact(metadata!I629,"missing: not provided"),exact(metadata!I629,"missing: restricted access"))),AND(IF(metadata!I629="",FALSE,TRUE),OR(exact(metadata!I629,"air"),exact(metadata!I629,"built environment"),exact(metadata!I629,"host-associated"),exact(metadata!I629,"human-associated"),exact(metadata!I629,"human-skin"),exact(metadata!I629,"human-oral"),exact(metadata!I629,"human-gut"),exact(metadata!I629,"human-vaginal"),exact(metadata!I629,"microbial mat/biofilm"),exact(metadata!I629,"misc environment"),exact(metadata!I629,"plant-associated"),exact(metadata!I629,"sediment"),exact(metadata!I629,"soil"),exact(metadata!I629,"wastewater/sludge"),exact(metadata!I629,"water"))))</f>
        <v>0</v>
      </c>
      <c r="AJ629">
        <f>IF(metadata!J629="",FALSE,TRUE)</f>
        <v>0</v>
      </c>
      <c r="AK629">
        <f>OR(AND(IF(metadata!K629="",FALSE,TRUE),OR(exact(metadata!K629,"missing: not collected"),exact(metadata!K629,"missing: not provided"),exact(metadata!K629,"missing: restricted access"))),AND(IF(metadata!K629="",FALSE,ISNUMBER(VALUE(metadata!K629))),metadata!K629&gt;=-90.00,metadata!K629&lt;=90.00))</f>
        <v>0</v>
      </c>
      <c r="AL629">
        <f>OR(AND(IF(metadata!L629="",FALSE,TRUE),OR(exact(metadata!L629,"missing: not collected"),exact(metadata!L629,"missing: not provided"),exact(metadata!L629,"missing: restricted access"))),AND(IF(metadata!L629="",FALSE,ISNUMBER(VALUE(metadata!L629))),metadata!L629&gt;=-180.00,metadata!L629&lt;=180.00))</f>
        <v>0</v>
      </c>
      <c r="AM629">
        <f>IF(metadata!M629="",FALSE,TRUE)</f>
        <v>0</v>
      </c>
      <c r="AN629">
        <f>OR(AND(IF(metadata!N629="",FALSE,TRUE),OR(exact(metadata!N629,"missing: not collected"),exact(metadata!N629,"missing: not provided"),exact(metadata!N629,"missing: restricted access"))),AND(IF(metadata!N629="",FALSE,TRUE),OR(exact(metadata!N629,"TRUE"),exact(metadata!N629,"FALSE"))))</f>
        <v>0</v>
      </c>
      <c r="AO629">
        <f>IF(metadata!O629="",FALSE,TRUE)</f>
        <v>0</v>
      </c>
      <c r="AP629">
        <f>OR(AND(IF(metadata!P629="",FALSE,TRUE),OR(exact(metadata!P629,"missing: not collected"),exact(metadata!P629,"missing: not provided"))),AND(IF(metadata!P629="",FALSE,IF(ISERROR(INT(metadata!P629)),FALSE,INT(metadata!P629)=metadata!P629)),metadata!P629&gt;0))</f>
        <v>0</v>
      </c>
      <c r="AQ629">
        <f>IF(metadata!Q629="",FALSE,TRUE)</f>
        <v>0</v>
      </c>
    </row>
    <row r="630" spans="1:43">
      <c r="A630" s="5">
        <f>IF(B630=" "," ",HYPERLINK(CONCATENATE("#metadata!",ADDRESS(INDEX($W$2:$W$1001,MATCH(ROWS($U$2:U630),$U$2:$U$1001,0),0),1)),INDEX($Z$2:$Z$1001,MATCH(ROWS($U$2:U630),$U$2:$U$1001,0),0)))</f>
        <v>0</v>
      </c>
      <c r="B630" s="4">
        <f>IF(OR(INDEX($V$2:$V$1001,MATCH(ROWS($U$2:U630),$U$2:$U$1001,0),1)&gt;=100000,INDEX($AB$1005:$AQ$1005,1,MATCH(COLUMNS($AB$1006:AB1006),$AB$1006:$AQ$1006,0))&gt;=100000), " ",IF(INDEX($AB$2:$AQ$1001,MATCH(ROWS($U$2:U630),$U$2:$U$1001,0),MATCH(COLUMNS($AB$1006:AB1006),$AB$1006:$AQ$1006,0)), HYPERLINK("#",""), HYPERLINK(CONCATENATE("#metadata!", ADDRESS(INDEX($W$2:$W$1001,MATCH(ROWS($U$2:U630),$U$2:$U$1001,0),0), INDEX($AB$1004:$AQ$1004,1,MATCH(COLUMNS($AB$1006:AB1006),$AB$1006:$AQ$1006,0)))),"Fix")))</f>
        <v>0</v>
      </c>
      <c r="C630" s="4">
        <f>IF(OR(INDEX($V$2:$V$1001,MATCH(ROWS($U$2:U630),$U$2:$U$1001,0),1)&gt;=100000,INDEX($AB$1005:$AQ$1005,1,MATCH(COLUMNS($AB$1006:AC1006),$AB$1006:$AQ$1006,0))&gt;=100000), " ",IF(INDEX($AB$2:$AQ$1001,MATCH(ROWS($U$2:U630),$U$2:$U$1001,0),MATCH(COLUMNS($AB$1006:AC1006),$AB$1006:$AQ$1006,0)), HYPERLINK("#",""), HYPERLINK(CONCATENATE("#metadata!", ADDRESS(INDEX($W$2:$W$1001,MATCH(ROWS($U$2:U630),$U$2:$U$1001,0),0), INDEX($AB$1004:$AQ$1004,1,MATCH(COLUMNS($AB$1006:AC1006),$AB$1006:$AQ$1006,0)))),"Fix")))</f>
        <v>0</v>
      </c>
      <c r="D630" s="4">
        <f>IF(OR(INDEX($V$2:$V$1001,MATCH(ROWS($U$2:U630),$U$2:$U$1001,0),1)&gt;=100000,INDEX($AB$1005:$AQ$1005,1,MATCH(COLUMNS($AB$1006:AD1006),$AB$1006:$AQ$1006,0))&gt;=100000), " ",IF(INDEX($AB$2:$AQ$1001,MATCH(ROWS($U$2:U630),$U$2:$U$1001,0),MATCH(COLUMNS($AB$1006:AD1006),$AB$1006:$AQ$1006,0)), HYPERLINK("#",""), HYPERLINK(CONCATENATE("#metadata!", ADDRESS(INDEX($W$2:$W$1001,MATCH(ROWS($U$2:U630),$U$2:$U$1001,0),0), INDEX($AB$1004:$AQ$1004,1,MATCH(COLUMNS($AB$1006:AD1006),$AB$1006:$AQ$1006,0)))),"Fix")))</f>
        <v>0</v>
      </c>
      <c r="E630" s="4">
        <f>IF(OR(INDEX($V$2:$V$1001,MATCH(ROWS($U$2:U630),$U$2:$U$1001,0),1)&gt;=100000,INDEX($AB$1005:$AQ$1005,1,MATCH(COLUMNS($AB$1006:AE1006),$AB$1006:$AQ$1006,0))&gt;=100000), " ",IF(INDEX($AB$2:$AQ$1001,MATCH(ROWS($U$2:U630),$U$2:$U$1001,0),MATCH(COLUMNS($AB$1006:AE1006),$AB$1006:$AQ$1006,0)), HYPERLINK("#",""), HYPERLINK(CONCATENATE("#metadata!", ADDRESS(INDEX($W$2:$W$1001,MATCH(ROWS($U$2:U630),$U$2:$U$1001,0),0), INDEX($AB$1004:$AQ$1004,1,MATCH(COLUMNS($AB$1006:AE1006),$AB$1006:$AQ$1006,0)))),"Fix")))</f>
        <v>0</v>
      </c>
      <c r="F630" s="4">
        <f>IF(OR(INDEX($V$2:$V$1001,MATCH(ROWS($U$2:U630),$U$2:$U$1001,0),1)&gt;=100000,INDEX($AB$1005:$AQ$1005,1,MATCH(COLUMNS($AB$1006:AF1006),$AB$1006:$AQ$1006,0))&gt;=100000), " ",IF(INDEX($AB$2:$AQ$1001,MATCH(ROWS($U$2:U630),$U$2:$U$1001,0),MATCH(COLUMNS($AB$1006:AF1006),$AB$1006:$AQ$1006,0)), HYPERLINK("#",""), HYPERLINK(CONCATENATE("#metadata!", ADDRESS(INDEX($W$2:$W$1001,MATCH(ROWS($U$2:U630),$U$2:$U$1001,0),0), INDEX($AB$1004:$AQ$1004,1,MATCH(COLUMNS($AB$1006:AF1006),$AB$1006:$AQ$1006,0)))),"Fix")))</f>
        <v>0</v>
      </c>
      <c r="G630" s="4">
        <f>IF(OR(INDEX($V$2:$V$1001,MATCH(ROWS($U$2:U630),$U$2:$U$1001,0),1)&gt;=100000,INDEX($AB$1005:$AQ$1005,1,MATCH(COLUMNS($AB$1006:AG1006),$AB$1006:$AQ$1006,0))&gt;=100000), " ",IF(INDEX($AB$2:$AQ$1001,MATCH(ROWS($U$2:U630),$U$2:$U$1001,0),MATCH(COLUMNS($AB$1006:AG1006),$AB$1006:$AQ$1006,0)), HYPERLINK("#",""), HYPERLINK(CONCATENATE("#metadata!", ADDRESS(INDEX($W$2:$W$1001,MATCH(ROWS($U$2:U630),$U$2:$U$1001,0),0), INDEX($AB$1004:$AQ$1004,1,MATCH(COLUMNS($AB$1006:AG1006),$AB$1006:$AQ$1006,0)))),"Fix")))</f>
        <v>0</v>
      </c>
      <c r="H630" s="4">
        <f>IF(OR(INDEX($V$2:$V$1001,MATCH(ROWS($U$2:U630),$U$2:$U$1001,0),1)&gt;=100000,INDEX($AB$1005:$AQ$1005,1,MATCH(COLUMNS($AB$1006:AH1006),$AB$1006:$AQ$1006,0))&gt;=100000), " ",IF(INDEX($AB$2:$AQ$1001,MATCH(ROWS($U$2:U630),$U$2:$U$1001,0),MATCH(COLUMNS($AB$1006:AH1006),$AB$1006:$AQ$1006,0)), HYPERLINK("#",""), HYPERLINK(CONCATENATE("#metadata!", ADDRESS(INDEX($W$2:$W$1001,MATCH(ROWS($U$2:U630),$U$2:$U$1001,0),0), INDEX($AB$1004:$AQ$1004,1,MATCH(COLUMNS($AB$1006:AH1006),$AB$1006:$AQ$1006,0)))),"Fix")))</f>
        <v>0</v>
      </c>
      <c r="I630" s="4">
        <f>IF(OR(INDEX($V$2:$V$1001,MATCH(ROWS($U$2:U630),$U$2:$U$1001,0),1)&gt;=100000,INDEX($AB$1005:$AQ$1005,1,MATCH(COLUMNS($AB$1006:AI1006),$AB$1006:$AQ$1006,0))&gt;=100000), " ",IF(INDEX($AB$2:$AQ$1001,MATCH(ROWS($U$2:U630),$U$2:$U$1001,0),MATCH(COLUMNS($AB$1006:AI1006),$AB$1006:$AQ$1006,0)), HYPERLINK("#",""), HYPERLINK(CONCATENATE("#metadata!", ADDRESS(INDEX($W$2:$W$1001,MATCH(ROWS($U$2:U630),$U$2:$U$1001,0),0), INDEX($AB$1004:$AQ$1004,1,MATCH(COLUMNS($AB$1006:AI1006),$AB$1006:$AQ$1006,0)))),"Fix")))</f>
        <v>0</v>
      </c>
      <c r="J630" s="4">
        <f>IF(OR(INDEX($V$2:$V$1001,MATCH(ROWS($U$2:U630),$U$2:$U$1001,0),1)&gt;=100000,INDEX($AB$1005:$AQ$1005,1,MATCH(COLUMNS($AB$1006:AJ1006),$AB$1006:$AQ$1006,0))&gt;=100000), " ",IF(INDEX($AB$2:$AQ$1001,MATCH(ROWS($U$2:U630),$U$2:$U$1001,0),MATCH(COLUMNS($AB$1006:AJ1006),$AB$1006:$AQ$1006,0)), HYPERLINK("#",""), HYPERLINK(CONCATENATE("#metadata!", ADDRESS(INDEX($W$2:$W$1001,MATCH(ROWS($U$2:U630),$U$2:$U$1001,0),0), INDEX($AB$1004:$AQ$1004,1,MATCH(COLUMNS($AB$1006:AJ1006),$AB$1006:$AQ$1006,0)))),"Fix")))</f>
        <v>0</v>
      </c>
      <c r="K630" s="4">
        <f>IF(OR(INDEX($V$2:$V$1001,MATCH(ROWS($U$2:U630),$U$2:$U$1001,0),1)&gt;=100000,INDEX($AB$1005:$AQ$1005,1,MATCH(COLUMNS($AB$1006:AK1006),$AB$1006:$AQ$1006,0))&gt;=100000), " ",IF(INDEX($AB$2:$AQ$1001,MATCH(ROWS($U$2:U630),$U$2:$U$1001,0),MATCH(COLUMNS($AB$1006:AK1006),$AB$1006:$AQ$1006,0)), HYPERLINK("#",""), HYPERLINK(CONCATENATE("#metadata!", ADDRESS(INDEX($W$2:$W$1001,MATCH(ROWS($U$2:U630),$U$2:$U$1001,0),0), INDEX($AB$1004:$AQ$1004,1,MATCH(COLUMNS($AB$1006:AK1006),$AB$1006:$AQ$1006,0)))),"Fix")))</f>
        <v>0</v>
      </c>
      <c r="L630" s="4">
        <f>IF(OR(INDEX($V$2:$V$1001,MATCH(ROWS($U$2:U630),$U$2:$U$1001,0),1)&gt;=100000,INDEX($AB$1005:$AQ$1005,1,MATCH(COLUMNS($AB$1006:AL1006),$AB$1006:$AQ$1006,0))&gt;=100000), " ",IF(INDEX($AB$2:$AQ$1001,MATCH(ROWS($U$2:U630),$U$2:$U$1001,0),MATCH(COLUMNS($AB$1006:AL1006),$AB$1006:$AQ$1006,0)), HYPERLINK("#",""), HYPERLINK(CONCATENATE("#metadata!", ADDRESS(INDEX($W$2:$W$1001,MATCH(ROWS($U$2:U630),$U$2:$U$1001,0),0), INDEX($AB$1004:$AQ$1004,1,MATCH(COLUMNS($AB$1006:AL1006),$AB$1006:$AQ$1006,0)))),"Fix")))</f>
        <v>0</v>
      </c>
      <c r="M630" s="4">
        <f>IF(OR(INDEX($V$2:$V$1001,MATCH(ROWS($U$2:U630),$U$2:$U$1001,0),1)&gt;=100000,INDEX($AB$1005:$AQ$1005,1,MATCH(COLUMNS($AB$1006:AM1006),$AB$1006:$AQ$1006,0))&gt;=100000), " ",IF(INDEX($AB$2:$AQ$1001,MATCH(ROWS($U$2:U630),$U$2:$U$1001,0),MATCH(COLUMNS($AB$1006:AM1006),$AB$1006:$AQ$1006,0)), HYPERLINK("#",""), HYPERLINK(CONCATENATE("#metadata!", ADDRESS(INDEX($W$2:$W$1001,MATCH(ROWS($U$2:U630),$U$2:$U$1001,0),0), INDEX($AB$1004:$AQ$1004,1,MATCH(COLUMNS($AB$1006:AM1006),$AB$1006:$AQ$1006,0)))),"Fix")))</f>
        <v>0</v>
      </c>
      <c r="N630" s="4">
        <f>IF(OR(INDEX($V$2:$V$1001,MATCH(ROWS($U$2:U630),$U$2:$U$1001,0),1)&gt;=100000,INDEX($AB$1005:$AQ$1005,1,MATCH(COLUMNS($AB$1006:AN1006),$AB$1006:$AQ$1006,0))&gt;=100000), " ",IF(INDEX($AB$2:$AQ$1001,MATCH(ROWS($U$2:U630),$U$2:$U$1001,0),MATCH(COLUMNS($AB$1006:AN1006),$AB$1006:$AQ$1006,0)), HYPERLINK("#",""), HYPERLINK(CONCATENATE("#metadata!", ADDRESS(INDEX($W$2:$W$1001,MATCH(ROWS($U$2:U630),$U$2:$U$1001,0),0), INDEX($AB$1004:$AQ$1004,1,MATCH(COLUMNS($AB$1006:AN1006),$AB$1006:$AQ$1006,0)))),"Fix")))</f>
        <v>0</v>
      </c>
      <c r="O630" s="4">
        <f>IF(OR(INDEX($V$2:$V$1001,MATCH(ROWS($U$2:U630),$U$2:$U$1001,0),1)&gt;=100000,INDEX($AB$1005:$AQ$1005,1,MATCH(COLUMNS($AB$1006:AO1006),$AB$1006:$AQ$1006,0))&gt;=100000), " ",IF(INDEX($AB$2:$AQ$1001,MATCH(ROWS($U$2:U630),$U$2:$U$1001,0),MATCH(COLUMNS($AB$1006:AO1006),$AB$1006:$AQ$1006,0)), HYPERLINK("#",""), HYPERLINK(CONCATENATE("#metadata!", ADDRESS(INDEX($W$2:$W$1001,MATCH(ROWS($U$2:U630),$U$2:$U$1001,0),0), INDEX($AB$1004:$AQ$1004,1,MATCH(COLUMNS($AB$1006:AO1006),$AB$1006:$AQ$1006,0)))),"Fix")))</f>
        <v>0</v>
      </c>
      <c r="P630" s="4">
        <f>IF(OR(INDEX($V$2:$V$1001,MATCH(ROWS($U$2:U630),$U$2:$U$1001,0),1)&gt;=100000,INDEX($AB$1005:$AQ$1005,1,MATCH(COLUMNS($AB$1006:AP1006),$AB$1006:$AQ$1006,0))&gt;=100000), " ",IF(INDEX($AB$2:$AQ$1001,MATCH(ROWS($U$2:U630),$U$2:$U$1001,0),MATCH(COLUMNS($AB$1006:AP1006),$AB$1006:$AQ$1006,0)), HYPERLINK("#",""), HYPERLINK(CONCATENATE("#metadata!", ADDRESS(INDEX($W$2:$W$1001,MATCH(ROWS($U$2:U630),$U$2:$U$1001,0),0), INDEX($AB$1004:$AQ$1004,1,MATCH(COLUMNS($AB$1006:AP1006),$AB$1006:$AQ$1006,0)))),"Fix")))</f>
        <v>0</v>
      </c>
      <c r="Q630" s="4">
        <f>IF(OR(INDEX($V$2:$V$1001,MATCH(ROWS($U$2:U630),$U$2:$U$1001,0),1)&gt;=100000,INDEX($AB$1005:$AQ$1005,1,MATCH(COLUMNS($AB$1006:AQ1006),$AB$1006:$AQ$1006,0))&gt;=100000), " ",IF(INDEX($AB$2:$AQ$1001,MATCH(ROWS($U$2:U630),$U$2:$U$1001,0),MATCH(COLUMNS($AB$1006:AQ1006),$AB$1006:$AQ$1006,0)), HYPERLINK("#",""), HYPERLINK(CONCATENATE("#metadata!", ADDRESS(INDEX($W$2:$W$1001,MATCH(ROWS($U$2:U630),$U$2:$U$1001,0),0), INDEX($AB$1004:$AQ$1004,1,MATCH(COLUMNS($AB$1006:AQ1006),$AB$1006:$AQ$1006,0)))),"Fix")))</f>
        <v>0</v>
      </c>
      <c r="U630">
        <v>0</v>
      </c>
      <c r="V630">
        <v>0</v>
      </c>
      <c r="W630">
        <v>0</v>
      </c>
      <c r="X630">
        <f>IF(Y630,TRUE,AND(AB630:AQ630))</f>
        <v>0</v>
      </c>
      <c r="Y630">
        <f>COUNTBLANK(metadata!B630:Q630)=COLUMNS(metadata!B630:Q630)</f>
        <v>0</v>
      </c>
      <c r="Z630">
        <v>0</v>
      </c>
      <c r="AB630">
        <f>AND(IF(metadata!B630="",FALSE,TRUE),COUNTIF(metadata!B:B, metadata!B630) = 1,NOT(ISERROR(SUMPRODUCT(SEARCH(MID(metadata!B630,ROW(INDIRECT("1:"&amp;LEN(metadata!B630))), 1),"0123456789abcdefghijklmnopqrstuvwxyzABCDEFGHIJKLMNOPQRSTUVWXYZ.")))))</f>
        <v>0</v>
      </c>
      <c r="AC630">
        <f>OR(AND(IF(metadata!C630="",FALSE,TRUE),OR(exact(metadata!C630,"missing: not collected"),exact(metadata!C630,"missing: not provided"),exact(metadata!C630,"missing: restricted access"))),AND(IF(metadata!C630="",FALSE,TRUE),AND(AND(IFERROR(INT(LEFT(metadata!C630,4))&gt;1900,FALSE),IFERROR(INT(LEFT(metadata!C630,4))&lt;=YEAR(NOW()),FALSE)), OR(MID(metadata!C630,5,1)="", AND(AND(MID(metadata!C630,5,1)="-",IFERROR(INT(MID(metadata!C630,6,1))&gt;=0,FALSE),IFERROR(INT(MID(metadata!C630,6,1))&lt;=1,FALSE),NOT(MID(metadata!C630,7,1)=""),IFERROR(INT(MID(metadata!C630,6,2))&gt;=1,FALSE),IFERROR(INT(MID(metadata!C630,6,2))&lt;=12,FALSE)), OR(MID(metadata!C630,8,1)="", AND(AND(MID(metadata!C630,8,1)="-",IFERROR(INT(MID(metadata!C630,9,1))&gt;=0,FALSE),IFERROR(INT(MID(metadata!C630,9,1))&lt;=3,FALSE),NOT(MID(metadata!C630,10,1)=""),IFERROR(INT(MID(metadata!C630,9,2))&gt;=1,FALSE),IFERROR(INT(MID(metadata!C630,9,2))&lt;=31,FALSE)), OR(MID(metadata!C630,11,1)="", AND(AND(MID(metadata!C630,11,1)=" ",IFERROR(INT(MID(metadata!C630,12,1))&gt;=0,FALSE),IFERROR(INT(MID(metadata!C630,12,1))&lt;=2,FALSE),NOT(MID(metadata!C630,13,1)=""),IFERROR(INT(MID(metadata!C630,12,2))&gt;=0,FALSE),IFERROR(INT(MID(metadata!C630,12,2))&lt;=23,FALSE)), OR(MID(metadata!C630,14,1)="", AND(AND(MID(metadata!C630,14,1)=":",IFERROR(INT(MID(metadata!C630,15,1))&gt;=0,FALSE),IFERROR(INT(MID(metadata!C630,15,1))&lt;=5,FALSE),NOT(MID(metadata!C630,16,1)=""),IFERROR(INT(MID(metadata!C630,15,2))&gt;=0,FALSE),IFERROR(INT(MID(metadata!C630,15,2))&lt;=59,FALSE)), OR(MID(metadata!C630,17,1)="", AND(AND(MID(metadata!C630,17,1)=":",IFERROR(INT(MID(metadata!C630,18,1))&gt;=0,FALSE),IFERROR(INT(MID(metadata!C630,18,1))&lt;=5,FALSE),NOT(MID(metadata!C630,19,1)=""),IFERROR(INT(MID(metadata!C630,18,2))&gt;=0,FALSE),IFERROR(INT(MID(metadata!C630,18,2))&lt;=59,FALSE)), LEN(metadata!C630)&lt;=19)))))))))))))</f>
        <v>0</v>
      </c>
      <c r="AD630">
        <f>IF(metadata!D630="",FALSE,TRUE)</f>
        <v>0</v>
      </c>
      <c r="AE630">
        <f>OR(AND(IF(metadata!E630="",FALSE,TRUE),OR(exact(metadata!E630,"missing: not collected"),exact(metadata!E630,"missing: not provided"))),AND(IF(metadata!E630="",FALSE,TRUE),OR(exact(metadata!E630,"TRUE"),exact(metadata!E630,"FALSE"))))</f>
        <v>0</v>
      </c>
      <c r="AF630">
        <f>IF(metadata!F630="",FALSE,TRUE)</f>
        <v>0</v>
      </c>
      <c r="AG630">
        <f>IF(metadata!G630="",FALSE,TRUE)</f>
        <v>0</v>
      </c>
      <c r="AH630">
        <f>IF(metadata!H630="",FALSE,TRUE)</f>
        <v>0</v>
      </c>
      <c r="AI630">
        <f>OR(AND(IF(metadata!I630="",FALSE,TRUE),OR(exact(metadata!I630,"missing: not collected"),exact(metadata!I630,"missing: not provided"),exact(metadata!I630,"missing: restricted access"))),AND(IF(metadata!I630="",FALSE,TRUE),OR(exact(metadata!I630,"air"),exact(metadata!I630,"built environment"),exact(metadata!I630,"host-associated"),exact(metadata!I630,"human-associated"),exact(metadata!I630,"human-skin"),exact(metadata!I630,"human-oral"),exact(metadata!I630,"human-gut"),exact(metadata!I630,"human-vaginal"),exact(metadata!I630,"microbial mat/biofilm"),exact(metadata!I630,"misc environment"),exact(metadata!I630,"plant-associated"),exact(metadata!I630,"sediment"),exact(metadata!I630,"soil"),exact(metadata!I630,"wastewater/sludge"),exact(metadata!I630,"water"))))</f>
        <v>0</v>
      </c>
      <c r="AJ630">
        <f>IF(metadata!J630="",FALSE,TRUE)</f>
        <v>0</v>
      </c>
      <c r="AK630">
        <f>OR(AND(IF(metadata!K630="",FALSE,TRUE),OR(exact(metadata!K630,"missing: not collected"),exact(metadata!K630,"missing: not provided"),exact(metadata!K630,"missing: restricted access"))),AND(IF(metadata!K630="",FALSE,ISNUMBER(VALUE(metadata!K630))),metadata!K630&gt;=-90.00,metadata!K630&lt;=90.00))</f>
        <v>0</v>
      </c>
      <c r="AL630">
        <f>OR(AND(IF(metadata!L630="",FALSE,TRUE),OR(exact(metadata!L630,"missing: not collected"),exact(metadata!L630,"missing: not provided"),exact(metadata!L630,"missing: restricted access"))),AND(IF(metadata!L630="",FALSE,ISNUMBER(VALUE(metadata!L630))),metadata!L630&gt;=-180.00,metadata!L630&lt;=180.00))</f>
        <v>0</v>
      </c>
      <c r="AM630">
        <f>IF(metadata!M630="",FALSE,TRUE)</f>
        <v>0</v>
      </c>
      <c r="AN630">
        <f>OR(AND(IF(metadata!N630="",FALSE,TRUE),OR(exact(metadata!N630,"missing: not collected"),exact(metadata!N630,"missing: not provided"),exact(metadata!N630,"missing: restricted access"))),AND(IF(metadata!N630="",FALSE,TRUE),OR(exact(metadata!N630,"TRUE"),exact(metadata!N630,"FALSE"))))</f>
        <v>0</v>
      </c>
      <c r="AO630">
        <f>IF(metadata!O630="",FALSE,TRUE)</f>
        <v>0</v>
      </c>
      <c r="AP630">
        <f>OR(AND(IF(metadata!P630="",FALSE,TRUE),OR(exact(metadata!P630,"missing: not collected"),exact(metadata!P630,"missing: not provided"))),AND(IF(metadata!P630="",FALSE,IF(ISERROR(INT(metadata!P630)),FALSE,INT(metadata!P630)=metadata!P630)),metadata!P630&gt;0))</f>
        <v>0</v>
      </c>
      <c r="AQ630">
        <f>IF(metadata!Q630="",FALSE,TRUE)</f>
        <v>0</v>
      </c>
    </row>
    <row r="631" spans="1:43">
      <c r="A631" s="5">
        <f>IF(B631=" "," ",HYPERLINK(CONCATENATE("#metadata!",ADDRESS(INDEX($W$2:$W$1001,MATCH(ROWS($U$2:U631),$U$2:$U$1001,0),0),1)),INDEX($Z$2:$Z$1001,MATCH(ROWS($U$2:U631),$U$2:$U$1001,0),0)))</f>
        <v>0</v>
      </c>
      <c r="B631" s="4">
        <f>IF(OR(INDEX($V$2:$V$1001,MATCH(ROWS($U$2:U631),$U$2:$U$1001,0),1)&gt;=100000,INDEX($AB$1005:$AQ$1005,1,MATCH(COLUMNS($AB$1006:AB1006),$AB$1006:$AQ$1006,0))&gt;=100000), " ",IF(INDEX($AB$2:$AQ$1001,MATCH(ROWS($U$2:U631),$U$2:$U$1001,0),MATCH(COLUMNS($AB$1006:AB1006),$AB$1006:$AQ$1006,0)), HYPERLINK("#",""), HYPERLINK(CONCATENATE("#metadata!", ADDRESS(INDEX($W$2:$W$1001,MATCH(ROWS($U$2:U631),$U$2:$U$1001,0),0), INDEX($AB$1004:$AQ$1004,1,MATCH(COLUMNS($AB$1006:AB1006),$AB$1006:$AQ$1006,0)))),"Fix")))</f>
        <v>0</v>
      </c>
      <c r="C631" s="4">
        <f>IF(OR(INDEX($V$2:$V$1001,MATCH(ROWS($U$2:U631),$U$2:$U$1001,0),1)&gt;=100000,INDEX($AB$1005:$AQ$1005,1,MATCH(COLUMNS($AB$1006:AC1006),$AB$1006:$AQ$1006,0))&gt;=100000), " ",IF(INDEX($AB$2:$AQ$1001,MATCH(ROWS($U$2:U631),$U$2:$U$1001,0),MATCH(COLUMNS($AB$1006:AC1006),$AB$1006:$AQ$1006,0)), HYPERLINK("#",""), HYPERLINK(CONCATENATE("#metadata!", ADDRESS(INDEX($W$2:$W$1001,MATCH(ROWS($U$2:U631),$U$2:$U$1001,0),0), INDEX($AB$1004:$AQ$1004,1,MATCH(COLUMNS($AB$1006:AC1006),$AB$1006:$AQ$1006,0)))),"Fix")))</f>
        <v>0</v>
      </c>
      <c r="D631" s="4">
        <f>IF(OR(INDEX($V$2:$V$1001,MATCH(ROWS($U$2:U631),$U$2:$U$1001,0),1)&gt;=100000,INDEX($AB$1005:$AQ$1005,1,MATCH(COLUMNS($AB$1006:AD1006),$AB$1006:$AQ$1006,0))&gt;=100000), " ",IF(INDEX($AB$2:$AQ$1001,MATCH(ROWS($U$2:U631),$U$2:$U$1001,0),MATCH(COLUMNS($AB$1006:AD1006),$AB$1006:$AQ$1006,0)), HYPERLINK("#",""), HYPERLINK(CONCATENATE("#metadata!", ADDRESS(INDEX($W$2:$W$1001,MATCH(ROWS($U$2:U631),$U$2:$U$1001,0),0), INDEX($AB$1004:$AQ$1004,1,MATCH(COLUMNS($AB$1006:AD1006),$AB$1006:$AQ$1006,0)))),"Fix")))</f>
        <v>0</v>
      </c>
      <c r="E631" s="4">
        <f>IF(OR(INDEX($V$2:$V$1001,MATCH(ROWS($U$2:U631),$U$2:$U$1001,0),1)&gt;=100000,INDEX($AB$1005:$AQ$1005,1,MATCH(COLUMNS($AB$1006:AE1006),$AB$1006:$AQ$1006,0))&gt;=100000), " ",IF(INDEX($AB$2:$AQ$1001,MATCH(ROWS($U$2:U631),$U$2:$U$1001,0),MATCH(COLUMNS($AB$1006:AE1006),$AB$1006:$AQ$1006,0)), HYPERLINK("#",""), HYPERLINK(CONCATENATE("#metadata!", ADDRESS(INDEX($W$2:$W$1001,MATCH(ROWS($U$2:U631),$U$2:$U$1001,0),0), INDEX($AB$1004:$AQ$1004,1,MATCH(COLUMNS($AB$1006:AE1006),$AB$1006:$AQ$1006,0)))),"Fix")))</f>
        <v>0</v>
      </c>
      <c r="F631" s="4">
        <f>IF(OR(INDEX($V$2:$V$1001,MATCH(ROWS($U$2:U631),$U$2:$U$1001,0),1)&gt;=100000,INDEX($AB$1005:$AQ$1005,1,MATCH(COLUMNS($AB$1006:AF1006),$AB$1006:$AQ$1006,0))&gt;=100000), " ",IF(INDEX($AB$2:$AQ$1001,MATCH(ROWS($U$2:U631),$U$2:$U$1001,0),MATCH(COLUMNS($AB$1006:AF1006),$AB$1006:$AQ$1006,0)), HYPERLINK("#",""), HYPERLINK(CONCATENATE("#metadata!", ADDRESS(INDEX($W$2:$W$1001,MATCH(ROWS($U$2:U631),$U$2:$U$1001,0),0), INDEX($AB$1004:$AQ$1004,1,MATCH(COLUMNS($AB$1006:AF1006),$AB$1006:$AQ$1006,0)))),"Fix")))</f>
        <v>0</v>
      </c>
      <c r="G631" s="4">
        <f>IF(OR(INDEX($V$2:$V$1001,MATCH(ROWS($U$2:U631),$U$2:$U$1001,0),1)&gt;=100000,INDEX($AB$1005:$AQ$1005,1,MATCH(COLUMNS($AB$1006:AG1006),$AB$1006:$AQ$1006,0))&gt;=100000), " ",IF(INDEX($AB$2:$AQ$1001,MATCH(ROWS($U$2:U631),$U$2:$U$1001,0),MATCH(COLUMNS($AB$1006:AG1006),$AB$1006:$AQ$1006,0)), HYPERLINK("#",""), HYPERLINK(CONCATENATE("#metadata!", ADDRESS(INDEX($W$2:$W$1001,MATCH(ROWS($U$2:U631),$U$2:$U$1001,0),0), INDEX($AB$1004:$AQ$1004,1,MATCH(COLUMNS($AB$1006:AG1006),$AB$1006:$AQ$1006,0)))),"Fix")))</f>
        <v>0</v>
      </c>
      <c r="H631" s="4">
        <f>IF(OR(INDEX($V$2:$V$1001,MATCH(ROWS($U$2:U631),$U$2:$U$1001,0),1)&gt;=100000,INDEX($AB$1005:$AQ$1005,1,MATCH(COLUMNS($AB$1006:AH1006),$AB$1006:$AQ$1006,0))&gt;=100000), " ",IF(INDEX($AB$2:$AQ$1001,MATCH(ROWS($U$2:U631),$U$2:$U$1001,0),MATCH(COLUMNS($AB$1006:AH1006),$AB$1006:$AQ$1006,0)), HYPERLINK("#",""), HYPERLINK(CONCATENATE("#metadata!", ADDRESS(INDEX($W$2:$W$1001,MATCH(ROWS($U$2:U631),$U$2:$U$1001,0),0), INDEX($AB$1004:$AQ$1004,1,MATCH(COLUMNS($AB$1006:AH1006),$AB$1006:$AQ$1006,0)))),"Fix")))</f>
        <v>0</v>
      </c>
      <c r="I631" s="4">
        <f>IF(OR(INDEX($V$2:$V$1001,MATCH(ROWS($U$2:U631),$U$2:$U$1001,0),1)&gt;=100000,INDEX($AB$1005:$AQ$1005,1,MATCH(COLUMNS($AB$1006:AI1006),$AB$1006:$AQ$1006,0))&gt;=100000), " ",IF(INDEX($AB$2:$AQ$1001,MATCH(ROWS($U$2:U631),$U$2:$U$1001,0),MATCH(COLUMNS($AB$1006:AI1006),$AB$1006:$AQ$1006,0)), HYPERLINK("#",""), HYPERLINK(CONCATENATE("#metadata!", ADDRESS(INDEX($W$2:$W$1001,MATCH(ROWS($U$2:U631),$U$2:$U$1001,0),0), INDEX($AB$1004:$AQ$1004,1,MATCH(COLUMNS($AB$1006:AI1006),$AB$1006:$AQ$1006,0)))),"Fix")))</f>
        <v>0</v>
      </c>
      <c r="J631" s="4">
        <f>IF(OR(INDEX($V$2:$V$1001,MATCH(ROWS($U$2:U631),$U$2:$U$1001,0),1)&gt;=100000,INDEX($AB$1005:$AQ$1005,1,MATCH(COLUMNS($AB$1006:AJ1006),$AB$1006:$AQ$1006,0))&gt;=100000), " ",IF(INDEX($AB$2:$AQ$1001,MATCH(ROWS($U$2:U631),$U$2:$U$1001,0),MATCH(COLUMNS($AB$1006:AJ1006),$AB$1006:$AQ$1006,0)), HYPERLINK("#",""), HYPERLINK(CONCATENATE("#metadata!", ADDRESS(INDEX($W$2:$W$1001,MATCH(ROWS($U$2:U631),$U$2:$U$1001,0),0), INDEX($AB$1004:$AQ$1004,1,MATCH(COLUMNS($AB$1006:AJ1006),$AB$1006:$AQ$1006,0)))),"Fix")))</f>
        <v>0</v>
      </c>
      <c r="K631" s="4">
        <f>IF(OR(INDEX($V$2:$V$1001,MATCH(ROWS($U$2:U631),$U$2:$U$1001,0),1)&gt;=100000,INDEX($AB$1005:$AQ$1005,1,MATCH(COLUMNS($AB$1006:AK1006),$AB$1006:$AQ$1006,0))&gt;=100000), " ",IF(INDEX($AB$2:$AQ$1001,MATCH(ROWS($U$2:U631),$U$2:$U$1001,0),MATCH(COLUMNS($AB$1006:AK1006),$AB$1006:$AQ$1006,0)), HYPERLINK("#",""), HYPERLINK(CONCATENATE("#metadata!", ADDRESS(INDEX($W$2:$W$1001,MATCH(ROWS($U$2:U631),$U$2:$U$1001,0),0), INDEX($AB$1004:$AQ$1004,1,MATCH(COLUMNS($AB$1006:AK1006),$AB$1006:$AQ$1006,0)))),"Fix")))</f>
        <v>0</v>
      </c>
      <c r="L631" s="4">
        <f>IF(OR(INDEX($V$2:$V$1001,MATCH(ROWS($U$2:U631),$U$2:$U$1001,0),1)&gt;=100000,INDEX($AB$1005:$AQ$1005,1,MATCH(COLUMNS($AB$1006:AL1006),$AB$1006:$AQ$1006,0))&gt;=100000), " ",IF(INDEX($AB$2:$AQ$1001,MATCH(ROWS($U$2:U631),$U$2:$U$1001,0),MATCH(COLUMNS($AB$1006:AL1006),$AB$1006:$AQ$1006,0)), HYPERLINK("#",""), HYPERLINK(CONCATENATE("#metadata!", ADDRESS(INDEX($W$2:$W$1001,MATCH(ROWS($U$2:U631),$U$2:$U$1001,0),0), INDEX($AB$1004:$AQ$1004,1,MATCH(COLUMNS($AB$1006:AL1006),$AB$1006:$AQ$1006,0)))),"Fix")))</f>
        <v>0</v>
      </c>
      <c r="M631" s="4">
        <f>IF(OR(INDEX($V$2:$V$1001,MATCH(ROWS($U$2:U631),$U$2:$U$1001,0),1)&gt;=100000,INDEX($AB$1005:$AQ$1005,1,MATCH(COLUMNS($AB$1006:AM1006),$AB$1006:$AQ$1006,0))&gt;=100000), " ",IF(INDEX($AB$2:$AQ$1001,MATCH(ROWS($U$2:U631),$U$2:$U$1001,0),MATCH(COLUMNS($AB$1006:AM1006),$AB$1006:$AQ$1006,0)), HYPERLINK("#",""), HYPERLINK(CONCATENATE("#metadata!", ADDRESS(INDEX($W$2:$W$1001,MATCH(ROWS($U$2:U631),$U$2:$U$1001,0),0), INDEX($AB$1004:$AQ$1004,1,MATCH(COLUMNS($AB$1006:AM1006),$AB$1006:$AQ$1006,0)))),"Fix")))</f>
        <v>0</v>
      </c>
      <c r="N631" s="4">
        <f>IF(OR(INDEX($V$2:$V$1001,MATCH(ROWS($U$2:U631),$U$2:$U$1001,0),1)&gt;=100000,INDEX($AB$1005:$AQ$1005,1,MATCH(COLUMNS($AB$1006:AN1006),$AB$1006:$AQ$1006,0))&gt;=100000), " ",IF(INDEX($AB$2:$AQ$1001,MATCH(ROWS($U$2:U631),$U$2:$U$1001,0),MATCH(COLUMNS($AB$1006:AN1006),$AB$1006:$AQ$1006,0)), HYPERLINK("#",""), HYPERLINK(CONCATENATE("#metadata!", ADDRESS(INDEX($W$2:$W$1001,MATCH(ROWS($U$2:U631),$U$2:$U$1001,0),0), INDEX($AB$1004:$AQ$1004,1,MATCH(COLUMNS($AB$1006:AN1006),$AB$1006:$AQ$1006,0)))),"Fix")))</f>
        <v>0</v>
      </c>
      <c r="O631" s="4">
        <f>IF(OR(INDEX($V$2:$V$1001,MATCH(ROWS($U$2:U631),$U$2:$U$1001,0),1)&gt;=100000,INDEX($AB$1005:$AQ$1005,1,MATCH(COLUMNS($AB$1006:AO1006),$AB$1006:$AQ$1006,0))&gt;=100000), " ",IF(INDEX($AB$2:$AQ$1001,MATCH(ROWS($U$2:U631),$U$2:$U$1001,0),MATCH(COLUMNS($AB$1006:AO1006),$AB$1006:$AQ$1006,0)), HYPERLINK("#",""), HYPERLINK(CONCATENATE("#metadata!", ADDRESS(INDEX($W$2:$W$1001,MATCH(ROWS($U$2:U631),$U$2:$U$1001,0),0), INDEX($AB$1004:$AQ$1004,1,MATCH(COLUMNS($AB$1006:AO1006),$AB$1006:$AQ$1006,0)))),"Fix")))</f>
        <v>0</v>
      </c>
      <c r="P631" s="4">
        <f>IF(OR(INDEX($V$2:$V$1001,MATCH(ROWS($U$2:U631),$U$2:$U$1001,0),1)&gt;=100000,INDEX($AB$1005:$AQ$1005,1,MATCH(COLUMNS($AB$1006:AP1006),$AB$1006:$AQ$1006,0))&gt;=100000), " ",IF(INDEX($AB$2:$AQ$1001,MATCH(ROWS($U$2:U631),$U$2:$U$1001,0),MATCH(COLUMNS($AB$1006:AP1006),$AB$1006:$AQ$1006,0)), HYPERLINK("#",""), HYPERLINK(CONCATENATE("#metadata!", ADDRESS(INDEX($W$2:$W$1001,MATCH(ROWS($U$2:U631),$U$2:$U$1001,0),0), INDEX($AB$1004:$AQ$1004,1,MATCH(COLUMNS($AB$1006:AP1006),$AB$1006:$AQ$1006,0)))),"Fix")))</f>
        <v>0</v>
      </c>
      <c r="Q631" s="4">
        <f>IF(OR(INDEX($V$2:$V$1001,MATCH(ROWS($U$2:U631),$U$2:$U$1001,0),1)&gt;=100000,INDEX($AB$1005:$AQ$1005,1,MATCH(COLUMNS($AB$1006:AQ1006),$AB$1006:$AQ$1006,0))&gt;=100000), " ",IF(INDEX($AB$2:$AQ$1001,MATCH(ROWS($U$2:U631),$U$2:$U$1001,0),MATCH(COLUMNS($AB$1006:AQ1006),$AB$1006:$AQ$1006,0)), HYPERLINK("#",""), HYPERLINK(CONCATENATE("#metadata!", ADDRESS(INDEX($W$2:$W$1001,MATCH(ROWS($U$2:U631),$U$2:$U$1001,0),0), INDEX($AB$1004:$AQ$1004,1,MATCH(COLUMNS($AB$1006:AQ1006),$AB$1006:$AQ$1006,0)))),"Fix")))</f>
        <v>0</v>
      </c>
      <c r="U631">
        <v>0</v>
      </c>
      <c r="V631">
        <v>0</v>
      </c>
      <c r="W631">
        <v>0</v>
      </c>
      <c r="X631">
        <f>IF(Y631,TRUE,AND(AB631:AQ631))</f>
        <v>0</v>
      </c>
      <c r="Y631">
        <f>COUNTBLANK(metadata!B631:Q631)=COLUMNS(metadata!B631:Q631)</f>
        <v>0</v>
      </c>
      <c r="Z631">
        <v>0</v>
      </c>
      <c r="AB631">
        <f>AND(IF(metadata!B631="",FALSE,TRUE),COUNTIF(metadata!B:B, metadata!B631) = 1,NOT(ISERROR(SUMPRODUCT(SEARCH(MID(metadata!B631,ROW(INDIRECT("1:"&amp;LEN(metadata!B631))), 1),"0123456789abcdefghijklmnopqrstuvwxyzABCDEFGHIJKLMNOPQRSTUVWXYZ.")))))</f>
        <v>0</v>
      </c>
      <c r="AC631">
        <f>OR(AND(IF(metadata!C631="",FALSE,TRUE),OR(exact(metadata!C631,"missing: not collected"),exact(metadata!C631,"missing: not provided"),exact(metadata!C631,"missing: restricted access"))),AND(IF(metadata!C631="",FALSE,TRUE),AND(AND(IFERROR(INT(LEFT(metadata!C631,4))&gt;1900,FALSE),IFERROR(INT(LEFT(metadata!C631,4))&lt;=YEAR(NOW()),FALSE)), OR(MID(metadata!C631,5,1)="", AND(AND(MID(metadata!C631,5,1)="-",IFERROR(INT(MID(metadata!C631,6,1))&gt;=0,FALSE),IFERROR(INT(MID(metadata!C631,6,1))&lt;=1,FALSE),NOT(MID(metadata!C631,7,1)=""),IFERROR(INT(MID(metadata!C631,6,2))&gt;=1,FALSE),IFERROR(INT(MID(metadata!C631,6,2))&lt;=12,FALSE)), OR(MID(metadata!C631,8,1)="", AND(AND(MID(metadata!C631,8,1)="-",IFERROR(INT(MID(metadata!C631,9,1))&gt;=0,FALSE),IFERROR(INT(MID(metadata!C631,9,1))&lt;=3,FALSE),NOT(MID(metadata!C631,10,1)=""),IFERROR(INT(MID(metadata!C631,9,2))&gt;=1,FALSE),IFERROR(INT(MID(metadata!C631,9,2))&lt;=31,FALSE)), OR(MID(metadata!C631,11,1)="", AND(AND(MID(metadata!C631,11,1)=" ",IFERROR(INT(MID(metadata!C631,12,1))&gt;=0,FALSE),IFERROR(INT(MID(metadata!C631,12,1))&lt;=2,FALSE),NOT(MID(metadata!C631,13,1)=""),IFERROR(INT(MID(metadata!C631,12,2))&gt;=0,FALSE),IFERROR(INT(MID(metadata!C631,12,2))&lt;=23,FALSE)), OR(MID(metadata!C631,14,1)="", AND(AND(MID(metadata!C631,14,1)=":",IFERROR(INT(MID(metadata!C631,15,1))&gt;=0,FALSE),IFERROR(INT(MID(metadata!C631,15,1))&lt;=5,FALSE),NOT(MID(metadata!C631,16,1)=""),IFERROR(INT(MID(metadata!C631,15,2))&gt;=0,FALSE),IFERROR(INT(MID(metadata!C631,15,2))&lt;=59,FALSE)), OR(MID(metadata!C631,17,1)="", AND(AND(MID(metadata!C631,17,1)=":",IFERROR(INT(MID(metadata!C631,18,1))&gt;=0,FALSE),IFERROR(INT(MID(metadata!C631,18,1))&lt;=5,FALSE),NOT(MID(metadata!C631,19,1)=""),IFERROR(INT(MID(metadata!C631,18,2))&gt;=0,FALSE),IFERROR(INT(MID(metadata!C631,18,2))&lt;=59,FALSE)), LEN(metadata!C631)&lt;=19)))))))))))))</f>
        <v>0</v>
      </c>
      <c r="AD631">
        <f>IF(metadata!D631="",FALSE,TRUE)</f>
        <v>0</v>
      </c>
      <c r="AE631">
        <f>OR(AND(IF(metadata!E631="",FALSE,TRUE),OR(exact(metadata!E631,"missing: not collected"),exact(metadata!E631,"missing: not provided"))),AND(IF(metadata!E631="",FALSE,TRUE),OR(exact(metadata!E631,"TRUE"),exact(metadata!E631,"FALSE"))))</f>
        <v>0</v>
      </c>
      <c r="AF631">
        <f>IF(metadata!F631="",FALSE,TRUE)</f>
        <v>0</v>
      </c>
      <c r="AG631">
        <f>IF(metadata!G631="",FALSE,TRUE)</f>
        <v>0</v>
      </c>
      <c r="AH631">
        <f>IF(metadata!H631="",FALSE,TRUE)</f>
        <v>0</v>
      </c>
      <c r="AI631">
        <f>OR(AND(IF(metadata!I631="",FALSE,TRUE),OR(exact(metadata!I631,"missing: not collected"),exact(metadata!I631,"missing: not provided"),exact(metadata!I631,"missing: restricted access"))),AND(IF(metadata!I631="",FALSE,TRUE),OR(exact(metadata!I631,"air"),exact(metadata!I631,"built environment"),exact(metadata!I631,"host-associated"),exact(metadata!I631,"human-associated"),exact(metadata!I631,"human-skin"),exact(metadata!I631,"human-oral"),exact(metadata!I631,"human-gut"),exact(metadata!I631,"human-vaginal"),exact(metadata!I631,"microbial mat/biofilm"),exact(metadata!I631,"misc environment"),exact(metadata!I631,"plant-associated"),exact(metadata!I631,"sediment"),exact(metadata!I631,"soil"),exact(metadata!I631,"wastewater/sludge"),exact(metadata!I631,"water"))))</f>
        <v>0</v>
      </c>
      <c r="AJ631">
        <f>IF(metadata!J631="",FALSE,TRUE)</f>
        <v>0</v>
      </c>
      <c r="AK631">
        <f>OR(AND(IF(metadata!K631="",FALSE,TRUE),OR(exact(metadata!K631,"missing: not collected"),exact(metadata!K631,"missing: not provided"),exact(metadata!K631,"missing: restricted access"))),AND(IF(metadata!K631="",FALSE,ISNUMBER(VALUE(metadata!K631))),metadata!K631&gt;=-90.00,metadata!K631&lt;=90.00))</f>
        <v>0</v>
      </c>
      <c r="AL631">
        <f>OR(AND(IF(metadata!L631="",FALSE,TRUE),OR(exact(metadata!L631,"missing: not collected"),exact(metadata!L631,"missing: not provided"),exact(metadata!L631,"missing: restricted access"))),AND(IF(metadata!L631="",FALSE,ISNUMBER(VALUE(metadata!L631))),metadata!L631&gt;=-180.00,metadata!L631&lt;=180.00))</f>
        <v>0</v>
      </c>
      <c r="AM631">
        <f>IF(metadata!M631="",FALSE,TRUE)</f>
        <v>0</v>
      </c>
      <c r="AN631">
        <f>OR(AND(IF(metadata!N631="",FALSE,TRUE),OR(exact(metadata!N631,"missing: not collected"),exact(metadata!N631,"missing: not provided"),exact(metadata!N631,"missing: restricted access"))),AND(IF(metadata!N631="",FALSE,TRUE),OR(exact(metadata!N631,"TRUE"),exact(metadata!N631,"FALSE"))))</f>
        <v>0</v>
      </c>
      <c r="AO631">
        <f>IF(metadata!O631="",FALSE,TRUE)</f>
        <v>0</v>
      </c>
      <c r="AP631">
        <f>OR(AND(IF(metadata!P631="",FALSE,TRUE),OR(exact(metadata!P631,"missing: not collected"),exact(metadata!P631,"missing: not provided"))),AND(IF(metadata!P631="",FALSE,IF(ISERROR(INT(metadata!P631)),FALSE,INT(metadata!P631)=metadata!P631)),metadata!P631&gt;0))</f>
        <v>0</v>
      </c>
      <c r="AQ631">
        <f>IF(metadata!Q631="",FALSE,TRUE)</f>
        <v>0</v>
      </c>
    </row>
    <row r="632" spans="1:43">
      <c r="A632" s="5">
        <f>IF(B632=" "," ",HYPERLINK(CONCATENATE("#metadata!",ADDRESS(INDEX($W$2:$W$1001,MATCH(ROWS($U$2:U632),$U$2:$U$1001,0),0),1)),INDEX($Z$2:$Z$1001,MATCH(ROWS($U$2:U632),$U$2:$U$1001,0),0)))</f>
        <v>0</v>
      </c>
      <c r="B632" s="4">
        <f>IF(OR(INDEX($V$2:$V$1001,MATCH(ROWS($U$2:U632),$U$2:$U$1001,0),1)&gt;=100000,INDEX($AB$1005:$AQ$1005,1,MATCH(COLUMNS($AB$1006:AB1006),$AB$1006:$AQ$1006,0))&gt;=100000), " ",IF(INDEX($AB$2:$AQ$1001,MATCH(ROWS($U$2:U632),$U$2:$U$1001,0),MATCH(COLUMNS($AB$1006:AB1006),$AB$1006:$AQ$1006,0)), HYPERLINK("#",""), HYPERLINK(CONCATENATE("#metadata!", ADDRESS(INDEX($W$2:$W$1001,MATCH(ROWS($U$2:U632),$U$2:$U$1001,0),0), INDEX($AB$1004:$AQ$1004,1,MATCH(COLUMNS($AB$1006:AB1006),$AB$1006:$AQ$1006,0)))),"Fix")))</f>
        <v>0</v>
      </c>
      <c r="C632" s="4">
        <f>IF(OR(INDEX($V$2:$V$1001,MATCH(ROWS($U$2:U632),$U$2:$U$1001,0),1)&gt;=100000,INDEX($AB$1005:$AQ$1005,1,MATCH(COLUMNS($AB$1006:AC1006),$AB$1006:$AQ$1006,0))&gt;=100000), " ",IF(INDEX($AB$2:$AQ$1001,MATCH(ROWS($U$2:U632),$U$2:$U$1001,0),MATCH(COLUMNS($AB$1006:AC1006),$AB$1006:$AQ$1006,0)), HYPERLINK("#",""), HYPERLINK(CONCATENATE("#metadata!", ADDRESS(INDEX($W$2:$W$1001,MATCH(ROWS($U$2:U632),$U$2:$U$1001,0),0), INDEX($AB$1004:$AQ$1004,1,MATCH(COLUMNS($AB$1006:AC1006),$AB$1006:$AQ$1006,0)))),"Fix")))</f>
        <v>0</v>
      </c>
      <c r="D632" s="4">
        <f>IF(OR(INDEX($V$2:$V$1001,MATCH(ROWS($U$2:U632),$U$2:$U$1001,0),1)&gt;=100000,INDEX($AB$1005:$AQ$1005,1,MATCH(COLUMNS($AB$1006:AD1006),$AB$1006:$AQ$1006,0))&gt;=100000), " ",IF(INDEX($AB$2:$AQ$1001,MATCH(ROWS($U$2:U632),$U$2:$U$1001,0),MATCH(COLUMNS($AB$1006:AD1006),$AB$1006:$AQ$1006,0)), HYPERLINK("#",""), HYPERLINK(CONCATENATE("#metadata!", ADDRESS(INDEX($W$2:$W$1001,MATCH(ROWS($U$2:U632),$U$2:$U$1001,0),0), INDEX($AB$1004:$AQ$1004,1,MATCH(COLUMNS($AB$1006:AD1006),$AB$1006:$AQ$1006,0)))),"Fix")))</f>
        <v>0</v>
      </c>
      <c r="E632" s="4">
        <f>IF(OR(INDEX($V$2:$V$1001,MATCH(ROWS($U$2:U632),$U$2:$U$1001,0),1)&gt;=100000,INDEX($AB$1005:$AQ$1005,1,MATCH(COLUMNS($AB$1006:AE1006),$AB$1006:$AQ$1006,0))&gt;=100000), " ",IF(INDEX($AB$2:$AQ$1001,MATCH(ROWS($U$2:U632),$U$2:$U$1001,0),MATCH(COLUMNS($AB$1006:AE1006),$AB$1006:$AQ$1006,0)), HYPERLINK("#",""), HYPERLINK(CONCATENATE("#metadata!", ADDRESS(INDEX($W$2:$W$1001,MATCH(ROWS($U$2:U632),$U$2:$U$1001,0),0), INDEX($AB$1004:$AQ$1004,1,MATCH(COLUMNS($AB$1006:AE1006),$AB$1006:$AQ$1006,0)))),"Fix")))</f>
        <v>0</v>
      </c>
      <c r="F632" s="4">
        <f>IF(OR(INDEX($V$2:$V$1001,MATCH(ROWS($U$2:U632),$U$2:$U$1001,0),1)&gt;=100000,INDEX($AB$1005:$AQ$1005,1,MATCH(COLUMNS($AB$1006:AF1006),$AB$1006:$AQ$1006,0))&gt;=100000), " ",IF(INDEX($AB$2:$AQ$1001,MATCH(ROWS($U$2:U632),$U$2:$U$1001,0),MATCH(COLUMNS($AB$1006:AF1006),$AB$1006:$AQ$1006,0)), HYPERLINK("#",""), HYPERLINK(CONCATENATE("#metadata!", ADDRESS(INDEX($W$2:$W$1001,MATCH(ROWS($U$2:U632),$U$2:$U$1001,0),0), INDEX($AB$1004:$AQ$1004,1,MATCH(COLUMNS($AB$1006:AF1006),$AB$1006:$AQ$1006,0)))),"Fix")))</f>
        <v>0</v>
      </c>
      <c r="G632" s="4">
        <f>IF(OR(INDEX($V$2:$V$1001,MATCH(ROWS($U$2:U632),$U$2:$U$1001,0),1)&gt;=100000,INDEX($AB$1005:$AQ$1005,1,MATCH(COLUMNS($AB$1006:AG1006),$AB$1006:$AQ$1006,0))&gt;=100000), " ",IF(INDEX($AB$2:$AQ$1001,MATCH(ROWS($U$2:U632),$U$2:$U$1001,0),MATCH(COLUMNS($AB$1006:AG1006),$AB$1006:$AQ$1006,0)), HYPERLINK("#",""), HYPERLINK(CONCATENATE("#metadata!", ADDRESS(INDEX($W$2:$W$1001,MATCH(ROWS($U$2:U632),$U$2:$U$1001,0),0), INDEX($AB$1004:$AQ$1004,1,MATCH(COLUMNS($AB$1006:AG1006),$AB$1006:$AQ$1006,0)))),"Fix")))</f>
        <v>0</v>
      </c>
      <c r="H632" s="4">
        <f>IF(OR(INDEX($V$2:$V$1001,MATCH(ROWS($U$2:U632),$U$2:$U$1001,0),1)&gt;=100000,INDEX($AB$1005:$AQ$1005,1,MATCH(COLUMNS($AB$1006:AH1006),$AB$1006:$AQ$1006,0))&gt;=100000), " ",IF(INDEX($AB$2:$AQ$1001,MATCH(ROWS($U$2:U632),$U$2:$U$1001,0),MATCH(COLUMNS($AB$1006:AH1006),$AB$1006:$AQ$1006,0)), HYPERLINK("#",""), HYPERLINK(CONCATENATE("#metadata!", ADDRESS(INDEX($W$2:$W$1001,MATCH(ROWS($U$2:U632),$U$2:$U$1001,0),0), INDEX($AB$1004:$AQ$1004,1,MATCH(COLUMNS($AB$1006:AH1006),$AB$1006:$AQ$1006,0)))),"Fix")))</f>
        <v>0</v>
      </c>
      <c r="I632" s="4">
        <f>IF(OR(INDEX($V$2:$V$1001,MATCH(ROWS($U$2:U632),$U$2:$U$1001,0),1)&gt;=100000,INDEX($AB$1005:$AQ$1005,1,MATCH(COLUMNS($AB$1006:AI1006),$AB$1006:$AQ$1006,0))&gt;=100000), " ",IF(INDEX($AB$2:$AQ$1001,MATCH(ROWS($U$2:U632),$U$2:$U$1001,0),MATCH(COLUMNS($AB$1006:AI1006),$AB$1006:$AQ$1006,0)), HYPERLINK("#",""), HYPERLINK(CONCATENATE("#metadata!", ADDRESS(INDEX($W$2:$W$1001,MATCH(ROWS($U$2:U632),$U$2:$U$1001,0),0), INDEX($AB$1004:$AQ$1004,1,MATCH(COLUMNS($AB$1006:AI1006),$AB$1006:$AQ$1006,0)))),"Fix")))</f>
        <v>0</v>
      </c>
      <c r="J632" s="4">
        <f>IF(OR(INDEX($V$2:$V$1001,MATCH(ROWS($U$2:U632),$U$2:$U$1001,0),1)&gt;=100000,INDEX($AB$1005:$AQ$1005,1,MATCH(COLUMNS($AB$1006:AJ1006),$AB$1006:$AQ$1006,0))&gt;=100000), " ",IF(INDEX($AB$2:$AQ$1001,MATCH(ROWS($U$2:U632),$U$2:$U$1001,0),MATCH(COLUMNS($AB$1006:AJ1006),$AB$1006:$AQ$1006,0)), HYPERLINK("#",""), HYPERLINK(CONCATENATE("#metadata!", ADDRESS(INDEX($W$2:$W$1001,MATCH(ROWS($U$2:U632),$U$2:$U$1001,0),0), INDEX($AB$1004:$AQ$1004,1,MATCH(COLUMNS($AB$1006:AJ1006),$AB$1006:$AQ$1006,0)))),"Fix")))</f>
        <v>0</v>
      </c>
      <c r="K632" s="4">
        <f>IF(OR(INDEX($V$2:$V$1001,MATCH(ROWS($U$2:U632),$U$2:$U$1001,0),1)&gt;=100000,INDEX($AB$1005:$AQ$1005,1,MATCH(COLUMNS($AB$1006:AK1006),$AB$1006:$AQ$1006,0))&gt;=100000), " ",IF(INDEX($AB$2:$AQ$1001,MATCH(ROWS($U$2:U632),$U$2:$U$1001,0),MATCH(COLUMNS($AB$1006:AK1006),$AB$1006:$AQ$1006,0)), HYPERLINK("#",""), HYPERLINK(CONCATENATE("#metadata!", ADDRESS(INDEX($W$2:$W$1001,MATCH(ROWS($U$2:U632),$U$2:$U$1001,0),0), INDEX($AB$1004:$AQ$1004,1,MATCH(COLUMNS($AB$1006:AK1006),$AB$1006:$AQ$1006,0)))),"Fix")))</f>
        <v>0</v>
      </c>
      <c r="L632" s="4">
        <f>IF(OR(INDEX($V$2:$V$1001,MATCH(ROWS($U$2:U632),$U$2:$U$1001,0),1)&gt;=100000,INDEX($AB$1005:$AQ$1005,1,MATCH(COLUMNS($AB$1006:AL1006),$AB$1006:$AQ$1006,0))&gt;=100000), " ",IF(INDEX($AB$2:$AQ$1001,MATCH(ROWS($U$2:U632),$U$2:$U$1001,0),MATCH(COLUMNS($AB$1006:AL1006),$AB$1006:$AQ$1006,0)), HYPERLINK("#",""), HYPERLINK(CONCATENATE("#metadata!", ADDRESS(INDEX($W$2:$W$1001,MATCH(ROWS($U$2:U632),$U$2:$U$1001,0),0), INDEX($AB$1004:$AQ$1004,1,MATCH(COLUMNS($AB$1006:AL1006),$AB$1006:$AQ$1006,0)))),"Fix")))</f>
        <v>0</v>
      </c>
      <c r="M632" s="4">
        <f>IF(OR(INDEX($V$2:$V$1001,MATCH(ROWS($U$2:U632),$U$2:$U$1001,0),1)&gt;=100000,INDEX($AB$1005:$AQ$1005,1,MATCH(COLUMNS($AB$1006:AM1006),$AB$1006:$AQ$1006,0))&gt;=100000), " ",IF(INDEX($AB$2:$AQ$1001,MATCH(ROWS($U$2:U632),$U$2:$U$1001,0),MATCH(COLUMNS($AB$1006:AM1006),$AB$1006:$AQ$1006,0)), HYPERLINK("#",""), HYPERLINK(CONCATENATE("#metadata!", ADDRESS(INDEX($W$2:$W$1001,MATCH(ROWS($U$2:U632),$U$2:$U$1001,0),0), INDEX($AB$1004:$AQ$1004,1,MATCH(COLUMNS($AB$1006:AM1006),$AB$1006:$AQ$1006,0)))),"Fix")))</f>
        <v>0</v>
      </c>
      <c r="N632" s="4">
        <f>IF(OR(INDEX($V$2:$V$1001,MATCH(ROWS($U$2:U632),$U$2:$U$1001,0),1)&gt;=100000,INDEX($AB$1005:$AQ$1005,1,MATCH(COLUMNS($AB$1006:AN1006),$AB$1006:$AQ$1006,0))&gt;=100000), " ",IF(INDEX($AB$2:$AQ$1001,MATCH(ROWS($U$2:U632),$U$2:$U$1001,0),MATCH(COLUMNS($AB$1006:AN1006),$AB$1006:$AQ$1006,0)), HYPERLINK("#",""), HYPERLINK(CONCATENATE("#metadata!", ADDRESS(INDEX($W$2:$W$1001,MATCH(ROWS($U$2:U632),$U$2:$U$1001,0),0), INDEX($AB$1004:$AQ$1004,1,MATCH(COLUMNS($AB$1006:AN1006),$AB$1006:$AQ$1006,0)))),"Fix")))</f>
        <v>0</v>
      </c>
      <c r="O632" s="4">
        <f>IF(OR(INDEX($V$2:$V$1001,MATCH(ROWS($U$2:U632),$U$2:$U$1001,0),1)&gt;=100000,INDEX($AB$1005:$AQ$1005,1,MATCH(COLUMNS($AB$1006:AO1006),$AB$1006:$AQ$1006,0))&gt;=100000), " ",IF(INDEX($AB$2:$AQ$1001,MATCH(ROWS($U$2:U632),$U$2:$U$1001,0),MATCH(COLUMNS($AB$1006:AO1006),$AB$1006:$AQ$1006,0)), HYPERLINK("#",""), HYPERLINK(CONCATENATE("#metadata!", ADDRESS(INDEX($W$2:$W$1001,MATCH(ROWS($U$2:U632),$U$2:$U$1001,0),0), INDEX($AB$1004:$AQ$1004,1,MATCH(COLUMNS($AB$1006:AO1006),$AB$1006:$AQ$1006,0)))),"Fix")))</f>
        <v>0</v>
      </c>
      <c r="P632" s="4">
        <f>IF(OR(INDEX($V$2:$V$1001,MATCH(ROWS($U$2:U632),$U$2:$U$1001,0),1)&gt;=100000,INDEX($AB$1005:$AQ$1005,1,MATCH(COLUMNS($AB$1006:AP1006),$AB$1006:$AQ$1006,0))&gt;=100000), " ",IF(INDEX($AB$2:$AQ$1001,MATCH(ROWS($U$2:U632),$U$2:$U$1001,0),MATCH(COLUMNS($AB$1006:AP1006),$AB$1006:$AQ$1006,0)), HYPERLINK("#",""), HYPERLINK(CONCATENATE("#metadata!", ADDRESS(INDEX($W$2:$W$1001,MATCH(ROWS($U$2:U632),$U$2:$U$1001,0),0), INDEX($AB$1004:$AQ$1004,1,MATCH(COLUMNS($AB$1006:AP1006),$AB$1006:$AQ$1006,0)))),"Fix")))</f>
        <v>0</v>
      </c>
      <c r="Q632" s="4">
        <f>IF(OR(INDEX($V$2:$V$1001,MATCH(ROWS($U$2:U632),$U$2:$U$1001,0),1)&gt;=100000,INDEX($AB$1005:$AQ$1005,1,MATCH(COLUMNS($AB$1006:AQ1006),$AB$1006:$AQ$1006,0))&gt;=100000), " ",IF(INDEX($AB$2:$AQ$1001,MATCH(ROWS($U$2:U632),$U$2:$U$1001,0),MATCH(COLUMNS($AB$1006:AQ1006),$AB$1006:$AQ$1006,0)), HYPERLINK("#",""), HYPERLINK(CONCATENATE("#metadata!", ADDRESS(INDEX($W$2:$W$1001,MATCH(ROWS($U$2:U632),$U$2:$U$1001,0),0), INDEX($AB$1004:$AQ$1004,1,MATCH(COLUMNS($AB$1006:AQ1006),$AB$1006:$AQ$1006,0)))),"Fix")))</f>
        <v>0</v>
      </c>
      <c r="U632">
        <v>0</v>
      </c>
      <c r="V632">
        <v>0</v>
      </c>
      <c r="W632">
        <v>0</v>
      </c>
      <c r="X632">
        <f>IF(Y632,TRUE,AND(AB632:AQ632))</f>
        <v>0</v>
      </c>
      <c r="Y632">
        <f>COUNTBLANK(metadata!B632:Q632)=COLUMNS(metadata!B632:Q632)</f>
        <v>0</v>
      </c>
      <c r="Z632">
        <v>0</v>
      </c>
      <c r="AB632">
        <f>AND(IF(metadata!B632="",FALSE,TRUE),COUNTIF(metadata!B:B, metadata!B632) = 1,NOT(ISERROR(SUMPRODUCT(SEARCH(MID(metadata!B632,ROW(INDIRECT("1:"&amp;LEN(metadata!B632))), 1),"0123456789abcdefghijklmnopqrstuvwxyzABCDEFGHIJKLMNOPQRSTUVWXYZ.")))))</f>
        <v>0</v>
      </c>
      <c r="AC632">
        <f>OR(AND(IF(metadata!C632="",FALSE,TRUE),OR(exact(metadata!C632,"missing: not collected"),exact(metadata!C632,"missing: not provided"),exact(metadata!C632,"missing: restricted access"))),AND(IF(metadata!C632="",FALSE,TRUE),AND(AND(IFERROR(INT(LEFT(metadata!C632,4))&gt;1900,FALSE),IFERROR(INT(LEFT(metadata!C632,4))&lt;=YEAR(NOW()),FALSE)), OR(MID(metadata!C632,5,1)="", AND(AND(MID(metadata!C632,5,1)="-",IFERROR(INT(MID(metadata!C632,6,1))&gt;=0,FALSE),IFERROR(INT(MID(metadata!C632,6,1))&lt;=1,FALSE),NOT(MID(metadata!C632,7,1)=""),IFERROR(INT(MID(metadata!C632,6,2))&gt;=1,FALSE),IFERROR(INT(MID(metadata!C632,6,2))&lt;=12,FALSE)), OR(MID(metadata!C632,8,1)="", AND(AND(MID(metadata!C632,8,1)="-",IFERROR(INT(MID(metadata!C632,9,1))&gt;=0,FALSE),IFERROR(INT(MID(metadata!C632,9,1))&lt;=3,FALSE),NOT(MID(metadata!C632,10,1)=""),IFERROR(INT(MID(metadata!C632,9,2))&gt;=1,FALSE),IFERROR(INT(MID(metadata!C632,9,2))&lt;=31,FALSE)), OR(MID(metadata!C632,11,1)="", AND(AND(MID(metadata!C632,11,1)=" ",IFERROR(INT(MID(metadata!C632,12,1))&gt;=0,FALSE),IFERROR(INT(MID(metadata!C632,12,1))&lt;=2,FALSE),NOT(MID(metadata!C632,13,1)=""),IFERROR(INT(MID(metadata!C632,12,2))&gt;=0,FALSE),IFERROR(INT(MID(metadata!C632,12,2))&lt;=23,FALSE)), OR(MID(metadata!C632,14,1)="", AND(AND(MID(metadata!C632,14,1)=":",IFERROR(INT(MID(metadata!C632,15,1))&gt;=0,FALSE),IFERROR(INT(MID(metadata!C632,15,1))&lt;=5,FALSE),NOT(MID(metadata!C632,16,1)=""),IFERROR(INT(MID(metadata!C632,15,2))&gt;=0,FALSE),IFERROR(INT(MID(metadata!C632,15,2))&lt;=59,FALSE)), OR(MID(metadata!C632,17,1)="", AND(AND(MID(metadata!C632,17,1)=":",IFERROR(INT(MID(metadata!C632,18,1))&gt;=0,FALSE),IFERROR(INT(MID(metadata!C632,18,1))&lt;=5,FALSE),NOT(MID(metadata!C632,19,1)=""),IFERROR(INT(MID(metadata!C632,18,2))&gt;=0,FALSE),IFERROR(INT(MID(metadata!C632,18,2))&lt;=59,FALSE)), LEN(metadata!C632)&lt;=19)))))))))))))</f>
        <v>0</v>
      </c>
      <c r="AD632">
        <f>IF(metadata!D632="",FALSE,TRUE)</f>
        <v>0</v>
      </c>
      <c r="AE632">
        <f>OR(AND(IF(metadata!E632="",FALSE,TRUE),OR(exact(metadata!E632,"missing: not collected"),exact(metadata!E632,"missing: not provided"))),AND(IF(metadata!E632="",FALSE,TRUE),OR(exact(metadata!E632,"TRUE"),exact(metadata!E632,"FALSE"))))</f>
        <v>0</v>
      </c>
      <c r="AF632">
        <f>IF(metadata!F632="",FALSE,TRUE)</f>
        <v>0</v>
      </c>
      <c r="AG632">
        <f>IF(metadata!G632="",FALSE,TRUE)</f>
        <v>0</v>
      </c>
      <c r="AH632">
        <f>IF(metadata!H632="",FALSE,TRUE)</f>
        <v>0</v>
      </c>
      <c r="AI632">
        <f>OR(AND(IF(metadata!I632="",FALSE,TRUE),OR(exact(metadata!I632,"missing: not collected"),exact(metadata!I632,"missing: not provided"),exact(metadata!I632,"missing: restricted access"))),AND(IF(metadata!I632="",FALSE,TRUE),OR(exact(metadata!I632,"air"),exact(metadata!I632,"built environment"),exact(metadata!I632,"host-associated"),exact(metadata!I632,"human-associated"),exact(metadata!I632,"human-skin"),exact(metadata!I632,"human-oral"),exact(metadata!I632,"human-gut"),exact(metadata!I632,"human-vaginal"),exact(metadata!I632,"microbial mat/biofilm"),exact(metadata!I632,"misc environment"),exact(metadata!I632,"plant-associated"),exact(metadata!I632,"sediment"),exact(metadata!I632,"soil"),exact(metadata!I632,"wastewater/sludge"),exact(metadata!I632,"water"))))</f>
        <v>0</v>
      </c>
      <c r="AJ632">
        <f>IF(metadata!J632="",FALSE,TRUE)</f>
        <v>0</v>
      </c>
      <c r="AK632">
        <f>OR(AND(IF(metadata!K632="",FALSE,TRUE),OR(exact(metadata!K632,"missing: not collected"),exact(metadata!K632,"missing: not provided"),exact(metadata!K632,"missing: restricted access"))),AND(IF(metadata!K632="",FALSE,ISNUMBER(VALUE(metadata!K632))),metadata!K632&gt;=-90.00,metadata!K632&lt;=90.00))</f>
        <v>0</v>
      </c>
      <c r="AL632">
        <f>OR(AND(IF(metadata!L632="",FALSE,TRUE),OR(exact(metadata!L632,"missing: not collected"),exact(metadata!L632,"missing: not provided"),exact(metadata!L632,"missing: restricted access"))),AND(IF(metadata!L632="",FALSE,ISNUMBER(VALUE(metadata!L632))),metadata!L632&gt;=-180.00,metadata!L632&lt;=180.00))</f>
        <v>0</v>
      </c>
      <c r="AM632">
        <f>IF(metadata!M632="",FALSE,TRUE)</f>
        <v>0</v>
      </c>
      <c r="AN632">
        <f>OR(AND(IF(metadata!N632="",FALSE,TRUE),OR(exact(metadata!N632,"missing: not collected"),exact(metadata!N632,"missing: not provided"),exact(metadata!N632,"missing: restricted access"))),AND(IF(metadata!N632="",FALSE,TRUE),OR(exact(metadata!N632,"TRUE"),exact(metadata!N632,"FALSE"))))</f>
        <v>0</v>
      </c>
      <c r="AO632">
        <f>IF(metadata!O632="",FALSE,TRUE)</f>
        <v>0</v>
      </c>
      <c r="AP632">
        <f>OR(AND(IF(metadata!P632="",FALSE,TRUE),OR(exact(metadata!P632,"missing: not collected"),exact(metadata!P632,"missing: not provided"))),AND(IF(metadata!P632="",FALSE,IF(ISERROR(INT(metadata!P632)),FALSE,INT(metadata!P632)=metadata!P632)),metadata!P632&gt;0))</f>
        <v>0</v>
      </c>
      <c r="AQ632">
        <f>IF(metadata!Q632="",FALSE,TRUE)</f>
        <v>0</v>
      </c>
    </row>
    <row r="633" spans="1:43">
      <c r="A633" s="5">
        <f>IF(B633=" "," ",HYPERLINK(CONCATENATE("#metadata!",ADDRESS(INDEX($W$2:$W$1001,MATCH(ROWS($U$2:U633),$U$2:$U$1001,0),0),1)),INDEX($Z$2:$Z$1001,MATCH(ROWS($U$2:U633),$U$2:$U$1001,0),0)))</f>
        <v>0</v>
      </c>
      <c r="B633" s="4">
        <f>IF(OR(INDEX($V$2:$V$1001,MATCH(ROWS($U$2:U633),$U$2:$U$1001,0),1)&gt;=100000,INDEX($AB$1005:$AQ$1005,1,MATCH(COLUMNS($AB$1006:AB1006),$AB$1006:$AQ$1006,0))&gt;=100000), " ",IF(INDEX($AB$2:$AQ$1001,MATCH(ROWS($U$2:U633),$U$2:$U$1001,0),MATCH(COLUMNS($AB$1006:AB1006),$AB$1006:$AQ$1006,0)), HYPERLINK("#",""), HYPERLINK(CONCATENATE("#metadata!", ADDRESS(INDEX($W$2:$W$1001,MATCH(ROWS($U$2:U633),$U$2:$U$1001,0),0), INDEX($AB$1004:$AQ$1004,1,MATCH(COLUMNS($AB$1006:AB1006),$AB$1006:$AQ$1006,0)))),"Fix")))</f>
        <v>0</v>
      </c>
      <c r="C633" s="4">
        <f>IF(OR(INDEX($V$2:$V$1001,MATCH(ROWS($U$2:U633),$U$2:$U$1001,0),1)&gt;=100000,INDEX($AB$1005:$AQ$1005,1,MATCH(COLUMNS($AB$1006:AC1006),$AB$1006:$AQ$1006,0))&gt;=100000), " ",IF(INDEX($AB$2:$AQ$1001,MATCH(ROWS($U$2:U633),$U$2:$U$1001,0),MATCH(COLUMNS($AB$1006:AC1006),$AB$1006:$AQ$1006,0)), HYPERLINK("#",""), HYPERLINK(CONCATENATE("#metadata!", ADDRESS(INDEX($W$2:$W$1001,MATCH(ROWS($U$2:U633),$U$2:$U$1001,0),0), INDEX($AB$1004:$AQ$1004,1,MATCH(COLUMNS($AB$1006:AC1006),$AB$1006:$AQ$1006,0)))),"Fix")))</f>
        <v>0</v>
      </c>
      <c r="D633" s="4">
        <f>IF(OR(INDEX($V$2:$V$1001,MATCH(ROWS($U$2:U633),$U$2:$U$1001,0),1)&gt;=100000,INDEX($AB$1005:$AQ$1005,1,MATCH(COLUMNS($AB$1006:AD1006),$AB$1006:$AQ$1006,0))&gt;=100000), " ",IF(INDEX($AB$2:$AQ$1001,MATCH(ROWS($U$2:U633),$U$2:$U$1001,0),MATCH(COLUMNS($AB$1006:AD1006),$AB$1006:$AQ$1006,0)), HYPERLINK("#",""), HYPERLINK(CONCATENATE("#metadata!", ADDRESS(INDEX($W$2:$W$1001,MATCH(ROWS($U$2:U633),$U$2:$U$1001,0),0), INDEX($AB$1004:$AQ$1004,1,MATCH(COLUMNS($AB$1006:AD1006),$AB$1006:$AQ$1006,0)))),"Fix")))</f>
        <v>0</v>
      </c>
      <c r="E633" s="4">
        <f>IF(OR(INDEX($V$2:$V$1001,MATCH(ROWS($U$2:U633),$U$2:$U$1001,0),1)&gt;=100000,INDEX($AB$1005:$AQ$1005,1,MATCH(COLUMNS($AB$1006:AE1006),$AB$1006:$AQ$1006,0))&gt;=100000), " ",IF(INDEX($AB$2:$AQ$1001,MATCH(ROWS($U$2:U633),$U$2:$U$1001,0),MATCH(COLUMNS($AB$1006:AE1006),$AB$1006:$AQ$1006,0)), HYPERLINK("#",""), HYPERLINK(CONCATENATE("#metadata!", ADDRESS(INDEX($W$2:$W$1001,MATCH(ROWS($U$2:U633),$U$2:$U$1001,0),0), INDEX($AB$1004:$AQ$1004,1,MATCH(COLUMNS($AB$1006:AE1006),$AB$1006:$AQ$1006,0)))),"Fix")))</f>
        <v>0</v>
      </c>
      <c r="F633" s="4">
        <f>IF(OR(INDEX($V$2:$V$1001,MATCH(ROWS($U$2:U633),$U$2:$U$1001,0),1)&gt;=100000,INDEX($AB$1005:$AQ$1005,1,MATCH(COLUMNS($AB$1006:AF1006),$AB$1006:$AQ$1006,0))&gt;=100000), " ",IF(INDEX($AB$2:$AQ$1001,MATCH(ROWS($U$2:U633),$U$2:$U$1001,0),MATCH(COLUMNS($AB$1006:AF1006),$AB$1006:$AQ$1006,0)), HYPERLINK("#",""), HYPERLINK(CONCATENATE("#metadata!", ADDRESS(INDEX($W$2:$W$1001,MATCH(ROWS($U$2:U633),$U$2:$U$1001,0),0), INDEX($AB$1004:$AQ$1004,1,MATCH(COLUMNS($AB$1006:AF1006),$AB$1006:$AQ$1006,0)))),"Fix")))</f>
        <v>0</v>
      </c>
      <c r="G633" s="4">
        <f>IF(OR(INDEX($V$2:$V$1001,MATCH(ROWS($U$2:U633),$U$2:$U$1001,0),1)&gt;=100000,INDEX($AB$1005:$AQ$1005,1,MATCH(COLUMNS($AB$1006:AG1006),$AB$1006:$AQ$1006,0))&gt;=100000), " ",IF(INDEX($AB$2:$AQ$1001,MATCH(ROWS($U$2:U633),$U$2:$U$1001,0),MATCH(COLUMNS($AB$1006:AG1006),$AB$1006:$AQ$1006,0)), HYPERLINK("#",""), HYPERLINK(CONCATENATE("#metadata!", ADDRESS(INDEX($W$2:$W$1001,MATCH(ROWS($U$2:U633),$U$2:$U$1001,0),0), INDEX($AB$1004:$AQ$1004,1,MATCH(COLUMNS($AB$1006:AG1006),$AB$1006:$AQ$1006,0)))),"Fix")))</f>
        <v>0</v>
      </c>
      <c r="H633" s="4">
        <f>IF(OR(INDEX($V$2:$V$1001,MATCH(ROWS($U$2:U633),$U$2:$U$1001,0),1)&gt;=100000,INDEX($AB$1005:$AQ$1005,1,MATCH(COLUMNS($AB$1006:AH1006),$AB$1006:$AQ$1006,0))&gt;=100000), " ",IF(INDEX($AB$2:$AQ$1001,MATCH(ROWS($U$2:U633),$U$2:$U$1001,0),MATCH(COLUMNS($AB$1006:AH1006),$AB$1006:$AQ$1006,0)), HYPERLINK("#",""), HYPERLINK(CONCATENATE("#metadata!", ADDRESS(INDEX($W$2:$W$1001,MATCH(ROWS($U$2:U633),$U$2:$U$1001,0),0), INDEX($AB$1004:$AQ$1004,1,MATCH(COLUMNS($AB$1006:AH1006),$AB$1006:$AQ$1006,0)))),"Fix")))</f>
        <v>0</v>
      </c>
      <c r="I633" s="4">
        <f>IF(OR(INDEX($V$2:$V$1001,MATCH(ROWS($U$2:U633),$U$2:$U$1001,0),1)&gt;=100000,INDEX($AB$1005:$AQ$1005,1,MATCH(COLUMNS($AB$1006:AI1006),$AB$1006:$AQ$1006,0))&gt;=100000), " ",IF(INDEX($AB$2:$AQ$1001,MATCH(ROWS($U$2:U633),$U$2:$U$1001,0),MATCH(COLUMNS($AB$1006:AI1006),$AB$1006:$AQ$1006,0)), HYPERLINK("#",""), HYPERLINK(CONCATENATE("#metadata!", ADDRESS(INDEX($W$2:$W$1001,MATCH(ROWS($U$2:U633),$U$2:$U$1001,0),0), INDEX($AB$1004:$AQ$1004,1,MATCH(COLUMNS($AB$1006:AI1006),$AB$1006:$AQ$1006,0)))),"Fix")))</f>
        <v>0</v>
      </c>
      <c r="J633" s="4">
        <f>IF(OR(INDEX($V$2:$V$1001,MATCH(ROWS($U$2:U633),$U$2:$U$1001,0),1)&gt;=100000,INDEX($AB$1005:$AQ$1005,1,MATCH(COLUMNS($AB$1006:AJ1006),$AB$1006:$AQ$1006,0))&gt;=100000), " ",IF(INDEX($AB$2:$AQ$1001,MATCH(ROWS($U$2:U633),$U$2:$U$1001,0),MATCH(COLUMNS($AB$1006:AJ1006),$AB$1006:$AQ$1006,0)), HYPERLINK("#",""), HYPERLINK(CONCATENATE("#metadata!", ADDRESS(INDEX($W$2:$W$1001,MATCH(ROWS($U$2:U633),$U$2:$U$1001,0),0), INDEX($AB$1004:$AQ$1004,1,MATCH(COLUMNS($AB$1006:AJ1006),$AB$1006:$AQ$1006,0)))),"Fix")))</f>
        <v>0</v>
      </c>
      <c r="K633" s="4">
        <f>IF(OR(INDEX($V$2:$V$1001,MATCH(ROWS($U$2:U633),$U$2:$U$1001,0),1)&gt;=100000,INDEX($AB$1005:$AQ$1005,1,MATCH(COLUMNS($AB$1006:AK1006),$AB$1006:$AQ$1006,0))&gt;=100000), " ",IF(INDEX($AB$2:$AQ$1001,MATCH(ROWS($U$2:U633),$U$2:$U$1001,0),MATCH(COLUMNS($AB$1006:AK1006),$AB$1006:$AQ$1006,0)), HYPERLINK("#",""), HYPERLINK(CONCATENATE("#metadata!", ADDRESS(INDEX($W$2:$W$1001,MATCH(ROWS($U$2:U633),$U$2:$U$1001,0),0), INDEX($AB$1004:$AQ$1004,1,MATCH(COLUMNS($AB$1006:AK1006),$AB$1006:$AQ$1006,0)))),"Fix")))</f>
        <v>0</v>
      </c>
      <c r="L633" s="4">
        <f>IF(OR(INDEX($V$2:$V$1001,MATCH(ROWS($U$2:U633),$U$2:$U$1001,0),1)&gt;=100000,INDEX($AB$1005:$AQ$1005,1,MATCH(COLUMNS($AB$1006:AL1006),$AB$1006:$AQ$1006,0))&gt;=100000), " ",IF(INDEX($AB$2:$AQ$1001,MATCH(ROWS($U$2:U633),$U$2:$U$1001,0),MATCH(COLUMNS($AB$1006:AL1006),$AB$1006:$AQ$1006,0)), HYPERLINK("#",""), HYPERLINK(CONCATENATE("#metadata!", ADDRESS(INDEX($W$2:$W$1001,MATCH(ROWS($U$2:U633),$U$2:$U$1001,0),0), INDEX($AB$1004:$AQ$1004,1,MATCH(COLUMNS($AB$1006:AL1006),$AB$1006:$AQ$1006,0)))),"Fix")))</f>
        <v>0</v>
      </c>
      <c r="M633" s="4">
        <f>IF(OR(INDEX($V$2:$V$1001,MATCH(ROWS($U$2:U633),$U$2:$U$1001,0),1)&gt;=100000,INDEX($AB$1005:$AQ$1005,1,MATCH(COLUMNS($AB$1006:AM1006),$AB$1006:$AQ$1006,0))&gt;=100000), " ",IF(INDEX($AB$2:$AQ$1001,MATCH(ROWS($U$2:U633),$U$2:$U$1001,0),MATCH(COLUMNS($AB$1006:AM1006),$AB$1006:$AQ$1006,0)), HYPERLINK("#",""), HYPERLINK(CONCATENATE("#metadata!", ADDRESS(INDEX($W$2:$W$1001,MATCH(ROWS($U$2:U633),$U$2:$U$1001,0),0), INDEX($AB$1004:$AQ$1004,1,MATCH(COLUMNS($AB$1006:AM1006),$AB$1006:$AQ$1006,0)))),"Fix")))</f>
        <v>0</v>
      </c>
      <c r="N633" s="4">
        <f>IF(OR(INDEX($V$2:$V$1001,MATCH(ROWS($U$2:U633),$U$2:$U$1001,0),1)&gt;=100000,INDEX($AB$1005:$AQ$1005,1,MATCH(COLUMNS($AB$1006:AN1006),$AB$1006:$AQ$1006,0))&gt;=100000), " ",IF(INDEX($AB$2:$AQ$1001,MATCH(ROWS($U$2:U633),$U$2:$U$1001,0),MATCH(COLUMNS($AB$1006:AN1006),$AB$1006:$AQ$1006,0)), HYPERLINK("#",""), HYPERLINK(CONCATENATE("#metadata!", ADDRESS(INDEX($W$2:$W$1001,MATCH(ROWS($U$2:U633),$U$2:$U$1001,0),0), INDEX($AB$1004:$AQ$1004,1,MATCH(COLUMNS($AB$1006:AN1006),$AB$1006:$AQ$1006,0)))),"Fix")))</f>
        <v>0</v>
      </c>
      <c r="O633" s="4">
        <f>IF(OR(INDEX($V$2:$V$1001,MATCH(ROWS($U$2:U633),$U$2:$U$1001,0),1)&gt;=100000,INDEX($AB$1005:$AQ$1005,1,MATCH(COLUMNS($AB$1006:AO1006),$AB$1006:$AQ$1006,0))&gt;=100000), " ",IF(INDEX($AB$2:$AQ$1001,MATCH(ROWS($U$2:U633),$U$2:$U$1001,0),MATCH(COLUMNS($AB$1006:AO1006),$AB$1006:$AQ$1006,0)), HYPERLINK("#",""), HYPERLINK(CONCATENATE("#metadata!", ADDRESS(INDEX($W$2:$W$1001,MATCH(ROWS($U$2:U633),$U$2:$U$1001,0),0), INDEX($AB$1004:$AQ$1004,1,MATCH(COLUMNS($AB$1006:AO1006),$AB$1006:$AQ$1006,0)))),"Fix")))</f>
        <v>0</v>
      </c>
      <c r="P633" s="4">
        <f>IF(OR(INDEX($V$2:$V$1001,MATCH(ROWS($U$2:U633),$U$2:$U$1001,0),1)&gt;=100000,INDEX($AB$1005:$AQ$1005,1,MATCH(COLUMNS($AB$1006:AP1006),$AB$1006:$AQ$1006,0))&gt;=100000), " ",IF(INDEX($AB$2:$AQ$1001,MATCH(ROWS($U$2:U633),$U$2:$U$1001,0),MATCH(COLUMNS($AB$1006:AP1006),$AB$1006:$AQ$1006,0)), HYPERLINK("#",""), HYPERLINK(CONCATENATE("#metadata!", ADDRESS(INDEX($W$2:$W$1001,MATCH(ROWS($U$2:U633),$U$2:$U$1001,0),0), INDEX($AB$1004:$AQ$1004,1,MATCH(COLUMNS($AB$1006:AP1006),$AB$1006:$AQ$1006,0)))),"Fix")))</f>
        <v>0</v>
      </c>
      <c r="Q633" s="4">
        <f>IF(OR(INDEX($V$2:$V$1001,MATCH(ROWS($U$2:U633),$U$2:$U$1001,0),1)&gt;=100000,INDEX($AB$1005:$AQ$1005,1,MATCH(COLUMNS($AB$1006:AQ1006),$AB$1006:$AQ$1006,0))&gt;=100000), " ",IF(INDEX($AB$2:$AQ$1001,MATCH(ROWS($U$2:U633),$U$2:$U$1001,0),MATCH(COLUMNS($AB$1006:AQ1006),$AB$1006:$AQ$1006,0)), HYPERLINK("#",""), HYPERLINK(CONCATENATE("#metadata!", ADDRESS(INDEX($W$2:$W$1001,MATCH(ROWS($U$2:U633),$U$2:$U$1001,0),0), INDEX($AB$1004:$AQ$1004,1,MATCH(COLUMNS($AB$1006:AQ1006),$AB$1006:$AQ$1006,0)))),"Fix")))</f>
        <v>0</v>
      </c>
      <c r="U633">
        <v>0</v>
      </c>
      <c r="V633">
        <v>0</v>
      </c>
      <c r="W633">
        <v>0</v>
      </c>
      <c r="X633">
        <f>IF(Y633,TRUE,AND(AB633:AQ633))</f>
        <v>0</v>
      </c>
      <c r="Y633">
        <f>COUNTBLANK(metadata!B633:Q633)=COLUMNS(metadata!B633:Q633)</f>
        <v>0</v>
      </c>
      <c r="Z633">
        <v>0</v>
      </c>
      <c r="AB633">
        <f>AND(IF(metadata!B633="",FALSE,TRUE),COUNTIF(metadata!B:B, metadata!B633) = 1,NOT(ISERROR(SUMPRODUCT(SEARCH(MID(metadata!B633,ROW(INDIRECT("1:"&amp;LEN(metadata!B633))), 1),"0123456789abcdefghijklmnopqrstuvwxyzABCDEFGHIJKLMNOPQRSTUVWXYZ.")))))</f>
        <v>0</v>
      </c>
      <c r="AC633">
        <f>OR(AND(IF(metadata!C633="",FALSE,TRUE),OR(exact(metadata!C633,"missing: not collected"),exact(metadata!C633,"missing: not provided"),exact(metadata!C633,"missing: restricted access"))),AND(IF(metadata!C633="",FALSE,TRUE),AND(AND(IFERROR(INT(LEFT(metadata!C633,4))&gt;1900,FALSE),IFERROR(INT(LEFT(metadata!C633,4))&lt;=YEAR(NOW()),FALSE)), OR(MID(metadata!C633,5,1)="", AND(AND(MID(metadata!C633,5,1)="-",IFERROR(INT(MID(metadata!C633,6,1))&gt;=0,FALSE),IFERROR(INT(MID(metadata!C633,6,1))&lt;=1,FALSE),NOT(MID(metadata!C633,7,1)=""),IFERROR(INT(MID(metadata!C633,6,2))&gt;=1,FALSE),IFERROR(INT(MID(metadata!C633,6,2))&lt;=12,FALSE)), OR(MID(metadata!C633,8,1)="", AND(AND(MID(metadata!C633,8,1)="-",IFERROR(INT(MID(metadata!C633,9,1))&gt;=0,FALSE),IFERROR(INT(MID(metadata!C633,9,1))&lt;=3,FALSE),NOT(MID(metadata!C633,10,1)=""),IFERROR(INT(MID(metadata!C633,9,2))&gt;=1,FALSE),IFERROR(INT(MID(metadata!C633,9,2))&lt;=31,FALSE)), OR(MID(metadata!C633,11,1)="", AND(AND(MID(metadata!C633,11,1)=" ",IFERROR(INT(MID(metadata!C633,12,1))&gt;=0,FALSE),IFERROR(INT(MID(metadata!C633,12,1))&lt;=2,FALSE),NOT(MID(metadata!C633,13,1)=""),IFERROR(INT(MID(metadata!C633,12,2))&gt;=0,FALSE),IFERROR(INT(MID(metadata!C633,12,2))&lt;=23,FALSE)), OR(MID(metadata!C633,14,1)="", AND(AND(MID(metadata!C633,14,1)=":",IFERROR(INT(MID(metadata!C633,15,1))&gt;=0,FALSE),IFERROR(INT(MID(metadata!C633,15,1))&lt;=5,FALSE),NOT(MID(metadata!C633,16,1)=""),IFERROR(INT(MID(metadata!C633,15,2))&gt;=0,FALSE),IFERROR(INT(MID(metadata!C633,15,2))&lt;=59,FALSE)), OR(MID(metadata!C633,17,1)="", AND(AND(MID(metadata!C633,17,1)=":",IFERROR(INT(MID(metadata!C633,18,1))&gt;=0,FALSE),IFERROR(INT(MID(metadata!C633,18,1))&lt;=5,FALSE),NOT(MID(metadata!C633,19,1)=""),IFERROR(INT(MID(metadata!C633,18,2))&gt;=0,FALSE),IFERROR(INT(MID(metadata!C633,18,2))&lt;=59,FALSE)), LEN(metadata!C633)&lt;=19)))))))))))))</f>
        <v>0</v>
      </c>
      <c r="AD633">
        <f>IF(metadata!D633="",FALSE,TRUE)</f>
        <v>0</v>
      </c>
      <c r="AE633">
        <f>OR(AND(IF(metadata!E633="",FALSE,TRUE),OR(exact(metadata!E633,"missing: not collected"),exact(metadata!E633,"missing: not provided"))),AND(IF(metadata!E633="",FALSE,TRUE),OR(exact(metadata!E633,"TRUE"),exact(metadata!E633,"FALSE"))))</f>
        <v>0</v>
      </c>
      <c r="AF633">
        <f>IF(metadata!F633="",FALSE,TRUE)</f>
        <v>0</v>
      </c>
      <c r="AG633">
        <f>IF(metadata!G633="",FALSE,TRUE)</f>
        <v>0</v>
      </c>
      <c r="AH633">
        <f>IF(metadata!H633="",FALSE,TRUE)</f>
        <v>0</v>
      </c>
      <c r="AI633">
        <f>OR(AND(IF(metadata!I633="",FALSE,TRUE),OR(exact(metadata!I633,"missing: not collected"),exact(metadata!I633,"missing: not provided"),exact(metadata!I633,"missing: restricted access"))),AND(IF(metadata!I633="",FALSE,TRUE),OR(exact(metadata!I633,"air"),exact(metadata!I633,"built environment"),exact(metadata!I633,"host-associated"),exact(metadata!I633,"human-associated"),exact(metadata!I633,"human-skin"),exact(metadata!I633,"human-oral"),exact(metadata!I633,"human-gut"),exact(metadata!I633,"human-vaginal"),exact(metadata!I633,"microbial mat/biofilm"),exact(metadata!I633,"misc environment"),exact(metadata!I633,"plant-associated"),exact(metadata!I633,"sediment"),exact(metadata!I633,"soil"),exact(metadata!I633,"wastewater/sludge"),exact(metadata!I633,"water"))))</f>
        <v>0</v>
      </c>
      <c r="AJ633">
        <f>IF(metadata!J633="",FALSE,TRUE)</f>
        <v>0</v>
      </c>
      <c r="AK633">
        <f>OR(AND(IF(metadata!K633="",FALSE,TRUE),OR(exact(metadata!K633,"missing: not collected"),exact(metadata!K633,"missing: not provided"),exact(metadata!K633,"missing: restricted access"))),AND(IF(metadata!K633="",FALSE,ISNUMBER(VALUE(metadata!K633))),metadata!K633&gt;=-90.00,metadata!K633&lt;=90.00))</f>
        <v>0</v>
      </c>
      <c r="AL633">
        <f>OR(AND(IF(metadata!L633="",FALSE,TRUE),OR(exact(metadata!L633,"missing: not collected"),exact(metadata!L633,"missing: not provided"),exact(metadata!L633,"missing: restricted access"))),AND(IF(metadata!L633="",FALSE,ISNUMBER(VALUE(metadata!L633))),metadata!L633&gt;=-180.00,metadata!L633&lt;=180.00))</f>
        <v>0</v>
      </c>
      <c r="AM633">
        <f>IF(metadata!M633="",FALSE,TRUE)</f>
        <v>0</v>
      </c>
      <c r="AN633">
        <f>OR(AND(IF(metadata!N633="",FALSE,TRUE),OR(exact(metadata!N633,"missing: not collected"),exact(metadata!N633,"missing: not provided"),exact(metadata!N633,"missing: restricted access"))),AND(IF(metadata!N633="",FALSE,TRUE),OR(exact(metadata!N633,"TRUE"),exact(metadata!N633,"FALSE"))))</f>
        <v>0</v>
      </c>
      <c r="AO633">
        <f>IF(metadata!O633="",FALSE,TRUE)</f>
        <v>0</v>
      </c>
      <c r="AP633">
        <f>OR(AND(IF(metadata!P633="",FALSE,TRUE),OR(exact(metadata!P633,"missing: not collected"),exact(metadata!P633,"missing: not provided"))),AND(IF(metadata!P633="",FALSE,IF(ISERROR(INT(metadata!P633)),FALSE,INT(metadata!P633)=metadata!P633)),metadata!P633&gt;0))</f>
        <v>0</v>
      </c>
      <c r="AQ633">
        <f>IF(metadata!Q633="",FALSE,TRUE)</f>
        <v>0</v>
      </c>
    </row>
    <row r="634" spans="1:43">
      <c r="A634" s="5">
        <f>IF(B634=" "," ",HYPERLINK(CONCATENATE("#metadata!",ADDRESS(INDEX($W$2:$W$1001,MATCH(ROWS($U$2:U634),$U$2:$U$1001,0),0),1)),INDEX($Z$2:$Z$1001,MATCH(ROWS($U$2:U634),$U$2:$U$1001,0),0)))</f>
        <v>0</v>
      </c>
      <c r="B634" s="4">
        <f>IF(OR(INDEX($V$2:$V$1001,MATCH(ROWS($U$2:U634),$U$2:$U$1001,0),1)&gt;=100000,INDEX($AB$1005:$AQ$1005,1,MATCH(COLUMNS($AB$1006:AB1006),$AB$1006:$AQ$1006,0))&gt;=100000), " ",IF(INDEX($AB$2:$AQ$1001,MATCH(ROWS($U$2:U634),$U$2:$U$1001,0),MATCH(COLUMNS($AB$1006:AB1006),$AB$1006:$AQ$1006,0)), HYPERLINK("#",""), HYPERLINK(CONCATENATE("#metadata!", ADDRESS(INDEX($W$2:$W$1001,MATCH(ROWS($U$2:U634),$U$2:$U$1001,0),0), INDEX($AB$1004:$AQ$1004,1,MATCH(COLUMNS($AB$1006:AB1006),$AB$1006:$AQ$1006,0)))),"Fix")))</f>
        <v>0</v>
      </c>
      <c r="C634" s="4">
        <f>IF(OR(INDEX($V$2:$V$1001,MATCH(ROWS($U$2:U634),$U$2:$U$1001,0),1)&gt;=100000,INDEX($AB$1005:$AQ$1005,1,MATCH(COLUMNS($AB$1006:AC1006),$AB$1006:$AQ$1006,0))&gt;=100000), " ",IF(INDEX($AB$2:$AQ$1001,MATCH(ROWS($U$2:U634),$U$2:$U$1001,0),MATCH(COLUMNS($AB$1006:AC1006),$AB$1006:$AQ$1006,0)), HYPERLINK("#",""), HYPERLINK(CONCATENATE("#metadata!", ADDRESS(INDEX($W$2:$W$1001,MATCH(ROWS($U$2:U634),$U$2:$U$1001,0),0), INDEX($AB$1004:$AQ$1004,1,MATCH(COLUMNS($AB$1006:AC1006),$AB$1006:$AQ$1006,0)))),"Fix")))</f>
        <v>0</v>
      </c>
      <c r="D634" s="4">
        <f>IF(OR(INDEX($V$2:$V$1001,MATCH(ROWS($U$2:U634),$U$2:$U$1001,0),1)&gt;=100000,INDEX($AB$1005:$AQ$1005,1,MATCH(COLUMNS($AB$1006:AD1006),$AB$1006:$AQ$1006,0))&gt;=100000), " ",IF(INDEX($AB$2:$AQ$1001,MATCH(ROWS($U$2:U634),$U$2:$U$1001,0),MATCH(COLUMNS($AB$1006:AD1006),$AB$1006:$AQ$1006,0)), HYPERLINK("#",""), HYPERLINK(CONCATENATE("#metadata!", ADDRESS(INDEX($W$2:$W$1001,MATCH(ROWS($U$2:U634),$U$2:$U$1001,0),0), INDEX($AB$1004:$AQ$1004,1,MATCH(COLUMNS($AB$1006:AD1006),$AB$1006:$AQ$1006,0)))),"Fix")))</f>
        <v>0</v>
      </c>
      <c r="E634" s="4">
        <f>IF(OR(INDEX($V$2:$V$1001,MATCH(ROWS($U$2:U634),$U$2:$U$1001,0),1)&gt;=100000,INDEX($AB$1005:$AQ$1005,1,MATCH(COLUMNS($AB$1006:AE1006),$AB$1006:$AQ$1006,0))&gt;=100000), " ",IF(INDEX($AB$2:$AQ$1001,MATCH(ROWS($U$2:U634),$U$2:$U$1001,0),MATCH(COLUMNS($AB$1006:AE1006),$AB$1006:$AQ$1006,0)), HYPERLINK("#",""), HYPERLINK(CONCATENATE("#metadata!", ADDRESS(INDEX($W$2:$W$1001,MATCH(ROWS($U$2:U634),$U$2:$U$1001,0),0), INDEX($AB$1004:$AQ$1004,1,MATCH(COLUMNS($AB$1006:AE1006),$AB$1006:$AQ$1006,0)))),"Fix")))</f>
        <v>0</v>
      </c>
      <c r="F634" s="4">
        <f>IF(OR(INDEX($V$2:$V$1001,MATCH(ROWS($U$2:U634),$U$2:$U$1001,0),1)&gt;=100000,INDEX($AB$1005:$AQ$1005,1,MATCH(COLUMNS($AB$1006:AF1006),$AB$1006:$AQ$1006,0))&gt;=100000), " ",IF(INDEX($AB$2:$AQ$1001,MATCH(ROWS($U$2:U634),$U$2:$U$1001,0),MATCH(COLUMNS($AB$1006:AF1006),$AB$1006:$AQ$1006,0)), HYPERLINK("#",""), HYPERLINK(CONCATENATE("#metadata!", ADDRESS(INDEX($W$2:$W$1001,MATCH(ROWS($U$2:U634),$U$2:$U$1001,0),0), INDEX($AB$1004:$AQ$1004,1,MATCH(COLUMNS($AB$1006:AF1006),$AB$1006:$AQ$1006,0)))),"Fix")))</f>
        <v>0</v>
      </c>
      <c r="G634" s="4">
        <f>IF(OR(INDEX($V$2:$V$1001,MATCH(ROWS($U$2:U634),$U$2:$U$1001,0),1)&gt;=100000,INDEX($AB$1005:$AQ$1005,1,MATCH(COLUMNS($AB$1006:AG1006),$AB$1006:$AQ$1006,0))&gt;=100000), " ",IF(INDEX($AB$2:$AQ$1001,MATCH(ROWS($U$2:U634),$U$2:$U$1001,0),MATCH(COLUMNS($AB$1006:AG1006),$AB$1006:$AQ$1006,0)), HYPERLINK("#",""), HYPERLINK(CONCATENATE("#metadata!", ADDRESS(INDEX($W$2:$W$1001,MATCH(ROWS($U$2:U634),$U$2:$U$1001,0),0), INDEX($AB$1004:$AQ$1004,1,MATCH(COLUMNS($AB$1006:AG1006),$AB$1006:$AQ$1006,0)))),"Fix")))</f>
        <v>0</v>
      </c>
      <c r="H634" s="4">
        <f>IF(OR(INDEX($V$2:$V$1001,MATCH(ROWS($U$2:U634),$U$2:$U$1001,0),1)&gt;=100000,INDEX($AB$1005:$AQ$1005,1,MATCH(COLUMNS($AB$1006:AH1006),$AB$1006:$AQ$1006,0))&gt;=100000), " ",IF(INDEX($AB$2:$AQ$1001,MATCH(ROWS($U$2:U634),$U$2:$U$1001,0),MATCH(COLUMNS($AB$1006:AH1006),$AB$1006:$AQ$1006,0)), HYPERLINK("#",""), HYPERLINK(CONCATENATE("#metadata!", ADDRESS(INDEX($W$2:$W$1001,MATCH(ROWS($U$2:U634),$U$2:$U$1001,0),0), INDEX($AB$1004:$AQ$1004,1,MATCH(COLUMNS($AB$1006:AH1006),$AB$1006:$AQ$1006,0)))),"Fix")))</f>
        <v>0</v>
      </c>
      <c r="I634" s="4">
        <f>IF(OR(INDEX($V$2:$V$1001,MATCH(ROWS($U$2:U634),$U$2:$U$1001,0),1)&gt;=100000,INDEX($AB$1005:$AQ$1005,1,MATCH(COLUMNS($AB$1006:AI1006),$AB$1006:$AQ$1006,0))&gt;=100000), " ",IF(INDEX($AB$2:$AQ$1001,MATCH(ROWS($U$2:U634),$U$2:$U$1001,0),MATCH(COLUMNS($AB$1006:AI1006),$AB$1006:$AQ$1006,0)), HYPERLINK("#",""), HYPERLINK(CONCATENATE("#metadata!", ADDRESS(INDEX($W$2:$W$1001,MATCH(ROWS($U$2:U634),$U$2:$U$1001,0),0), INDEX($AB$1004:$AQ$1004,1,MATCH(COLUMNS($AB$1006:AI1006),$AB$1006:$AQ$1006,0)))),"Fix")))</f>
        <v>0</v>
      </c>
      <c r="J634" s="4">
        <f>IF(OR(INDEX($V$2:$V$1001,MATCH(ROWS($U$2:U634),$U$2:$U$1001,0),1)&gt;=100000,INDEX($AB$1005:$AQ$1005,1,MATCH(COLUMNS($AB$1006:AJ1006),$AB$1006:$AQ$1006,0))&gt;=100000), " ",IF(INDEX($AB$2:$AQ$1001,MATCH(ROWS($U$2:U634),$U$2:$U$1001,0),MATCH(COLUMNS($AB$1006:AJ1006),$AB$1006:$AQ$1006,0)), HYPERLINK("#",""), HYPERLINK(CONCATENATE("#metadata!", ADDRESS(INDEX($W$2:$W$1001,MATCH(ROWS($U$2:U634),$U$2:$U$1001,0),0), INDEX($AB$1004:$AQ$1004,1,MATCH(COLUMNS($AB$1006:AJ1006),$AB$1006:$AQ$1006,0)))),"Fix")))</f>
        <v>0</v>
      </c>
      <c r="K634" s="4">
        <f>IF(OR(INDEX($V$2:$V$1001,MATCH(ROWS($U$2:U634),$U$2:$U$1001,0),1)&gt;=100000,INDEX($AB$1005:$AQ$1005,1,MATCH(COLUMNS($AB$1006:AK1006),$AB$1006:$AQ$1006,0))&gt;=100000), " ",IF(INDEX($AB$2:$AQ$1001,MATCH(ROWS($U$2:U634),$U$2:$U$1001,0),MATCH(COLUMNS($AB$1006:AK1006),$AB$1006:$AQ$1006,0)), HYPERLINK("#",""), HYPERLINK(CONCATENATE("#metadata!", ADDRESS(INDEX($W$2:$W$1001,MATCH(ROWS($U$2:U634),$U$2:$U$1001,0),0), INDEX($AB$1004:$AQ$1004,1,MATCH(COLUMNS($AB$1006:AK1006),$AB$1006:$AQ$1006,0)))),"Fix")))</f>
        <v>0</v>
      </c>
      <c r="L634" s="4">
        <f>IF(OR(INDEX($V$2:$V$1001,MATCH(ROWS($U$2:U634),$U$2:$U$1001,0),1)&gt;=100000,INDEX($AB$1005:$AQ$1005,1,MATCH(COLUMNS($AB$1006:AL1006),$AB$1006:$AQ$1006,0))&gt;=100000), " ",IF(INDEX($AB$2:$AQ$1001,MATCH(ROWS($U$2:U634),$U$2:$U$1001,0),MATCH(COLUMNS($AB$1006:AL1006),$AB$1006:$AQ$1006,0)), HYPERLINK("#",""), HYPERLINK(CONCATENATE("#metadata!", ADDRESS(INDEX($W$2:$W$1001,MATCH(ROWS($U$2:U634),$U$2:$U$1001,0),0), INDEX($AB$1004:$AQ$1004,1,MATCH(COLUMNS($AB$1006:AL1006),$AB$1006:$AQ$1006,0)))),"Fix")))</f>
        <v>0</v>
      </c>
      <c r="M634" s="4">
        <f>IF(OR(INDEX($V$2:$V$1001,MATCH(ROWS($U$2:U634),$U$2:$U$1001,0),1)&gt;=100000,INDEX($AB$1005:$AQ$1005,1,MATCH(COLUMNS($AB$1006:AM1006),$AB$1006:$AQ$1006,0))&gt;=100000), " ",IF(INDEX($AB$2:$AQ$1001,MATCH(ROWS($U$2:U634),$U$2:$U$1001,0),MATCH(COLUMNS($AB$1006:AM1006),$AB$1006:$AQ$1006,0)), HYPERLINK("#",""), HYPERLINK(CONCATENATE("#metadata!", ADDRESS(INDEX($W$2:$W$1001,MATCH(ROWS($U$2:U634),$U$2:$U$1001,0),0), INDEX($AB$1004:$AQ$1004,1,MATCH(COLUMNS($AB$1006:AM1006),$AB$1006:$AQ$1006,0)))),"Fix")))</f>
        <v>0</v>
      </c>
      <c r="N634" s="4">
        <f>IF(OR(INDEX($V$2:$V$1001,MATCH(ROWS($U$2:U634),$U$2:$U$1001,0),1)&gt;=100000,INDEX($AB$1005:$AQ$1005,1,MATCH(COLUMNS($AB$1006:AN1006),$AB$1006:$AQ$1006,0))&gt;=100000), " ",IF(INDEX($AB$2:$AQ$1001,MATCH(ROWS($U$2:U634),$U$2:$U$1001,0),MATCH(COLUMNS($AB$1006:AN1006),$AB$1006:$AQ$1006,0)), HYPERLINK("#",""), HYPERLINK(CONCATENATE("#metadata!", ADDRESS(INDEX($W$2:$W$1001,MATCH(ROWS($U$2:U634),$U$2:$U$1001,0),0), INDEX($AB$1004:$AQ$1004,1,MATCH(COLUMNS($AB$1006:AN1006),$AB$1006:$AQ$1006,0)))),"Fix")))</f>
        <v>0</v>
      </c>
      <c r="O634" s="4">
        <f>IF(OR(INDEX($V$2:$V$1001,MATCH(ROWS($U$2:U634),$U$2:$U$1001,0),1)&gt;=100000,INDEX($AB$1005:$AQ$1005,1,MATCH(COLUMNS($AB$1006:AO1006),$AB$1006:$AQ$1006,0))&gt;=100000), " ",IF(INDEX($AB$2:$AQ$1001,MATCH(ROWS($U$2:U634),$U$2:$U$1001,0),MATCH(COLUMNS($AB$1006:AO1006),$AB$1006:$AQ$1006,0)), HYPERLINK("#",""), HYPERLINK(CONCATENATE("#metadata!", ADDRESS(INDEX($W$2:$W$1001,MATCH(ROWS($U$2:U634),$U$2:$U$1001,0),0), INDEX($AB$1004:$AQ$1004,1,MATCH(COLUMNS($AB$1006:AO1006),$AB$1006:$AQ$1006,0)))),"Fix")))</f>
        <v>0</v>
      </c>
      <c r="P634" s="4">
        <f>IF(OR(INDEX($V$2:$V$1001,MATCH(ROWS($U$2:U634),$U$2:$U$1001,0),1)&gt;=100000,INDEX($AB$1005:$AQ$1005,1,MATCH(COLUMNS($AB$1006:AP1006),$AB$1006:$AQ$1006,0))&gt;=100000), " ",IF(INDEX($AB$2:$AQ$1001,MATCH(ROWS($U$2:U634),$U$2:$U$1001,0),MATCH(COLUMNS($AB$1006:AP1006),$AB$1006:$AQ$1006,0)), HYPERLINK("#",""), HYPERLINK(CONCATENATE("#metadata!", ADDRESS(INDEX($W$2:$W$1001,MATCH(ROWS($U$2:U634),$U$2:$U$1001,0),0), INDEX($AB$1004:$AQ$1004,1,MATCH(COLUMNS($AB$1006:AP1006),$AB$1006:$AQ$1006,0)))),"Fix")))</f>
        <v>0</v>
      </c>
      <c r="Q634" s="4">
        <f>IF(OR(INDEX($V$2:$V$1001,MATCH(ROWS($U$2:U634),$U$2:$U$1001,0),1)&gt;=100000,INDEX($AB$1005:$AQ$1005,1,MATCH(COLUMNS($AB$1006:AQ1006),$AB$1006:$AQ$1006,0))&gt;=100000), " ",IF(INDEX($AB$2:$AQ$1001,MATCH(ROWS($U$2:U634),$U$2:$U$1001,0),MATCH(COLUMNS($AB$1006:AQ1006),$AB$1006:$AQ$1006,0)), HYPERLINK("#",""), HYPERLINK(CONCATENATE("#metadata!", ADDRESS(INDEX($W$2:$W$1001,MATCH(ROWS($U$2:U634),$U$2:$U$1001,0),0), INDEX($AB$1004:$AQ$1004,1,MATCH(COLUMNS($AB$1006:AQ1006),$AB$1006:$AQ$1006,0)))),"Fix")))</f>
        <v>0</v>
      </c>
      <c r="U634">
        <v>0</v>
      </c>
      <c r="V634">
        <v>0</v>
      </c>
      <c r="W634">
        <v>0</v>
      </c>
      <c r="X634">
        <f>IF(Y634,TRUE,AND(AB634:AQ634))</f>
        <v>0</v>
      </c>
      <c r="Y634">
        <f>COUNTBLANK(metadata!B634:Q634)=COLUMNS(metadata!B634:Q634)</f>
        <v>0</v>
      </c>
      <c r="Z634">
        <v>0</v>
      </c>
      <c r="AB634">
        <f>AND(IF(metadata!B634="",FALSE,TRUE),COUNTIF(metadata!B:B, metadata!B634) = 1,NOT(ISERROR(SUMPRODUCT(SEARCH(MID(metadata!B634,ROW(INDIRECT("1:"&amp;LEN(metadata!B634))), 1),"0123456789abcdefghijklmnopqrstuvwxyzABCDEFGHIJKLMNOPQRSTUVWXYZ.")))))</f>
        <v>0</v>
      </c>
      <c r="AC634">
        <f>OR(AND(IF(metadata!C634="",FALSE,TRUE),OR(exact(metadata!C634,"missing: not collected"),exact(metadata!C634,"missing: not provided"),exact(metadata!C634,"missing: restricted access"))),AND(IF(metadata!C634="",FALSE,TRUE),AND(AND(IFERROR(INT(LEFT(metadata!C634,4))&gt;1900,FALSE),IFERROR(INT(LEFT(metadata!C634,4))&lt;=YEAR(NOW()),FALSE)), OR(MID(metadata!C634,5,1)="", AND(AND(MID(metadata!C634,5,1)="-",IFERROR(INT(MID(metadata!C634,6,1))&gt;=0,FALSE),IFERROR(INT(MID(metadata!C634,6,1))&lt;=1,FALSE),NOT(MID(metadata!C634,7,1)=""),IFERROR(INT(MID(metadata!C634,6,2))&gt;=1,FALSE),IFERROR(INT(MID(metadata!C634,6,2))&lt;=12,FALSE)), OR(MID(metadata!C634,8,1)="", AND(AND(MID(metadata!C634,8,1)="-",IFERROR(INT(MID(metadata!C634,9,1))&gt;=0,FALSE),IFERROR(INT(MID(metadata!C634,9,1))&lt;=3,FALSE),NOT(MID(metadata!C634,10,1)=""),IFERROR(INT(MID(metadata!C634,9,2))&gt;=1,FALSE),IFERROR(INT(MID(metadata!C634,9,2))&lt;=31,FALSE)), OR(MID(metadata!C634,11,1)="", AND(AND(MID(metadata!C634,11,1)=" ",IFERROR(INT(MID(metadata!C634,12,1))&gt;=0,FALSE),IFERROR(INT(MID(metadata!C634,12,1))&lt;=2,FALSE),NOT(MID(metadata!C634,13,1)=""),IFERROR(INT(MID(metadata!C634,12,2))&gt;=0,FALSE),IFERROR(INT(MID(metadata!C634,12,2))&lt;=23,FALSE)), OR(MID(metadata!C634,14,1)="", AND(AND(MID(metadata!C634,14,1)=":",IFERROR(INT(MID(metadata!C634,15,1))&gt;=0,FALSE),IFERROR(INT(MID(metadata!C634,15,1))&lt;=5,FALSE),NOT(MID(metadata!C634,16,1)=""),IFERROR(INT(MID(metadata!C634,15,2))&gt;=0,FALSE),IFERROR(INT(MID(metadata!C634,15,2))&lt;=59,FALSE)), OR(MID(metadata!C634,17,1)="", AND(AND(MID(metadata!C634,17,1)=":",IFERROR(INT(MID(metadata!C634,18,1))&gt;=0,FALSE),IFERROR(INT(MID(metadata!C634,18,1))&lt;=5,FALSE),NOT(MID(metadata!C634,19,1)=""),IFERROR(INT(MID(metadata!C634,18,2))&gt;=0,FALSE),IFERROR(INT(MID(metadata!C634,18,2))&lt;=59,FALSE)), LEN(metadata!C634)&lt;=19)))))))))))))</f>
        <v>0</v>
      </c>
      <c r="AD634">
        <f>IF(metadata!D634="",FALSE,TRUE)</f>
        <v>0</v>
      </c>
      <c r="AE634">
        <f>OR(AND(IF(metadata!E634="",FALSE,TRUE),OR(exact(metadata!E634,"missing: not collected"),exact(metadata!E634,"missing: not provided"))),AND(IF(metadata!E634="",FALSE,TRUE),OR(exact(metadata!E634,"TRUE"),exact(metadata!E634,"FALSE"))))</f>
        <v>0</v>
      </c>
      <c r="AF634">
        <f>IF(metadata!F634="",FALSE,TRUE)</f>
        <v>0</v>
      </c>
      <c r="AG634">
        <f>IF(metadata!G634="",FALSE,TRUE)</f>
        <v>0</v>
      </c>
      <c r="AH634">
        <f>IF(metadata!H634="",FALSE,TRUE)</f>
        <v>0</v>
      </c>
      <c r="AI634">
        <f>OR(AND(IF(metadata!I634="",FALSE,TRUE),OR(exact(metadata!I634,"missing: not collected"),exact(metadata!I634,"missing: not provided"),exact(metadata!I634,"missing: restricted access"))),AND(IF(metadata!I634="",FALSE,TRUE),OR(exact(metadata!I634,"air"),exact(metadata!I634,"built environment"),exact(metadata!I634,"host-associated"),exact(metadata!I634,"human-associated"),exact(metadata!I634,"human-skin"),exact(metadata!I634,"human-oral"),exact(metadata!I634,"human-gut"),exact(metadata!I634,"human-vaginal"),exact(metadata!I634,"microbial mat/biofilm"),exact(metadata!I634,"misc environment"),exact(metadata!I634,"plant-associated"),exact(metadata!I634,"sediment"),exact(metadata!I634,"soil"),exact(metadata!I634,"wastewater/sludge"),exact(metadata!I634,"water"))))</f>
        <v>0</v>
      </c>
      <c r="AJ634">
        <f>IF(metadata!J634="",FALSE,TRUE)</f>
        <v>0</v>
      </c>
      <c r="AK634">
        <f>OR(AND(IF(metadata!K634="",FALSE,TRUE),OR(exact(metadata!K634,"missing: not collected"),exact(metadata!K634,"missing: not provided"),exact(metadata!K634,"missing: restricted access"))),AND(IF(metadata!K634="",FALSE,ISNUMBER(VALUE(metadata!K634))),metadata!K634&gt;=-90.00,metadata!K634&lt;=90.00))</f>
        <v>0</v>
      </c>
      <c r="AL634">
        <f>OR(AND(IF(metadata!L634="",FALSE,TRUE),OR(exact(metadata!L634,"missing: not collected"),exact(metadata!L634,"missing: not provided"),exact(metadata!L634,"missing: restricted access"))),AND(IF(metadata!L634="",FALSE,ISNUMBER(VALUE(metadata!L634))),metadata!L634&gt;=-180.00,metadata!L634&lt;=180.00))</f>
        <v>0</v>
      </c>
      <c r="AM634">
        <f>IF(metadata!M634="",FALSE,TRUE)</f>
        <v>0</v>
      </c>
      <c r="AN634">
        <f>OR(AND(IF(metadata!N634="",FALSE,TRUE),OR(exact(metadata!N634,"missing: not collected"),exact(metadata!N634,"missing: not provided"),exact(metadata!N634,"missing: restricted access"))),AND(IF(metadata!N634="",FALSE,TRUE),OR(exact(metadata!N634,"TRUE"),exact(metadata!N634,"FALSE"))))</f>
        <v>0</v>
      </c>
      <c r="AO634">
        <f>IF(metadata!O634="",FALSE,TRUE)</f>
        <v>0</v>
      </c>
      <c r="AP634">
        <f>OR(AND(IF(metadata!P634="",FALSE,TRUE),OR(exact(metadata!P634,"missing: not collected"),exact(metadata!P634,"missing: not provided"))),AND(IF(metadata!P634="",FALSE,IF(ISERROR(INT(metadata!P634)),FALSE,INT(metadata!P634)=metadata!P634)),metadata!P634&gt;0))</f>
        <v>0</v>
      </c>
      <c r="AQ634">
        <f>IF(metadata!Q634="",FALSE,TRUE)</f>
        <v>0</v>
      </c>
    </row>
    <row r="635" spans="1:43">
      <c r="A635" s="5">
        <f>IF(B635=" "," ",HYPERLINK(CONCATENATE("#metadata!",ADDRESS(INDEX($W$2:$W$1001,MATCH(ROWS($U$2:U635),$U$2:$U$1001,0),0),1)),INDEX($Z$2:$Z$1001,MATCH(ROWS($U$2:U635),$U$2:$U$1001,0),0)))</f>
        <v>0</v>
      </c>
      <c r="B635" s="4">
        <f>IF(OR(INDEX($V$2:$V$1001,MATCH(ROWS($U$2:U635),$U$2:$U$1001,0),1)&gt;=100000,INDEX($AB$1005:$AQ$1005,1,MATCH(COLUMNS($AB$1006:AB1006),$AB$1006:$AQ$1006,0))&gt;=100000), " ",IF(INDEX($AB$2:$AQ$1001,MATCH(ROWS($U$2:U635),$U$2:$U$1001,0),MATCH(COLUMNS($AB$1006:AB1006),$AB$1006:$AQ$1006,0)), HYPERLINK("#",""), HYPERLINK(CONCATENATE("#metadata!", ADDRESS(INDEX($W$2:$W$1001,MATCH(ROWS($U$2:U635),$U$2:$U$1001,0),0), INDEX($AB$1004:$AQ$1004,1,MATCH(COLUMNS($AB$1006:AB1006),$AB$1006:$AQ$1006,0)))),"Fix")))</f>
        <v>0</v>
      </c>
      <c r="C635" s="4">
        <f>IF(OR(INDEX($V$2:$V$1001,MATCH(ROWS($U$2:U635),$U$2:$U$1001,0),1)&gt;=100000,INDEX($AB$1005:$AQ$1005,1,MATCH(COLUMNS($AB$1006:AC1006),$AB$1006:$AQ$1006,0))&gt;=100000), " ",IF(INDEX($AB$2:$AQ$1001,MATCH(ROWS($U$2:U635),$U$2:$U$1001,0),MATCH(COLUMNS($AB$1006:AC1006),$AB$1006:$AQ$1006,0)), HYPERLINK("#",""), HYPERLINK(CONCATENATE("#metadata!", ADDRESS(INDEX($W$2:$W$1001,MATCH(ROWS($U$2:U635),$U$2:$U$1001,0),0), INDEX($AB$1004:$AQ$1004,1,MATCH(COLUMNS($AB$1006:AC1006),$AB$1006:$AQ$1006,0)))),"Fix")))</f>
        <v>0</v>
      </c>
      <c r="D635" s="4">
        <f>IF(OR(INDEX($V$2:$V$1001,MATCH(ROWS($U$2:U635),$U$2:$U$1001,0),1)&gt;=100000,INDEX($AB$1005:$AQ$1005,1,MATCH(COLUMNS($AB$1006:AD1006),$AB$1006:$AQ$1006,0))&gt;=100000), " ",IF(INDEX($AB$2:$AQ$1001,MATCH(ROWS($U$2:U635),$U$2:$U$1001,0),MATCH(COLUMNS($AB$1006:AD1006),$AB$1006:$AQ$1006,0)), HYPERLINK("#",""), HYPERLINK(CONCATENATE("#metadata!", ADDRESS(INDEX($W$2:$W$1001,MATCH(ROWS($U$2:U635),$U$2:$U$1001,0),0), INDEX($AB$1004:$AQ$1004,1,MATCH(COLUMNS($AB$1006:AD1006),$AB$1006:$AQ$1006,0)))),"Fix")))</f>
        <v>0</v>
      </c>
      <c r="E635" s="4">
        <f>IF(OR(INDEX($V$2:$V$1001,MATCH(ROWS($U$2:U635),$U$2:$U$1001,0),1)&gt;=100000,INDEX($AB$1005:$AQ$1005,1,MATCH(COLUMNS($AB$1006:AE1006),$AB$1006:$AQ$1006,0))&gt;=100000), " ",IF(INDEX($AB$2:$AQ$1001,MATCH(ROWS($U$2:U635),$U$2:$U$1001,0),MATCH(COLUMNS($AB$1006:AE1006),$AB$1006:$AQ$1006,0)), HYPERLINK("#",""), HYPERLINK(CONCATENATE("#metadata!", ADDRESS(INDEX($W$2:$W$1001,MATCH(ROWS($U$2:U635),$U$2:$U$1001,0),0), INDEX($AB$1004:$AQ$1004,1,MATCH(COLUMNS($AB$1006:AE1006),$AB$1006:$AQ$1006,0)))),"Fix")))</f>
        <v>0</v>
      </c>
      <c r="F635" s="4">
        <f>IF(OR(INDEX($V$2:$V$1001,MATCH(ROWS($U$2:U635),$U$2:$U$1001,0),1)&gt;=100000,INDEX($AB$1005:$AQ$1005,1,MATCH(COLUMNS($AB$1006:AF1006),$AB$1006:$AQ$1006,0))&gt;=100000), " ",IF(INDEX($AB$2:$AQ$1001,MATCH(ROWS($U$2:U635),$U$2:$U$1001,0),MATCH(COLUMNS($AB$1006:AF1006),$AB$1006:$AQ$1006,0)), HYPERLINK("#",""), HYPERLINK(CONCATENATE("#metadata!", ADDRESS(INDEX($W$2:$W$1001,MATCH(ROWS($U$2:U635),$U$2:$U$1001,0),0), INDEX($AB$1004:$AQ$1004,1,MATCH(COLUMNS($AB$1006:AF1006),$AB$1006:$AQ$1006,0)))),"Fix")))</f>
        <v>0</v>
      </c>
      <c r="G635" s="4">
        <f>IF(OR(INDEX($V$2:$V$1001,MATCH(ROWS($U$2:U635),$U$2:$U$1001,0),1)&gt;=100000,INDEX($AB$1005:$AQ$1005,1,MATCH(COLUMNS($AB$1006:AG1006),$AB$1006:$AQ$1006,0))&gt;=100000), " ",IF(INDEX($AB$2:$AQ$1001,MATCH(ROWS($U$2:U635),$U$2:$U$1001,0),MATCH(COLUMNS($AB$1006:AG1006),$AB$1006:$AQ$1006,0)), HYPERLINK("#",""), HYPERLINK(CONCATENATE("#metadata!", ADDRESS(INDEX($W$2:$W$1001,MATCH(ROWS($U$2:U635),$U$2:$U$1001,0),0), INDEX($AB$1004:$AQ$1004,1,MATCH(COLUMNS($AB$1006:AG1006),$AB$1006:$AQ$1006,0)))),"Fix")))</f>
        <v>0</v>
      </c>
      <c r="H635" s="4">
        <f>IF(OR(INDEX($V$2:$V$1001,MATCH(ROWS($U$2:U635),$U$2:$U$1001,0),1)&gt;=100000,INDEX($AB$1005:$AQ$1005,1,MATCH(COLUMNS($AB$1006:AH1006),$AB$1006:$AQ$1006,0))&gt;=100000), " ",IF(INDEX($AB$2:$AQ$1001,MATCH(ROWS($U$2:U635),$U$2:$U$1001,0),MATCH(COLUMNS($AB$1006:AH1006),$AB$1006:$AQ$1006,0)), HYPERLINK("#",""), HYPERLINK(CONCATENATE("#metadata!", ADDRESS(INDEX($W$2:$W$1001,MATCH(ROWS($U$2:U635),$U$2:$U$1001,0),0), INDEX($AB$1004:$AQ$1004,1,MATCH(COLUMNS($AB$1006:AH1006),$AB$1006:$AQ$1006,0)))),"Fix")))</f>
        <v>0</v>
      </c>
      <c r="I635" s="4">
        <f>IF(OR(INDEX($V$2:$V$1001,MATCH(ROWS($U$2:U635),$U$2:$U$1001,0),1)&gt;=100000,INDEX($AB$1005:$AQ$1005,1,MATCH(COLUMNS($AB$1006:AI1006),$AB$1006:$AQ$1006,0))&gt;=100000), " ",IF(INDEX($AB$2:$AQ$1001,MATCH(ROWS($U$2:U635),$U$2:$U$1001,0),MATCH(COLUMNS($AB$1006:AI1006),$AB$1006:$AQ$1006,0)), HYPERLINK("#",""), HYPERLINK(CONCATENATE("#metadata!", ADDRESS(INDEX($W$2:$W$1001,MATCH(ROWS($U$2:U635),$U$2:$U$1001,0),0), INDEX($AB$1004:$AQ$1004,1,MATCH(COLUMNS($AB$1006:AI1006),$AB$1006:$AQ$1006,0)))),"Fix")))</f>
        <v>0</v>
      </c>
      <c r="J635" s="4">
        <f>IF(OR(INDEX($V$2:$V$1001,MATCH(ROWS($U$2:U635),$U$2:$U$1001,0),1)&gt;=100000,INDEX($AB$1005:$AQ$1005,1,MATCH(COLUMNS($AB$1006:AJ1006),$AB$1006:$AQ$1006,0))&gt;=100000), " ",IF(INDEX($AB$2:$AQ$1001,MATCH(ROWS($U$2:U635),$U$2:$U$1001,0),MATCH(COLUMNS($AB$1006:AJ1006),$AB$1006:$AQ$1006,0)), HYPERLINK("#",""), HYPERLINK(CONCATENATE("#metadata!", ADDRESS(INDEX($W$2:$W$1001,MATCH(ROWS($U$2:U635),$U$2:$U$1001,0),0), INDEX($AB$1004:$AQ$1004,1,MATCH(COLUMNS($AB$1006:AJ1006),$AB$1006:$AQ$1006,0)))),"Fix")))</f>
        <v>0</v>
      </c>
      <c r="K635" s="4">
        <f>IF(OR(INDEX($V$2:$V$1001,MATCH(ROWS($U$2:U635),$U$2:$U$1001,0),1)&gt;=100000,INDEX($AB$1005:$AQ$1005,1,MATCH(COLUMNS($AB$1006:AK1006),$AB$1006:$AQ$1006,0))&gt;=100000), " ",IF(INDEX($AB$2:$AQ$1001,MATCH(ROWS($U$2:U635),$U$2:$U$1001,0),MATCH(COLUMNS($AB$1006:AK1006),$AB$1006:$AQ$1006,0)), HYPERLINK("#",""), HYPERLINK(CONCATENATE("#metadata!", ADDRESS(INDEX($W$2:$W$1001,MATCH(ROWS($U$2:U635),$U$2:$U$1001,0),0), INDEX($AB$1004:$AQ$1004,1,MATCH(COLUMNS($AB$1006:AK1006),$AB$1006:$AQ$1006,0)))),"Fix")))</f>
        <v>0</v>
      </c>
      <c r="L635" s="4">
        <f>IF(OR(INDEX($V$2:$V$1001,MATCH(ROWS($U$2:U635),$U$2:$U$1001,0),1)&gt;=100000,INDEX($AB$1005:$AQ$1005,1,MATCH(COLUMNS($AB$1006:AL1006),$AB$1006:$AQ$1006,0))&gt;=100000), " ",IF(INDEX($AB$2:$AQ$1001,MATCH(ROWS($U$2:U635),$U$2:$U$1001,0),MATCH(COLUMNS($AB$1006:AL1006),$AB$1006:$AQ$1006,0)), HYPERLINK("#",""), HYPERLINK(CONCATENATE("#metadata!", ADDRESS(INDEX($W$2:$W$1001,MATCH(ROWS($U$2:U635),$U$2:$U$1001,0),0), INDEX($AB$1004:$AQ$1004,1,MATCH(COLUMNS($AB$1006:AL1006),$AB$1006:$AQ$1006,0)))),"Fix")))</f>
        <v>0</v>
      </c>
      <c r="M635" s="4">
        <f>IF(OR(INDEX($V$2:$V$1001,MATCH(ROWS($U$2:U635),$U$2:$U$1001,0),1)&gt;=100000,INDEX($AB$1005:$AQ$1005,1,MATCH(COLUMNS($AB$1006:AM1006),$AB$1006:$AQ$1006,0))&gt;=100000), " ",IF(INDEX($AB$2:$AQ$1001,MATCH(ROWS($U$2:U635),$U$2:$U$1001,0),MATCH(COLUMNS($AB$1006:AM1006),$AB$1006:$AQ$1006,0)), HYPERLINK("#",""), HYPERLINK(CONCATENATE("#metadata!", ADDRESS(INDEX($W$2:$W$1001,MATCH(ROWS($U$2:U635),$U$2:$U$1001,0),0), INDEX($AB$1004:$AQ$1004,1,MATCH(COLUMNS($AB$1006:AM1006),$AB$1006:$AQ$1006,0)))),"Fix")))</f>
        <v>0</v>
      </c>
      <c r="N635" s="4">
        <f>IF(OR(INDEX($V$2:$V$1001,MATCH(ROWS($U$2:U635),$U$2:$U$1001,0),1)&gt;=100000,INDEX($AB$1005:$AQ$1005,1,MATCH(COLUMNS($AB$1006:AN1006),$AB$1006:$AQ$1006,0))&gt;=100000), " ",IF(INDEX($AB$2:$AQ$1001,MATCH(ROWS($U$2:U635),$U$2:$U$1001,0),MATCH(COLUMNS($AB$1006:AN1006),$AB$1006:$AQ$1006,0)), HYPERLINK("#",""), HYPERLINK(CONCATENATE("#metadata!", ADDRESS(INDEX($W$2:$W$1001,MATCH(ROWS($U$2:U635),$U$2:$U$1001,0),0), INDEX($AB$1004:$AQ$1004,1,MATCH(COLUMNS($AB$1006:AN1006),$AB$1006:$AQ$1006,0)))),"Fix")))</f>
        <v>0</v>
      </c>
      <c r="O635" s="4">
        <f>IF(OR(INDEX($V$2:$V$1001,MATCH(ROWS($U$2:U635),$U$2:$U$1001,0),1)&gt;=100000,INDEX($AB$1005:$AQ$1005,1,MATCH(COLUMNS($AB$1006:AO1006),$AB$1006:$AQ$1006,0))&gt;=100000), " ",IF(INDEX($AB$2:$AQ$1001,MATCH(ROWS($U$2:U635),$U$2:$U$1001,0),MATCH(COLUMNS($AB$1006:AO1006),$AB$1006:$AQ$1006,0)), HYPERLINK("#",""), HYPERLINK(CONCATENATE("#metadata!", ADDRESS(INDEX($W$2:$W$1001,MATCH(ROWS($U$2:U635),$U$2:$U$1001,0),0), INDEX($AB$1004:$AQ$1004,1,MATCH(COLUMNS($AB$1006:AO1006),$AB$1006:$AQ$1006,0)))),"Fix")))</f>
        <v>0</v>
      </c>
      <c r="P635" s="4">
        <f>IF(OR(INDEX($V$2:$V$1001,MATCH(ROWS($U$2:U635),$U$2:$U$1001,0),1)&gt;=100000,INDEX($AB$1005:$AQ$1005,1,MATCH(COLUMNS($AB$1006:AP1006),$AB$1006:$AQ$1006,0))&gt;=100000), " ",IF(INDEX($AB$2:$AQ$1001,MATCH(ROWS($U$2:U635),$U$2:$U$1001,0),MATCH(COLUMNS($AB$1006:AP1006),$AB$1006:$AQ$1006,0)), HYPERLINK("#",""), HYPERLINK(CONCATENATE("#metadata!", ADDRESS(INDEX($W$2:$W$1001,MATCH(ROWS($U$2:U635),$U$2:$U$1001,0),0), INDEX($AB$1004:$AQ$1004,1,MATCH(COLUMNS($AB$1006:AP1006),$AB$1006:$AQ$1006,0)))),"Fix")))</f>
        <v>0</v>
      </c>
      <c r="Q635" s="4">
        <f>IF(OR(INDEX($V$2:$V$1001,MATCH(ROWS($U$2:U635),$U$2:$U$1001,0),1)&gt;=100000,INDEX($AB$1005:$AQ$1005,1,MATCH(COLUMNS($AB$1006:AQ1006),$AB$1006:$AQ$1006,0))&gt;=100000), " ",IF(INDEX($AB$2:$AQ$1001,MATCH(ROWS($U$2:U635),$U$2:$U$1001,0),MATCH(COLUMNS($AB$1006:AQ1006),$AB$1006:$AQ$1006,0)), HYPERLINK("#",""), HYPERLINK(CONCATENATE("#metadata!", ADDRESS(INDEX($W$2:$W$1001,MATCH(ROWS($U$2:U635),$U$2:$U$1001,0),0), INDEX($AB$1004:$AQ$1004,1,MATCH(COLUMNS($AB$1006:AQ1006),$AB$1006:$AQ$1006,0)))),"Fix")))</f>
        <v>0</v>
      </c>
      <c r="U635">
        <v>0</v>
      </c>
      <c r="V635">
        <v>0</v>
      </c>
      <c r="W635">
        <v>0</v>
      </c>
      <c r="X635">
        <f>IF(Y635,TRUE,AND(AB635:AQ635))</f>
        <v>0</v>
      </c>
      <c r="Y635">
        <f>COUNTBLANK(metadata!B635:Q635)=COLUMNS(metadata!B635:Q635)</f>
        <v>0</v>
      </c>
      <c r="Z635">
        <v>0</v>
      </c>
      <c r="AB635">
        <f>AND(IF(metadata!B635="",FALSE,TRUE),COUNTIF(metadata!B:B, metadata!B635) = 1,NOT(ISERROR(SUMPRODUCT(SEARCH(MID(metadata!B635,ROW(INDIRECT("1:"&amp;LEN(metadata!B635))), 1),"0123456789abcdefghijklmnopqrstuvwxyzABCDEFGHIJKLMNOPQRSTUVWXYZ.")))))</f>
        <v>0</v>
      </c>
      <c r="AC635">
        <f>OR(AND(IF(metadata!C635="",FALSE,TRUE),OR(exact(metadata!C635,"missing: not collected"),exact(metadata!C635,"missing: not provided"),exact(metadata!C635,"missing: restricted access"))),AND(IF(metadata!C635="",FALSE,TRUE),AND(AND(IFERROR(INT(LEFT(metadata!C635,4))&gt;1900,FALSE),IFERROR(INT(LEFT(metadata!C635,4))&lt;=YEAR(NOW()),FALSE)), OR(MID(metadata!C635,5,1)="", AND(AND(MID(metadata!C635,5,1)="-",IFERROR(INT(MID(metadata!C635,6,1))&gt;=0,FALSE),IFERROR(INT(MID(metadata!C635,6,1))&lt;=1,FALSE),NOT(MID(metadata!C635,7,1)=""),IFERROR(INT(MID(metadata!C635,6,2))&gt;=1,FALSE),IFERROR(INT(MID(metadata!C635,6,2))&lt;=12,FALSE)), OR(MID(metadata!C635,8,1)="", AND(AND(MID(metadata!C635,8,1)="-",IFERROR(INT(MID(metadata!C635,9,1))&gt;=0,FALSE),IFERROR(INT(MID(metadata!C635,9,1))&lt;=3,FALSE),NOT(MID(metadata!C635,10,1)=""),IFERROR(INT(MID(metadata!C635,9,2))&gt;=1,FALSE),IFERROR(INT(MID(metadata!C635,9,2))&lt;=31,FALSE)), OR(MID(metadata!C635,11,1)="", AND(AND(MID(metadata!C635,11,1)=" ",IFERROR(INT(MID(metadata!C635,12,1))&gt;=0,FALSE),IFERROR(INT(MID(metadata!C635,12,1))&lt;=2,FALSE),NOT(MID(metadata!C635,13,1)=""),IFERROR(INT(MID(metadata!C635,12,2))&gt;=0,FALSE),IFERROR(INT(MID(metadata!C635,12,2))&lt;=23,FALSE)), OR(MID(metadata!C635,14,1)="", AND(AND(MID(metadata!C635,14,1)=":",IFERROR(INT(MID(metadata!C635,15,1))&gt;=0,FALSE),IFERROR(INT(MID(metadata!C635,15,1))&lt;=5,FALSE),NOT(MID(metadata!C635,16,1)=""),IFERROR(INT(MID(metadata!C635,15,2))&gt;=0,FALSE),IFERROR(INT(MID(metadata!C635,15,2))&lt;=59,FALSE)), OR(MID(metadata!C635,17,1)="", AND(AND(MID(metadata!C635,17,1)=":",IFERROR(INT(MID(metadata!C635,18,1))&gt;=0,FALSE),IFERROR(INT(MID(metadata!C635,18,1))&lt;=5,FALSE),NOT(MID(metadata!C635,19,1)=""),IFERROR(INT(MID(metadata!C635,18,2))&gt;=0,FALSE),IFERROR(INT(MID(metadata!C635,18,2))&lt;=59,FALSE)), LEN(metadata!C635)&lt;=19)))))))))))))</f>
        <v>0</v>
      </c>
      <c r="AD635">
        <f>IF(metadata!D635="",FALSE,TRUE)</f>
        <v>0</v>
      </c>
      <c r="AE635">
        <f>OR(AND(IF(metadata!E635="",FALSE,TRUE),OR(exact(metadata!E635,"missing: not collected"),exact(metadata!E635,"missing: not provided"))),AND(IF(metadata!E635="",FALSE,TRUE),OR(exact(metadata!E635,"TRUE"),exact(metadata!E635,"FALSE"))))</f>
        <v>0</v>
      </c>
      <c r="AF635">
        <f>IF(metadata!F635="",FALSE,TRUE)</f>
        <v>0</v>
      </c>
      <c r="AG635">
        <f>IF(metadata!G635="",FALSE,TRUE)</f>
        <v>0</v>
      </c>
      <c r="AH635">
        <f>IF(metadata!H635="",FALSE,TRUE)</f>
        <v>0</v>
      </c>
      <c r="AI635">
        <f>OR(AND(IF(metadata!I635="",FALSE,TRUE),OR(exact(metadata!I635,"missing: not collected"),exact(metadata!I635,"missing: not provided"),exact(metadata!I635,"missing: restricted access"))),AND(IF(metadata!I635="",FALSE,TRUE),OR(exact(metadata!I635,"air"),exact(metadata!I635,"built environment"),exact(metadata!I635,"host-associated"),exact(metadata!I635,"human-associated"),exact(metadata!I635,"human-skin"),exact(metadata!I635,"human-oral"),exact(metadata!I635,"human-gut"),exact(metadata!I635,"human-vaginal"),exact(metadata!I635,"microbial mat/biofilm"),exact(metadata!I635,"misc environment"),exact(metadata!I635,"plant-associated"),exact(metadata!I635,"sediment"),exact(metadata!I635,"soil"),exact(metadata!I635,"wastewater/sludge"),exact(metadata!I635,"water"))))</f>
        <v>0</v>
      </c>
      <c r="AJ635">
        <f>IF(metadata!J635="",FALSE,TRUE)</f>
        <v>0</v>
      </c>
      <c r="AK635">
        <f>OR(AND(IF(metadata!K635="",FALSE,TRUE),OR(exact(metadata!K635,"missing: not collected"),exact(metadata!K635,"missing: not provided"),exact(metadata!K635,"missing: restricted access"))),AND(IF(metadata!K635="",FALSE,ISNUMBER(VALUE(metadata!K635))),metadata!K635&gt;=-90.00,metadata!K635&lt;=90.00))</f>
        <v>0</v>
      </c>
      <c r="AL635">
        <f>OR(AND(IF(metadata!L635="",FALSE,TRUE),OR(exact(metadata!L635,"missing: not collected"),exact(metadata!L635,"missing: not provided"),exact(metadata!L635,"missing: restricted access"))),AND(IF(metadata!L635="",FALSE,ISNUMBER(VALUE(metadata!L635))),metadata!L635&gt;=-180.00,metadata!L635&lt;=180.00))</f>
        <v>0</v>
      </c>
      <c r="AM635">
        <f>IF(metadata!M635="",FALSE,TRUE)</f>
        <v>0</v>
      </c>
      <c r="AN635">
        <f>OR(AND(IF(metadata!N635="",FALSE,TRUE),OR(exact(metadata!N635,"missing: not collected"),exact(metadata!N635,"missing: not provided"),exact(metadata!N635,"missing: restricted access"))),AND(IF(metadata!N635="",FALSE,TRUE),OR(exact(metadata!N635,"TRUE"),exact(metadata!N635,"FALSE"))))</f>
        <v>0</v>
      </c>
      <c r="AO635">
        <f>IF(metadata!O635="",FALSE,TRUE)</f>
        <v>0</v>
      </c>
      <c r="AP635">
        <f>OR(AND(IF(metadata!P635="",FALSE,TRUE),OR(exact(metadata!P635,"missing: not collected"),exact(metadata!P635,"missing: not provided"))),AND(IF(metadata!P635="",FALSE,IF(ISERROR(INT(metadata!P635)),FALSE,INT(metadata!P635)=metadata!P635)),metadata!P635&gt;0))</f>
        <v>0</v>
      </c>
      <c r="AQ635">
        <f>IF(metadata!Q635="",FALSE,TRUE)</f>
        <v>0</v>
      </c>
    </row>
    <row r="636" spans="1:43">
      <c r="A636" s="5">
        <f>IF(B636=" "," ",HYPERLINK(CONCATENATE("#metadata!",ADDRESS(INDEX($W$2:$W$1001,MATCH(ROWS($U$2:U636),$U$2:$U$1001,0),0),1)),INDEX($Z$2:$Z$1001,MATCH(ROWS($U$2:U636),$U$2:$U$1001,0),0)))</f>
        <v>0</v>
      </c>
      <c r="B636" s="4">
        <f>IF(OR(INDEX($V$2:$V$1001,MATCH(ROWS($U$2:U636),$U$2:$U$1001,0),1)&gt;=100000,INDEX($AB$1005:$AQ$1005,1,MATCH(COLUMNS($AB$1006:AB1006),$AB$1006:$AQ$1006,0))&gt;=100000), " ",IF(INDEX($AB$2:$AQ$1001,MATCH(ROWS($U$2:U636),$U$2:$U$1001,0),MATCH(COLUMNS($AB$1006:AB1006),$AB$1006:$AQ$1006,0)), HYPERLINK("#",""), HYPERLINK(CONCATENATE("#metadata!", ADDRESS(INDEX($W$2:$W$1001,MATCH(ROWS($U$2:U636),$U$2:$U$1001,0),0), INDEX($AB$1004:$AQ$1004,1,MATCH(COLUMNS($AB$1006:AB1006),$AB$1006:$AQ$1006,0)))),"Fix")))</f>
        <v>0</v>
      </c>
      <c r="C636" s="4">
        <f>IF(OR(INDEX($V$2:$V$1001,MATCH(ROWS($U$2:U636),$U$2:$U$1001,0),1)&gt;=100000,INDEX($AB$1005:$AQ$1005,1,MATCH(COLUMNS($AB$1006:AC1006),$AB$1006:$AQ$1006,0))&gt;=100000), " ",IF(INDEX($AB$2:$AQ$1001,MATCH(ROWS($U$2:U636),$U$2:$U$1001,0),MATCH(COLUMNS($AB$1006:AC1006),$AB$1006:$AQ$1006,0)), HYPERLINK("#",""), HYPERLINK(CONCATENATE("#metadata!", ADDRESS(INDEX($W$2:$W$1001,MATCH(ROWS($U$2:U636),$U$2:$U$1001,0),0), INDEX($AB$1004:$AQ$1004,1,MATCH(COLUMNS($AB$1006:AC1006),$AB$1006:$AQ$1006,0)))),"Fix")))</f>
        <v>0</v>
      </c>
      <c r="D636" s="4">
        <f>IF(OR(INDEX($V$2:$V$1001,MATCH(ROWS($U$2:U636),$U$2:$U$1001,0),1)&gt;=100000,INDEX($AB$1005:$AQ$1005,1,MATCH(COLUMNS($AB$1006:AD1006),$AB$1006:$AQ$1006,0))&gt;=100000), " ",IF(INDEX($AB$2:$AQ$1001,MATCH(ROWS($U$2:U636),$U$2:$U$1001,0),MATCH(COLUMNS($AB$1006:AD1006),$AB$1006:$AQ$1006,0)), HYPERLINK("#",""), HYPERLINK(CONCATENATE("#metadata!", ADDRESS(INDEX($W$2:$W$1001,MATCH(ROWS($U$2:U636),$U$2:$U$1001,0),0), INDEX($AB$1004:$AQ$1004,1,MATCH(COLUMNS($AB$1006:AD1006),$AB$1006:$AQ$1006,0)))),"Fix")))</f>
        <v>0</v>
      </c>
      <c r="E636" s="4">
        <f>IF(OR(INDEX($V$2:$V$1001,MATCH(ROWS($U$2:U636),$U$2:$U$1001,0),1)&gt;=100000,INDEX($AB$1005:$AQ$1005,1,MATCH(COLUMNS($AB$1006:AE1006),$AB$1006:$AQ$1006,0))&gt;=100000), " ",IF(INDEX($AB$2:$AQ$1001,MATCH(ROWS($U$2:U636),$U$2:$U$1001,0),MATCH(COLUMNS($AB$1006:AE1006),$AB$1006:$AQ$1006,0)), HYPERLINK("#",""), HYPERLINK(CONCATENATE("#metadata!", ADDRESS(INDEX($W$2:$W$1001,MATCH(ROWS($U$2:U636),$U$2:$U$1001,0),0), INDEX($AB$1004:$AQ$1004,1,MATCH(COLUMNS($AB$1006:AE1006),$AB$1006:$AQ$1006,0)))),"Fix")))</f>
        <v>0</v>
      </c>
      <c r="F636" s="4">
        <f>IF(OR(INDEX($V$2:$V$1001,MATCH(ROWS($U$2:U636),$U$2:$U$1001,0),1)&gt;=100000,INDEX($AB$1005:$AQ$1005,1,MATCH(COLUMNS($AB$1006:AF1006),$AB$1006:$AQ$1006,0))&gt;=100000), " ",IF(INDEX($AB$2:$AQ$1001,MATCH(ROWS($U$2:U636),$U$2:$U$1001,0),MATCH(COLUMNS($AB$1006:AF1006),$AB$1006:$AQ$1006,0)), HYPERLINK("#",""), HYPERLINK(CONCATENATE("#metadata!", ADDRESS(INDEX($W$2:$W$1001,MATCH(ROWS($U$2:U636),$U$2:$U$1001,0),0), INDEX($AB$1004:$AQ$1004,1,MATCH(COLUMNS($AB$1006:AF1006),$AB$1006:$AQ$1006,0)))),"Fix")))</f>
        <v>0</v>
      </c>
      <c r="G636" s="4">
        <f>IF(OR(INDEX($V$2:$V$1001,MATCH(ROWS($U$2:U636),$U$2:$U$1001,0),1)&gt;=100000,INDEX($AB$1005:$AQ$1005,1,MATCH(COLUMNS($AB$1006:AG1006),$AB$1006:$AQ$1006,0))&gt;=100000), " ",IF(INDEX($AB$2:$AQ$1001,MATCH(ROWS($U$2:U636),$U$2:$U$1001,0),MATCH(COLUMNS($AB$1006:AG1006),$AB$1006:$AQ$1006,0)), HYPERLINK("#",""), HYPERLINK(CONCATENATE("#metadata!", ADDRESS(INDEX($W$2:$W$1001,MATCH(ROWS($U$2:U636),$U$2:$U$1001,0),0), INDEX($AB$1004:$AQ$1004,1,MATCH(COLUMNS($AB$1006:AG1006),$AB$1006:$AQ$1006,0)))),"Fix")))</f>
        <v>0</v>
      </c>
      <c r="H636" s="4">
        <f>IF(OR(INDEX($V$2:$V$1001,MATCH(ROWS($U$2:U636),$U$2:$U$1001,0),1)&gt;=100000,INDEX($AB$1005:$AQ$1005,1,MATCH(COLUMNS($AB$1006:AH1006),$AB$1006:$AQ$1006,0))&gt;=100000), " ",IF(INDEX($AB$2:$AQ$1001,MATCH(ROWS($U$2:U636),$U$2:$U$1001,0),MATCH(COLUMNS($AB$1006:AH1006),$AB$1006:$AQ$1006,0)), HYPERLINK("#",""), HYPERLINK(CONCATENATE("#metadata!", ADDRESS(INDEX($W$2:$W$1001,MATCH(ROWS($U$2:U636),$U$2:$U$1001,0),0), INDEX($AB$1004:$AQ$1004,1,MATCH(COLUMNS($AB$1006:AH1006),$AB$1006:$AQ$1006,0)))),"Fix")))</f>
        <v>0</v>
      </c>
      <c r="I636" s="4">
        <f>IF(OR(INDEX($V$2:$V$1001,MATCH(ROWS($U$2:U636),$U$2:$U$1001,0),1)&gt;=100000,INDEX($AB$1005:$AQ$1005,1,MATCH(COLUMNS($AB$1006:AI1006),$AB$1006:$AQ$1006,0))&gt;=100000), " ",IF(INDEX($AB$2:$AQ$1001,MATCH(ROWS($U$2:U636),$U$2:$U$1001,0),MATCH(COLUMNS($AB$1006:AI1006),$AB$1006:$AQ$1006,0)), HYPERLINK("#",""), HYPERLINK(CONCATENATE("#metadata!", ADDRESS(INDEX($W$2:$W$1001,MATCH(ROWS($U$2:U636),$U$2:$U$1001,0),0), INDEX($AB$1004:$AQ$1004,1,MATCH(COLUMNS($AB$1006:AI1006),$AB$1006:$AQ$1006,0)))),"Fix")))</f>
        <v>0</v>
      </c>
      <c r="J636" s="4">
        <f>IF(OR(INDEX($V$2:$V$1001,MATCH(ROWS($U$2:U636),$U$2:$U$1001,0),1)&gt;=100000,INDEX($AB$1005:$AQ$1005,1,MATCH(COLUMNS($AB$1006:AJ1006),$AB$1006:$AQ$1006,0))&gt;=100000), " ",IF(INDEX($AB$2:$AQ$1001,MATCH(ROWS($U$2:U636),$U$2:$U$1001,0),MATCH(COLUMNS($AB$1006:AJ1006),$AB$1006:$AQ$1006,0)), HYPERLINK("#",""), HYPERLINK(CONCATENATE("#metadata!", ADDRESS(INDEX($W$2:$W$1001,MATCH(ROWS($U$2:U636),$U$2:$U$1001,0),0), INDEX($AB$1004:$AQ$1004,1,MATCH(COLUMNS($AB$1006:AJ1006),$AB$1006:$AQ$1006,0)))),"Fix")))</f>
        <v>0</v>
      </c>
      <c r="K636" s="4">
        <f>IF(OR(INDEX($V$2:$V$1001,MATCH(ROWS($U$2:U636),$U$2:$U$1001,0),1)&gt;=100000,INDEX($AB$1005:$AQ$1005,1,MATCH(COLUMNS($AB$1006:AK1006),$AB$1006:$AQ$1006,0))&gt;=100000), " ",IF(INDEX($AB$2:$AQ$1001,MATCH(ROWS($U$2:U636),$U$2:$U$1001,0),MATCH(COLUMNS($AB$1006:AK1006),$AB$1006:$AQ$1006,0)), HYPERLINK("#",""), HYPERLINK(CONCATENATE("#metadata!", ADDRESS(INDEX($W$2:$W$1001,MATCH(ROWS($U$2:U636),$U$2:$U$1001,0),0), INDEX($AB$1004:$AQ$1004,1,MATCH(COLUMNS($AB$1006:AK1006),$AB$1006:$AQ$1006,0)))),"Fix")))</f>
        <v>0</v>
      </c>
      <c r="L636" s="4">
        <f>IF(OR(INDEX($V$2:$V$1001,MATCH(ROWS($U$2:U636),$U$2:$U$1001,0),1)&gt;=100000,INDEX($AB$1005:$AQ$1005,1,MATCH(COLUMNS($AB$1006:AL1006),$AB$1006:$AQ$1006,0))&gt;=100000), " ",IF(INDEX($AB$2:$AQ$1001,MATCH(ROWS($U$2:U636),$U$2:$U$1001,0),MATCH(COLUMNS($AB$1006:AL1006),$AB$1006:$AQ$1006,0)), HYPERLINK("#",""), HYPERLINK(CONCATENATE("#metadata!", ADDRESS(INDEX($W$2:$W$1001,MATCH(ROWS($U$2:U636),$U$2:$U$1001,0),0), INDEX($AB$1004:$AQ$1004,1,MATCH(COLUMNS($AB$1006:AL1006),$AB$1006:$AQ$1006,0)))),"Fix")))</f>
        <v>0</v>
      </c>
      <c r="M636" s="4">
        <f>IF(OR(INDEX($V$2:$V$1001,MATCH(ROWS($U$2:U636),$U$2:$U$1001,0),1)&gt;=100000,INDEX($AB$1005:$AQ$1005,1,MATCH(COLUMNS($AB$1006:AM1006),$AB$1006:$AQ$1006,0))&gt;=100000), " ",IF(INDEX($AB$2:$AQ$1001,MATCH(ROWS($U$2:U636),$U$2:$U$1001,0),MATCH(COLUMNS($AB$1006:AM1006),$AB$1006:$AQ$1006,0)), HYPERLINK("#",""), HYPERLINK(CONCATENATE("#metadata!", ADDRESS(INDEX($W$2:$W$1001,MATCH(ROWS($U$2:U636),$U$2:$U$1001,0),0), INDEX($AB$1004:$AQ$1004,1,MATCH(COLUMNS($AB$1006:AM1006),$AB$1006:$AQ$1006,0)))),"Fix")))</f>
        <v>0</v>
      </c>
      <c r="N636" s="4">
        <f>IF(OR(INDEX($V$2:$V$1001,MATCH(ROWS($U$2:U636),$U$2:$U$1001,0),1)&gt;=100000,INDEX($AB$1005:$AQ$1005,1,MATCH(COLUMNS($AB$1006:AN1006),$AB$1006:$AQ$1006,0))&gt;=100000), " ",IF(INDEX($AB$2:$AQ$1001,MATCH(ROWS($U$2:U636),$U$2:$U$1001,0),MATCH(COLUMNS($AB$1006:AN1006),$AB$1006:$AQ$1006,0)), HYPERLINK("#",""), HYPERLINK(CONCATENATE("#metadata!", ADDRESS(INDEX($W$2:$W$1001,MATCH(ROWS($U$2:U636),$U$2:$U$1001,0),0), INDEX($AB$1004:$AQ$1004,1,MATCH(COLUMNS($AB$1006:AN1006),$AB$1006:$AQ$1006,0)))),"Fix")))</f>
        <v>0</v>
      </c>
      <c r="O636" s="4">
        <f>IF(OR(INDEX($V$2:$V$1001,MATCH(ROWS($U$2:U636),$U$2:$U$1001,0),1)&gt;=100000,INDEX($AB$1005:$AQ$1005,1,MATCH(COLUMNS($AB$1006:AO1006),$AB$1006:$AQ$1006,0))&gt;=100000), " ",IF(INDEX($AB$2:$AQ$1001,MATCH(ROWS($U$2:U636),$U$2:$U$1001,0),MATCH(COLUMNS($AB$1006:AO1006),$AB$1006:$AQ$1006,0)), HYPERLINK("#",""), HYPERLINK(CONCATENATE("#metadata!", ADDRESS(INDEX($W$2:$W$1001,MATCH(ROWS($U$2:U636),$U$2:$U$1001,0),0), INDEX($AB$1004:$AQ$1004,1,MATCH(COLUMNS($AB$1006:AO1006),$AB$1006:$AQ$1006,0)))),"Fix")))</f>
        <v>0</v>
      </c>
      <c r="P636" s="4">
        <f>IF(OR(INDEX($V$2:$V$1001,MATCH(ROWS($U$2:U636),$U$2:$U$1001,0),1)&gt;=100000,INDEX($AB$1005:$AQ$1005,1,MATCH(COLUMNS($AB$1006:AP1006),$AB$1006:$AQ$1006,0))&gt;=100000), " ",IF(INDEX($AB$2:$AQ$1001,MATCH(ROWS($U$2:U636),$U$2:$U$1001,0),MATCH(COLUMNS($AB$1006:AP1006),$AB$1006:$AQ$1006,0)), HYPERLINK("#",""), HYPERLINK(CONCATENATE("#metadata!", ADDRESS(INDEX($W$2:$W$1001,MATCH(ROWS($U$2:U636),$U$2:$U$1001,0),0), INDEX($AB$1004:$AQ$1004,1,MATCH(COLUMNS($AB$1006:AP1006),$AB$1006:$AQ$1006,0)))),"Fix")))</f>
        <v>0</v>
      </c>
      <c r="Q636" s="4">
        <f>IF(OR(INDEX($V$2:$V$1001,MATCH(ROWS($U$2:U636),$U$2:$U$1001,0),1)&gt;=100000,INDEX($AB$1005:$AQ$1005,1,MATCH(COLUMNS($AB$1006:AQ1006),$AB$1006:$AQ$1006,0))&gt;=100000), " ",IF(INDEX($AB$2:$AQ$1001,MATCH(ROWS($U$2:U636),$U$2:$U$1001,0),MATCH(COLUMNS($AB$1006:AQ1006),$AB$1006:$AQ$1006,0)), HYPERLINK("#",""), HYPERLINK(CONCATENATE("#metadata!", ADDRESS(INDEX($W$2:$W$1001,MATCH(ROWS($U$2:U636),$U$2:$U$1001,0),0), INDEX($AB$1004:$AQ$1004,1,MATCH(COLUMNS($AB$1006:AQ1006),$AB$1006:$AQ$1006,0)))),"Fix")))</f>
        <v>0</v>
      </c>
      <c r="U636">
        <v>0</v>
      </c>
      <c r="V636">
        <v>0</v>
      </c>
      <c r="W636">
        <v>0</v>
      </c>
      <c r="X636">
        <f>IF(Y636,TRUE,AND(AB636:AQ636))</f>
        <v>0</v>
      </c>
      <c r="Y636">
        <f>COUNTBLANK(metadata!B636:Q636)=COLUMNS(metadata!B636:Q636)</f>
        <v>0</v>
      </c>
      <c r="Z636">
        <v>0</v>
      </c>
      <c r="AB636">
        <f>AND(IF(metadata!B636="",FALSE,TRUE),COUNTIF(metadata!B:B, metadata!B636) = 1,NOT(ISERROR(SUMPRODUCT(SEARCH(MID(metadata!B636,ROW(INDIRECT("1:"&amp;LEN(metadata!B636))), 1),"0123456789abcdefghijklmnopqrstuvwxyzABCDEFGHIJKLMNOPQRSTUVWXYZ.")))))</f>
        <v>0</v>
      </c>
      <c r="AC636">
        <f>OR(AND(IF(metadata!C636="",FALSE,TRUE),OR(exact(metadata!C636,"missing: not collected"),exact(metadata!C636,"missing: not provided"),exact(metadata!C636,"missing: restricted access"))),AND(IF(metadata!C636="",FALSE,TRUE),AND(AND(IFERROR(INT(LEFT(metadata!C636,4))&gt;1900,FALSE),IFERROR(INT(LEFT(metadata!C636,4))&lt;=YEAR(NOW()),FALSE)), OR(MID(metadata!C636,5,1)="", AND(AND(MID(metadata!C636,5,1)="-",IFERROR(INT(MID(metadata!C636,6,1))&gt;=0,FALSE),IFERROR(INT(MID(metadata!C636,6,1))&lt;=1,FALSE),NOT(MID(metadata!C636,7,1)=""),IFERROR(INT(MID(metadata!C636,6,2))&gt;=1,FALSE),IFERROR(INT(MID(metadata!C636,6,2))&lt;=12,FALSE)), OR(MID(metadata!C636,8,1)="", AND(AND(MID(metadata!C636,8,1)="-",IFERROR(INT(MID(metadata!C636,9,1))&gt;=0,FALSE),IFERROR(INT(MID(metadata!C636,9,1))&lt;=3,FALSE),NOT(MID(metadata!C636,10,1)=""),IFERROR(INT(MID(metadata!C636,9,2))&gt;=1,FALSE),IFERROR(INT(MID(metadata!C636,9,2))&lt;=31,FALSE)), OR(MID(metadata!C636,11,1)="", AND(AND(MID(metadata!C636,11,1)=" ",IFERROR(INT(MID(metadata!C636,12,1))&gt;=0,FALSE),IFERROR(INT(MID(metadata!C636,12,1))&lt;=2,FALSE),NOT(MID(metadata!C636,13,1)=""),IFERROR(INT(MID(metadata!C636,12,2))&gt;=0,FALSE),IFERROR(INT(MID(metadata!C636,12,2))&lt;=23,FALSE)), OR(MID(metadata!C636,14,1)="", AND(AND(MID(metadata!C636,14,1)=":",IFERROR(INT(MID(metadata!C636,15,1))&gt;=0,FALSE),IFERROR(INT(MID(metadata!C636,15,1))&lt;=5,FALSE),NOT(MID(metadata!C636,16,1)=""),IFERROR(INT(MID(metadata!C636,15,2))&gt;=0,FALSE),IFERROR(INT(MID(metadata!C636,15,2))&lt;=59,FALSE)), OR(MID(metadata!C636,17,1)="", AND(AND(MID(metadata!C636,17,1)=":",IFERROR(INT(MID(metadata!C636,18,1))&gt;=0,FALSE),IFERROR(INT(MID(metadata!C636,18,1))&lt;=5,FALSE),NOT(MID(metadata!C636,19,1)=""),IFERROR(INT(MID(metadata!C636,18,2))&gt;=0,FALSE),IFERROR(INT(MID(metadata!C636,18,2))&lt;=59,FALSE)), LEN(metadata!C636)&lt;=19)))))))))))))</f>
        <v>0</v>
      </c>
      <c r="AD636">
        <f>IF(metadata!D636="",FALSE,TRUE)</f>
        <v>0</v>
      </c>
      <c r="AE636">
        <f>OR(AND(IF(metadata!E636="",FALSE,TRUE),OR(exact(metadata!E636,"missing: not collected"),exact(metadata!E636,"missing: not provided"))),AND(IF(metadata!E636="",FALSE,TRUE),OR(exact(metadata!E636,"TRUE"),exact(metadata!E636,"FALSE"))))</f>
        <v>0</v>
      </c>
      <c r="AF636">
        <f>IF(metadata!F636="",FALSE,TRUE)</f>
        <v>0</v>
      </c>
      <c r="AG636">
        <f>IF(metadata!G636="",FALSE,TRUE)</f>
        <v>0</v>
      </c>
      <c r="AH636">
        <f>IF(metadata!H636="",FALSE,TRUE)</f>
        <v>0</v>
      </c>
      <c r="AI636">
        <f>OR(AND(IF(metadata!I636="",FALSE,TRUE),OR(exact(metadata!I636,"missing: not collected"),exact(metadata!I636,"missing: not provided"),exact(metadata!I636,"missing: restricted access"))),AND(IF(metadata!I636="",FALSE,TRUE),OR(exact(metadata!I636,"air"),exact(metadata!I636,"built environment"),exact(metadata!I636,"host-associated"),exact(metadata!I636,"human-associated"),exact(metadata!I636,"human-skin"),exact(metadata!I636,"human-oral"),exact(metadata!I636,"human-gut"),exact(metadata!I636,"human-vaginal"),exact(metadata!I636,"microbial mat/biofilm"),exact(metadata!I636,"misc environment"),exact(metadata!I636,"plant-associated"),exact(metadata!I636,"sediment"),exact(metadata!I636,"soil"),exact(metadata!I636,"wastewater/sludge"),exact(metadata!I636,"water"))))</f>
        <v>0</v>
      </c>
      <c r="AJ636">
        <f>IF(metadata!J636="",FALSE,TRUE)</f>
        <v>0</v>
      </c>
      <c r="AK636">
        <f>OR(AND(IF(metadata!K636="",FALSE,TRUE),OR(exact(metadata!K636,"missing: not collected"),exact(metadata!K636,"missing: not provided"),exact(metadata!K636,"missing: restricted access"))),AND(IF(metadata!K636="",FALSE,ISNUMBER(VALUE(metadata!K636))),metadata!K636&gt;=-90.00,metadata!K636&lt;=90.00))</f>
        <v>0</v>
      </c>
      <c r="AL636">
        <f>OR(AND(IF(metadata!L636="",FALSE,TRUE),OR(exact(metadata!L636,"missing: not collected"),exact(metadata!L636,"missing: not provided"),exact(metadata!L636,"missing: restricted access"))),AND(IF(metadata!L636="",FALSE,ISNUMBER(VALUE(metadata!L636))),metadata!L636&gt;=-180.00,metadata!L636&lt;=180.00))</f>
        <v>0</v>
      </c>
      <c r="AM636">
        <f>IF(metadata!M636="",FALSE,TRUE)</f>
        <v>0</v>
      </c>
      <c r="AN636">
        <f>OR(AND(IF(metadata!N636="",FALSE,TRUE),OR(exact(metadata!N636,"missing: not collected"),exact(metadata!N636,"missing: not provided"),exact(metadata!N636,"missing: restricted access"))),AND(IF(metadata!N636="",FALSE,TRUE),OR(exact(metadata!N636,"TRUE"),exact(metadata!N636,"FALSE"))))</f>
        <v>0</v>
      </c>
      <c r="AO636">
        <f>IF(metadata!O636="",FALSE,TRUE)</f>
        <v>0</v>
      </c>
      <c r="AP636">
        <f>OR(AND(IF(metadata!P636="",FALSE,TRUE),OR(exact(metadata!P636,"missing: not collected"),exact(metadata!P636,"missing: not provided"))),AND(IF(metadata!P636="",FALSE,IF(ISERROR(INT(metadata!P636)),FALSE,INT(metadata!P636)=metadata!P636)),metadata!P636&gt;0))</f>
        <v>0</v>
      </c>
      <c r="AQ636">
        <f>IF(metadata!Q636="",FALSE,TRUE)</f>
        <v>0</v>
      </c>
    </row>
    <row r="637" spans="1:43">
      <c r="A637" s="5">
        <f>IF(B637=" "," ",HYPERLINK(CONCATENATE("#metadata!",ADDRESS(INDEX($W$2:$W$1001,MATCH(ROWS($U$2:U637),$U$2:$U$1001,0),0),1)),INDEX($Z$2:$Z$1001,MATCH(ROWS($U$2:U637),$U$2:$U$1001,0),0)))</f>
        <v>0</v>
      </c>
      <c r="B637" s="4">
        <f>IF(OR(INDEX($V$2:$V$1001,MATCH(ROWS($U$2:U637),$U$2:$U$1001,0),1)&gt;=100000,INDEX($AB$1005:$AQ$1005,1,MATCH(COLUMNS($AB$1006:AB1006),$AB$1006:$AQ$1006,0))&gt;=100000), " ",IF(INDEX($AB$2:$AQ$1001,MATCH(ROWS($U$2:U637),$U$2:$U$1001,0),MATCH(COLUMNS($AB$1006:AB1006),$AB$1006:$AQ$1006,0)), HYPERLINK("#",""), HYPERLINK(CONCATENATE("#metadata!", ADDRESS(INDEX($W$2:$W$1001,MATCH(ROWS($U$2:U637),$U$2:$U$1001,0),0), INDEX($AB$1004:$AQ$1004,1,MATCH(COLUMNS($AB$1006:AB1006),$AB$1006:$AQ$1006,0)))),"Fix")))</f>
        <v>0</v>
      </c>
      <c r="C637" s="4">
        <f>IF(OR(INDEX($V$2:$V$1001,MATCH(ROWS($U$2:U637),$U$2:$U$1001,0),1)&gt;=100000,INDEX($AB$1005:$AQ$1005,1,MATCH(COLUMNS($AB$1006:AC1006),$AB$1006:$AQ$1006,0))&gt;=100000), " ",IF(INDEX($AB$2:$AQ$1001,MATCH(ROWS($U$2:U637),$U$2:$U$1001,0),MATCH(COLUMNS($AB$1006:AC1006),$AB$1006:$AQ$1006,0)), HYPERLINK("#",""), HYPERLINK(CONCATENATE("#metadata!", ADDRESS(INDEX($W$2:$W$1001,MATCH(ROWS($U$2:U637),$U$2:$U$1001,0),0), INDEX($AB$1004:$AQ$1004,1,MATCH(COLUMNS($AB$1006:AC1006),$AB$1006:$AQ$1006,0)))),"Fix")))</f>
        <v>0</v>
      </c>
      <c r="D637" s="4">
        <f>IF(OR(INDEX($V$2:$V$1001,MATCH(ROWS($U$2:U637),$U$2:$U$1001,0),1)&gt;=100000,INDEX($AB$1005:$AQ$1005,1,MATCH(COLUMNS($AB$1006:AD1006),$AB$1006:$AQ$1006,0))&gt;=100000), " ",IF(INDEX($AB$2:$AQ$1001,MATCH(ROWS($U$2:U637),$U$2:$U$1001,0),MATCH(COLUMNS($AB$1006:AD1006),$AB$1006:$AQ$1006,0)), HYPERLINK("#",""), HYPERLINK(CONCATENATE("#metadata!", ADDRESS(INDEX($W$2:$W$1001,MATCH(ROWS($U$2:U637),$U$2:$U$1001,0),0), INDEX($AB$1004:$AQ$1004,1,MATCH(COLUMNS($AB$1006:AD1006),$AB$1006:$AQ$1006,0)))),"Fix")))</f>
        <v>0</v>
      </c>
      <c r="E637" s="4">
        <f>IF(OR(INDEX($V$2:$V$1001,MATCH(ROWS($U$2:U637),$U$2:$U$1001,0),1)&gt;=100000,INDEX($AB$1005:$AQ$1005,1,MATCH(COLUMNS($AB$1006:AE1006),$AB$1006:$AQ$1006,0))&gt;=100000), " ",IF(INDEX($AB$2:$AQ$1001,MATCH(ROWS($U$2:U637),$U$2:$U$1001,0),MATCH(COLUMNS($AB$1006:AE1006),$AB$1006:$AQ$1006,0)), HYPERLINK("#",""), HYPERLINK(CONCATENATE("#metadata!", ADDRESS(INDEX($W$2:$W$1001,MATCH(ROWS($U$2:U637),$U$2:$U$1001,0),0), INDEX($AB$1004:$AQ$1004,1,MATCH(COLUMNS($AB$1006:AE1006),$AB$1006:$AQ$1006,0)))),"Fix")))</f>
        <v>0</v>
      </c>
      <c r="F637" s="4">
        <f>IF(OR(INDEX($V$2:$V$1001,MATCH(ROWS($U$2:U637),$U$2:$U$1001,0),1)&gt;=100000,INDEX($AB$1005:$AQ$1005,1,MATCH(COLUMNS($AB$1006:AF1006),$AB$1006:$AQ$1006,0))&gt;=100000), " ",IF(INDEX($AB$2:$AQ$1001,MATCH(ROWS($U$2:U637),$U$2:$U$1001,0),MATCH(COLUMNS($AB$1006:AF1006),$AB$1006:$AQ$1006,0)), HYPERLINK("#",""), HYPERLINK(CONCATENATE("#metadata!", ADDRESS(INDEX($W$2:$W$1001,MATCH(ROWS($U$2:U637),$U$2:$U$1001,0),0), INDEX($AB$1004:$AQ$1004,1,MATCH(COLUMNS($AB$1006:AF1006),$AB$1006:$AQ$1006,0)))),"Fix")))</f>
        <v>0</v>
      </c>
      <c r="G637" s="4">
        <f>IF(OR(INDEX($V$2:$V$1001,MATCH(ROWS($U$2:U637),$U$2:$U$1001,0),1)&gt;=100000,INDEX($AB$1005:$AQ$1005,1,MATCH(COLUMNS($AB$1006:AG1006),$AB$1006:$AQ$1006,0))&gt;=100000), " ",IF(INDEX($AB$2:$AQ$1001,MATCH(ROWS($U$2:U637),$U$2:$U$1001,0),MATCH(COLUMNS($AB$1006:AG1006),$AB$1006:$AQ$1006,0)), HYPERLINK("#",""), HYPERLINK(CONCATENATE("#metadata!", ADDRESS(INDEX($W$2:$W$1001,MATCH(ROWS($U$2:U637),$U$2:$U$1001,0),0), INDEX($AB$1004:$AQ$1004,1,MATCH(COLUMNS($AB$1006:AG1006),$AB$1006:$AQ$1006,0)))),"Fix")))</f>
        <v>0</v>
      </c>
      <c r="H637" s="4">
        <f>IF(OR(INDEX($V$2:$V$1001,MATCH(ROWS($U$2:U637),$U$2:$U$1001,0),1)&gt;=100000,INDEX($AB$1005:$AQ$1005,1,MATCH(COLUMNS($AB$1006:AH1006),$AB$1006:$AQ$1006,0))&gt;=100000), " ",IF(INDEX($AB$2:$AQ$1001,MATCH(ROWS($U$2:U637),$U$2:$U$1001,0),MATCH(COLUMNS($AB$1006:AH1006),$AB$1006:$AQ$1006,0)), HYPERLINK("#",""), HYPERLINK(CONCATENATE("#metadata!", ADDRESS(INDEX($W$2:$W$1001,MATCH(ROWS($U$2:U637),$U$2:$U$1001,0),0), INDEX($AB$1004:$AQ$1004,1,MATCH(COLUMNS($AB$1006:AH1006),$AB$1006:$AQ$1006,0)))),"Fix")))</f>
        <v>0</v>
      </c>
      <c r="I637" s="4">
        <f>IF(OR(INDEX($V$2:$V$1001,MATCH(ROWS($U$2:U637),$U$2:$U$1001,0),1)&gt;=100000,INDEX($AB$1005:$AQ$1005,1,MATCH(COLUMNS($AB$1006:AI1006),$AB$1006:$AQ$1006,0))&gt;=100000), " ",IF(INDEX($AB$2:$AQ$1001,MATCH(ROWS($U$2:U637),$U$2:$U$1001,0),MATCH(COLUMNS($AB$1006:AI1006),$AB$1006:$AQ$1006,0)), HYPERLINK("#",""), HYPERLINK(CONCATENATE("#metadata!", ADDRESS(INDEX($W$2:$W$1001,MATCH(ROWS($U$2:U637),$U$2:$U$1001,0),0), INDEX($AB$1004:$AQ$1004,1,MATCH(COLUMNS($AB$1006:AI1006),$AB$1006:$AQ$1006,0)))),"Fix")))</f>
        <v>0</v>
      </c>
      <c r="J637" s="4">
        <f>IF(OR(INDEX($V$2:$V$1001,MATCH(ROWS($U$2:U637),$U$2:$U$1001,0),1)&gt;=100000,INDEX($AB$1005:$AQ$1005,1,MATCH(COLUMNS($AB$1006:AJ1006),$AB$1006:$AQ$1006,0))&gt;=100000), " ",IF(INDEX($AB$2:$AQ$1001,MATCH(ROWS($U$2:U637),$U$2:$U$1001,0),MATCH(COLUMNS($AB$1006:AJ1006),$AB$1006:$AQ$1006,0)), HYPERLINK("#",""), HYPERLINK(CONCATENATE("#metadata!", ADDRESS(INDEX($W$2:$W$1001,MATCH(ROWS($U$2:U637),$U$2:$U$1001,0),0), INDEX($AB$1004:$AQ$1004,1,MATCH(COLUMNS($AB$1006:AJ1006),$AB$1006:$AQ$1006,0)))),"Fix")))</f>
        <v>0</v>
      </c>
      <c r="K637" s="4">
        <f>IF(OR(INDEX($V$2:$V$1001,MATCH(ROWS($U$2:U637),$U$2:$U$1001,0),1)&gt;=100000,INDEX($AB$1005:$AQ$1005,1,MATCH(COLUMNS($AB$1006:AK1006),$AB$1006:$AQ$1006,0))&gt;=100000), " ",IF(INDEX($AB$2:$AQ$1001,MATCH(ROWS($U$2:U637),$U$2:$U$1001,0),MATCH(COLUMNS($AB$1006:AK1006),$AB$1006:$AQ$1006,0)), HYPERLINK("#",""), HYPERLINK(CONCATENATE("#metadata!", ADDRESS(INDEX($W$2:$W$1001,MATCH(ROWS($U$2:U637),$U$2:$U$1001,0),0), INDEX($AB$1004:$AQ$1004,1,MATCH(COLUMNS($AB$1006:AK1006),$AB$1006:$AQ$1006,0)))),"Fix")))</f>
        <v>0</v>
      </c>
      <c r="L637" s="4">
        <f>IF(OR(INDEX($V$2:$V$1001,MATCH(ROWS($U$2:U637),$U$2:$U$1001,0),1)&gt;=100000,INDEX($AB$1005:$AQ$1005,1,MATCH(COLUMNS($AB$1006:AL1006),$AB$1006:$AQ$1006,0))&gt;=100000), " ",IF(INDEX($AB$2:$AQ$1001,MATCH(ROWS($U$2:U637),$U$2:$U$1001,0),MATCH(COLUMNS($AB$1006:AL1006),$AB$1006:$AQ$1006,0)), HYPERLINK("#",""), HYPERLINK(CONCATENATE("#metadata!", ADDRESS(INDEX($W$2:$W$1001,MATCH(ROWS($U$2:U637),$U$2:$U$1001,0),0), INDEX($AB$1004:$AQ$1004,1,MATCH(COLUMNS($AB$1006:AL1006),$AB$1006:$AQ$1006,0)))),"Fix")))</f>
        <v>0</v>
      </c>
      <c r="M637" s="4">
        <f>IF(OR(INDEX($V$2:$V$1001,MATCH(ROWS($U$2:U637),$U$2:$U$1001,0),1)&gt;=100000,INDEX($AB$1005:$AQ$1005,1,MATCH(COLUMNS($AB$1006:AM1006),$AB$1006:$AQ$1006,0))&gt;=100000), " ",IF(INDEX($AB$2:$AQ$1001,MATCH(ROWS($U$2:U637),$U$2:$U$1001,0),MATCH(COLUMNS($AB$1006:AM1006),$AB$1006:$AQ$1006,0)), HYPERLINK("#",""), HYPERLINK(CONCATENATE("#metadata!", ADDRESS(INDEX($W$2:$W$1001,MATCH(ROWS($U$2:U637),$U$2:$U$1001,0),0), INDEX($AB$1004:$AQ$1004,1,MATCH(COLUMNS($AB$1006:AM1006),$AB$1006:$AQ$1006,0)))),"Fix")))</f>
        <v>0</v>
      </c>
      <c r="N637" s="4">
        <f>IF(OR(INDEX($V$2:$V$1001,MATCH(ROWS($U$2:U637),$U$2:$U$1001,0),1)&gt;=100000,INDEX($AB$1005:$AQ$1005,1,MATCH(COLUMNS($AB$1006:AN1006),$AB$1006:$AQ$1006,0))&gt;=100000), " ",IF(INDEX($AB$2:$AQ$1001,MATCH(ROWS($U$2:U637),$U$2:$U$1001,0),MATCH(COLUMNS($AB$1006:AN1006),$AB$1006:$AQ$1006,0)), HYPERLINK("#",""), HYPERLINK(CONCATENATE("#metadata!", ADDRESS(INDEX($W$2:$W$1001,MATCH(ROWS($U$2:U637),$U$2:$U$1001,0),0), INDEX($AB$1004:$AQ$1004,1,MATCH(COLUMNS($AB$1006:AN1006),$AB$1006:$AQ$1006,0)))),"Fix")))</f>
        <v>0</v>
      </c>
      <c r="O637" s="4">
        <f>IF(OR(INDEX($V$2:$V$1001,MATCH(ROWS($U$2:U637),$U$2:$U$1001,0),1)&gt;=100000,INDEX($AB$1005:$AQ$1005,1,MATCH(COLUMNS($AB$1006:AO1006),$AB$1006:$AQ$1006,0))&gt;=100000), " ",IF(INDEX($AB$2:$AQ$1001,MATCH(ROWS($U$2:U637),$U$2:$U$1001,0),MATCH(COLUMNS($AB$1006:AO1006),$AB$1006:$AQ$1006,0)), HYPERLINK("#",""), HYPERLINK(CONCATENATE("#metadata!", ADDRESS(INDEX($W$2:$W$1001,MATCH(ROWS($U$2:U637),$U$2:$U$1001,0),0), INDEX($AB$1004:$AQ$1004,1,MATCH(COLUMNS($AB$1006:AO1006),$AB$1006:$AQ$1006,0)))),"Fix")))</f>
        <v>0</v>
      </c>
      <c r="P637" s="4">
        <f>IF(OR(INDEX($V$2:$V$1001,MATCH(ROWS($U$2:U637),$U$2:$U$1001,0),1)&gt;=100000,INDEX($AB$1005:$AQ$1005,1,MATCH(COLUMNS($AB$1006:AP1006),$AB$1006:$AQ$1006,0))&gt;=100000), " ",IF(INDEX($AB$2:$AQ$1001,MATCH(ROWS($U$2:U637),$U$2:$U$1001,0),MATCH(COLUMNS($AB$1006:AP1006),$AB$1006:$AQ$1006,0)), HYPERLINK("#",""), HYPERLINK(CONCATENATE("#metadata!", ADDRESS(INDEX($W$2:$W$1001,MATCH(ROWS($U$2:U637),$U$2:$U$1001,0),0), INDEX($AB$1004:$AQ$1004,1,MATCH(COLUMNS($AB$1006:AP1006),$AB$1006:$AQ$1006,0)))),"Fix")))</f>
        <v>0</v>
      </c>
      <c r="Q637" s="4">
        <f>IF(OR(INDEX($V$2:$V$1001,MATCH(ROWS($U$2:U637),$U$2:$U$1001,0),1)&gt;=100000,INDEX($AB$1005:$AQ$1005,1,MATCH(COLUMNS($AB$1006:AQ1006),$AB$1006:$AQ$1006,0))&gt;=100000), " ",IF(INDEX($AB$2:$AQ$1001,MATCH(ROWS($U$2:U637),$U$2:$U$1001,0),MATCH(COLUMNS($AB$1006:AQ1006),$AB$1006:$AQ$1006,0)), HYPERLINK("#",""), HYPERLINK(CONCATENATE("#metadata!", ADDRESS(INDEX($W$2:$W$1001,MATCH(ROWS($U$2:U637),$U$2:$U$1001,0),0), INDEX($AB$1004:$AQ$1004,1,MATCH(COLUMNS($AB$1006:AQ1006),$AB$1006:$AQ$1006,0)))),"Fix")))</f>
        <v>0</v>
      </c>
      <c r="U637">
        <v>0</v>
      </c>
      <c r="V637">
        <v>0</v>
      </c>
      <c r="W637">
        <v>0</v>
      </c>
      <c r="X637">
        <f>IF(Y637,TRUE,AND(AB637:AQ637))</f>
        <v>0</v>
      </c>
      <c r="Y637">
        <f>COUNTBLANK(metadata!B637:Q637)=COLUMNS(metadata!B637:Q637)</f>
        <v>0</v>
      </c>
      <c r="Z637">
        <v>0</v>
      </c>
      <c r="AB637">
        <f>AND(IF(metadata!B637="",FALSE,TRUE),COUNTIF(metadata!B:B, metadata!B637) = 1,NOT(ISERROR(SUMPRODUCT(SEARCH(MID(metadata!B637,ROW(INDIRECT("1:"&amp;LEN(metadata!B637))), 1),"0123456789abcdefghijklmnopqrstuvwxyzABCDEFGHIJKLMNOPQRSTUVWXYZ.")))))</f>
        <v>0</v>
      </c>
      <c r="AC637">
        <f>OR(AND(IF(metadata!C637="",FALSE,TRUE),OR(exact(metadata!C637,"missing: not collected"),exact(metadata!C637,"missing: not provided"),exact(metadata!C637,"missing: restricted access"))),AND(IF(metadata!C637="",FALSE,TRUE),AND(AND(IFERROR(INT(LEFT(metadata!C637,4))&gt;1900,FALSE),IFERROR(INT(LEFT(metadata!C637,4))&lt;=YEAR(NOW()),FALSE)), OR(MID(metadata!C637,5,1)="", AND(AND(MID(metadata!C637,5,1)="-",IFERROR(INT(MID(metadata!C637,6,1))&gt;=0,FALSE),IFERROR(INT(MID(metadata!C637,6,1))&lt;=1,FALSE),NOT(MID(metadata!C637,7,1)=""),IFERROR(INT(MID(metadata!C637,6,2))&gt;=1,FALSE),IFERROR(INT(MID(metadata!C637,6,2))&lt;=12,FALSE)), OR(MID(metadata!C637,8,1)="", AND(AND(MID(metadata!C637,8,1)="-",IFERROR(INT(MID(metadata!C637,9,1))&gt;=0,FALSE),IFERROR(INT(MID(metadata!C637,9,1))&lt;=3,FALSE),NOT(MID(metadata!C637,10,1)=""),IFERROR(INT(MID(metadata!C637,9,2))&gt;=1,FALSE),IFERROR(INT(MID(metadata!C637,9,2))&lt;=31,FALSE)), OR(MID(metadata!C637,11,1)="", AND(AND(MID(metadata!C637,11,1)=" ",IFERROR(INT(MID(metadata!C637,12,1))&gt;=0,FALSE),IFERROR(INT(MID(metadata!C637,12,1))&lt;=2,FALSE),NOT(MID(metadata!C637,13,1)=""),IFERROR(INT(MID(metadata!C637,12,2))&gt;=0,FALSE),IFERROR(INT(MID(metadata!C637,12,2))&lt;=23,FALSE)), OR(MID(metadata!C637,14,1)="", AND(AND(MID(metadata!C637,14,1)=":",IFERROR(INT(MID(metadata!C637,15,1))&gt;=0,FALSE),IFERROR(INT(MID(metadata!C637,15,1))&lt;=5,FALSE),NOT(MID(metadata!C637,16,1)=""),IFERROR(INT(MID(metadata!C637,15,2))&gt;=0,FALSE),IFERROR(INT(MID(metadata!C637,15,2))&lt;=59,FALSE)), OR(MID(metadata!C637,17,1)="", AND(AND(MID(metadata!C637,17,1)=":",IFERROR(INT(MID(metadata!C637,18,1))&gt;=0,FALSE),IFERROR(INT(MID(metadata!C637,18,1))&lt;=5,FALSE),NOT(MID(metadata!C637,19,1)=""),IFERROR(INT(MID(metadata!C637,18,2))&gt;=0,FALSE),IFERROR(INT(MID(metadata!C637,18,2))&lt;=59,FALSE)), LEN(metadata!C637)&lt;=19)))))))))))))</f>
        <v>0</v>
      </c>
      <c r="AD637">
        <f>IF(metadata!D637="",FALSE,TRUE)</f>
        <v>0</v>
      </c>
      <c r="AE637">
        <f>OR(AND(IF(metadata!E637="",FALSE,TRUE),OR(exact(metadata!E637,"missing: not collected"),exact(metadata!E637,"missing: not provided"))),AND(IF(metadata!E637="",FALSE,TRUE),OR(exact(metadata!E637,"TRUE"),exact(metadata!E637,"FALSE"))))</f>
        <v>0</v>
      </c>
      <c r="AF637">
        <f>IF(metadata!F637="",FALSE,TRUE)</f>
        <v>0</v>
      </c>
      <c r="AG637">
        <f>IF(metadata!G637="",FALSE,TRUE)</f>
        <v>0</v>
      </c>
      <c r="AH637">
        <f>IF(metadata!H637="",FALSE,TRUE)</f>
        <v>0</v>
      </c>
      <c r="AI637">
        <f>OR(AND(IF(metadata!I637="",FALSE,TRUE),OR(exact(metadata!I637,"missing: not collected"),exact(metadata!I637,"missing: not provided"),exact(metadata!I637,"missing: restricted access"))),AND(IF(metadata!I637="",FALSE,TRUE),OR(exact(metadata!I637,"air"),exact(metadata!I637,"built environment"),exact(metadata!I637,"host-associated"),exact(metadata!I637,"human-associated"),exact(metadata!I637,"human-skin"),exact(metadata!I637,"human-oral"),exact(metadata!I637,"human-gut"),exact(metadata!I637,"human-vaginal"),exact(metadata!I637,"microbial mat/biofilm"),exact(metadata!I637,"misc environment"),exact(metadata!I637,"plant-associated"),exact(metadata!I637,"sediment"),exact(metadata!I637,"soil"),exact(metadata!I637,"wastewater/sludge"),exact(metadata!I637,"water"))))</f>
        <v>0</v>
      </c>
      <c r="AJ637">
        <f>IF(metadata!J637="",FALSE,TRUE)</f>
        <v>0</v>
      </c>
      <c r="AK637">
        <f>OR(AND(IF(metadata!K637="",FALSE,TRUE),OR(exact(metadata!K637,"missing: not collected"),exact(metadata!K637,"missing: not provided"),exact(metadata!K637,"missing: restricted access"))),AND(IF(metadata!K637="",FALSE,ISNUMBER(VALUE(metadata!K637))),metadata!K637&gt;=-90.00,metadata!K637&lt;=90.00))</f>
        <v>0</v>
      </c>
      <c r="AL637">
        <f>OR(AND(IF(metadata!L637="",FALSE,TRUE),OR(exact(metadata!L637,"missing: not collected"),exact(metadata!L637,"missing: not provided"),exact(metadata!L637,"missing: restricted access"))),AND(IF(metadata!L637="",FALSE,ISNUMBER(VALUE(metadata!L637))),metadata!L637&gt;=-180.00,metadata!L637&lt;=180.00))</f>
        <v>0</v>
      </c>
      <c r="AM637">
        <f>IF(metadata!M637="",FALSE,TRUE)</f>
        <v>0</v>
      </c>
      <c r="AN637">
        <f>OR(AND(IF(metadata!N637="",FALSE,TRUE),OR(exact(metadata!N637,"missing: not collected"),exact(metadata!N637,"missing: not provided"),exact(metadata!N637,"missing: restricted access"))),AND(IF(metadata!N637="",FALSE,TRUE),OR(exact(metadata!N637,"TRUE"),exact(metadata!N637,"FALSE"))))</f>
        <v>0</v>
      </c>
      <c r="AO637">
        <f>IF(metadata!O637="",FALSE,TRUE)</f>
        <v>0</v>
      </c>
      <c r="AP637">
        <f>OR(AND(IF(metadata!P637="",FALSE,TRUE),OR(exact(metadata!P637,"missing: not collected"),exact(metadata!P637,"missing: not provided"))),AND(IF(metadata!P637="",FALSE,IF(ISERROR(INT(metadata!P637)),FALSE,INT(metadata!P637)=metadata!P637)),metadata!P637&gt;0))</f>
        <v>0</v>
      </c>
      <c r="AQ637">
        <f>IF(metadata!Q637="",FALSE,TRUE)</f>
        <v>0</v>
      </c>
    </row>
    <row r="638" spans="1:43">
      <c r="A638" s="5">
        <f>IF(B638=" "," ",HYPERLINK(CONCATENATE("#metadata!",ADDRESS(INDEX($W$2:$W$1001,MATCH(ROWS($U$2:U638),$U$2:$U$1001,0),0),1)),INDEX($Z$2:$Z$1001,MATCH(ROWS($U$2:U638),$U$2:$U$1001,0),0)))</f>
        <v>0</v>
      </c>
      <c r="B638" s="4">
        <f>IF(OR(INDEX($V$2:$V$1001,MATCH(ROWS($U$2:U638),$U$2:$U$1001,0),1)&gt;=100000,INDEX($AB$1005:$AQ$1005,1,MATCH(COLUMNS($AB$1006:AB1006),$AB$1006:$AQ$1006,0))&gt;=100000), " ",IF(INDEX($AB$2:$AQ$1001,MATCH(ROWS($U$2:U638),$U$2:$U$1001,0),MATCH(COLUMNS($AB$1006:AB1006),$AB$1006:$AQ$1006,0)), HYPERLINK("#",""), HYPERLINK(CONCATENATE("#metadata!", ADDRESS(INDEX($W$2:$W$1001,MATCH(ROWS($U$2:U638),$U$2:$U$1001,0),0), INDEX($AB$1004:$AQ$1004,1,MATCH(COLUMNS($AB$1006:AB1006),$AB$1006:$AQ$1006,0)))),"Fix")))</f>
        <v>0</v>
      </c>
      <c r="C638" s="4">
        <f>IF(OR(INDEX($V$2:$V$1001,MATCH(ROWS($U$2:U638),$U$2:$U$1001,0),1)&gt;=100000,INDEX($AB$1005:$AQ$1005,1,MATCH(COLUMNS($AB$1006:AC1006),$AB$1006:$AQ$1006,0))&gt;=100000), " ",IF(INDEX($AB$2:$AQ$1001,MATCH(ROWS($U$2:U638),$U$2:$U$1001,0),MATCH(COLUMNS($AB$1006:AC1006),$AB$1006:$AQ$1006,0)), HYPERLINK("#",""), HYPERLINK(CONCATENATE("#metadata!", ADDRESS(INDEX($W$2:$W$1001,MATCH(ROWS($U$2:U638),$U$2:$U$1001,0),0), INDEX($AB$1004:$AQ$1004,1,MATCH(COLUMNS($AB$1006:AC1006),$AB$1006:$AQ$1006,0)))),"Fix")))</f>
        <v>0</v>
      </c>
      <c r="D638" s="4">
        <f>IF(OR(INDEX($V$2:$V$1001,MATCH(ROWS($U$2:U638),$U$2:$U$1001,0),1)&gt;=100000,INDEX($AB$1005:$AQ$1005,1,MATCH(COLUMNS($AB$1006:AD1006),$AB$1006:$AQ$1006,0))&gt;=100000), " ",IF(INDEX($AB$2:$AQ$1001,MATCH(ROWS($U$2:U638),$U$2:$U$1001,0),MATCH(COLUMNS($AB$1006:AD1006),$AB$1006:$AQ$1006,0)), HYPERLINK("#",""), HYPERLINK(CONCATENATE("#metadata!", ADDRESS(INDEX($W$2:$W$1001,MATCH(ROWS($U$2:U638),$U$2:$U$1001,0),0), INDEX($AB$1004:$AQ$1004,1,MATCH(COLUMNS($AB$1006:AD1006),$AB$1006:$AQ$1006,0)))),"Fix")))</f>
        <v>0</v>
      </c>
      <c r="E638" s="4">
        <f>IF(OR(INDEX($V$2:$V$1001,MATCH(ROWS($U$2:U638),$U$2:$U$1001,0),1)&gt;=100000,INDEX($AB$1005:$AQ$1005,1,MATCH(COLUMNS($AB$1006:AE1006),$AB$1006:$AQ$1006,0))&gt;=100000), " ",IF(INDEX($AB$2:$AQ$1001,MATCH(ROWS($U$2:U638),$U$2:$U$1001,0),MATCH(COLUMNS($AB$1006:AE1006),$AB$1006:$AQ$1006,0)), HYPERLINK("#",""), HYPERLINK(CONCATENATE("#metadata!", ADDRESS(INDEX($W$2:$W$1001,MATCH(ROWS($U$2:U638),$U$2:$U$1001,0),0), INDEX($AB$1004:$AQ$1004,1,MATCH(COLUMNS($AB$1006:AE1006),$AB$1006:$AQ$1006,0)))),"Fix")))</f>
        <v>0</v>
      </c>
      <c r="F638" s="4">
        <f>IF(OR(INDEX($V$2:$V$1001,MATCH(ROWS($U$2:U638),$U$2:$U$1001,0),1)&gt;=100000,INDEX($AB$1005:$AQ$1005,1,MATCH(COLUMNS($AB$1006:AF1006),$AB$1006:$AQ$1006,0))&gt;=100000), " ",IF(INDEX($AB$2:$AQ$1001,MATCH(ROWS($U$2:U638),$U$2:$U$1001,0),MATCH(COLUMNS($AB$1006:AF1006),$AB$1006:$AQ$1006,0)), HYPERLINK("#",""), HYPERLINK(CONCATENATE("#metadata!", ADDRESS(INDEX($W$2:$W$1001,MATCH(ROWS($U$2:U638),$U$2:$U$1001,0),0), INDEX($AB$1004:$AQ$1004,1,MATCH(COLUMNS($AB$1006:AF1006),$AB$1006:$AQ$1006,0)))),"Fix")))</f>
        <v>0</v>
      </c>
      <c r="G638" s="4">
        <f>IF(OR(INDEX($V$2:$V$1001,MATCH(ROWS($U$2:U638),$U$2:$U$1001,0),1)&gt;=100000,INDEX($AB$1005:$AQ$1005,1,MATCH(COLUMNS($AB$1006:AG1006),$AB$1006:$AQ$1006,0))&gt;=100000), " ",IF(INDEX($AB$2:$AQ$1001,MATCH(ROWS($U$2:U638),$U$2:$U$1001,0),MATCH(COLUMNS($AB$1006:AG1006),$AB$1006:$AQ$1006,0)), HYPERLINK("#",""), HYPERLINK(CONCATENATE("#metadata!", ADDRESS(INDEX($W$2:$W$1001,MATCH(ROWS($U$2:U638),$U$2:$U$1001,0),0), INDEX($AB$1004:$AQ$1004,1,MATCH(COLUMNS($AB$1006:AG1006),$AB$1006:$AQ$1006,0)))),"Fix")))</f>
        <v>0</v>
      </c>
      <c r="H638" s="4">
        <f>IF(OR(INDEX($V$2:$V$1001,MATCH(ROWS($U$2:U638),$U$2:$U$1001,0),1)&gt;=100000,INDEX($AB$1005:$AQ$1005,1,MATCH(COLUMNS($AB$1006:AH1006),$AB$1006:$AQ$1006,0))&gt;=100000), " ",IF(INDEX($AB$2:$AQ$1001,MATCH(ROWS($U$2:U638),$U$2:$U$1001,0),MATCH(COLUMNS($AB$1006:AH1006),$AB$1006:$AQ$1006,0)), HYPERLINK("#",""), HYPERLINK(CONCATENATE("#metadata!", ADDRESS(INDEX($W$2:$W$1001,MATCH(ROWS($U$2:U638),$U$2:$U$1001,0),0), INDEX($AB$1004:$AQ$1004,1,MATCH(COLUMNS($AB$1006:AH1006),$AB$1006:$AQ$1006,0)))),"Fix")))</f>
        <v>0</v>
      </c>
      <c r="I638" s="4">
        <f>IF(OR(INDEX($V$2:$V$1001,MATCH(ROWS($U$2:U638),$U$2:$U$1001,0),1)&gt;=100000,INDEX($AB$1005:$AQ$1005,1,MATCH(COLUMNS($AB$1006:AI1006),$AB$1006:$AQ$1006,0))&gt;=100000), " ",IF(INDEX($AB$2:$AQ$1001,MATCH(ROWS($U$2:U638),$U$2:$U$1001,0),MATCH(COLUMNS($AB$1006:AI1006),$AB$1006:$AQ$1006,0)), HYPERLINK("#",""), HYPERLINK(CONCATENATE("#metadata!", ADDRESS(INDEX($W$2:$W$1001,MATCH(ROWS($U$2:U638),$U$2:$U$1001,0),0), INDEX($AB$1004:$AQ$1004,1,MATCH(COLUMNS($AB$1006:AI1006),$AB$1006:$AQ$1006,0)))),"Fix")))</f>
        <v>0</v>
      </c>
      <c r="J638" s="4">
        <f>IF(OR(INDEX($V$2:$V$1001,MATCH(ROWS($U$2:U638),$U$2:$U$1001,0),1)&gt;=100000,INDEX($AB$1005:$AQ$1005,1,MATCH(COLUMNS($AB$1006:AJ1006),$AB$1006:$AQ$1006,0))&gt;=100000), " ",IF(INDEX($AB$2:$AQ$1001,MATCH(ROWS($U$2:U638),$U$2:$U$1001,0),MATCH(COLUMNS($AB$1006:AJ1006),$AB$1006:$AQ$1006,0)), HYPERLINK("#",""), HYPERLINK(CONCATENATE("#metadata!", ADDRESS(INDEX($W$2:$W$1001,MATCH(ROWS($U$2:U638),$U$2:$U$1001,0),0), INDEX($AB$1004:$AQ$1004,1,MATCH(COLUMNS($AB$1006:AJ1006),$AB$1006:$AQ$1006,0)))),"Fix")))</f>
        <v>0</v>
      </c>
      <c r="K638" s="4">
        <f>IF(OR(INDEX($V$2:$V$1001,MATCH(ROWS($U$2:U638),$U$2:$U$1001,0),1)&gt;=100000,INDEX($AB$1005:$AQ$1005,1,MATCH(COLUMNS($AB$1006:AK1006),$AB$1006:$AQ$1006,0))&gt;=100000), " ",IF(INDEX($AB$2:$AQ$1001,MATCH(ROWS($U$2:U638),$U$2:$U$1001,0),MATCH(COLUMNS($AB$1006:AK1006),$AB$1006:$AQ$1006,0)), HYPERLINK("#",""), HYPERLINK(CONCATENATE("#metadata!", ADDRESS(INDEX($W$2:$W$1001,MATCH(ROWS($U$2:U638),$U$2:$U$1001,0),0), INDEX($AB$1004:$AQ$1004,1,MATCH(COLUMNS($AB$1006:AK1006),$AB$1006:$AQ$1006,0)))),"Fix")))</f>
        <v>0</v>
      </c>
      <c r="L638" s="4">
        <f>IF(OR(INDEX($V$2:$V$1001,MATCH(ROWS($U$2:U638),$U$2:$U$1001,0),1)&gt;=100000,INDEX($AB$1005:$AQ$1005,1,MATCH(COLUMNS($AB$1006:AL1006),$AB$1006:$AQ$1006,0))&gt;=100000), " ",IF(INDEX($AB$2:$AQ$1001,MATCH(ROWS($U$2:U638),$U$2:$U$1001,0),MATCH(COLUMNS($AB$1006:AL1006),$AB$1006:$AQ$1006,0)), HYPERLINK("#",""), HYPERLINK(CONCATENATE("#metadata!", ADDRESS(INDEX($W$2:$W$1001,MATCH(ROWS($U$2:U638),$U$2:$U$1001,0),0), INDEX($AB$1004:$AQ$1004,1,MATCH(COLUMNS($AB$1006:AL1006),$AB$1006:$AQ$1006,0)))),"Fix")))</f>
        <v>0</v>
      </c>
      <c r="M638" s="4">
        <f>IF(OR(INDEX($V$2:$V$1001,MATCH(ROWS($U$2:U638),$U$2:$U$1001,0),1)&gt;=100000,INDEX($AB$1005:$AQ$1005,1,MATCH(COLUMNS($AB$1006:AM1006),$AB$1006:$AQ$1006,0))&gt;=100000), " ",IF(INDEX($AB$2:$AQ$1001,MATCH(ROWS($U$2:U638),$U$2:$U$1001,0),MATCH(COLUMNS($AB$1006:AM1006),$AB$1006:$AQ$1006,0)), HYPERLINK("#",""), HYPERLINK(CONCATENATE("#metadata!", ADDRESS(INDEX($W$2:$W$1001,MATCH(ROWS($U$2:U638),$U$2:$U$1001,0),0), INDEX($AB$1004:$AQ$1004,1,MATCH(COLUMNS($AB$1006:AM1006),$AB$1006:$AQ$1006,0)))),"Fix")))</f>
        <v>0</v>
      </c>
      <c r="N638" s="4">
        <f>IF(OR(INDEX($V$2:$V$1001,MATCH(ROWS($U$2:U638),$U$2:$U$1001,0),1)&gt;=100000,INDEX($AB$1005:$AQ$1005,1,MATCH(COLUMNS($AB$1006:AN1006),$AB$1006:$AQ$1006,0))&gt;=100000), " ",IF(INDEX($AB$2:$AQ$1001,MATCH(ROWS($U$2:U638),$U$2:$U$1001,0),MATCH(COLUMNS($AB$1006:AN1006),$AB$1006:$AQ$1006,0)), HYPERLINK("#",""), HYPERLINK(CONCATENATE("#metadata!", ADDRESS(INDEX($W$2:$W$1001,MATCH(ROWS($U$2:U638),$U$2:$U$1001,0),0), INDEX($AB$1004:$AQ$1004,1,MATCH(COLUMNS($AB$1006:AN1006),$AB$1006:$AQ$1006,0)))),"Fix")))</f>
        <v>0</v>
      </c>
      <c r="O638" s="4">
        <f>IF(OR(INDEX($V$2:$V$1001,MATCH(ROWS($U$2:U638),$U$2:$U$1001,0),1)&gt;=100000,INDEX($AB$1005:$AQ$1005,1,MATCH(COLUMNS($AB$1006:AO1006),$AB$1006:$AQ$1006,0))&gt;=100000), " ",IF(INDEX($AB$2:$AQ$1001,MATCH(ROWS($U$2:U638),$U$2:$U$1001,0),MATCH(COLUMNS($AB$1006:AO1006),$AB$1006:$AQ$1006,0)), HYPERLINK("#",""), HYPERLINK(CONCATENATE("#metadata!", ADDRESS(INDEX($W$2:$W$1001,MATCH(ROWS($U$2:U638),$U$2:$U$1001,0),0), INDEX($AB$1004:$AQ$1004,1,MATCH(COLUMNS($AB$1006:AO1006),$AB$1006:$AQ$1006,0)))),"Fix")))</f>
        <v>0</v>
      </c>
      <c r="P638" s="4">
        <f>IF(OR(INDEX($V$2:$V$1001,MATCH(ROWS($U$2:U638),$U$2:$U$1001,0),1)&gt;=100000,INDEX($AB$1005:$AQ$1005,1,MATCH(COLUMNS($AB$1006:AP1006),$AB$1006:$AQ$1006,0))&gt;=100000), " ",IF(INDEX($AB$2:$AQ$1001,MATCH(ROWS($U$2:U638),$U$2:$U$1001,0),MATCH(COLUMNS($AB$1006:AP1006),$AB$1006:$AQ$1006,0)), HYPERLINK("#",""), HYPERLINK(CONCATENATE("#metadata!", ADDRESS(INDEX($W$2:$W$1001,MATCH(ROWS($U$2:U638),$U$2:$U$1001,0),0), INDEX($AB$1004:$AQ$1004,1,MATCH(COLUMNS($AB$1006:AP1006),$AB$1006:$AQ$1006,0)))),"Fix")))</f>
        <v>0</v>
      </c>
      <c r="Q638" s="4">
        <f>IF(OR(INDEX($V$2:$V$1001,MATCH(ROWS($U$2:U638),$U$2:$U$1001,0),1)&gt;=100000,INDEX($AB$1005:$AQ$1005,1,MATCH(COLUMNS($AB$1006:AQ1006),$AB$1006:$AQ$1006,0))&gt;=100000), " ",IF(INDEX($AB$2:$AQ$1001,MATCH(ROWS($U$2:U638),$U$2:$U$1001,0),MATCH(COLUMNS($AB$1006:AQ1006),$AB$1006:$AQ$1006,0)), HYPERLINK("#",""), HYPERLINK(CONCATENATE("#metadata!", ADDRESS(INDEX($W$2:$W$1001,MATCH(ROWS($U$2:U638),$U$2:$U$1001,0),0), INDEX($AB$1004:$AQ$1004,1,MATCH(COLUMNS($AB$1006:AQ1006),$AB$1006:$AQ$1006,0)))),"Fix")))</f>
        <v>0</v>
      </c>
      <c r="U638">
        <v>0</v>
      </c>
      <c r="V638">
        <v>0</v>
      </c>
      <c r="W638">
        <v>0</v>
      </c>
      <c r="X638">
        <f>IF(Y638,TRUE,AND(AB638:AQ638))</f>
        <v>0</v>
      </c>
      <c r="Y638">
        <f>COUNTBLANK(metadata!B638:Q638)=COLUMNS(metadata!B638:Q638)</f>
        <v>0</v>
      </c>
      <c r="Z638">
        <v>0</v>
      </c>
      <c r="AB638">
        <f>AND(IF(metadata!B638="",FALSE,TRUE),COUNTIF(metadata!B:B, metadata!B638) = 1,NOT(ISERROR(SUMPRODUCT(SEARCH(MID(metadata!B638,ROW(INDIRECT("1:"&amp;LEN(metadata!B638))), 1),"0123456789abcdefghijklmnopqrstuvwxyzABCDEFGHIJKLMNOPQRSTUVWXYZ.")))))</f>
        <v>0</v>
      </c>
      <c r="AC638">
        <f>OR(AND(IF(metadata!C638="",FALSE,TRUE),OR(exact(metadata!C638,"missing: not collected"),exact(metadata!C638,"missing: not provided"),exact(metadata!C638,"missing: restricted access"))),AND(IF(metadata!C638="",FALSE,TRUE),AND(AND(IFERROR(INT(LEFT(metadata!C638,4))&gt;1900,FALSE),IFERROR(INT(LEFT(metadata!C638,4))&lt;=YEAR(NOW()),FALSE)), OR(MID(metadata!C638,5,1)="", AND(AND(MID(metadata!C638,5,1)="-",IFERROR(INT(MID(metadata!C638,6,1))&gt;=0,FALSE),IFERROR(INT(MID(metadata!C638,6,1))&lt;=1,FALSE),NOT(MID(metadata!C638,7,1)=""),IFERROR(INT(MID(metadata!C638,6,2))&gt;=1,FALSE),IFERROR(INT(MID(metadata!C638,6,2))&lt;=12,FALSE)), OR(MID(metadata!C638,8,1)="", AND(AND(MID(metadata!C638,8,1)="-",IFERROR(INT(MID(metadata!C638,9,1))&gt;=0,FALSE),IFERROR(INT(MID(metadata!C638,9,1))&lt;=3,FALSE),NOT(MID(metadata!C638,10,1)=""),IFERROR(INT(MID(metadata!C638,9,2))&gt;=1,FALSE),IFERROR(INT(MID(metadata!C638,9,2))&lt;=31,FALSE)), OR(MID(metadata!C638,11,1)="", AND(AND(MID(metadata!C638,11,1)=" ",IFERROR(INT(MID(metadata!C638,12,1))&gt;=0,FALSE),IFERROR(INT(MID(metadata!C638,12,1))&lt;=2,FALSE),NOT(MID(metadata!C638,13,1)=""),IFERROR(INT(MID(metadata!C638,12,2))&gt;=0,FALSE),IFERROR(INT(MID(metadata!C638,12,2))&lt;=23,FALSE)), OR(MID(metadata!C638,14,1)="", AND(AND(MID(metadata!C638,14,1)=":",IFERROR(INT(MID(metadata!C638,15,1))&gt;=0,FALSE),IFERROR(INT(MID(metadata!C638,15,1))&lt;=5,FALSE),NOT(MID(metadata!C638,16,1)=""),IFERROR(INT(MID(metadata!C638,15,2))&gt;=0,FALSE),IFERROR(INT(MID(metadata!C638,15,2))&lt;=59,FALSE)), OR(MID(metadata!C638,17,1)="", AND(AND(MID(metadata!C638,17,1)=":",IFERROR(INT(MID(metadata!C638,18,1))&gt;=0,FALSE),IFERROR(INT(MID(metadata!C638,18,1))&lt;=5,FALSE),NOT(MID(metadata!C638,19,1)=""),IFERROR(INT(MID(metadata!C638,18,2))&gt;=0,FALSE),IFERROR(INT(MID(metadata!C638,18,2))&lt;=59,FALSE)), LEN(metadata!C638)&lt;=19)))))))))))))</f>
        <v>0</v>
      </c>
      <c r="AD638">
        <f>IF(metadata!D638="",FALSE,TRUE)</f>
        <v>0</v>
      </c>
      <c r="AE638">
        <f>OR(AND(IF(metadata!E638="",FALSE,TRUE),OR(exact(metadata!E638,"missing: not collected"),exact(metadata!E638,"missing: not provided"))),AND(IF(metadata!E638="",FALSE,TRUE),OR(exact(metadata!E638,"TRUE"),exact(metadata!E638,"FALSE"))))</f>
        <v>0</v>
      </c>
      <c r="AF638">
        <f>IF(metadata!F638="",FALSE,TRUE)</f>
        <v>0</v>
      </c>
      <c r="AG638">
        <f>IF(metadata!G638="",FALSE,TRUE)</f>
        <v>0</v>
      </c>
      <c r="AH638">
        <f>IF(metadata!H638="",FALSE,TRUE)</f>
        <v>0</v>
      </c>
      <c r="AI638">
        <f>OR(AND(IF(metadata!I638="",FALSE,TRUE),OR(exact(metadata!I638,"missing: not collected"),exact(metadata!I638,"missing: not provided"),exact(metadata!I638,"missing: restricted access"))),AND(IF(metadata!I638="",FALSE,TRUE),OR(exact(metadata!I638,"air"),exact(metadata!I638,"built environment"),exact(metadata!I638,"host-associated"),exact(metadata!I638,"human-associated"),exact(metadata!I638,"human-skin"),exact(metadata!I638,"human-oral"),exact(metadata!I638,"human-gut"),exact(metadata!I638,"human-vaginal"),exact(metadata!I638,"microbial mat/biofilm"),exact(metadata!I638,"misc environment"),exact(metadata!I638,"plant-associated"),exact(metadata!I638,"sediment"),exact(metadata!I638,"soil"),exact(metadata!I638,"wastewater/sludge"),exact(metadata!I638,"water"))))</f>
        <v>0</v>
      </c>
      <c r="AJ638">
        <f>IF(metadata!J638="",FALSE,TRUE)</f>
        <v>0</v>
      </c>
      <c r="AK638">
        <f>OR(AND(IF(metadata!K638="",FALSE,TRUE),OR(exact(metadata!K638,"missing: not collected"),exact(metadata!K638,"missing: not provided"),exact(metadata!K638,"missing: restricted access"))),AND(IF(metadata!K638="",FALSE,ISNUMBER(VALUE(metadata!K638))),metadata!K638&gt;=-90.00,metadata!K638&lt;=90.00))</f>
        <v>0</v>
      </c>
      <c r="AL638">
        <f>OR(AND(IF(metadata!L638="",FALSE,TRUE),OR(exact(metadata!L638,"missing: not collected"),exact(metadata!L638,"missing: not provided"),exact(metadata!L638,"missing: restricted access"))),AND(IF(metadata!L638="",FALSE,ISNUMBER(VALUE(metadata!L638))),metadata!L638&gt;=-180.00,metadata!L638&lt;=180.00))</f>
        <v>0</v>
      </c>
      <c r="AM638">
        <f>IF(metadata!M638="",FALSE,TRUE)</f>
        <v>0</v>
      </c>
      <c r="AN638">
        <f>OR(AND(IF(metadata!N638="",FALSE,TRUE),OR(exact(metadata!N638,"missing: not collected"),exact(metadata!N638,"missing: not provided"),exact(metadata!N638,"missing: restricted access"))),AND(IF(metadata!N638="",FALSE,TRUE),OR(exact(metadata!N638,"TRUE"),exact(metadata!N638,"FALSE"))))</f>
        <v>0</v>
      </c>
      <c r="AO638">
        <f>IF(metadata!O638="",FALSE,TRUE)</f>
        <v>0</v>
      </c>
      <c r="AP638">
        <f>OR(AND(IF(metadata!P638="",FALSE,TRUE),OR(exact(metadata!P638,"missing: not collected"),exact(metadata!P638,"missing: not provided"))),AND(IF(metadata!P638="",FALSE,IF(ISERROR(INT(metadata!P638)),FALSE,INT(metadata!P638)=metadata!P638)),metadata!P638&gt;0))</f>
        <v>0</v>
      </c>
      <c r="AQ638">
        <f>IF(metadata!Q638="",FALSE,TRUE)</f>
        <v>0</v>
      </c>
    </row>
    <row r="639" spans="1:43">
      <c r="A639" s="5">
        <f>IF(B639=" "," ",HYPERLINK(CONCATENATE("#metadata!",ADDRESS(INDEX($W$2:$W$1001,MATCH(ROWS($U$2:U639),$U$2:$U$1001,0),0),1)),INDEX($Z$2:$Z$1001,MATCH(ROWS($U$2:U639),$U$2:$U$1001,0),0)))</f>
        <v>0</v>
      </c>
      <c r="B639" s="4">
        <f>IF(OR(INDEX($V$2:$V$1001,MATCH(ROWS($U$2:U639),$U$2:$U$1001,0),1)&gt;=100000,INDEX($AB$1005:$AQ$1005,1,MATCH(COLUMNS($AB$1006:AB1006),$AB$1006:$AQ$1006,0))&gt;=100000), " ",IF(INDEX($AB$2:$AQ$1001,MATCH(ROWS($U$2:U639),$U$2:$U$1001,0),MATCH(COLUMNS($AB$1006:AB1006),$AB$1006:$AQ$1006,0)), HYPERLINK("#",""), HYPERLINK(CONCATENATE("#metadata!", ADDRESS(INDEX($W$2:$W$1001,MATCH(ROWS($U$2:U639),$U$2:$U$1001,0),0), INDEX($AB$1004:$AQ$1004,1,MATCH(COLUMNS($AB$1006:AB1006),$AB$1006:$AQ$1006,0)))),"Fix")))</f>
        <v>0</v>
      </c>
      <c r="C639" s="4">
        <f>IF(OR(INDEX($V$2:$V$1001,MATCH(ROWS($U$2:U639),$U$2:$U$1001,0),1)&gt;=100000,INDEX($AB$1005:$AQ$1005,1,MATCH(COLUMNS($AB$1006:AC1006),$AB$1006:$AQ$1006,0))&gt;=100000), " ",IF(INDEX($AB$2:$AQ$1001,MATCH(ROWS($U$2:U639),$U$2:$U$1001,0),MATCH(COLUMNS($AB$1006:AC1006),$AB$1006:$AQ$1006,0)), HYPERLINK("#",""), HYPERLINK(CONCATENATE("#metadata!", ADDRESS(INDEX($W$2:$W$1001,MATCH(ROWS($U$2:U639),$U$2:$U$1001,0),0), INDEX($AB$1004:$AQ$1004,1,MATCH(COLUMNS($AB$1006:AC1006),$AB$1006:$AQ$1006,0)))),"Fix")))</f>
        <v>0</v>
      </c>
      <c r="D639" s="4">
        <f>IF(OR(INDEX($V$2:$V$1001,MATCH(ROWS($U$2:U639),$U$2:$U$1001,0),1)&gt;=100000,INDEX($AB$1005:$AQ$1005,1,MATCH(COLUMNS($AB$1006:AD1006),$AB$1006:$AQ$1006,0))&gt;=100000), " ",IF(INDEX($AB$2:$AQ$1001,MATCH(ROWS($U$2:U639),$U$2:$U$1001,0),MATCH(COLUMNS($AB$1006:AD1006),$AB$1006:$AQ$1006,0)), HYPERLINK("#",""), HYPERLINK(CONCATENATE("#metadata!", ADDRESS(INDEX($W$2:$W$1001,MATCH(ROWS($U$2:U639),$U$2:$U$1001,0),0), INDEX($AB$1004:$AQ$1004,1,MATCH(COLUMNS($AB$1006:AD1006),$AB$1006:$AQ$1006,0)))),"Fix")))</f>
        <v>0</v>
      </c>
      <c r="E639" s="4">
        <f>IF(OR(INDEX($V$2:$V$1001,MATCH(ROWS($U$2:U639),$U$2:$U$1001,0),1)&gt;=100000,INDEX($AB$1005:$AQ$1005,1,MATCH(COLUMNS($AB$1006:AE1006),$AB$1006:$AQ$1006,0))&gt;=100000), " ",IF(INDEX($AB$2:$AQ$1001,MATCH(ROWS($U$2:U639),$U$2:$U$1001,0),MATCH(COLUMNS($AB$1006:AE1006),$AB$1006:$AQ$1006,0)), HYPERLINK("#",""), HYPERLINK(CONCATENATE("#metadata!", ADDRESS(INDEX($W$2:$W$1001,MATCH(ROWS($U$2:U639),$U$2:$U$1001,0),0), INDEX($AB$1004:$AQ$1004,1,MATCH(COLUMNS($AB$1006:AE1006),$AB$1006:$AQ$1006,0)))),"Fix")))</f>
        <v>0</v>
      </c>
      <c r="F639" s="4">
        <f>IF(OR(INDEX($V$2:$V$1001,MATCH(ROWS($U$2:U639),$U$2:$U$1001,0),1)&gt;=100000,INDEX($AB$1005:$AQ$1005,1,MATCH(COLUMNS($AB$1006:AF1006),$AB$1006:$AQ$1006,0))&gt;=100000), " ",IF(INDEX($AB$2:$AQ$1001,MATCH(ROWS($U$2:U639),$U$2:$U$1001,0),MATCH(COLUMNS($AB$1006:AF1006),$AB$1006:$AQ$1006,0)), HYPERLINK("#",""), HYPERLINK(CONCATENATE("#metadata!", ADDRESS(INDEX($W$2:$W$1001,MATCH(ROWS($U$2:U639),$U$2:$U$1001,0),0), INDEX($AB$1004:$AQ$1004,1,MATCH(COLUMNS($AB$1006:AF1006),$AB$1006:$AQ$1006,0)))),"Fix")))</f>
        <v>0</v>
      </c>
      <c r="G639" s="4">
        <f>IF(OR(INDEX($V$2:$V$1001,MATCH(ROWS($U$2:U639),$U$2:$U$1001,0),1)&gt;=100000,INDEX($AB$1005:$AQ$1005,1,MATCH(COLUMNS($AB$1006:AG1006),$AB$1006:$AQ$1006,0))&gt;=100000), " ",IF(INDEX($AB$2:$AQ$1001,MATCH(ROWS($U$2:U639),$U$2:$U$1001,0),MATCH(COLUMNS($AB$1006:AG1006),$AB$1006:$AQ$1006,0)), HYPERLINK("#",""), HYPERLINK(CONCATENATE("#metadata!", ADDRESS(INDEX($W$2:$W$1001,MATCH(ROWS($U$2:U639),$U$2:$U$1001,0),0), INDEX($AB$1004:$AQ$1004,1,MATCH(COLUMNS($AB$1006:AG1006),$AB$1006:$AQ$1006,0)))),"Fix")))</f>
        <v>0</v>
      </c>
      <c r="H639" s="4">
        <f>IF(OR(INDEX($V$2:$V$1001,MATCH(ROWS($U$2:U639),$U$2:$U$1001,0),1)&gt;=100000,INDEX($AB$1005:$AQ$1005,1,MATCH(COLUMNS($AB$1006:AH1006),$AB$1006:$AQ$1006,0))&gt;=100000), " ",IF(INDEX($AB$2:$AQ$1001,MATCH(ROWS($U$2:U639),$U$2:$U$1001,0),MATCH(COLUMNS($AB$1006:AH1006),$AB$1006:$AQ$1006,0)), HYPERLINK("#",""), HYPERLINK(CONCATENATE("#metadata!", ADDRESS(INDEX($W$2:$W$1001,MATCH(ROWS($U$2:U639),$U$2:$U$1001,0),0), INDEX($AB$1004:$AQ$1004,1,MATCH(COLUMNS($AB$1006:AH1006),$AB$1006:$AQ$1006,0)))),"Fix")))</f>
        <v>0</v>
      </c>
      <c r="I639" s="4">
        <f>IF(OR(INDEX($V$2:$V$1001,MATCH(ROWS($U$2:U639),$U$2:$U$1001,0),1)&gt;=100000,INDEX($AB$1005:$AQ$1005,1,MATCH(COLUMNS($AB$1006:AI1006),$AB$1006:$AQ$1006,0))&gt;=100000), " ",IF(INDEX($AB$2:$AQ$1001,MATCH(ROWS($U$2:U639),$U$2:$U$1001,0),MATCH(COLUMNS($AB$1006:AI1006),$AB$1006:$AQ$1006,0)), HYPERLINK("#",""), HYPERLINK(CONCATENATE("#metadata!", ADDRESS(INDEX($W$2:$W$1001,MATCH(ROWS($U$2:U639),$U$2:$U$1001,0),0), INDEX($AB$1004:$AQ$1004,1,MATCH(COLUMNS($AB$1006:AI1006),$AB$1006:$AQ$1006,0)))),"Fix")))</f>
        <v>0</v>
      </c>
      <c r="J639" s="4">
        <f>IF(OR(INDEX($V$2:$V$1001,MATCH(ROWS($U$2:U639),$U$2:$U$1001,0),1)&gt;=100000,INDEX($AB$1005:$AQ$1005,1,MATCH(COLUMNS($AB$1006:AJ1006),$AB$1006:$AQ$1006,0))&gt;=100000), " ",IF(INDEX($AB$2:$AQ$1001,MATCH(ROWS($U$2:U639),$U$2:$U$1001,0),MATCH(COLUMNS($AB$1006:AJ1006),$AB$1006:$AQ$1006,0)), HYPERLINK("#",""), HYPERLINK(CONCATENATE("#metadata!", ADDRESS(INDEX($W$2:$W$1001,MATCH(ROWS($U$2:U639),$U$2:$U$1001,0),0), INDEX($AB$1004:$AQ$1004,1,MATCH(COLUMNS($AB$1006:AJ1006),$AB$1006:$AQ$1006,0)))),"Fix")))</f>
        <v>0</v>
      </c>
      <c r="K639" s="4">
        <f>IF(OR(INDEX($V$2:$V$1001,MATCH(ROWS($U$2:U639),$U$2:$U$1001,0),1)&gt;=100000,INDEX($AB$1005:$AQ$1005,1,MATCH(COLUMNS($AB$1006:AK1006),$AB$1006:$AQ$1006,0))&gt;=100000), " ",IF(INDEX($AB$2:$AQ$1001,MATCH(ROWS($U$2:U639),$U$2:$U$1001,0),MATCH(COLUMNS($AB$1006:AK1006),$AB$1006:$AQ$1006,0)), HYPERLINK("#",""), HYPERLINK(CONCATENATE("#metadata!", ADDRESS(INDEX($W$2:$W$1001,MATCH(ROWS($U$2:U639),$U$2:$U$1001,0),0), INDEX($AB$1004:$AQ$1004,1,MATCH(COLUMNS($AB$1006:AK1006),$AB$1006:$AQ$1006,0)))),"Fix")))</f>
        <v>0</v>
      </c>
      <c r="L639" s="4">
        <f>IF(OR(INDEX($V$2:$V$1001,MATCH(ROWS($U$2:U639),$U$2:$U$1001,0),1)&gt;=100000,INDEX($AB$1005:$AQ$1005,1,MATCH(COLUMNS($AB$1006:AL1006),$AB$1006:$AQ$1006,0))&gt;=100000), " ",IF(INDEX($AB$2:$AQ$1001,MATCH(ROWS($U$2:U639),$U$2:$U$1001,0),MATCH(COLUMNS($AB$1006:AL1006),$AB$1006:$AQ$1006,0)), HYPERLINK("#",""), HYPERLINK(CONCATENATE("#metadata!", ADDRESS(INDEX($W$2:$W$1001,MATCH(ROWS($U$2:U639),$U$2:$U$1001,0),0), INDEX($AB$1004:$AQ$1004,1,MATCH(COLUMNS($AB$1006:AL1006),$AB$1006:$AQ$1006,0)))),"Fix")))</f>
        <v>0</v>
      </c>
      <c r="M639" s="4">
        <f>IF(OR(INDEX($V$2:$V$1001,MATCH(ROWS($U$2:U639),$U$2:$U$1001,0),1)&gt;=100000,INDEX($AB$1005:$AQ$1005,1,MATCH(COLUMNS($AB$1006:AM1006),$AB$1006:$AQ$1006,0))&gt;=100000), " ",IF(INDEX($AB$2:$AQ$1001,MATCH(ROWS($U$2:U639),$U$2:$U$1001,0),MATCH(COLUMNS($AB$1006:AM1006),$AB$1006:$AQ$1006,0)), HYPERLINK("#",""), HYPERLINK(CONCATENATE("#metadata!", ADDRESS(INDEX($W$2:$W$1001,MATCH(ROWS($U$2:U639),$U$2:$U$1001,0),0), INDEX($AB$1004:$AQ$1004,1,MATCH(COLUMNS($AB$1006:AM1006),$AB$1006:$AQ$1006,0)))),"Fix")))</f>
        <v>0</v>
      </c>
      <c r="N639" s="4">
        <f>IF(OR(INDEX($V$2:$V$1001,MATCH(ROWS($U$2:U639),$U$2:$U$1001,0),1)&gt;=100000,INDEX($AB$1005:$AQ$1005,1,MATCH(COLUMNS($AB$1006:AN1006),$AB$1006:$AQ$1006,0))&gt;=100000), " ",IF(INDEX($AB$2:$AQ$1001,MATCH(ROWS($U$2:U639),$U$2:$U$1001,0),MATCH(COLUMNS($AB$1006:AN1006),$AB$1006:$AQ$1006,0)), HYPERLINK("#",""), HYPERLINK(CONCATENATE("#metadata!", ADDRESS(INDEX($W$2:$W$1001,MATCH(ROWS($U$2:U639),$U$2:$U$1001,0),0), INDEX($AB$1004:$AQ$1004,1,MATCH(COLUMNS($AB$1006:AN1006),$AB$1006:$AQ$1006,0)))),"Fix")))</f>
        <v>0</v>
      </c>
      <c r="O639" s="4">
        <f>IF(OR(INDEX($V$2:$V$1001,MATCH(ROWS($U$2:U639),$U$2:$U$1001,0),1)&gt;=100000,INDEX($AB$1005:$AQ$1005,1,MATCH(COLUMNS($AB$1006:AO1006),$AB$1006:$AQ$1006,0))&gt;=100000), " ",IF(INDEX($AB$2:$AQ$1001,MATCH(ROWS($U$2:U639),$U$2:$U$1001,0),MATCH(COLUMNS($AB$1006:AO1006),$AB$1006:$AQ$1006,0)), HYPERLINK("#",""), HYPERLINK(CONCATENATE("#metadata!", ADDRESS(INDEX($W$2:$W$1001,MATCH(ROWS($U$2:U639),$U$2:$U$1001,0),0), INDEX($AB$1004:$AQ$1004,1,MATCH(COLUMNS($AB$1006:AO1006),$AB$1006:$AQ$1006,0)))),"Fix")))</f>
        <v>0</v>
      </c>
      <c r="P639" s="4">
        <f>IF(OR(INDEX($V$2:$V$1001,MATCH(ROWS($U$2:U639),$U$2:$U$1001,0),1)&gt;=100000,INDEX($AB$1005:$AQ$1005,1,MATCH(COLUMNS($AB$1006:AP1006),$AB$1006:$AQ$1006,0))&gt;=100000), " ",IF(INDEX($AB$2:$AQ$1001,MATCH(ROWS($U$2:U639),$U$2:$U$1001,0),MATCH(COLUMNS($AB$1006:AP1006),$AB$1006:$AQ$1006,0)), HYPERLINK("#",""), HYPERLINK(CONCATENATE("#metadata!", ADDRESS(INDEX($W$2:$W$1001,MATCH(ROWS($U$2:U639),$U$2:$U$1001,0),0), INDEX($AB$1004:$AQ$1004,1,MATCH(COLUMNS($AB$1006:AP1006),$AB$1006:$AQ$1006,0)))),"Fix")))</f>
        <v>0</v>
      </c>
      <c r="Q639" s="4">
        <f>IF(OR(INDEX($V$2:$V$1001,MATCH(ROWS($U$2:U639),$U$2:$U$1001,0),1)&gt;=100000,INDEX($AB$1005:$AQ$1005,1,MATCH(COLUMNS($AB$1006:AQ1006),$AB$1006:$AQ$1006,0))&gt;=100000), " ",IF(INDEX($AB$2:$AQ$1001,MATCH(ROWS($U$2:U639),$U$2:$U$1001,0),MATCH(COLUMNS($AB$1006:AQ1006),$AB$1006:$AQ$1006,0)), HYPERLINK("#",""), HYPERLINK(CONCATENATE("#metadata!", ADDRESS(INDEX($W$2:$W$1001,MATCH(ROWS($U$2:U639),$U$2:$U$1001,0),0), INDEX($AB$1004:$AQ$1004,1,MATCH(COLUMNS($AB$1006:AQ1006),$AB$1006:$AQ$1006,0)))),"Fix")))</f>
        <v>0</v>
      </c>
      <c r="U639">
        <v>0</v>
      </c>
      <c r="V639">
        <v>0</v>
      </c>
      <c r="W639">
        <v>0</v>
      </c>
      <c r="X639">
        <f>IF(Y639,TRUE,AND(AB639:AQ639))</f>
        <v>0</v>
      </c>
      <c r="Y639">
        <f>COUNTBLANK(metadata!B639:Q639)=COLUMNS(metadata!B639:Q639)</f>
        <v>0</v>
      </c>
      <c r="Z639">
        <v>0</v>
      </c>
      <c r="AB639">
        <f>AND(IF(metadata!B639="",FALSE,TRUE),COUNTIF(metadata!B:B, metadata!B639) = 1,NOT(ISERROR(SUMPRODUCT(SEARCH(MID(metadata!B639,ROW(INDIRECT("1:"&amp;LEN(metadata!B639))), 1),"0123456789abcdefghijklmnopqrstuvwxyzABCDEFGHIJKLMNOPQRSTUVWXYZ.")))))</f>
        <v>0</v>
      </c>
      <c r="AC639">
        <f>OR(AND(IF(metadata!C639="",FALSE,TRUE),OR(exact(metadata!C639,"missing: not collected"),exact(metadata!C639,"missing: not provided"),exact(metadata!C639,"missing: restricted access"))),AND(IF(metadata!C639="",FALSE,TRUE),AND(AND(IFERROR(INT(LEFT(metadata!C639,4))&gt;1900,FALSE),IFERROR(INT(LEFT(metadata!C639,4))&lt;=YEAR(NOW()),FALSE)), OR(MID(metadata!C639,5,1)="", AND(AND(MID(metadata!C639,5,1)="-",IFERROR(INT(MID(metadata!C639,6,1))&gt;=0,FALSE),IFERROR(INT(MID(metadata!C639,6,1))&lt;=1,FALSE),NOT(MID(metadata!C639,7,1)=""),IFERROR(INT(MID(metadata!C639,6,2))&gt;=1,FALSE),IFERROR(INT(MID(metadata!C639,6,2))&lt;=12,FALSE)), OR(MID(metadata!C639,8,1)="", AND(AND(MID(metadata!C639,8,1)="-",IFERROR(INT(MID(metadata!C639,9,1))&gt;=0,FALSE),IFERROR(INT(MID(metadata!C639,9,1))&lt;=3,FALSE),NOT(MID(metadata!C639,10,1)=""),IFERROR(INT(MID(metadata!C639,9,2))&gt;=1,FALSE),IFERROR(INT(MID(metadata!C639,9,2))&lt;=31,FALSE)), OR(MID(metadata!C639,11,1)="", AND(AND(MID(metadata!C639,11,1)=" ",IFERROR(INT(MID(metadata!C639,12,1))&gt;=0,FALSE),IFERROR(INT(MID(metadata!C639,12,1))&lt;=2,FALSE),NOT(MID(metadata!C639,13,1)=""),IFERROR(INT(MID(metadata!C639,12,2))&gt;=0,FALSE),IFERROR(INT(MID(metadata!C639,12,2))&lt;=23,FALSE)), OR(MID(metadata!C639,14,1)="", AND(AND(MID(metadata!C639,14,1)=":",IFERROR(INT(MID(metadata!C639,15,1))&gt;=0,FALSE),IFERROR(INT(MID(metadata!C639,15,1))&lt;=5,FALSE),NOT(MID(metadata!C639,16,1)=""),IFERROR(INT(MID(metadata!C639,15,2))&gt;=0,FALSE),IFERROR(INT(MID(metadata!C639,15,2))&lt;=59,FALSE)), OR(MID(metadata!C639,17,1)="", AND(AND(MID(metadata!C639,17,1)=":",IFERROR(INT(MID(metadata!C639,18,1))&gt;=0,FALSE),IFERROR(INT(MID(metadata!C639,18,1))&lt;=5,FALSE),NOT(MID(metadata!C639,19,1)=""),IFERROR(INT(MID(metadata!C639,18,2))&gt;=0,FALSE),IFERROR(INT(MID(metadata!C639,18,2))&lt;=59,FALSE)), LEN(metadata!C639)&lt;=19)))))))))))))</f>
        <v>0</v>
      </c>
      <c r="AD639">
        <f>IF(metadata!D639="",FALSE,TRUE)</f>
        <v>0</v>
      </c>
      <c r="AE639">
        <f>OR(AND(IF(metadata!E639="",FALSE,TRUE),OR(exact(metadata!E639,"missing: not collected"),exact(metadata!E639,"missing: not provided"))),AND(IF(metadata!E639="",FALSE,TRUE),OR(exact(metadata!E639,"TRUE"),exact(metadata!E639,"FALSE"))))</f>
        <v>0</v>
      </c>
      <c r="AF639">
        <f>IF(metadata!F639="",FALSE,TRUE)</f>
        <v>0</v>
      </c>
      <c r="AG639">
        <f>IF(metadata!G639="",FALSE,TRUE)</f>
        <v>0</v>
      </c>
      <c r="AH639">
        <f>IF(metadata!H639="",FALSE,TRUE)</f>
        <v>0</v>
      </c>
      <c r="AI639">
        <f>OR(AND(IF(metadata!I639="",FALSE,TRUE),OR(exact(metadata!I639,"missing: not collected"),exact(metadata!I639,"missing: not provided"),exact(metadata!I639,"missing: restricted access"))),AND(IF(metadata!I639="",FALSE,TRUE),OR(exact(metadata!I639,"air"),exact(metadata!I639,"built environment"),exact(metadata!I639,"host-associated"),exact(metadata!I639,"human-associated"),exact(metadata!I639,"human-skin"),exact(metadata!I639,"human-oral"),exact(metadata!I639,"human-gut"),exact(metadata!I639,"human-vaginal"),exact(metadata!I639,"microbial mat/biofilm"),exact(metadata!I639,"misc environment"),exact(metadata!I639,"plant-associated"),exact(metadata!I639,"sediment"),exact(metadata!I639,"soil"),exact(metadata!I639,"wastewater/sludge"),exact(metadata!I639,"water"))))</f>
        <v>0</v>
      </c>
      <c r="AJ639">
        <f>IF(metadata!J639="",FALSE,TRUE)</f>
        <v>0</v>
      </c>
      <c r="AK639">
        <f>OR(AND(IF(metadata!K639="",FALSE,TRUE),OR(exact(metadata!K639,"missing: not collected"),exact(metadata!K639,"missing: not provided"),exact(metadata!K639,"missing: restricted access"))),AND(IF(metadata!K639="",FALSE,ISNUMBER(VALUE(metadata!K639))),metadata!K639&gt;=-90.00,metadata!K639&lt;=90.00))</f>
        <v>0</v>
      </c>
      <c r="AL639">
        <f>OR(AND(IF(metadata!L639="",FALSE,TRUE),OR(exact(metadata!L639,"missing: not collected"),exact(metadata!L639,"missing: not provided"),exact(metadata!L639,"missing: restricted access"))),AND(IF(metadata!L639="",FALSE,ISNUMBER(VALUE(metadata!L639))),metadata!L639&gt;=-180.00,metadata!L639&lt;=180.00))</f>
        <v>0</v>
      </c>
      <c r="AM639">
        <f>IF(metadata!M639="",FALSE,TRUE)</f>
        <v>0</v>
      </c>
      <c r="AN639">
        <f>OR(AND(IF(metadata!N639="",FALSE,TRUE),OR(exact(metadata!N639,"missing: not collected"),exact(metadata!N639,"missing: not provided"),exact(metadata!N639,"missing: restricted access"))),AND(IF(metadata!N639="",FALSE,TRUE),OR(exact(metadata!N639,"TRUE"),exact(metadata!N639,"FALSE"))))</f>
        <v>0</v>
      </c>
      <c r="AO639">
        <f>IF(metadata!O639="",FALSE,TRUE)</f>
        <v>0</v>
      </c>
      <c r="AP639">
        <f>OR(AND(IF(metadata!P639="",FALSE,TRUE),OR(exact(metadata!P639,"missing: not collected"),exact(metadata!P639,"missing: not provided"))),AND(IF(metadata!P639="",FALSE,IF(ISERROR(INT(metadata!P639)),FALSE,INT(metadata!P639)=metadata!P639)),metadata!P639&gt;0))</f>
        <v>0</v>
      </c>
      <c r="AQ639">
        <f>IF(metadata!Q639="",FALSE,TRUE)</f>
        <v>0</v>
      </c>
    </row>
    <row r="640" spans="1:43">
      <c r="A640" s="5">
        <f>IF(B640=" "," ",HYPERLINK(CONCATENATE("#metadata!",ADDRESS(INDEX($W$2:$W$1001,MATCH(ROWS($U$2:U640),$U$2:$U$1001,0),0),1)),INDEX($Z$2:$Z$1001,MATCH(ROWS($U$2:U640),$U$2:$U$1001,0),0)))</f>
        <v>0</v>
      </c>
      <c r="B640" s="4">
        <f>IF(OR(INDEX($V$2:$V$1001,MATCH(ROWS($U$2:U640),$U$2:$U$1001,0),1)&gt;=100000,INDEX($AB$1005:$AQ$1005,1,MATCH(COLUMNS($AB$1006:AB1006),$AB$1006:$AQ$1006,0))&gt;=100000), " ",IF(INDEX($AB$2:$AQ$1001,MATCH(ROWS($U$2:U640),$U$2:$U$1001,0),MATCH(COLUMNS($AB$1006:AB1006),$AB$1006:$AQ$1006,0)), HYPERLINK("#",""), HYPERLINK(CONCATENATE("#metadata!", ADDRESS(INDEX($W$2:$W$1001,MATCH(ROWS($U$2:U640),$U$2:$U$1001,0),0), INDEX($AB$1004:$AQ$1004,1,MATCH(COLUMNS($AB$1006:AB1006),$AB$1006:$AQ$1006,0)))),"Fix")))</f>
        <v>0</v>
      </c>
      <c r="C640" s="4">
        <f>IF(OR(INDEX($V$2:$V$1001,MATCH(ROWS($U$2:U640),$U$2:$U$1001,0),1)&gt;=100000,INDEX($AB$1005:$AQ$1005,1,MATCH(COLUMNS($AB$1006:AC1006),$AB$1006:$AQ$1006,0))&gt;=100000), " ",IF(INDEX($AB$2:$AQ$1001,MATCH(ROWS($U$2:U640),$U$2:$U$1001,0),MATCH(COLUMNS($AB$1006:AC1006),$AB$1006:$AQ$1006,0)), HYPERLINK("#",""), HYPERLINK(CONCATENATE("#metadata!", ADDRESS(INDEX($W$2:$W$1001,MATCH(ROWS($U$2:U640),$U$2:$U$1001,0),0), INDEX($AB$1004:$AQ$1004,1,MATCH(COLUMNS($AB$1006:AC1006),$AB$1006:$AQ$1006,0)))),"Fix")))</f>
        <v>0</v>
      </c>
      <c r="D640" s="4">
        <f>IF(OR(INDEX($V$2:$V$1001,MATCH(ROWS($U$2:U640),$U$2:$U$1001,0),1)&gt;=100000,INDEX($AB$1005:$AQ$1005,1,MATCH(COLUMNS($AB$1006:AD1006),$AB$1006:$AQ$1006,0))&gt;=100000), " ",IF(INDEX($AB$2:$AQ$1001,MATCH(ROWS($U$2:U640),$U$2:$U$1001,0),MATCH(COLUMNS($AB$1006:AD1006),$AB$1006:$AQ$1006,0)), HYPERLINK("#",""), HYPERLINK(CONCATENATE("#metadata!", ADDRESS(INDEX($W$2:$W$1001,MATCH(ROWS($U$2:U640),$U$2:$U$1001,0),0), INDEX($AB$1004:$AQ$1004,1,MATCH(COLUMNS($AB$1006:AD1006),$AB$1006:$AQ$1006,0)))),"Fix")))</f>
        <v>0</v>
      </c>
      <c r="E640" s="4">
        <f>IF(OR(INDEX($V$2:$V$1001,MATCH(ROWS($U$2:U640),$U$2:$U$1001,0),1)&gt;=100000,INDEX($AB$1005:$AQ$1005,1,MATCH(COLUMNS($AB$1006:AE1006),$AB$1006:$AQ$1006,0))&gt;=100000), " ",IF(INDEX($AB$2:$AQ$1001,MATCH(ROWS($U$2:U640),$U$2:$U$1001,0),MATCH(COLUMNS($AB$1006:AE1006),$AB$1006:$AQ$1006,0)), HYPERLINK("#",""), HYPERLINK(CONCATENATE("#metadata!", ADDRESS(INDEX($W$2:$W$1001,MATCH(ROWS($U$2:U640),$U$2:$U$1001,0),0), INDEX($AB$1004:$AQ$1004,1,MATCH(COLUMNS($AB$1006:AE1006),$AB$1006:$AQ$1006,0)))),"Fix")))</f>
        <v>0</v>
      </c>
      <c r="F640" s="4">
        <f>IF(OR(INDEX($V$2:$V$1001,MATCH(ROWS($U$2:U640),$U$2:$U$1001,0),1)&gt;=100000,INDEX($AB$1005:$AQ$1005,1,MATCH(COLUMNS($AB$1006:AF1006),$AB$1006:$AQ$1006,0))&gt;=100000), " ",IF(INDEX($AB$2:$AQ$1001,MATCH(ROWS($U$2:U640),$U$2:$U$1001,0),MATCH(COLUMNS($AB$1006:AF1006),$AB$1006:$AQ$1006,0)), HYPERLINK("#",""), HYPERLINK(CONCATENATE("#metadata!", ADDRESS(INDEX($W$2:$W$1001,MATCH(ROWS($U$2:U640),$U$2:$U$1001,0),0), INDEX($AB$1004:$AQ$1004,1,MATCH(COLUMNS($AB$1006:AF1006),$AB$1006:$AQ$1006,0)))),"Fix")))</f>
        <v>0</v>
      </c>
      <c r="G640" s="4">
        <f>IF(OR(INDEX($V$2:$V$1001,MATCH(ROWS($U$2:U640),$U$2:$U$1001,0),1)&gt;=100000,INDEX($AB$1005:$AQ$1005,1,MATCH(COLUMNS($AB$1006:AG1006),$AB$1006:$AQ$1006,0))&gt;=100000), " ",IF(INDEX($AB$2:$AQ$1001,MATCH(ROWS($U$2:U640),$U$2:$U$1001,0),MATCH(COLUMNS($AB$1006:AG1006),$AB$1006:$AQ$1006,0)), HYPERLINK("#",""), HYPERLINK(CONCATENATE("#metadata!", ADDRESS(INDEX($W$2:$W$1001,MATCH(ROWS($U$2:U640),$U$2:$U$1001,0),0), INDEX($AB$1004:$AQ$1004,1,MATCH(COLUMNS($AB$1006:AG1006),$AB$1006:$AQ$1006,0)))),"Fix")))</f>
        <v>0</v>
      </c>
      <c r="H640" s="4">
        <f>IF(OR(INDEX($V$2:$V$1001,MATCH(ROWS($U$2:U640),$U$2:$U$1001,0),1)&gt;=100000,INDEX($AB$1005:$AQ$1005,1,MATCH(COLUMNS($AB$1006:AH1006),$AB$1006:$AQ$1006,0))&gt;=100000), " ",IF(INDEX($AB$2:$AQ$1001,MATCH(ROWS($U$2:U640),$U$2:$U$1001,0),MATCH(COLUMNS($AB$1006:AH1006),$AB$1006:$AQ$1006,0)), HYPERLINK("#",""), HYPERLINK(CONCATENATE("#metadata!", ADDRESS(INDEX($W$2:$W$1001,MATCH(ROWS($U$2:U640),$U$2:$U$1001,0),0), INDEX($AB$1004:$AQ$1004,1,MATCH(COLUMNS($AB$1006:AH1006),$AB$1006:$AQ$1006,0)))),"Fix")))</f>
        <v>0</v>
      </c>
      <c r="I640" s="4">
        <f>IF(OR(INDEX($V$2:$V$1001,MATCH(ROWS($U$2:U640),$U$2:$U$1001,0),1)&gt;=100000,INDEX($AB$1005:$AQ$1005,1,MATCH(COLUMNS($AB$1006:AI1006),$AB$1006:$AQ$1006,0))&gt;=100000), " ",IF(INDEX($AB$2:$AQ$1001,MATCH(ROWS($U$2:U640),$U$2:$U$1001,0),MATCH(COLUMNS($AB$1006:AI1006),$AB$1006:$AQ$1006,0)), HYPERLINK("#",""), HYPERLINK(CONCATENATE("#metadata!", ADDRESS(INDEX($W$2:$W$1001,MATCH(ROWS($U$2:U640),$U$2:$U$1001,0),0), INDEX($AB$1004:$AQ$1004,1,MATCH(COLUMNS($AB$1006:AI1006),$AB$1006:$AQ$1006,0)))),"Fix")))</f>
        <v>0</v>
      </c>
      <c r="J640" s="4">
        <f>IF(OR(INDEX($V$2:$V$1001,MATCH(ROWS($U$2:U640),$U$2:$U$1001,0),1)&gt;=100000,INDEX($AB$1005:$AQ$1005,1,MATCH(COLUMNS($AB$1006:AJ1006),$AB$1006:$AQ$1006,0))&gt;=100000), " ",IF(INDEX($AB$2:$AQ$1001,MATCH(ROWS($U$2:U640),$U$2:$U$1001,0),MATCH(COLUMNS($AB$1006:AJ1006),$AB$1006:$AQ$1006,0)), HYPERLINK("#",""), HYPERLINK(CONCATENATE("#metadata!", ADDRESS(INDEX($W$2:$W$1001,MATCH(ROWS($U$2:U640),$U$2:$U$1001,0),0), INDEX($AB$1004:$AQ$1004,1,MATCH(COLUMNS($AB$1006:AJ1006),$AB$1006:$AQ$1006,0)))),"Fix")))</f>
        <v>0</v>
      </c>
      <c r="K640" s="4">
        <f>IF(OR(INDEX($V$2:$V$1001,MATCH(ROWS($U$2:U640),$U$2:$U$1001,0),1)&gt;=100000,INDEX($AB$1005:$AQ$1005,1,MATCH(COLUMNS($AB$1006:AK1006),$AB$1006:$AQ$1006,0))&gt;=100000), " ",IF(INDEX($AB$2:$AQ$1001,MATCH(ROWS($U$2:U640),$U$2:$U$1001,0),MATCH(COLUMNS($AB$1006:AK1006),$AB$1006:$AQ$1006,0)), HYPERLINK("#",""), HYPERLINK(CONCATENATE("#metadata!", ADDRESS(INDEX($W$2:$W$1001,MATCH(ROWS($U$2:U640),$U$2:$U$1001,0),0), INDEX($AB$1004:$AQ$1004,1,MATCH(COLUMNS($AB$1006:AK1006),$AB$1006:$AQ$1006,0)))),"Fix")))</f>
        <v>0</v>
      </c>
      <c r="L640" s="4">
        <f>IF(OR(INDEX($V$2:$V$1001,MATCH(ROWS($U$2:U640),$U$2:$U$1001,0),1)&gt;=100000,INDEX($AB$1005:$AQ$1005,1,MATCH(COLUMNS($AB$1006:AL1006),$AB$1006:$AQ$1006,0))&gt;=100000), " ",IF(INDEX($AB$2:$AQ$1001,MATCH(ROWS($U$2:U640),$U$2:$U$1001,0),MATCH(COLUMNS($AB$1006:AL1006),$AB$1006:$AQ$1006,0)), HYPERLINK("#",""), HYPERLINK(CONCATENATE("#metadata!", ADDRESS(INDEX($W$2:$W$1001,MATCH(ROWS($U$2:U640),$U$2:$U$1001,0),0), INDEX($AB$1004:$AQ$1004,1,MATCH(COLUMNS($AB$1006:AL1006),$AB$1006:$AQ$1006,0)))),"Fix")))</f>
        <v>0</v>
      </c>
      <c r="M640" s="4">
        <f>IF(OR(INDEX($V$2:$V$1001,MATCH(ROWS($U$2:U640),$U$2:$U$1001,0),1)&gt;=100000,INDEX($AB$1005:$AQ$1005,1,MATCH(COLUMNS($AB$1006:AM1006),$AB$1006:$AQ$1006,0))&gt;=100000), " ",IF(INDEX($AB$2:$AQ$1001,MATCH(ROWS($U$2:U640),$U$2:$U$1001,0),MATCH(COLUMNS($AB$1006:AM1006),$AB$1006:$AQ$1006,0)), HYPERLINK("#",""), HYPERLINK(CONCATENATE("#metadata!", ADDRESS(INDEX($W$2:$W$1001,MATCH(ROWS($U$2:U640),$U$2:$U$1001,0),0), INDEX($AB$1004:$AQ$1004,1,MATCH(COLUMNS($AB$1006:AM1006),$AB$1006:$AQ$1006,0)))),"Fix")))</f>
        <v>0</v>
      </c>
      <c r="N640" s="4">
        <f>IF(OR(INDEX($V$2:$V$1001,MATCH(ROWS($U$2:U640),$U$2:$U$1001,0),1)&gt;=100000,INDEX($AB$1005:$AQ$1005,1,MATCH(COLUMNS($AB$1006:AN1006),$AB$1006:$AQ$1006,0))&gt;=100000), " ",IF(INDEX($AB$2:$AQ$1001,MATCH(ROWS($U$2:U640),$U$2:$U$1001,0),MATCH(COLUMNS($AB$1006:AN1006),$AB$1006:$AQ$1006,0)), HYPERLINK("#",""), HYPERLINK(CONCATENATE("#metadata!", ADDRESS(INDEX($W$2:$W$1001,MATCH(ROWS($U$2:U640),$U$2:$U$1001,0),0), INDEX($AB$1004:$AQ$1004,1,MATCH(COLUMNS($AB$1006:AN1006),$AB$1006:$AQ$1006,0)))),"Fix")))</f>
        <v>0</v>
      </c>
      <c r="O640" s="4">
        <f>IF(OR(INDEX($V$2:$V$1001,MATCH(ROWS($U$2:U640),$U$2:$U$1001,0),1)&gt;=100000,INDEX($AB$1005:$AQ$1005,1,MATCH(COLUMNS($AB$1006:AO1006),$AB$1006:$AQ$1006,0))&gt;=100000), " ",IF(INDEX($AB$2:$AQ$1001,MATCH(ROWS($U$2:U640),$U$2:$U$1001,0),MATCH(COLUMNS($AB$1006:AO1006),$AB$1006:$AQ$1006,0)), HYPERLINK("#",""), HYPERLINK(CONCATENATE("#metadata!", ADDRESS(INDEX($W$2:$W$1001,MATCH(ROWS($U$2:U640),$U$2:$U$1001,0),0), INDEX($AB$1004:$AQ$1004,1,MATCH(COLUMNS($AB$1006:AO1006),$AB$1006:$AQ$1006,0)))),"Fix")))</f>
        <v>0</v>
      </c>
      <c r="P640" s="4">
        <f>IF(OR(INDEX($V$2:$V$1001,MATCH(ROWS($U$2:U640),$U$2:$U$1001,0),1)&gt;=100000,INDEX($AB$1005:$AQ$1005,1,MATCH(COLUMNS($AB$1006:AP1006),$AB$1006:$AQ$1006,0))&gt;=100000), " ",IF(INDEX($AB$2:$AQ$1001,MATCH(ROWS($U$2:U640),$U$2:$U$1001,0),MATCH(COLUMNS($AB$1006:AP1006),$AB$1006:$AQ$1006,0)), HYPERLINK("#",""), HYPERLINK(CONCATENATE("#metadata!", ADDRESS(INDEX($W$2:$W$1001,MATCH(ROWS($U$2:U640),$U$2:$U$1001,0),0), INDEX($AB$1004:$AQ$1004,1,MATCH(COLUMNS($AB$1006:AP1006),$AB$1006:$AQ$1006,0)))),"Fix")))</f>
        <v>0</v>
      </c>
      <c r="Q640" s="4">
        <f>IF(OR(INDEX($V$2:$V$1001,MATCH(ROWS($U$2:U640),$U$2:$U$1001,0),1)&gt;=100000,INDEX($AB$1005:$AQ$1005,1,MATCH(COLUMNS($AB$1006:AQ1006),$AB$1006:$AQ$1006,0))&gt;=100000), " ",IF(INDEX($AB$2:$AQ$1001,MATCH(ROWS($U$2:U640),$U$2:$U$1001,0),MATCH(COLUMNS($AB$1006:AQ1006),$AB$1006:$AQ$1006,0)), HYPERLINK("#",""), HYPERLINK(CONCATENATE("#metadata!", ADDRESS(INDEX($W$2:$W$1001,MATCH(ROWS($U$2:U640),$U$2:$U$1001,0),0), INDEX($AB$1004:$AQ$1004,1,MATCH(COLUMNS($AB$1006:AQ1006),$AB$1006:$AQ$1006,0)))),"Fix")))</f>
        <v>0</v>
      </c>
      <c r="U640">
        <v>0</v>
      </c>
      <c r="V640">
        <v>0</v>
      </c>
      <c r="W640">
        <v>0</v>
      </c>
      <c r="X640">
        <f>IF(Y640,TRUE,AND(AB640:AQ640))</f>
        <v>0</v>
      </c>
      <c r="Y640">
        <f>COUNTBLANK(metadata!B640:Q640)=COLUMNS(metadata!B640:Q640)</f>
        <v>0</v>
      </c>
      <c r="Z640">
        <v>0</v>
      </c>
      <c r="AB640">
        <f>AND(IF(metadata!B640="",FALSE,TRUE),COUNTIF(metadata!B:B, metadata!B640) = 1,NOT(ISERROR(SUMPRODUCT(SEARCH(MID(metadata!B640,ROW(INDIRECT("1:"&amp;LEN(metadata!B640))), 1),"0123456789abcdefghijklmnopqrstuvwxyzABCDEFGHIJKLMNOPQRSTUVWXYZ.")))))</f>
        <v>0</v>
      </c>
      <c r="AC640">
        <f>OR(AND(IF(metadata!C640="",FALSE,TRUE),OR(exact(metadata!C640,"missing: not collected"),exact(metadata!C640,"missing: not provided"),exact(metadata!C640,"missing: restricted access"))),AND(IF(metadata!C640="",FALSE,TRUE),AND(AND(IFERROR(INT(LEFT(metadata!C640,4))&gt;1900,FALSE),IFERROR(INT(LEFT(metadata!C640,4))&lt;=YEAR(NOW()),FALSE)), OR(MID(metadata!C640,5,1)="", AND(AND(MID(metadata!C640,5,1)="-",IFERROR(INT(MID(metadata!C640,6,1))&gt;=0,FALSE),IFERROR(INT(MID(metadata!C640,6,1))&lt;=1,FALSE),NOT(MID(metadata!C640,7,1)=""),IFERROR(INT(MID(metadata!C640,6,2))&gt;=1,FALSE),IFERROR(INT(MID(metadata!C640,6,2))&lt;=12,FALSE)), OR(MID(metadata!C640,8,1)="", AND(AND(MID(metadata!C640,8,1)="-",IFERROR(INT(MID(metadata!C640,9,1))&gt;=0,FALSE),IFERROR(INT(MID(metadata!C640,9,1))&lt;=3,FALSE),NOT(MID(metadata!C640,10,1)=""),IFERROR(INT(MID(metadata!C640,9,2))&gt;=1,FALSE),IFERROR(INT(MID(metadata!C640,9,2))&lt;=31,FALSE)), OR(MID(metadata!C640,11,1)="", AND(AND(MID(metadata!C640,11,1)=" ",IFERROR(INT(MID(metadata!C640,12,1))&gt;=0,FALSE),IFERROR(INT(MID(metadata!C640,12,1))&lt;=2,FALSE),NOT(MID(metadata!C640,13,1)=""),IFERROR(INT(MID(metadata!C640,12,2))&gt;=0,FALSE),IFERROR(INT(MID(metadata!C640,12,2))&lt;=23,FALSE)), OR(MID(metadata!C640,14,1)="", AND(AND(MID(metadata!C640,14,1)=":",IFERROR(INT(MID(metadata!C640,15,1))&gt;=0,FALSE),IFERROR(INT(MID(metadata!C640,15,1))&lt;=5,FALSE),NOT(MID(metadata!C640,16,1)=""),IFERROR(INT(MID(metadata!C640,15,2))&gt;=0,FALSE),IFERROR(INT(MID(metadata!C640,15,2))&lt;=59,FALSE)), OR(MID(metadata!C640,17,1)="", AND(AND(MID(metadata!C640,17,1)=":",IFERROR(INT(MID(metadata!C640,18,1))&gt;=0,FALSE),IFERROR(INT(MID(metadata!C640,18,1))&lt;=5,FALSE),NOT(MID(metadata!C640,19,1)=""),IFERROR(INT(MID(metadata!C640,18,2))&gt;=0,FALSE),IFERROR(INT(MID(metadata!C640,18,2))&lt;=59,FALSE)), LEN(metadata!C640)&lt;=19)))))))))))))</f>
        <v>0</v>
      </c>
      <c r="AD640">
        <f>IF(metadata!D640="",FALSE,TRUE)</f>
        <v>0</v>
      </c>
      <c r="AE640">
        <f>OR(AND(IF(metadata!E640="",FALSE,TRUE),OR(exact(metadata!E640,"missing: not collected"),exact(metadata!E640,"missing: not provided"))),AND(IF(metadata!E640="",FALSE,TRUE),OR(exact(metadata!E640,"TRUE"),exact(metadata!E640,"FALSE"))))</f>
        <v>0</v>
      </c>
      <c r="AF640">
        <f>IF(metadata!F640="",FALSE,TRUE)</f>
        <v>0</v>
      </c>
      <c r="AG640">
        <f>IF(metadata!G640="",FALSE,TRUE)</f>
        <v>0</v>
      </c>
      <c r="AH640">
        <f>IF(metadata!H640="",FALSE,TRUE)</f>
        <v>0</v>
      </c>
      <c r="AI640">
        <f>OR(AND(IF(metadata!I640="",FALSE,TRUE),OR(exact(metadata!I640,"missing: not collected"),exact(metadata!I640,"missing: not provided"),exact(metadata!I640,"missing: restricted access"))),AND(IF(metadata!I640="",FALSE,TRUE),OR(exact(metadata!I640,"air"),exact(metadata!I640,"built environment"),exact(metadata!I640,"host-associated"),exact(metadata!I640,"human-associated"),exact(metadata!I640,"human-skin"),exact(metadata!I640,"human-oral"),exact(metadata!I640,"human-gut"),exact(metadata!I640,"human-vaginal"),exact(metadata!I640,"microbial mat/biofilm"),exact(metadata!I640,"misc environment"),exact(metadata!I640,"plant-associated"),exact(metadata!I640,"sediment"),exact(metadata!I640,"soil"),exact(metadata!I640,"wastewater/sludge"),exact(metadata!I640,"water"))))</f>
        <v>0</v>
      </c>
      <c r="AJ640">
        <f>IF(metadata!J640="",FALSE,TRUE)</f>
        <v>0</v>
      </c>
      <c r="AK640">
        <f>OR(AND(IF(metadata!K640="",FALSE,TRUE),OR(exact(metadata!K640,"missing: not collected"),exact(metadata!K640,"missing: not provided"),exact(metadata!K640,"missing: restricted access"))),AND(IF(metadata!K640="",FALSE,ISNUMBER(VALUE(metadata!K640))),metadata!K640&gt;=-90.00,metadata!K640&lt;=90.00))</f>
        <v>0</v>
      </c>
      <c r="AL640">
        <f>OR(AND(IF(metadata!L640="",FALSE,TRUE),OR(exact(metadata!L640,"missing: not collected"),exact(metadata!L640,"missing: not provided"),exact(metadata!L640,"missing: restricted access"))),AND(IF(metadata!L640="",FALSE,ISNUMBER(VALUE(metadata!L640))),metadata!L640&gt;=-180.00,metadata!L640&lt;=180.00))</f>
        <v>0</v>
      </c>
      <c r="AM640">
        <f>IF(metadata!M640="",FALSE,TRUE)</f>
        <v>0</v>
      </c>
      <c r="AN640">
        <f>OR(AND(IF(metadata!N640="",FALSE,TRUE),OR(exact(metadata!N640,"missing: not collected"),exact(metadata!N640,"missing: not provided"),exact(metadata!N640,"missing: restricted access"))),AND(IF(metadata!N640="",FALSE,TRUE),OR(exact(metadata!N640,"TRUE"),exact(metadata!N640,"FALSE"))))</f>
        <v>0</v>
      </c>
      <c r="AO640">
        <f>IF(metadata!O640="",FALSE,TRUE)</f>
        <v>0</v>
      </c>
      <c r="AP640">
        <f>OR(AND(IF(metadata!P640="",FALSE,TRUE),OR(exact(metadata!P640,"missing: not collected"),exact(metadata!P640,"missing: not provided"))),AND(IF(metadata!P640="",FALSE,IF(ISERROR(INT(metadata!P640)),FALSE,INT(metadata!P640)=metadata!P640)),metadata!P640&gt;0))</f>
        <v>0</v>
      </c>
      <c r="AQ640">
        <f>IF(metadata!Q640="",FALSE,TRUE)</f>
        <v>0</v>
      </c>
    </row>
    <row r="641" spans="1:43">
      <c r="A641" s="5">
        <f>IF(B641=" "," ",HYPERLINK(CONCATENATE("#metadata!",ADDRESS(INDEX($W$2:$W$1001,MATCH(ROWS($U$2:U641),$U$2:$U$1001,0),0),1)),INDEX($Z$2:$Z$1001,MATCH(ROWS($U$2:U641),$U$2:$U$1001,0),0)))</f>
        <v>0</v>
      </c>
      <c r="B641" s="4">
        <f>IF(OR(INDEX($V$2:$V$1001,MATCH(ROWS($U$2:U641),$U$2:$U$1001,0),1)&gt;=100000,INDEX($AB$1005:$AQ$1005,1,MATCH(COLUMNS($AB$1006:AB1006),$AB$1006:$AQ$1006,0))&gt;=100000), " ",IF(INDEX($AB$2:$AQ$1001,MATCH(ROWS($U$2:U641),$U$2:$U$1001,0),MATCH(COLUMNS($AB$1006:AB1006),$AB$1006:$AQ$1006,0)), HYPERLINK("#",""), HYPERLINK(CONCATENATE("#metadata!", ADDRESS(INDEX($W$2:$W$1001,MATCH(ROWS($U$2:U641),$U$2:$U$1001,0),0), INDEX($AB$1004:$AQ$1004,1,MATCH(COLUMNS($AB$1006:AB1006),$AB$1006:$AQ$1006,0)))),"Fix")))</f>
        <v>0</v>
      </c>
      <c r="C641" s="4">
        <f>IF(OR(INDEX($V$2:$V$1001,MATCH(ROWS($U$2:U641),$U$2:$U$1001,0),1)&gt;=100000,INDEX($AB$1005:$AQ$1005,1,MATCH(COLUMNS($AB$1006:AC1006),$AB$1006:$AQ$1006,0))&gt;=100000), " ",IF(INDEX($AB$2:$AQ$1001,MATCH(ROWS($U$2:U641),$U$2:$U$1001,0),MATCH(COLUMNS($AB$1006:AC1006),$AB$1006:$AQ$1006,0)), HYPERLINK("#",""), HYPERLINK(CONCATENATE("#metadata!", ADDRESS(INDEX($W$2:$W$1001,MATCH(ROWS($U$2:U641),$U$2:$U$1001,0),0), INDEX($AB$1004:$AQ$1004,1,MATCH(COLUMNS($AB$1006:AC1006),$AB$1006:$AQ$1006,0)))),"Fix")))</f>
        <v>0</v>
      </c>
      <c r="D641" s="4">
        <f>IF(OR(INDEX($V$2:$V$1001,MATCH(ROWS($U$2:U641),$U$2:$U$1001,0),1)&gt;=100000,INDEX($AB$1005:$AQ$1005,1,MATCH(COLUMNS($AB$1006:AD1006),$AB$1006:$AQ$1006,0))&gt;=100000), " ",IF(INDEX($AB$2:$AQ$1001,MATCH(ROWS($U$2:U641),$U$2:$U$1001,0),MATCH(COLUMNS($AB$1006:AD1006),$AB$1006:$AQ$1006,0)), HYPERLINK("#",""), HYPERLINK(CONCATENATE("#metadata!", ADDRESS(INDEX($W$2:$W$1001,MATCH(ROWS($U$2:U641),$U$2:$U$1001,0),0), INDEX($AB$1004:$AQ$1004,1,MATCH(COLUMNS($AB$1006:AD1006),$AB$1006:$AQ$1006,0)))),"Fix")))</f>
        <v>0</v>
      </c>
      <c r="E641" s="4">
        <f>IF(OR(INDEX($V$2:$V$1001,MATCH(ROWS($U$2:U641),$U$2:$U$1001,0),1)&gt;=100000,INDEX($AB$1005:$AQ$1005,1,MATCH(COLUMNS($AB$1006:AE1006),$AB$1006:$AQ$1006,0))&gt;=100000), " ",IF(INDEX($AB$2:$AQ$1001,MATCH(ROWS($U$2:U641),$U$2:$U$1001,0),MATCH(COLUMNS($AB$1006:AE1006),$AB$1006:$AQ$1006,0)), HYPERLINK("#",""), HYPERLINK(CONCATENATE("#metadata!", ADDRESS(INDEX($W$2:$W$1001,MATCH(ROWS($U$2:U641),$U$2:$U$1001,0),0), INDEX($AB$1004:$AQ$1004,1,MATCH(COLUMNS($AB$1006:AE1006),$AB$1006:$AQ$1006,0)))),"Fix")))</f>
        <v>0</v>
      </c>
      <c r="F641" s="4">
        <f>IF(OR(INDEX($V$2:$V$1001,MATCH(ROWS($U$2:U641),$U$2:$U$1001,0),1)&gt;=100000,INDEX($AB$1005:$AQ$1005,1,MATCH(COLUMNS($AB$1006:AF1006),$AB$1006:$AQ$1006,0))&gt;=100000), " ",IF(INDEX($AB$2:$AQ$1001,MATCH(ROWS($U$2:U641),$U$2:$U$1001,0),MATCH(COLUMNS($AB$1006:AF1006),$AB$1006:$AQ$1006,0)), HYPERLINK("#",""), HYPERLINK(CONCATENATE("#metadata!", ADDRESS(INDEX($W$2:$W$1001,MATCH(ROWS($U$2:U641),$U$2:$U$1001,0),0), INDEX($AB$1004:$AQ$1004,1,MATCH(COLUMNS($AB$1006:AF1006),$AB$1006:$AQ$1006,0)))),"Fix")))</f>
        <v>0</v>
      </c>
      <c r="G641" s="4">
        <f>IF(OR(INDEX($V$2:$V$1001,MATCH(ROWS($U$2:U641),$U$2:$U$1001,0),1)&gt;=100000,INDEX($AB$1005:$AQ$1005,1,MATCH(COLUMNS($AB$1006:AG1006),$AB$1006:$AQ$1006,0))&gt;=100000), " ",IF(INDEX($AB$2:$AQ$1001,MATCH(ROWS($U$2:U641),$U$2:$U$1001,0),MATCH(COLUMNS($AB$1006:AG1006),$AB$1006:$AQ$1006,0)), HYPERLINK("#",""), HYPERLINK(CONCATENATE("#metadata!", ADDRESS(INDEX($W$2:$W$1001,MATCH(ROWS($U$2:U641),$U$2:$U$1001,0),0), INDEX($AB$1004:$AQ$1004,1,MATCH(COLUMNS($AB$1006:AG1006),$AB$1006:$AQ$1006,0)))),"Fix")))</f>
        <v>0</v>
      </c>
      <c r="H641" s="4">
        <f>IF(OR(INDEX($V$2:$V$1001,MATCH(ROWS($U$2:U641),$U$2:$U$1001,0),1)&gt;=100000,INDEX($AB$1005:$AQ$1005,1,MATCH(COLUMNS($AB$1006:AH1006),$AB$1006:$AQ$1006,0))&gt;=100000), " ",IF(INDEX($AB$2:$AQ$1001,MATCH(ROWS($U$2:U641),$U$2:$U$1001,0),MATCH(COLUMNS($AB$1006:AH1006),$AB$1006:$AQ$1006,0)), HYPERLINK("#",""), HYPERLINK(CONCATENATE("#metadata!", ADDRESS(INDEX($W$2:$W$1001,MATCH(ROWS($U$2:U641),$U$2:$U$1001,0),0), INDEX($AB$1004:$AQ$1004,1,MATCH(COLUMNS($AB$1006:AH1006),$AB$1006:$AQ$1006,0)))),"Fix")))</f>
        <v>0</v>
      </c>
      <c r="I641" s="4">
        <f>IF(OR(INDEX($V$2:$V$1001,MATCH(ROWS($U$2:U641),$U$2:$U$1001,0),1)&gt;=100000,INDEX($AB$1005:$AQ$1005,1,MATCH(COLUMNS($AB$1006:AI1006),$AB$1006:$AQ$1006,0))&gt;=100000), " ",IF(INDEX($AB$2:$AQ$1001,MATCH(ROWS($U$2:U641),$U$2:$U$1001,0),MATCH(COLUMNS($AB$1006:AI1006),$AB$1006:$AQ$1006,0)), HYPERLINK("#",""), HYPERLINK(CONCATENATE("#metadata!", ADDRESS(INDEX($W$2:$W$1001,MATCH(ROWS($U$2:U641),$U$2:$U$1001,0),0), INDEX($AB$1004:$AQ$1004,1,MATCH(COLUMNS($AB$1006:AI1006),$AB$1006:$AQ$1006,0)))),"Fix")))</f>
        <v>0</v>
      </c>
      <c r="J641" s="4">
        <f>IF(OR(INDEX($V$2:$V$1001,MATCH(ROWS($U$2:U641),$U$2:$U$1001,0),1)&gt;=100000,INDEX($AB$1005:$AQ$1005,1,MATCH(COLUMNS($AB$1006:AJ1006),$AB$1006:$AQ$1006,0))&gt;=100000), " ",IF(INDEX($AB$2:$AQ$1001,MATCH(ROWS($U$2:U641),$U$2:$U$1001,0),MATCH(COLUMNS($AB$1006:AJ1006),$AB$1006:$AQ$1006,0)), HYPERLINK("#",""), HYPERLINK(CONCATENATE("#metadata!", ADDRESS(INDEX($W$2:$W$1001,MATCH(ROWS($U$2:U641),$U$2:$U$1001,0),0), INDEX($AB$1004:$AQ$1004,1,MATCH(COLUMNS($AB$1006:AJ1006),$AB$1006:$AQ$1006,0)))),"Fix")))</f>
        <v>0</v>
      </c>
      <c r="K641" s="4">
        <f>IF(OR(INDEX($V$2:$V$1001,MATCH(ROWS($U$2:U641),$U$2:$U$1001,0),1)&gt;=100000,INDEX($AB$1005:$AQ$1005,1,MATCH(COLUMNS($AB$1006:AK1006),$AB$1006:$AQ$1006,0))&gt;=100000), " ",IF(INDEX($AB$2:$AQ$1001,MATCH(ROWS($U$2:U641),$U$2:$U$1001,0),MATCH(COLUMNS($AB$1006:AK1006),$AB$1006:$AQ$1006,0)), HYPERLINK("#",""), HYPERLINK(CONCATENATE("#metadata!", ADDRESS(INDEX($W$2:$W$1001,MATCH(ROWS($U$2:U641),$U$2:$U$1001,0),0), INDEX($AB$1004:$AQ$1004,1,MATCH(COLUMNS($AB$1006:AK1006),$AB$1006:$AQ$1006,0)))),"Fix")))</f>
        <v>0</v>
      </c>
      <c r="L641" s="4">
        <f>IF(OR(INDEX($V$2:$V$1001,MATCH(ROWS($U$2:U641),$U$2:$U$1001,0),1)&gt;=100000,INDEX($AB$1005:$AQ$1005,1,MATCH(COLUMNS($AB$1006:AL1006),$AB$1006:$AQ$1006,0))&gt;=100000), " ",IF(INDEX($AB$2:$AQ$1001,MATCH(ROWS($U$2:U641),$U$2:$U$1001,0),MATCH(COLUMNS($AB$1006:AL1006),$AB$1006:$AQ$1006,0)), HYPERLINK("#",""), HYPERLINK(CONCATENATE("#metadata!", ADDRESS(INDEX($W$2:$W$1001,MATCH(ROWS($U$2:U641),$U$2:$U$1001,0),0), INDEX($AB$1004:$AQ$1004,1,MATCH(COLUMNS($AB$1006:AL1006),$AB$1006:$AQ$1006,0)))),"Fix")))</f>
        <v>0</v>
      </c>
      <c r="M641" s="4">
        <f>IF(OR(INDEX($V$2:$V$1001,MATCH(ROWS($U$2:U641),$U$2:$U$1001,0),1)&gt;=100000,INDEX($AB$1005:$AQ$1005,1,MATCH(COLUMNS($AB$1006:AM1006),$AB$1006:$AQ$1006,0))&gt;=100000), " ",IF(INDEX($AB$2:$AQ$1001,MATCH(ROWS($U$2:U641),$U$2:$U$1001,0),MATCH(COLUMNS($AB$1006:AM1006),$AB$1006:$AQ$1006,0)), HYPERLINK("#",""), HYPERLINK(CONCATENATE("#metadata!", ADDRESS(INDEX($W$2:$W$1001,MATCH(ROWS($U$2:U641),$U$2:$U$1001,0),0), INDEX($AB$1004:$AQ$1004,1,MATCH(COLUMNS($AB$1006:AM1006),$AB$1006:$AQ$1006,0)))),"Fix")))</f>
        <v>0</v>
      </c>
      <c r="N641" s="4">
        <f>IF(OR(INDEX($V$2:$V$1001,MATCH(ROWS($U$2:U641),$U$2:$U$1001,0),1)&gt;=100000,INDEX($AB$1005:$AQ$1005,1,MATCH(COLUMNS($AB$1006:AN1006),$AB$1006:$AQ$1006,0))&gt;=100000), " ",IF(INDEX($AB$2:$AQ$1001,MATCH(ROWS($U$2:U641),$U$2:$U$1001,0),MATCH(COLUMNS($AB$1006:AN1006),$AB$1006:$AQ$1006,0)), HYPERLINK("#",""), HYPERLINK(CONCATENATE("#metadata!", ADDRESS(INDEX($W$2:$W$1001,MATCH(ROWS($U$2:U641),$U$2:$U$1001,0),0), INDEX($AB$1004:$AQ$1004,1,MATCH(COLUMNS($AB$1006:AN1006),$AB$1006:$AQ$1006,0)))),"Fix")))</f>
        <v>0</v>
      </c>
      <c r="O641" s="4">
        <f>IF(OR(INDEX($V$2:$V$1001,MATCH(ROWS($U$2:U641),$U$2:$U$1001,0),1)&gt;=100000,INDEX($AB$1005:$AQ$1005,1,MATCH(COLUMNS($AB$1006:AO1006),$AB$1006:$AQ$1006,0))&gt;=100000), " ",IF(INDEX($AB$2:$AQ$1001,MATCH(ROWS($U$2:U641),$U$2:$U$1001,0),MATCH(COLUMNS($AB$1006:AO1006),$AB$1006:$AQ$1006,0)), HYPERLINK("#",""), HYPERLINK(CONCATENATE("#metadata!", ADDRESS(INDEX($W$2:$W$1001,MATCH(ROWS($U$2:U641),$U$2:$U$1001,0),0), INDEX($AB$1004:$AQ$1004,1,MATCH(COLUMNS($AB$1006:AO1006),$AB$1006:$AQ$1006,0)))),"Fix")))</f>
        <v>0</v>
      </c>
      <c r="P641" s="4">
        <f>IF(OR(INDEX($V$2:$V$1001,MATCH(ROWS($U$2:U641),$U$2:$U$1001,0),1)&gt;=100000,INDEX($AB$1005:$AQ$1005,1,MATCH(COLUMNS($AB$1006:AP1006),$AB$1006:$AQ$1006,0))&gt;=100000), " ",IF(INDEX($AB$2:$AQ$1001,MATCH(ROWS($U$2:U641),$U$2:$U$1001,0),MATCH(COLUMNS($AB$1006:AP1006),$AB$1006:$AQ$1006,0)), HYPERLINK("#",""), HYPERLINK(CONCATENATE("#metadata!", ADDRESS(INDEX($W$2:$W$1001,MATCH(ROWS($U$2:U641),$U$2:$U$1001,0),0), INDEX($AB$1004:$AQ$1004,1,MATCH(COLUMNS($AB$1006:AP1006),$AB$1006:$AQ$1006,0)))),"Fix")))</f>
        <v>0</v>
      </c>
      <c r="Q641" s="4">
        <f>IF(OR(INDEX($V$2:$V$1001,MATCH(ROWS($U$2:U641),$U$2:$U$1001,0),1)&gt;=100000,INDEX($AB$1005:$AQ$1005,1,MATCH(COLUMNS($AB$1006:AQ1006),$AB$1006:$AQ$1006,0))&gt;=100000), " ",IF(INDEX($AB$2:$AQ$1001,MATCH(ROWS($U$2:U641),$U$2:$U$1001,0),MATCH(COLUMNS($AB$1006:AQ1006),$AB$1006:$AQ$1006,0)), HYPERLINK("#",""), HYPERLINK(CONCATENATE("#metadata!", ADDRESS(INDEX($W$2:$W$1001,MATCH(ROWS($U$2:U641),$U$2:$U$1001,0),0), INDEX($AB$1004:$AQ$1004,1,MATCH(COLUMNS($AB$1006:AQ1006),$AB$1006:$AQ$1006,0)))),"Fix")))</f>
        <v>0</v>
      </c>
      <c r="U641">
        <v>0</v>
      </c>
      <c r="V641">
        <v>0</v>
      </c>
      <c r="W641">
        <v>0</v>
      </c>
      <c r="X641">
        <f>IF(Y641,TRUE,AND(AB641:AQ641))</f>
        <v>0</v>
      </c>
      <c r="Y641">
        <f>COUNTBLANK(metadata!B641:Q641)=COLUMNS(metadata!B641:Q641)</f>
        <v>0</v>
      </c>
      <c r="Z641">
        <v>0</v>
      </c>
      <c r="AB641">
        <f>AND(IF(metadata!B641="",FALSE,TRUE),COUNTIF(metadata!B:B, metadata!B641) = 1,NOT(ISERROR(SUMPRODUCT(SEARCH(MID(metadata!B641,ROW(INDIRECT("1:"&amp;LEN(metadata!B641))), 1),"0123456789abcdefghijklmnopqrstuvwxyzABCDEFGHIJKLMNOPQRSTUVWXYZ.")))))</f>
        <v>0</v>
      </c>
      <c r="AC641">
        <f>OR(AND(IF(metadata!C641="",FALSE,TRUE),OR(exact(metadata!C641,"missing: not collected"),exact(metadata!C641,"missing: not provided"),exact(metadata!C641,"missing: restricted access"))),AND(IF(metadata!C641="",FALSE,TRUE),AND(AND(IFERROR(INT(LEFT(metadata!C641,4))&gt;1900,FALSE),IFERROR(INT(LEFT(metadata!C641,4))&lt;=YEAR(NOW()),FALSE)), OR(MID(metadata!C641,5,1)="", AND(AND(MID(metadata!C641,5,1)="-",IFERROR(INT(MID(metadata!C641,6,1))&gt;=0,FALSE),IFERROR(INT(MID(metadata!C641,6,1))&lt;=1,FALSE),NOT(MID(metadata!C641,7,1)=""),IFERROR(INT(MID(metadata!C641,6,2))&gt;=1,FALSE),IFERROR(INT(MID(metadata!C641,6,2))&lt;=12,FALSE)), OR(MID(metadata!C641,8,1)="", AND(AND(MID(metadata!C641,8,1)="-",IFERROR(INT(MID(metadata!C641,9,1))&gt;=0,FALSE),IFERROR(INT(MID(metadata!C641,9,1))&lt;=3,FALSE),NOT(MID(metadata!C641,10,1)=""),IFERROR(INT(MID(metadata!C641,9,2))&gt;=1,FALSE),IFERROR(INT(MID(metadata!C641,9,2))&lt;=31,FALSE)), OR(MID(metadata!C641,11,1)="", AND(AND(MID(metadata!C641,11,1)=" ",IFERROR(INT(MID(metadata!C641,12,1))&gt;=0,FALSE),IFERROR(INT(MID(metadata!C641,12,1))&lt;=2,FALSE),NOT(MID(metadata!C641,13,1)=""),IFERROR(INT(MID(metadata!C641,12,2))&gt;=0,FALSE),IFERROR(INT(MID(metadata!C641,12,2))&lt;=23,FALSE)), OR(MID(metadata!C641,14,1)="", AND(AND(MID(metadata!C641,14,1)=":",IFERROR(INT(MID(metadata!C641,15,1))&gt;=0,FALSE),IFERROR(INT(MID(metadata!C641,15,1))&lt;=5,FALSE),NOT(MID(metadata!C641,16,1)=""),IFERROR(INT(MID(metadata!C641,15,2))&gt;=0,FALSE),IFERROR(INT(MID(metadata!C641,15,2))&lt;=59,FALSE)), OR(MID(metadata!C641,17,1)="", AND(AND(MID(metadata!C641,17,1)=":",IFERROR(INT(MID(metadata!C641,18,1))&gt;=0,FALSE),IFERROR(INT(MID(metadata!C641,18,1))&lt;=5,FALSE),NOT(MID(metadata!C641,19,1)=""),IFERROR(INT(MID(metadata!C641,18,2))&gt;=0,FALSE),IFERROR(INT(MID(metadata!C641,18,2))&lt;=59,FALSE)), LEN(metadata!C641)&lt;=19)))))))))))))</f>
        <v>0</v>
      </c>
      <c r="AD641">
        <f>IF(metadata!D641="",FALSE,TRUE)</f>
        <v>0</v>
      </c>
      <c r="AE641">
        <f>OR(AND(IF(metadata!E641="",FALSE,TRUE),OR(exact(metadata!E641,"missing: not collected"),exact(metadata!E641,"missing: not provided"))),AND(IF(metadata!E641="",FALSE,TRUE),OR(exact(metadata!E641,"TRUE"),exact(metadata!E641,"FALSE"))))</f>
        <v>0</v>
      </c>
      <c r="AF641">
        <f>IF(metadata!F641="",FALSE,TRUE)</f>
        <v>0</v>
      </c>
      <c r="AG641">
        <f>IF(metadata!G641="",FALSE,TRUE)</f>
        <v>0</v>
      </c>
      <c r="AH641">
        <f>IF(metadata!H641="",FALSE,TRUE)</f>
        <v>0</v>
      </c>
      <c r="AI641">
        <f>OR(AND(IF(metadata!I641="",FALSE,TRUE),OR(exact(metadata!I641,"missing: not collected"),exact(metadata!I641,"missing: not provided"),exact(metadata!I641,"missing: restricted access"))),AND(IF(metadata!I641="",FALSE,TRUE),OR(exact(metadata!I641,"air"),exact(metadata!I641,"built environment"),exact(metadata!I641,"host-associated"),exact(metadata!I641,"human-associated"),exact(metadata!I641,"human-skin"),exact(metadata!I641,"human-oral"),exact(metadata!I641,"human-gut"),exact(metadata!I641,"human-vaginal"),exact(metadata!I641,"microbial mat/biofilm"),exact(metadata!I641,"misc environment"),exact(metadata!I641,"plant-associated"),exact(metadata!I641,"sediment"),exact(metadata!I641,"soil"),exact(metadata!I641,"wastewater/sludge"),exact(metadata!I641,"water"))))</f>
        <v>0</v>
      </c>
      <c r="AJ641">
        <f>IF(metadata!J641="",FALSE,TRUE)</f>
        <v>0</v>
      </c>
      <c r="AK641">
        <f>OR(AND(IF(metadata!K641="",FALSE,TRUE),OR(exact(metadata!K641,"missing: not collected"),exact(metadata!K641,"missing: not provided"),exact(metadata!K641,"missing: restricted access"))),AND(IF(metadata!K641="",FALSE,ISNUMBER(VALUE(metadata!K641))),metadata!K641&gt;=-90.00,metadata!K641&lt;=90.00))</f>
        <v>0</v>
      </c>
      <c r="AL641">
        <f>OR(AND(IF(metadata!L641="",FALSE,TRUE),OR(exact(metadata!L641,"missing: not collected"),exact(metadata!L641,"missing: not provided"),exact(metadata!L641,"missing: restricted access"))),AND(IF(metadata!L641="",FALSE,ISNUMBER(VALUE(metadata!L641))),metadata!L641&gt;=-180.00,metadata!L641&lt;=180.00))</f>
        <v>0</v>
      </c>
      <c r="AM641">
        <f>IF(metadata!M641="",FALSE,TRUE)</f>
        <v>0</v>
      </c>
      <c r="AN641">
        <f>OR(AND(IF(metadata!N641="",FALSE,TRUE),OR(exact(metadata!N641,"missing: not collected"),exact(metadata!N641,"missing: not provided"),exact(metadata!N641,"missing: restricted access"))),AND(IF(metadata!N641="",FALSE,TRUE),OR(exact(metadata!N641,"TRUE"),exact(metadata!N641,"FALSE"))))</f>
        <v>0</v>
      </c>
      <c r="AO641">
        <f>IF(metadata!O641="",FALSE,TRUE)</f>
        <v>0</v>
      </c>
      <c r="AP641">
        <f>OR(AND(IF(metadata!P641="",FALSE,TRUE),OR(exact(metadata!P641,"missing: not collected"),exact(metadata!P641,"missing: not provided"))),AND(IF(metadata!P641="",FALSE,IF(ISERROR(INT(metadata!P641)),FALSE,INT(metadata!P641)=metadata!P641)),metadata!P641&gt;0))</f>
        <v>0</v>
      </c>
      <c r="AQ641">
        <f>IF(metadata!Q641="",FALSE,TRUE)</f>
        <v>0</v>
      </c>
    </row>
    <row r="642" spans="1:43">
      <c r="A642" s="5">
        <f>IF(B642=" "," ",HYPERLINK(CONCATENATE("#metadata!",ADDRESS(INDEX($W$2:$W$1001,MATCH(ROWS($U$2:U642),$U$2:$U$1001,0),0),1)),INDEX($Z$2:$Z$1001,MATCH(ROWS($U$2:U642),$U$2:$U$1001,0),0)))</f>
        <v>0</v>
      </c>
      <c r="B642" s="4">
        <f>IF(OR(INDEX($V$2:$V$1001,MATCH(ROWS($U$2:U642),$U$2:$U$1001,0),1)&gt;=100000,INDEX($AB$1005:$AQ$1005,1,MATCH(COLUMNS($AB$1006:AB1006),$AB$1006:$AQ$1006,0))&gt;=100000), " ",IF(INDEX($AB$2:$AQ$1001,MATCH(ROWS($U$2:U642),$U$2:$U$1001,0),MATCH(COLUMNS($AB$1006:AB1006),$AB$1006:$AQ$1006,0)), HYPERLINK("#",""), HYPERLINK(CONCATENATE("#metadata!", ADDRESS(INDEX($W$2:$W$1001,MATCH(ROWS($U$2:U642),$U$2:$U$1001,0),0), INDEX($AB$1004:$AQ$1004,1,MATCH(COLUMNS($AB$1006:AB1006),$AB$1006:$AQ$1006,0)))),"Fix")))</f>
        <v>0</v>
      </c>
      <c r="C642" s="4">
        <f>IF(OR(INDEX($V$2:$V$1001,MATCH(ROWS($U$2:U642),$U$2:$U$1001,0),1)&gt;=100000,INDEX($AB$1005:$AQ$1005,1,MATCH(COLUMNS($AB$1006:AC1006),$AB$1006:$AQ$1006,0))&gt;=100000), " ",IF(INDEX($AB$2:$AQ$1001,MATCH(ROWS($U$2:U642),$U$2:$U$1001,0),MATCH(COLUMNS($AB$1006:AC1006),$AB$1006:$AQ$1006,0)), HYPERLINK("#",""), HYPERLINK(CONCATENATE("#metadata!", ADDRESS(INDEX($W$2:$W$1001,MATCH(ROWS($U$2:U642),$U$2:$U$1001,0),0), INDEX($AB$1004:$AQ$1004,1,MATCH(COLUMNS($AB$1006:AC1006),$AB$1006:$AQ$1006,0)))),"Fix")))</f>
        <v>0</v>
      </c>
      <c r="D642" s="4">
        <f>IF(OR(INDEX($V$2:$V$1001,MATCH(ROWS($U$2:U642),$U$2:$U$1001,0),1)&gt;=100000,INDEX($AB$1005:$AQ$1005,1,MATCH(COLUMNS($AB$1006:AD1006),$AB$1006:$AQ$1006,0))&gt;=100000), " ",IF(INDEX($AB$2:$AQ$1001,MATCH(ROWS($U$2:U642),$U$2:$U$1001,0),MATCH(COLUMNS($AB$1006:AD1006),$AB$1006:$AQ$1006,0)), HYPERLINK("#",""), HYPERLINK(CONCATENATE("#metadata!", ADDRESS(INDEX($W$2:$W$1001,MATCH(ROWS($U$2:U642),$U$2:$U$1001,0),0), INDEX($AB$1004:$AQ$1004,1,MATCH(COLUMNS($AB$1006:AD1006),$AB$1006:$AQ$1006,0)))),"Fix")))</f>
        <v>0</v>
      </c>
      <c r="E642" s="4">
        <f>IF(OR(INDEX($V$2:$V$1001,MATCH(ROWS($U$2:U642),$U$2:$U$1001,0),1)&gt;=100000,INDEX($AB$1005:$AQ$1005,1,MATCH(COLUMNS($AB$1006:AE1006),$AB$1006:$AQ$1006,0))&gt;=100000), " ",IF(INDEX($AB$2:$AQ$1001,MATCH(ROWS($U$2:U642),$U$2:$U$1001,0),MATCH(COLUMNS($AB$1006:AE1006),$AB$1006:$AQ$1006,0)), HYPERLINK("#",""), HYPERLINK(CONCATENATE("#metadata!", ADDRESS(INDEX($W$2:$W$1001,MATCH(ROWS($U$2:U642),$U$2:$U$1001,0),0), INDEX($AB$1004:$AQ$1004,1,MATCH(COLUMNS($AB$1006:AE1006),$AB$1006:$AQ$1006,0)))),"Fix")))</f>
        <v>0</v>
      </c>
      <c r="F642" s="4">
        <f>IF(OR(INDEX($V$2:$V$1001,MATCH(ROWS($U$2:U642),$U$2:$U$1001,0),1)&gt;=100000,INDEX($AB$1005:$AQ$1005,1,MATCH(COLUMNS($AB$1006:AF1006),$AB$1006:$AQ$1006,0))&gt;=100000), " ",IF(INDEX($AB$2:$AQ$1001,MATCH(ROWS($U$2:U642),$U$2:$U$1001,0),MATCH(COLUMNS($AB$1006:AF1006),$AB$1006:$AQ$1006,0)), HYPERLINK("#",""), HYPERLINK(CONCATENATE("#metadata!", ADDRESS(INDEX($W$2:$W$1001,MATCH(ROWS($U$2:U642),$U$2:$U$1001,0),0), INDEX($AB$1004:$AQ$1004,1,MATCH(COLUMNS($AB$1006:AF1006),$AB$1006:$AQ$1006,0)))),"Fix")))</f>
        <v>0</v>
      </c>
      <c r="G642" s="4">
        <f>IF(OR(INDEX($V$2:$V$1001,MATCH(ROWS($U$2:U642),$U$2:$U$1001,0),1)&gt;=100000,INDEX($AB$1005:$AQ$1005,1,MATCH(COLUMNS($AB$1006:AG1006),$AB$1006:$AQ$1006,0))&gt;=100000), " ",IF(INDEX($AB$2:$AQ$1001,MATCH(ROWS($U$2:U642),$U$2:$U$1001,0),MATCH(COLUMNS($AB$1006:AG1006),$AB$1006:$AQ$1006,0)), HYPERLINK("#",""), HYPERLINK(CONCATENATE("#metadata!", ADDRESS(INDEX($W$2:$W$1001,MATCH(ROWS($U$2:U642),$U$2:$U$1001,0),0), INDEX($AB$1004:$AQ$1004,1,MATCH(COLUMNS($AB$1006:AG1006),$AB$1006:$AQ$1006,0)))),"Fix")))</f>
        <v>0</v>
      </c>
      <c r="H642" s="4">
        <f>IF(OR(INDEX($V$2:$V$1001,MATCH(ROWS($U$2:U642),$U$2:$U$1001,0),1)&gt;=100000,INDEX($AB$1005:$AQ$1005,1,MATCH(COLUMNS($AB$1006:AH1006),$AB$1006:$AQ$1006,0))&gt;=100000), " ",IF(INDEX($AB$2:$AQ$1001,MATCH(ROWS($U$2:U642),$U$2:$U$1001,0),MATCH(COLUMNS($AB$1006:AH1006),$AB$1006:$AQ$1006,0)), HYPERLINK("#",""), HYPERLINK(CONCATENATE("#metadata!", ADDRESS(INDEX($W$2:$W$1001,MATCH(ROWS($U$2:U642),$U$2:$U$1001,0),0), INDEX($AB$1004:$AQ$1004,1,MATCH(COLUMNS($AB$1006:AH1006),$AB$1006:$AQ$1006,0)))),"Fix")))</f>
        <v>0</v>
      </c>
      <c r="I642" s="4">
        <f>IF(OR(INDEX($V$2:$V$1001,MATCH(ROWS($U$2:U642),$U$2:$U$1001,0),1)&gt;=100000,INDEX($AB$1005:$AQ$1005,1,MATCH(COLUMNS($AB$1006:AI1006),$AB$1006:$AQ$1006,0))&gt;=100000), " ",IF(INDEX($AB$2:$AQ$1001,MATCH(ROWS($U$2:U642),$U$2:$U$1001,0),MATCH(COLUMNS($AB$1006:AI1006),$AB$1006:$AQ$1006,0)), HYPERLINK("#",""), HYPERLINK(CONCATENATE("#metadata!", ADDRESS(INDEX($W$2:$W$1001,MATCH(ROWS($U$2:U642),$U$2:$U$1001,0),0), INDEX($AB$1004:$AQ$1004,1,MATCH(COLUMNS($AB$1006:AI1006),$AB$1006:$AQ$1006,0)))),"Fix")))</f>
        <v>0</v>
      </c>
      <c r="J642" s="4">
        <f>IF(OR(INDEX($V$2:$V$1001,MATCH(ROWS($U$2:U642),$U$2:$U$1001,0),1)&gt;=100000,INDEX($AB$1005:$AQ$1005,1,MATCH(COLUMNS($AB$1006:AJ1006),$AB$1006:$AQ$1006,0))&gt;=100000), " ",IF(INDEX($AB$2:$AQ$1001,MATCH(ROWS($U$2:U642),$U$2:$U$1001,0),MATCH(COLUMNS($AB$1006:AJ1006),$AB$1006:$AQ$1006,0)), HYPERLINK("#",""), HYPERLINK(CONCATENATE("#metadata!", ADDRESS(INDEX($W$2:$W$1001,MATCH(ROWS($U$2:U642),$U$2:$U$1001,0),0), INDEX($AB$1004:$AQ$1004,1,MATCH(COLUMNS($AB$1006:AJ1006),$AB$1006:$AQ$1006,0)))),"Fix")))</f>
        <v>0</v>
      </c>
      <c r="K642" s="4">
        <f>IF(OR(INDEX($V$2:$V$1001,MATCH(ROWS($U$2:U642),$U$2:$U$1001,0),1)&gt;=100000,INDEX($AB$1005:$AQ$1005,1,MATCH(COLUMNS($AB$1006:AK1006),$AB$1006:$AQ$1006,0))&gt;=100000), " ",IF(INDEX($AB$2:$AQ$1001,MATCH(ROWS($U$2:U642),$U$2:$U$1001,0),MATCH(COLUMNS($AB$1006:AK1006),$AB$1006:$AQ$1006,0)), HYPERLINK("#",""), HYPERLINK(CONCATENATE("#metadata!", ADDRESS(INDEX($W$2:$W$1001,MATCH(ROWS($U$2:U642),$U$2:$U$1001,0),0), INDEX($AB$1004:$AQ$1004,1,MATCH(COLUMNS($AB$1006:AK1006),$AB$1006:$AQ$1006,0)))),"Fix")))</f>
        <v>0</v>
      </c>
      <c r="L642" s="4">
        <f>IF(OR(INDEX($V$2:$V$1001,MATCH(ROWS($U$2:U642),$U$2:$U$1001,0),1)&gt;=100000,INDEX($AB$1005:$AQ$1005,1,MATCH(COLUMNS($AB$1006:AL1006),$AB$1006:$AQ$1006,0))&gt;=100000), " ",IF(INDEX($AB$2:$AQ$1001,MATCH(ROWS($U$2:U642),$U$2:$U$1001,0),MATCH(COLUMNS($AB$1006:AL1006),$AB$1006:$AQ$1006,0)), HYPERLINK("#",""), HYPERLINK(CONCATENATE("#metadata!", ADDRESS(INDEX($W$2:$W$1001,MATCH(ROWS($U$2:U642),$U$2:$U$1001,0),0), INDEX($AB$1004:$AQ$1004,1,MATCH(COLUMNS($AB$1006:AL1006),$AB$1006:$AQ$1006,0)))),"Fix")))</f>
        <v>0</v>
      </c>
      <c r="M642" s="4">
        <f>IF(OR(INDEX($V$2:$V$1001,MATCH(ROWS($U$2:U642),$U$2:$U$1001,0),1)&gt;=100000,INDEX($AB$1005:$AQ$1005,1,MATCH(COLUMNS($AB$1006:AM1006),$AB$1006:$AQ$1006,0))&gt;=100000), " ",IF(INDEX($AB$2:$AQ$1001,MATCH(ROWS($U$2:U642),$U$2:$U$1001,0),MATCH(COLUMNS($AB$1006:AM1006),$AB$1006:$AQ$1006,0)), HYPERLINK("#",""), HYPERLINK(CONCATENATE("#metadata!", ADDRESS(INDEX($W$2:$W$1001,MATCH(ROWS($U$2:U642),$U$2:$U$1001,0),0), INDEX($AB$1004:$AQ$1004,1,MATCH(COLUMNS($AB$1006:AM1006),$AB$1006:$AQ$1006,0)))),"Fix")))</f>
        <v>0</v>
      </c>
      <c r="N642" s="4">
        <f>IF(OR(INDEX($V$2:$V$1001,MATCH(ROWS($U$2:U642),$U$2:$U$1001,0),1)&gt;=100000,INDEX($AB$1005:$AQ$1005,1,MATCH(COLUMNS($AB$1006:AN1006),$AB$1006:$AQ$1006,0))&gt;=100000), " ",IF(INDEX($AB$2:$AQ$1001,MATCH(ROWS($U$2:U642),$U$2:$U$1001,0),MATCH(COLUMNS($AB$1006:AN1006),$AB$1006:$AQ$1006,0)), HYPERLINK("#",""), HYPERLINK(CONCATENATE("#metadata!", ADDRESS(INDEX($W$2:$W$1001,MATCH(ROWS($U$2:U642),$U$2:$U$1001,0),0), INDEX($AB$1004:$AQ$1004,1,MATCH(COLUMNS($AB$1006:AN1006),$AB$1006:$AQ$1006,0)))),"Fix")))</f>
        <v>0</v>
      </c>
      <c r="O642" s="4">
        <f>IF(OR(INDEX($V$2:$V$1001,MATCH(ROWS($U$2:U642),$U$2:$U$1001,0),1)&gt;=100000,INDEX($AB$1005:$AQ$1005,1,MATCH(COLUMNS($AB$1006:AO1006),$AB$1006:$AQ$1006,0))&gt;=100000), " ",IF(INDEX($AB$2:$AQ$1001,MATCH(ROWS($U$2:U642),$U$2:$U$1001,0),MATCH(COLUMNS($AB$1006:AO1006),$AB$1006:$AQ$1006,0)), HYPERLINK("#",""), HYPERLINK(CONCATENATE("#metadata!", ADDRESS(INDEX($W$2:$W$1001,MATCH(ROWS($U$2:U642),$U$2:$U$1001,0),0), INDEX($AB$1004:$AQ$1004,1,MATCH(COLUMNS($AB$1006:AO1006),$AB$1006:$AQ$1006,0)))),"Fix")))</f>
        <v>0</v>
      </c>
      <c r="P642" s="4">
        <f>IF(OR(INDEX($V$2:$V$1001,MATCH(ROWS($U$2:U642),$U$2:$U$1001,0),1)&gt;=100000,INDEX($AB$1005:$AQ$1005,1,MATCH(COLUMNS($AB$1006:AP1006),$AB$1006:$AQ$1006,0))&gt;=100000), " ",IF(INDEX($AB$2:$AQ$1001,MATCH(ROWS($U$2:U642),$U$2:$U$1001,0),MATCH(COLUMNS($AB$1006:AP1006),$AB$1006:$AQ$1006,0)), HYPERLINK("#",""), HYPERLINK(CONCATENATE("#metadata!", ADDRESS(INDEX($W$2:$W$1001,MATCH(ROWS($U$2:U642),$U$2:$U$1001,0),0), INDEX($AB$1004:$AQ$1004,1,MATCH(COLUMNS($AB$1006:AP1006),$AB$1006:$AQ$1006,0)))),"Fix")))</f>
        <v>0</v>
      </c>
      <c r="Q642" s="4">
        <f>IF(OR(INDEX($V$2:$V$1001,MATCH(ROWS($U$2:U642),$U$2:$U$1001,0),1)&gt;=100000,INDEX($AB$1005:$AQ$1005,1,MATCH(COLUMNS($AB$1006:AQ1006),$AB$1006:$AQ$1006,0))&gt;=100000), " ",IF(INDEX($AB$2:$AQ$1001,MATCH(ROWS($U$2:U642),$U$2:$U$1001,0),MATCH(COLUMNS($AB$1006:AQ1006),$AB$1006:$AQ$1006,0)), HYPERLINK("#",""), HYPERLINK(CONCATENATE("#metadata!", ADDRESS(INDEX($W$2:$W$1001,MATCH(ROWS($U$2:U642),$U$2:$U$1001,0),0), INDEX($AB$1004:$AQ$1004,1,MATCH(COLUMNS($AB$1006:AQ1006),$AB$1006:$AQ$1006,0)))),"Fix")))</f>
        <v>0</v>
      </c>
      <c r="U642">
        <v>0</v>
      </c>
      <c r="V642">
        <v>0</v>
      </c>
      <c r="W642">
        <v>0</v>
      </c>
      <c r="X642">
        <f>IF(Y642,TRUE,AND(AB642:AQ642))</f>
        <v>0</v>
      </c>
      <c r="Y642">
        <f>COUNTBLANK(metadata!B642:Q642)=COLUMNS(metadata!B642:Q642)</f>
        <v>0</v>
      </c>
      <c r="Z642">
        <v>0</v>
      </c>
      <c r="AB642">
        <f>AND(IF(metadata!B642="",FALSE,TRUE),COUNTIF(metadata!B:B, metadata!B642) = 1,NOT(ISERROR(SUMPRODUCT(SEARCH(MID(metadata!B642,ROW(INDIRECT("1:"&amp;LEN(metadata!B642))), 1),"0123456789abcdefghijklmnopqrstuvwxyzABCDEFGHIJKLMNOPQRSTUVWXYZ.")))))</f>
        <v>0</v>
      </c>
      <c r="AC642">
        <f>OR(AND(IF(metadata!C642="",FALSE,TRUE),OR(exact(metadata!C642,"missing: not collected"),exact(metadata!C642,"missing: not provided"),exact(metadata!C642,"missing: restricted access"))),AND(IF(metadata!C642="",FALSE,TRUE),AND(AND(IFERROR(INT(LEFT(metadata!C642,4))&gt;1900,FALSE),IFERROR(INT(LEFT(metadata!C642,4))&lt;=YEAR(NOW()),FALSE)), OR(MID(metadata!C642,5,1)="", AND(AND(MID(metadata!C642,5,1)="-",IFERROR(INT(MID(metadata!C642,6,1))&gt;=0,FALSE),IFERROR(INT(MID(metadata!C642,6,1))&lt;=1,FALSE),NOT(MID(metadata!C642,7,1)=""),IFERROR(INT(MID(metadata!C642,6,2))&gt;=1,FALSE),IFERROR(INT(MID(metadata!C642,6,2))&lt;=12,FALSE)), OR(MID(metadata!C642,8,1)="", AND(AND(MID(metadata!C642,8,1)="-",IFERROR(INT(MID(metadata!C642,9,1))&gt;=0,FALSE),IFERROR(INT(MID(metadata!C642,9,1))&lt;=3,FALSE),NOT(MID(metadata!C642,10,1)=""),IFERROR(INT(MID(metadata!C642,9,2))&gt;=1,FALSE),IFERROR(INT(MID(metadata!C642,9,2))&lt;=31,FALSE)), OR(MID(metadata!C642,11,1)="", AND(AND(MID(metadata!C642,11,1)=" ",IFERROR(INT(MID(metadata!C642,12,1))&gt;=0,FALSE),IFERROR(INT(MID(metadata!C642,12,1))&lt;=2,FALSE),NOT(MID(metadata!C642,13,1)=""),IFERROR(INT(MID(metadata!C642,12,2))&gt;=0,FALSE),IFERROR(INT(MID(metadata!C642,12,2))&lt;=23,FALSE)), OR(MID(metadata!C642,14,1)="", AND(AND(MID(metadata!C642,14,1)=":",IFERROR(INT(MID(metadata!C642,15,1))&gt;=0,FALSE),IFERROR(INT(MID(metadata!C642,15,1))&lt;=5,FALSE),NOT(MID(metadata!C642,16,1)=""),IFERROR(INT(MID(metadata!C642,15,2))&gt;=0,FALSE),IFERROR(INT(MID(metadata!C642,15,2))&lt;=59,FALSE)), OR(MID(metadata!C642,17,1)="", AND(AND(MID(metadata!C642,17,1)=":",IFERROR(INT(MID(metadata!C642,18,1))&gt;=0,FALSE),IFERROR(INT(MID(metadata!C642,18,1))&lt;=5,FALSE),NOT(MID(metadata!C642,19,1)=""),IFERROR(INT(MID(metadata!C642,18,2))&gt;=0,FALSE),IFERROR(INT(MID(metadata!C642,18,2))&lt;=59,FALSE)), LEN(metadata!C642)&lt;=19)))))))))))))</f>
        <v>0</v>
      </c>
      <c r="AD642">
        <f>IF(metadata!D642="",FALSE,TRUE)</f>
        <v>0</v>
      </c>
      <c r="AE642">
        <f>OR(AND(IF(metadata!E642="",FALSE,TRUE),OR(exact(metadata!E642,"missing: not collected"),exact(metadata!E642,"missing: not provided"))),AND(IF(metadata!E642="",FALSE,TRUE),OR(exact(metadata!E642,"TRUE"),exact(metadata!E642,"FALSE"))))</f>
        <v>0</v>
      </c>
      <c r="AF642">
        <f>IF(metadata!F642="",FALSE,TRUE)</f>
        <v>0</v>
      </c>
      <c r="AG642">
        <f>IF(metadata!G642="",FALSE,TRUE)</f>
        <v>0</v>
      </c>
      <c r="AH642">
        <f>IF(metadata!H642="",FALSE,TRUE)</f>
        <v>0</v>
      </c>
      <c r="AI642">
        <f>OR(AND(IF(metadata!I642="",FALSE,TRUE),OR(exact(metadata!I642,"missing: not collected"),exact(metadata!I642,"missing: not provided"),exact(metadata!I642,"missing: restricted access"))),AND(IF(metadata!I642="",FALSE,TRUE),OR(exact(metadata!I642,"air"),exact(metadata!I642,"built environment"),exact(metadata!I642,"host-associated"),exact(metadata!I642,"human-associated"),exact(metadata!I642,"human-skin"),exact(metadata!I642,"human-oral"),exact(metadata!I642,"human-gut"),exact(metadata!I642,"human-vaginal"),exact(metadata!I642,"microbial mat/biofilm"),exact(metadata!I642,"misc environment"),exact(metadata!I642,"plant-associated"),exact(metadata!I642,"sediment"),exact(metadata!I642,"soil"),exact(metadata!I642,"wastewater/sludge"),exact(metadata!I642,"water"))))</f>
        <v>0</v>
      </c>
      <c r="AJ642">
        <f>IF(metadata!J642="",FALSE,TRUE)</f>
        <v>0</v>
      </c>
      <c r="AK642">
        <f>OR(AND(IF(metadata!K642="",FALSE,TRUE),OR(exact(metadata!K642,"missing: not collected"),exact(metadata!K642,"missing: not provided"),exact(metadata!K642,"missing: restricted access"))),AND(IF(metadata!K642="",FALSE,ISNUMBER(VALUE(metadata!K642))),metadata!K642&gt;=-90.00,metadata!K642&lt;=90.00))</f>
        <v>0</v>
      </c>
      <c r="AL642">
        <f>OR(AND(IF(metadata!L642="",FALSE,TRUE),OR(exact(metadata!L642,"missing: not collected"),exact(metadata!L642,"missing: not provided"),exact(metadata!L642,"missing: restricted access"))),AND(IF(metadata!L642="",FALSE,ISNUMBER(VALUE(metadata!L642))),metadata!L642&gt;=-180.00,metadata!L642&lt;=180.00))</f>
        <v>0</v>
      </c>
      <c r="AM642">
        <f>IF(metadata!M642="",FALSE,TRUE)</f>
        <v>0</v>
      </c>
      <c r="AN642">
        <f>OR(AND(IF(metadata!N642="",FALSE,TRUE),OR(exact(metadata!N642,"missing: not collected"),exact(metadata!N642,"missing: not provided"),exact(metadata!N642,"missing: restricted access"))),AND(IF(metadata!N642="",FALSE,TRUE),OR(exact(metadata!N642,"TRUE"),exact(metadata!N642,"FALSE"))))</f>
        <v>0</v>
      </c>
      <c r="AO642">
        <f>IF(metadata!O642="",FALSE,TRUE)</f>
        <v>0</v>
      </c>
      <c r="AP642">
        <f>OR(AND(IF(metadata!P642="",FALSE,TRUE),OR(exact(metadata!P642,"missing: not collected"),exact(metadata!P642,"missing: not provided"))),AND(IF(metadata!P642="",FALSE,IF(ISERROR(INT(metadata!P642)),FALSE,INT(metadata!P642)=metadata!P642)),metadata!P642&gt;0))</f>
        <v>0</v>
      </c>
      <c r="AQ642">
        <f>IF(metadata!Q642="",FALSE,TRUE)</f>
        <v>0</v>
      </c>
    </row>
    <row r="643" spans="1:43">
      <c r="A643" s="5">
        <f>IF(B643=" "," ",HYPERLINK(CONCATENATE("#metadata!",ADDRESS(INDEX($W$2:$W$1001,MATCH(ROWS($U$2:U643),$U$2:$U$1001,0),0),1)),INDEX($Z$2:$Z$1001,MATCH(ROWS($U$2:U643),$U$2:$U$1001,0),0)))</f>
        <v>0</v>
      </c>
      <c r="B643" s="4">
        <f>IF(OR(INDEX($V$2:$V$1001,MATCH(ROWS($U$2:U643),$U$2:$U$1001,0),1)&gt;=100000,INDEX($AB$1005:$AQ$1005,1,MATCH(COLUMNS($AB$1006:AB1006),$AB$1006:$AQ$1006,0))&gt;=100000), " ",IF(INDEX($AB$2:$AQ$1001,MATCH(ROWS($U$2:U643),$U$2:$U$1001,0),MATCH(COLUMNS($AB$1006:AB1006),$AB$1006:$AQ$1006,0)), HYPERLINK("#",""), HYPERLINK(CONCATENATE("#metadata!", ADDRESS(INDEX($W$2:$W$1001,MATCH(ROWS($U$2:U643),$U$2:$U$1001,0),0), INDEX($AB$1004:$AQ$1004,1,MATCH(COLUMNS($AB$1006:AB1006),$AB$1006:$AQ$1006,0)))),"Fix")))</f>
        <v>0</v>
      </c>
      <c r="C643" s="4">
        <f>IF(OR(INDEX($V$2:$V$1001,MATCH(ROWS($U$2:U643),$U$2:$U$1001,0),1)&gt;=100000,INDEX($AB$1005:$AQ$1005,1,MATCH(COLUMNS($AB$1006:AC1006),$AB$1006:$AQ$1006,0))&gt;=100000), " ",IF(INDEX($AB$2:$AQ$1001,MATCH(ROWS($U$2:U643),$U$2:$U$1001,0),MATCH(COLUMNS($AB$1006:AC1006),$AB$1006:$AQ$1006,0)), HYPERLINK("#",""), HYPERLINK(CONCATENATE("#metadata!", ADDRESS(INDEX($W$2:$W$1001,MATCH(ROWS($U$2:U643),$U$2:$U$1001,0),0), INDEX($AB$1004:$AQ$1004,1,MATCH(COLUMNS($AB$1006:AC1006),$AB$1006:$AQ$1006,0)))),"Fix")))</f>
        <v>0</v>
      </c>
      <c r="D643" s="4">
        <f>IF(OR(INDEX($V$2:$V$1001,MATCH(ROWS($U$2:U643),$U$2:$U$1001,0),1)&gt;=100000,INDEX($AB$1005:$AQ$1005,1,MATCH(COLUMNS($AB$1006:AD1006),$AB$1006:$AQ$1006,0))&gt;=100000), " ",IF(INDEX($AB$2:$AQ$1001,MATCH(ROWS($U$2:U643),$U$2:$U$1001,0),MATCH(COLUMNS($AB$1006:AD1006),$AB$1006:$AQ$1006,0)), HYPERLINK("#",""), HYPERLINK(CONCATENATE("#metadata!", ADDRESS(INDEX($W$2:$W$1001,MATCH(ROWS($U$2:U643),$U$2:$U$1001,0),0), INDEX($AB$1004:$AQ$1004,1,MATCH(COLUMNS($AB$1006:AD1006),$AB$1006:$AQ$1006,0)))),"Fix")))</f>
        <v>0</v>
      </c>
      <c r="E643" s="4">
        <f>IF(OR(INDEX($V$2:$V$1001,MATCH(ROWS($U$2:U643),$U$2:$U$1001,0),1)&gt;=100000,INDEX($AB$1005:$AQ$1005,1,MATCH(COLUMNS($AB$1006:AE1006),$AB$1006:$AQ$1006,0))&gt;=100000), " ",IF(INDEX($AB$2:$AQ$1001,MATCH(ROWS($U$2:U643),$U$2:$U$1001,0),MATCH(COLUMNS($AB$1006:AE1006),$AB$1006:$AQ$1006,0)), HYPERLINK("#",""), HYPERLINK(CONCATENATE("#metadata!", ADDRESS(INDEX($W$2:$W$1001,MATCH(ROWS($U$2:U643),$U$2:$U$1001,0),0), INDEX($AB$1004:$AQ$1004,1,MATCH(COLUMNS($AB$1006:AE1006),$AB$1006:$AQ$1006,0)))),"Fix")))</f>
        <v>0</v>
      </c>
      <c r="F643" s="4">
        <f>IF(OR(INDEX($V$2:$V$1001,MATCH(ROWS($U$2:U643),$U$2:$U$1001,0),1)&gt;=100000,INDEX($AB$1005:$AQ$1005,1,MATCH(COLUMNS($AB$1006:AF1006),$AB$1006:$AQ$1006,0))&gt;=100000), " ",IF(INDEX($AB$2:$AQ$1001,MATCH(ROWS($U$2:U643),$U$2:$U$1001,0),MATCH(COLUMNS($AB$1006:AF1006),$AB$1006:$AQ$1006,0)), HYPERLINK("#",""), HYPERLINK(CONCATENATE("#metadata!", ADDRESS(INDEX($W$2:$W$1001,MATCH(ROWS($U$2:U643),$U$2:$U$1001,0),0), INDEX($AB$1004:$AQ$1004,1,MATCH(COLUMNS($AB$1006:AF1006),$AB$1006:$AQ$1006,0)))),"Fix")))</f>
        <v>0</v>
      </c>
      <c r="G643" s="4">
        <f>IF(OR(INDEX($V$2:$V$1001,MATCH(ROWS($U$2:U643),$U$2:$U$1001,0),1)&gt;=100000,INDEX($AB$1005:$AQ$1005,1,MATCH(COLUMNS($AB$1006:AG1006),$AB$1006:$AQ$1006,0))&gt;=100000), " ",IF(INDEX($AB$2:$AQ$1001,MATCH(ROWS($U$2:U643),$U$2:$U$1001,0),MATCH(COLUMNS($AB$1006:AG1006),$AB$1006:$AQ$1006,0)), HYPERLINK("#",""), HYPERLINK(CONCATENATE("#metadata!", ADDRESS(INDEX($W$2:$W$1001,MATCH(ROWS($U$2:U643),$U$2:$U$1001,0),0), INDEX($AB$1004:$AQ$1004,1,MATCH(COLUMNS($AB$1006:AG1006),$AB$1006:$AQ$1006,0)))),"Fix")))</f>
        <v>0</v>
      </c>
      <c r="H643" s="4">
        <f>IF(OR(INDEX($V$2:$V$1001,MATCH(ROWS($U$2:U643),$U$2:$U$1001,0),1)&gt;=100000,INDEX($AB$1005:$AQ$1005,1,MATCH(COLUMNS($AB$1006:AH1006),$AB$1006:$AQ$1006,0))&gt;=100000), " ",IF(INDEX($AB$2:$AQ$1001,MATCH(ROWS($U$2:U643),$U$2:$U$1001,0),MATCH(COLUMNS($AB$1006:AH1006),$AB$1006:$AQ$1006,0)), HYPERLINK("#",""), HYPERLINK(CONCATENATE("#metadata!", ADDRESS(INDEX($W$2:$W$1001,MATCH(ROWS($U$2:U643),$U$2:$U$1001,0),0), INDEX($AB$1004:$AQ$1004,1,MATCH(COLUMNS($AB$1006:AH1006),$AB$1006:$AQ$1006,0)))),"Fix")))</f>
        <v>0</v>
      </c>
      <c r="I643" s="4">
        <f>IF(OR(INDEX($V$2:$V$1001,MATCH(ROWS($U$2:U643),$U$2:$U$1001,0),1)&gt;=100000,INDEX($AB$1005:$AQ$1005,1,MATCH(COLUMNS($AB$1006:AI1006),$AB$1006:$AQ$1006,0))&gt;=100000), " ",IF(INDEX($AB$2:$AQ$1001,MATCH(ROWS($U$2:U643),$U$2:$U$1001,0),MATCH(COLUMNS($AB$1006:AI1006),$AB$1006:$AQ$1006,0)), HYPERLINK("#",""), HYPERLINK(CONCATENATE("#metadata!", ADDRESS(INDEX($W$2:$W$1001,MATCH(ROWS($U$2:U643),$U$2:$U$1001,0),0), INDEX($AB$1004:$AQ$1004,1,MATCH(COLUMNS($AB$1006:AI1006),$AB$1006:$AQ$1006,0)))),"Fix")))</f>
        <v>0</v>
      </c>
      <c r="J643" s="4">
        <f>IF(OR(INDEX($V$2:$V$1001,MATCH(ROWS($U$2:U643),$U$2:$U$1001,0),1)&gt;=100000,INDEX($AB$1005:$AQ$1005,1,MATCH(COLUMNS($AB$1006:AJ1006),$AB$1006:$AQ$1006,0))&gt;=100000), " ",IF(INDEX($AB$2:$AQ$1001,MATCH(ROWS($U$2:U643),$U$2:$U$1001,0),MATCH(COLUMNS($AB$1006:AJ1006),$AB$1006:$AQ$1006,0)), HYPERLINK("#",""), HYPERLINK(CONCATENATE("#metadata!", ADDRESS(INDEX($W$2:$W$1001,MATCH(ROWS($U$2:U643),$U$2:$U$1001,0),0), INDEX($AB$1004:$AQ$1004,1,MATCH(COLUMNS($AB$1006:AJ1006),$AB$1006:$AQ$1006,0)))),"Fix")))</f>
        <v>0</v>
      </c>
      <c r="K643" s="4">
        <f>IF(OR(INDEX($V$2:$V$1001,MATCH(ROWS($U$2:U643),$U$2:$U$1001,0),1)&gt;=100000,INDEX($AB$1005:$AQ$1005,1,MATCH(COLUMNS($AB$1006:AK1006),$AB$1006:$AQ$1006,0))&gt;=100000), " ",IF(INDEX($AB$2:$AQ$1001,MATCH(ROWS($U$2:U643),$U$2:$U$1001,0),MATCH(COLUMNS($AB$1006:AK1006),$AB$1006:$AQ$1006,0)), HYPERLINK("#",""), HYPERLINK(CONCATENATE("#metadata!", ADDRESS(INDEX($W$2:$W$1001,MATCH(ROWS($U$2:U643),$U$2:$U$1001,0),0), INDEX($AB$1004:$AQ$1004,1,MATCH(COLUMNS($AB$1006:AK1006),$AB$1006:$AQ$1006,0)))),"Fix")))</f>
        <v>0</v>
      </c>
      <c r="L643" s="4">
        <f>IF(OR(INDEX($V$2:$V$1001,MATCH(ROWS($U$2:U643),$U$2:$U$1001,0),1)&gt;=100000,INDEX($AB$1005:$AQ$1005,1,MATCH(COLUMNS($AB$1006:AL1006),$AB$1006:$AQ$1006,0))&gt;=100000), " ",IF(INDEX($AB$2:$AQ$1001,MATCH(ROWS($U$2:U643),$U$2:$U$1001,0),MATCH(COLUMNS($AB$1006:AL1006),$AB$1006:$AQ$1006,0)), HYPERLINK("#",""), HYPERLINK(CONCATENATE("#metadata!", ADDRESS(INDEX($W$2:$W$1001,MATCH(ROWS($U$2:U643),$U$2:$U$1001,0),0), INDEX($AB$1004:$AQ$1004,1,MATCH(COLUMNS($AB$1006:AL1006),$AB$1006:$AQ$1006,0)))),"Fix")))</f>
        <v>0</v>
      </c>
      <c r="M643" s="4">
        <f>IF(OR(INDEX($V$2:$V$1001,MATCH(ROWS($U$2:U643),$U$2:$U$1001,0),1)&gt;=100000,INDEX($AB$1005:$AQ$1005,1,MATCH(COLUMNS($AB$1006:AM1006),$AB$1006:$AQ$1006,0))&gt;=100000), " ",IF(INDEX($AB$2:$AQ$1001,MATCH(ROWS($U$2:U643),$U$2:$U$1001,0),MATCH(COLUMNS($AB$1006:AM1006),$AB$1006:$AQ$1006,0)), HYPERLINK("#",""), HYPERLINK(CONCATENATE("#metadata!", ADDRESS(INDEX($W$2:$W$1001,MATCH(ROWS($U$2:U643),$U$2:$U$1001,0),0), INDEX($AB$1004:$AQ$1004,1,MATCH(COLUMNS($AB$1006:AM1006),$AB$1006:$AQ$1006,0)))),"Fix")))</f>
        <v>0</v>
      </c>
      <c r="N643" s="4">
        <f>IF(OR(INDEX($V$2:$V$1001,MATCH(ROWS($U$2:U643),$U$2:$U$1001,0),1)&gt;=100000,INDEX($AB$1005:$AQ$1005,1,MATCH(COLUMNS($AB$1006:AN1006),$AB$1006:$AQ$1006,0))&gt;=100000), " ",IF(INDEX($AB$2:$AQ$1001,MATCH(ROWS($U$2:U643),$U$2:$U$1001,0),MATCH(COLUMNS($AB$1006:AN1006),$AB$1006:$AQ$1006,0)), HYPERLINK("#",""), HYPERLINK(CONCATENATE("#metadata!", ADDRESS(INDEX($W$2:$W$1001,MATCH(ROWS($U$2:U643),$U$2:$U$1001,0),0), INDEX($AB$1004:$AQ$1004,1,MATCH(COLUMNS($AB$1006:AN1006),$AB$1006:$AQ$1006,0)))),"Fix")))</f>
        <v>0</v>
      </c>
      <c r="O643" s="4">
        <f>IF(OR(INDEX($V$2:$V$1001,MATCH(ROWS($U$2:U643),$U$2:$U$1001,0),1)&gt;=100000,INDEX($AB$1005:$AQ$1005,1,MATCH(COLUMNS($AB$1006:AO1006),$AB$1006:$AQ$1006,0))&gt;=100000), " ",IF(INDEX($AB$2:$AQ$1001,MATCH(ROWS($U$2:U643),$U$2:$U$1001,0),MATCH(COLUMNS($AB$1006:AO1006),$AB$1006:$AQ$1006,0)), HYPERLINK("#",""), HYPERLINK(CONCATENATE("#metadata!", ADDRESS(INDEX($W$2:$W$1001,MATCH(ROWS($U$2:U643),$U$2:$U$1001,0),0), INDEX($AB$1004:$AQ$1004,1,MATCH(COLUMNS($AB$1006:AO1006),$AB$1006:$AQ$1006,0)))),"Fix")))</f>
        <v>0</v>
      </c>
      <c r="P643" s="4">
        <f>IF(OR(INDEX($V$2:$V$1001,MATCH(ROWS($U$2:U643),$U$2:$U$1001,0),1)&gt;=100000,INDEX($AB$1005:$AQ$1005,1,MATCH(COLUMNS($AB$1006:AP1006),$AB$1006:$AQ$1006,0))&gt;=100000), " ",IF(INDEX($AB$2:$AQ$1001,MATCH(ROWS($U$2:U643),$U$2:$U$1001,0),MATCH(COLUMNS($AB$1006:AP1006),$AB$1006:$AQ$1006,0)), HYPERLINK("#",""), HYPERLINK(CONCATENATE("#metadata!", ADDRESS(INDEX($W$2:$W$1001,MATCH(ROWS($U$2:U643),$U$2:$U$1001,0),0), INDEX($AB$1004:$AQ$1004,1,MATCH(COLUMNS($AB$1006:AP1006),$AB$1006:$AQ$1006,0)))),"Fix")))</f>
        <v>0</v>
      </c>
      <c r="Q643" s="4">
        <f>IF(OR(INDEX($V$2:$V$1001,MATCH(ROWS($U$2:U643),$U$2:$U$1001,0),1)&gt;=100000,INDEX($AB$1005:$AQ$1005,1,MATCH(COLUMNS($AB$1006:AQ1006),$AB$1006:$AQ$1006,0))&gt;=100000), " ",IF(INDEX($AB$2:$AQ$1001,MATCH(ROWS($U$2:U643),$U$2:$U$1001,0),MATCH(COLUMNS($AB$1006:AQ1006),$AB$1006:$AQ$1006,0)), HYPERLINK("#",""), HYPERLINK(CONCATENATE("#metadata!", ADDRESS(INDEX($W$2:$W$1001,MATCH(ROWS($U$2:U643),$U$2:$U$1001,0),0), INDEX($AB$1004:$AQ$1004,1,MATCH(COLUMNS($AB$1006:AQ1006),$AB$1006:$AQ$1006,0)))),"Fix")))</f>
        <v>0</v>
      </c>
      <c r="U643">
        <v>0</v>
      </c>
      <c r="V643">
        <v>0</v>
      </c>
      <c r="W643">
        <v>0</v>
      </c>
      <c r="X643">
        <f>IF(Y643,TRUE,AND(AB643:AQ643))</f>
        <v>0</v>
      </c>
      <c r="Y643">
        <f>COUNTBLANK(metadata!B643:Q643)=COLUMNS(metadata!B643:Q643)</f>
        <v>0</v>
      </c>
      <c r="Z643">
        <v>0</v>
      </c>
      <c r="AB643">
        <f>AND(IF(metadata!B643="",FALSE,TRUE),COUNTIF(metadata!B:B, metadata!B643) = 1,NOT(ISERROR(SUMPRODUCT(SEARCH(MID(metadata!B643,ROW(INDIRECT("1:"&amp;LEN(metadata!B643))), 1),"0123456789abcdefghijklmnopqrstuvwxyzABCDEFGHIJKLMNOPQRSTUVWXYZ.")))))</f>
        <v>0</v>
      </c>
      <c r="AC643">
        <f>OR(AND(IF(metadata!C643="",FALSE,TRUE),OR(exact(metadata!C643,"missing: not collected"),exact(metadata!C643,"missing: not provided"),exact(metadata!C643,"missing: restricted access"))),AND(IF(metadata!C643="",FALSE,TRUE),AND(AND(IFERROR(INT(LEFT(metadata!C643,4))&gt;1900,FALSE),IFERROR(INT(LEFT(metadata!C643,4))&lt;=YEAR(NOW()),FALSE)), OR(MID(metadata!C643,5,1)="", AND(AND(MID(metadata!C643,5,1)="-",IFERROR(INT(MID(metadata!C643,6,1))&gt;=0,FALSE),IFERROR(INT(MID(metadata!C643,6,1))&lt;=1,FALSE),NOT(MID(metadata!C643,7,1)=""),IFERROR(INT(MID(metadata!C643,6,2))&gt;=1,FALSE),IFERROR(INT(MID(metadata!C643,6,2))&lt;=12,FALSE)), OR(MID(metadata!C643,8,1)="", AND(AND(MID(metadata!C643,8,1)="-",IFERROR(INT(MID(metadata!C643,9,1))&gt;=0,FALSE),IFERROR(INT(MID(metadata!C643,9,1))&lt;=3,FALSE),NOT(MID(metadata!C643,10,1)=""),IFERROR(INT(MID(metadata!C643,9,2))&gt;=1,FALSE),IFERROR(INT(MID(metadata!C643,9,2))&lt;=31,FALSE)), OR(MID(metadata!C643,11,1)="", AND(AND(MID(metadata!C643,11,1)=" ",IFERROR(INT(MID(metadata!C643,12,1))&gt;=0,FALSE),IFERROR(INT(MID(metadata!C643,12,1))&lt;=2,FALSE),NOT(MID(metadata!C643,13,1)=""),IFERROR(INT(MID(metadata!C643,12,2))&gt;=0,FALSE),IFERROR(INT(MID(metadata!C643,12,2))&lt;=23,FALSE)), OR(MID(metadata!C643,14,1)="", AND(AND(MID(metadata!C643,14,1)=":",IFERROR(INT(MID(metadata!C643,15,1))&gt;=0,FALSE),IFERROR(INT(MID(metadata!C643,15,1))&lt;=5,FALSE),NOT(MID(metadata!C643,16,1)=""),IFERROR(INT(MID(metadata!C643,15,2))&gt;=0,FALSE),IFERROR(INT(MID(metadata!C643,15,2))&lt;=59,FALSE)), OR(MID(metadata!C643,17,1)="", AND(AND(MID(metadata!C643,17,1)=":",IFERROR(INT(MID(metadata!C643,18,1))&gt;=0,FALSE),IFERROR(INT(MID(metadata!C643,18,1))&lt;=5,FALSE),NOT(MID(metadata!C643,19,1)=""),IFERROR(INT(MID(metadata!C643,18,2))&gt;=0,FALSE),IFERROR(INT(MID(metadata!C643,18,2))&lt;=59,FALSE)), LEN(metadata!C643)&lt;=19)))))))))))))</f>
        <v>0</v>
      </c>
      <c r="AD643">
        <f>IF(metadata!D643="",FALSE,TRUE)</f>
        <v>0</v>
      </c>
      <c r="AE643">
        <f>OR(AND(IF(metadata!E643="",FALSE,TRUE),OR(exact(metadata!E643,"missing: not collected"),exact(metadata!E643,"missing: not provided"))),AND(IF(metadata!E643="",FALSE,TRUE),OR(exact(metadata!E643,"TRUE"),exact(metadata!E643,"FALSE"))))</f>
        <v>0</v>
      </c>
      <c r="AF643">
        <f>IF(metadata!F643="",FALSE,TRUE)</f>
        <v>0</v>
      </c>
      <c r="AG643">
        <f>IF(metadata!G643="",FALSE,TRUE)</f>
        <v>0</v>
      </c>
      <c r="AH643">
        <f>IF(metadata!H643="",FALSE,TRUE)</f>
        <v>0</v>
      </c>
      <c r="AI643">
        <f>OR(AND(IF(metadata!I643="",FALSE,TRUE),OR(exact(metadata!I643,"missing: not collected"),exact(metadata!I643,"missing: not provided"),exact(metadata!I643,"missing: restricted access"))),AND(IF(metadata!I643="",FALSE,TRUE),OR(exact(metadata!I643,"air"),exact(metadata!I643,"built environment"),exact(metadata!I643,"host-associated"),exact(metadata!I643,"human-associated"),exact(metadata!I643,"human-skin"),exact(metadata!I643,"human-oral"),exact(metadata!I643,"human-gut"),exact(metadata!I643,"human-vaginal"),exact(metadata!I643,"microbial mat/biofilm"),exact(metadata!I643,"misc environment"),exact(metadata!I643,"plant-associated"),exact(metadata!I643,"sediment"),exact(metadata!I643,"soil"),exact(metadata!I643,"wastewater/sludge"),exact(metadata!I643,"water"))))</f>
        <v>0</v>
      </c>
      <c r="AJ643">
        <f>IF(metadata!J643="",FALSE,TRUE)</f>
        <v>0</v>
      </c>
      <c r="AK643">
        <f>OR(AND(IF(metadata!K643="",FALSE,TRUE),OR(exact(metadata!K643,"missing: not collected"),exact(metadata!K643,"missing: not provided"),exact(metadata!K643,"missing: restricted access"))),AND(IF(metadata!K643="",FALSE,ISNUMBER(VALUE(metadata!K643))),metadata!K643&gt;=-90.00,metadata!K643&lt;=90.00))</f>
        <v>0</v>
      </c>
      <c r="AL643">
        <f>OR(AND(IF(metadata!L643="",FALSE,TRUE),OR(exact(metadata!L643,"missing: not collected"),exact(metadata!L643,"missing: not provided"),exact(metadata!L643,"missing: restricted access"))),AND(IF(metadata!L643="",FALSE,ISNUMBER(VALUE(metadata!L643))),metadata!L643&gt;=-180.00,metadata!L643&lt;=180.00))</f>
        <v>0</v>
      </c>
      <c r="AM643">
        <f>IF(metadata!M643="",FALSE,TRUE)</f>
        <v>0</v>
      </c>
      <c r="AN643">
        <f>OR(AND(IF(metadata!N643="",FALSE,TRUE),OR(exact(metadata!N643,"missing: not collected"),exact(metadata!N643,"missing: not provided"),exact(metadata!N643,"missing: restricted access"))),AND(IF(metadata!N643="",FALSE,TRUE),OR(exact(metadata!N643,"TRUE"),exact(metadata!N643,"FALSE"))))</f>
        <v>0</v>
      </c>
      <c r="AO643">
        <f>IF(metadata!O643="",FALSE,TRUE)</f>
        <v>0</v>
      </c>
      <c r="AP643">
        <f>OR(AND(IF(metadata!P643="",FALSE,TRUE),OR(exact(metadata!P643,"missing: not collected"),exact(metadata!P643,"missing: not provided"))),AND(IF(metadata!P643="",FALSE,IF(ISERROR(INT(metadata!P643)),FALSE,INT(metadata!P643)=metadata!P643)),metadata!P643&gt;0))</f>
        <v>0</v>
      </c>
      <c r="AQ643">
        <f>IF(metadata!Q643="",FALSE,TRUE)</f>
        <v>0</v>
      </c>
    </row>
    <row r="644" spans="1:43">
      <c r="A644" s="5">
        <f>IF(B644=" "," ",HYPERLINK(CONCATENATE("#metadata!",ADDRESS(INDEX($W$2:$W$1001,MATCH(ROWS($U$2:U644),$U$2:$U$1001,0),0),1)),INDEX($Z$2:$Z$1001,MATCH(ROWS($U$2:U644),$U$2:$U$1001,0),0)))</f>
        <v>0</v>
      </c>
      <c r="B644" s="4">
        <f>IF(OR(INDEX($V$2:$V$1001,MATCH(ROWS($U$2:U644),$U$2:$U$1001,0),1)&gt;=100000,INDEX($AB$1005:$AQ$1005,1,MATCH(COLUMNS($AB$1006:AB1006),$AB$1006:$AQ$1006,0))&gt;=100000), " ",IF(INDEX($AB$2:$AQ$1001,MATCH(ROWS($U$2:U644),$U$2:$U$1001,0),MATCH(COLUMNS($AB$1006:AB1006),$AB$1006:$AQ$1006,0)), HYPERLINK("#",""), HYPERLINK(CONCATENATE("#metadata!", ADDRESS(INDEX($W$2:$W$1001,MATCH(ROWS($U$2:U644),$U$2:$U$1001,0),0), INDEX($AB$1004:$AQ$1004,1,MATCH(COLUMNS($AB$1006:AB1006),$AB$1006:$AQ$1006,0)))),"Fix")))</f>
        <v>0</v>
      </c>
      <c r="C644" s="4">
        <f>IF(OR(INDEX($V$2:$V$1001,MATCH(ROWS($U$2:U644),$U$2:$U$1001,0),1)&gt;=100000,INDEX($AB$1005:$AQ$1005,1,MATCH(COLUMNS($AB$1006:AC1006),$AB$1006:$AQ$1006,0))&gt;=100000), " ",IF(INDEX($AB$2:$AQ$1001,MATCH(ROWS($U$2:U644),$U$2:$U$1001,0),MATCH(COLUMNS($AB$1006:AC1006),$AB$1006:$AQ$1006,0)), HYPERLINK("#",""), HYPERLINK(CONCATENATE("#metadata!", ADDRESS(INDEX($W$2:$W$1001,MATCH(ROWS($U$2:U644),$U$2:$U$1001,0),0), INDEX($AB$1004:$AQ$1004,1,MATCH(COLUMNS($AB$1006:AC1006),$AB$1006:$AQ$1006,0)))),"Fix")))</f>
        <v>0</v>
      </c>
      <c r="D644" s="4">
        <f>IF(OR(INDEX($V$2:$V$1001,MATCH(ROWS($U$2:U644),$U$2:$U$1001,0),1)&gt;=100000,INDEX($AB$1005:$AQ$1005,1,MATCH(COLUMNS($AB$1006:AD1006),$AB$1006:$AQ$1006,0))&gt;=100000), " ",IF(INDEX($AB$2:$AQ$1001,MATCH(ROWS($U$2:U644),$U$2:$U$1001,0),MATCH(COLUMNS($AB$1006:AD1006),$AB$1006:$AQ$1006,0)), HYPERLINK("#",""), HYPERLINK(CONCATENATE("#metadata!", ADDRESS(INDEX($W$2:$W$1001,MATCH(ROWS($U$2:U644),$U$2:$U$1001,0),0), INDEX($AB$1004:$AQ$1004,1,MATCH(COLUMNS($AB$1006:AD1006),$AB$1006:$AQ$1006,0)))),"Fix")))</f>
        <v>0</v>
      </c>
      <c r="E644" s="4">
        <f>IF(OR(INDEX($V$2:$V$1001,MATCH(ROWS($U$2:U644),$U$2:$U$1001,0),1)&gt;=100000,INDEX($AB$1005:$AQ$1005,1,MATCH(COLUMNS($AB$1006:AE1006),$AB$1006:$AQ$1006,0))&gt;=100000), " ",IF(INDEX($AB$2:$AQ$1001,MATCH(ROWS($U$2:U644),$U$2:$U$1001,0),MATCH(COLUMNS($AB$1006:AE1006),$AB$1006:$AQ$1006,0)), HYPERLINK("#",""), HYPERLINK(CONCATENATE("#metadata!", ADDRESS(INDEX($W$2:$W$1001,MATCH(ROWS($U$2:U644),$U$2:$U$1001,0),0), INDEX($AB$1004:$AQ$1004,1,MATCH(COLUMNS($AB$1006:AE1006),$AB$1006:$AQ$1006,0)))),"Fix")))</f>
        <v>0</v>
      </c>
      <c r="F644" s="4">
        <f>IF(OR(INDEX($V$2:$V$1001,MATCH(ROWS($U$2:U644),$U$2:$U$1001,0),1)&gt;=100000,INDEX($AB$1005:$AQ$1005,1,MATCH(COLUMNS($AB$1006:AF1006),$AB$1006:$AQ$1006,0))&gt;=100000), " ",IF(INDEX($AB$2:$AQ$1001,MATCH(ROWS($U$2:U644),$U$2:$U$1001,0),MATCH(COLUMNS($AB$1006:AF1006),$AB$1006:$AQ$1006,0)), HYPERLINK("#",""), HYPERLINK(CONCATENATE("#metadata!", ADDRESS(INDEX($W$2:$W$1001,MATCH(ROWS($U$2:U644),$U$2:$U$1001,0),0), INDEX($AB$1004:$AQ$1004,1,MATCH(COLUMNS($AB$1006:AF1006),$AB$1006:$AQ$1006,0)))),"Fix")))</f>
        <v>0</v>
      </c>
      <c r="G644" s="4">
        <f>IF(OR(INDEX($V$2:$V$1001,MATCH(ROWS($U$2:U644),$U$2:$U$1001,0),1)&gt;=100000,INDEX($AB$1005:$AQ$1005,1,MATCH(COLUMNS($AB$1006:AG1006),$AB$1006:$AQ$1006,0))&gt;=100000), " ",IF(INDEX($AB$2:$AQ$1001,MATCH(ROWS($U$2:U644),$U$2:$U$1001,0),MATCH(COLUMNS($AB$1006:AG1006),$AB$1006:$AQ$1006,0)), HYPERLINK("#",""), HYPERLINK(CONCATENATE("#metadata!", ADDRESS(INDEX($W$2:$W$1001,MATCH(ROWS($U$2:U644),$U$2:$U$1001,0),0), INDEX($AB$1004:$AQ$1004,1,MATCH(COLUMNS($AB$1006:AG1006),$AB$1006:$AQ$1006,0)))),"Fix")))</f>
        <v>0</v>
      </c>
      <c r="H644" s="4">
        <f>IF(OR(INDEX($V$2:$V$1001,MATCH(ROWS($U$2:U644),$U$2:$U$1001,0),1)&gt;=100000,INDEX($AB$1005:$AQ$1005,1,MATCH(COLUMNS($AB$1006:AH1006),$AB$1006:$AQ$1006,0))&gt;=100000), " ",IF(INDEX($AB$2:$AQ$1001,MATCH(ROWS($U$2:U644),$U$2:$U$1001,0),MATCH(COLUMNS($AB$1006:AH1006),$AB$1006:$AQ$1006,0)), HYPERLINK("#",""), HYPERLINK(CONCATENATE("#metadata!", ADDRESS(INDEX($W$2:$W$1001,MATCH(ROWS($U$2:U644),$U$2:$U$1001,0),0), INDEX($AB$1004:$AQ$1004,1,MATCH(COLUMNS($AB$1006:AH1006),$AB$1006:$AQ$1006,0)))),"Fix")))</f>
        <v>0</v>
      </c>
      <c r="I644" s="4">
        <f>IF(OR(INDEX($V$2:$V$1001,MATCH(ROWS($U$2:U644),$U$2:$U$1001,0),1)&gt;=100000,INDEX($AB$1005:$AQ$1005,1,MATCH(COLUMNS($AB$1006:AI1006),$AB$1006:$AQ$1006,0))&gt;=100000), " ",IF(INDEX($AB$2:$AQ$1001,MATCH(ROWS($U$2:U644),$U$2:$U$1001,0),MATCH(COLUMNS($AB$1006:AI1006),$AB$1006:$AQ$1006,0)), HYPERLINK("#",""), HYPERLINK(CONCATENATE("#metadata!", ADDRESS(INDEX($W$2:$W$1001,MATCH(ROWS($U$2:U644),$U$2:$U$1001,0),0), INDEX($AB$1004:$AQ$1004,1,MATCH(COLUMNS($AB$1006:AI1006),$AB$1006:$AQ$1006,0)))),"Fix")))</f>
        <v>0</v>
      </c>
      <c r="J644" s="4">
        <f>IF(OR(INDEX($V$2:$V$1001,MATCH(ROWS($U$2:U644),$U$2:$U$1001,0),1)&gt;=100000,INDEX($AB$1005:$AQ$1005,1,MATCH(COLUMNS($AB$1006:AJ1006),$AB$1006:$AQ$1006,0))&gt;=100000), " ",IF(INDEX($AB$2:$AQ$1001,MATCH(ROWS($U$2:U644),$U$2:$U$1001,0),MATCH(COLUMNS($AB$1006:AJ1006),$AB$1006:$AQ$1006,0)), HYPERLINK("#",""), HYPERLINK(CONCATENATE("#metadata!", ADDRESS(INDEX($W$2:$W$1001,MATCH(ROWS($U$2:U644),$U$2:$U$1001,0),0), INDEX($AB$1004:$AQ$1004,1,MATCH(COLUMNS($AB$1006:AJ1006),$AB$1006:$AQ$1006,0)))),"Fix")))</f>
        <v>0</v>
      </c>
      <c r="K644" s="4">
        <f>IF(OR(INDEX($V$2:$V$1001,MATCH(ROWS($U$2:U644),$U$2:$U$1001,0),1)&gt;=100000,INDEX($AB$1005:$AQ$1005,1,MATCH(COLUMNS($AB$1006:AK1006),$AB$1006:$AQ$1006,0))&gt;=100000), " ",IF(INDEX($AB$2:$AQ$1001,MATCH(ROWS($U$2:U644),$U$2:$U$1001,0),MATCH(COLUMNS($AB$1006:AK1006),$AB$1006:$AQ$1006,0)), HYPERLINK("#",""), HYPERLINK(CONCATENATE("#metadata!", ADDRESS(INDEX($W$2:$W$1001,MATCH(ROWS($U$2:U644),$U$2:$U$1001,0),0), INDEX($AB$1004:$AQ$1004,1,MATCH(COLUMNS($AB$1006:AK1006),$AB$1006:$AQ$1006,0)))),"Fix")))</f>
        <v>0</v>
      </c>
      <c r="L644" s="4">
        <f>IF(OR(INDEX($V$2:$V$1001,MATCH(ROWS($U$2:U644),$U$2:$U$1001,0),1)&gt;=100000,INDEX($AB$1005:$AQ$1005,1,MATCH(COLUMNS($AB$1006:AL1006),$AB$1006:$AQ$1006,0))&gt;=100000), " ",IF(INDEX($AB$2:$AQ$1001,MATCH(ROWS($U$2:U644),$U$2:$U$1001,0),MATCH(COLUMNS($AB$1006:AL1006),$AB$1006:$AQ$1006,0)), HYPERLINK("#",""), HYPERLINK(CONCATENATE("#metadata!", ADDRESS(INDEX($W$2:$W$1001,MATCH(ROWS($U$2:U644),$U$2:$U$1001,0),0), INDEX($AB$1004:$AQ$1004,1,MATCH(COLUMNS($AB$1006:AL1006),$AB$1006:$AQ$1006,0)))),"Fix")))</f>
        <v>0</v>
      </c>
      <c r="M644" s="4">
        <f>IF(OR(INDEX($V$2:$V$1001,MATCH(ROWS($U$2:U644),$U$2:$U$1001,0),1)&gt;=100000,INDEX($AB$1005:$AQ$1005,1,MATCH(COLUMNS($AB$1006:AM1006),$AB$1006:$AQ$1006,0))&gt;=100000), " ",IF(INDEX($AB$2:$AQ$1001,MATCH(ROWS($U$2:U644),$U$2:$U$1001,0),MATCH(COLUMNS($AB$1006:AM1006),$AB$1006:$AQ$1006,0)), HYPERLINK("#",""), HYPERLINK(CONCATENATE("#metadata!", ADDRESS(INDEX($W$2:$W$1001,MATCH(ROWS($U$2:U644),$U$2:$U$1001,0),0), INDEX($AB$1004:$AQ$1004,1,MATCH(COLUMNS($AB$1006:AM1006),$AB$1006:$AQ$1006,0)))),"Fix")))</f>
        <v>0</v>
      </c>
      <c r="N644" s="4">
        <f>IF(OR(INDEX($V$2:$V$1001,MATCH(ROWS($U$2:U644),$U$2:$U$1001,0),1)&gt;=100000,INDEX($AB$1005:$AQ$1005,1,MATCH(COLUMNS($AB$1006:AN1006),$AB$1006:$AQ$1006,0))&gt;=100000), " ",IF(INDEX($AB$2:$AQ$1001,MATCH(ROWS($U$2:U644),$U$2:$U$1001,0),MATCH(COLUMNS($AB$1006:AN1006),$AB$1006:$AQ$1006,0)), HYPERLINK("#",""), HYPERLINK(CONCATENATE("#metadata!", ADDRESS(INDEX($W$2:$W$1001,MATCH(ROWS($U$2:U644),$U$2:$U$1001,0),0), INDEX($AB$1004:$AQ$1004,1,MATCH(COLUMNS($AB$1006:AN1006),$AB$1006:$AQ$1006,0)))),"Fix")))</f>
        <v>0</v>
      </c>
      <c r="O644" s="4">
        <f>IF(OR(INDEX($V$2:$V$1001,MATCH(ROWS($U$2:U644),$U$2:$U$1001,0),1)&gt;=100000,INDEX($AB$1005:$AQ$1005,1,MATCH(COLUMNS($AB$1006:AO1006),$AB$1006:$AQ$1006,0))&gt;=100000), " ",IF(INDEX($AB$2:$AQ$1001,MATCH(ROWS($U$2:U644),$U$2:$U$1001,0),MATCH(COLUMNS($AB$1006:AO1006),$AB$1006:$AQ$1006,0)), HYPERLINK("#",""), HYPERLINK(CONCATENATE("#metadata!", ADDRESS(INDEX($W$2:$W$1001,MATCH(ROWS($U$2:U644),$U$2:$U$1001,0),0), INDEX($AB$1004:$AQ$1004,1,MATCH(COLUMNS($AB$1006:AO1006),$AB$1006:$AQ$1006,0)))),"Fix")))</f>
        <v>0</v>
      </c>
      <c r="P644" s="4">
        <f>IF(OR(INDEX($V$2:$V$1001,MATCH(ROWS($U$2:U644),$U$2:$U$1001,0),1)&gt;=100000,INDEX($AB$1005:$AQ$1005,1,MATCH(COLUMNS($AB$1006:AP1006),$AB$1006:$AQ$1006,0))&gt;=100000), " ",IF(INDEX($AB$2:$AQ$1001,MATCH(ROWS($U$2:U644),$U$2:$U$1001,0),MATCH(COLUMNS($AB$1006:AP1006),$AB$1006:$AQ$1006,0)), HYPERLINK("#",""), HYPERLINK(CONCATENATE("#metadata!", ADDRESS(INDEX($W$2:$W$1001,MATCH(ROWS($U$2:U644),$U$2:$U$1001,0),0), INDEX($AB$1004:$AQ$1004,1,MATCH(COLUMNS($AB$1006:AP1006),$AB$1006:$AQ$1006,0)))),"Fix")))</f>
        <v>0</v>
      </c>
      <c r="Q644" s="4">
        <f>IF(OR(INDEX($V$2:$V$1001,MATCH(ROWS($U$2:U644),$U$2:$U$1001,0),1)&gt;=100000,INDEX($AB$1005:$AQ$1005,1,MATCH(COLUMNS($AB$1006:AQ1006),$AB$1006:$AQ$1006,0))&gt;=100000), " ",IF(INDEX($AB$2:$AQ$1001,MATCH(ROWS($U$2:U644),$U$2:$U$1001,0),MATCH(COLUMNS($AB$1006:AQ1006),$AB$1006:$AQ$1006,0)), HYPERLINK("#",""), HYPERLINK(CONCATENATE("#metadata!", ADDRESS(INDEX($W$2:$W$1001,MATCH(ROWS($U$2:U644),$U$2:$U$1001,0),0), INDEX($AB$1004:$AQ$1004,1,MATCH(COLUMNS($AB$1006:AQ1006),$AB$1006:$AQ$1006,0)))),"Fix")))</f>
        <v>0</v>
      </c>
      <c r="U644">
        <v>0</v>
      </c>
      <c r="V644">
        <v>0</v>
      </c>
      <c r="W644">
        <v>0</v>
      </c>
      <c r="X644">
        <f>IF(Y644,TRUE,AND(AB644:AQ644))</f>
        <v>0</v>
      </c>
      <c r="Y644">
        <f>COUNTBLANK(metadata!B644:Q644)=COLUMNS(metadata!B644:Q644)</f>
        <v>0</v>
      </c>
      <c r="Z644">
        <v>0</v>
      </c>
      <c r="AB644">
        <f>AND(IF(metadata!B644="",FALSE,TRUE),COUNTIF(metadata!B:B, metadata!B644) = 1,NOT(ISERROR(SUMPRODUCT(SEARCH(MID(metadata!B644,ROW(INDIRECT("1:"&amp;LEN(metadata!B644))), 1),"0123456789abcdefghijklmnopqrstuvwxyzABCDEFGHIJKLMNOPQRSTUVWXYZ.")))))</f>
        <v>0</v>
      </c>
      <c r="AC644">
        <f>OR(AND(IF(metadata!C644="",FALSE,TRUE),OR(exact(metadata!C644,"missing: not collected"),exact(metadata!C644,"missing: not provided"),exact(metadata!C644,"missing: restricted access"))),AND(IF(metadata!C644="",FALSE,TRUE),AND(AND(IFERROR(INT(LEFT(metadata!C644,4))&gt;1900,FALSE),IFERROR(INT(LEFT(metadata!C644,4))&lt;=YEAR(NOW()),FALSE)), OR(MID(metadata!C644,5,1)="", AND(AND(MID(metadata!C644,5,1)="-",IFERROR(INT(MID(metadata!C644,6,1))&gt;=0,FALSE),IFERROR(INT(MID(metadata!C644,6,1))&lt;=1,FALSE),NOT(MID(metadata!C644,7,1)=""),IFERROR(INT(MID(metadata!C644,6,2))&gt;=1,FALSE),IFERROR(INT(MID(metadata!C644,6,2))&lt;=12,FALSE)), OR(MID(metadata!C644,8,1)="", AND(AND(MID(metadata!C644,8,1)="-",IFERROR(INT(MID(metadata!C644,9,1))&gt;=0,FALSE),IFERROR(INT(MID(metadata!C644,9,1))&lt;=3,FALSE),NOT(MID(metadata!C644,10,1)=""),IFERROR(INT(MID(metadata!C644,9,2))&gt;=1,FALSE),IFERROR(INT(MID(metadata!C644,9,2))&lt;=31,FALSE)), OR(MID(metadata!C644,11,1)="", AND(AND(MID(metadata!C644,11,1)=" ",IFERROR(INT(MID(metadata!C644,12,1))&gt;=0,FALSE),IFERROR(INT(MID(metadata!C644,12,1))&lt;=2,FALSE),NOT(MID(metadata!C644,13,1)=""),IFERROR(INT(MID(metadata!C644,12,2))&gt;=0,FALSE),IFERROR(INT(MID(metadata!C644,12,2))&lt;=23,FALSE)), OR(MID(metadata!C644,14,1)="", AND(AND(MID(metadata!C644,14,1)=":",IFERROR(INT(MID(metadata!C644,15,1))&gt;=0,FALSE),IFERROR(INT(MID(metadata!C644,15,1))&lt;=5,FALSE),NOT(MID(metadata!C644,16,1)=""),IFERROR(INT(MID(metadata!C644,15,2))&gt;=0,FALSE),IFERROR(INT(MID(metadata!C644,15,2))&lt;=59,FALSE)), OR(MID(metadata!C644,17,1)="", AND(AND(MID(metadata!C644,17,1)=":",IFERROR(INT(MID(metadata!C644,18,1))&gt;=0,FALSE),IFERROR(INT(MID(metadata!C644,18,1))&lt;=5,FALSE),NOT(MID(metadata!C644,19,1)=""),IFERROR(INT(MID(metadata!C644,18,2))&gt;=0,FALSE),IFERROR(INT(MID(metadata!C644,18,2))&lt;=59,FALSE)), LEN(metadata!C644)&lt;=19)))))))))))))</f>
        <v>0</v>
      </c>
      <c r="AD644">
        <f>IF(metadata!D644="",FALSE,TRUE)</f>
        <v>0</v>
      </c>
      <c r="AE644">
        <f>OR(AND(IF(metadata!E644="",FALSE,TRUE),OR(exact(metadata!E644,"missing: not collected"),exact(metadata!E644,"missing: not provided"))),AND(IF(metadata!E644="",FALSE,TRUE),OR(exact(metadata!E644,"TRUE"),exact(metadata!E644,"FALSE"))))</f>
        <v>0</v>
      </c>
      <c r="AF644">
        <f>IF(metadata!F644="",FALSE,TRUE)</f>
        <v>0</v>
      </c>
      <c r="AG644">
        <f>IF(metadata!G644="",FALSE,TRUE)</f>
        <v>0</v>
      </c>
      <c r="AH644">
        <f>IF(metadata!H644="",FALSE,TRUE)</f>
        <v>0</v>
      </c>
      <c r="AI644">
        <f>OR(AND(IF(metadata!I644="",FALSE,TRUE),OR(exact(metadata!I644,"missing: not collected"),exact(metadata!I644,"missing: not provided"),exact(metadata!I644,"missing: restricted access"))),AND(IF(metadata!I644="",FALSE,TRUE),OR(exact(metadata!I644,"air"),exact(metadata!I644,"built environment"),exact(metadata!I644,"host-associated"),exact(metadata!I644,"human-associated"),exact(metadata!I644,"human-skin"),exact(metadata!I644,"human-oral"),exact(metadata!I644,"human-gut"),exact(metadata!I644,"human-vaginal"),exact(metadata!I644,"microbial mat/biofilm"),exact(metadata!I644,"misc environment"),exact(metadata!I644,"plant-associated"),exact(metadata!I644,"sediment"),exact(metadata!I644,"soil"),exact(metadata!I644,"wastewater/sludge"),exact(metadata!I644,"water"))))</f>
        <v>0</v>
      </c>
      <c r="AJ644">
        <f>IF(metadata!J644="",FALSE,TRUE)</f>
        <v>0</v>
      </c>
      <c r="AK644">
        <f>OR(AND(IF(metadata!K644="",FALSE,TRUE),OR(exact(metadata!K644,"missing: not collected"),exact(metadata!K644,"missing: not provided"),exact(metadata!K644,"missing: restricted access"))),AND(IF(metadata!K644="",FALSE,ISNUMBER(VALUE(metadata!K644))),metadata!K644&gt;=-90.00,metadata!K644&lt;=90.00))</f>
        <v>0</v>
      </c>
      <c r="AL644">
        <f>OR(AND(IF(metadata!L644="",FALSE,TRUE),OR(exact(metadata!L644,"missing: not collected"),exact(metadata!L644,"missing: not provided"),exact(metadata!L644,"missing: restricted access"))),AND(IF(metadata!L644="",FALSE,ISNUMBER(VALUE(metadata!L644))),metadata!L644&gt;=-180.00,metadata!L644&lt;=180.00))</f>
        <v>0</v>
      </c>
      <c r="AM644">
        <f>IF(metadata!M644="",FALSE,TRUE)</f>
        <v>0</v>
      </c>
      <c r="AN644">
        <f>OR(AND(IF(metadata!N644="",FALSE,TRUE),OR(exact(metadata!N644,"missing: not collected"),exact(metadata!N644,"missing: not provided"),exact(metadata!N644,"missing: restricted access"))),AND(IF(metadata!N644="",FALSE,TRUE),OR(exact(metadata!N644,"TRUE"),exact(metadata!N644,"FALSE"))))</f>
        <v>0</v>
      </c>
      <c r="AO644">
        <f>IF(metadata!O644="",FALSE,TRUE)</f>
        <v>0</v>
      </c>
      <c r="AP644">
        <f>OR(AND(IF(metadata!P644="",FALSE,TRUE),OR(exact(metadata!P644,"missing: not collected"),exact(metadata!P644,"missing: not provided"))),AND(IF(metadata!P644="",FALSE,IF(ISERROR(INT(metadata!P644)),FALSE,INT(metadata!P644)=metadata!P644)),metadata!P644&gt;0))</f>
        <v>0</v>
      </c>
      <c r="AQ644">
        <f>IF(metadata!Q644="",FALSE,TRUE)</f>
        <v>0</v>
      </c>
    </row>
    <row r="645" spans="1:43">
      <c r="A645" s="5">
        <f>IF(B645=" "," ",HYPERLINK(CONCATENATE("#metadata!",ADDRESS(INDEX($W$2:$W$1001,MATCH(ROWS($U$2:U645),$U$2:$U$1001,0),0),1)),INDEX($Z$2:$Z$1001,MATCH(ROWS($U$2:U645),$U$2:$U$1001,0),0)))</f>
        <v>0</v>
      </c>
      <c r="B645" s="4">
        <f>IF(OR(INDEX($V$2:$V$1001,MATCH(ROWS($U$2:U645),$U$2:$U$1001,0),1)&gt;=100000,INDEX($AB$1005:$AQ$1005,1,MATCH(COLUMNS($AB$1006:AB1006),$AB$1006:$AQ$1006,0))&gt;=100000), " ",IF(INDEX($AB$2:$AQ$1001,MATCH(ROWS($U$2:U645),$U$2:$U$1001,0),MATCH(COLUMNS($AB$1006:AB1006),$AB$1006:$AQ$1006,0)), HYPERLINK("#",""), HYPERLINK(CONCATENATE("#metadata!", ADDRESS(INDEX($W$2:$W$1001,MATCH(ROWS($U$2:U645),$U$2:$U$1001,0),0), INDEX($AB$1004:$AQ$1004,1,MATCH(COLUMNS($AB$1006:AB1006),$AB$1006:$AQ$1006,0)))),"Fix")))</f>
        <v>0</v>
      </c>
      <c r="C645" s="4">
        <f>IF(OR(INDEX($V$2:$V$1001,MATCH(ROWS($U$2:U645),$U$2:$U$1001,0),1)&gt;=100000,INDEX($AB$1005:$AQ$1005,1,MATCH(COLUMNS($AB$1006:AC1006),$AB$1006:$AQ$1006,0))&gt;=100000), " ",IF(INDEX($AB$2:$AQ$1001,MATCH(ROWS($U$2:U645),$U$2:$U$1001,0),MATCH(COLUMNS($AB$1006:AC1006),$AB$1006:$AQ$1006,0)), HYPERLINK("#",""), HYPERLINK(CONCATENATE("#metadata!", ADDRESS(INDEX($W$2:$W$1001,MATCH(ROWS($U$2:U645),$U$2:$U$1001,0),0), INDEX($AB$1004:$AQ$1004,1,MATCH(COLUMNS($AB$1006:AC1006),$AB$1006:$AQ$1006,0)))),"Fix")))</f>
        <v>0</v>
      </c>
      <c r="D645" s="4">
        <f>IF(OR(INDEX($V$2:$V$1001,MATCH(ROWS($U$2:U645),$U$2:$U$1001,0),1)&gt;=100000,INDEX($AB$1005:$AQ$1005,1,MATCH(COLUMNS($AB$1006:AD1006),$AB$1006:$AQ$1006,0))&gt;=100000), " ",IF(INDEX($AB$2:$AQ$1001,MATCH(ROWS($U$2:U645),$U$2:$U$1001,0),MATCH(COLUMNS($AB$1006:AD1006),$AB$1006:$AQ$1006,0)), HYPERLINK("#",""), HYPERLINK(CONCATENATE("#metadata!", ADDRESS(INDEX($W$2:$W$1001,MATCH(ROWS($U$2:U645),$U$2:$U$1001,0),0), INDEX($AB$1004:$AQ$1004,1,MATCH(COLUMNS($AB$1006:AD1006),$AB$1006:$AQ$1006,0)))),"Fix")))</f>
        <v>0</v>
      </c>
      <c r="E645" s="4">
        <f>IF(OR(INDEX($V$2:$V$1001,MATCH(ROWS($U$2:U645),$U$2:$U$1001,0),1)&gt;=100000,INDEX($AB$1005:$AQ$1005,1,MATCH(COLUMNS($AB$1006:AE1006),$AB$1006:$AQ$1006,0))&gt;=100000), " ",IF(INDEX($AB$2:$AQ$1001,MATCH(ROWS($U$2:U645),$U$2:$U$1001,0),MATCH(COLUMNS($AB$1006:AE1006),$AB$1006:$AQ$1006,0)), HYPERLINK("#",""), HYPERLINK(CONCATENATE("#metadata!", ADDRESS(INDEX($W$2:$W$1001,MATCH(ROWS($U$2:U645),$U$2:$U$1001,0),0), INDEX($AB$1004:$AQ$1004,1,MATCH(COLUMNS($AB$1006:AE1006),$AB$1006:$AQ$1006,0)))),"Fix")))</f>
        <v>0</v>
      </c>
      <c r="F645" s="4">
        <f>IF(OR(INDEX($V$2:$V$1001,MATCH(ROWS($U$2:U645),$U$2:$U$1001,0),1)&gt;=100000,INDEX($AB$1005:$AQ$1005,1,MATCH(COLUMNS($AB$1006:AF1006),$AB$1006:$AQ$1006,0))&gt;=100000), " ",IF(INDEX($AB$2:$AQ$1001,MATCH(ROWS($U$2:U645),$U$2:$U$1001,0),MATCH(COLUMNS($AB$1006:AF1006),$AB$1006:$AQ$1006,0)), HYPERLINK("#",""), HYPERLINK(CONCATENATE("#metadata!", ADDRESS(INDEX($W$2:$W$1001,MATCH(ROWS($U$2:U645),$U$2:$U$1001,0),0), INDEX($AB$1004:$AQ$1004,1,MATCH(COLUMNS($AB$1006:AF1006),$AB$1006:$AQ$1006,0)))),"Fix")))</f>
        <v>0</v>
      </c>
      <c r="G645" s="4">
        <f>IF(OR(INDEX($V$2:$V$1001,MATCH(ROWS($U$2:U645),$U$2:$U$1001,0),1)&gt;=100000,INDEX($AB$1005:$AQ$1005,1,MATCH(COLUMNS($AB$1006:AG1006),$AB$1006:$AQ$1006,0))&gt;=100000), " ",IF(INDEX($AB$2:$AQ$1001,MATCH(ROWS($U$2:U645),$U$2:$U$1001,0),MATCH(COLUMNS($AB$1006:AG1006),$AB$1006:$AQ$1006,0)), HYPERLINK("#",""), HYPERLINK(CONCATENATE("#metadata!", ADDRESS(INDEX($W$2:$W$1001,MATCH(ROWS($U$2:U645),$U$2:$U$1001,0),0), INDEX($AB$1004:$AQ$1004,1,MATCH(COLUMNS($AB$1006:AG1006),$AB$1006:$AQ$1006,0)))),"Fix")))</f>
        <v>0</v>
      </c>
      <c r="H645" s="4">
        <f>IF(OR(INDEX($V$2:$V$1001,MATCH(ROWS($U$2:U645),$U$2:$U$1001,0),1)&gt;=100000,INDEX($AB$1005:$AQ$1005,1,MATCH(COLUMNS($AB$1006:AH1006),$AB$1006:$AQ$1006,0))&gt;=100000), " ",IF(INDEX($AB$2:$AQ$1001,MATCH(ROWS($U$2:U645),$U$2:$U$1001,0),MATCH(COLUMNS($AB$1006:AH1006),$AB$1006:$AQ$1006,0)), HYPERLINK("#",""), HYPERLINK(CONCATENATE("#metadata!", ADDRESS(INDEX($W$2:$W$1001,MATCH(ROWS($U$2:U645),$U$2:$U$1001,0),0), INDEX($AB$1004:$AQ$1004,1,MATCH(COLUMNS($AB$1006:AH1006),$AB$1006:$AQ$1006,0)))),"Fix")))</f>
        <v>0</v>
      </c>
      <c r="I645" s="4">
        <f>IF(OR(INDEX($V$2:$V$1001,MATCH(ROWS($U$2:U645),$U$2:$U$1001,0),1)&gt;=100000,INDEX($AB$1005:$AQ$1005,1,MATCH(COLUMNS($AB$1006:AI1006),$AB$1006:$AQ$1006,0))&gt;=100000), " ",IF(INDEX($AB$2:$AQ$1001,MATCH(ROWS($U$2:U645),$U$2:$U$1001,0),MATCH(COLUMNS($AB$1006:AI1006),$AB$1006:$AQ$1006,0)), HYPERLINK("#",""), HYPERLINK(CONCATENATE("#metadata!", ADDRESS(INDEX($W$2:$W$1001,MATCH(ROWS($U$2:U645),$U$2:$U$1001,0),0), INDEX($AB$1004:$AQ$1004,1,MATCH(COLUMNS($AB$1006:AI1006),$AB$1006:$AQ$1006,0)))),"Fix")))</f>
        <v>0</v>
      </c>
      <c r="J645" s="4">
        <f>IF(OR(INDEX($V$2:$V$1001,MATCH(ROWS($U$2:U645),$U$2:$U$1001,0),1)&gt;=100000,INDEX($AB$1005:$AQ$1005,1,MATCH(COLUMNS($AB$1006:AJ1006),$AB$1006:$AQ$1006,0))&gt;=100000), " ",IF(INDEX($AB$2:$AQ$1001,MATCH(ROWS($U$2:U645),$U$2:$U$1001,0),MATCH(COLUMNS($AB$1006:AJ1006),$AB$1006:$AQ$1006,0)), HYPERLINK("#",""), HYPERLINK(CONCATENATE("#metadata!", ADDRESS(INDEX($W$2:$W$1001,MATCH(ROWS($U$2:U645),$U$2:$U$1001,0),0), INDEX($AB$1004:$AQ$1004,1,MATCH(COLUMNS($AB$1006:AJ1006),$AB$1006:$AQ$1006,0)))),"Fix")))</f>
        <v>0</v>
      </c>
      <c r="K645" s="4">
        <f>IF(OR(INDEX($V$2:$V$1001,MATCH(ROWS($U$2:U645),$U$2:$U$1001,0),1)&gt;=100000,INDEX($AB$1005:$AQ$1005,1,MATCH(COLUMNS($AB$1006:AK1006),$AB$1006:$AQ$1006,0))&gt;=100000), " ",IF(INDEX($AB$2:$AQ$1001,MATCH(ROWS($U$2:U645),$U$2:$U$1001,0),MATCH(COLUMNS($AB$1006:AK1006),$AB$1006:$AQ$1006,0)), HYPERLINK("#",""), HYPERLINK(CONCATENATE("#metadata!", ADDRESS(INDEX($W$2:$W$1001,MATCH(ROWS($U$2:U645),$U$2:$U$1001,0),0), INDEX($AB$1004:$AQ$1004,1,MATCH(COLUMNS($AB$1006:AK1006),$AB$1006:$AQ$1006,0)))),"Fix")))</f>
        <v>0</v>
      </c>
      <c r="L645" s="4">
        <f>IF(OR(INDEX($V$2:$V$1001,MATCH(ROWS($U$2:U645),$U$2:$U$1001,0),1)&gt;=100000,INDEX($AB$1005:$AQ$1005,1,MATCH(COLUMNS($AB$1006:AL1006),$AB$1006:$AQ$1006,0))&gt;=100000), " ",IF(INDEX($AB$2:$AQ$1001,MATCH(ROWS($U$2:U645),$U$2:$U$1001,0),MATCH(COLUMNS($AB$1006:AL1006),$AB$1006:$AQ$1006,0)), HYPERLINK("#",""), HYPERLINK(CONCATENATE("#metadata!", ADDRESS(INDEX($W$2:$W$1001,MATCH(ROWS($U$2:U645),$U$2:$U$1001,0),0), INDEX($AB$1004:$AQ$1004,1,MATCH(COLUMNS($AB$1006:AL1006),$AB$1006:$AQ$1006,0)))),"Fix")))</f>
        <v>0</v>
      </c>
      <c r="M645" s="4">
        <f>IF(OR(INDEX($V$2:$V$1001,MATCH(ROWS($U$2:U645),$U$2:$U$1001,0),1)&gt;=100000,INDEX($AB$1005:$AQ$1005,1,MATCH(COLUMNS($AB$1006:AM1006),$AB$1006:$AQ$1006,0))&gt;=100000), " ",IF(INDEX($AB$2:$AQ$1001,MATCH(ROWS($U$2:U645),$U$2:$U$1001,0),MATCH(COLUMNS($AB$1006:AM1006),$AB$1006:$AQ$1006,0)), HYPERLINK("#",""), HYPERLINK(CONCATENATE("#metadata!", ADDRESS(INDEX($W$2:$W$1001,MATCH(ROWS($U$2:U645),$U$2:$U$1001,0),0), INDEX($AB$1004:$AQ$1004,1,MATCH(COLUMNS($AB$1006:AM1006),$AB$1006:$AQ$1006,0)))),"Fix")))</f>
        <v>0</v>
      </c>
      <c r="N645" s="4">
        <f>IF(OR(INDEX($V$2:$V$1001,MATCH(ROWS($U$2:U645),$U$2:$U$1001,0),1)&gt;=100000,INDEX($AB$1005:$AQ$1005,1,MATCH(COLUMNS($AB$1006:AN1006),$AB$1006:$AQ$1006,0))&gt;=100000), " ",IF(INDEX($AB$2:$AQ$1001,MATCH(ROWS($U$2:U645),$U$2:$U$1001,0),MATCH(COLUMNS($AB$1006:AN1006),$AB$1006:$AQ$1006,0)), HYPERLINK("#",""), HYPERLINK(CONCATENATE("#metadata!", ADDRESS(INDEX($W$2:$W$1001,MATCH(ROWS($U$2:U645),$U$2:$U$1001,0),0), INDEX($AB$1004:$AQ$1004,1,MATCH(COLUMNS($AB$1006:AN1006),$AB$1006:$AQ$1006,0)))),"Fix")))</f>
        <v>0</v>
      </c>
      <c r="O645" s="4">
        <f>IF(OR(INDEX($V$2:$V$1001,MATCH(ROWS($U$2:U645),$U$2:$U$1001,0),1)&gt;=100000,INDEX($AB$1005:$AQ$1005,1,MATCH(COLUMNS($AB$1006:AO1006),$AB$1006:$AQ$1006,0))&gt;=100000), " ",IF(INDEX($AB$2:$AQ$1001,MATCH(ROWS($U$2:U645),$U$2:$U$1001,0),MATCH(COLUMNS($AB$1006:AO1006),$AB$1006:$AQ$1006,0)), HYPERLINK("#",""), HYPERLINK(CONCATENATE("#metadata!", ADDRESS(INDEX($W$2:$W$1001,MATCH(ROWS($U$2:U645),$U$2:$U$1001,0),0), INDEX($AB$1004:$AQ$1004,1,MATCH(COLUMNS($AB$1006:AO1006),$AB$1006:$AQ$1006,0)))),"Fix")))</f>
        <v>0</v>
      </c>
      <c r="P645" s="4">
        <f>IF(OR(INDEX($V$2:$V$1001,MATCH(ROWS($U$2:U645),$U$2:$U$1001,0),1)&gt;=100000,INDEX($AB$1005:$AQ$1005,1,MATCH(COLUMNS($AB$1006:AP1006),$AB$1006:$AQ$1006,0))&gt;=100000), " ",IF(INDEX($AB$2:$AQ$1001,MATCH(ROWS($U$2:U645),$U$2:$U$1001,0),MATCH(COLUMNS($AB$1006:AP1006),$AB$1006:$AQ$1006,0)), HYPERLINK("#",""), HYPERLINK(CONCATENATE("#metadata!", ADDRESS(INDEX($W$2:$W$1001,MATCH(ROWS($U$2:U645),$U$2:$U$1001,0),0), INDEX($AB$1004:$AQ$1004,1,MATCH(COLUMNS($AB$1006:AP1006),$AB$1006:$AQ$1006,0)))),"Fix")))</f>
        <v>0</v>
      </c>
      <c r="Q645" s="4">
        <f>IF(OR(INDEX($V$2:$V$1001,MATCH(ROWS($U$2:U645),$U$2:$U$1001,0),1)&gt;=100000,INDEX($AB$1005:$AQ$1005,1,MATCH(COLUMNS($AB$1006:AQ1006),$AB$1006:$AQ$1006,0))&gt;=100000), " ",IF(INDEX($AB$2:$AQ$1001,MATCH(ROWS($U$2:U645),$U$2:$U$1001,0),MATCH(COLUMNS($AB$1006:AQ1006),$AB$1006:$AQ$1006,0)), HYPERLINK("#",""), HYPERLINK(CONCATENATE("#metadata!", ADDRESS(INDEX($W$2:$W$1001,MATCH(ROWS($U$2:U645),$U$2:$U$1001,0),0), INDEX($AB$1004:$AQ$1004,1,MATCH(COLUMNS($AB$1006:AQ1006),$AB$1006:$AQ$1006,0)))),"Fix")))</f>
        <v>0</v>
      </c>
      <c r="U645">
        <v>0</v>
      </c>
      <c r="V645">
        <v>0</v>
      </c>
      <c r="W645">
        <v>0</v>
      </c>
      <c r="X645">
        <f>IF(Y645,TRUE,AND(AB645:AQ645))</f>
        <v>0</v>
      </c>
      <c r="Y645">
        <f>COUNTBLANK(metadata!B645:Q645)=COLUMNS(metadata!B645:Q645)</f>
        <v>0</v>
      </c>
      <c r="Z645">
        <v>0</v>
      </c>
      <c r="AB645">
        <f>AND(IF(metadata!B645="",FALSE,TRUE),COUNTIF(metadata!B:B, metadata!B645) = 1,NOT(ISERROR(SUMPRODUCT(SEARCH(MID(metadata!B645,ROW(INDIRECT("1:"&amp;LEN(metadata!B645))), 1),"0123456789abcdefghijklmnopqrstuvwxyzABCDEFGHIJKLMNOPQRSTUVWXYZ.")))))</f>
        <v>0</v>
      </c>
      <c r="AC645">
        <f>OR(AND(IF(metadata!C645="",FALSE,TRUE),OR(exact(metadata!C645,"missing: not collected"),exact(metadata!C645,"missing: not provided"),exact(metadata!C645,"missing: restricted access"))),AND(IF(metadata!C645="",FALSE,TRUE),AND(AND(IFERROR(INT(LEFT(metadata!C645,4))&gt;1900,FALSE),IFERROR(INT(LEFT(metadata!C645,4))&lt;=YEAR(NOW()),FALSE)), OR(MID(metadata!C645,5,1)="", AND(AND(MID(metadata!C645,5,1)="-",IFERROR(INT(MID(metadata!C645,6,1))&gt;=0,FALSE),IFERROR(INT(MID(metadata!C645,6,1))&lt;=1,FALSE),NOT(MID(metadata!C645,7,1)=""),IFERROR(INT(MID(metadata!C645,6,2))&gt;=1,FALSE),IFERROR(INT(MID(metadata!C645,6,2))&lt;=12,FALSE)), OR(MID(metadata!C645,8,1)="", AND(AND(MID(metadata!C645,8,1)="-",IFERROR(INT(MID(metadata!C645,9,1))&gt;=0,FALSE),IFERROR(INT(MID(metadata!C645,9,1))&lt;=3,FALSE),NOT(MID(metadata!C645,10,1)=""),IFERROR(INT(MID(metadata!C645,9,2))&gt;=1,FALSE),IFERROR(INT(MID(metadata!C645,9,2))&lt;=31,FALSE)), OR(MID(metadata!C645,11,1)="", AND(AND(MID(metadata!C645,11,1)=" ",IFERROR(INT(MID(metadata!C645,12,1))&gt;=0,FALSE),IFERROR(INT(MID(metadata!C645,12,1))&lt;=2,FALSE),NOT(MID(metadata!C645,13,1)=""),IFERROR(INT(MID(metadata!C645,12,2))&gt;=0,FALSE),IFERROR(INT(MID(metadata!C645,12,2))&lt;=23,FALSE)), OR(MID(metadata!C645,14,1)="", AND(AND(MID(metadata!C645,14,1)=":",IFERROR(INT(MID(metadata!C645,15,1))&gt;=0,FALSE),IFERROR(INT(MID(metadata!C645,15,1))&lt;=5,FALSE),NOT(MID(metadata!C645,16,1)=""),IFERROR(INT(MID(metadata!C645,15,2))&gt;=0,FALSE),IFERROR(INT(MID(metadata!C645,15,2))&lt;=59,FALSE)), OR(MID(metadata!C645,17,1)="", AND(AND(MID(metadata!C645,17,1)=":",IFERROR(INT(MID(metadata!C645,18,1))&gt;=0,FALSE),IFERROR(INT(MID(metadata!C645,18,1))&lt;=5,FALSE),NOT(MID(metadata!C645,19,1)=""),IFERROR(INT(MID(metadata!C645,18,2))&gt;=0,FALSE),IFERROR(INT(MID(metadata!C645,18,2))&lt;=59,FALSE)), LEN(metadata!C645)&lt;=19)))))))))))))</f>
        <v>0</v>
      </c>
      <c r="AD645">
        <f>IF(metadata!D645="",FALSE,TRUE)</f>
        <v>0</v>
      </c>
      <c r="AE645">
        <f>OR(AND(IF(metadata!E645="",FALSE,TRUE),OR(exact(metadata!E645,"missing: not collected"),exact(metadata!E645,"missing: not provided"))),AND(IF(metadata!E645="",FALSE,TRUE),OR(exact(metadata!E645,"TRUE"),exact(metadata!E645,"FALSE"))))</f>
        <v>0</v>
      </c>
      <c r="AF645">
        <f>IF(metadata!F645="",FALSE,TRUE)</f>
        <v>0</v>
      </c>
      <c r="AG645">
        <f>IF(metadata!G645="",FALSE,TRUE)</f>
        <v>0</v>
      </c>
      <c r="AH645">
        <f>IF(metadata!H645="",FALSE,TRUE)</f>
        <v>0</v>
      </c>
      <c r="AI645">
        <f>OR(AND(IF(metadata!I645="",FALSE,TRUE),OR(exact(metadata!I645,"missing: not collected"),exact(metadata!I645,"missing: not provided"),exact(metadata!I645,"missing: restricted access"))),AND(IF(metadata!I645="",FALSE,TRUE),OR(exact(metadata!I645,"air"),exact(metadata!I645,"built environment"),exact(metadata!I645,"host-associated"),exact(metadata!I645,"human-associated"),exact(metadata!I645,"human-skin"),exact(metadata!I645,"human-oral"),exact(metadata!I645,"human-gut"),exact(metadata!I645,"human-vaginal"),exact(metadata!I645,"microbial mat/biofilm"),exact(metadata!I645,"misc environment"),exact(metadata!I645,"plant-associated"),exact(metadata!I645,"sediment"),exact(metadata!I645,"soil"),exact(metadata!I645,"wastewater/sludge"),exact(metadata!I645,"water"))))</f>
        <v>0</v>
      </c>
      <c r="AJ645">
        <f>IF(metadata!J645="",FALSE,TRUE)</f>
        <v>0</v>
      </c>
      <c r="AK645">
        <f>OR(AND(IF(metadata!K645="",FALSE,TRUE),OR(exact(metadata!K645,"missing: not collected"),exact(metadata!K645,"missing: not provided"),exact(metadata!K645,"missing: restricted access"))),AND(IF(metadata!K645="",FALSE,ISNUMBER(VALUE(metadata!K645))),metadata!K645&gt;=-90.00,metadata!K645&lt;=90.00))</f>
        <v>0</v>
      </c>
      <c r="AL645">
        <f>OR(AND(IF(metadata!L645="",FALSE,TRUE),OR(exact(metadata!L645,"missing: not collected"),exact(metadata!L645,"missing: not provided"),exact(metadata!L645,"missing: restricted access"))),AND(IF(metadata!L645="",FALSE,ISNUMBER(VALUE(metadata!L645))),metadata!L645&gt;=-180.00,metadata!L645&lt;=180.00))</f>
        <v>0</v>
      </c>
      <c r="AM645">
        <f>IF(metadata!M645="",FALSE,TRUE)</f>
        <v>0</v>
      </c>
      <c r="AN645">
        <f>OR(AND(IF(metadata!N645="",FALSE,TRUE),OR(exact(metadata!N645,"missing: not collected"),exact(metadata!N645,"missing: not provided"),exact(metadata!N645,"missing: restricted access"))),AND(IF(metadata!N645="",FALSE,TRUE),OR(exact(metadata!N645,"TRUE"),exact(metadata!N645,"FALSE"))))</f>
        <v>0</v>
      </c>
      <c r="AO645">
        <f>IF(metadata!O645="",FALSE,TRUE)</f>
        <v>0</v>
      </c>
      <c r="AP645">
        <f>OR(AND(IF(metadata!P645="",FALSE,TRUE),OR(exact(metadata!P645,"missing: not collected"),exact(metadata!P645,"missing: not provided"))),AND(IF(metadata!P645="",FALSE,IF(ISERROR(INT(metadata!P645)),FALSE,INT(metadata!P645)=metadata!P645)),metadata!P645&gt;0))</f>
        <v>0</v>
      </c>
      <c r="AQ645">
        <f>IF(metadata!Q645="",FALSE,TRUE)</f>
        <v>0</v>
      </c>
    </row>
    <row r="646" spans="1:43">
      <c r="A646" s="5">
        <f>IF(B646=" "," ",HYPERLINK(CONCATENATE("#metadata!",ADDRESS(INDEX($W$2:$W$1001,MATCH(ROWS($U$2:U646),$U$2:$U$1001,0),0),1)),INDEX($Z$2:$Z$1001,MATCH(ROWS($U$2:U646),$U$2:$U$1001,0),0)))</f>
        <v>0</v>
      </c>
      <c r="B646" s="4">
        <f>IF(OR(INDEX($V$2:$V$1001,MATCH(ROWS($U$2:U646),$U$2:$U$1001,0),1)&gt;=100000,INDEX($AB$1005:$AQ$1005,1,MATCH(COLUMNS($AB$1006:AB1006),$AB$1006:$AQ$1006,0))&gt;=100000), " ",IF(INDEX($AB$2:$AQ$1001,MATCH(ROWS($U$2:U646),$U$2:$U$1001,0),MATCH(COLUMNS($AB$1006:AB1006),$AB$1006:$AQ$1006,0)), HYPERLINK("#",""), HYPERLINK(CONCATENATE("#metadata!", ADDRESS(INDEX($W$2:$W$1001,MATCH(ROWS($U$2:U646),$U$2:$U$1001,0),0), INDEX($AB$1004:$AQ$1004,1,MATCH(COLUMNS($AB$1006:AB1006),$AB$1006:$AQ$1006,0)))),"Fix")))</f>
        <v>0</v>
      </c>
      <c r="C646" s="4">
        <f>IF(OR(INDEX($V$2:$V$1001,MATCH(ROWS($U$2:U646),$U$2:$U$1001,0),1)&gt;=100000,INDEX($AB$1005:$AQ$1005,1,MATCH(COLUMNS($AB$1006:AC1006),$AB$1006:$AQ$1006,0))&gt;=100000), " ",IF(INDEX($AB$2:$AQ$1001,MATCH(ROWS($U$2:U646),$U$2:$U$1001,0),MATCH(COLUMNS($AB$1006:AC1006),$AB$1006:$AQ$1006,0)), HYPERLINK("#",""), HYPERLINK(CONCATENATE("#metadata!", ADDRESS(INDEX($W$2:$W$1001,MATCH(ROWS($U$2:U646),$U$2:$U$1001,0),0), INDEX($AB$1004:$AQ$1004,1,MATCH(COLUMNS($AB$1006:AC1006),$AB$1006:$AQ$1006,0)))),"Fix")))</f>
        <v>0</v>
      </c>
      <c r="D646" s="4">
        <f>IF(OR(INDEX($V$2:$V$1001,MATCH(ROWS($U$2:U646),$U$2:$U$1001,0),1)&gt;=100000,INDEX($AB$1005:$AQ$1005,1,MATCH(COLUMNS($AB$1006:AD1006),$AB$1006:$AQ$1006,0))&gt;=100000), " ",IF(INDEX($AB$2:$AQ$1001,MATCH(ROWS($U$2:U646),$U$2:$U$1001,0),MATCH(COLUMNS($AB$1006:AD1006),$AB$1006:$AQ$1006,0)), HYPERLINK("#",""), HYPERLINK(CONCATENATE("#metadata!", ADDRESS(INDEX($W$2:$W$1001,MATCH(ROWS($U$2:U646),$U$2:$U$1001,0),0), INDEX($AB$1004:$AQ$1004,1,MATCH(COLUMNS($AB$1006:AD1006),$AB$1006:$AQ$1006,0)))),"Fix")))</f>
        <v>0</v>
      </c>
      <c r="E646" s="4">
        <f>IF(OR(INDEX($V$2:$V$1001,MATCH(ROWS($U$2:U646),$U$2:$U$1001,0),1)&gt;=100000,INDEX($AB$1005:$AQ$1005,1,MATCH(COLUMNS($AB$1006:AE1006),$AB$1006:$AQ$1006,0))&gt;=100000), " ",IF(INDEX($AB$2:$AQ$1001,MATCH(ROWS($U$2:U646),$U$2:$U$1001,0),MATCH(COLUMNS($AB$1006:AE1006),$AB$1006:$AQ$1006,0)), HYPERLINK("#",""), HYPERLINK(CONCATENATE("#metadata!", ADDRESS(INDEX($W$2:$W$1001,MATCH(ROWS($U$2:U646),$U$2:$U$1001,0),0), INDEX($AB$1004:$AQ$1004,1,MATCH(COLUMNS($AB$1006:AE1006),$AB$1006:$AQ$1006,0)))),"Fix")))</f>
        <v>0</v>
      </c>
      <c r="F646" s="4">
        <f>IF(OR(INDEX($V$2:$V$1001,MATCH(ROWS($U$2:U646),$U$2:$U$1001,0),1)&gt;=100000,INDEX($AB$1005:$AQ$1005,1,MATCH(COLUMNS($AB$1006:AF1006),$AB$1006:$AQ$1006,0))&gt;=100000), " ",IF(INDEX($AB$2:$AQ$1001,MATCH(ROWS($U$2:U646),$U$2:$U$1001,0),MATCH(COLUMNS($AB$1006:AF1006),$AB$1006:$AQ$1006,0)), HYPERLINK("#",""), HYPERLINK(CONCATENATE("#metadata!", ADDRESS(INDEX($W$2:$W$1001,MATCH(ROWS($U$2:U646),$U$2:$U$1001,0),0), INDEX($AB$1004:$AQ$1004,1,MATCH(COLUMNS($AB$1006:AF1006),$AB$1006:$AQ$1006,0)))),"Fix")))</f>
        <v>0</v>
      </c>
      <c r="G646" s="4">
        <f>IF(OR(INDEX($V$2:$V$1001,MATCH(ROWS($U$2:U646),$U$2:$U$1001,0),1)&gt;=100000,INDEX($AB$1005:$AQ$1005,1,MATCH(COLUMNS($AB$1006:AG1006),$AB$1006:$AQ$1006,0))&gt;=100000), " ",IF(INDEX($AB$2:$AQ$1001,MATCH(ROWS($U$2:U646),$U$2:$U$1001,0),MATCH(COLUMNS($AB$1006:AG1006),$AB$1006:$AQ$1006,0)), HYPERLINK("#",""), HYPERLINK(CONCATENATE("#metadata!", ADDRESS(INDEX($W$2:$W$1001,MATCH(ROWS($U$2:U646),$U$2:$U$1001,0),0), INDEX($AB$1004:$AQ$1004,1,MATCH(COLUMNS($AB$1006:AG1006),$AB$1006:$AQ$1006,0)))),"Fix")))</f>
        <v>0</v>
      </c>
      <c r="H646" s="4">
        <f>IF(OR(INDEX($V$2:$V$1001,MATCH(ROWS($U$2:U646),$U$2:$U$1001,0),1)&gt;=100000,INDEX($AB$1005:$AQ$1005,1,MATCH(COLUMNS($AB$1006:AH1006),$AB$1006:$AQ$1006,0))&gt;=100000), " ",IF(INDEX($AB$2:$AQ$1001,MATCH(ROWS($U$2:U646),$U$2:$U$1001,0),MATCH(COLUMNS($AB$1006:AH1006),$AB$1006:$AQ$1006,0)), HYPERLINK("#",""), HYPERLINK(CONCATENATE("#metadata!", ADDRESS(INDEX($W$2:$W$1001,MATCH(ROWS($U$2:U646),$U$2:$U$1001,0),0), INDEX($AB$1004:$AQ$1004,1,MATCH(COLUMNS($AB$1006:AH1006),$AB$1006:$AQ$1006,0)))),"Fix")))</f>
        <v>0</v>
      </c>
      <c r="I646" s="4">
        <f>IF(OR(INDEX($V$2:$V$1001,MATCH(ROWS($U$2:U646),$U$2:$U$1001,0),1)&gt;=100000,INDEX($AB$1005:$AQ$1005,1,MATCH(COLUMNS($AB$1006:AI1006),$AB$1006:$AQ$1006,0))&gt;=100000), " ",IF(INDEX($AB$2:$AQ$1001,MATCH(ROWS($U$2:U646),$U$2:$U$1001,0),MATCH(COLUMNS($AB$1006:AI1006),$AB$1006:$AQ$1006,0)), HYPERLINK("#",""), HYPERLINK(CONCATENATE("#metadata!", ADDRESS(INDEX($W$2:$W$1001,MATCH(ROWS($U$2:U646),$U$2:$U$1001,0),0), INDEX($AB$1004:$AQ$1004,1,MATCH(COLUMNS($AB$1006:AI1006),$AB$1006:$AQ$1006,0)))),"Fix")))</f>
        <v>0</v>
      </c>
      <c r="J646" s="4">
        <f>IF(OR(INDEX($V$2:$V$1001,MATCH(ROWS($U$2:U646),$U$2:$U$1001,0),1)&gt;=100000,INDEX($AB$1005:$AQ$1005,1,MATCH(COLUMNS($AB$1006:AJ1006),$AB$1006:$AQ$1006,0))&gt;=100000), " ",IF(INDEX($AB$2:$AQ$1001,MATCH(ROWS($U$2:U646),$U$2:$U$1001,0),MATCH(COLUMNS($AB$1006:AJ1006),$AB$1006:$AQ$1006,0)), HYPERLINK("#",""), HYPERLINK(CONCATENATE("#metadata!", ADDRESS(INDEX($W$2:$W$1001,MATCH(ROWS($U$2:U646),$U$2:$U$1001,0),0), INDEX($AB$1004:$AQ$1004,1,MATCH(COLUMNS($AB$1006:AJ1006),$AB$1006:$AQ$1006,0)))),"Fix")))</f>
        <v>0</v>
      </c>
      <c r="K646" s="4">
        <f>IF(OR(INDEX($V$2:$V$1001,MATCH(ROWS($U$2:U646),$U$2:$U$1001,0),1)&gt;=100000,INDEX($AB$1005:$AQ$1005,1,MATCH(COLUMNS($AB$1006:AK1006),$AB$1006:$AQ$1006,0))&gt;=100000), " ",IF(INDEX($AB$2:$AQ$1001,MATCH(ROWS($U$2:U646),$U$2:$U$1001,0),MATCH(COLUMNS($AB$1006:AK1006),$AB$1006:$AQ$1006,0)), HYPERLINK("#",""), HYPERLINK(CONCATENATE("#metadata!", ADDRESS(INDEX($W$2:$W$1001,MATCH(ROWS($U$2:U646),$U$2:$U$1001,0),0), INDEX($AB$1004:$AQ$1004,1,MATCH(COLUMNS($AB$1006:AK1006),$AB$1006:$AQ$1006,0)))),"Fix")))</f>
        <v>0</v>
      </c>
      <c r="L646" s="4">
        <f>IF(OR(INDEX($V$2:$V$1001,MATCH(ROWS($U$2:U646),$U$2:$U$1001,0),1)&gt;=100000,INDEX($AB$1005:$AQ$1005,1,MATCH(COLUMNS($AB$1006:AL1006),$AB$1006:$AQ$1006,0))&gt;=100000), " ",IF(INDEX($AB$2:$AQ$1001,MATCH(ROWS($U$2:U646),$U$2:$U$1001,0),MATCH(COLUMNS($AB$1006:AL1006),$AB$1006:$AQ$1006,0)), HYPERLINK("#",""), HYPERLINK(CONCATENATE("#metadata!", ADDRESS(INDEX($W$2:$W$1001,MATCH(ROWS($U$2:U646),$U$2:$U$1001,0),0), INDEX($AB$1004:$AQ$1004,1,MATCH(COLUMNS($AB$1006:AL1006),$AB$1006:$AQ$1006,0)))),"Fix")))</f>
        <v>0</v>
      </c>
      <c r="M646" s="4">
        <f>IF(OR(INDEX($V$2:$V$1001,MATCH(ROWS($U$2:U646),$U$2:$U$1001,0),1)&gt;=100000,INDEX($AB$1005:$AQ$1005,1,MATCH(COLUMNS($AB$1006:AM1006),$AB$1006:$AQ$1006,0))&gt;=100000), " ",IF(INDEX($AB$2:$AQ$1001,MATCH(ROWS($U$2:U646),$U$2:$U$1001,0),MATCH(COLUMNS($AB$1006:AM1006),$AB$1006:$AQ$1006,0)), HYPERLINK("#",""), HYPERLINK(CONCATENATE("#metadata!", ADDRESS(INDEX($W$2:$W$1001,MATCH(ROWS($U$2:U646),$U$2:$U$1001,0),0), INDEX($AB$1004:$AQ$1004,1,MATCH(COLUMNS($AB$1006:AM1006),$AB$1006:$AQ$1006,0)))),"Fix")))</f>
        <v>0</v>
      </c>
      <c r="N646" s="4">
        <f>IF(OR(INDEX($V$2:$V$1001,MATCH(ROWS($U$2:U646),$U$2:$U$1001,0),1)&gt;=100000,INDEX($AB$1005:$AQ$1005,1,MATCH(COLUMNS($AB$1006:AN1006),$AB$1006:$AQ$1006,0))&gt;=100000), " ",IF(INDEX($AB$2:$AQ$1001,MATCH(ROWS($U$2:U646),$U$2:$U$1001,0),MATCH(COLUMNS($AB$1006:AN1006),$AB$1006:$AQ$1006,0)), HYPERLINK("#",""), HYPERLINK(CONCATENATE("#metadata!", ADDRESS(INDEX($W$2:$W$1001,MATCH(ROWS($U$2:U646),$U$2:$U$1001,0),0), INDEX($AB$1004:$AQ$1004,1,MATCH(COLUMNS($AB$1006:AN1006),$AB$1006:$AQ$1006,0)))),"Fix")))</f>
        <v>0</v>
      </c>
      <c r="O646" s="4">
        <f>IF(OR(INDEX($V$2:$V$1001,MATCH(ROWS($U$2:U646),$U$2:$U$1001,0),1)&gt;=100000,INDEX($AB$1005:$AQ$1005,1,MATCH(COLUMNS($AB$1006:AO1006),$AB$1006:$AQ$1006,0))&gt;=100000), " ",IF(INDEX($AB$2:$AQ$1001,MATCH(ROWS($U$2:U646),$U$2:$U$1001,0),MATCH(COLUMNS($AB$1006:AO1006),$AB$1006:$AQ$1006,0)), HYPERLINK("#",""), HYPERLINK(CONCATENATE("#metadata!", ADDRESS(INDEX($W$2:$W$1001,MATCH(ROWS($U$2:U646),$U$2:$U$1001,0),0), INDEX($AB$1004:$AQ$1004,1,MATCH(COLUMNS($AB$1006:AO1006),$AB$1006:$AQ$1006,0)))),"Fix")))</f>
        <v>0</v>
      </c>
      <c r="P646" s="4">
        <f>IF(OR(INDEX($V$2:$V$1001,MATCH(ROWS($U$2:U646),$U$2:$U$1001,0),1)&gt;=100000,INDEX($AB$1005:$AQ$1005,1,MATCH(COLUMNS($AB$1006:AP1006),$AB$1006:$AQ$1006,0))&gt;=100000), " ",IF(INDEX($AB$2:$AQ$1001,MATCH(ROWS($U$2:U646),$U$2:$U$1001,0),MATCH(COLUMNS($AB$1006:AP1006),$AB$1006:$AQ$1006,0)), HYPERLINK("#",""), HYPERLINK(CONCATENATE("#metadata!", ADDRESS(INDEX($W$2:$W$1001,MATCH(ROWS($U$2:U646),$U$2:$U$1001,0),0), INDEX($AB$1004:$AQ$1004,1,MATCH(COLUMNS($AB$1006:AP1006),$AB$1006:$AQ$1006,0)))),"Fix")))</f>
        <v>0</v>
      </c>
      <c r="Q646" s="4">
        <f>IF(OR(INDEX($V$2:$V$1001,MATCH(ROWS($U$2:U646),$U$2:$U$1001,0),1)&gt;=100000,INDEX($AB$1005:$AQ$1005,1,MATCH(COLUMNS($AB$1006:AQ1006),$AB$1006:$AQ$1006,0))&gt;=100000), " ",IF(INDEX($AB$2:$AQ$1001,MATCH(ROWS($U$2:U646),$U$2:$U$1001,0),MATCH(COLUMNS($AB$1006:AQ1006),$AB$1006:$AQ$1006,0)), HYPERLINK("#",""), HYPERLINK(CONCATENATE("#metadata!", ADDRESS(INDEX($W$2:$W$1001,MATCH(ROWS($U$2:U646),$U$2:$U$1001,0),0), INDEX($AB$1004:$AQ$1004,1,MATCH(COLUMNS($AB$1006:AQ1006),$AB$1006:$AQ$1006,0)))),"Fix")))</f>
        <v>0</v>
      </c>
      <c r="U646">
        <v>0</v>
      </c>
      <c r="V646">
        <v>0</v>
      </c>
      <c r="W646">
        <v>0</v>
      </c>
      <c r="X646">
        <f>IF(Y646,TRUE,AND(AB646:AQ646))</f>
        <v>0</v>
      </c>
      <c r="Y646">
        <f>COUNTBLANK(metadata!B646:Q646)=COLUMNS(metadata!B646:Q646)</f>
        <v>0</v>
      </c>
      <c r="Z646">
        <v>0</v>
      </c>
      <c r="AB646">
        <f>AND(IF(metadata!B646="",FALSE,TRUE),COUNTIF(metadata!B:B, metadata!B646) = 1,NOT(ISERROR(SUMPRODUCT(SEARCH(MID(metadata!B646,ROW(INDIRECT("1:"&amp;LEN(metadata!B646))), 1),"0123456789abcdefghijklmnopqrstuvwxyzABCDEFGHIJKLMNOPQRSTUVWXYZ.")))))</f>
        <v>0</v>
      </c>
      <c r="AC646">
        <f>OR(AND(IF(metadata!C646="",FALSE,TRUE),OR(exact(metadata!C646,"missing: not collected"),exact(metadata!C646,"missing: not provided"),exact(metadata!C646,"missing: restricted access"))),AND(IF(metadata!C646="",FALSE,TRUE),AND(AND(IFERROR(INT(LEFT(metadata!C646,4))&gt;1900,FALSE),IFERROR(INT(LEFT(metadata!C646,4))&lt;=YEAR(NOW()),FALSE)), OR(MID(metadata!C646,5,1)="", AND(AND(MID(metadata!C646,5,1)="-",IFERROR(INT(MID(metadata!C646,6,1))&gt;=0,FALSE),IFERROR(INT(MID(metadata!C646,6,1))&lt;=1,FALSE),NOT(MID(metadata!C646,7,1)=""),IFERROR(INT(MID(metadata!C646,6,2))&gt;=1,FALSE),IFERROR(INT(MID(metadata!C646,6,2))&lt;=12,FALSE)), OR(MID(metadata!C646,8,1)="", AND(AND(MID(metadata!C646,8,1)="-",IFERROR(INT(MID(metadata!C646,9,1))&gt;=0,FALSE),IFERROR(INT(MID(metadata!C646,9,1))&lt;=3,FALSE),NOT(MID(metadata!C646,10,1)=""),IFERROR(INT(MID(metadata!C646,9,2))&gt;=1,FALSE),IFERROR(INT(MID(metadata!C646,9,2))&lt;=31,FALSE)), OR(MID(metadata!C646,11,1)="", AND(AND(MID(metadata!C646,11,1)=" ",IFERROR(INT(MID(metadata!C646,12,1))&gt;=0,FALSE),IFERROR(INT(MID(metadata!C646,12,1))&lt;=2,FALSE),NOT(MID(metadata!C646,13,1)=""),IFERROR(INT(MID(metadata!C646,12,2))&gt;=0,FALSE),IFERROR(INT(MID(metadata!C646,12,2))&lt;=23,FALSE)), OR(MID(metadata!C646,14,1)="", AND(AND(MID(metadata!C646,14,1)=":",IFERROR(INT(MID(metadata!C646,15,1))&gt;=0,FALSE),IFERROR(INT(MID(metadata!C646,15,1))&lt;=5,FALSE),NOT(MID(metadata!C646,16,1)=""),IFERROR(INT(MID(metadata!C646,15,2))&gt;=0,FALSE),IFERROR(INT(MID(metadata!C646,15,2))&lt;=59,FALSE)), OR(MID(metadata!C646,17,1)="", AND(AND(MID(metadata!C646,17,1)=":",IFERROR(INT(MID(metadata!C646,18,1))&gt;=0,FALSE),IFERROR(INT(MID(metadata!C646,18,1))&lt;=5,FALSE),NOT(MID(metadata!C646,19,1)=""),IFERROR(INT(MID(metadata!C646,18,2))&gt;=0,FALSE),IFERROR(INT(MID(metadata!C646,18,2))&lt;=59,FALSE)), LEN(metadata!C646)&lt;=19)))))))))))))</f>
        <v>0</v>
      </c>
      <c r="AD646">
        <f>IF(metadata!D646="",FALSE,TRUE)</f>
        <v>0</v>
      </c>
      <c r="AE646">
        <f>OR(AND(IF(metadata!E646="",FALSE,TRUE),OR(exact(metadata!E646,"missing: not collected"),exact(metadata!E646,"missing: not provided"))),AND(IF(metadata!E646="",FALSE,TRUE),OR(exact(metadata!E646,"TRUE"),exact(metadata!E646,"FALSE"))))</f>
        <v>0</v>
      </c>
      <c r="AF646">
        <f>IF(metadata!F646="",FALSE,TRUE)</f>
        <v>0</v>
      </c>
      <c r="AG646">
        <f>IF(metadata!G646="",FALSE,TRUE)</f>
        <v>0</v>
      </c>
      <c r="AH646">
        <f>IF(metadata!H646="",FALSE,TRUE)</f>
        <v>0</v>
      </c>
      <c r="AI646">
        <f>OR(AND(IF(metadata!I646="",FALSE,TRUE),OR(exact(metadata!I646,"missing: not collected"),exact(metadata!I646,"missing: not provided"),exact(metadata!I646,"missing: restricted access"))),AND(IF(metadata!I646="",FALSE,TRUE),OR(exact(metadata!I646,"air"),exact(metadata!I646,"built environment"),exact(metadata!I646,"host-associated"),exact(metadata!I646,"human-associated"),exact(metadata!I646,"human-skin"),exact(metadata!I646,"human-oral"),exact(metadata!I646,"human-gut"),exact(metadata!I646,"human-vaginal"),exact(metadata!I646,"microbial mat/biofilm"),exact(metadata!I646,"misc environment"),exact(metadata!I646,"plant-associated"),exact(metadata!I646,"sediment"),exact(metadata!I646,"soil"),exact(metadata!I646,"wastewater/sludge"),exact(metadata!I646,"water"))))</f>
        <v>0</v>
      </c>
      <c r="AJ646">
        <f>IF(metadata!J646="",FALSE,TRUE)</f>
        <v>0</v>
      </c>
      <c r="AK646">
        <f>OR(AND(IF(metadata!K646="",FALSE,TRUE),OR(exact(metadata!K646,"missing: not collected"),exact(metadata!K646,"missing: not provided"),exact(metadata!K646,"missing: restricted access"))),AND(IF(metadata!K646="",FALSE,ISNUMBER(VALUE(metadata!K646))),metadata!K646&gt;=-90.00,metadata!K646&lt;=90.00))</f>
        <v>0</v>
      </c>
      <c r="AL646">
        <f>OR(AND(IF(metadata!L646="",FALSE,TRUE),OR(exact(metadata!L646,"missing: not collected"),exact(metadata!L646,"missing: not provided"),exact(metadata!L646,"missing: restricted access"))),AND(IF(metadata!L646="",FALSE,ISNUMBER(VALUE(metadata!L646))),metadata!L646&gt;=-180.00,metadata!L646&lt;=180.00))</f>
        <v>0</v>
      </c>
      <c r="AM646">
        <f>IF(metadata!M646="",FALSE,TRUE)</f>
        <v>0</v>
      </c>
      <c r="AN646">
        <f>OR(AND(IF(metadata!N646="",FALSE,TRUE),OR(exact(metadata!N646,"missing: not collected"),exact(metadata!N646,"missing: not provided"),exact(metadata!N646,"missing: restricted access"))),AND(IF(metadata!N646="",FALSE,TRUE),OR(exact(metadata!N646,"TRUE"),exact(metadata!N646,"FALSE"))))</f>
        <v>0</v>
      </c>
      <c r="AO646">
        <f>IF(metadata!O646="",FALSE,TRUE)</f>
        <v>0</v>
      </c>
      <c r="AP646">
        <f>OR(AND(IF(metadata!P646="",FALSE,TRUE),OR(exact(metadata!P646,"missing: not collected"),exact(metadata!P646,"missing: not provided"))),AND(IF(metadata!P646="",FALSE,IF(ISERROR(INT(metadata!P646)),FALSE,INT(metadata!P646)=metadata!P646)),metadata!P646&gt;0))</f>
        <v>0</v>
      </c>
      <c r="AQ646">
        <f>IF(metadata!Q646="",FALSE,TRUE)</f>
        <v>0</v>
      </c>
    </row>
    <row r="647" spans="1:43">
      <c r="A647" s="5">
        <f>IF(B647=" "," ",HYPERLINK(CONCATENATE("#metadata!",ADDRESS(INDEX($W$2:$W$1001,MATCH(ROWS($U$2:U647),$U$2:$U$1001,0),0),1)),INDEX($Z$2:$Z$1001,MATCH(ROWS($U$2:U647),$U$2:$U$1001,0),0)))</f>
        <v>0</v>
      </c>
      <c r="B647" s="4">
        <f>IF(OR(INDEX($V$2:$V$1001,MATCH(ROWS($U$2:U647),$U$2:$U$1001,0),1)&gt;=100000,INDEX($AB$1005:$AQ$1005,1,MATCH(COLUMNS($AB$1006:AB1006),$AB$1006:$AQ$1006,0))&gt;=100000), " ",IF(INDEX($AB$2:$AQ$1001,MATCH(ROWS($U$2:U647),$U$2:$U$1001,0),MATCH(COLUMNS($AB$1006:AB1006),$AB$1006:$AQ$1006,0)), HYPERLINK("#",""), HYPERLINK(CONCATENATE("#metadata!", ADDRESS(INDEX($W$2:$W$1001,MATCH(ROWS($U$2:U647),$U$2:$U$1001,0),0), INDEX($AB$1004:$AQ$1004,1,MATCH(COLUMNS($AB$1006:AB1006),$AB$1006:$AQ$1006,0)))),"Fix")))</f>
        <v>0</v>
      </c>
      <c r="C647" s="4">
        <f>IF(OR(INDEX($V$2:$V$1001,MATCH(ROWS($U$2:U647),$U$2:$U$1001,0),1)&gt;=100000,INDEX($AB$1005:$AQ$1005,1,MATCH(COLUMNS($AB$1006:AC1006),$AB$1006:$AQ$1006,0))&gt;=100000), " ",IF(INDEX($AB$2:$AQ$1001,MATCH(ROWS($U$2:U647),$U$2:$U$1001,0),MATCH(COLUMNS($AB$1006:AC1006),$AB$1006:$AQ$1006,0)), HYPERLINK("#",""), HYPERLINK(CONCATENATE("#metadata!", ADDRESS(INDEX($W$2:$W$1001,MATCH(ROWS($U$2:U647),$U$2:$U$1001,0),0), INDEX($AB$1004:$AQ$1004,1,MATCH(COLUMNS($AB$1006:AC1006),$AB$1006:$AQ$1006,0)))),"Fix")))</f>
        <v>0</v>
      </c>
      <c r="D647" s="4">
        <f>IF(OR(INDEX($V$2:$V$1001,MATCH(ROWS($U$2:U647),$U$2:$U$1001,0),1)&gt;=100000,INDEX($AB$1005:$AQ$1005,1,MATCH(COLUMNS($AB$1006:AD1006),$AB$1006:$AQ$1006,0))&gt;=100000), " ",IF(INDEX($AB$2:$AQ$1001,MATCH(ROWS($U$2:U647),$U$2:$U$1001,0),MATCH(COLUMNS($AB$1006:AD1006),$AB$1006:$AQ$1006,0)), HYPERLINK("#",""), HYPERLINK(CONCATENATE("#metadata!", ADDRESS(INDEX($W$2:$W$1001,MATCH(ROWS($U$2:U647),$U$2:$U$1001,0),0), INDEX($AB$1004:$AQ$1004,1,MATCH(COLUMNS($AB$1006:AD1006),$AB$1006:$AQ$1006,0)))),"Fix")))</f>
        <v>0</v>
      </c>
      <c r="E647" s="4">
        <f>IF(OR(INDEX($V$2:$V$1001,MATCH(ROWS($U$2:U647),$U$2:$U$1001,0),1)&gt;=100000,INDEX($AB$1005:$AQ$1005,1,MATCH(COLUMNS($AB$1006:AE1006),$AB$1006:$AQ$1006,0))&gt;=100000), " ",IF(INDEX($AB$2:$AQ$1001,MATCH(ROWS($U$2:U647),$U$2:$U$1001,0),MATCH(COLUMNS($AB$1006:AE1006),$AB$1006:$AQ$1006,0)), HYPERLINK("#",""), HYPERLINK(CONCATENATE("#metadata!", ADDRESS(INDEX($W$2:$W$1001,MATCH(ROWS($U$2:U647),$U$2:$U$1001,0),0), INDEX($AB$1004:$AQ$1004,1,MATCH(COLUMNS($AB$1006:AE1006),$AB$1006:$AQ$1006,0)))),"Fix")))</f>
        <v>0</v>
      </c>
      <c r="F647" s="4">
        <f>IF(OR(INDEX($V$2:$V$1001,MATCH(ROWS($U$2:U647),$U$2:$U$1001,0),1)&gt;=100000,INDEX($AB$1005:$AQ$1005,1,MATCH(COLUMNS($AB$1006:AF1006),$AB$1006:$AQ$1006,0))&gt;=100000), " ",IF(INDEX($AB$2:$AQ$1001,MATCH(ROWS($U$2:U647),$U$2:$U$1001,0),MATCH(COLUMNS($AB$1006:AF1006),$AB$1006:$AQ$1006,0)), HYPERLINK("#",""), HYPERLINK(CONCATENATE("#metadata!", ADDRESS(INDEX($W$2:$W$1001,MATCH(ROWS($U$2:U647),$U$2:$U$1001,0),0), INDEX($AB$1004:$AQ$1004,1,MATCH(COLUMNS($AB$1006:AF1006),$AB$1006:$AQ$1006,0)))),"Fix")))</f>
        <v>0</v>
      </c>
      <c r="G647" s="4">
        <f>IF(OR(INDEX($V$2:$V$1001,MATCH(ROWS($U$2:U647),$U$2:$U$1001,0),1)&gt;=100000,INDEX($AB$1005:$AQ$1005,1,MATCH(COLUMNS($AB$1006:AG1006),$AB$1006:$AQ$1006,0))&gt;=100000), " ",IF(INDEX($AB$2:$AQ$1001,MATCH(ROWS($U$2:U647),$U$2:$U$1001,0),MATCH(COLUMNS($AB$1006:AG1006),$AB$1006:$AQ$1006,0)), HYPERLINK("#",""), HYPERLINK(CONCATENATE("#metadata!", ADDRESS(INDEX($W$2:$W$1001,MATCH(ROWS($U$2:U647),$U$2:$U$1001,0),0), INDEX($AB$1004:$AQ$1004,1,MATCH(COLUMNS($AB$1006:AG1006),$AB$1006:$AQ$1006,0)))),"Fix")))</f>
        <v>0</v>
      </c>
      <c r="H647" s="4">
        <f>IF(OR(INDEX($V$2:$V$1001,MATCH(ROWS($U$2:U647),$U$2:$U$1001,0),1)&gt;=100000,INDEX($AB$1005:$AQ$1005,1,MATCH(COLUMNS($AB$1006:AH1006),$AB$1006:$AQ$1006,0))&gt;=100000), " ",IF(INDEX($AB$2:$AQ$1001,MATCH(ROWS($U$2:U647),$U$2:$U$1001,0),MATCH(COLUMNS($AB$1006:AH1006),$AB$1006:$AQ$1006,0)), HYPERLINK("#",""), HYPERLINK(CONCATENATE("#metadata!", ADDRESS(INDEX($W$2:$W$1001,MATCH(ROWS($U$2:U647),$U$2:$U$1001,0),0), INDEX($AB$1004:$AQ$1004,1,MATCH(COLUMNS($AB$1006:AH1006),$AB$1006:$AQ$1006,0)))),"Fix")))</f>
        <v>0</v>
      </c>
      <c r="I647" s="4">
        <f>IF(OR(INDEX($V$2:$V$1001,MATCH(ROWS($U$2:U647),$U$2:$U$1001,0),1)&gt;=100000,INDEX($AB$1005:$AQ$1005,1,MATCH(COLUMNS($AB$1006:AI1006),$AB$1006:$AQ$1006,0))&gt;=100000), " ",IF(INDEX($AB$2:$AQ$1001,MATCH(ROWS($U$2:U647),$U$2:$U$1001,0),MATCH(COLUMNS($AB$1006:AI1006),$AB$1006:$AQ$1006,0)), HYPERLINK("#",""), HYPERLINK(CONCATENATE("#metadata!", ADDRESS(INDEX($W$2:$W$1001,MATCH(ROWS($U$2:U647),$U$2:$U$1001,0),0), INDEX($AB$1004:$AQ$1004,1,MATCH(COLUMNS($AB$1006:AI1006),$AB$1006:$AQ$1006,0)))),"Fix")))</f>
        <v>0</v>
      </c>
      <c r="J647" s="4">
        <f>IF(OR(INDEX($V$2:$V$1001,MATCH(ROWS($U$2:U647),$U$2:$U$1001,0),1)&gt;=100000,INDEX($AB$1005:$AQ$1005,1,MATCH(COLUMNS($AB$1006:AJ1006),$AB$1006:$AQ$1006,0))&gt;=100000), " ",IF(INDEX($AB$2:$AQ$1001,MATCH(ROWS($U$2:U647),$U$2:$U$1001,0),MATCH(COLUMNS($AB$1006:AJ1006),$AB$1006:$AQ$1006,0)), HYPERLINK("#",""), HYPERLINK(CONCATENATE("#metadata!", ADDRESS(INDEX($W$2:$W$1001,MATCH(ROWS($U$2:U647),$U$2:$U$1001,0),0), INDEX($AB$1004:$AQ$1004,1,MATCH(COLUMNS($AB$1006:AJ1006),$AB$1006:$AQ$1006,0)))),"Fix")))</f>
        <v>0</v>
      </c>
      <c r="K647" s="4">
        <f>IF(OR(INDEX($V$2:$V$1001,MATCH(ROWS($U$2:U647),$U$2:$U$1001,0),1)&gt;=100000,INDEX($AB$1005:$AQ$1005,1,MATCH(COLUMNS($AB$1006:AK1006),$AB$1006:$AQ$1006,0))&gt;=100000), " ",IF(INDEX($AB$2:$AQ$1001,MATCH(ROWS($U$2:U647),$U$2:$U$1001,0),MATCH(COLUMNS($AB$1006:AK1006),$AB$1006:$AQ$1006,0)), HYPERLINK("#",""), HYPERLINK(CONCATENATE("#metadata!", ADDRESS(INDEX($W$2:$W$1001,MATCH(ROWS($U$2:U647),$U$2:$U$1001,0),0), INDEX($AB$1004:$AQ$1004,1,MATCH(COLUMNS($AB$1006:AK1006),$AB$1006:$AQ$1006,0)))),"Fix")))</f>
        <v>0</v>
      </c>
      <c r="L647" s="4">
        <f>IF(OR(INDEX($V$2:$V$1001,MATCH(ROWS($U$2:U647),$U$2:$U$1001,0),1)&gt;=100000,INDEX($AB$1005:$AQ$1005,1,MATCH(COLUMNS($AB$1006:AL1006),$AB$1006:$AQ$1006,0))&gt;=100000), " ",IF(INDEX($AB$2:$AQ$1001,MATCH(ROWS($U$2:U647),$U$2:$U$1001,0),MATCH(COLUMNS($AB$1006:AL1006),$AB$1006:$AQ$1006,0)), HYPERLINK("#",""), HYPERLINK(CONCATENATE("#metadata!", ADDRESS(INDEX($W$2:$W$1001,MATCH(ROWS($U$2:U647),$U$2:$U$1001,0),0), INDEX($AB$1004:$AQ$1004,1,MATCH(COLUMNS($AB$1006:AL1006),$AB$1006:$AQ$1006,0)))),"Fix")))</f>
        <v>0</v>
      </c>
      <c r="M647" s="4">
        <f>IF(OR(INDEX($V$2:$V$1001,MATCH(ROWS($U$2:U647),$U$2:$U$1001,0),1)&gt;=100000,INDEX($AB$1005:$AQ$1005,1,MATCH(COLUMNS($AB$1006:AM1006),$AB$1006:$AQ$1006,0))&gt;=100000), " ",IF(INDEX($AB$2:$AQ$1001,MATCH(ROWS($U$2:U647),$U$2:$U$1001,0),MATCH(COLUMNS($AB$1006:AM1006),$AB$1006:$AQ$1006,0)), HYPERLINK("#",""), HYPERLINK(CONCATENATE("#metadata!", ADDRESS(INDEX($W$2:$W$1001,MATCH(ROWS($U$2:U647),$U$2:$U$1001,0),0), INDEX($AB$1004:$AQ$1004,1,MATCH(COLUMNS($AB$1006:AM1006),$AB$1006:$AQ$1006,0)))),"Fix")))</f>
        <v>0</v>
      </c>
      <c r="N647" s="4">
        <f>IF(OR(INDEX($V$2:$V$1001,MATCH(ROWS($U$2:U647),$U$2:$U$1001,0),1)&gt;=100000,INDEX($AB$1005:$AQ$1005,1,MATCH(COLUMNS($AB$1006:AN1006),$AB$1006:$AQ$1006,0))&gt;=100000), " ",IF(INDEX($AB$2:$AQ$1001,MATCH(ROWS($U$2:U647),$U$2:$U$1001,0),MATCH(COLUMNS($AB$1006:AN1006),$AB$1006:$AQ$1006,0)), HYPERLINK("#",""), HYPERLINK(CONCATENATE("#metadata!", ADDRESS(INDEX($W$2:$W$1001,MATCH(ROWS($U$2:U647),$U$2:$U$1001,0),0), INDEX($AB$1004:$AQ$1004,1,MATCH(COLUMNS($AB$1006:AN1006),$AB$1006:$AQ$1006,0)))),"Fix")))</f>
        <v>0</v>
      </c>
      <c r="O647" s="4">
        <f>IF(OR(INDEX($V$2:$V$1001,MATCH(ROWS($U$2:U647),$U$2:$U$1001,0),1)&gt;=100000,INDEX($AB$1005:$AQ$1005,1,MATCH(COLUMNS($AB$1006:AO1006),$AB$1006:$AQ$1006,0))&gt;=100000), " ",IF(INDEX($AB$2:$AQ$1001,MATCH(ROWS($U$2:U647),$U$2:$U$1001,0),MATCH(COLUMNS($AB$1006:AO1006),$AB$1006:$AQ$1006,0)), HYPERLINK("#",""), HYPERLINK(CONCATENATE("#metadata!", ADDRESS(INDEX($W$2:$W$1001,MATCH(ROWS($U$2:U647),$U$2:$U$1001,0),0), INDEX($AB$1004:$AQ$1004,1,MATCH(COLUMNS($AB$1006:AO1006),$AB$1006:$AQ$1006,0)))),"Fix")))</f>
        <v>0</v>
      </c>
      <c r="P647" s="4">
        <f>IF(OR(INDEX($V$2:$V$1001,MATCH(ROWS($U$2:U647),$U$2:$U$1001,0),1)&gt;=100000,INDEX($AB$1005:$AQ$1005,1,MATCH(COLUMNS($AB$1006:AP1006),$AB$1006:$AQ$1006,0))&gt;=100000), " ",IF(INDEX($AB$2:$AQ$1001,MATCH(ROWS($U$2:U647),$U$2:$U$1001,0),MATCH(COLUMNS($AB$1006:AP1006),$AB$1006:$AQ$1006,0)), HYPERLINK("#",""), HYPERLINK(CONCATENATE("#metadata!", ADDRESS(INDEX($W$2:$W$1001,MATCH(ROWS($U$2:U647),$U$2:$U$1001,0),0), INDEX($AB$1004:$AQ$1004,1,MATCH(COLUMNS($AB$1006:AP1006),$AB$1006:$AQ$1006,0)))),"Fix")))</f>
        <v>0</v>
      </c>
      <c r="Q647" s="4">
        <f>IF(OR(INDEX($V$2:$V$1001,MATCH(ROWS($U$2:U647),$U$2:$U$1001,0),1)&gt;=100000,INDEX($AB$1005:$AQ$1005,1,MATCH(COLUMNS($AB$1006:AQ1006),$AB$1006:$AQ$1006,0))&gt;=100000), " ",IF(INDEX($AB$2:$AQ$1001,MATCH(ROWS($U$2:U647),$U$2:$U$1001,0),MATCH(COLUMNS($AB$1006:AQ1006),$AB$1006:$AQ$1006,0)), HYPERLINK("#",""), HYPERLINK(CONCATENATE("#metadata!", ADDRESS(INDEX($W$2:$W$1001,MATCH(ROWS($U$2:U647),$U$2:$U$1001,0),0), INDEX($AB$1004:$AQ$1004,1,MATCH(COLUMNS($AB$1006:AQ1006),$AB$1006:$AQ$1006,0)))),"Fix")))</f>
        <v>0</v>
      </c>
      <c r="U647">
        <v>0</v>
      </c>
      <c r="V647">
        <v>0</v>
      </c>
      <c r="W647">
        <v>0</v>
      </c>
      <c r="X647">
        <f>IF(Y647,TRUE,AND(AB647:AQ647))</f>
        <v>0</v>
      </c>
      <c r="Y647">
        <f>COUNTBLANK(metadata!B647:Q647)=COLUMNS(metadata!B647:Q647)</f>
        <v>0</v>
      </c>
      <c r="Z647">
        <v>0</v>
      </c>
      <c r="AB647">
        <f>AND(IF(metadata!B647="",FALSE,TRUE),COUNTIF(metadata!B:B, metadata!B647) = 1,NOT(ISERROR(SUMPRODUCT(SEARCH(MID(metadata!B647,ROW(INDIRECT("1:"&amp;LEN(metadata!B647))), 1),"0123456789abcdefghijklmnopqrstuvwxyzABCDEFGHIJKLMNOPQRSTUVWXYZ.")))))</f>
        <v>0</v>
      </c>
      <c r="AC647">
        <f>OR(AND(IF(metadata!C647="",FALSE,TRUE),OR(exact(metadata!C647,"missing: not collected"),exact(metadata!C647,"missing: not provided"),exact(metadata!C647,"missing: restricted access"))),AND(IF(metadata!C647="",FALSE,TRUE),AND(AND(IFERROR(INT(LEFT(metadata!C647,4))&gt;1900,FALSE),IFERROR(INT(LEFT(metadata!C647,4))&lt;=YEAR(NOW()),FALSE)), OR(MID(metadata!C647,5,1)="", AND(AND(MID(metadata!C647,5,1)="-",IFERROR(INT(MID(metadata!C647,6,1))&gt;=0,FALSE),IFERROR(INT(MID(metadata!C647,6,1))&lt;=1,FALSE),NOT(MID(metadata!C647,7,1)=""),IFERROR(INT(MID(metadata!C647,6,2))&gt;=1,FALSE),IFERROR(INT(MID(metadata!C647,6,2))&lt;=12,FALSE)), OR(MID(metadata!C647,8,1)="", AND(AND(MID(metadata!C647,8,1)="-",IFERROR(INT(MID(metadata!C647,9,1))&gt;=0,FALSE),IFERROR(INT(MID(metadata!C647,9,1))&lt;=3,FALSE),NOT(MID(metadata!C647,10,1)=""),IFERROR(INT(MID(metadata!C647,9,2))&gt;=1,FALSE),IFERROR(INT(MID(metadata!C647,9,2))&lt;=31,FALSE)), OR(MID(metadata!C647,11,1)="", AND(AND(MID(metadata!C647,11,1)=" ",IFERROR(INT(MID(metadata!C647,12,1))&gt;=0,FALSE),IFERROR(INT(MID(metadata!C647,12,1))&lt;=2,FALSE),NOT(MID(metadata!C647,13,1)=""),IFERROR(INT(MID(metadata!C647,12,2))&gt;=0,FALSE),IFERROR(INT(MID(metadata!C647,12,2))&lt;=23,FALSE)), OR(MID(metadata!C647,14,1)="", AND(AND(MID(metadata!C647,14,1)=":",IFERROR(INT(MID(metadata!C647,15,1))&gt;=0,FALSE),IFERROR(INT(MID(metadata!C647,15,1))&lt;=5,FALSE),NOT(MID(metadata!C647,16,1)=""),IFERROR(INT(MID(metadata!C647,15,2))&gt;=0,FALSE),IFERROR(INT(MID(metadata!C647,15,2))&lt;=59,FALSE)), OR(MID(metadata!C647,17,1)="", AND(AND(MID(metadata!C647,17,1)=":",IFERROR(INT(MID(metadata!C647,18,1))&gt;=0,FALSE),IFERROR(INT(MID(metadata!C647,18,1))&lt;=5,FALSE),NOT(MID(metadata!C647,19,1)=""),IFERROR(INT(MID(metadata!C647,18,2))&gt;=0,FALSE),IFERROR(INT(MID(metadata!C647,18,2))&lt;=59,FALSE)), LEN(metadata!C647)&lt;=19)))))))))))))</f>
        <v>0</v>
      </c>
      <c r="AD647">
        <f>IF(metadata!D647="",FALSE,TRUE)</f>
        <v>0</v>
      </c>
      <c r="AE647">
        <f>OR(AND(IF(metadata!E647="",FALSE,TRUE),OR(exact(metadata!E647,"missing: not collected"),exact(metadata!E647,"missing: not provided"))),AND(IF(metadata!E647="",FALSE,TRUE),OR(exact(metadata!E647,"TRUE"),exact(metadata!E647,"FALSE"))))</f>
        <v>0</v>
      </c>
      <c r="AF647">
        <f>IF(metadata!F647="",FALSE,TRUE)</f>
        <v>0</v>
      </c>
      <c r="AG647">
        <f>IF(metadata!G647="",FALSE,TRUE)</f>
        <v>0</v>
      </c>
      <c r="AH647">
        <f>IF(metadata!H647="",FALSE,TRUE)</f>
        <v>0</v>
      </c>
      <c r="AI647">
        <f>OR(AND(IF(metadata!I647="",FALSE,TRUE),OR(exact(metadata!I647,"missing: not collected"),exact(metadata!I647,"missing: not provided"),exact(metadata!I647,"missing: restricted access"))),AND(IF(metadata!I647="",FALSE,TRUE),OR(exact(metadata!I647,"air"),exact(metadata!I647,"built environment"),exact(metadata!I647,"host-associated"),exact(metadata!I647,"human-associated"),exact(metadata!I647,"human-skin"),exact(metadata!I647,"human-oral"),exact(metadata!I647,"human-gut"),exact(metadata!I647,"human-vaginal"),exact(metadata!I647,"microbial mat/biofilm"),exact(metadata!I647,"misc environment"),exact(metadata!I647,"plant-associated"),exact(metadata!I647,"sediment"),exact(metadata!I647,"soil"),exact(metadata!I647,"wastewater/sludge"),exact(metadata!I647,"water"))))</f>
        <v>0</v>
      </c>
      <c r="AJ647">
        <f>IF(metadata!J647="",FALSE,TRUE)</f>
        <v>0</v>
      </c>
      <c r="AK647">
        <f>OR(AND(IF(metadata!K647="",FALSE,TRUE),OR(exact(metadata!K647,"missing: not collected"),exact(metadata!K647,"missing: not provided"),exact(metadata!K647,"missing: restricted access"))),AND(IF(metadata!K647="",FALSE,ISNUMBER(VALUE(metadata!K647))),metadata!K647&gt;=-90.00,metadata!K647&lt;=90.00))</f>
        <v>0</v>
      </c>
      <c r="AL647">
        <f>OR(AND(IF(metadata!L647="",FALSE,TRUE),OR(exact(metadata!L647,"missing: not collected"),exact(metadata!L647,"missing: not provided"),exact(metadata!L647,"missing: restricted access"))),AND(IF(metadata!L647="",FALSE,ISNUMBER(VALUE(metadata!L647))),metadata!L647&gt;=-180.00,metadata!L647&lt;=180.00))</f>
        <v>0</v>
      </c>
      <c r="AM647">
        <f>IF(metadata!M647="",FALSE,TRUE)</f>
        <v>0</v>
      </c>
      <c r="AN647">
        <f>OR(AND(IF(metadata!N647="",FALSE,TRUE),OR(exact(metadata!N647,"missing: not collected"),exact(metadata!N647,"missing: not provided"),exact(metadata!N647,"missing: restricted access"))),AND(IF(metadata!N647="",FALSE,TRUE),OR(exact(metadata!N647,"TRUE"),exact(metadata!N647,"FALSE"))))</f>
        <v>0</v>
      </c>
      <c r="AO647">
        <f>IF(metadata!O647="",FALSE,TRUE)</f>
        <v>0</v>
      </c>
      <c r="AP647">
        <f>OR(AND(IF(metadata!P647="",FALSE,TRUE),OR(exact(metadata!P647,"missing: not collected"),exact(metadata!P647,"missing: not provided"))),AND(IF(metadata!P647="",FALSE,IF(ISERROR(INT(metadata!P647)),FALSE,INT(metadata!P647)=metadata!P647)),metadata!P647&gt;0))</f>
        <v>0</v>
      </c>
      <c r="AQ647">
        <f>IF(metadata!Q647="",FALSE,TRUE)</f>
        <v>0</v>
      </c>
    </row>
    <row r="648" spans="1:43">
      <c r="A648" s="5">
        <f>IF(B648=" "," ",HYPERLINK(CONCATENATE("#metadata!",ADDRESS(INDEX($W$2:$W$1001,MATCH(ROWS($U$2:U648),$U$2:$U$1001,0),0),1)),INDEX($Z$2:$Z$1001,MATCH(ROWS($U$2:U648),$U$2:$U$1001,0),0)))</f>
        <v>0</v>
      </c>
      <c r="B648" s="4">
        <f>IF(OR(INDEX($V$2:$V$1001,MATCH(ROWS($U$2:U648),$U$2:$U$1001,0),1)&gt;=100000,INDEX($AB$1005:$AQ$1005,1,MATCH(COLUMNS($AB$1006:AB1006),$AB$1006:$AQ$1006,0))&gt;=100000), " ",IF(INDEX($AB$2:$AQ$1001,MATCH(ROWS($U$2:U648),$U$2:$U$1001,0),MATCH(COLUMNS($AB$1006:AB1006),$AB$1006:$AQ$1006,0)), HYPERLINK("#",""), HYPERLINK(CONCATENATE("#metadata!", ADDRESS(INDEX($W$2:$W$1001,MATCH(ROWS($U$2:U648),$U$2:$U$1001,0),0), INDEX($AB$1004:$AQ$1004,1,MATCH(COLUMNS($AB$1006:AB1006),$AB$1006:$AQ$1006,0)))),"Fix")))</f>
        <v>0</v>
      </c>
      <c r="C648" s="4">
        <f>IF(OR(INDEX($V$2:$V$1001,MATCH(ROWS($U$2:U648),$U$2:$U$1001,0),1)&gt;=100000,INDEX($AB$1005:$AQ$1005,1,MATCH(COLUMNS($AB$1006:AC1006),$AB$1006:$AQ$1006,0))&gt;=100000), " ",IF(INDEX($AB$2:$AQ$1001,MATCH(ROWS($U$2:U648),$U$2:$U$1001,0),MATCH(COLUMNS($AB$1006:AC1006),$AB$1006:$AQ$1006,0)), HYPERLINK("#",""), HYPERLINK(CONCATENATE("#metadata!", ADDRESS(INDEX($W$2:$W$1001,MATCH(ROWS($U$2:U648),$U$2:$U$1001,0),0), INDEX($AB$1004:$AQ$1004,1,MATCH(COLUMNS($AB$1006:AC1006),$AB$1006:$AQ$1006,0)))),"Fix")))</f>
        <v>0</v>
      </c>
      <c r="D648" s="4">
        <f>IF(OR(INDEX($V$2:$V$1001,MATCH(ROWS($U$2:U648),$U$2:$U$1001,0),1)&gt;=100000,INDEX($AB$1005:$AQ$1005,1,MATCH(COLUMNS($AB$1006:AD1006),$AB$1006:$AQ$1006,0))&gt;=100000), " ",IF(INDEX($AB$2:$AQ$1001,MATCH(ROWS($U$2:U648),$U$2:$U$1001,0),MATCH(COLUMNS($AB$1006:AD1006),$AB$1006:$AQ$1006,0)), HYPERLINK("#",""), HYPERLINK(CONCATENATE("#metadata!", ADDRESS(INDEX($W$2:$W$1001,MATCH(ROWS($U$2:U648),$U$2:$U$1001,0),0), INDEX($AB$1004:$AQ$1004,1,MATCH(COLUMNS($AB$1006:AD1006),$AB$1006:$AQ$1006,0)))),"Fix")))</f>
        <v>0</v>
      </c>
      <c r="E648" s="4">
        <f>IF(OR(INDEX($V$2:$V$1001,MATCH(ROWS($U$2:U648),$U$2:$U$1001,0),1)&gt;=100000,INDEX($AB$1005:$AQ$1005,1,MATCH(COLUMNS($AB$1006:AE1006),$AB$1006:$AQ$1006,0))&gt;=100000), " ",IF(INDEX($AB$2:$AQ$1001,MATCH(ROWS($U$2:U648),$U$2:$U$1001,0),MATCH(COLUMNS($AB$1006:AE1006),$AB$1006:$AQ$1006,0)), HYPERLINK("#",""), HYPERLINK(CONCATENATE("#metadata!", ADDRESS(INDEX($W$2:$W$1001,MATCH(ROWS($U$2:U648),$U$2:$U$1001,0),0), INDEX($AB$1004:$AQ$1004,1,MATCH(COLUMNS($AB$1006:AE1006),$AB$1006:$AQ$1006,0)))),"Fix")))</f>
        <v>0</v>
      </c>
      <c r="F648" s="4">
        <f>IF(OR(INDEX($V$2:$V$1001,MATCH(ROWS($U$2:U648),$U$2:$U$1001,0),1)&gt;=100000,INDEX($AB$1005:$AQ$1005,1,MATCH(COLUMNS($AB$1006:AF1006),$AB$1006:$AQ$1006,0))&gt;=100000), " ",IF(INDEX($AB$2:$AQ$1001,MATCH(ROWS($U$2:U648),$U$2:$U$1001,0),MATCH(COLUMNS($AB$1006:AF1006),$AB$1006:$AQ$1006,0)), HYPERLINK("#",""), HYPERLINK(CONCATENATE("#metadata!", ADDRESS(INDEX($W$2:$W$1001,MATCH(ROWS($U$2:U648),$U$2:$U$1001,0),0), INDEX($AB$1004:$AQ$1004,1,MATCH(COLUMNS($AB$1006:AF1006),$AB$1006:$AQ$1006,0)))),"Fix")))</f>
        <v>0</v>
      </c>
      <c r="G648" s="4">
        <f>IF(OR(INDEX($V$2:$V$1001,MATCH(ROWS($U$2:U648),$U$2:$U$1001,0),1)&gt;=100000,INDEX($AB$1005:$AQ$1005,1,MATCH(COLUMNS($AB$1006:AG1006),$AB$1006:$AQ$1006,0))&gt;=100000), " ",IF(INDEX($AB$2:$AQ$1001,MATCH(ROWS($U$2:U648),$U$2:$U$1001,0),MATCH(COLUMNS($AB$1006:AG1006),$AB$1006:$AQ$1006,0)), HYPERLINK("#",""), HYPERLINK(CONCATENATE("#metadata!", ADDRESS(INDEX($W$2:$W$1001,MATCH(ROWS($U$2:U648),$U$2:$U$1001,0),0), INDEX($AB$1004:$AQ$1004,1,MATCH(COLUMNS($AB$1006:AG1006),$AB$1006:$AQ$1006,0)))),"Fix")))</f>
        <v>0</v>
      </c>
      <c r="H648" s="4">
        <f>IF(OR(INDEX($V$2:$V$1001,MATCH(ROWS($U$2:U648),$U$2:$U$1001,0),1)&gt;=100000,INDEX($AB$1005:$AQ$1005,1,MATCH(COLUMNS($AB$1006:AH1006),$AB$1006:$AQ$1006,0))&gt;=100000), " ",IF(INDEX($AB$2:$AQ$1001,MATCH(ROWS($U$2:U648),$U$2:$U$1001,0),MATCH(COLUMNS($AB$1006:AH1006),$AB$1006:$AQ$1006,0)), HYPERLINK("#",""), HYPERLINK(CONCATENATE("#metadata!", ADDRESS(INDEX($W$2:$W$1001,MATCH(ROWS($U$2:U648),$U$2:$U$1001,0),0), INDEX($AB$1004:$AQ$1004,1,MATCH(COLUMNS($AB$1006:AH1006),$AB$1006:$AQ$1006,0)))),"Fix")))</f>
        <v>0</v>
      </c>
      <c r="I648" s="4">
        <f>IF(OR(INDEX($V$2:$V$1001,MATCH(ROWS($U$2:U648),$U$2:$U$1001,0),1)&gt;=100000,INDEX($AB$1005:$AQ$1005,1,MATCH(COLUMNS($AB$1006:AI1006),$AB$1006:$AQ$1006,0))&gt;=100000), " ",IF(INDEX($AB$2:$AQ$1001,MATCH(ROWS($U$2:U648),$U$2:$U$1001,0),MATCH(COLUMNS($AB$1006:AI1006),$AB$1006:$AQ$1006,0)), HYPERLINK("#",""), HYPERLINK(CONCATENATE("#metadata!", ADDRESS(INDEX($W$2:$W$1001,MATCH(ROWS($U$2:U648),$U$2:$U$1001,0),0), INDEX($AB$1004:$AQ$1004,1,MATCH(COLUMNS($AB$1006:AI1006),$AB$1006:$AQ$1006,0)))),"Fix")))</f>
        <v>0</v>
      </c>
      <c r="J648" s="4">
        <f>IF(OR(INDEX($V$2:$V$1001,MATCH(ROWS($U$2:U648),$U$2:$U$1001,0),1)&gt;=100000,INDEX($AB$1005:$AQ$1005,1,MATCH(COLUMNS($AB$1006:AJ1006),$AB$1006:$AQ$1006,0))&gt;=100000), " ",IF(INDEX($AB$2:$AQ$1001,MATCH(ROWS($U$2:U648),$U$2:$U$1001,0),MATCH(COLUMNS($AB$1006:AJ1006),$AB$1006:$AQ$1006,0)), HYPERLINK("#",""), HYPERLINK(CONCATENATE("#metadata!", ADDRESS(INDEX($W$2:$W$1001,MATCH(ROWS($U$2:U648),$U$2:$U$1001,0),0), INDEX($AB$1004:$AQ$1004,1,MATCH(COLUMNS($AB$1006:AJ1006),$AB$1006:$AQ$1006,0)))),"Fix")))</f>
        <v>0</v>
      </c>
      <c r="K648" s="4">
        <f>IF(OR(INDEX($V$2:$V$1001,MATCH(ROWS($U$2:U648),$U$2:$U$1001,0),1)&gt;=100000,INDEX($AB$1005:$AQ$1005,1,MATCH(COLUMNS($AB$1006:AK1006),$AB$1006:$AQ$1006,0))&gt;=100000), " ",IF(INDEX($AB$2:$AQ$1001,MATCH(ROWS($U$2:U648),$U$2:$U$1001,0),MATCH(COLUMNS($AB$1006:AK1006),$AB$1006:$AQ$1006,0)), HYPERLINK("#",""), HYPERLINK(CONCATENATE("#metadata!", ADDRESS(INDEX($W$2:$W$1001,MATCH(ROWS($U$2:U648),$U$2:$U$1001,0),0), INDEX($AB$1004:$AQ$1004,1,MATCH(COLUMNS($AB$1006:AK1006),$AB$1006:$AQ$1006,0)))),"Fix")))</f>
        <v>0</v>
      </c>
      <c r="L648" s="4">
        <f>IF(OR(INDEX($V$2:$V$1001,MATCH(ROWS($U$2:U648),$U$2:$U$1001,0),1)&gt;=100000,INDEX($AB$1005:$AQ$1005,1,MATCH(COLUMNS($AB$1006:AL1006),$AB$1006:$AQ$1006,0))&gt;=100000), " ",IF(INDEX($AB$2:$AQ$1001,MATCH(ROWS($U$2:U648),$U$2:$U$1001,0),MATCH(COLUMNS($AB$1006:AL1006),$AB$1006:$AQ$1006,0)), HYPERLINK("#",""), HYPERLINK(CONCATENATE("#metadata!", ADDRESS(INDEX($W$2:$W$1001,MATCH(ROWS($U$2:U648),$U$2:$U$1001,0),0), INDEX($AB$1004:$AQ$1004,1,MATCH(COLUMNS($AB$1006:AL1006),$AB$1006:$AQ$1006,0)))),"Fix")))</f>
        <v>0</v>
      </c>
      <c r="M648" s="4">
        <f>IF(OR(INDEX($V$2:$V$1001,MATCH(ROWS($U$2:U648),$U$2:$U$1001,0),1)&gt;=100000,INDEX($AB$1005:$AQ$1005,1,MATCH(COLUMNS($AB$1006:AM1006),$AB$1006:$AQ$1006,0))&gt;=100000), " ",IF(INDEX($AB$2:$AQ$1001,MATCH(ROWS($U$2:U648),$U$2:$U$1001,0),MATCH(COLUMNS($AB$1006:AM1006),$AB$1006:$AQ$1006,0)), HYPERLINK("#",""), HYPERLINK(CONCATENATE("#metadata!", ADDRESS(INDEX($W$2:$W$1001,MATCH(ROWS($U$2:U648),$U$2:$U$1001,0),0), INDEX($AB$1004:$AQ$1004,1,MATCH(COLUMNS($AB$1006:AM1006),$AB$1006:$AQ$1006,0)))),"Fix")))</f>
        <v>0</v>
      </c>
      <c r="N648" s="4">
        <f>IF(OR(INDEX($V$2:$V$1001,MATCH(ROWS($U$2:U648),$U$2:$U$1001,0),1)&gt;=100000,INDEX($AB$1005:$AQ$1005,1,MATCH(COLUMNS($AB$1006:AN1006),$AB$1006:$AQ$1006,0))&gt;=100000), " ",IF(INDEX($AB$2:$AQ$1001,MATCH(ROWS($U$2:U648),$U$2:$U$1001,0),MATCH(COLUMNS($AB$1006:AN1006),$AB$1006:$AQ$1006,0)), HYPERLINK("#",""), HYPERLINK(CONCATENATE("#metadata!", ADDRESS(INDEX($W$2:$W$1001,MATCH(ROWS($U$2:U648),$U$2:$U$1001,0),0), INDEX($AB$1004:$AQ$1004,1,MATCH(COLUMNS($AB$1006:AN1006),$AB$1006:$AQ$1006,0)))),"Fix")))</f>
        <v>0</v>
      </c>
      <c r="O648" s="4">
        <f>IF(OR(INDEX($V$2:$V$1001,MATCH(ROWS($U$2:U648),$U$2:$U$1001,0),1)&gt;=100000,INDEX($AB$1005:$AQ$1005,1,MATCH(COLUMNS($AB$1006:AO1006),$AB$1006:$AQ$1006,0))&gt;=100000), " ",IF(INDEX($AB$2:$AQ$1001,MATCH(ROWS($U$2:U648),$U$2:$U$1001,0),MATCH(COLUMNS($AB$1006:AO1006),$AB$1006:$AQ$1006,0)), HYPERLINK("#",""), HYPERLINK(CONCATENATE("#metadata!", ADDRESS(INDEX($W$2:$W$1001,MATCH(ROWS($U$2:U648),$U$2:$U$1001,0),0), INDEX($AB$1004:$AQ$1004,1,MATCH(COLUMNS($AB$1006:AO1006),$AB$1006:$AQ$1006,0)))),"Fix")))</f>
        <v>0</v>
      </c>
      <c r="P648" s="4">
        <f>IF(OR(INDEX($V$2:$V$1001,MATCH(ROWS($U$2:U648),$U$2:$U$1001,0),1)&gt;=100000,INDEX($AB$1005:$AQ$1005,1,MATCH(COLUMNS($AB$1006:AP1006),$AB$1006:$AQ$1006,0))&gt;=100000), " ",IF(INDEX($AB$2:$AQ$1001,MATCH(ROWS($U$2:U648),$U$2:$U$1001,0),MATCH(COLUMNS($AB$1006:AP1006),$AB$1006:$AQ$1006,0)), HYPERLINK("#",""), HYPERLINK(CONCATENATE("#metadata!", ADDRESS(INDEX($W$2:$W$1001,MATCH(ROWS($U$2:U648),$U$2:$U$1001,0),0), INDEX($AB$1004:$AQ$1004,1,MATCH(COLUMNS($AB$1006:AP1006),$AB$1006:$AQ$1006,0)))),"Fix")))</f>
        <v>0</v>
      </c>
      <c r="Q648" s="4">
        <f>IF(OR(INDEX($V$2:$V$1001,MATCH(ROWS($U$2:U648),$U$2:$U$1001,0),1)&gt;=100000,INDEX($AB$1005:$AQ$1005,1,MATCH(COLUMNS($AB$1006:AQ1006),$AB$1006:$AQ$1006,0))&gt;=100000), " ",IF(INDEX($AB$2:$AQ$1001,MATCH(ROWS($U$2:U648),$U$2:$U$1001,0),MATCH(COLUMNS($AB$1006:AQ1006),$AB$1006:$AQ$1006,0)), HYPERLINK("#",""), HYPERLINK(CONCATENATE("#metadata!", ADDRESS(INDEX($W$2:$W$1001,MATCH(ROWS($U$2:U648),$U$2:$U$1001,0),0), INDEX($AB$1004:$AQ$1004,1,MATCH(COLUMNS($AB$1006:AQ1006),$AB$1006:$AQ$1006,0)))),"Fix")))</f>
        <v>0</v>
      </c>
      <c r="U648">
        <v>0</v>
      </c>
      <c r="V648">
        <v>0</v>
      </c>
      <c r="W648">
        <v>0</v>
      </c>
      <c r="X648">
        <f>IF(Y648,TRUE,AND(AB648:AQ648))</f>
        <v>0</v>
      </c>
      <c r="Y648">
        <f>COUNTBLANK(metadata!B648:Q648)=COLUMNS(metadata!B648:Q648)</f>
        <v>0</v>
      </c>
      <c r="Z648">
        <v>0</v>
      </c>
      <c r="AB648">
        <f>AND(IF(metadata!B648="",FALSE,TRUE),COUNTIF(metadata!B:B, metadata!B648) = 1,NOT(ISERROR(SUMPRODUCT(SEARCH(MID(metadata!B648,ROW(INDIRECT("1:"&amp;LEN(metadata!B648))), 1),"0123456789abcdefghijklmnopqrstuvwxyzABCDEFGHIJKLMNOPQRSTUVWXYZ.")))))</f>
        <v>0</v>
      </c>
      <c r="AC648">
        <f>OR(AND(IF(metadata!C648="",FALSE,TRUE),OR(exact(metadata!C648,"missing: not collected"),exact(metadata!C648,"missing: not provided"),exact(metadata!C648,"missing: restricted access"))),AND(IF(metadata!C648="",FALSE,TRUE),AND(AND(IFERROR(INT(LEFT(metadata!C648,4))&gt;1900,FALSE),IFERROR(INT(LEFT(metadata!C648,4))&lt;=YEAR(NOW()),FALSE)), OR(MID(metadata!C648,5,1)="", AND(AND(MID(metadata!C648,5,1)="-",IFERROR(INT(MID(metadata!C648,6,1))&gt;=0,FALSE),IFERROR(INT(MID(metadata!C648,6,1))&lt;=1,FALSE),NOT(MID(metadata!C648,7,1)=""),IFERROR(INT(MID(metadata!C648,6,2))&gt;=1,FALSE),IFERROR(INT(MID(metadata!C648,6,2))&lt;=12,FALSE)), OR(MID(metadata!C648,8,1)="", AND(AND(MID(metadata!C648,8,1)="-",IFERROR(INT(MID(metadata!C648,9,1))&gt;=0,FALSE),IFERROR(INT(MID(metadata!C648,9,1))&lt;=3,FALSE),NOT(MID(metadata!C648,10,1)=""),IFERROR(INT(MID(metadata!C648,9,2))&gt;=1,FALSE),IFERROR(INT(MID(metadata!C648,9,2))&lt;=31,FALSE)), OR(MID(metadata!C648,11,1)="", AND(AND(MID(metadata!C648,11,1)=" ",IFERROR(INT(MID(metadata!C648,12,1))&gt;=0,FALSE),IFERROR(INT(MID(metadata!C648,12,1))&lt;=2,FALSE),NOT(MID(metadata!C648,13,1)=""),IFERROR(INT(MID(metadata!C648,12,2))&gt;=0,FALSE),IFERROR(INT(MID(metadata!C648,12,2))&lt;=23,FALSE)), OR(MID(metadata!C648,14,1)="", AND(AND(MID(metadata!C648,14,1)=":",IFERROR(INT(MID(metadata!C648,15,1))&gt;=0,FALSE),IFERROR(INT(MID(metadata!C648,15,1))&lt;=5,FALSE),NOT(MID(metadata!C648,16,1)=""),IFERROR(INT(MID(metadata!C648,15,2))&gt;=0,FALSE),IFERROR(INT(MID(metadata!C648,15,2))&lt;=59,FALSE)), OR(MID(metadata!C648,17,1)="", AND(AND(MID(metadata!C648,17,1)=":",IFERROR(INT(MID(metadata!C648,18,1))&gt;=0,FALSE),IFERROR(INT(MID(metadata!C648,18,1))&lt;=5,FALSE),NOT(MID(metadata!C648,19,1)=""),IFERROR(INT(MID(metadata!C648,18,2))&gt;=0,FALSE),IFERROR(INT(MID(metadata!C648,18,2))&lt;=59,FALSE)), LEN(metadata!C648)&lt;=19)))))))))))))</f>
        <v>0</v>
      </c>
      <c r="AD648">
        <f>IF(metadata!D648="",FALSE,TRUE)</f>
        <v>0</v>
      </c>
      <c r="AE648">
        <f>OR(AND(IF(metadata!E648="",FALSE,TRUE),OR(exact(metadata!E648,"missing: not collected"),exact(metadata!E648,"missing: not provided"))),AND(IF(metadata!E648="",FALSE,TRUE),OR(exact(metadata!E648,"TRUE"),exact(metadata!E648,"FALSE"))))</f>
        <v>0</v>
      </c>
      <c r="AF648">
        <f>IF(metadata!F648="",FALSE,TRUE)</f>
        <v>0</v>
      </c>
      <c r="AG648">
        <f>IF(metadata!G648="",FALSE,TRUE)</f>
        <v>0</v>
      </c>
      <c r="AH648">
        <f>IF(metadata!H648="",FALSE,TRUE)</f>
        <v>0</v>
      </c>
      <c r="AI648">
        <f>OR(AND(IF(metadata!I648="",FALSE,TRUE),OR(exact(metadata!I648,"missing: not collected"),exact(metadata!I648,"missing: not provided"),exact(metadata!I648,"missing: restricted access"))),AND(IF(metadata!I648="",FALSE,TRUE),OR(exact(metadata!I648,"air"),exact(metadata!I648,"built environment"),exact(metadata!I648,"host-associated"),exact(metadata!I648,"human-associated"),exact(metadata!I648,"human-skin"),exact(metadata!I648,"human-oral"),exact(metadata!I648,"human-gut"),exact(metadata!I648,"human-vaginal"),exact(metadata!I648,"microbial mat/biofilm"),exact(metadata!I648,"misc environment"),exact(metadata!I648,"plant-associated"),exact(metadata!I648,"sediment"),exact(metadata!I648,"soil"),exact(metadata!I648,"wastewater/sludge"),exact(metadata!I648,"water"))))</f>
        <v>0</v>
      </c>
      <c r="AJ648">
        <f>IF(metadata!J648="",FALSE,TRUE)</f>
        <v>0</v>
      </c>
      <c r="AK648">
        <f>OR(AND(IF(metadata!K648="",FALSE,TRUE),OR(exact(metadata!K648,"missing: not collected"),exact(metadata!K648,"missing: not provided"),exact(metadata!K648,"missing: restricted access"))),AND(IF(metadata!K648="",FALSE,ISNUMBER(VALUE(metadata!K648))),metadata!K648&gt;=-90.00,metadata!K648&lt;=90.00))</f>
        <v>0</v>
      </c>
      <c r="AL648">
        <f>OR(AND(IF(metadata!L648="",FALSE,TRUE),OR(exact(metadata!L648,"missing: not collected"),exact(metadata!L648,"missing: not provided"),exact(metadata!L648,"missing: restricted access"))),AND(IF(metadata!L648="",FALSE,ISNUMBER(VALUE(metadata!L648))),metadata!L648&gt;=-180.00,metadata!L648&lt;=180.00))</f>
        <v>0</v>
      </c>
      <c r="AM648">
        <f>IF(metadata!M648="",FALSE,TRUE)</f>
        <v>0</v>
      </c>
      <c r="AN648">
        <f>OR(AND(IF(metadata!N648="",FALSE,TRUE),OR(exact(metadata!N648,"missing: not collected"),exact(metadata!N648,"missing: not provided"),exact(metadata!N648,"missing: restricted access"))),AND(IF(metadata!N648="",FALSE,TRUE),OR(exact(metadata!N648,"TRUE"),exact(metadata!N648,"FALSE"))))</f>
        <v>0</v>
      </c>
      <c r="AO648">
        <f>IF(metadata!O648="",FALSE,TRUE)</f>
        <v>0</v>
      </c>
      <c r="AP648">
        <f>OR(AND(IF(metadata!P648="",FALSE,TRUE),OR(exact(metadata!P648,"missing: not collected"),exact(metadata!P648,"missing: not provided"))),AND(IF(metadata!P648="",FALSE,IF(ISERROR(INT(metadata!P648)),FALSE,INT(metadata!P648)=metadata!P648)),metadata!P648&gt;0))</f>
        <v>0</v>
      </c>
      <c r="AQ648">
        <f>IF(metadata!Q648="",FALSE,TRUE)</f>
        <v>0</v>
      </c>
    </row>
    <row r="649" spans="1:43">
      <c r="A649" s="5">
        <f>IF(B649=" "," ",HYPERLINK(CONCATENATE("#metadata!",ADDRESS(INDEX($W$2:$W$1001,MATCH(ROWS($U$2:U649),$U$2:$U$1001,0),0),1)),INDEX($Z$2:$Z$1001,MATCH(ROWS($U$2:U649),$U$2:$U$1001,0),0)))</f>
        <v>0</v>
      </c>
      <c r="B649" s="4">
        <f>IF(OR(INDEX($V$2:$V$1001,MATCH(ROWS($U$2:U649),$U$2:$U$1001,0),1)&gt;=100000,INDEX($AB$1005:$AQ$1005,1,MATCH(COLUMNS($AB$1006:AB1006),$AB$1006:$AQ$1006,0))&gt;=100000), " ",IF(INDEX($AB$2:$AQ$1001,MATCH(ROWS($U$2:U649),$U$2:$U$1001,0),MATCH(COLUMNS($AB$1006:AB1006),$AB$1006:$AQ$1006,0)), HYPERLINK("#",""), HYPERLINK(CONCATENATE("#metadata!", ADDRESS(INDEX($W$2:$W$1001,MATCH(ROWS($U$2:U649),$U$2:$U$1001,0),0), INDEX($AB$1004:$AQ$1004,1,MATCH(COLUMNS($AB$1006:AB1006),$AB$1006:$AQ$1006,0)))),"Fix")))</f>
        <v>0</v>
      </c>
      <c r="C649" s="4">
        <f>IF(OR(INDEX($V$2:$V$1001,MATCH(ROWS($U$2:U649),$U$2:$U$1001,0),1)&gt;=100000,INDEX($AB$1005:$AQ$1005,1,MATCH(COLUMNS($AB$1006:AC1006),$AB$1006:$AQ$1006,0))&gt;=100000), " ",IF(INDEX($AB$2:$AQ$1001,MATCH(ROWS($U$2:U649),$U$2:$U$1001,0),MATCH(COLUMNS($AB$1006:AC1006),$AB$1006:$AQ$1006,0)), HYPERLINK("#",""), HYPERLINK(CONCATENATE("#metadata!", ADDRESS(INDEX($W$2:$W$1001,MATCH(ROWS($U$2:U649),$U$2:$U$1001,0),0), INDEX($AB$1004:$AQ$1004,1,MATCH(COLUMNS($AB$1006:AC1006),$AB$1006:$AQ$1006,0)))),"Fix")))</f>
        <v>0</v>
      </c>
      <c r="D649" s="4">
        <f>IF(OR(INDEX($V$2:$V$1001,MATCH(ROWS($U$2:U649),$U$2:$U$1001,0),1)&gt;=100000,INDEX($AB$1005:$AQ$1005,1,MATCH(COLUMNS($AB$1006:AD1006),$AB$1006:$AQ$1006,0))&gt;=100000), " ",IF(INDEX($AB$2:$AQ$1001,MATCH(ROWS($U$2:U649),$U$2:$U$1001,0),MATCH(COLUMNS($AB$1006:AD1006),$AB$1006:$AQ$1006,0)), HYPERLINK("#",""), HYPERLINK(CONCATENATE("#metadata!", ADDRESS(INDEX($W$2:$W$1001,MATCH(ROWS($U$2:U649),$U$2:$U$1001,0),0), INDEX($AB$1004:$AQ$1004,1,MATCH(COLUMNS($AB$1006:AD1006),$AB$1006:$AQ$1006,0)))),"Fix")))</f>
        <v>0</v>
      </c>
      <c r="E649" s="4">
        <f>IF(OR(INDEX($V$2:$V$1001,MATCH(ROWS($U$2:U649),$U$2:$U$1001,0),1)&gt;=100000,INDEX($AB$1005:$AQ$1005,1,MATCH(COLUMNS($AB$1006:AE1006),$AB$1006:$AQ$1006,0))&gt;=100000), " ",IF(INDEX($AB$2:$AQ$1001,MATCH(ROWS($U$2:U649),$U$2:$U$1001,0),MATCH(COLUMNS($AB$1006:AE1006),$AB$1006:$AQ$1006,0)), HYPERLINK("#",""), HYPERLINK(CONCATENATE("#metadata!", ADDRESS(INDEX($W$2:$W$1001,MATCH(ROWS($U$2:U649),$U$2:$U$1001,0),0), INDEX($AB$1004:$AQ$1004,1,MATCH(COLUMNS($AB$1006:AE1006),$AB$1006:$AQ$1006,0)))),"Fix")))</f>
        <v>0</v>
      </c>
      <c r="F649" s="4">
        <f>IF(OR(INDEX($V$2:$V$1001,MATCH(ROWS($U$2:U649),$U$2:$U$1001,0),1)&gt;=100000,INDEX($AB$1005:$AQ$1005,1,MATCH(COLUMNS($AB$1006:AF1006),$AB$1006:$AQ$1006,0))&gt;=100000), " ",IF(INDEX($AB$2:$AQ$1001,MATCH(ROWS($U$2:U649),$U$2:$U$1001,0),MATCH(COLUMNS($AB$1006:AF1006),$AB$1006:$AQ$1006,0)), HYPERLINK("#",""), HYPERLINK(CONCATENATE("#metadata!", ADDRESS(INDEX($W$2:$W$1001,MATCH(ROWS($U$2:U649),$U$2:$U$1001,0),0), INDEX($AB$1004:$AQ$1004,1,MATCH(COLUMNS($AB$1006:AF1006),$AB$1006:$AQ$1006,0)))),"Fix")))</f>
        <v>0</v>
      </c>
      <c r="G649" s="4">
        <f>IF(OR(INDEX($V$2:$V$1001,MATCH(ROWS($U$2:U649),$U$2:$U$1001,0),1)&gt;=100000,INDEX($AB$1005:$AQ$1005,1,MATCH(COLUMNS($AB$1006:AG1006),$AB$1006:$AQ$1006,0))&gt;=100000), " ",IF(INDEX($AB$2:$AQ$1001,MATCH(ROWS($U$2:U649),$U$2:$U$1001,0),MATCH(COLUMNS($AB$1006:AG1006),$AB$1006:$AQ$1006,0)), HYPERLINK("#",""), HYPERLINK(CONCATENATE("#metadata!", ADDRESS(INDEX($W$2:$W$1001,MATCH(ROWS($U$2:U649),$U$2:$U$1001,0),0), INDEX($AB$1004:$AQ$1004,1,MATCH(COLUMNS($AB$1006:AG1006),$AB$1006:$AQ$1006,0)))),"Fix")))</f>
        <v>0</v>
      </c>
      <c r="H649" s="4">
        <f>IF(OR(INDEX($V$2:$V$1001,MATCH(ROWS($U$2:U649),$U$2:$U$1001,0),1)&gt;=100000,INDEX($AB$1005:$AQ$1005,1,MATCH(COLUMNS($AB$1006:AH1006),$AB$1006:$AQ$1006,0))&gt;=100000), " ",IF(INDEX($AB$2:$AQ$1001,MATCH(ROWS($U$2:U649),$U$2:$U$1001,0),MATCH(COLUMNS($AB$1006:AH1006),$AB$1006:$AQ$1006,0)), HYPERLINK("#",""), HYPERLINK(CONCATENATE("#metadata!", ADDRESS(INDEX($W$2:$W$1001,MATCH(ROWS($U$2:U649),$U$2:$U$1001,0),0), INDEX($AB$1004:$AQ$1004,1,MATCH(COLUMNS($AB$1006:AH1006),$AB$1006:$AQ$1006,0)))),"Fix")))</f>
        <v>0</v>
      </c>
      <c r="I649" s="4">
        <f>IF(OR(INDEX($V$2:$V$1001,MATCH(ROWS($U$2:U649),$U$2:$U$1001,0),1)&gt;=100000,INDEX($AB$1005:$AQ$1005,1,MATCH(COLUMNS($AB$1006:AI1006),$AB$1006:$AQ$1006,0))&gt;=100000), " ",IF(INDEX($AB$2:$AQ$1001,MATCH(ROWS($U$2:U649),$U$2:$U$1001,0),MATCH(COLUMNS($AB$1006:AI1006),$AB$1006:$AQ$1006,0)), HYPERLINK("#",""), HYPERLINK(CONCATENATE("#metadata!", ADDRESS(INDEX($W$2:$W$1001,MATCH(ROWS($U$2:U649),$U$2:$U$1001,0),0), INDEX($AB$1004:$AQ$1004,1,MATCH(COLUMNS($AB$1006:AI1006),$AB$1006:$AQ$1006,0)))),"Fix")))</f>
        <v>0</v>
      </c>
      <c r="J649" s="4">
        <f>IF(OR(INDEX($V$2:$V$1001,MATCH(ROWS($U$2:U649),$U$2:$U$1001,0),1)&gt;=100000,INDEX($AB$1005:$AQ$1005,1,MATCH(COLUMNS($AB$1006:AJ1006),$AB$1006:$AQ$1006,0))&gt;=100000), " ",IF(INDEX($AB$2:$AQ$1001,MATCH(ROWS($U$2:U649),$U$2:$U$1001,0),MATCH(COLUMNS($AB$1006:AJ1006),$AB$1006:$AQ$1006,0)), HYPERLINK("#",""), HYPERLINK(CONCATENATE("#metadata!", ADDRESS(INDEX($W$2:$W$1001,MATCH(ROWS($U$2:U649),$U$2:$U$1001,0),0), INDEX($AB$1004:$AQ$1004,1,MATCH(COLUMNS($AB$1006:AJ1006),$AB$1006:$AQ$1006,0)))),"Fix")))</f>
        <v>0</v>
      </c>
      <c r="K649" s="4">
        <f>IF(OR(INDEX($V$2:$V$1001,MATCH(ROWS($U$2:U649),$U$2:$U$1001,0),1)&gt;=100000,INDEX($AB$1005:$AQ$1005,1,MATCH(COLUMNS($AB$1006:AK1006),$AB$1006:$AQ$1006,0))&gt;=100000), " ",IF(INDEX($AB$2:$AQ$1001,MATCH(ROWS($U$2:U649),$U$2:$U$1001,0),MATCH(COLUMNS($AB$1006:AK1006),$AB$1006:$AQ$1006,0)), HYPERLINK("#",""), HYPERLINK(CONCATENATE("#metadata!", ADDRESS(INDEX($W$2:$W$1001,MATCH(ROWS($U$2:U649),$U$2:$U$1001,0),0), INDEX($AB$1004:$AQ$1004,1,MATCH(COLUMNS($AB$1006:AK1006),$AB$1006:$AQ$1006,0)))),"Fix")))</f>
        <v>0</v>
      </c>
      <c r="L649" s="4">
        <f>IF(OR(INDEX($V$2:$V$1001,MATCH(ROWS($U$2:U649),$U$2:$U$1001,0),1)&gt;=100000,INDEX($AB$1005:$AQ$1005,1,MATCH(COLUMNS($AB$1006:AL1006),$AB$1006:$AQ$1006,0))&gt;=100000), " ",IF(INDEX($AB$2:$AQ$1001,MATCH(ROWS($U$2:U649),$U$2:$U$1001,0),MATCH(COLUMNS($AB$1006:AL1006),$AB$1006:$AQ$1006,0)), HYPERLINK("#",""), HYPERLINK(CONCATENATE("#metadata!", ADDRESS(INDEX($W$2:$W$1001,MATCH(ROWS($U$2:U649),$U$2:$U$1001,0),0), INDEX($AB$1004:$AQ$1004,1,MATCH(COLUMNS($AB$1006:AL1006),$AB$1006:$AQ$1006,0)))),"Fix")))</f>
        <v>0</v>
      </c>
      <c r="M649" s="4">
        <f>IF(OR(INDEX($V$2:$V$1001,MATCH(ROWS($U$2:U649),$U$2:$U$1001,0),1)&gt;=100000,INDEX($AB$1005:$AQ$1005,1,MATCH(COLUMNS($AB$1006:AM1006),$AB$1006:$AQ$1006,0))&gt;=100000), " ",IF(INDEX($AB$2:$AQ$1001,MATCH(ROWS($U$2:U649),$U$2:$U$1001,0),MATCH(COLUMNS($AB$1006:AM1006),$AB$1006:$AQ$1006,0)), HYPERLINK("#",""), HYPERLINK(CONCATENATE("#metadata!", ADDRESS(INDEX($W$2:$W$1001,MATCH(ROWS($U$2:U649),$U$2:$U$1001,0),0), INDEX($AB$1004:$AQ$1004,1,MATCH(COLUMNS($AB$1006:AM1006),$AB$1006:$AQ$1006,0)))),"Fix")))</f>
        <v>0</v>
      </c>
      <c r="N649" s="4">
        <f>IF(OR(INDEX($V$2:$V$1001,MATCH(ROWS($U$2:U649),$U$2:$U$1001,0),1)&gt;=100000,INDEX($AB$1005:$AQ$1005,1,MATCH(COLUMNS($AB$1006:AN1006),$AB$1006:$AQ$1006,0))&gt;=100000), " ",IF(INDEX($AB$2:$AQ$1001,MATCH(ROWS($U$2:U649),$U$2:$U$1001,0),MATCH(COLUMNS($AB$1006:AN1006),$AB$1006:$AQ$1006,0)), HYPERLINK("#",""), HYPERLINK(CONCATENATE("#metadata!", ADDRESS(INDEX($W$2:$W$1001,MATCH(ROWS($U$2:U649),$U$2:$U$1001,0),0), INDEX($AB$1004:$AQ$1004,1,MATCH(COLUMNS($AB$1006:AN1006),$AB$1006:$AQ$1006,0)))),"Fix")))</f>
        <v>0</v>
      </c>
      <c r="O649" s="4">
        <f>IF(OR(INDEX($V$2:$V$1001,MATCH(ROWS($U$2:U649),$U$2:$U$1001,0),1)&gt;=100000,INDEX($AB$1005:$AQ$1005,1,MATCH(COLUMNS($AB$1006:AO1006),$AB$1006:$AQ$1006,0))&gt;=100000), " ",IF(INDEX($AB$2:$AQ$1001,MATCH(ROWS($U$2:U649),$U$2:$U$1001,0),MATCH(COLUMNS($AB$1006:AO1006),$AB$1006:$AQ$1006,0)), HYPERLINK("#",""), HYPERLINK(CONCATENATE("#metadata!", ADDRESS(INDEX($W$2:$W$1001,MATCH(ROWS($U$2:U649),$U$2:$U$1001,0),0), INDEX($AB$1004:$AQ$1004,1,MATCH(COLUMNS($AB$1006:AO1006),$AB$1006:$AQ$1006,0)))),"Fix")))</f>
        <v>0</v>
      </c>
      <c r="P649" s="4">
        <f>IF(OR(INDEX($V$2:$V$1001,MATCH(ROWS($U$2:U649),$U$2:$U$1001,0),1)&gt;=100000,INDEX($AB$1005:$AQ$1005,1,MATCH(COLUMNS($AB$1006:AP1006),$AB$1006:$AQ$1006,0))&gt;=100000), " ",IF(INDEX($AB$2:$AQ$1001,MATCH(ROWS($U$2:U649),$U$2:$U$1001,0),MATCH(COLUMNS($AB$1006:AP1006),$AB$1006:$AQ$1006,0)), HYPERLINK("#",""), HYPERLINK(CONCATENATE("#metadata!", ADDRESS(INDEX($W$2:$W$1001,MATCH(ROWS($U$2:U649),$U$2:$U$1001,0),0), INDEX($AB$1004:$AQ$1004,1,MATCH(COLUMNS($AB$1006:AP1006),$AB$1006:$AQ$1006,0)))),"Fix")))</f>
        <v>0</v>
      </c>
      <c r="Q649" s="4">
        <f>IF(OR(INDEX($V$2:$V$1001,MATCH(ROWS($U$2:U649),$U$2:$U$1001,0),1)&gt;=100000,INDEX($AB$1005:$AQ$1005,1,MATCH(COLUMNS($AB$1006:AQ1006),$AB$1006:$AQ$1006,0))&gt;=100000), " ",IF(INDEX($AB$2:$AQ$1001,MATCH(ROWS($U$2:U649),$U$2:$U$1001,0),MATCH(COLUMNS($AB$1006:AQ1006),$AB$1006:$AQ$1006,0)), HYPERLINK("#",""), HYPERLINK(CONCATENATE("#metadata!", ADDRESS(INDEX($W$2:$W$1001,MATCH(ROWS($U$2:U649),$U$2:$U$1001,0),0), INDEX($AB$1004:$AQ$1004,1,MATCH(COLUMNS($AB$1006:AQ1006),$AB$1006:$AQ$1006,0)))),"Fix")))</f>
        <v>0</v>
      </c>
      <c r="U649">
        <v>0</v>
      </c>
      <c r="V649">
        <v>0</v>
      </c>
      <c r="W649">
        <v>0</v>
      </c>
      <c r="X649">
        <f>IF(Y649,TRUE,AND(AB649:AQ649))</f>
        <v>0</v>
      </c>
      <c r="Y649">
        <f>COUNTBLANK(metadata!B649:Q649)=COLUMNS(metadata!B649:Q649)</f>
        <v>0</v>
      </c>
      <c r="Z649">
        <v>0</v>
      </c>
      <c r="AB649">
        <f>AND(IF(metadata!B649="",FALSE,TRUE),COUNTIF(metadata!B:B, metadata!B649) = 1,NOT(ISERROR(SUMPRODUCT(SEARCH(MID(metadata!B649,ROW(INDIRECT("1:"&amp;LEN(metadata!B649))), 1),"0123456789abcdefghijklmnopqrstuvwxyzABCDEFGHIJKLMNOPQRSTUVWXYZ.")))))</f>
        <v>0</v>
      </c>
      <c r="AC649">
        <f>OR(AND(IF(metadata!C649="",FALSE,TRUE),OR(exact(metadata!C649,"missing: not collected"),exact(metadata!C649,"missing: not provided"),exact(metadata!C649,"missing: restricted access"))),AND(IF(metadata!C649="",FALSE,TRUE),AND(AND(IFERROR(INT(LEFT(metadata!C649,4))&gt;1900,FALSE),IFERROR(INT(LEFT(metadata!C649,4))&lt;=YEAR(NOW()),FALSE)), OR(MID(metadata!C649,5,1)="", AND(AND(MID(metadata!C649,5,1)="-",IFERROR(INT(MID(metadata!C649,6,1))&gt;=0,FALSE),IFERROR(INT(MID(metadata!C649,6,1))&lt;=1,FALSE),NOT(MID(metadata!C649,7,1)=""),IFERROR(INT(MID(metadata!C649,6,2))&gt;=1,FALSE),IFERROR(INT(MID(metadata!C649,6,2))&lt;=12,FALSE)), OR(MID(metadata!C649,8,1)="", AND(AND(MID(metadata!C649,8,1)="-",IFERROR(INT(MID(metadata!C649,9,1))&gt;=0,FALSE),IFERROR(INT(MID(metadata!C649,9,1))&lt;=3,FALSE),NOT(MID(metadata!C649,10,1)=""),IFERROR(INT(MID(metadata!C649,9,2))&gt;=1,FALSE),IFERROR(INT(MID(metadata!C649,9,2))&lt;=31,FALSE)), OR(MID(metadata!C649,11,1)="", AND(AND(MID(metadata!C649,11,1)=" ",IFERROR(INT(MID(metadata!C649,12,1))&gt;=0,FALSE),IFERROR(INT(MID(metadata!C649,12,1))&lt;=2,FALSE),NOT(MID(metadata!C649,13,1)=""),IFERROR(INT(MID(metadata!C649,12,2))&gt;=0,FALSE),IFERROR(INT(MID(metadata!C649,12,2))&lt;=23,FALSE)), OR(MID(metadata!C649,14,1)="", AND(AND(MID(metadata!C649,14,1)=":",IFERROR(INT(MID(metadata!C649,15,1))&gt;=0,FALSE),IFERROR(INT(MID(metadata!C649,15,1))&lt;=5,FALSE),NOT(MID(metadata!C649,16,1)=""),IFERROR(INT(MID(metadata!C649,15,2))&gt;=0,FALSE),IFERROR(INT(MID(metadata!C649,15,2))&lt;=59,FALSE)), OR(MID(metadata!C649,17,1)="", AND(AND(MID(metadata!C649,17,1)=":",IFERROR(INT(MID(metadata!C649,18,1))&gt;=0,FALSE),IFERROR(INT(MID(metadata!C649,18,1))&lt;=5,FALSE),NOT(MID(metadata!C649,19,1)=""),IFERROR(INT(MID(metadata!C649,18,2))&gt;=0,FALSE),IFERROR(INT(MID(metadata!C649,18,2))&lt;=59,FALSE)), LEN(metadata!C649)&lt;=19)))))))))))))</f>
        <v>0</v>
      </c>
      <c r="AD649">
        <f>IF(metadata!D649="",FALSE,TRUE)</f>
        <v>0</v>
      </c>
      <c r="AE649">
        <f>OR(AND(IF(metadata!E649="",FALSE,TRUE),OR(exact(metadata!E649,"missing: not collected"),exact(metadata!E649,"missing: not provided"))),AND(IF(metadata!E649="",FALSE,TRUE),OR(exact(metadata!E649,"TRUE"),exact(metadata!E649,"FALSE"))))</f>
        <v>0</v>
      </c>
      <c r="AF649">
        <f>IF(metadata!F649="",FALSE,TRUE)</f>
        <v>0</v>
      </c>
      <c r="AG649">
        <f>IF(metadata!G649="",FALSE,TRUE)</f>
        <v>0</v>
      </c>
      <c r="AH649">
        <f>IF(metadata!H649="",FALSE,TRUE)</f>
        <v>0</v>
      </c>
      <c r="AI649">
        <f>OR(AND(IF(metadata!I649="",FALSE,TRUE),OR(exact(metadata!I649,"missing: not collected"),exact(metadata!I649,"missing: not provided"),exact(metadata!I649,"missing: restricted access"))),AND(IF(metadata!I649="",FALSE,TRUE),OR(exact(metadata!I649,"air"),exact(metadata!I649,"built environment"),exact(metadata!I649,"host-associated"),exact(metadata!I649,"human-associated"),exact(metadata!I649,"human-skin"),exact(metadata!I649,"human-oral"),exact(metadata!I649,"human-gut"),exact(metadata!I649,"human-vaginal"),exact(metadata!I649,"microbial mat/biofilm"),exact(metadata!I649,"misc environment"),exact(metadata!I649,"plant-associated"),exact(metadata!I649,"sediment"),exact(metadata!I649,"soil"),exact(metadata!I649,"wastewater/sludge"),exact(metadata!I649,"water"))))</f>
        <v>0</v>
      </c>
      <c r="AJ649">
        <f>IF(metadata!J649="",FALSE,TRUE)</f>
        <v>0</v>
      </c>
      <c r="AK649">
        <f>OR(AND(IF(metadata!K649="",FALSE,TRUE),OR(exact(metadata!K649,"missing: not collected"),exact(metadata!K649,"missing: not provided"),exact(metadata!K649,"missing: restricted access"))),AND(IF(metadata!K649="",FALSE,ISNUMBER(VALUE(metadata!K649))),metadata!K649&gt;=-90.00,metadata!K649&lt;=90.00))</f>
        <v>0</v>
      </c>
      <c r="AL649">
        <f>OR(AND(IF(metadata!L649="",FALSE,TRUE),OR(exact(metadata!L649,"missing: not collected"),exact(metadata!L649,"missing: not provided"),exact(metadata!L649,"missing: restricted access"))),AND(IF(metadata!L649="",FALSE,ISNUMBER(VALUE(metadata!L649))),metadata!L649&gt;=-180.00,metadata!L649&lt;=180.00))</f>
        <v>0</v>
      </c>
      <c r="AM649">
        <f>IF(metadata!M649="",FALSE,TRUE)</f>
        <v>0</v>
      </c>
      <c r="AN649">
        <f>OR(AND(IF(metadata!N649="",FALSE,TRUE),OR(exact(metadata!N649,"missing: not collected"),exact(metadata!N649,"missing: not provided"),exact(metadata!N649,"missing: restricted access"))),AND(IF(metadata!N649="",FALSE,TRUE),OR(exact(metadata!N649,"TRUE"),exact(metadata!N649,"FALSE"))))</f>
        <v>0</v>
      </c>
      <c r="AO649">
        <f>IF(metadata!O649="",FALSE,TRUE)</f>
        <v>0</v>
      </c>
      <c r="AP649">
        <f>OR(AND(IF(metadata!P649="",FALSE,TRUE),OR(exact(metadata!P649,"missing: not collected"),exact(metadata!P649,"missing: not provided"))),AND(IF(metadata!P649="",FALSE,IF(ISERROR(INT(metadata!P649)),FALSE,INT(metadata!P649)=metadata!P649)),metadata!P649&gt;0))</f>
        <v>0</v>
      </c>
      <c r="AQ649">
        <f>IF(metadata!Q649="",FALSE,TRUE)</f>
        <v>0</v>
      </c>
    </row>
    <row r="650" spans="1:43">
      <c r="A650" s="5">
        <f>IF(B650=" "," ",HYPERLINK(CONCATENATE("#metadata!",ADDRESS(INDEX($W$2:$W$1001,MATCH(ROWS($U$2:U650),$U$2:$U$1001,0),0),1)),INDEX($Z$2:$Z$1001,MATCH(ROWS($U$2:U650),$U$2:$U$1001,0),0)))</f>
        <v>0</v>
      </c>
      <c r="B650" s="4">
        <f>IF(OR(INDEX($V$2:$V$1001,MATCH(ROWS($U$2:U650),$U$2:$U$1001,0),1)&gt;=100000,INDEX($AB$1005:$AQ$1005,1,MATCH(COLUMNS($AB$1006:AB1006),$AB$1006:$AQ$1006,0))&gt;=100000), " ",IF(INDEX($AB$2:$AQ$1001,MATCH(ROWS($U$2:U650),$U$2:$U$1001,0),MATCH(COLUMNS($AB$1006:AB1006),$AB$1006:$AQ$1006,0)), HYPERLINK("#",""), HYPERLINK(CONCATENATE("#metadata!", ADDRESS(INDEX($W$2:$W$1001,MATCH(ROWS($U$2:U650),$U$2:$U$1001,0),0), INDEX($AB$1004:$AQ$1004,1,MATCH(COLUMNS($AB$1006:AB1006),$AB$1006:$AQ$1006,0)))),"Fix")))</f>
        <v>0</v>
      </c>
      <c r="C650" s="4">
        <f>IF(OR(INDEX($V$2:$V$1001,MATCH(ROWS($U$2:U650),$U$2:$U$1001,0),1)&gt;=100000,INDEX($AB$1005:$AQ$1005,1,MATCH(COLUMNS($AB$1006:AC1006),$AB$1006:$AQ$1006,0))&gt;=100000), " ",IF(INDEX($AB$2:$AQ$1001,MATCH(ROWS($U$2:U650),$U$2:$U$1001,0),MATCH(COLUMNS($AB$1006:AC1006),$AB$1006:$AQ$1006,0)), HYPERLINK("#",""), HYPERLINK(CONCATENATE("#metadata!", ADDRESS(INDEX($W$2:$W$1001,MATCH(ROWS($U$2:U650),$U$2:$U$1001,0),0), INDEX($AB$1004:$AQ$1004,1,MATCH(COLUMNS($AB$1006:AC1006),$AB$1006:$AQ$1006,0)))),"Fix")))</f>
        <v>0</v>
      </c>
      <c r="D650" s="4">
        <f>IF(OR(INDEX($V$2:$V$1001,MATCH(ROWS($U$2:U650),$U$2:$U$1001,0),1)&gt;=100000,INDEX($AB$1005:$AQ$1005,1,MATCH(COLUMNS($AB$1006:AD1006),$AB$1006:$AQ$1006,0))&gt;=100000), " ",IF(INDEX($AB$2:$AQ$1001,MATCH(ROWS($U$2:U650),$U$2:$U$1001,0),MATCH(COLUMNS($AB$1006:AD1006),$AB$1006:$AQ$1006,0)), HYPERLINK("#",""), HYPERLINK(CONCATENATE("#metadata!", ADDRESS(INDEX($W$2:$W$1001,MATCH(ROWS($U$2:U650),$U$2:$U$1001,0),0), INDEX($AB$1004:$AQ$1004,1,MATCH(COLUMNS($AB$1006:AD1006),$AB$1006:$AQ$1006,0)))),"Fix")))</f>
        <v>0</v>
      </c>
      <c r="E650" s="4">
        <f>IF(OR(INDEX($V$2:$V$1001,MATCH(ROWS($U$2:U650),$U$2:$U$1001,0),1)&gt;=100000,INDEX($AB$1005:$AQ$1005,1,MATCH(COLUMNS($AB$1006:AE1006),$AB$1006:$AQ$1006,0))&gt;=100000), " ",IF(INDEX($AB$2:$AQ$1001,MATCH(ROWS($U$2:U650),$U$2:$U$1001,0),MATCH(COLUMNS($AB$1006:AE1006),$AB$1006:$AQ$1006,0)), HYPERLINK("#",""), HYPERLINK(CONCATENATE("#metadata!", ADDRESS(INDEX($W$2:$W$1001,MATCH(ROWS($U$2:U650),$U$2:$U$1001,0),0), INDEX($AB$1004:$AQ$1004,1,MATCH(COLUMNS($AB$1006:AE1006),$AB$1006:$AQ$1006,0)))),"Fix")))</f>
        <v>0</v>
      </c>
      <c r="F650" s="4">
        <f>IF(OR(INDEX($V$2:$V$1001,MATCH(ROWS($U$2:U650),$U$2:$U$1001,0),1)&gt;=100000,INDEX($AB$1005:$AQ$1005,1,MATCH(COLUMNS($AB$1006:AF1006),$AB$1006:$AQ$1006,0))&gt;=100000), " ",IF(INDEX($AB$2:$AQ$1001,MATCH(ROWS($U$2:U650),$U$2:$U$1001,0),MATCH(COLUMNS($AB$1006:AF1006),$AB$1006:$AQ$1006,0)), HYPERLINK("#",""), HYPERLINK(CONCATENATE("#metadata!", ADDRESS(INDEX($W$2:$W$1001,MATCH(ROWS($U$2:U650),$U$2:$U$1001,0),0), INDEX($AB$1004:$AQ$1004,1,MATCH(COLUMNS($AB$1006:AF1006),$AB$1006:$AQ$1006,0)))),"Fix")))</f>
        <v>0</v>
      </c>
      <c r="G650" s="4">
        <f>IF(OR(INDEX($V$2:$V$1001,MATCH(ROWS($U$2:U650),$U$2:$U$1001,0),1)&gt;=100000,INDEX($AB$1005:$AQ$1005,1,MATCH(COLUMNS($AB$1006:AG1006),$AB$1006:$AQ$1006,0))&gt;=100000), " ",IF(INDEX($AB$2:$AQ$1001,MATCH(ROWS($U$2:U650),$U$2:$U$1001,0),MATCH(COLUMNS($AB$1006:AG1006),$AB$1006:$AQ$1006,0)), HYPERLINK("#",""), HYPERLINK(CONCATENATE("#metadata!", ADDRESS(INDEX($W$2:$W$1001,MATCH(ROWS($U$2:U650),$U$2:$U$1001,0),0), INDEX($AB$1004:$AQ$1004,1,MATCH(COLUMNS($AB$1006:AG1006),$AB$1006:$AQ$1006,0)))),"Fix")))</f>
        <v>0</v>
      </c>
      <c r="H650" s="4">
        <f>IF(OR(INDEX($V$2:$V$1001,MATCH(ROWS($U$2:U650),$U$2:$U$1001,0),1)&gt;=100000,INDEX($AB$1005:$AQ$1005,1,MATCH(COLUMNS($AB$1006:AH1006),$AB$1006:$AQ$1006,0))&gt;=100000), " ",IF(INDEX($AB$2:$AQ$1001,MATCH(ROWS($U$2:U650),$U$2:$U$1001,0),MATCH(COLUMNS($AB$1006:AH1006),$AB$1006:$AQ$1006,0)), HYPERLINK("#",""), HYPERLINK(CONCATENATE("#metadata!", ADDRESS(INDEX($W$2:$W$1001,MATCH(ROWS($U$2:U650),$U$2:$U$1001,0),0), INDEX($AB$1004:$AQ$1004,1,MATCH(COLUMNS($AB$1006:AH1006),$AB$1006:$AQ$1006,0)))),"Fix")))</f>
        <v>0</v>
      </c>
      <c r="I650" s="4">
        <f>IF(OR(INDEX($V$2:$V$1001,MATCH(ROWS($U$2:U650),$U$2:$U$1001,0),1)&gt;=100000,INDEX($AB$1005:$AQ$1005,1,MATCH(COLUMNS($AB$1006:AI1006),$AB$1006:$AQ$1006,0))&gt;=100000), " ",IF(INDEX($AB$2:$AQ$1001,MATCH(ROWS($U$2:U650),$U$2:$U$1001,0),MATCH(COLUMNS($AB$1006:AI1006),$AB$1006:$AQ$1006,0)), HYPERLINK("#",""), HYPERLINK(CONCATENATE("#metadata!", ADDRESS(INDEX($W$2:$W$1001,MATCH(ROWS($U$2:U650),$U$2:$U$1001,0),0), INDEX($AB$1004:$AQ$1004,1,MATCH(COLUMNS($AB$1006:AI1006),$AB$1006:$AQ$1006,0)))),"Fix")))</f>
        <v>0</v>
      </c>
      <c r="J650" s="4">
        <f>IF(OR(INDEX($V$2:$V$1001,MATCH(ROWS($U$2:U650),$U$2:$U$1001,0),1)&gt;=100000,INDEX($AB$1005:$AQ$1005,1,MATCH(COLUMNS($AB$1006:AJ1006),$AB$1006:$AQ$1006,0))&gt;=100000), " ",IF(INDEX($AB$2:$AQ$1001,MATCH(ROWS($U$2:U650),$U$2:$U$1001,0),MATCH(COLUMNS($AB$1006:AJ1006),$AB$1006:$AQ$1006,0)), HYPERLINK("#",""), HYPERLINK(CONCATENATE("#metadata!", ADDRESS(INDEX($W$2:$W$1001,MATCH(ROWS($U$2:U650),$U$2:$U$1001,0),0), INDEX($AB$1004:$AQ$1004,1,MATCH(COLUMNS($AB$1006:AJ1006),$AB$1006:$AQ$1006,0)))),"Fix")))</f>
        <v>0</v>
      </c>
      <c r="K650" s="4">
        <f>IF(OR(INDEX($V$2:$V$1001,MATCH(ROWS($U$2:U650),$U$2:$U$1001,0),1)&gt;=100000,INDEX($AB$1005:$AQ$1005,1,MATCH(COLUMNS($AB$1006:AK1006),$AB$1006:$AQ$1006,0))&gt;=100000), " ",IF(INDEX($AB$2:$AQ$1001,MATCH(ROWS($U$2:U650),$U$2:$U$1001,0),MATCH(COLUMNS($AB$1006:AK1006),$AB$1006:$AQ$1006,0)), HYPERLINK("#",""), HYPERLINK(CONCATENATE("#metadata!", ADDRESS(INDEX($W$2:$W$1001,MATCH(ROWS($U$2:U650),$U$2:$U$1001,0),0), INDEX($AB$1004:$AQ$1004,1,MATCH(COLUMNS($AB$1006:AK1006),$AB$1006:$AQ$1006,0)))),"Fix")))</f>
        <v>0</v>
      </c>
      <c r="L650" s="4">
        <f>IF(OR(INDEX($V$2:$V$1001,MATCH(ROWS($U$2:U650),$U$2:$U$1001,0),1)&gt;=100000,INDEX($AB$1005:$AQ$1005,1,MATCH(COLUMNS($AB$1006:AL1006),$AB$1006:$AQ$1006,0))&gt;=100000), " ",IF(INDEX($AB$2:$AQ$1001,MATCH(ROWS($U$2:U650),$U$2:$U$1001,0),MATCH(COLUMNS($AB$1006:AL1006),$AB$1006:$AQ$1006,0)), HYPERLINK("#",""), HYPERLINK(CONCATENATE("#metadata!", ADDRESS(INDEX($W$2:$W$1001,MATCH(ROWS($U$2:U650),$U$2:$U$1001,0),0), INDEX($AB$1004:$AQ$1004,1,MATCH(COLUMNS($AB$1006:AL1006),$AB$1006:$AQ$1006,0)))),"Fix")))</f>
        <v>0</v>
      </c>
      <c r="M650" s="4">
        <f>IF(OR(INDEX($V$2:$V$1001,MATCH(ROWS($U$2:U650),$U$2:$U$1001,0),1)&gt;=100000,INDEX($AB$1005:$AQ$1005,1,MATCH(COLUMNS($AB$1006:AM1006),$AB$1006:$AQ$1006,0))&gt;=100000), " ",IF(INDEX($AB$2:$AQ$1001,MATCH(ROWS($U$2:U650),$U$2:$U$1001,0),MATCH(COLUMNS($AB$1006:AM1006),$AB$1006:$AQ$1006,0)), HYPERLINK("#",""), HYPERLINK(CONCATENATE("#metadata!", ADDRESS(INDEX($W$2:$W$1001,MATCH(ROWS($U$2:U650),$U$2:$U$1001,0),0), INDEX($AB$1004:$AQ$1004,1,MATCH(COLUMNS($AB$1006:AM1006),$AB$1006:$AQ$1006,0)))),"Fix")))</f>
        <v>0</v>
      </c>
      <c r="N650" s="4">
        <f>IF(OR(INDEX($V$2:$V$1001,MATCH(ROWS($U$2:U650),$U$2:$U$1001,0),1)&gt;=100000,INDEX($AB$1005:$AQ$1005,1,MATCH(COLUMNS($AB$1006:AN1006),$AB$1006:$AQ$1006,0))&gt;=100000), " ",IF(INDEX($AB$2:$AQ$1001,MATCH(ROWS($U$2:U650),$U$2:$U$1001,0),MATCH(COLUMNS($AB$1006:AN1006),$AB$1006:$AQ$1006,0)), HYPERLINK("#",""), HYPERLINK(CONCATENATE("#metadata!", ADDRESS(INDEX($W$2:$W$1001,MATCH(ROWS($U$2:U650),$U$2:$U$1001,0),0), INDEX($AB$1004:$AQ$1004,1,MATCH(COLUMNS($AB$1006:AN1006),$AB$1006:$AQ$1006,0)))),"Fix")))</f>
        <v>0</v>
      </c>
      <c r="O650" s="4">
        <f>IF(OR(INDEX($V$2:$V$1001,MATCH(ROWS($U$2:U650),$U$2:$U$1001,0),1)&gt;=100000,INDEX($AB$1005:$AQ$1005,1,MATCH(COLUMNS($AB$1006:AO1006),$AB$1006:$AQ$1006,0))&gt;=100000), " ",IF(INDEX($AB$2:$AQ$1001,MATCH(ROWS($U$2:U650),$U$2:$U$1001,0),MATCH(COLUMNS($AB$1006:AO1006),$AB$1006:$AQ$1006,0)), HYPERLINK("#",""), HYPERLINK(CONCATENATE("#metadata!", ADDRESS(INDEX($W$2:$W$1001,MATCH(ROWS($U$2:U650),$U$2:$U$1001,0),0), INDEX($AB$1004:$AQ$1004,1,MATCH(COLUMNS($AB$1006:AO1006),$AB$1006:$AQ$1006,0)))),"Fix")))</f>
        <v>0</v>
      </c>
      <c r="P650" s="4">
        <f>IF(OR(INDEX($V$2:$V$1001,MATCH(ROWS($U$2:U650),$U$2:$U$1001,0),1)&gt;=100000,INDEX($AB$1005:$AQ$1005,1,MATCH(COLUMNS($AB$1006:AP1006),$AB$1006:$AQ$1006,0))&gt;=100000), " ",IF(INDEX($AB$2:$AQ$1001,MATCH(ROWS($U$2:U650),$U$2:$U$1001,0),MATCH(COLUMNS($AB$1006:AP1006),$AB$1006:$AQ$1006,0)), HYPERLINK("#",""), HYPERLINK(CONCATENATE("#metadata!", ADDRESS(INDEX($W$2:$W$1001,MATCH(ROWS($U$2:U650),$U$2:$U$1001,0),0), INDEX($AB$1004:$AQ$1004,1,MATCH(COLUMNS($AB$1006:AP1006),$AB$1006:$AQ$1006,0)))),"Fix")))</f>
        <v>0</v>
      </c>
      <c r="Q650" s="4">
        <f>IF(OR(INDEX($V$2:$V$1001,MATCH(ROWS($U$2:U650),$U$2:$U$1001,0),1)&gt;=100000,INDEX($AB$1005:$AQ$1005,1,MATCH(COLUMNS($AB$1006:AQ1006),$AB$1006:$AQ$1006,0))&gt;=100000), " ",IF(INDEX($AB$2:$AQ$1001,MATCH(ROWS($U$2:U650),$U$2:$U$1001,0),MATCH(COLUMNS($AB$1006:AQ1006),$AB$1006:$AQ$1006,0)), HYPERLINK("#",""), HYPERLINK(CONCATENATE("#metadata!", ADDRESS(INDEX($W$2:$W$1001,MATCH(ROWS($U$2:U650),$U$2:$U$1001,0),0), INDEX($AB$1004:$AQ$1004,1,MATCH(COLUMNS($AB$1006:AQ1006),$AB$1006:$AQ$1006,0)))),"Fix")))</f>
        <v>0</v>
      </c>
      <c r="U650">
        <v>0</v>
      </c>
      <c r="V650">
        <v>0</v>
      </c>
      <c r="W650">
        <v>0</v>
      </c>
      <c r="X650">
        <f>IF(Y650,TRUE,AND(AB650:AQ650))</f>
        <v>0</v>
      </c>
      <c r="Y650">
        <f>COUNTBLANK(metadata!B650:Q650)=COLUMNS(metadata!B650:Q650)</f>
        <v>0</v>
      </c>
      <c r="Z650">
        <v>0</v>
      </c>
      <c r="AB650">
        <f>AND(IF(metadata!B650="",FALSE,TRUE),COUNTIF(metadata!B:B, metadata!B650) = 1,NOT(ISERROR(SUMPRODUCT(SEARCH(MID(metadata!B650,ROW(INDIRECT("1:"&amp;LEN(metadata!B650))), 1),"0123456789abcdefghijklmnopqrstuvwxyzABCDEFGHIJKLMNOPQRSTUVWXYZ.")))))</f>
        <v>0</v>
      </c>
      <c r="AC650">
        <f>OR(AND(IF(metadata!C650="",FALSE,TRUE),OR(exact(metadata!C650,"missing: not collected"),exact(metadata!C650,"missing: not provided"),exact(metadata!C650,"missing: restricted access"))),AND(IF(metadata!C650="",FALSE,TRUE),AND(AND(IFERROR(INT(LEFT(metadata!C650,4))&gt;1900,FALSE),IFERROR(INT(LEFT(metadata!C650,4))&lt;=YEAR(NOW()),FALSE)), OR(MID(metadata!C650,5,1)="", AND(AND(MID(metadata!C650,5,1)="-",IFERROR(INT(MID(metadata!C650,6,1))&gt;=0,FALSE),IFERROR(INT(MID(metadata!C650,6,1))&lt;=1,FALSE),NOT(MID(metadata!C650,7,1)=""),IFERROR(INT(MID(metadata!C650,6,2))&gt;=1,FALSE),IFERROR(INT(MID(metadata!C650,6,2))&lt;=12,FALSE)), OR(MID(metadata!C650,8,1)="", AND(AND(MID(metadata!C650,8,1)="-",IFERROR(INT(MID(metadata!C650,9,1))&gt;=0,FALSE),IFERROR(INT(MID(metadata!C650,9,1))&lt;=3,FALSE),NOT(MID(metadata!C650,10,1)=""),IFERROR(INT(MID(metadata!C650,9,2))&gt;=1,FALSE),IFERROR(INT(MID(metadata!C650,9,2))&lt;=31,FALSE)), OR(MID(metadata!C650,11,1)="", AND(AND(MID(metadata!C650,11,1)=" ",IFERROR(INT(MID(metadata!C650,12,1))&gt;=0,FALSE),IFERROR(INT(MID(metadata!C650,12,1))&lt;=2,FALSE),NOT(MID(metadata!C650,13,1)=""),IFERROR(INT(MID(metadata!C650,12,2))&gt;=0,FALSE),IFERROR(INT(MID(metadata!C650,12,2))&lt;=23,FALSE)), OR(MID(metadata!C650,14,1)="", AND(AND(MID(metadata!C650,14,1)=":",IFERROR(INT(MID(metadata!C650,15,1))&gt;=0,FALSE),IFERROR(INT(MID(metadata!C650,15,1))&lt;=5,FALSE),NOT(MID(metadata!C650,16,1)=""),IFERROR(INT(MID(metadata!C650,15,2))&gt;=0,FALSE),IFERROR(INT(MID(metadata!C650,15,2))&lt;=59,FALSE)), OR(MID(metadata!C650,17,1)="", AND(AND(MID(metadata!C650,17,1)=":",IFERROR(INT(MID(metadata!C650,18,1))&gt;=0,FALSE),IFERROR(INT(MID(metadata!C650,18,1))&lt;=5,FALSE),NOT(MID(metadata!C650,19,1)=""),IFERROR(INT(MID(metadata!C650,18,2))&gt;=0,FALSE),IFERROR(INT(MID(metadata!C650,18,2))&lt;=59,FALSE)), LEN(metadata!C650)&lt;=19)))))))))))))</f>
        <v>0</v>
      </c>
      <c r="AD650">
        <f>IF(metadata!D650="",FALSE,TRUE)</f>
        <v>0</v>
      </c>
      <c r="AE650">
        <f>OR(AND(IF(metadata!E650="",FALSE,TRUE),OR(exact(metadata!E650,"missing: not collected"),exact(metadata!E650,"missing: not provided"))),AND(IF(metadata!E650="",FALSE,TRUE),OR(exact(metadata!E650,"TRUE"),exact(metadata!E650,"FALSE"))))</f>
        <v>0</v>
      </c>
      <c r="AF650">
        <f>IF(metadata!F650="",FALSE,TRUE)</f>
        <v>0</v>
      </c>
      <c r="AG650">
        <f>IF(metadata!G650="",FALSE,TRUE)</f>
        <v>0</v>
      </c>
      <c r="AH650">
        <f>IF(metadata!H650="",FALSE,TRUE)</f>
        <v>0</v>
      </c>
      <c r="AI650">
        <f>OR(AND(IF(metadata!I650="",FALSE,TRUE),OR(exact(metadata!I650,"missing: not collected"),exact(metadata!I650,"missing: not provided"),exact(metadata!I650,"missing: restricted access"))),AND(IF(metadata!I650="",FALSE,TRUE),OR(exact(metadata!I650,"air"),exact(metadata!I650,"built environment"),exact(metadata!I650,"host-associated"),exact(metadata!I650,"human-associated"),exact(metadata!I650,"human-skin"),exact(metadata!I650,"human-oral"),exact(metadata!I650,"human-gut"),exact(metadata!I650,"human-vaginal"),exact(metadata!I650,"microbial mat/biofilm"),exact(metadata!I650,"misc environment"),exact(metadata!I650,"plant-associated"),exact(metadata!I650,"sediment"),exact(metadata!I650,"soil"),exact(metadata!I650,"wastewater/sludge"),exact(metadata!I650,"water"))))</f>
        <v>0</v>
      </c>
      <c r="AJ650">
        <f>IF(metadata!J650="",FALSE,TRUE)</f>
        <v>0</v>
      </c>
      <c r="AK650">
        <f>OR(AND(IF(metadata!K650="",FALSE,TRUE),OR(exact(metadata!K650,"missing: not collected"),exact(metadata!K650,"missing: not provided"),exact(metadata!K650,"missing: restricted access"))),AND(IF(metadata!K650="",FALSE,ISNUMBER(VALUE(metadata!K650))),metadata!K650&gt;=-90.00,metadata!K650&lt;=90.00))</f>
        <v>0</v>
      </c>
      <c r="AL650">
        <f>OR(AND(IF(metadata!L650="",FALSE,TRUE),OR(exact(metadata!L650,"missing: not collected"),exact(metadata!L650,"missing: not provided"),exact(metadata!L650,"missing: restricted access"))),AND(IF(metadata!L650="",FALSE,ISNUMBER(VALUE(metadata!L650))),metadata!L650&gt;=-180.00,metadata!L650&lt;=180.00))</f>
        <v>0</v>
      </c>
      <c r="AM650">
        <f>IF(metadata!M650="",FALSE,TRUE)</f>
        <v>0</v>
      </c>
      <c r="AN650">
        <f>OR(AND(IF(metadata!N650="",FALSE,TRUE),OR(exact(metadata!N650,"missing: not collected"),exact(metadata!N650,"missing: not provided"),exact(metadata!N650,"missing: restricted access"))),AND(IF(metadata!N650="",FALSE,TRUE),OR(exact(metadata!N650,"TRUE"),exact(metadata!N650,"FALSE"))))</f>
        <v>0</v>
      </c>
      <c r="AO650">
        <f>IF(metadata!O650="",FALSE,TRUE)</f>
        <v>0</v>
      </c>
      <c r="AP650">
        <f>OR(AND(IF(metadata!P650="",FALSE,TRUE),OR(exact(metadata!P650,"missing: not collected"),exact(metadata!P650,"missing: not provided"))),AND(IF(metadata!P650="",FALSE,IF(ISERROR(INT(metadata!P650)),FALSE,INT(metadata!P650)=metadata!P650)),metadata!P650&gt;0))</f>
        <v>0</v>
      </c>
      <c r="AQ650">
        <f>IF(metadata!Q650="",FALSE,TRUE)</f>
        <v>0</v>
      </c>
    </row>
    <row r="651" spans="1:43">
      <c r="A651" s="5">
        <f>IF(B651=" "," ",HYPERLINK(CONCATENATE("#metadata!",ADDRESS(INDEX($W$2:$W$1001,MATCH(ROWS($U$2:U651),$U$2:$U$1001,0),0),1)),INDEX($Z$2:$Z$1001,MATCH(ROWS($U$2:U651),$U$2:$U$1001,0),0)))</f>
        <v>0</v>
      </c>
      <c r="B651" s="4">
        <f>IF(OR(INDEX($V$2:$V$1001,MATCH(ROWS($U$2:U651),$U$2:$U$1001,0),1)&gt;=100000,INDEX($AB$1005:$AQ$1005,1,MATCH(COLUMNS($AB$1006:AB1006),$AB$1006:$AQ$1006,0))&gt;=100000), " ",IF(INDEX($AB$2:$AQ$1001,MATCH(ROWS($U$2:U651),$U$2:$U$1001,0),MATCH(COLUMNS($AB$1006:AB1006),$AB$1006:$AQ$1006,0)), HYPERLINK("#",""), HYPERLINK(CONCATENATE("#metadata!", ADDRESS(INDEX($W$2:$W$1001,MATCH(ROWS($U$2:U651),$U$2:$U$1001,0),0), INDEX($AB$1004:$AQ$1004,1,MATCH(COLUMNS($AB$1006:AB1006),$AB$1006:$AQ$1006,0)))),"Fix")))</f>
        <v>0</v>
      </c>
      <c r="C651" s="4">
        <f>IF(OR(INDEX($V$2:$V$1001,MATCH(ROWS($U$2:U651),$U$2:$U$1001,0),1)&gt;=100000,INDEX($AB$1005:$AQ$1005,1,MATCH(COLUMNS($AB$1006:AC1006),$AB$1006:$AQ$1006,0))&gt;=100000), " ",IF(INDEX($AB$2:$AQ$1001,MATCH(ROWS($U$2:U651),$U$2:$U$1001,0),MATCH(COLUMNS($AB$1006:AC1006),$AB$1006:$AQ$1006,0)), HYPERLINK("#",""), HYPERLINK(CONCATENATE("#metadata!", ADDRESS(INDEX($W$2:$W$1001,MATCH(ROWS($U$2:U651),$U$2:$U$1001,0),0), INDEX($AB$1004:$AQ$1004,1,MATCH(COLUMNS($AB$1006:AC1006),$AB$1006:$AQ$1006,0)))),"Fix")))</f>
        <v>0</v>
      </c>
      <c r="D651" s="4">
        <f>IF(OR(INDEX($V$2:$V$1001,MATCH(ROWS($U$2:U651),$U$2:$U$1001,0),1)&gt;=100000,INDEX($AB$1005:$AQ$1005,1,MATCH(COLUMNS($AB$1006:AD1006),$AB$1006:$AQ$1006,0))&gt;=100000), " ",IF(INDEX($AB$2:$AQ$1001,MATCH(ROWS($U$2:U651),$U$2:$U$1001,0),MATCH(COLUMNS($AB$1006:AD1006),$AB$1006:$AQ$1006,0)), HYPERLINK("#",""), HYPERLINK(CONCATENATE("#metadata!", ADDRESS(INDEX($W$2:$W$1001,MATCH(ROWS($U$2:U651),$U$2:$U$1001,0),0), INDEX($AB$1004:$AQ$1004,1,MATCH(COLUMNS($AB$1006:AD1006),$AB$1006:$AQ$1006,0)))),"Fix")))</f>
        <v>0</v>
      </c>
      <c r="E651" s="4">
        <f>IF(OR(INDEX($V$2:$V$1001,MATCH(ROWS($U$2:U651),$U$2:$U$1001,0),1)&gt;=100000,INDEX($AB$1005:$AQ$1005,1,MATCH(COLUMNS($AB$1006:AE1006),$AB$1006:$AQ$1006,0))&gt;=100000), " ",IF(INDEX($AB$2:$AQ$1001,MATCH(ROWS($U$2:U651),$U$2:$U$1001,0),MATCH(COLUMNS($AB$1006:AE1006),$AB$1006:$AQ$1006,0)), HYPERLINK("#",""), HYPERLINK(CONCATENATE("#metadata!", ADDRESS(INDEX($W$2:$W$1001,MATCH(ROWS($U$2:U651),$U$2:$U$1001,0),0), INDEX($AB$1004:$AQ$1004,1,MATCH(COLUMNS($AB$1006:AE1006),$AB$1006:$AQ$1006,0)))),"Fix")))</f>
        <v>0</v>
      </c>
      <c r="F651" s="4">
        <f>IF(OR(INDEX($V$2:$V$1001,MATCH(ROWS($U$2:U651),$U$2:$U$1001,0),1)&gt;=100000,INDEX($AB$1005:$AQ$1005,1,MATCH(COLUMNS($AB$1006:AF1006),$AB$1006:$AQ$1006,0))&gt;=100000), " ",IF(INDEX($AB$2:$AQ$1001,MATCH(ROWS($U$2:U651),$U$2:$U$1001,0),MATCH(COLUMNS($AB$1006:AF1006),$AB$1006:$AQ$1006,0)), HYPERLINK("#",""), HYPERLINK(CONCATENATE("#metadata!", ADDRESS(INDEX($W$2:$W$1001,MATCH(ROWS($U$2:U651),$U$2:$U$1001,0),0), INDEX($AB$1004:$AQ$1004,1,MATCH(COLUMNS($AB$1006:AF1006),$AB$1006:$AQ$1006,0)))),"Fix")))</f>
        <v>0</v>
      </c>
      <c r="G651" s="4">
        <f>IF(OR(INDEX($V$2:$V$1001,MATCH(ROWS($U$2:U651),$U$2:$U$1001,0),1)&gt;=100000,INDEX($AB$1005:$AQ$1005,1,MATCH(COLUMNS($AB$1006:AG1006),$AB$1006:$AQ$1006,0))&gt;=100000), " ",IF(INDEX($AB$2:$AQ$1001,MATCH(ROWS($U$2:U651),$U$2:$U$1001,0),MATCH(COLUMNS($AB$1006:AG1006),$AB$1006:$AQ$1006,0)), HYPERLINK("#",""), HYPERLINK(CONCATENATE("#metadata!", ADDRESS(INDEX($W$2:$W$1001,MATCH(ROWS($U$2:U651),$U$2:$U$1001,0),0), INDEX($AB$1004:$AQ$1004,1,MATCH(COLUMNS($AB$1006:AG1006),$AB$1006:$AQ$1006,0)))),"Fix")))</f>
        <v>0</v>
      </c>
      <c r="H651" s="4">
        <f>IF(OR(INDEX($V$2:$V$1001,MATCH(ROWS($U$2:U651),$U$2:$U$1001,0),1)&gt;=100000,INDEX($AB$1005:$AQ$1005,1,MATCH(COLUMNS($AB$1006:AH1006),$AB$1006:$AQ$1006,0))&gt;=100000), " ",IF(INDEX($AB$2:$AQ$1001,MATCH(ROWS($U$2:U651),$U$2:$U$1001,0),MATCH(COLUMNS($AB$1006:AH1006),$AB$1006:$AQ$1006,0)), HYPERLINK("#",""), HYPERLINK(CONCATENATE("#metadata!", ADDRESS(INDEX($W$2:$W$1001,MATCH(ROWS($U$2:U651),$U$2:$U$1001,0),0), INDEX($AB$1004:$AQ$1004,1,MATCH(COLUMNS($AB$1006:AH1006),$AB$1006:$AQ$1006,0)))),"Fix")))</f>
        <v>0</v>
      </c>
      <c r="I651" s="4">
        <f>IF(OR(INDEX($V$2:$V$1001,MATCH(ROWS($U$2:U651),$U$2:$U$1001,0),1)&gt;=100000,INDEX($AB$1005:$AQ$1005,1,MATCH(COLUMNS($AB$1006:AI1006),$AB$1006:$AQ$1006,0))&gt;=100000), " ",IF(INDEX($AB$2:$AQ$1001,MATCH(ROWS($U$2:U651),$U$2:$U$1001,0),MATCH(COLUMNS($AB$1006:AI1006),$AB$1006:$AQ$1006,0)), HYPERLINK("#",""), HYPERLINK(CONCATENATE("#metadata!", ADDRESS(INDEX($W$2:$W$1001,MATCH(ROWS($U$2:U651),$U$2:$U$1001,0),0), INDEX($AB$1004:$AQ$1004,1,MATCH(COLUMNS($AB$1006:AI1006),$AB$1006:$AQ$1006,0)))),"Fix")))</f>
        <v>0</v>
      </c>
      <c r="J651" s="4">
        <f>IF(OR(INDEX($V$2:$V$1001,MATCH(ROWS($U$2:U651),$U$2:$U$1001,0),1)&gt;=100000,INDEX($AB$1005:$AQ$1005,1,MATCH(COLUMNS($AB$1006:AJ1006),$AB$1006:$AQ$1006,0))&gt;=100000), " ",IF(INDEX($AB$2:$AQ$1001,MATCH(ROWS($U$2:U651),$U$2:$U$1001,0),MATCH(COLUMNS($AB$1006:AJ1006),$AB$1006:$AQ$1006,0)), HYPERLINK("#",""), HYPERLINK(CONCATENATE("#metadata!", ADDRESS(INDEX($W$2:$W$1001,MATCH(ROWS($U$2:U651),$U$2:$U$1001,0),0), INDEX($AB$1004:$AQ$1004,1,MATCH(COLUMNS($AB$1006:AJ1006),$AB$1006:$AQ$1006,0)))),"Fix")))</f>
        <v>0</v>
      </c>
      <c r="K651" s="4">
        <f>IF(OR(INDEX($V$2:$V$1001,MATCH(ROWS($U$2:U651),$U$2:$U$1001,0),1)&gt;=100000,INDEX($AB$1005:$AQ$1005,1,MATCH(COLUMNS($AB$1006:AK1006),$AB$1006:$AQ$1006,0))&gt;=100000), " ",IF(INDEX($AB$2:$AQ$1001,MATCH(ROWS($U$2:U651),$U$2:$U$1001,0),MATCH(COLUMNS($AB$1006:AK1006),$AB$1006:$AQ$1006,0)), HYPERLINK("#",""), HYPERLINK(CONCATENATE("#metadata!", ADDRESS(INDEX($W$2:$W$1001,MATCH(ROWS($U$2:U651),$U$2:$U$1001,0),0), INDEX($AB$1004:$AQ$1004,1,MATCH(COLUMNS($AB$1006:AK1006),$AB$1006:$AQ$1006,0)))),"Fix")))</f>
        <v>0</v>
      </c>
      <c r="L651" s="4">
        <f>IF(OR(INDEX($V$2:$V$1001,MATCH(ROWS($U$2:U651),$U$2:$U$1001,0),1)&gt;=100000,INDEX($AB$1005:$AQ$1005,1,MATCH(COLUMNS($AB$1006:AL1006),$AB$1006:$AQ$1006,0))&gt;=100000), " ",IF(INDEX($AB$2:$AQ$1001,MATCH(ROWS($U$2:U651),$U$2:$U$1001,0),MATCH(COLUMNS($AB$1006:AL1006),$AB$1006:$AQ$1006,0)), HYPERLINK("#",""), HYPERLINK(CONCATENATE("#metadata!", ADDRESS(INDEX($W$2:$W$1001,MATCH(ROWS($U$2:U651),$U$2:$U$1001,0),0), INDEX($AB$1004:$AQ$1004,1,MATCH(COLUMNS($AB$1006:AL1006),$AB$1006:$AQ$1006,0)))),"Fix")))</f>
        <v>0</v>
      </c>
      <c r="M651" s="4">
        <f>IF(OR(INDEX($V$2:$V$1001,MATCH(ROWS($U$2:U651),$U$2:$U$1001,0),1)&gt;=100000,INDEX($AB$1005:$AQ$1005,1,MATCH(COLUMNS($AB$1006:AM1006),$AB$1006:$AQ$1006,0))&gt;=100000), " ",IF(INDEX($AB$2:$AQ$1001,MATCH(ROWS($U$2:U651),$U$2:$U$1001,0),MATCH(COLUMNS($AB$1006:AM1006),$AB$1006:$AQ$1006,0)), HYPERLINK("#",""), HYPERLINK(CONCATENATE("#metadata!", ADDRESS(INDEX($W$2:$W$1001,MATCH(ROWS($U$2:U651),$U$2:$U$1001,0),0), INDEX($AB$1004:$AQ$1004,1,MATCH(COLUMNS($AB$1006:AM1006),$AB$1006:$AQ$1006,0)))),"Fix")))</f>
        <v>0</v>
      </c>
      <c r="N651" s="4">
        <f>IF(OR(INDEX($V$2:$V$1001,MATCH(ROWS($U$2:U651),$U$2:$U$1001,0),1)&gt;=100000,INDEX($AB$1005:$AQ$1005,1,MATCH(COLUMNS($AB$1006:AN1006),$AB$1006:$AQ$1006,0))&gt;=100000), " ",IF(INDEX($AB$2:$AQ$1001,MATCH(ROWS($U$2:U651),$U$2:$U$1001,0),MATCH(COLUMNS($AB$1006:AN1006),$AB$1006:$AQ$1006,0)), HYPERLINK("#",""), HYPERLINK(CONCATENATE("#metadata!", ADDRESS(INDEX($W$2:$W$1001,MATCH(ROWS($U$2:U651),$U$2:$U$1001,0),0), INDEX($AB$1004:$AQ$1004,1,MATCH(COLUMNS($AB$1006:AN1006),$AB$1006:$AQ$1006,0)))),"Fix")))</f>
        <v>0</v>
      </c>
      <c r="O651" s="4">
        <f>IF(OR(INDEX($V$2:$V$1001,MATCH(ROWS($U$2:U651),$U$2:$U$1001,0),1)&gt;=100000,INDEX($AB$1005:$AQ$1005,1,MATCH(COLUMNS($AB$1006:AO1006),$AB$1006:$AQ$1006,0))&gt;=100000), " ",IF(INDEX($AB$2:$AQ$1001,MATCH(ROWS($U$2:U651),$U$2:$U$1001,0),MATCH(COLUMNS($AB$1006:AO1006),$AB$1006:$AQ$1006,0)), HYPERLINK("#",""), HYPERLINK(CONCATENATE("#metadata!", ADDRESS(INDEX($W$2:$W$1001,MATCH(ROWS($U$2:U651),$U$2:$U$1001,0),0), INDEX($AB$1004:$AQ$1004,1,MATCH(COLUMNS($AB$1006:AO1006),$AB$1006:$AQ$1006,0)))),"Fix")))</f>
        <v>0</v>
      </c>
      <c r="P651" s="4">
        <f>IF(OR(INDEX($V$2:$V$1001,MATCH(ROWS($U$2:U651),$U$2:$U$1001,0),1)&gt;=100000,INDEX($AB$1005:$AQ$1005,1,MATCH(COLUMNS($AB$1006:AP1006),$AB$1006:$AQ$1006,0))&gt;=100000), " ",IF(INDEX($AB$2:$AQ$1001,MATCH(ROWS($U$2:U651),$U$2:$U$1001,0),MATCH(COLUMNS($AB$1006:AP1006),$AB$1006:$AQ$1006,0)), HYPERLINK("#",""), HYPERLINK(CONCATENATE("#metadata!", ADDRESS(INDEX($W$2:$W$1001,MATCH(ROWS($U$2:U651),$U$2:$U$1001,0),0), INDEX($AB$1004:$AQ$1004,1,MATCH(COLUMNS($AB$1006:AP1006),$AB$1006:$AQ$1006,0)))),"Fix")))</f>
        <v>0</v>
      </c>
      <c r="Q651" s="4">
        <f>IF(OR(INDEX($V$2:$V$1001,MATCH(ROWS($U$2:U651),$U$2:$U$1001,0),1)&gt;=100000,INDEX($AB$1005:$AQ$1005,1,MATCH(COLUMNS($AB$1006:AQ1006),$AB$1006:$AQ$1006,0))&gt;=100000), " ",IF(INDEX($AB$2:$AQ$1001,MATCH(ROWS($U$2:U651),$U$2:$U$1001,0),MATCH(COLUMNS($AB$1006:AQ1006),$AB$1006:$AQ$1006,0)), HYPERLINK("#",""), HYPERLINK(CONCATENATE("#metadata!", ADDRESS(INDEX($W$2:$W$1001,MATCH(ROWS($U$2:U651),$U$2:$U$1001,0),0), INDEX($AB$1004:$AQ$1004,1,MATCH(COLUMNS($AB$1006:AQ1006),$AB$1006:$AQ$1006,0)))),"Fix")))</f>
        <v>0</v>
      </c>
      <c r="U651">
        <v>0</v>
      </c>
      <c r="V651">
        <v>0</v>
      </c>
      <c r="W651">
        <v>0</v>
      </c>
      <c r="X651">
        <f>IF(Y651,TRUE,AND(AB651:AQ651))</f>
        <v>0</v>
      </c>
      <c r="Y651">
        <f>COUNTBLANK(metadata!B651:Q651)=COLUMNS(metadata!B651:Q651)</f>
        <v>0</v>
      </c>
      <c r="Z651">
        <v>0</v>
      </c>
      <c r="AB651">
        <f>AND(IF(metadata!B651="",FALSE,TRUE),COUNTIF(metadata!B:B, metadata!B651) = 1,NOT(ISERROR(SUMPRODUCT(SEARCH(MID(metadata!B651,ROW(INDIRECT("1:"&amp;LEN(metadata!B651))), 1),"0123456789abcdefghijklmnopqrstuvwxyzABCDEFGHIJKLMNOPQRSTUVWXYZ.")))))</f>
        <v>0</v>
      </c>
      <c r="AC651">
        <f>OR(AND(IF(metadata!C651="",FALSE,TRUE),OR(exact(metadata!C651,"missing: not collected"),exact(metadata!C651,"missing: not provided"),exact(metadata!C651,"missing: restricted access"))),AND(IF(metadata!C651="",FALSE,TRUE),AND(AND(IFERROR(INT(LEFT(metadata!C651,4))&gt;1900,FALSE),IFERROR(INT(LEFT(metadata!C651,4))&lt;=YEAR(NOW()),FALSE)), OR(MID(metadata!C651,5,1)="", AND(AND(MID(metadata!C651,5,1)="-",IFERROR(INT(MID(metadata!C651,6,1))&gt;=0,FALSE),IFERROR(INT(MID(metadata!C651,6,1))&lt;=1,FALSE),NOT(MID(metadata!C651,7,1)=""),IFERROR(INT(MID(metadata!C651,6,2))&gt;=1,FALSE),IFERROR(INT(MID(metadata!C651,6,2))&lt;=12,FALSE)), OR(MID(metadata!C651,8,1)="", AND(AND(MID(metadata!C651,8,1)="-",IFERROR(INT(MID(metadata!C651,9,1))&gt;=0,FALSE),IFERROR(INT(MID(metadata!C651,9,1))&lt;=3,FALSE),NOT(MID(metadata!C651,10,1)=""),IFERROR(INT(MID(metadata!C651,9,2))&gt;=1,FALSE),IFERROR(INT(MID(metadata!C651,9,2))&lt;=31,FALSE)), OR(MID(metadata!C651,11,1)="", AND(AND(MID(metadata!C651,11,1)=" ",IFERROR(INT(MID(metadata!C651,12,1))&gt;=0,FALSE),IFERROR(INT(MID(metadata!C651,12,1))&lt;=2,FALSE),NOT(MID(metadata!C651,13,1)=""),IFERROR(INT(MID(metadata!C651,12,2))&gt;=0,FALSE),IFERROR(INT(MID(metadata!C651,12,2))&lt;=23,FALSE)), OR(MID(metadata!C651,14,1)="", AND(AND(MID(metadata!C651,14,1)=":",IFERROR(INT(MID(metadata!C651,15,1))&gt;=0,FALSE),IFERROR(INT(MID(metadata!C651,15,1))&lt;=5,FALSE),NOT(MID(metadata!C651,16,1)=""),IFERROR(INT(MID(metadata!C651,15,2))&gt;=0,FALSE),IFERROR(INT(MID(metadata!C651,15,2))&lt;=59,FALSE)), OR(MID(metadata!C651,17,1)="", AND(AND(MID(metadata!C651,17,1)=":",IFERROR(INT(MID(metadata!C651,18,1))&gt;=0,FALSE),IFERROR(INT(MID(metadata!C651,18,1))&lt;=5,FALSE),NOT(MID(metadata!C651,19,1)=""),IFERROR(INT(MID(metadata!C651,18,2))&gt;=0,FALSE),IFERROR(INT(MID(metadata!C651,18,2))&lt;=59,FALSE)), LEN(metadata!C651)&lt;=19)))))))))))))</f>
        <v>0</v>
      </c>
      <c r="AD651">
        <f>IF(metadata!D651="",FALSE,TRUE)</f>
        <v>0</v>
      </c>
      <c r="AE651">
        <f>OR(AND(IF(metadata!E651="",FALSE,TRUE),OR(exact(metadata!E651,"missing: not collected"),exact(metadata!E651,"missing: not provided"))),AND(IF(metadata!E651="",FALSE,TRUE),OR(exact(metadata!E651,"TRUE"),exact(metadata!E651,"FALSE"))))</f>
        <v>0</v>
      </c>
      <c r="AF651">
        <f>IF(metadata!F651="",FALSE,TRUE)</f>
        <v>0</v>
      </c>
      <c r="AG651">
        <f>IF(metadata!G651="",FALSE,TRUE)</f>
        <v>0</v>
      </c>
      <c r="AH651">
        <f>IF(metadata!H651="",FALSE,TRUE)</f>
        <v>0</v>
      </c>
      <c r="AI651">
        <f>OR(AND(IF(metadata!I651="",FALSE,TRUE),OR(exact(metadata!I651,"missing: not collected"),exact(metadata!I651,"missing: not provided"),exact(metadata!I651,"missing: restricted access"))),AND(IF(metadata!I651="",FALSE,TRUE),OR(exact(metadata!I651,"air"),exact(metadata!I651,"built environment"),exact(metadata!I651,"host-associated"),exact(metadata!I651,"human-associated"),exact(metadata!I651,"human-skin"),exact(metadata!I651,"human-oral"),exact(metadata!I651,"human-gut"),exact(metadata!I651,"human-vaginal"),exact(metadata!I651,"microbial mat/biofilm"),exact(metadata!I651,"misc environment"),exact(metadata!I651,"plant-associated"),exact(metadata!I651,"sediment"),exact(metadata!I651,"soil"),exact(metadata!I651,"wastewater/sludge"),exact(metadata!I651,"water"))))</f>
        <v>0</v>
      </c>
      <c r="AJ651">
        <f>IF(metadata!J651="",FALSE,TRUE)</f>
        <v>0</v>
      </c>
      <c r="AK651">
        <f>OR(AND(IF(metadata!K651="",FALSE,TRUE),OR(exact(metadata!K651,"missing: not collected"),exact(metadata!K651,"missing: not provided"),exact(metadata!K651,"missing: restricted access"))),AND(IF(metadata!K651="",FALSE,ISNUMBER(VALUE(metadata!K651))),metadata!K651&gt;=-90.00,metadata!K651&lt;=90.00))</f>
        <v>0</v>
      </c>
      <c r="AL651">
        <f>OR(AND(IF(metadata!L651="",FALSE,TRUE),OR(exact(metadata!L651,"missing: not collected"),exact(metadata!L651,"missing: not provided"),exact(metadata!L651,"missing: restricted access"))),AND(IF(metadata!L651="",FALSE,ISNUMBER(VALUE(metadata!L651))),metadata!L651&gt;=-180.00,metadata!L651&lt;=180.00))</f>
        <v>0</v>
      </c>
      <c r="AM651">
        <f>IF(metadata!M651="",FALSE,TRUE)</f>
        <v>0</v>
      </c>
      <c r="AN651">
        <f>OR(AND(IF(metadata!N651="",FALSE,TRUE),OR(exact(metadata!N651,"missing: not collected"),exact(metadata!N651,"missing: not provided"),exact(metadata!N651,"missing: restricted access"))),AND(IF(metadata!N651="",FALSE,TRUE),OR(exact(metadata!N651,"TRUE"),exact(metadata!N651,"FALSE"))))</f>
        <v>0</v>
      </c>
      <c r="AO651">
        <f>IF(metadata!O651="",FALSE,TRUE)</f>
        <v>0</v>
      </c>
      <c r="AP651">
        <f>OR(AND(IF(metadata!P651="",FALSE,TRUE),OR(exact(metadata!P651,"missing: not collected"),exact(metadata!P651,"missing: not provided"))),AND(IF(metadata!P651="",FALSE,IF(ISERROR(INT(metadata!P651)),FALSE,INT(metadata!P651)=metadata!P651)),metadata!P651&gt;0))</f>
        <v>0</v>
      </c>
      <c r="AQ651">
        <f>IF(metadata!Q651="",FALSE,TRUE)</f>
        <v>0</v>
      </c>
    </row>
    <row r="652" spans="1:43">
      <c r="A652" s="5">
        <f>IF(B652=" "," ",HYPERLINK(CONCATENATE("#metadata!",ADDRESS(INDEX($W$2:$W$1001,MATCH(ROWS($U$2:U652),$U$2:$U$1001,0),0),1)),INDEX($Z$2:$Z$1001,MATCH(ROWS($U$2:U652),$U$2:$U$1001,0),0)))</f>
        <v>0</v>
      </c>
      <c r="B652" s="4">
        <f>IF(OR(INDEX($V$2:$V$1001,MATCH(ROWS($U$2:U652),$U$2:$U$1001,0),1)&gt;=100000,INDEX($AB$1005:$AQ$1005,1,MATCH(COLUMNS($AB$1006:AB1006),$AB$1006:$AQ$1006,0))&gt;=100000), " ",IF(INDEX($AB$2:$AQ$1001,MATCH(ROWS($U$2:U652),$U$2:$U$1001,0),MATCH(COLUMNS($AB$1006:AB1006),$AB$1006:$AQ$1006,0)), HYPERLINK("#",""), HYPERLINK(CONCATENATE("#metadata!", ADDRESS(INDEX($W$2:$W$1001,MATCH(ROWS($U$2:U652),$U$2:$U$1001,0),0), INDEX($AB$1004:$AQ$1004,1,MATCH(COLUMNS($AB$1006:AB1006),$AB$1006:$AQ$1006,0)))),"Fix")))</f>
        <v>0</v>
      </c>
      <c r="C652" s="4">
        <f>IF(OR(INDEX($V$2:$V$1001,MATCH(ROWS($U$2:U652),$U$2:$U$1001,0),1)&gt;=100000,INDEX($AB$1005:$AQ$1005,1,MATCH(COLUMNS($AB$1006:AC1006),$AB$1006:$AQ$1006,0))&gt;=100000), " ",IF(INDEX($AB$2:$AQ$1001,MATCH(ROWS($U$2:U652),$U$2:$U$1001,0),MATCH(COLUMNS($AB$1006:AC1006),$AB$1006:$AQ$1006,0)), HYPERLINK("#",""), HYPERLINK(CONCATENATE("#metadata!", ADDRESS(INDEX($W$2:$W$1001,MATCH(ROWS($U$2:U652),$U$2:$U$1001,0),0), INDEX($AB$1004:$AQ$1004,1,MATCH(COLUMNS($AB$1006:AC1006),$AB$1006:$AQ$1006,0)))),"Fix")))</f>
        <v>0</v>
      </c>
      <c r="D652" s="4">
        <f>IF(OR(INDEX($V$2:$V$1001,MATCH(ROWS($U$2:U652),$U$2:$U$1001,0),1)&gt;=100000,INDEX($AB$1005:$AQ$1005,1,MATCH(COLUMNS($AB$1006:AD1006),$AB$1006:$AQ$1006,0))&gt;=100000), " ",IF(INDEX($AB$2:$AQ$1001,MATCH(ROWS($U$2:U652),$U$2:$U$1001,0),MATCH(COLUMNS($AB$1006:AD1006),$AB$1006:$AQ$1006,0)), HYPERLINK("#",""), HYPERLINK(CONCATENATE("#metadata!", ADDRESS(INDEX($W$2:$W$1001,MATCH(ROWS($U$2:U652),$U$2:$U$1001,0),0), INDEX($AB$1004:$AQ$1004,1,MATCH(COLUMNS($AB$1006:AD1006),$AB$1006:$AQ$1006,0)))),"Fix")))</f>
        <v>0</v>
      </c>
      <c r="E652" s="4">
        <f>IF(OR(INDEX($V$2:$V$1001,MATCH(ROWS($U$2:U652),$U$2:$U$1001,0),1)&gt;=100000,INDEX($AB$1005:$AQ$1005,1,MATCH(COLUMNS($AB$1006:AE1006),$AB$1006:$AQ$1006,0))&gt;=100000), " ",IF(INDEX($AB$2:$AQ$1001,MATCH(ROWS($U$2:U652),$U$2:$U$1001,0),MATCH(COLUMNS($AB$1006:AE1006),$AB$1006:$AQ$1006,0)), HYPERLINK("#",""), HYPERLINK(CONCATENATE("#metadata!", ADDRESS(INDEX($W$2:$W$1001,MATCH(ROWS($U$2:U652),$U$2:$U$1001,0),0), INDEX($AB$1004:$AQ$1004,1,MATCH(COLUMNS($AB$1006:AE1006),$AB$1006:$AQ$1006,0)))),"Fix")))</f>
        <v>0</v>
      </c>
      <c r="F652" s="4">
        <f>IF(OR(INDEX($V$2:$V$1001,MATCH(ROWS($U$2:U652),$U$2:$U$1001,0),1)&gt;=100000,INDEX($AB$1005:$AQ$1005,1,MATCH(COLUMNS($AB$1006:AF1006),$AB$1006:$AQ$1006,0))&gt;=100000), " ",IF(INDEX($AB$2:$AQ$1001,MATCH(ROWS($U$2:U652),$U$2:$U$1001,0),MATCH(COLUMNS($AB$1006:AF1006),$AB$1006:$AQ$1006,0)), HYPERLINK("#",""), HYPERLINK(CONCATENATE("#metadata!", ADDRESS(INDEX($W$2:$W$1001,MATCH(ROWS($U$2:U652),$U$2:$U$1001,0),0), INDEX($AB$1004:$AQ$1004,1,MATCH(COLUMNS($AB$1006:AF1006),$AB$1006:$AQ$1006,0)))),"Fix")))</f>
        <v>0</v>
      </c>
      <c r="G652" s="4">
        <f>IF(OR(INDEX($V$2:$V$1001,MATCH(ROWS($U$2:U652),$U$2:$U$1001,0),1)&gt;=100000,INDEX($AB$1005:$AQ$1005,1,MATCH(COLUMNS($AB$1006:AG1006),$AB$1006:$AQ$1006,0))&gt;=100000), " ",IF(INDEX($AB$2:$AQ$1001,MATCH(ROWS($U$2:U652),$U$2:$U$1001,0),MATCH(COLUMNS($AB$1006:AG1006),$AB$1006:$AQ$1006,0)), HYPERLINK("#",""), HYPERLINK(CONCATENATE("#metadata!", ADDRESS(INDEX($W$2:$W$1001,MATCH(ROWS($U$2:U652),$U$2:$U$1001,0),0), INDEX($AB$1004:$AQ$1004,1,MATCH(COLUMNS($AB$1006:AG1006),$AB$1006:$AQ$1006,0)))),"Fix")))</f>
        <v>0</v>
      </c>
      <c r="H652" s="4">
        <f>IF(OR(INDEX($V$2:$V$1001,MATCH(ROWS($U$2:U652),$U$2:$U$1001,0),1)&gt;=100000,INDEX($AB$1005:$AQ$1005,1,MATCH(COLUMNS($AB$1006:AH1006),$AB$1006:$AQ$1006,0))&gt;=100000), " ",IF(INDEX($AB$2:$AQ$1001,MATCH(ROWS($U$2:U652),$U$2:$U$1001,0),MATCH(COLUMNS($AB$1006:AH1006),$AB$1006:$AQ$1006,0)), HYPERLINK("#",""), HYPERLINK(CONCATENATE("#metadata!", ADDRESS(INDEX($W$2:$W$1001,MATCH(ROWS($U$2:U652),$U$2:$U$1001,0),0), INDEX($AB$1004:$AQ$1004,1,MATCH(COLUMNS($AB$1006:AH1006),$AB$1006:$AQ$1006,0)))),"Fix")))</f>
        <v>0</v>
      </c>
      <c r="I652" s="4">
        <f>IF(OR(INDEX($V$2:$V$1001,MATCH(ROWS($U$2:U652),$U$2:$U$1001,0),1)&gt;=100000,INDEX($AB$1005:$AQ$1005,1,MATCH(COLUMNS($AB$1006:AI1006),$AB$1006:$AQ$1006,0))&gt;=100000), " ",IF(INDEX($AB$2:$AQ$1001,MATCH(ROWS($U$2:U652),$U$2:$U$1001,0),MATCH(COLUMNS($AB$1006:AI1006),$AB$1006:$AQ$1006,0)), HYPERLINK("#",""), HYPERLINK(CONCATENATE("#metadata!", ADDRESS(INDEX($W$2:$W$1001,MATCH(ROWS($U$2:U652),$U$2:$U$1001,0),0), INDEX($AB$1004:$AQ$1004,1,MATCH(COLUMNS($AB$1006:AI1006),$AB$1006:$AQ$1006,0)))),"Fix")))</f>
        <v>0</v>
      </c>
      <c r="J652" s="4">
        <f>IF(OR(INDEX($V$2:$V$1001,MATCH(ROWS($U$2:U652),$U$2:$U$1001,0),1)&gt;=100000,INDEX($AB$1005:$AQ$1005,1,MATCH(COLUMNS($AB$1006:AJ1006),$AB$1006:$AQ$1006,0))&gt;=100000), " ",IF(INDEX($AB$2:$AQ$1001,MATCH(ROWS($U$2:U652),$U$2:$U$1001,0),MATCH(COLUMNS($AB$1006:AJ1006),$AB$1006:$AQ$1006,0)), HYPERLINK("#",""), HYPERLINK(CONCATENATE("#metadata!", ADDRESS(INDEX($W$2:$W$1001,MATCH(ROWS($U$2:U652),$U$2:$U$1001,0),0), INDEX($AB$1004:$AQ$1004,1,MATCH(COLUMNS($AB$1006:AJ1006),$AB$1006:$AQ$1006,0)))),"Fix")))</f>
        <v>0</v>
      </c>
      <c r="K652" s="4">
        <f>IF(OR(INDEX($V$2:$V$1001,MATCH(ROWS($U$2:U652),$U$2:$U$1001,0),1)&gt;=100000,INDEX($AB$1005:$AQ$1005,1,MATCH(COLUMNS($AB$1006:AK1006),$AB$1006:$AQ$1006,0))&gt;=100000), " ",IF(INDEX($AB$2:$AQ$1001,MATCH(ROWS($U$2:U652),$U$2:$U$1001,0),MATCH(COLUMNS($AB$1006:AK1006),$AB$1006:$AQ$1006,0)), HYPERLINK("#",""), HYPERLINK(CONCATENATE("#metadata!", ADDRESS(INDEX($W$2:$W$1001,MATCH(ROWS($U$2:U652),$U$2:$U$1001,0),0), INDEX($AB$1004:$AQ$1004,1,MATCH(COLUMNS($AB$1006:AK1006),$AB$1006:$AQ$1006,0)))),"Fix")))</f>
        <v>0</v>
      </c>
      <c r="L652" s="4">
        <f>IF(OR(INDEX($V$2:$V$1001,MATCH(ROWS($U$2:U652),$U$2:$U$1001,0),1)&gt;=100000,INDEX($AB$1005:$AQ$1005,1,MATCH(COLUMNS($AB$1006:AL1006),$AB$1006:$AQ$1006,0))&gt;=100000), " ",IF(INDEX($AB$2:$AQ$1001,MATCH(ROWS($U$2:U652),$U$2:$U$1001,0),MATCH(COLUMNS($AB$1006:AL1006),$AB$1006:$AQ$1006,0)), HYPERLINK("#",""), HYPERLINK(CONCATENATE("#metadata!", ADDRESS(INDEX($W$2:$W$1001,MATCH(ROWS($U$2:U652),$U$2:$U$1001,0),0), INDEX($AB$1004:$AQ$1004,1,MATCH(COLUMNS($AB$1006:AL1006),$AB$1006:$AQ$1006,0)))),"Fix")))</f>
        <v>0</v>
      </c>
      <c r="M652" s="4">
        <f>IF(OR(INDEX($V$2:$V$1001,MATCH(ROWS($U$2:U652),$U$2:$U$1001,0),1)&gt;=100000,INDEX($AB$1005:$AQ$1005,1,MATCH(COLUMNS($AB$1006:AM1006),$AB$1006:$AQ$1006,0))&gt;=100000), " ",IF(INDEX($AB$2:$AQ$1001,MATCH(ROWS($U$2:U652),$U$2:$U$1001,0),MATCH(COLUMNS($AB$1006:AM1006),$AB$1006:$AQ$1006,0)), HYPERLINK("#",""), HYPERLINK(CONCATENATE("#metadata!", ADDRESS(INDEX($W$2:$W$1001,MATCH(ROWS($U$2:U652),$U$2:$U$1001,0),0), INDEX($AB$1004:$AQ$1004,1,MATCH(COLUMNS($AB$1006:AM1006),$AB$1006:$AQ$1006,0)))),"Fix")))</f>
        <v>0</v>
      </c>
      <c r="N652" s="4">
        <f>IF(OR(INDEX($V$2:$V$1001,MATCH(ROWS($U$2:U652),$U$2:$U$1001,0),1)&gt;=100000,INDEX($AB$1005:$AQ$1005,1,MATCH(COLUMNS($AB$1006:AN1006),$AB$1006:$AQ$1006,0))&gt;=100000), " ",IF(INDEX($AB$2:$AQ$1001,MATCH(ROWS($U$2:U652),$U$2:$U$1001,0),MATCH(COLUMNS($AB$1006:AN1006),$AB$1006:$AQ$1006,0)), HYPERLINK("#",""), HYPERLINK(CONCATENATE("#metadata!", ADDRESS(INDEX($W$2:$W$1001,MATCH(ROWS($U$2:U652),$U$2:$U$1001,0),0), INDEX($AB$1004:$AQ$1004,1,MATCH(COLUMNS($AB$1006:AN1006),$AB$1006:$AQ$1006,0)))),"Fix")))</f>
        <v>0</v>
      </c>
      <c r="O652" s="4">
        <f>IF(OR(INDEX($V$2:$V$1001,MATCH(ROWS($U$2:U652),$U$2:$U$1001,0),1)&gt;=100000,INDEX($AB$1005:$AQ$1005,1,MATCH(COLUMNS($AB$1006:AO1006),$AB$1006:$AQ$1006,0))&gt;=100000), " ",IF(INDEX($AB$2:$AQ$1001,MATCH(ROWS($U$2:U652),$U$2:$U$1001,0),MATCH(COLUMNS($AB$1006:AO1006),$AB$1006:$AQ$1006,0)), HYPERLINK("#",""), HYPERLINK(CONCATENATE("#metadata!", ADDRESS(INDEX($W$2:$W$1001,MATCH(ROWS($U$2:U652),$U$2:$U$1001,0),0), INDEX($AB$1004:$AQ$1004,1,MATCH(COLUMNS($AB$1006:AO1006),$AB$1006:$AQ$1006,0)))),"Fix")))</f>
        <v>0</v>
      </c>
      <c r="P652" s="4">
        <f>IF(OR(INDEX($V$2:$V$1001,MATCH(ROWS($U$2:U652),$U$2:$U$1001,0),1)&gt;=100000,INDEX($AB$1005:$AQ$1005,1,MATCH(COLUMNS($AB$1006:AP1006),$AB$1006:$AQ$1006,0))&gt;=100000), " ",IF(INDEX($AB$2:$AQ$1001,MATCH(ROWS($U$2:U652),$U$2:$U$1001,0),MATCH(COLUMNS($AB$1006:AP1006),$AB$1006:$AQ$1006,0)), HYPERLINK("#",""), HYPERLINK(CONCATENATE("#metadata!", ADDRESS(INDEX($W$2:$W$1001,MATCH(ROWS($U$2:U652),$U$2:$U$1001,0),0), INDEX($AB$1004:$AQ$1004,1,MATCH(COLUMNS($AB$1006:AP1006),$AB$1006:$AQ$1006,0)))),"Fix")))</f>
        <v>0</v>
      </c>
      <c r="Q652" s="4">
        <f>IF(OR(INDEX($V$2:$V$1001,MATCH(ROWS($U$2:U652),$U$2:$U$1001,0),1)&gt;=100000,INDEX($AB$1005:$AQ$1005,1,MATCH(COLUMNS($AB$1006:AQ1006),$AB$1006:$AQ$1006,0))&gt;=100000), " ",IF(INDEX($AB$2:$AQ$1001,MATCH(ROWS($U$2:U652),$U$2:$U$1001,0),MATCH(COLUMNS($AB$1006:AQ1006),$AB$1006:$AQ$1006,0)), HYPERLINK("#",""), HYPERLINK(CONCATENATE("#metadata!", ADDRESS(INDEX($W$2:$W$1001,MATCH(ROWS($U$2:U652),$U$2:$U$1001,0),0), INDEX($AB$1004:$AQ$1004,1,MATCH(COLUMNS($AB$1006:AQ1006),$AB$1006:$AQ$1006,0)))),"Fix")))</f>
        <v>0</v>
      </c>
      <c r="U652">
        <v>0</v>
      </c>
      <c r="V652">
        <v>0</v>
      </c>
      <c r="W652">
        <v>0</v>
      </c>
      <c r="X652">
        <f>IF(Y652,TRUE,AND(AB652:AQ652))</f>
        <v>0</v>
      </c>
      <c r="Y652">
        <f>COUNTBLANK(metadata!B652:Q652)=COLUMNS(metadata!B652:Q652)</f>
        <v>0</v>
      </c>
      <c r="Z652">
        <v>0</v>
      </c>
      <c r="AB652">
        <f>AND(IF(metadata!B652="",FALSE,TRUE),COUNTIF(metadata!B:B, metadata!B652) = 1,NOT(ISERROR(SUMPRODUCT(SEARCH(MID(metadata!B652,ROW(INDIRECT("1:"&amp;LEN(metadata!B652))), 1),"0123456789abcdefghijklmnopqrstuvwxyzABCDEFGHIJKLMNOPQRSTUVWXYZ.")))))</f>
        <v>0</v>
      </c>
      <c r="AC652">
        <f>OR(AND(IF(metadata!C652="",FALSE,TRUE),OR(exact(metadata!C652,"missing: not collected"),exact(metadata!C652,"missing: not provided"),exact(metadata!C652,"missing: restricted access"))),AND(IF(metadata!C652="",FALSE,TRUE),AND(AND(IFERROR(INT(LEFT(metadata!C652,4))&gt;1900,FALSE),IFERROR(INT(LEFT(metadata!C652,4))&lt;=YEAR(NOW()),FALSE)), OR(MID(metadata!C652,5,1)="", AND(AND(MID(metadata!C652,5,1)="-",IFERROR(INT(MID(metadata!C652,6,1))&gt;=0,FALSE),IFERROR(INT(MID(metadata!C652,6,1))&lt;=1,FALSE),NOT(MID(metadata!C652,7,1)=""),IFERROR(INT(MID(metadata!C652,6,2))&gt;=1,FALSE),IFERROR(INT(MID(metadata!C652,6,2))&lt;=12,FALSE)), OR(MID(metadata!C652,8,1)="", AND(AND(MID(metadata!C652,8,1)="-",IFERROR(INT(MID(metadata!C652,9,1))&gt;=0,FALSE),IFERROR(INT(MID(metadata!C652,9,1))&lt;=3,FALSE),NOT(MID(metadata!C652,10,1)=""),IFERROR(INT(MID(metadata!C652,9,2))&gt;=1,FALSE),IFERROR(INT(MID(metadata!C652,9,2))&lt;=31,FALSE)), OR(MID(metadata!C652,11,1)="", AND(AND(MID(metadata!C652,11,1)=" ",IFERROR(INT(MID(metadata!C652,12,1))&gt;=0,FALSE),IFERROR(INT(MID(metadata!C652,12,1))&lt;=2,FALSE),NOT(MID(metadata!C652,13,1)=""),IFERROR(INT(MID(metadata!C652,12,2))&gt;=0,FALSE),IFERROR(INT(MID(metadata!C652,12,2))&lt;=23,FALSE)), OR(MID(metadata!C652,14,1)="", AND(AND(MID(metadata!C652,14,1)=":",IFERROR(INT(MID(metadata!C652,15,1))&gt;=0,FALSE),IFERROR(INT(MID(metadata!C652,15,1))&lt;=5,FALSE),NOT(MID(metadata!C652,16,1)=""),IFERROR(INT(MID(metadata!C652,15,2))&gt;=0,FALSE),IFERROR(INT(MID(metadata!C652,15,2))&lt;=59,FALSE)), OR(MID(metadata!C652,17,1)="", AND(AND(MID(metadata!C652,17,1)=":",IFERROR(INT(MID(metadata!C652,18,1))&gt;=0,FALSE),IFERROR(INT(MID(metadata!C652,18,1))&lt;=5,FALSE),NOT(MID(metadata!C652,19,1)=""),IFERROR(INT(MID(metadata!C652,18,2))&gt;=0,FALSE),IFERROR(INT(MID(metadata!C652,18,2))&lt;=59,FALSE)), LEN(metadata!C652)&lt;=19)))))))))))))</f>
        <v>0</v>
      </c>
      <c r="AD652">
        <f>IF(metadata!D652="",FALSE,TRUE)</f>
        <v>0</v>
      </c>
      <c r="AE652">
        <f>OR(AND(IF(metadata!E652="",FALSE,TRUE),OR(exact(metadata!E652,"missing: not collected"),exact(metadata!E652,"missing: not provided"))),AND(IF(metadata!E652="",FALSE,TRUE),OR(exact(metadata!E652,"TRUE"),exact(metadata!E652,"FALSE"))))</f>
        <v>0</v>
      </c>
      <c r="AF652">
        <f>IF(metadata!F652="",FALSE,TRUE)</f>
        <v>0</v>
      </c>
      <c r="AG652">
        <f>IF(metadata!G652="",FALSE,TRUE)</f>
        <v>0</v>
      </c>
      <c r="AH652">
        <f>IF(metadata!H652="",FALSE,TRUE)</f>
        <v>0</v>
      </c>
      <c r="AI652">
        <f>OR(AND(IF(metadata!I652="",FALSE,TRUE),OR(exact(metadata!I652,"missing: not collected"),exact(metadata!I652,"missing: not provided"),exact(metadata!I652,"missing: restricted access"))),AND(IF(metadata!I652="",FALSE,TRUE),OR(exact(metadata!I652,"air"),exact(metadata!I652,"built environment"),exact(metadata!I652,"host-associated"),exact(metadata!I652,"human-associated"),exact(metadata!I652,"human-skin"),exact(metadata!I652,"human-oral"),exact(metadata!I652,"human-gut"),exact(metadata!I652,"human-vaginal"),exact(metadata!I652,"microbial mat/biofilm"),exact(metadata!I652,"misc environment"),exact(metadata!I652,"plant-associated"),exact(metadata!I652,"sediment"),exact(metadata!I652,"soil"),exact(metadata!I652,"wastewater/sludge"),exact(metadata!I652,"water"))))</f>
        <v>0</v>
      </c>
      <c r="AJ652">
        <f>IF(metadata!J652="",FALSE,TRUE)</f>
        <v>0</v>
      </c>
      <c r="AK652">
        <f>OR(AND(IF(metadata!K652="",FALSE,TRUE),OR(exact(metadata!K652,"missing: not collected"),exact(metadata!K652,"missing: not provided"),exact(metadata!K652,"missing: restricted access"))),AND(IF(metadata!K652="",FALSE,ISNUMBER(VALUE(metadata!K652))),metadata!K652&gt;=-90.00,metadata!K652&lt;=90.00))</f>
        <v>0</v>
      </c>
      <c r="AL652">
        <f>OR(AND(IF(metadata!L652="",FALSE,TRUE),OR(exact(metadata!L652,"missing: not collected"),exact(metadata!L652,"missing: not provided"),exact(metadata!L652,"missing: restricted access"))),AND(IF(metadata!L652="",FALSE,ISNUMBER(VALUE(metadata!L652))),metadata!L652&gt;=-180.00,metadata!L652&lt;=180.00))</f>
        <v>0</v>
      </c>
      <c r="AM652">
        <f>IF(metadata!M652="",FALSE,TRUE)</f>
        <v>0</v>
      </c>
      <c r="AN652">
        <f>OR(AND(IF(metadata!N652="",FALSE,TRUE),OR(exact(metadata!N652,"missing: not collected"),exact(metadata!N652,"missing: not provided"),exact(metadata!N652,"missing: restricted access"))),AND(IF(metadata!N652="",FALSE,TRUE),OR(exact(metadata!N652,"TRUE"),exact(metadata!N652,"FALSE"))))</f>
        <v>0</v>
      </c>
      <c r="AO652">
        <f>IF(metadata!O652="",FALSE,TRUE)</f>
        <v>0</v>
      </c>
      <c r="AP652">
        <f>OR(AND(IF(metadata!P652="",FALSE,TRUE),OR(exact(metadata!P652,"missing: not collected"),exact(metadata!P652,"missing: not provided"))),AND(IF(metadata!P652="",FALSE,IF(ISERROR(INT(metadata!P652)),FALSE,INT(metadata!P652)=metadata!P652)),metadata!P652&gt;0))</f>
        <v>0</v>
      </c>
      <c r="AQ652">
        <f>IF(metadata!Q652="",FALSE,TRUE)</f>
        <v>0</v>
      </c>
    </row>
    <row r="653" spans="1:43">
      <c r="A653" s="5">
        <f>IF(B653=" "," ",HYPERLINK(CONCATENATE("#metadata!",ADDRESS(INDEX($W$2:$W$1001,MATCH(ROWS($U$2:U653),$U$2:$U$1001,0),0),1)),INDEX($Z$2:$Z$1001,MATCH(ROWS($U$2:U653),$U$2:$U$1001,0),0)))</f>
        <v>0</v>
      </c>
      <c r="B653" s="4">
        <f>IF(OR(INDEX($V$2:$V$1001,MATCH(ROWS($U$2:U653),$U$2:$U$1001,0),1)&gt;=100000,INDEX($AB$1005:$AQ$1005,1,MATCH(COLUMNS($AB$1006:AB1006),$AB$1006:$AQ$1006,0))&gt;=100000), " ",IF(INDEX($AB$2:$AQ$1001,MATCH(ROWS($U$2:U653),$U$2:$U$1001,0),MATCH(COLUMNS($AB$1006:AB1006),$AB$1006:$AQ$1006,0)), HYPERLINK("#",""), HYPERLINK(CONCATENATE("#metadata!", ADDRESS(INDEX($W$2:$W$1001,MATCH(ROWS($U$2:U653),$U$2:$U$1001,0),0), INDEX($AB$1004:$AQ$1004,1,MATCH(COLUMNS($AB$1006:AB1006),$AB$1006:$AQ$1006,0)))),"Fix")))</f>
        <v>0</v>
      </c>
      <c r="C653" s="4">
        <f>IF(OR(INDEX($V$2:$V$1001,MATCH(ROWS($U$2:U653),$U$2:$U$1001,0),1)&gt;=100000,INDEX($AB$1005:$AQ$1005,1,MATCH(COLUMNS($AB$1006:AC1006),$AB$1006:$AQ$1006,0))&gt;=100000), " ",IF(INDEX($AB$2:$AQ$1001,MATCH(ROWS($U$2:U653),$U$2:$U$1001,0),MATCH(COLUMNS($AB$1006:AC1006),$AB$1006:$AQ$1006,0)), HYPERLINK("#",""), HYPERLINK(CONCATENATE("#metadata!", ADDRESS(INDEX($W$2:$W$1001,MATCH(ROWS($U$2:U653),$U$2:$U$1001,0),0), INDEX($AB$1004:$AQ$1004,1,MATCH(COLUMNS($AB$1006:AC1006),$AB$1006:$AQ$1006,0)))),"Fix")))</f>
        <v>0</v>
      </c>
      <c r="D653" s="4">
        <f>IF(OR(INDEX($V$2:$V$1001,MATCH(ROWS($U$2:U653),$U$2:$U$1001,0),1)&gt;=100000,INDEX($AB$1005:$AQ$1005,1,MATCH(COLUMNS($AB$1006:AD1006),$AB$1006:$AQ$1006,0))&gt;=100000), " ",IF(INDEX($AB$2:$AQ$1001,MATCH(ROWS($U$2:U653),$U$2:$U$1001,0),MATCH(COLUMNS($AB$1006:AD1006),$AB$1006:$AQ$1006,0)), HYPERLINK("#",""), HYPERLINK(CONCATENATE("#metadata!", ADDRESS(INDEX($W$2:$W$1001,MATCH(ROWS($U$2:U653),$U$2:$U$1001,0),0), INDEX($AB$1004:$AQ$1004,1,MATCH(COLUMNS($AB$1006:AD1006),$AB$1006:$AQ$1006,0)))),"Fix")))</f>
        <v>0</v>
      </c>
      <c r="E653" s="4">
        <f>IF(OR(INDEX($V$2:$V$1001,MATCH(ROWS($U$2:U653),$U$2:$U$1001,0),1)&gt;=100000,INDEX($AB$1005:$AQ$1005,1,MATCH(COLUMNS($AB$1006:AE1006),$AB$1006:$AQ$1006,0))&gt;=100000), " ",IF(INDEX($AB$2:$AQ$1001,MATCH(ROWS($U$2:U653),$U$2:$U$1001,0),MATCH(COLUMNS($AB$1006:AE1006),$AB$1006:$AQ$1006,0)), HYPERLINK("#",""), HYPERLINK(CONCATENATE("#metadata!", ADDRESS(INDEX($W$2:$W$1001,MATCH(ROWS($U$2:U653),$U$2:$U$1001,0),0), INDEX($AB$1004:$AQ$1004,1,MATCH(COLUMNS($AB$1006:AE1006),$AB$1006:$AQ$1006,0)))),"Fix")))</f>
        <v>0</v>
      </c>
      <c r="F653" s="4">
        <f>IF(OR(INDEX($V$2:$V$1001,MATCH(ROWS($U$2:U653),$U$2:$U$1001,0),1)&gt;=100000,INDEX($AB$1005:$AQ$1005,1,MATCH(COLUMNS($AB$1006:AF1006),$AB$1006:$AQ$1006,0))&gt;=100000), " ",IF(INDEX($AB$2:$AQ$1001,MATCH(ROWS($U$2:U653),$U$2:$U$1001,0),MATCH(COLUMNS($AB$1006:AF1006),$AB$1006:$AQ$1006,0)), HYPERLINK("#",""), HYPERLINK(CONCATENATE("#metadata!", ADDRESS(INDEX($W$2:$W$1001,MATCH(ROWS($U$2:U653),$U$2:$U$1001,0),0), INDEX($AB$1004:$AQ$1004,1,MATCH(COLUMNS($AB$1006:AF1006),$AB$1006:$AQ$1006,0)))),"Fix")))</f>
        <v>0</v>
      </c>
      <c r="G653" s="4">
        <f>IF(OR(INDEX($V$2:$V$1001,MATCH(ROWS($U$2:U653),$U$2:$U$1001,0),1)&gt;=100000,INDEX($AB$1005:$AQ$1005,1,MATCH(COLUMNS($AB$1006:AG1006),$AB$1006:$AQ$1006,0))&gt;=100000), " ",IF(INDEX($AB$2:$AQ$1001,MATCH(ROWS($U$2:U653),$U$2:$U$1001,0),MATCH(COLUMNS($AB$1006:AG1006),$AB$1006:$AQ$1006,0)), HYPERLINK("#",""), HYPERLINK(CONCATENATE("#metadata!", ADDRESS(INDEX($W$2:$W$1001,MATCH(ROWS($U$2:U653),$U$2:$U$1001,0),0), INDEX($AB$1004:$AQ$1004,1,MATCH(COLUMNS($AB$1006:AG1006),$AB$1006:$AQ$1006,0)))),"Fix")))</f>
        <v>0</v>
      </c>
      <c r="H653" s="4">
        <f>IF(OR(INDEX($V$2:$V$1001,MATCH(ROWS($U$2:U653),$U$2:$U$1001,0),1)&gt;=100000,INDEX($AB$1005:$AQ$1005,1,MATCH(COLUMNS($AB$1006:AH1006),$AB$1006:$AQ$1006,0))&gt;=100000), " ",IF(INDEX($AB$2:$AQ$1001,MATCH(ROWS($U$2:U653),$U$2:$U$1001,0),MATCH(COLUMNS($AB$1006:AH1006),$AB$1006:$AQ$1006,0)), HYPERLINK("#",""), HYPERLINK(CONCATENATE("#metadata!", ADDRESS(INDEX($W$2:$W$1001,MATCH(ROWS($U$2:U653),$U$2:$U$1001,0),0), INDEX($AB$1004:$AQ$1004,1,MATCH(COLUMNS($AB$1006:AH1006),$AB$1006:$AQ$1006,0)))),"Fix")))</f>
        <v>0</v>
      </c>
      <c r="I653" s="4">
        <f>IF(OR(INDEX($V$2:$V$1001,MATCH(ROWS($U$2:U653),$U$2:$U$1001,0),1)&gt;=100000,INDEX($AB$1005:$AQ$1005,1,MATCH(COLUMNS($AB$1006:AI1006),$AB$1006:$AQ$1006,0))&gt;=100000), " ",IF(INDEX($AB$2:$AQ$1001,MATCH(ROWS($U$2:U653),$U$2:$U$1001,0),MATCH(COLUMNS($AB$1006:AI1006),$AB$1006:$AQ$1006,0)), HYPERLINK("#",""), HYPERLINK(CONCATENATE("#metadata!", ADDRESS(INDEX($W$2:$W$1001,MATCH(ROWS($U$2:U653),$U$2:$U$1001,0),0), INDEX($AB$1004:$AQ$1004,1,MATCH(COLUMNS($AB$1006:AI1006),$AB$1006:$AQ$1006,0)))),"Fix")))</f>
        <v>0</v>
      </c>
      <c r="J653" s="4">
        <f>IF(OR(INDEX($V$2:$V$1001,MATCH(ROWS($U$2:U653),$U$2:$U$1001,0),1)&gt;=100000,INDEX($AB$1005:$AQ$1005,1,MATCH(COLUMNS($AB$1006:AJ1006),$AB$1006:$AQ$1006,0))&gt;=100000), " ",IF(INDEX($AB$2:$AQ$1001,MATCH(ROWS($U$2:U653),$U$2:$U$1001,0),MATCH(COLUMNS($AB$1006:AJ1006),$AB$1006:$AQ$1006,0)), HYPERLINK("#",""), HYPERLINK(CONCATENATE("#metadata!", ADDRESS(INDEX($W$2:$W$1001,MATCH(ROWS($U$2:U653),$U$2:$U$1001,0),0), INDEX($AB$1004:$AQ$1004,1,MATCH(COLUMNS($AB$1006:AJ1006),$AB$1006:$AQ$1006,0)))),"Fix")))</f>
        <v>0</v>
      </c>
      <c r="K653" s="4">
        <f>IF(OR(INDEX($V$2:$V$1001,MATCH(ROWS($U$2:U653),$U$2:$U$1001,0),1)&gt;=100000,INDEX($AB$1005:$AQ$1005,1,MATCH(COLUMNS($AB$1006:AK1006),$AB$1006:$AQ$1006,0))&gt;=100000), " ",IF(INDEX($AB$2:$AQ$1001,MATCH(ROWS($U$2:U653),$U$2:$U$1001,0),MATCH(COLUMNS($AB$1006:AK1006),$AB$1006:$AQ$1006,0)), HYPERLINK("#",""), HYPERLINK(CONCATENATE("#metadata!", ADDRESS(INDEX($W$2:$W$1001,MATCH(ROWS($U$2:U653),$U$2:$U$1001,0),0), INDEX($AB$1004:$AQ$1004,1,MATCH(COLUMNS($AB$1006:AK1006),$AB$1006:$AQ$1006,0)))),"Fix")))</f>
        <v>0</v>
      </c>
      <c r="L653" s="4">
        <f>IF(OR(INDEX($V$2:$V$1001,MATCH(ROWS($U$2:U653),$U$2:$U$1001,0),1)&gt;=100000,INDEX($AB$1005:$AQ$1005,1,MATCH(COLUMNS($AB$1006:AL1006),$AB$1006:$AQ$1006,0))&gt;=100000), " ",IF(INDEX($AB$2:$AQ$1001,MATCH(ROWS($U$2:U653),$U$2:$U$1001,0),MATCH(COLUMNS($AB$1006:AL1006),$AB$1006:$AQ$1006,0)), HYPERLINK("#",""), HYPERLINK(CONCATENATE("#metadata!", ADDRESS(INDEX($W$2:$W$1001,MATCH(ROWS($U$2:U653),$U$2:$U$1001,0),0), INDEX($AB$1004:$AQ$1004,1,MATCH(COLUMNS($AB$1006:AL1006),$AB$1006:$AQ$1006,0)))),"Fix")))</f>
        <v>0</v>
      </c>
      <c r="M653" s="4">
        <f>IF(OR(INDEX($V$2:$V$1001,MATCH(ROWS($U$2:U653),$U$2:$U$1001,0),1)&gt;=100000,INDEX($AB$1005:$AQ$1005,1,MATCH(COLUMNS($AB$1006:AM1006),$AB$1006:$AQ$1006,0))&gt;=100000), " ",IF(INDEX($AB$2:$AQ$1001,MATCH(ROWS($U$2:U653),$U$2:$U$1001,0),MATCH(COLUMNS($AB$1006:AM1006),$AB$1006:$AQ$1006,0)), HYPERLINK("#",""), HYPERLINK(CONCATENATE("#metadata!", ADDRESS(INDEX($W$2:$W$1001,MATCH(ROWS($U$2:U653),$U$2:$U$1001,0),0), INDEX($AB$1004:$AQ$1004,1,MATCH(COLUMNS($AB$1006:AM1006),$AB$1006:$AQ$1006,0)))),"Fix")))</f>
        <v>0</v>
      </c>
      <c r="N653" s="4">
        <f>IF(OR(INDEX($V$2:$V$1001,MATCH(ROWS($U$2:U653),$U$2:$U$1001,0),1)&gt;=100000,INDEX($AB$1005:$AQ$1005,1,MATCH(COLUMNS($AB$1006:AN1006),$AB$1006:$AQ$1006,0))&gt;=100000), " ",IF(INDEX($AB$2:$AQ$1001,MATCH(ROWS($U$2:U653),$U$2:$U$1001,0),MATCH(COLUMNS($AB$1006:AN1006),$AB$1006:$AQ$1006,0)), HYPERLINK("#",""), HYPERLINK(CONCATENATE("#metadata!", ADDRESS(INDEX($W$2:$W$1001,MATCH(ROWS($U$2:U653),$U$2:$U$1001,0),0), INDEX($AB$1004:$AQ$1004,1,MATCH(COLUMNS($AB$1006:AN1006),$AB$1006:$AQ$1006,0)))),"Fix")))</f>
        <v>0</v>
      </c>
      <c r="O653" s="4">
        <f>IF(OR(INDEX($V$2:$V$1001,MATCH(ROWS($U$2:U653),$U$2:$U$1001,0),1)&gt;=100000,INDEX($AB$1005:$AQ$1005,1,MATCH(COLUMNS($AB$1006:AO1006),$AB$1006:$AQ$1006,0))&gt;=100000), " ",IF(INDEX($AB$2:$AQ$1001,MATCH(ROWS($U$2:U653),$U$2:$U$1001,0),MATCH(COLUMNS($AB$1006:AO1006),$AB$1006:$AQ$1006,0)), HYPERLINK("#",""), HYPERLINK(CONCATENATE("#metadata!", ADDRESS(INDEX($W$2:$W$1001,MATCH(ROWS($U$2:U653),$U$2:$U$1001,0),0), INDEX($AB$1004:$AQ$1004,1,MATCH(COLUMNS($AB$1006:AO1006),$AB$1006:$AQ$1006,0)))),"Fix")))</f>
        <v>0</v>
      </c>
      <c r="P653" s="4">
        <f>IF(OR(INDEX($V$2:$V$1001,MATCH(ROWS($U$2:U653),$U$2:$U$1001,0),1)&gt;=100000,INDEX($AB$1005:$AQ$1005,1,MATCH(COLUMNS($AB$1006:AP1006),$AB$1006:$AQ$1006,0))&gt;=100000), " ",IF(INDEX($AB$2:$AQ$1001,MATCH(ROWS($U$2:U653),$U$2:$U$1001,0),MATCH(COLUMNS($AB$1006:AP1006),$AB$1006:$AQ$1006,0)), HYPERLINK("#",""), HYPERLINK(CONCATENATE("#metadata!", ADDRESS(INDEX($W$2:$W$1001,MATCH(ROWS($U$2:U653),$U$2:$U$1001,0),0), INDEX($AB$1004:$AQ$1004,1,MATCH(COLUMNS($AB$1006:AP1006),$AB$1006:$AQ$1006,0)))),"Fix")))</f>
        <v>0</v>
      </c>
      <c r="Q653" s="4">
        <f>IF(OR(INDEX($V$2:$V$1001,MATCH(ROWS($U$2:U653),$U$2:$U$1001,0),1)&gt;=100000,INDEX($AB$1005:$AQ$1005,1,MATCH(COLUMNS($AB$1006:AQ1006),$AB$1006:$AQ$1006,0))&gt;=100000), " ",IF(INDEX($AB$2:$AQ$1001,MATCH(ROWS($U$2:U653),$U$2:$U$1001,0),MATCH(COLUMNS($AB$1006:AQ1006),$AB$1006:$AQ$1006,0)), HYPERLINK("#",""), HYPERLINK(CONCATENATE("#metadata!", ADDRESS(INDEX($W$2:$W$1001,MATCH(ROWS($U$2:U653),$U$2:$U$1001,0),0), INDEX($AB$1004:$AQ$1004,1,MATCH(COLUMNS($AB$1006:AQ1006),$AB$1006:$AQ$1006,0)))),"Fix")))</f>
        <v>0</v>
      </c>
      <c r="U653">
        <v>0</v>
      </c>
      <c r="V653">
        <v>0</v>
      </c>
      <c r="W653">
        <v>0</v>
      </c>
      <c r="X653">
        <f>IF(Y653,TRUE,AND(AB653:AQ653))</f>
        <v>0</v>
      </c>
      <c r="Y653">
        <f>COUNTBLANK(metadata!B653:Q653)=COLUMNS(metadata!B653:Q653)</f>
        <v>0</v>
      </c>
      <c r="Z653">
        <v>0</v>
      </c>
      <c r="AB653">
        <f>AND(IF(metadata!B653="",FALSE,TRUE),COUNTIF(metadata!B:B, metadata!B653) = 1,NOT(ISERROR(SUMPRODUCT(SEARCH(MID(metadata!B653,ROW(INDIRECT("1:"&amp;LEN(metadata!B653))), 1),"0123456789abcdefghijklmnopqrstuvwxyzABCDEFGHIJKLMNOPQRSTUVWXYZ.")))))</f>
        <v>0</v>
      </c>
      <c r="AC653">
        <f>OR(AND(IF(metadata!C653="",FALSE,TRUE),OR(exact(metadata!C653,"missing: not collected"),exact(metadata!C653,"missing: not provided"),exact(metadata!C653,"missing: restricted access"))),AND(IF(metadata!C653="",FALSE,TRUE),AND(AND(IFERROR(INT(LEFT(metadata!C653,4))&gt;1900,FALSE),IFERROR(INT(LEFT(metadata!C653,4))&lt;=YEAR(NOW()),FALSE)), OR(MID(metadata!C653,5,1)="", AND(AND(MID(metadata!C653,5,1)="-",IFERROR(INT(MID(metadata!C653,6,1))&gt;=0,FALSE),IFERROR(INT(MID(metadata!C653,6,1))&lt;=1,FALSE),NOT(MID(metadata!C653,7,1)=""),IFERROR(INT(MID(metadata!C653,6,2))&gt;=1,FALSE),IFERROR(INT(MID(metadata!C653,6,2))&lt;=12,FALSE)), OR(MID(metadata!C653,8,1)="", AND(AND(MID(metadata!C653,8,1)="-",IFERROR(INT(MID(metadata!C653,9,1))&gt;=0,FALSE),IFERROR(INT(MID(metadata!C653,9,1))&lt;=3,FALSE),NOT(MID(metadata!C653,10,1)=""),IFERROR(INT(MID(metadata!C653,9,2))&gt;=1,FALSE),IFERROR(INT(MID(metadata!C653,9,2))&lt;=31,FALSE)), OR(MID(metadata!C653,11,1)="", AND(AND(MID(metadata!C653,11,1)=" ",IFERROR(INT(MID(metadata!C653,12,1))&gt;=0,FALSE),IFERROR(INT(MID(metadata!C653,12,1))&lt;=2,FALSE),NOT(MID(metadata!C653,13,1)=""),IFERROR(INT(MID(metadata!C653,12,2))&gt;=0,FALSE),IFERROR(INT(MID(metadata!C653,12,2))&lt;=23,FALSE)), OR(MID(metadata!C653,14,1)="", AND(AND(MID(metadata!C653,14,1)=":",IFERROR(INT(MID(metadata!C653,15,1))&gt;=0,FALSE),IFERROR(INT(MID(metadata!C653,15,1))&lt;=5,FALSE),NOT(MID(metadata!C653,16,1)=""),IFERROR(INT(MID(metadata!C653,15,2))&gt;=0,FALSE),IFERROR(INT(MID(metadata!C653,15,2))&lt;=59,FALSE)), OR(MID(metadata!C653,17,1)="", AND(AND(MID(metadata!C653,17,1)=":",IFERROR(INT(MID(metadata!C653,18,1))&gt;=0,FALSE),IFERROR(INT(MID(metadata!C653,18,1))&lt;=5,FALSE),NOT(MID(metadata!C653,19,1)=""),IFERROR(INT(MID(metadata!C653,18,2))&gt;=0,FALSE),IFERROR(INT(MID(metadata!C653,18,2))&lt;=59,FALSE)), LEN(metadata!C653)&lt;=19)))))))))))))</f>
        <v>0</v>
      </c>
      <c r="AD653">
        <f>IF(metadata!D653="",FALSE,TRUE)</f>
        <v>0</v>
      </c>
      <c r="AE653">
        <f>OR(AND(IF(metadata!E653="",FALSE,TRUE),OR(exact(metadata!E653,"missing: not collected"),exact(metadata!E653,"missing: not provided"))),AND(IF(metadata!E653="",FALSE,TRUE),OR(exact(metadata!E653,"TRUE"),exact(metadata!E653,"FALSE"))))</f>
        <v>0</v>
      </c>
      <c r="AF653">
        <f>IF(metadata!F653="",FALSE,TRUE)</f>
        <v>0</v>
      </c>
      <c r="AG653">
        <f>IF(metadata!G653="",FALSE,TRUE)</f>
        <v>0</v>
      </c>
      <c r="AH653">
        <f>IF(metadata!H653="",FALSE,TRUE)</f>
        <v>0</v>
      </c>
      <c r="AI653">
        <f>OR(AND(IF(metadata!I653="",FALSE,TRUE),OR(exact(metadata!I653,"missing: not collected"),exact(metadata!I653,"missing: not provided"),exact(metadata!I653,"missing: restricted access"))),AND(IF(metadata!I653="",FALSE,TRUE),OR(exact(metadata!I653,"air"),exact(metadata!I653,"built environment"),exact(metadata!I653,"host-associated"),exact(metadata!I653,"human-associated"),exact(metadata!I653,"human-skin"),exact(metadata!I653,"human-oral"),exact(metadata!I653,"human-gut"),exact(metadata!I653,"human-vaginal"),exact(metadata!I653,"microbial mat/biofilm"),exact(metadata!I653,"misc environment"),exact(metadata!I653,"plant-associated"),exact(metadata!I653,"sediment"),exact(metadata!I653,"soil"),exact(metadata!I653,"wastewater/sludge"),exact(metadata!I653,"water"))))</f>
        <v>0</v>
      </c>
      <c r="AJ653">
        <f>IF(metadata!J653="",FALSE,TRUE)</f>
        <v>0</v>
      </c>
      <c r="AK653">
        <f>OR(AND(IF(metadata!K653="",FALSE,TRUE),OR(exact(metadata!K653,"missing: not collected"),exact(metadata!K653,"missing: not provided"),exact(metadata!K653,"missing: restricted access"))),AND(IF(metadata!K653="",FALSE,ISNUMBER(VALUE(metadata!K653))),metadata!K653&gt;=-90.00,metadata!K653&lt;=90.00))</f>
        <v>0</v>
      </c>
      <c r="AL653">
        <f>OR(AND(IF(metadata!L653="",FALSE,TRUE),OR(exact(metadata!L653,"missing: not collected"),exact(metadata!L653,"missing: not provided"),exact(metadata!L653,"missing: restricted access"))),AND(IF(metadata!L653="",FALSE,ISNUMBER(VALUE(metadata!L653))),metadata!L653&gt;=-180.00,metadata!L653&lt;=180.00))</f>
        <v>0</v>
      </c>
      <c r="AM653">
        <f>IF(metadata!M653="",FALSE,TRUE)</f>
        <v>0</v>
      </c>
      <c r="AN653">
        <f>OR(AND(IF(metadata!N653="",FALSE,TRUE),OR(exact(metadata!N653,"missing: not collected"),exact(metadata!N653,"missing: not provided"),exact(metadata!N653,"missing: restricted access"))),AND(IF(metadata!N653="",FALSE,TRUE),OR(exact(metadata!N653,"TRUE"),exact(metadata!N653,"FALSE"))))</f>
        <v>0</v>
      </c>
      <c r="AO653">
        <f>IF(metadata!O653="",FALSE,TRUE)</f>
        <v>0</v>
      </c>
      <c r="AP653">
        <f>OR(AND(IF(metadata!P653="",FALSE,TRUE),OR(exact(metadata!P653,"missing: not collected"),exact(metadata!P653,"missing: not provided"))),AND(IF(metadata!P653="",FALSE,IF(ISERROR(INT(metadata!P653)),FALSE,INT(metadata!P653)=metadata!P653)),metadata!P653&gt;0))</f>
        <v>0</v>
      </c>
      <c r="AQ653">
        <f>IF(metadata!Q653="",FALSE,TRUE)</f>
        <v>0</v>
      </c>
    </row>
    <row r="654" spans="1:43">
      <c r="A654" s="5">
        <f>IF(B654=" "," ",HYPERLINK(CONCATENATE("#metadata!",ADDRESS(INDEX($W$2:$W$1001,MATCH(ROWS($U$2:U654),$U$2:$U$1001,0),0),1)),INDEX($Z$2:$Z$1001,MATCH(ROWS($U$2:U654),$U$2:$U$1001,0),0)))</f>
        <v>0</v>
      </c>
      <c r="B654" s="4">
        <f>IF(OR(INDEX($V$2:$V$1001,MATCH(ROWS($U$2:U654),$U$2:$U$1001,0),1)&gt;=100000,INDEX($AB$1005:$AQ$1005,1,MATCH(COLUMNS($AB$1006:AB1006),$AB$1006:$AQ$1006,0))&gt;=100000), " ",IF(INDEX($AB$2:$AQ$1001,MATCH(ROWS($U$2:U654),$U$2:$U$1001,0),MATCH(COLUMNS($AB$1006:AB1006),$AB$1006:$AQ$1006,0)), HYPERLINK("#",""), HYPERLINK(CONCATENATE("#metadata!", ADDRESS(INDEX($W$2:$W$1001,MATCH(ROWS($U$2:U654),$U$2:$U$1001,0),0), INDEX($AB$1004:$AQ$1004,1,MATCH(COLUMNS($AB$1006:AB1006),$AB$1006:$AQ$1006,0)))),"Fix")))</f>
        <v>0</v>
      </c>
      <c r="C654" s="4">
        <f>IF(OR(INDEX($V$2:$V$1001,MATCH(ROWS($U$2:U654),$U$2:$U$1001,0),1)&gt;=100000,INDEX($AB$1005:$AQ$1005,1,MATCH(COLUMNS($AB$1006:AC1006),$AB$1006:$AQ$1006,0))&gt;=100000), " ",IF(INDEX($AB$2:$AQ$1001,MATCH(ROWS($U$2:U654),$U$2:$U$1001,0),MATCH(COLUMNS($AB$1006:AC1006),$AB$1006:$AQ$1006,0)), HYPERLINK("#",""), HYPERLINK(CONCATENATE("#metadata!", ADDRESS(INDEX($W$2:$W$1001,MATCH(ROWS($U$2:U654),$U$2:$U$1001,0),0), INDEX($AB$1004:$AQ$1004,1,MATCH(COLUMNS($AB$1006:AC1006),$AB$1006:$AQ$1006,0)))),"Fix")))</f>
        <v>0</v>
      </c>
      <c r="D654" s="4">
        <f>IF(OR(INDEX($V$2:$V$1001,MATCH(ROWS($U$2:U654),$U$2:$U$1001,0),1)&gt;=100000,INDEX($AB$1005:$AQ$1005,1,MATCH(COLUMNS($AB$1006:AD1006),$AB$1006:$AQ$1006,0))&gt;=100000), " ",IF(INDEX($AB$2:$AQ$1001,MATCH(ROWS($U$2:U654),$U$2:$U$1001,0),MATCH(COLUMNS($AB$1006:AD1006),$AB$1006:$AQ$1006,0)), HYPERLINK("#",""), HYPERLINK(CONCATENATE("#metadata!", ADDRESS(INDEX($W$2:$W$1001,MATCH(ROWS($U$2:U654),$U$2:$U$1001,0),0), INDEX($AB$1004:$AQ$1004,1,MATCH(COLUMNS($AB$1006:AD1006),$AB$1006:$AQ$1006,0)))),"Fix")))</f>
        <v>0</v>
      </c>
      <c r="E654" s="4">
        <f>IF(OR(INDEX($V$2:$V$1001,MATCH(ROWS($U$2:U654),$U$2:$U$1001,0),1)&gt;=100000,INDEX($AB$1005:$AQ$1005,1,MATCH(COLUMNS($AB$1006:AE1006),$AB$1006:$AQ$1006,0))&gt;=100000), " ",IF(INDEX($AB$2:$AQ$1001,MATCH(ROWS($U$2:U654),$U$2:$U$1001,0),MATCH(COLUMNS($AB$1006:AE1006),$AB$1006:$AQ$1006,0)), HYPERLINK("#",""), HYPERLINK(CONCATENATE("#metadata!", ADDRESS(INDEX($W$2:$W$1001,MATCH(ROWS($U$2:U654),$U$2:$U$1001,0),0), INDEX($AB$1004:$AQ$1004,1,MATCH(COLUMNS($AB$1006:AE1006),$AB$1006:$AQ$1006,0)))),"Fix")))</f>
        <v>0</v>
      </c>
      <c r="F654" s="4">
        <f>IF(OR(INDEX($V$2:$V$1001,MATCH(ROWS($U$2:U654),$U$2:$U$1001,0),1)&gt;=100000,INDEX($AB$1005:$AQ$1005,1,MATCH(COLUMNS($AB$1006:AF1006),$AB$1006:$AQ$1006,0))&gt;=100000), " ",IF(INDEX($AB$2:$AQ$1001,MATCH(ROWS($U$2:U654),$U$2:$U$1001,0),MATCH(COLUMNS($AB$1006:AF1006),$AB$1006:$AQ$1006,0)), HYPERLINK("#",""), HYPERLINK(CONCATENATE("#metadata!", ADDRESS(INDEX($W$2:$W$1001,MATCH(ROWS($U$2:U654),$U$2:$U$1001,0),0), INDEX($AB$1004:$AQ$1004,1,MATCH(COLUMNS($AB$1006:AF1006),$AB$1006:$AQ$1006,0)))),"Fix")))</f>
        <v>0</v>
      </c>
      <c r="G654" s="4">
        <f>IF(OR(INDEX($V$2:$V$1001,MATCH(ROWS($U$2:U654),$U$2:$U$1001,0),1)&gt;=100000,INDEX($AB$1005:$AQ$1005,1,MATCH(COLUMNS($AB$1006:AG1006),$AB$1006:$AQ$1006,0))&gt;=100000), " ",IF(INDEX($AB$2:$AQ$1001,MATCH(ROWS($U$2:U654),$U$2:$U$1001,0),MATCH(COLUMNS($AB$1006:AG1006),$AB$1006:$AQ$1006,0)), HYPERLINK("#",""), HYPERLINK(CONCATENATE("#metadata!", ADDRESS(INDEX($W$2:$W$1001,MATCH(ROWS($U$2:U654),$U$2:$U$1001,0),0), INDEX($AB$1004:$AQ$1004,1,MATCH(COLUMNS($AB$1006:AG1006),$AB$1006:$AQ$1006,0)))),"Fix")))</f>
        <v>0</v>
      </c>
      <c r="H654" s="4">
        <f>IF(OR(INDEX($V$2:$V$1001,MATCH(ROWS($U$2:U654),$U$2:$U$1001,0),1)&gt;=100000,INDEX($AB$1005:$AQ$1005,1,MATCH(COLUMNS($AB$1006:AH1006),$AB$1006:$AQ$1006,0))&gt;=100000), " ",IF(INDEX($AB$2:$AQ$1001,MATCH(ROWS($U$2:U654),$U$2:$U$1001,0),MATCH(COLUMNS($AB$1006:AH1006),$AB$1006:$AQ$1006,0)), HYPERLINK("#",""), HYPERLINK(CONCATENATE("#metadata!", ADDRESS(INDEX($W$2:$W$1001,MATCH(ROWS($U$2:U654),$U$2:$U$1001,0),0), INDEX($AB$1004:$AQ$1004,1,MATCH(COLUMNS($AB$1006:AH1006),$AB$1006:$AQ$1006,0)))),"Fix")))</f>
        <v>0</v>
      </c>
      <c r="I654" s="4">
        <f>IF(OR(INDEX($V$2:$V$1001,MATCH(ROWS($U$2:U654),$U$2:$U$1001,0),1)&gt;=100000,INDEX($AB$1005:$AQ$1005,1,MATCH(COLUMNS($AB$1006:AI1006),$AB$1006:$AQ$1006,0))&gt;=100000), " ",IF(INDEX($AB$2:$AQ$1001,MATCH(ROWS($U$2:U654),$U$2:$U$1001,0),MATCH(COLUMNS($AB$1006:AI1006),$AB$1006:$AQ$1006,0)), HYPERLINK("#",""), HYPERLINK(CONCATENATE("#metadata!", ADDRESS(INDEX($W$2:$W$1001,MATCH(ROWS($U$2:U654),$U$2:$U$1001,0),0), INDEX($AB$1004:$AQ$1004,1,MATCH(COLUMNS($AB$1006:AI1006),$AB$1006:$AQ$1006,0)))),"Fix")))</f>
        <v>0</v>
      </c>
      <c r="J654" s="4">
        <f>IF(OR(INDEX($V$2:$V$1001,MATCH(ROWS($U$2:U654),$U$2:$U$1001,0),1)&gt;=100000,INDEX($AB$1005:$AQ$1005,1,MATCH(COLUMNS($AB$1006:AJ1006),$AB$1006:$AQ$1006,0))&gt;=100000), " ",IF(INDEX($AB$2:$AQ$1001,MATCH(ROWS($U$2:U654),$U$2:$U$1001,0),MATCH(COLUMNS($AB$1006:AJ1006),$AB$1006:$AQ$1006,0)), HYPERLINK("#",""), HYPERLINK(CONCATENATE("#metadata!", ADDRESS(INDEX($W$2:$W$1001,MATCH(ROWS($U$2:U654),$U$2:$U$1001,0),0), INDEX($AB$1004:$AQ$1004,1,MATCH(COLUMNS($AB$1006:AJ1006),$AB$1006:$AQ$1006,0)))),"Fix")))</f>
        <v>0</v>
      </c>
      <c r="K654" s="4">
        <f>IF(OR(INDEX($V$2:$V$1001,MATCH(ROWS($U$2:U654),$U$2:$U$1001,0),1)&gt;=100000,INDEX($AB$1005:$AQ$1005,1,MATCH(COLUMNS($AB$1006:AK1006),$AB$1006:$AQ$1006,0))&gt;=100000), " ",IF(INDEX($AB$2:$AQ$1001,MATCH(ROWS($U$2:U654),$U$2:$U$1001,0),MATCH(COLUMNS($AB$1006:AK1006),$AB$1006:$AQ$1006,0)), HYPERLINK("#",""), HYPERLINK(CONCATENATE("#metadata!", ADDRESS(INDEX($W$2:$W$1001,MATCH(ROWS($U$2:U654),$U$2:$U$1001,0),0), INDEX($AB$1004:$AQ$1004,1,MATCH(COLUMNS($AB$1006:AK1006),$AB$1006:$AQ$1006,0)))),"Fix")))</f>
        <v>0</v>
      </c>
      <c r="L654" s="4">
        <f>IF(OR(INDEX($V$2:$V$1001,MATCH(ROWS($U$2:U654),$U$2:$U$1001,0),1)&gt;=100000,INDEX($AB$1005:$AQ$1005,1,MATCH(COLUMNS($AB$1006:AL1006),$AB$1006:$AQ$1006,0))&gt;=100000), " ",IF(INDEX($AB$2:$AQ$1001,MATCH(ROWS($U$2:U654),$U$2:$U$1001,0),MATCH(COLUMNS($AB$1006:AL1006),$AB$1006:$AQ$1006,0)), HYPERLINK("#",""), HYPERLINK(CONCATENATE("#metadata!", ADDRESS(INDEX($W$2:$W$1001,MATCH(ROWS($U$2:U654),$U$2:$U$1001,0),0), INDEX($AB$1004:$AQ$1004,1,MATCH(COLUMNS($AB$1006:AL1006),$AB$1006:$AQ$1006,0)))),"Fix")))</f>
        <v>0</v>
      </c>
      <c r="M654" s="4">
        <f>IF(OR(INDEX($V$2:$V$1001,MATCH(ROWS($U$2:U654),$U$2:$U$1001,0),1)&gt;=100000,INDEX($AB$1005:$AQ$1005,1,MATCH(COLUMNS($AB$1006:AM1006),$AB$1006:$AQ$1006,0))&gt;=100000), " ",IF(INDEX($AB$2:$AQ$1001,MATCH(ROWS($U$2:U654),$U$2:$U$1001,0),MATCH(COLUMNS($AB$1006:AM1006),$AB$1006:$AQ$1006,0)), HYPERLINK("#",""), HYPERLINK(CONCATENATE("#metadata!", ADDRESS(INDEX($W$2:$W$1001,MATCH(ROWS($U$2:U654),$U$2:$U$1001,0),0), INDEX($AB$1004:$AQ$1004,1,MATCH(COLUMNS($AB$1006:AM1006),$AB$1006:$AQ$1006,0)))),"Fix")))</f>
        <v>0</v>
      </c>
      <c r="N654" s="4">
        <f>IF(OR(INDEX($V$2:$V$1001,MATCH(ROWS($U$2:U654),$U$2:$U$1001,0),1)&gt;=100000,INDEX($AB$1005:$AQ$1005,1,MATCH(COLUMNS($AB$1006:AN1006),$AB$1006:$AQ$1006,0))&gt;=100000), " ",IF(INDEX($AB$2:$AQ$1001,MATCH(ROWS($U$2:U654),$U$2:$U$1001,0),MATCH(COLUMNS($AB$1006:AN1006),$AB$1006:$AQ$1006,0)), HYPERLINK("#",""), HYPERLINK(CONCATENATE("#metadata!", ADDRESS(INDEX($W$2:$W$1001,MATCH(ROWS($U$2:U654),$U$2:$U$1001,0),0), INDEX($AB$1004:$AQ$1004,1,MATCH(COLUMNS($AB$1006:AN1006),$AB$1006:$AQ$1006,0)))),"Fix")))</f>
        <v>0</v>
      </c>
      <c r="O654" s="4">
        <f>IF(OR(INDEX($V$2:$V$1001,MATCH(ROWS($U$2:U654),$U$2:$U$1001,0),1)&gt;=100000,INDEX($AB$1005:$AQ$1005,1,MATCH(COLUMNS($AB$1006:AO1006),$AB$1006:$AQ$1006,0))&gt;=100000), " ",IF(INDEX($AB$2:$AQ$1001,MATCH(ROWS($U$2:U654),$U$2:$U$1001,0),MATCH(COLUMNS($AB$1006:AO1006),$AB$1006:$AQ$1006,0)), HYPERLINK("#",""), HYPERLINK(CONCATENATE("#metadata!", ADDRESS(INDEX($W$2:$W$1001,MATCH(ROWS($U$2:U654),$U$2:$U$1001,0),0), INDEX($AB$1004:$AQ$1004,1,MATCH(COLUMNS($AB$1006:AO1006),$AB$1006:$AQ$1006,0)))),"Fix")))</f>
        <v>0</v>
      </c>
      <c r="P654" s="4">
        <f>IF(OR(INDEX($V$2:$V$1001,MATCH(ROWS($U$2:U654),$U$2:$U$1001,0),1)&gt;=100000,INDEX($AB$1005:$AQ$1005,1,MATCH(COLUMNS($AB$1006:AP1006),$AB$1006:$AQ$1006,0))&gt;=100000), " ",IF(INDEX($AB$2:$AQ$1001,MATCH(ROWS($U$2:U654),$U$2:$U$1001,0),MATCH(COLUMNS($AB$1006:AP1006),$AB$1006:$AQ$1006,0)), HYPERLINK("#",""), HYPERLINK(CONCATENATE("#metadata!", ADDRESS(INDEX($W$2:$W$1001,MATCH(ROWS($U$2:U654),$U$2:$U$1001,0),0), INDEX($AB$1004:$AQ$1004,1,MATCH(COLUMNS($AB$1006:AP1006),$AB$1006:$AQ$1006,0)))),"Fix")))</f>
        <v>0</v>
      </c>
      <c r="Q654" s="4">
        <f>IF(OR(INDEX($V$2:$V$1001,MATCH(ROWS($U$2:U654),$U$2:$U$1001,0),1)&gt;=100000,INDEX($AB$1005:$AQ$1005,1,MATCH(COLUMNS($AB$1006:AQ1006),$AB$1006:$AQ$1006,0))&gt;=100000), " ",IF(INDEX($AB$2:$AQ$1001,MATCH(ROWS($U$2:U654),$U$2:$U$1001,0),MATCH(COLUMNS($AB$1006:AQ1006),$AB$1006:$AQ$1006,0)), HYPERLINK("#",""), HYPERLINK(CONCATENATE("#metadata!", ADDRESS(INDEX($W$2:$W$1001,MATCH(ROWS($U$2:U654),$U$2:$U$1001,0),0), INDEX($AB$1004:$AQ$1004,1,MATCH(COLUMNS($AB$1006:AQ1006),$AB$1006:$AQ$1006,0)))),"Fix")))</f>
        <v>0</v>
      </c>
      <c r="U654">
        <v>0</v>
      </c>
      <c r="V654">
        <v>0</v>
      </c>
      <c r="W654">
        <v>0</v>
      </c>
      <c r="X654">
        <f>IF(Y654,TRUE,AND(AB654:AQ654))</f>
        <v>0</v>
      </c>
      <c r="Y654">
        <f>COUNTBLANK(metadata!B654:Q654)=COLUMNS(metadata!B654:Q654)</f>
        <v>0</v>
      </c>
      <c r="Z654">
        <v>0</v>
      </c>
      <c r="AB654">
        <f>AND(IF(metadata!B654="",FALSE,TRUE),COUNTIF(metadata!B:B, metadata!B654) = 1,NOT(ISERROR(SUMPRODUCT(SEARCH(MID(metadata!B654,ROW(INDIRECT("1:"&amp;LEN(metadata!B654))), 1),"0123456789abcdefghijklmnopqrstuvwxyzABCDEFGHIJKLMNOPQRSTUVWXYZ.")))))</f>
        <v>0</v>
      </c>
      <c r="AC654">
        <f>OR(AND(IF(metadata!C654="",FALSE,TRUE),OR(exact(metadata!C654,"missing: not collected"),exact(metadata!C654,"missing: not provided"),exact(metadata!C654,"missing: restricted access"))),AND(IF(metadata!C654="",FALSE,TRUE),AND(AND(IFERROR(INT(LEFT(metadata!C654,4))&gt;1900,FALSE),IFERROR(INT(LEFT(metadata!C654,4))&lt;=YEAR(NOW()),FALSE)), OR(MID(metadata!C654,5,1)="", AND(AND(MID(metadata!C654,5,1)="-",IFERROR(INT(MID(metadata!C654,6,1))&gt;=0,FALSE),IFERROR(INT(MID(metadata!C654,6,1))&lt;=1,FALSE),NOT(MID(metadata!C654,7,1)=""),IFERROR(INT(MID(metadata!C654,6,2))&gt;=1,FALSE),IFERROR(INT(MID(metadata!C654,6,2))&lt;=12,FALSE)), OR(MID(metadata!C654,8,1)="", AND(AND(MID(metadata!C654,8,1)="-",IFERROR(INT(MID(metadata!C654,9,1))&gt;=0,FALSE),IFERROR(INT(MID(metadata!C654,9,1))&lt;=3,FALSE),NOT(MID(metadata!C654,10,1)=""),IFERROR(INT(MID(metadata!C654,9,2))&gt;=1,FALSE),IFERROR(INT(MID(metadata!C654,9,2))&lt;=31,FALSE)), OR(MID(metadata!C654,11,1)="", AND(AND(MID(metadata!C654,11,1)=" ",IFERROR(INT(MID(metadata!C654,12,1))&gt;=0,FALSE),IFERROR(INT(MID(metadata!C654,12,1))&lt;=2,FALSE),NOT(MID(metadata!C654,13,1)=""),IFERROR(INT(MID(metadata!C654,12,2))&gt;=0,FALSE),IFERROR(INT(MID(metadata!C654,12,2))&lt;=23,FALSE)), OR(MID(metadata!C654,14,1)="", AND(AND(MID(metadata!C654,14,1)=":",IFERROR(INT(MID(metadata!C654,15,1))&gt;=0,FALSE),IFERROR(INT(MID(metadata!C654,15,1))&lt;=5,FALSE),NOT(MID(metadata!C654,16,1)=""),IFERROR(INT(MID(metadata!C654,15,2))&gt;=0,FALSE),IFERROR(INT(MID(metadata!C654,15,2))&lt;=59,FALSE)), OR(MID(metadata!C654,17,1)="", AND(AND(MID(metadata!C654,17,1)=":",IFERROR(INT(MID(metadata!C654,18,1))&gt;=0,FALSE),IFERROR(INT(MID(metadata!C654,18,1))&lt;=5,FALSE),NOT(MID(metadata!C654,19,1)=""),IFERROR(INT(MID(metadata!C654,18,2))&gt;=0,FALSE),IFERROR(INT(MID(metadata!C654,18,2))&lt;=59,FALSE)), LEN(metadata!C654)&lt;=19)))))))))))))</f>
        <v>0</v>
      </c>
      <c r="AD654">
        <f>IF(metadata!D654="",FALSE,TRUE)</f>
        <v>0</v>
      </c>
      <c r="AE654">
        <f>OR(AND(IF(metadata!E654="",FALSE,TRUE),OR(exact(metadata!E654,"missing: not collected"),exact(metadata!E654,"missing: not provided"))),AND(IF(metadata!E654="",FALSE,TRUE),OR(exact(metadata!E654,"TRUE"),exact(metadata!E654,"FALSE"))))</f>
        <v>0</v>
      </c>
      <c r="AF654">
        <f>IF(metadata!F654="",FALSE,TRUE)</f>
        <v>0</v>
      </c>
      <c r="AG654">
        <f>IF(metadata!G654="",FALSE,TRUE)</f>
        <v>0</v>
      </c>
      <c r="AH654">
        <f>IF(metadata!H654="",FALSE,TRUE)</f>
        <v>0</v>
      </c>
      <c r="AI654">
        <f>OR(AND(IF(metadata!I654="",FALSE,TRUE),OR(exact(metadata!I654,"missing: not collected"),exact(metadata!I654,"missing: not provided"),exact(metadata!I654,"missing: restricted access"))),AND(IF(metadata!I654="",FALSE,TRUE),OR(exact(metadata!I654,"air"),exact(metadata!I654,"built environment"),exact(metadata!I654,"host-associated"),exact(metadata!I654,"human-associated"),exact(metadata!I654,"human-skin"),exact(metadata!I654,"human-oral"),exact(metadata!I654,"human-gut"),exact(metadata!I654,"human-vaginal"),exact(metadata!I654,"microbial mat/biofilm"),exact(metadata!I654,"misc environment"),exact(metadata!I654,"plant-associated"),exact(metadata!I654,"sediment"),exact(metadata!I654,"soil"),exact(metadata!I654,"wastewater/sludge"),exact(metadata!I654,"water"))))</f>
        <v>0</v>
      </c>
      <c r="AJ654">
        <f>IF(metadata!J654="",FALSE,TRUE)</f>
        <v>0</v>
      </c>
      <c r="AK654">
        <f>OR(AND(IF(metadata!K654="",FALSE,TRUE),OR(exact(metadata!K654,"missing: not collected"),exact(metadata!K654,"missing: not provided"),exact(metadata!K654,"missing: restricted access"))),AND(IF(metadata!K654="",FALSE,ISNUMBER(VALUE(metadata!K654))),metadata!K654&gt;=-90.00,metadata!K654&lt;=90.00))</f>
        <v>0</v>
      </c>
      <c r="AL654">
        <f>OR(AND(IF(metadata!L654="",FALSE,TRUE),OR(exact(metadata!L654,"missing: not collected"),exact(metadata!L654,"missing: not provided"),exact(metadata!L654,"missing: restricted access"))),AND(IF(metadata!L654="",FALSE,ISNUMBER(VALUE(metadata!L654))),metadata!L654&gt;=-180.00,metadata!L654&lt;=180.00))</f>
        <v>0</v>
      </c>
      <c r="AM654">
        <f>IF(metadata!M654="",FALSE,TRUE)</f>
        <v>0</v>
      </c>
      <c r="AN654">
        <f>OR(AND(IF(metadata!N654="",FALSE,TRUE),OR(exact(metadata!N654,"missing: not collected"),exact(metadata!N654,"missing: not provided"),exact(metadata!N654,"missing: restricted access"))),AND(IF(metadata!N654="",FALSE,TRUE),OR(exact(metadata!N654,"TRUE"),exact(metadata!N654,"FALSE"))))</f>
        <v>0</v>
      </c>
      <c r="AO654">
        <f>IF(metadata!O654="",FALSE,TRUE)</f>
        <v>0</v>
      </c>
      <c r="AP654">
        <f>OR(AND(IF(metadata!P654="",FALSE,TRUE),OR(exact(metadata!P654,"missing: not collected"),exact(metadata!P654,"missing: not provided"))),AND(IF(metadata!P654="",FALSE,IF(ISERROR(INT(metadata!P654)),FALSE,INT(metadata!P654)=metadata!P654)),metadata!P654&gt;0))</f>
        <v>0</v>
      </c>
      <c r="AQ654">
        <f>IF(metadata!Q654="",FALSE,TRUE)</f>
        <v>0</v>
      </c>
    </row>
    <row r="655" spans="1:43">
      <c r="A655" s="5">
        <f>IF(B655=" "," ",HYPERLINK(CONCATENATE("#metadata!",ADDRESS(INDEX($W$2:$W$1001,MATCH(ROWS($U$2:U655),$U$2:$U$1001,0),0),1)),INDEX($Z$2:$Z$1001,MATCH(ROWS($U$2:U655),$U$2:$U$1001,0),0)))</f>
        <v>0</v>
      </c>
      <c r="B655" s="4">
        <f>IF(OR(INDEX($V$2:$V$1001,MATCH(ROWS($U$2:U655),$U$2:$U$1001,0),1)&gt;=100000,INDEX($AB$1005:$AQ$1005,1,MATCH(COLUMNS($AB$1006:AB1006),$AB$1006:$AQ$1006,0))&gt;=100000), " ",IF(INDEX($AB$2:$AQ$1001,MATCH(ROWS($U$2:U655),$U$2:$U$1001,0),MATCH(COLUMNS($AB$1006:AB1006),$AB$1006:$AQ$1006,0)), HYPERLINK("#",""), HYPERLINK(CONCATENATE("#metadata!", ADDRESS(INDEX($W$2:$W$1001,MATCH(ROWS($U$2:U655),$U$2:$U$1001,0),0), INDEX($AB$1004:$AQ$1004,1,MATCH(COLUMNS($AB$1006:AB1006),$AB$1006:$AQ$1006,0)))),"Fix")))</f>
        <v>0</v>
      </c>
      <c r="C655" s="4">
        <f>IF(OR(INDEX($V$2:$V$1001,MATCH(ROWS($U$2:U655),$U$2:$U$1001,0),1)&gt;=100000,INDEX($AB$1005:$AQ$1005,1,MATCH(COLUMNS($AB$1006:AC1006),$AB$1006:$AQ$1006,0))&gt;=100000), " ",IF(INDEX($AB$2:$AQ$1001,MATCH(ROWS($U$2:U655),$U$2:$U$1001,0),MATCH(COLUMNS($AB$1006:AC1006),$AB$1006:$AQ$1006,0)), HYPERLINK("#",""), HYPERLINK(CONCATENATE("#metadata!", ADDRESS(INDEX($W$2:$W$1001,MATCH(ROWS($U$2:U655),$U$2:$U$1001,0),0), INDEX($AB$1004:$AQ$1004,1,MATCH(COLUMNS($AB$1006:AC1006),$AB$1006:$AQ$1006,0)))),"Fix")))</f>
        <v>0</v>
      </c>
      <c r="D655" s="4">
        <f>IF(OR(INDEX($V$2:$V$1001,MATCH(ROWS($U$2:U655),$U$2:$U$1001,0),1)&gt;=100000,INDEX($AB$1005:$AQ$1005,1,MATCH(COLUMNS($AB$1006:AD1006),$AB$1006:$AQ$1006,0))&gt;=100000), " ",IF(INDEX($AB$2:$AQ$1001,MATCH(ROWS($U$2:U655),$U$2:$U$1001,0),MATCH(COLUMNS($AB$1006:AD1006),$AB$1006:$AQ$1006,0)), HYPERLINK("#",""), HYPERLINK(CONCATENATE("#metadata!", ADDRESS(INDEX($W$2:$W$1001,MATCH(ROWS($U$2:U655),$U$2:$U$1001,0),0), INDEX($AB$1004:$AQ$1004,1,MATCH(COLUMNS($AB$1006:AD1006),$AB$1006:$AQ$1006,0)))),"Fix")))</f>
        <v>0</v>
      </c>
      <c r="E655" s="4">
        <f>IF(OR(INDEX($V$2:$V$1001,MATCH(ROWS($U$2:U655),$U$2:$U$1001,0),1)&gt;=100000,INDEX($AB$1005:$AQ$1005,1,MATCH(COLUMNS($AB$1006:AE1006),$AB$1006:$AQ$1006,0))&gt;=100000), " ",IF(INDEX($AB$2:$AQ$1001,MATCH(ROWS($U$2:U655),$U$2:$U$1001,0),MATCH(COLUMNS($AB$1006:AE1006),$AB$1006:$AQ$1006,0)), HYPERLINK("#",""), HYPERLINK(CONCATENATE("#metadata!", ADDRESS(INDEX($W$2:$W$1001,MATCH(ROWS($U$2:U655),$U$2:$U$1001,0),0), INDEX($AB$1004:$AQ$1004,1,MATCH(COLUMNS($AB$1006:AE1006),$AB$1006:$AQ$1006,0)))),"Fix")))</f>
        <v>0</v>
      </c>
      <c r="F655" s="4">
        <f>IF(OR(INDEX($V$2:$V$1001,MATCH(ROWS($U$2:U655),$U$2:$U$1001,0),1)&gt;=100000,INDEX($AB$1005:$AQ$1005,1,MATCH(COLUMNS($AB$1006:AF1006),$AB$1006:$AQ$1006,0))&gt;=100000), " ",IF(INDEX($AB$2:$AQ$1001,MATCH(ROWS($U$2:U655),$U$2:$U$1001,0),MATCH(COLUMNS($AB$1006:AF1006),$AB$1006:$AQ$1006,0)), HYPERLINK("#",""), HYPERLINK(CONCATENATE("#metadata!", ADDRESS(INDEX($W$2:$W$1001,MATCH(ROWS($U$2:U655),$U$2:$U$1001,0),0), INDEX($AB$1004:$AQ$1004,1,MATCH(COLUMNS($AB$1006:AF1006),$AB$1006:$AQ$1006,0)))),"Fix")))</f>
        <v>0</v>
      </c>
      <c r="G655" s="4">
        <f>IF(OR(INDEX($V$2:$V$1001,MATCH(ROWS($U$2:U655),$U$2:$U$1001,0),1)&gt;=100000,INDEX($AB$1005:$AQ$1005,1,MATCH(COLUMNS($AB$1006:AG1006),$AB$1006:$AQ$1006,0))&gt;=100000), " ",IF(INDEX($AB$2:$AQ$1001,MATCH(ROWS($U$2:U655),$U$2:$U$1001,0),MATCH(COLUMNS($AB$1006:AG1006),$AB$1006:$AQ$1006,0)), HYPERLINK("#",""), HYPERLINK(CONCATENATE("#metadata!", ADDRESS(INDEX($W$2:$W$1001,MATCH(ROWS($U$2:U655),$U$2:$U$1001,0),0), INDEX($AB$1004:$AQ$1004,1,MATCH(COLUMNS($AB$1006:AG1006),$AB$1006:$AQ$1006,0)))),"Fix")))</f>
        <v>0</v>
      </c>
      <c r="H655" s="4">
        <f>IF(OR(INDEX($V$2:$V$1001,MATCH(ROWS($U$2:U655),$U$2:$U$1001,0),1)&gt;=100000,INDEX($AB$1005:$AQ$1005,1,MATCH(COLUMNS($AB$1006:AH1006),$AB$1006:$AQ$1006,0))&gt;=100000), " ",IF(INDEX($AB$2:$AQ$1001,MATCH(ROWS($U$2:U655),$U$2:$U$1001,0),MATCH(COLUMNS($AB$1006:AH1006),$AB$1006:$AQ$1006,0)), HYPERLINK("#",""), HYPERLINK(CONCATENATE("#metadata!", ADDRESS(INDEX($W$2:$W$1001,MATCH(ROWS($U$2:U655),$U$2:$U$1001,0),0), INDEX($AB$1004:$AQ$1004,1,MATCH(COLUMNS($AB$1006:AH1006),$AB$1006:$AQ$1006,0)))),"Fix")))</f>
        <v>0</v>
      </c>
      <c r="I655" s="4">
        <f>IF(OR(INDEX($V$2:$V$1001,MATCH(ROWS($U$2:U655),$U$2:$U$1001,0),1)&gt;=100000,INDEX($AB$1005:$AQ$1005,1,MATCH(COLUMNS($AB$1006:AI1006),$AB$1006:$AQ$1006,0))&gt;=100000), " ",IF(INDEX($AB$2:$AQ$1001,MATCH(ROWS($U$2:U655),$U$2:$U$1001,0),MATCH(COLUMNS($AB$1006:AI1006),$AB$1006:$AQ$1006,0)), HYPERLINK("#",""), HYPERLINK(CONCATENATE("#metadata!", ADDRESS(INDEX($W$2:$W$1001,MATCH(ROWS($U$2:U655),$U$2:$U$1001,0),0), INDEX($AB$1004:$AQ$1004,1,MATCH(COLUMNS($AB$1006:AI1006),$AB$1006:$AQ$1006,0)))),"Fix")))</f>
        <v>0</v>
      </c>
      <c r="J655" s="4">
        <f>IF(OR(INDEX($V$2:$V$1001,MATCH(ROWS($U$2:U655),$U$2:$U$1001,0),1)&gt;=100000,INDEX($AB$1005:$AQ$1005,1,MATCH(COLUMNS($AB$1006:AJ1006),$AB$1006:$AQ$1006,0))&gt;=100000), " ",IF(INDEX($AB$2:$AQ$1001,MATCH(ROWS($U$2:U655),$U$2:$U$1001,0),MATCH(COLUMNS($AB$1006:AJ1006),$AB$1006:$AQ$1006,0)), HYPERLINK("#",""), HYPERLINK(CONCATENATE("#metadata!", ADDRESS(INDEX($W$2:$W$1001,MATCH(ROWS($U$2:U655),$U$2:$U$1001,0),0), INDEX($AB$1004:$AQ$1004,1,MATCH(COLUMNS($AB$1006:AJ1006),$AB$1006:$AQ$1006,0)))),"Fix")))</f>
        <v>0</v>
      </c>
      <c r="K655" s="4">
        <f>IF(OR(INDEX($V$2:$V$1001,MATCH(ROWS($U$2:U655),$U$2:$U$1001,0),1)&gt;=100000,INDEX($AB$1005:$AQ$1005,1,MATCH(COLUMNS($AB$1006:AK1006),$AB$1006:$AQ$1006,0))&gt;=100000), " ",IF(INDEX($AB$2:$AQ$1001,MATCH(ROWS($U$2:U655),$U$2:$U$1001,0),MATCH(COLUMNS($AB$1006:AK1006),$AB$1006:$AQ$1006,0)), HYPERLINK("#",""), HYPERLINK(CONCATENATE("#metadata!", ADDRESS(INDEX($W$2:$W$1001,MATCH(ROWS($U$2:U655),$U$2:$U$1001,0),0), INDEX($AB$1004:$AQ$1004,1,MATCH(COLUMNS($AB$1006:AK1006),$AB$1006:$AQ$1006,0)))),"Fix")))</f>
        <v>0</v>
      </c>
      <c r="L655" s="4">
        <f>IF(OR(INDEX($V$2:$V$1001,MATCH(ROWS($U$2:U655),$U$2:$U$1001,0),1)&gt;=100000,INDEX($AB$1005:$AQ$1005,1,MATCH(COLUMNS($AB$1006:AL1006),$AB$1006:$AQ$1006,0))&gt;=100000), " ",IF(INDEX($AB$2:$AQ$1001,MATCH(ROWS($U$2:U655),$U$2:$U$1001,0),MATCH(COLUMNS($AB$1006:AL1006),$AB$1006:$AQ$1006,0)), HYPERLINK("#",""), HYPERLINK(CONCATENATE("#metadata!", ADDRESS(INDEX($W$2:$W$1001,MATCH(ROWS($U$2:U655),$U$2:$U$1001,0),0), INDEX($AB$1004:$AQ$1004,1,MATCH(COLUMNS($AB$1006:AL1006),$AB$1006:$AQ$1006,0)))),"Fix")))</f>
        <v>0</v>
      </c>
      <c r="M655" s="4">
        <f>IF(OR(INDEX($V$2:$V$1001,MATCH(ROWS($U$2:U655),$U$2:$U$1001,0),1)&gt;=100000,INDEX($AB$1005:$AQ$1005,1,MATCH(COLUMNS($AB$1006:AM1006),$AB$1006:$AQ$1006,0))&gt;=100000), " ",IF(INDEX($AB$2:$AQ$1001,MATCH(ROWS($U$2:U655),$U$2:$U$1001,0),MATCH(COLUMNS($AB$1006:AM1006),$AB$1006:$AQ$1006,0)), HYPERLINK("#",""), HYPERLINK(CONCATENATE("#metadata!", ADDRESS(INDEX($W$2:$W$1001,MATCH(ROWS($U$2:U655),$U$2:$U$1001,0),0), INDEX($AB$1004:$AQ$1004,1,MATCH(COLUMNS($AB$1006:AM1006),$AB$1006:$AQ$1006,0)))),"Fix")))</f>
        <v>0</v>
      </c>
      <c r="N655" s="4">
        <f>IF(OR(INDEX($V$2:$V$1001,MATCH(ROWS($U$2:U655),$U$2:$U$1001,0),1)&gt;=100000,INDEX($AB$1005:$AQ$1005,1,MATCH(COLUMNS($AB$1006:AN1006),$AB$1006:$AQ$1006,0))&gt;=100000), " ",IF(INDEX($AB$2:$AQ$1001,MATCH(ROWS($U$2:U655),$U$2:$U$1001,0),MATCH(COLUMNS($AB$1006:AN1006),$AB$1006:$AQ$1006,0)), HYPERLINK("#",""), HYPERLINK(CONCATENATE("#metadata!", ADDRESS(INDEX($W$2:$W$1001,MATCH(ROWS($U$2:U655),$U$2:$U$1001,0),0), INDEX($AB$1004:$AQ$1004,1,MATCH(COLUMNS($AB$1006:AN1006),$AB$1006:$AQ$1006,0)))),"Fix")))</f>
        <v>0</v>
      </c>
      <c r="O655" s="4">
        <f>IF(OR(INDEX($V$2:$V$1001,MATCH(ROWS($U$2:U655),$U$2:$U$1001,0),1)&gt;=100000,INDEX($AB$1005:$AQ$1005,1,MATCH(COLUMNS($AB$1006:AO1006),$AB$1006:$AQ$1006,0))&gt;=100000), " ",IF(INDEX($AB$2:$AQ$1001,MATCH(ROWS($U$2:U655),$U$2:$U$1001,0),MATCH(COLUMNS($AB$1006:AO1006),$AB$1006:$AQ$1006,0)), HYPERLINK("#",""), HYPERLINK(CONCATENATE("#metadata!", ADDRESS(INDEX($W$2:$W$1001,MATCH(ROWS($U$2:U655),$U$2:$U$1001,0),0), INDEX($AB$1004:$AQ$1004,1,MATCH(COLUMNS($AB$1006:AO1006),$AB$1006:$AQ$1006,0)))),"Fix")))</f>
        <v>0</v>
      </c>
      <c r="P655" s="4">
        <f>IF(OR(INDEX($V$2:$V$1001,MATCH(ROWS($U$2:U655),$U$2:$U$1001,0),1)&gt;=100000,INDEX($AB$1005:$AQ$1005,1,MATCH(COLUMNS($AB$1006:AP1006),$AB$1006:$AQ$1006,0))&gt;=100000), " ",IF(INDEX($AB$2:$AQ$1001,MATCH(ROWS($U$2:U655),$U$2:$U$1001,0),MATCH(COLUMNS($AB$1006:AP1006),$AB$1006:$AQ$1006,0)), HYPERLINK("#",""), HYPERLINK(CONCATENATE("#metadata!", ADDRESS(INDEX($W$2:$W$1001,MATCH(ROWS($U$2:U655),$U$2:$U$1001,0),0), INDEX($AB$1004:$AQ$1004,1,MATCH(COLUMNS($AB$1006:AP1006),$AB$1006:$AQ$1006,0)))),"Fix")))</f>
        <v>0</v>
      </c>
      <c r="Q655" s="4">
        <f>IF(OR(INDEX($V$2:$V$1001,MATCH(ROWS($U$2:U655),$U$2:$U$1001,0),1)&gt;=100000,INDEX($AB$1005:$AQ$1005,1,MATCH(COLUMNS($AB$1006:AQ1006),$AB$1006:$AQ$1006,0))&gt;=100000), " ",IF(INDEX($AB$2:$AQ$1001,MATCH(ROWS($U$2:U655),$U$2:$U$1001,0),MATCH(COLUMNS($AB$1006:AQ1006),$AB$1006:$AQ$1006,0)), HYPERLINK("#",""), HYPERLINK(CONCATENATE("#metadata!", ADDRESS(INDEX($W$2:$W$1001,MATCH(ROWS($U$2:U655),$U$2:$U$1001,0),0), INDEX($AB$1004:$AQ$1004,1,MATCH(COLUMNS($AB$1006:AQ1006),$AB$1006:$AQ$1006,0)))),"Fix")))</f>
        <v>0</v>
      </c>
      <c r="U655">
        <v>0</v>
      </c>
      <c r="V655">
        <v>0</v>
      </c>
      <c r="W655">
        <v>0</v>
      </c>
      <c r="X655">
        <f>IF(Y655,TRUE,AND(AB655:AQ655))</f>
        <v>0</v>
      </c>
      <c r="Y655">
        <f>COUNTBLANK(metadata!B655:Q655)=COLUMNS(metadata!B655:Q655)</f>
        <v>0</v>
      </c>
      <c r="Z655">
        <v>0</v>
      </c>
      <c r="AB655">
        <f>AND(IF(metadata!B655="",FALSE,TRUE),COUNTIF(metadata!B:B, metadata!B655) = 1,NOT(ISERROR(SUMPRODUCT(SEARCH(MID(metadata!B655,ROW(INDIRECT("1:"&amp;LEN(metadata!B655))), 1),"0123456789abcdefghijklmnopqrstuvwxyzABCDEFGHIJKLMNOPQRSTUVWXYZ.")))))</f>
        <v>0</v>
      </c>
      <c r="AC655">
        <f>OR(AND(IF(metadata!C655="",FALSE,TRUE),OR(exact(metadata!C655,"missing: not collected"),exact(metadata!C655,"missing: not provided"),exact(metadata!C655,"missing: restricted access"))),AND(IF(metadata!C655="",FALSE,TRUE),AND(AND(IFERROR(INT(LEFT(metadata!C655,4))&gt;1900,FALSE),IFERROR(INT(LEFT(metadata!C655,4))&lt;=YEAR(NOW()),FALSE)), OR(MID(metadata!C655,5,1)="", AND(AND(MID(metadata!C655,5,1)="-",IFERROR(INT(MID(metadata!C655,6,1))&gt;=0,FALSE),IFERROR(INT(MID(metadata!C655,6,1))&lt;=1,FALSE),NOT(MID(metadata!C655,7,1)=""),IFERROR(INT(MID(metadata!C655,6,2))&gt;=1,FALSE),IFERROR(INT(MID(metadata!C655,6,2))&lt;=12,FALSE)), OR(MID(metadata!C655,8,1)="", AND(AND(MID(metadata!C655,8,1)="-",IFERROR(INT(MID(metadata!C655,9,1))&gt;=0,FALSE),IFERROR(INT(MID(metadata!C655,9,1))&lt;=3,FALSE),NOT(MID(metadata!C655,10,1)=""),IFERROR(INT(MID(metadata!C655,9,2))&gt;=1,FALSE),IFERROR(INT(MID(metadata!C655,9,2))&lt;=31,FALSE)), OR(MID(metadata!C655,11,1)="", AND(AND(MID(metadata!C655,11,1)=" ",IFERROR(INT(MID(metadata!C655,12,1))&gt;=0,FALSE),IFERROR(INT(MID(metadata!C655,12,1))&lt;=2,FALSE),NOT(MID(metadata!C655,13,1)=""),IFERROR(INT(MID(metadata!C655,12,2))&gt;=0,FALSE),IFERROR(INT(MID(metadata!C655,12,2))&lt;=23,FALSE)), OR(MID(metadata!C655,14,1)="", AND(AND(MID(metadata!C655,14,1)=":",IFERROR(INT(MID(metadata!C655,15,1))&gt;=0,FALSE),IFERROR(INT(MID(metadata!C655,15,1))&lt;=5,FALSE),NOT(MID(metadata!C655,16,1)=""),IFERROR(INT(MID(metadata!C655,15,2))&gt;=0,FALSE),IFERROR(INT(MID(metadata!C655,15,2))&lt;=59,FALSE)), OR(MID(metadata!C655,17,1)="", AND(AND(MID(metadata!C655,17,1)=":",IFERROR(INT(MID(metadata!C655,18,1))&gt;=0,FALSE),IFERROR(INT(MID(metadata!C655,18,1))&lt;=5,FALSE),NOT(MID(metadata!C655,19,1)=""),IFERROR(INT(MID(metadata!C655,18,2))&gt;=0,FALSE),IFERROR(INT(MID(metadata!C655,18,2))&lt;=59,FALSE)), LEN(metadata!C655)&lt;=19)))))))))))))</f>
        <v>0</v>
      </c>
      <c r="AD655">
        <f>IF(metadata!D655="",FALSE,TRUE)</f>
        <v>0</v>
      </c>
      <c r="AE655">
        <f>OR(AND(IF(metadata!E655="",FALSE,TRUE),OR(exact(metadata!E655,"missing: not collected"),exact(metadata!E655,"missing: not provided"))),AND(IF(metadata!E655="",FALSE,TRUE),OR(exact(metadata!E655,"TRUE"),exact(metadata!E655,"FALSE"))))</f>
        <v>0</v>
      </c>
      <c r="AF655">
        <f>IF(metadata!F655="",FALSE,TRUE)</f>
        <v>0</v>
      </c>
      <c r="AG655">
        <f>IF(metadata!G655="",FALSE,TRUE)</f>
        <v>0</v>
      </c>
      <c r="AH655">
        <f>IF(metadata!H655="",FALSE,TRUE)</f>
        <v>0</v>
      </c>
      <c r="AI655">
        <f>OR(AND(IF(metadata!I655="",FALSE,TRUE),OR(exact(metadata!I655,"missing: not collected"),exact(metadata!I655,"missing: not provided"),exact(metadata!I655,"missing: restricted access"))),AND(IF(metadata!I655="",FALSE,TRUE),OR(exact(metadata!I655,"air"),exact(metadata!I655,"built environment"),exact(metadata!I655,"host-associated"),exact(metadata!I655,"human-associated"),exact(metadata!I655,"human-skin"),exact(metadata!I655,"human-oral"),exact(metadata!I655,"human-gut"),exact(metadata!I655,"human-vaginal"),exact(metadata!I655,"microbial mat/biofilm"),exact(metadata!I655,"misc environment"),exact(metadata!I655,"plant-associated"),exact(metadata!I655,"sediment"),exact(metadata!I655,"soil"),exact(metadata!I655,"wastewater/sludge"),exact(metadata!I655,"water"))))</f>
        <v>0</v>
      </c>
      <c r="AJ655">
        <f>IF(metadata!J655="",FALSE,TRUE)</f>
        <v>0</v>
      </c>
      <c r="AK655">
        <f>OR(AND(IF(metadata!K655="",FALSE,TRUE),OR(exact(metadata!K655,"missing: not collected"),exact(metadata!K655,"missing: not provided"),exact(metadata!K655,"missing: restricted access"))),AND(IF(metadata!K655="",FALSE,ISNUMBER(VALUE(metadata!K655))),metadata!K655&gt;=-90.00,metadata!K655&lt;=90.00))</f>
        <v>0</v>
      </c>
      <c r="AL655">
        <f>OR(AND(IF(metadata!L655="",FALSE,TRUE),OR(exact(metadata!L655,"missing: not collected"),exact(metadata!L655,"missing: not provided"),exact(metadata!L655,"missing: restricted access"))),AND(IF(metadata!L655="",FALSE,ISNUMBER(VALUE(metadata!L655))),metadata!L655&gt;=-180.00,metadata!L655&lt;=180.00))</f>
        <v>0</v>
      </c>
      <c r="AM655">
        <f>IF(metadata!M655="",FALSE,TRUE)</f>
        <v>0</v>
      </c>
      <c r="AN655">
        <f>OR(AND(IF(metadata!N655="",FALSE,TRUE),OR(exact(metadata!N655,"missing: not collected"),exact(metadata!N655,"missing: not provided"),exact(metadata!N655,"missing: restricted access"))),AND(IF(metadata!N655="",FALSE,TRUE),OR(exact(metadata!N655,"TRUE"),exact(metadata!N655,"FALSE"))))</f>
        <v>0</v>
      </c>
      <c r="AO655">
        <f>IF(metadata!O655="",FALSE,TRUE)</f>
        <v>0</v>
      </c>
      <c r="AP655">
        <f>OR(AND(IF(metadata!P655="",FALSE,TRUE),OR(exact(metadata!P655,"missing: not collected"),exact(metadata!P655,"missing: not provided"))),AND(IF(metadata!P655="",FALSE,IF(ISERROR(INT(metadata!P655)),FALSE,INT(metadata!P655)=metadata!P655)),metadata!P655&gt;0))</f>
        <v>0</v>
      </c>
      <c r="AQ655">
        <f>IF(metadata!Q655="",FALSE,TRUE)</f>
        <v>0</v>
      </c>
    </row>
    <row r="656" spans="1:43">
      <c r="A656" s="5">
        <f>IF(B656=" "," ",HYPERLINK(CONCATENATE("#metadata!",ADDRESS(INDEX($W$2:$W$1001,MATCH(ROWS($U$2:U656),$U$2:$U$1001,0),0),1)),INDEX($Z$2:$Z$1001,MATCH(ROWS($U$2:U656),$U$2:$U$1001,0),0)))</f>
        <v>0</v>
      </c>
      <c r="B656" s="4">
        <f>IF(OR(INDEX($V$2:$V$1001,MATCH(ROWS($U$2:U656),$U$2:$U$1001,0),1)&gt;=100000,INDEX($AB$1005:$AQ$1005,1,MATCH(COLUMNS($AB$1006:AB1006),$AB$1006:$AQ$1006,0))&gt;=100000), " ",IF(INDEX($AB$2:$AQ$1001,MATCH(ROWS($U$2:U656),$U$2:$U$1001,0),MATCH(COLUMNS($AB$1006:AB1006),$AB$1006:$AQ$1006,0)), HYPERLINK("#",""), HYPERLINK(CONCATENATE("#metadata!", ADDRESS(INDEX($W$2:$W$1001,MATCH(ROWS($U$2:U656),$U$2:$U$1001,0),0), INDEX($AB$1004:$AQ$1004,1,MATCH(COLUMNS($AB$1006:AB1006),$AB$1006:$AQ$1006,0)))),"Fix")))</f>
        <v>0</v>
      </c>
      <c r="C656" s="4">
        <f>IF(OR(INDEX($V$2:$V$1001,MATCH(ROWS($U$2:U656),$U$2:$U$1001,0),1)&gt;=100000,INDEX($AB$1005:$AQ$1005,1,MATCH(COLUMNS($AB$1006:AC1006),$AB$1006:$AQ$1006,0))&gt;=100000), " ",IF(INDEX($AB$2:$AQ$1001,MATCH(ROWS($U$2:U656),$U$2:$U$1001,0),MATCH(COLUMNS($AB$1006:AC1006),$AB$1006:$AQ$1006,0)), HYPERLINK("#",""), HYPERLINK(CONCATENATE("#metadata!", ADDRESS(INDEX($W$2:$W$1001,MATCH(ROWS($U$2:U656),$U$2:$U$1001,0),0), INDEX($AB$1004:$AQ$1004,1,MATCH(COLUMNS($AB$1006:AC1006),$AB$1006:$AQ$1006,0)))),"Fix")))</f>
        <v>0</v>
      </c>
      <c r="D656" s="4">
        <f>IF(OR(INDEX($V$2:$V$1001,MATCH(ROWS($U$2:U656),$U$2:$U$1001,0),1)&gt;=100000,INDEX($AB$1005:$AQ$1005,1,MATCH(COLUMNS($AB$1006:AD1006),$AB$1006:$AQ$1006,0))&gt;=100000), " ",IF(INDEX($AB$2:$AQ$1001,MATCH(ROWS($U$2:U656),$U$2:$U$1001,0),MATCH(COLUMNS($AB$1006:AD1006),$AB$1006:$AQ$1006,0)), HYPERLINK("#",""), HYPERLINK(CONCATENATE("#metadata!", ADDRESS(INDEX($W$2:$W$1001,MATCH(ROWS($U$2:U656),$U$2:$U$1001,0),0), INDEX($AB$1004:$AQ$1004,1,MATCH(COLUMNS($AB$1006:AD1006),$AB$1006:$AQ$1006,0)))),"Fix")))</f>
        <v>0</v>
      </c>
      <c r="E656" s="4">
        <f>IF(OR(INDEX($V$2:$V$1001,MATCH(ROWS($U$2:U656),$U$2:$U$1001,0),1)&gt;=100000,INDEX($AB$1005:$AQ$1005,1,MATCH(COLUMNS($AB$1006:AE1006),$AB$1006:$AQ$1006,0))&gt;=100000), " ",IF(INDEX($AB$2:$AQ$1001,MATCH(ROWS($U$2:U656),$U$2:$U$1001,0),MATCH(COLUMNS($AB$1006:AE1006),$AB$1006:$AQ$1006,0)), HYPERLINK("#",""), HYPERLINK(CONCATENATE("#metadata!", ADDRESS(INDEX($W$2:$W$1001,MATCH(ROWS($U$2:U656),$U$2:$U$1001,0),0), INDEX($AB$1004:$AQ$1004,1,MATCH(COLUMNS($AB$1006:AE1006),$AB$1006:$AQ$1006,0)))),"Fix")))</f>
        <v>0</v>
      </c>
      <c r="F656" s="4">
        <f>IF(OR(INDEX($V$2:$V$1001,MATCH(ROWS($U$2:U656),$U$2:$U$1001,0),1)&gt;=100000,INDEX($AB$1005:$AQ$1005,1,MATCH(COLUMNS($AB$1006:AF1006),$AB$1006:$AQ$1006,0))&gt;=100000), " ",IF(INDEX($AB$2:$AQ$1001,MATCH(ROWS($U$2:U656),$U$2:$U$1001,0),MATCH(COLUMNS($AB$1006:AF1006),$AB$1006:$AQ$1006,0)), HYPERLINK("#",""), HYPERLINK(CONCATENATE("#metadata!", ADDRESS(INDEX($W$2:$W$1001,MATCH(ROWS($U$2:U656),$U$2:$U$1001,0),0), INDEX($AB$1004:$AQ$1004,1,MATCH(COLUMNS($AB$1006:AF1006),$AB$1006:$AQ$1006,0)))),"Fix")))</f>
        <v>0</v>
      </c>
      <c r="G656" s="4">
        <f>IF(OR(INDEX($V$2:$V$1001,MATCH(ROWS($U$2:U656),$U$2:$U$1001,0),1)&gt;=100000,INDEX($AB$1005:$AQ$1005,1,MATCH(COLUMNS($AB$1006:AG1006),$AB$1006:$AQ$1006,0))&gt;=100000), " ",IF(INDEX($AB$2:$AQ$1001,MATCH(ROWS($U$2:U656),$U$2:$U$1001,0),MATCH(COLUMNS($AB$1006:AG1006),$AB$1006:$AQ$1006,0)), HYPERLINK("#",""), HYPERLINK(CONCATENATE("#metadata!", ADDRESS(INDEX($W$2:$W$1001,MATCH(ROWS($U$2:U656),$U$2:$U$1001,0),0), INDEX($AB$1004:$AQ$1004,1,MATCH(COLUMNS($AB$1006:AG1006),$AB$1006:$AQ$1006,0)))),"Fix")))</f>
        <v>0</v>
      </c>
      <c r="H656" s="4">
        <f>IF(OR(INDEX($V$2:$V$1001,MATCH(ROWS($U$2:U656),$U$2:$U$1001,0),1)&gt;=100000,INDEX($AB$1005:$AQ$1005,1,MATCH(COLUMNS($AB$1006:AH1006),$AB$1006:$AQ$1006,0))&gt;=100000), " ",IF(INDEX($AB$2:$AQ$1001,MATCH(ROWS($U$2:U656),$U$2:$U$1001,0),MATCH(COLUMNS($AB$1006:AH1006),$AB$1006:$AQ$1006,0)), HYPERLINK("#",""), HYPERLINK(CONCATENATE("#metadata!", ADDRESS(INDEX($W$2:$W$1001,MATCH(ROWS($U$2:U656),$U$2:$U$1001,0),0), INDEX($AB$1004:$AQ$1004,1,MATCH(COLUMNS($AB$1006:AH1006),$AB$1006:$AQ$1006,0)))),"Fix")))</f>
        <v>0</v>
      </c>
      <c r="I656" s="4">
        <f>IF(OR(INDEX($V$2:$V$1001,MATCH(ROWS($U$2:U656),$U$2:$U$1001,0),1)&gt;=100000,INDEX($AB$1005:$AQ$1005,1,MATCH(COLUMNS($AB$1006:AI1006),$AB$1006:$AQ$1006,0))&gt;=100000), " ",IF(INDEX($AB$2:$AQ$1001,MATCH(ROWS($U$2:U656),$U$2:$U$1001,0),MATCH(COLUMNS($AB$1006:AI1006),$AB$1006:$AQ$1006,0)), HYPERLINK("#",""), HYPERLINK(CONCATENATE("#metadata!", ADDRESS(INDEX($W$2:$W$1001,MATCH(ROWS($U$2:U656),$U$2:$U$1001,0),0), INDEX($AB$1004:$AQ$1004,1,MATCH(COLUMNS($AB$1006:AI1006),$AB$1006:$AQ$1006,0)))),"Fix")))</f>
        <v>0</v>
      </c>
      <c r="J656" s="4">
        <f>IF(OR(INDEX($V$2:$V$1001,MATCH(ROWS($U$2:U656),$U$2:$U$1001,0),1)&gt;=100000,INDEX($AB$1005:$AQ$1005,1,MATCH(COLUMNS($AB$1006:AJ1006),$AB$1006:$AQ$1006,0))&gt;=100000), " ",IF(INDEX($AB$2:$AQ$1001,MATCH(ROWS($U$2:U656),$U$2:$U$1001,0),MATCH(COLUMNS($AB$1006:AJ1006),$AB$1006:$AQ$1006,0)), HYPERLINK("#",""), HYPERLINK(CONCATENATE("#metadata!", ADDRESS(INDEX($W$2:$W$1001,MATCH(ROWS($U$2:U656),$U$2:$U$1001,0),0), INDEX($AB$1004:$AQ$1004,1,MATCH(COLUMNS($AB$1006:AJ1006),$AB$1006:$AQ$1006,0)))),"Fix")))</f>
        <v>0</v>
      </c>
      <c r="K656" s="4">
        <f>IF(OR(INDEX($V$2:$V$1001,MATCH(ROWS($U$2:U656),$U$2:$U$1001,0),1)&gt;=100000,INDEX($AB$1005:$AQ$1005,1,MATCH(COLUMNS($AB$1006:AK1006),$AB$1006:$AQ$1006,0))&gt;=100000), " ",IF(INDEX($AB$2:$AQ$1001,MATCH(ROWS($U$2:U656),$U$2:$U$1001,0),MATCH(COLUMNS($AB$1006:AK1006),$AB$1006:$AQ$1006,0)), HYPERLINK("#",""), HYPERLINK(CONCATENATE("#metadata!", ADDRESS(INDEX($W$2:$W$1001,MATCH(ROWS($U$2:U656),$U$2:$U$1001,0),0), INDEX($AB$1004:$AQ$1004,1,MATCH(COLUMNS($AB$1006:AK1006),$AB$1006:$AQ$1006,0)))),"Fix")))</f>
        <v>0</v>
      </c>
      <c r="L656" s="4">
        <f>IF(OR(INDEX($V$2:$V$1001,MATCH(ROWS($U$2:U656),$U$2:$U$1001,0),1)&gt;=100000,INDEX($AB$1005:$AQ$1005,1,MATCH(COLUMNS($AB$1006:AL1006),$AB$1006:$AQ$1006,0))&gt;=100000), " ",IF(INDEX($AB$2:$AQ$1001,MATCH(ROWS($U$2:U656),$U$2:$U$1001,0),MATCH(COLUMNS($AB$1006:AL1006),$AB$1006:$AQ$1006,0)), HYPERLINK("#",""), HYPERLINK(CONCATENATE("#metadata!", ADDRESS(INDEX($W$2:$W$1001,MATCH(ROWS($U$2:U656),$U$2:$U$1001,0),0), INDEX($AB$1004:$AQ$1004,1,MATCH(COLUMNS($AB$1006:AL1006),$AB$1006:$AQ$1006,0)))),"Fix")))</f>
        <v>0</v>
      </c>
      <c r="M656" s="4">
        <f>IF(OR(INDEX($V$2:$V$1001,MATCH(ROWS($U$2:U656),$U$2:$U$1001,0),1)&gt;=100000,INDEX($AB$1005:$AQ$1005,1,MATCH(COLUMNS($AB$1006:AM1006),$AB$1006:$AQ$1006,0))&gt;=100000), " ",IF(INDEX($AB$2:$AQ$1001,MATCH(ROWS($U$2:U656),$U$2:$U$1001,0),MATCH(COLUMNS($AB$1006:AM1006),$AB$1006:$AQ$1006,0)), HYPERLINK("#",""), HYPERLINK(CONCATENATE("#metadata!", ADDRESS(INDEX($W$2:$W$1001,MATCH(ROWS($U$2:U656),$U$2:$U$1001,0),0), INDEX($AB$1004:$AQ$1004,1,MATCH(COLUMNS($AB$1006:AM1006),$AB$1006:$AQ$1006,0)))),"Fix")))</f>
        <v>0</v>
      </c>
      <c r="N656" s="4">
        <f>IF(OR(INDEX($V$2:$V$1001,MATCH(ROWS($U$2:U656),$U$2:$U$1001,0),1)&gt;=100000,INDEX($AB$1005:$AQ$1005,1,MATCH(COLUMNS($AB$1006:AN1006),$AB$1006:$AQ$1006,0))&gt;=100000), " ",IF(INDEX($AB$2:$AQ$1001,MATCH(ROWS($U$2:U656),$U$2:$U$1001,0),MATCH(COLUMNS($AB$1006:AN1006),$AB$1006:$AQ$1006,0)), HYPERLINK("#",""), HYPERLINK(CONCATENATE("#metadata!", ADDRESS(INDEX($W$2:$W$1001,MATCH(ROWS($U$2:U656),$U$2:$U$1001,0),0), INDEX($AB$1004:$AQ$1004,1,MATCH(COLUMNS($AB$1006:AN1006),$AB$1006:$AQ$1006,0)))),"Fix")))</f>
        <v>0</v>
      </c>
      <c r="O656" s="4">
        <f>IF(OR(INDEX($V$2:$V$1001,MATCH(ROWS($U$2:U656),$U$2:$U$1001,0),1)&gt;=100000,INDEX($AB$1005:$AQ$1005,1,MATCH(COLUMNS($AB$1006:AO1006),$AB$1006:$AQ$1006,0))&gt;=100000), " ",IF(INDEX($AB$2:$AQ$1001,MATCH(ROWS($U$2:U656),$U$2:$U$1001,0),MATCH(COLUMNS($AB$1006:AO1006),$AB$1006:$AQ$1006,0)), HYPERLINK("#",""), HYPERLINK(CONCATENATE("#metadata!", ADDRESS(INDEX($W$2:$W$1001,MATCH(ROWS($U$2:U656),$U$2:$U$1001,0),0), INDEX($AB$1004:$AQ$1004,1,MATCH(COLUMNS($AB$1006:AO1006),$AB$1006:$AQ$1006,0)))),"Fix")))</f>
        <v>0</v>
      </c>
      <c r="P656" s="4">
        <f>IF(OR(INDEX($V$2:$V$1001,MATCH(ROWS($U$2:U656),$U$2:$U$1001,0),1)&gt;=100000,INDEX($AB$1005:$AQ$1005,1,MATCH(COLUMNS($AB$1006:AP1006),$AB$1006:$AQ$1006,0))&gt;=100000), " ",IF(INDEX($AB$2:$AQ$1001,MATCH(ROWS($U$2:U656),$U$2:$U$1001,0),MATCH(COLUMNS($AB$1006:AP1006),$AB$1006:$AQ$1006,0)), HYPERLINK("#",""), HYPERLINK(CONCATENATE("#metadata!", ADDRESS(INDEX($W$2:$W$1001,MATCH(ROWS($U$2:U656),$U$2:$U$1001,0),0), INDEX($AB$1004:$AQ$1004,1,MATCH(COLUMNS($AB$1006:AP1006),$AB$1006:$AQ$1006,0)))),"Fix")))</f>
        <v>0</v>
      </c>
      <c r="Q656" s="4">
        <f>IF(OR(INDEX($V$2:$V$1001,MATCH(ROWS($U$2:U656),$U$2:$U$1001,0),1)&gt;=100000,INDEX($AB$1005:$AQ$1005,1,MATCH(COLUMNS($AB$1006:AQ1006),$AB$1006:$AQ$1006,0))&gt;=100000), " ",IF(INDEX($AB$2:$AQ$1001,MATCH(ROWS($U$2:U656),$U$2:$U$1001,0),MATCH(COLUMNS($AB$1006:AQ1006),$AB$1006:$AQ$1006,0)), HYPERLINK("#",""), HYPERLINK(CONCATENATE("#metadata!", ADDRESS(INDEX($W$2:$W$1001,MATCH(ROWS($U$2:U656),$U$2:$U$1001,0),0), INDEX($AB$1004:$AQ$1004,1,MATCH(COLUMNS($AB$1006:AQ1006),$AB$1006:$AQ$1006,0)))),"Fix")))</f>
        <v>0</v>
      </c>
      <c r="U656">
        <v>0</v>
      </c>
      <c r="V656">
        <v>0</v>
      </c>
      <c r="W656">
        <v>0</v>
      </c>
      <c r="X656">
        <f>IF(Y656,TRUE,AND(AB656:AQ656))</f>
        <v>0</v>
      </c>
      <c r="Y656">
        <f>COUNTBLANK(metadata!B656:Q656)=COLUMNS(metadata!B656:Q656)</f>
        <v>0</v>
      </c>
      <c r="Z656">
        <v>0</v>
      </c>
      <c r="AB656">
        <f>AND(IF(metadata!B656="",FALSE,TRUE),COUNTIF(metadata!B:B, metadata!B656) = 1,NOT(ISERROR(SUMPRODUCT(SEARCH(MID(metadata!B656,ROW(INDIRECT("1:"&amp;LEN(metadata!B656))), 1),"0123456789abcdefghijklmnopqrstuvwxyzABCDEFGHIJKLMNOPQRSTUVWXYZ.")))))</f>
        <v>0</v>
      </c>
      <c r="AC656">
        <f>OR(AND(IF(metadata!C656="",FALSE,TRUE),OR(exact(metadata!C656,"missing: not collected"),exact(metadata!C656,"missing: not provided"),exact(metadata!C656,"missing: restricted access"))),AND(IF(metadata!C656="",FALSE,TRUE),AND(AND(IFERROR(INT(LEFT(metadata!C656,4))&gt;1900,FALSE),IFERROR(INT(LEFT(metadata!C656,4))&lt;=YEAR(NOW()),FALSE)), OR(MID(metadata!C656,5,1)="", AND(AND(MID(metadata!C656,5,1)="-",IFERROR(INT(MID(metadata!C656,6,1))&gt;=0,FALSE),IFERROR(INT(MID(metadata!C656,6,1))&lt;=1,FALSE),NOT(MID(metadata!C656,7,1)=""),IFERROR(INT(MID(metadata!C656,6,2))&gt;=1,FALSE),IFERROR(INT(MID(metadata!C656,6,2))&lt;=12,FALSE)), OR(MID(metadata!C656,8,1)="", AND(AND(MID(metadata!C656,8,1)="-",IFERROR(INT(MID(metadata!C656,9,1))&gt;=0,FALSE),IFERROR(INT(MID(metadata!C656,9,1))&lt;=3,FALSE),NOT(MID(metadata!C656,10,1)=""),IFERROR(INT(MID(metadata!C656,9,2))&gt;=1,FALSE),IFERROR(INT(MID(metadata!C656,9,2))&lt;=31,FALSE)), OR(MID(metadata!C656,11,1)="", AND(AND(MID(metadata!C656,11,1)=" ",IFERROR(INT(MID(metadata!C656,12,1))&gt;=0,FALSE),IFERROR(INT(MID(metadata!C656,12,1))&lt;=2,FALSE),NOT(MID(metadata!C656,13,1)=""),IFERROR(INT(MID(metadata!C656,12,2))&gt;=0,FALSE),IFERROR(INT(MID(metadata!C656,12,2))&lt;=23,FALSE)), OR(MID(metadata!C656,14,1)="", AND(AND(MID(metadata!C656,14,1)=":",IFERROR(INT(MID(metadata!C656,15,1))&gt;=0,FALSE),IFERROR(INT(MID(metadata!C656,15,1))&lt;=5,FALSE),NOT(MID(metadata!C656,16,1)=""),IFERROR(INT(MID(metadata!C656,15,2))&gt;=0,FALSE),IFERROR(INT(MID(metadata!C656,15,2))&lt;=59,FALSE)), OR(MID(metadata!C656,17,1)="", AND(AND(MID(metadata!C656,17,1)=":",IFERROR(INT(MID(metadata!C656,18,1))&gt;=0,FALSE),IFERROR(INT(MID(metadata!C656,18,1))&lt;=5,FALSE),NOT(MID(metadata!C656,19,1)=""),IFERROR(INT(MID(metadata!C656,18,2))&gt;=0,FALSE),IFERROR(INT(MID(metadata!C656,18,2))&lt;=59,FALSE)), LEN(metadata!C656)&lt;=19)))))))))))))</f>
        <v>0</v>
      </c>
      <c r="AD656">
        <f>IF(metadata!D656="",FALSE,TRUE)</f>
        <v>0</v>
      </c>
      <c r="AE656">
        <f>OR(AND(IF(metadata!E656="",FALSE,TRUE),OR(exact(metadata!E656,"missing: not collected"),exact(metadata!E656,"missing: not provided"))),AND(IF(metadata!E656="",FALSE,TRUE),OR(exact(metadata!E656,"TRUE"),exact(metadata!E656,"FALSE"))))</f>
        <v>0</v>
      </c>
      <c r="AF656">
        <f>IF(metadata!F656="",FALSE,TRUE)</f>
        <v>0</v>
      </c>
      <c r="AG656">
        <f>IF(metadata!G656="",FALSE,TRUE)</f>
        <v>0</v>
      </c>
      <c r="AH656">
        <f>IF(metadata!H656="",FALSE,TRUE)</f>
        <v>0</v>
      </c>
      <c r="AI656">
        <f>OR(AND(IF(metadata!I656="",FALSE,TRUE),OR(exact(metadata!I656,"missing: not collected"),exact(metadata!I656,"missing: not provided"),exact(metadata!I656,"missing: restricted access"))),AND(IF(metadata!I656="",FALSE,TRUE),OR(exact(metadata!I656,"air"),exact(metadata!I656,"built environment"),exact(metadata!I656,"host-associated"),exact(metadata!I656,"human-associated"),exact(metadata!I656,"human-skin"),exact(metadata!I656,"human-oral"),exact(metadata!I656,"human-gut"),exact(metadata!I656,"human-vaginal"),exact(metadata!I656,"microbial mat/biofilm"),exact(metadata!I656,"misc environment"),exact(metadata!I656,"plant-associated"),exact(metadata!I656,"sediment"),exact(metadata!I656,"soil"),exact(metadata!I656,"wastewater/sludge"),exact(metadata!I656,"water"))))</f>
        <v>0</v>
      </c>
      <c r="AJ656">
        <f>IF(metadata!J656="",FALSE,TRUE)</f>
        <v>0</v>
      </c>
      <c r="AK656">
        <f>OR(AND(IF(metadata!K656="",FALSE,TRUE),OR(exact(metadata!K656,"missing: not collected"),exact(metadata!K656,"missing: not provided"),exact(metadata!K656,"missing: restricted access"))),AND(IF(metadata!K656="",FALSE,ISNUMBER(VALUE(metadata!K656))),metadata!K656&gt;=-90.00,metadata!K656&lt;=90.00))</f>
        <v>0</v>
      </c>
      <c r="AL656">
        <f>OR(AND(IF(metadata!L656="",FALSE,TRUE),OR(exact(metadata!L656,"missing: not collected"),exact(metadata!L656,"missing: not provided"),exact(metadata!L656,"missing: restricted access"))),AND(IF(metadata!L656="",FALSE,ISNUMBER(VALUE(metadata!L656))),metadata!L656&gt;=-180.00,metadata!L656&lt;=180.00))</f>
        <v>0</v>
      </c>
      <c r="AM656">
        <f>IF(metadata!M656="",FALSE,TRUE)</f>
        <v>0</v>
      </c>
      <c r="AN656">
        <f>OR(AND(IF(metadata!N656="",FALSE,TRUE),OR(exact(metadata!N656,"missing: not collected"),exact(metadata!N656,"missing: not provided"),exact(metadata!N656,"missing: restricted access"))),AND(IF(metadata!N656="",FALSE,TRUE),OR(exact(metadata!N656,"TRUE"),exact(metadata!N656,"FALSE"))))</f>
        <v>0</v>
      </c>
      <c r="AO656">
        <f>IF(metadata!O656="",FALSE,TRUE)</f>
        <v>0</v>
      </c>
      <c r="AP656">
        <f>OR(AND(IF(metadata!P656="",FALSE,TRUE),OR(exact(metadata!P656,"missing: not collected"),exact(metadata!P656,"missing: not provided"))),AND(IF(metadata!P656="",FALSE,IF(ISERROR(INT(metadata!P656)),FALSE,INT(metadata!P656)=metadata!P656)),metadata!P656&gt;0))</f>
        <v>0</v>
      </c>
      <c r="AQ656">
        <f>IF(metadata!Q656="",FALSE,TRUE)</f>
        <v>0</v>
      </c>
    </row>
    <row r="657" spans="1:43">
      <c r="A657" s="5">
        <f>IF(B657=" "," ",HYPERLINK(CONCATENATE("#metadata!",ADDRESS(INDEX($W$2:$W$1001,MATCH(ROWS($U$2:U657),$U$2:$U$1001,0),0),1)),INDEX($Z$2:$Z$1001,MATCH(ROWS($U$2:U657),$U$2:$U$1001,0),0)))</f>
        <v>0</v>
      </c>
      <c r="B657" s="4">
        <f>IF(OR(INDEX($V$2:$V$1001,MATCH(ROWS($U$2:U657),$U$2:$U$1001,0),1)&gt;=100000,INDEX($AB$1005:$AQ$1005,1,MATCH(COLUMNS($AB$1006:AB1006),$AB$1006:$AQ$1006,0))&gt;=100000), " ",IF(INDEX($AB$2:$AQ$1001,MATCH(ROWS($U$2:U657),$U$2:$U$1001,0),MATCH(COLUMNS($AB$1006:AB1006),$AB$1006:$AQ$1006,0)), HYPERLINK("#",""), HYPERLINK(CONCATENATE("#metadata!", ADDRESS(INDEX($W$2:$W$1001,MATCH(ROWS($U$2:U657),$U$2:$U$1001,0),0), INDEX($AB$1004:$AQ$1004,1,MATCH(COLUMNS($AB$1006:AB1006),$AB$1006:$AQ$1006,0)))),"Fix")))</f>
        <v>0</v>
      </c>
      <c r="C657" s="4">
        <f>IF(OR(INDEX($V$2:$V$1001,MATCH(ROWS($U$2:U657),$U$2:$U$1001,0),1)&gt;=100000,INDEX($AB$1005:$AQ$1005,1,MATCH(COLUMNS($AB$1006:AC1006),$AB$1006:$AQ$1006,0))&gt;=100000), " ",IF(INDEX($AB$2:$AQ$1001,MATCH(ROWS($U$2:U657),$U$2:$U$1001,0),MATCH(COLUMNS($AB$1006:AC1006),$AB$1006:$AQ$1006,0)), HYPERLINK("#",""), HYPERLINK(CONCATENATE("#metadata!", ADDRESS(INDEX($W$2:$W$1001,MATCH(ROWS($U$2:U657),$U$2:$U$1001,0),0), INDEX($AB$1004:$AQ$1004,1,MATCH(COLUMNS($AB$1006:AC1006),$AB$1006:$AQ$1006,0)))),"Fix")))</f>
        <v>0</v>
      </c>
      <c r="D657" s="4">
        <f>IF(OR(INDEX($V$2:$V$1001,MATCH(ROWS($U$2:U657),$U$2:$U$1001,0),1)&gt;=100000,INDEX($AB$1005:$AQ$1005,1,MATCH(COLUMNS($AB$1006:AD1006),$AB$1006:$AQ$1006,0))&gt;=100000), " ",IF(INDEX($AB$2:$AQ$1001,MATCH(ROWS($U$2:U657),$U$2:$U$1001,0),MATCH(COLUMNS($AB$1006:AD1006),$AB$1006:$AQ$1006,0)), HYPERLINK("#",""), HYPERLINK(CONCATENATE("#metadata!", ADDRESS(INDEX($W$2:$W$1001,MATCH(ROWS($U$2:U657),$U$2:$U$1001,0),0), INDEX($AB$1004:$AQ$1004,1,MATCH(COLUMNS($AB$1006:AD1006),$AB$1006:$AQ$1006,0)))),"Fix")))</f>
        <v>0</v>
      </c>
      <c r="E657" s="4">
        <f>IF(OR(INDEX($V$2:$V$1001,MATCH(ROWS($U$2:U657),$U$2:$U$1001,0),1)&gt;=100000,INDEX($AB$1005:$AQ$1005,1,MATCH(COLUMNS($AB$1006:AE1006),$AB$1006:$AQ$1006,0))&gt;=100000), " ",IF(INDEX($AB$2:$AQ$1001,MATCH(ROWS($U$2:U657),$U$2:$U$1001,0),MATCH(COLUMNS($AB$1006:AE1006),$AB$1006:$AQ$1006,0)), HYPERLINK("#",""), HYPERLINK(CONCATENATE("#metadata!", ADDRESS(INDEX($W$2:$W$1001,MATCH(ROWS($U$2:U657),$U$2:$U$1001,0),0), INDEX($AB$1004:$AQ$1004,1,MATCH(COLUMNS($AB$1006:AE1006),$AB$1006:$AQ$1006,0)))),"Fix")))</f>
        <v>0</v>
      </c>
      <c r="F657" s="4">
        <f>IF(OR(INDEX($V$2:$V$1001,MATCH(ROWS($U$2:U657),$U$2:$U$1001,0),1)&gt;=100000,INDEX($AB$1005:$AQ$1005,1,MATCH(COLUMNS($AB$1006:AF1006),$AB$1006:$AQ$1006,0))&gt;=100000), " ",IF(INDEX($AB$2:$AQ$1001,MATCH(ROWS($U$2:U657),$U$2:$U$1001,0),MATCH(COLUMNS($AB$1006:AF1006),$AB$1006:$AQ$1006,0)), HYPERLINK("#",""), HYPERLINK(CONCATENATE("#metadata!", ADDRESS(INDEX($W$2:$W$1001,MATCH(ROWS($U$2:U657),$U$2:$U$1001,0),0), INDEX($AB$1004:$AQ$1004,1,MATCH(COLUMNS($AB$1006:AF1006),$AB$1006:$AQ$1006,0)))),"Fix")))</f>
        <v>0</v>
      </c>
      <c r="G657" s="4">
        <f>IF(OR(INDEX($V$2:$V$1001,MATCH(ROWS($U$2:U657),$U$2:$U$1001,0),1)&gt;=100000,INDEX($AB$1005:$AQ$1005,1,MATCH(COLUMNS($AB$1006:AG1006),$AB$1006:$AQ$1006,0))&gt;=100000), " ",IF(INDEX($AB$2:$AQ$1001,MATCH(ROWS($U$2:U657),$U$2:$U$1001,0),MATCH(COLUMNS($AB$1006:AG1006),$AB$1006:$AQ$1006,0)), HYPERLINK("#",""), HYPERLINK(CONCATENATE("#metadata!", ADDRESS(INDEX($W$2:$W$1001,MATCH(ROWS($U$2:U657),$U$2:$U$1001,0),0), INDEX($AB$1004:$AQ$1004,1,MATCH(COLUMNS($AB$1006:AG1006),$AB$1006:$AQ$1006,0)))),"Fix")))</f>
        <v>0</v>
      </c>
      <c r="H657" s="4">
        <f>IF(OR(INDEX($V$2:$V$1001,MATCH(ROWS($U$2:U657),$U$2:$U$1001,0),1)&gt;=100000,INDEX($AB$1005:$AQ$1005,1,MATCH(COLUMNS($AB$1006:AH1006),$AB$1006:$AQ$1006,0))&gt;=100000), " ",IF(INDEX($AB$2:$AQ$1001,MATCH(ROWS($U$2:U657),$U$2:$U$1001,0),MATCH(COLUMNS($AB$1006:AH1006),$AB$1006:$AQ$1006,0)), HYPERLINK("#",""), HYPERLINK(CONCATENATE("#metadata!", ADDRESS(INDEX($W$2:$W$1001,MATCH(ROWS($U$2:U657),$U$2:$U$1001,0),0), INDEX($AB$1004:$AQ$1004,1,MATCH(COLUMNS($AB$1006:AH1006),$AB$1006:$AQ$1006,0)))),"Fix")))</f>
        <v>0</v>
      </c>
      <c r="I657" s="4">
        <f>IF(OR(INDEX($V$2:$V$1001,MATCH(ROWS($U$2:U657),$U$2:$U$1001,0),1)&gt;=100000,INDEX($AB$1005:$AQ$1005,1,MATCH(COLUMNS($AB$1006:AI1006),$AB$1006:$AQ$1006,0))&gt;=100000), " ",IF(INDEX($AB$2:$AQ$1001,MATCH(ROWS($U$2:U657),$U$2:$U$1001,0),MATCH(COLUMNS($AB$1006:AI1006),$AB$1006:$AQ$1006,0)), HYPERLINK("#",""), HYPERLINK(CONCATENATE("#metadata!", ADDRESS(INDEX($W$2:$W$1001,MATCH(ROWS($U$2:U657),$U$2:$U$1001,0),0), INDEX($AB$1004:$AQ$1004,1,MATCH(COLUMNS($AB$1006:AI1006),$AB$1006:$AQ$1006,0)))),"Fix")))</f>
        <v>0</v>
      </c>
      <c r="J657" s="4">
        <f>IF(OR(INDEX($V$2:$V$1001,MATCH(ROWS($U$2:U657),$U$2:$U$1001,0),1)&gt;=100000,INDEX($AB$1005:$AQ$1005,1,MATCH(COLUMNS($AB$1006:AJ1006),$AB$1006:$AQ$1006,0))&gt;=100000), " ",IF(INDEX($AB$2:$AQ$1001,MATCH(ROWS($U$2:U657),$U$2:$U$1001,0),MATCH(COLUMNS($AB$1006:AJ1006),$AB$1006:$AQ$1006,0)), HYPERLINK("#",""), HYPERLINK(CONCATENATE("#metadata!", ADDRESS(INDEX($W$2:$W$1001,MATCH(ROWS($U$2:U657),$U$2:$U$1001,0),0), INDEX($AB$1004:$AQ$1004,1,MATCH(COLUMNS($AB$1006:AJ1006),$AB$1006:$AQ$1006,0)))),"Fix")))</f>
        <v>0</v>
      </c>
      <c r="K657" s="4">
        <f>IF(OR(INDEX($V$2:$V$1001,MATCH(ROWS($U$2:U657),$U$2:$U$1001,0),1)&gt;=100000,INDEX($AB$1005:$AQ$1005,1,MATCH(COLUMNS($AB$1006:AK1006),$AB$1006:$AQ$1006,0))&gt;=100000), " ",IF(INDEX($AB$2:$AQ$1001,MATCH(ROWS($U$2:U657),$U$2:$U$1001,0),MATCH(COLUMNS($AB$1006:AK1006),$AB$1006:$AQ$1006,0)), HYPERLINK("#",""), HYPERLINK(CONCATENATE("#metadata!", ADDRESS(INDEX($W$2:$W$1001,MATCH(ROWS($U$2:U657),$U$2:$U$1001,0),0), INDEX($AB$1004:$AQ$1004,1,MATCH(COLUMNS($AB$1006:AK1006),$AB$1006:$AQ$1006,0)))),"Fix")))</f>
        <v>0</v>
      </c>
      <c r="L657" s="4">
        <f>IF(OR(INDEX($V$2:$V$1001,MATCH(ROWS($U$2:U657),$U$2:$U$1001,0),1)&gt;=100000,INDEX($AB$1005:$AQ$1005,1,MATCH(COLUMNS($AB$1006:AL1006),$AB$1006:$AQ$1006,0))&gt;=100000), " ",IF(INDEX($AB$2:$AQ$1001,MATCH(ROWS($U$2:U657),$U$2:$U$1001,0),MATCH(COLUMNS($AB$1006:AL1006),$AB$1006:$AQ$1006,0)), HYPERLINK("#",""), HYPERLINK(CONCATENATE("#metadata!", ADDRESS(INDEX($W$2:$W$1001,MATCH(ROWS($U$2:U657),$U$2:$U$1001,0),0), INDEX($AB$1004:$AQ$1004,1,MATCH(COLUMNS($AB$1006:AL1006),$AB$1006:$AQ$1006,0)))),"Fix")))</f>
        <v>0</v>
      </c>
      <c r="M657" s="4">
        <f>IF(OR(INDEX($V$2:$V$1001,MATCH(ROWS($U$2:U657),$U$2:$U$1001,0),1)&gt;=100000,INDEX($AB$1005:$AQ$1005,1,MATCH(COLUMNS($AB$1006:AM1006),$AB$1006:$AQ$1006,0))&gt;=100000), " ",IF(INDEX($AB$2:$AQ$1001,MATCH(ROWS($U$2:U657),$U$2:$U$1001,0),MATCH(COLUMNS($AB$1006:AM1006),$AB$1006:$AQ$1006,0)), HYPERLINK("#",""), HYPERLINK(CONCATENATE("#metadata!", ADDRESS(INDEX($W$2:$W$1001,MATCH(ROWS($U$2:U657),$U$2:$U$1001,0),0), INDEX($AB$1004:$AQ$1004,1,MATCH(COLUMNS($AB$1006:AM1006),$AB$1006:$AQ$1006,0)))),"Fix")))</f>
        <v>0</v>
      </c>
      <c r="N657" s="4">
        <f>IF(OR(INDEX($V$2:$V$1001,MATCH(ROWS($U$2:U657),$U$2:$U$1001,0),1)&gt;=100000,INDEX($AB$1005:$AQ$1005,1,MATCH(COLUMNS($AB$1006:AN1006),$AB$1006:$AQ$1006,0))&gt;=100000), " ",IF(INDEX($AB$2:$AQ$1001,MATCH(ROWS($U$2:U657),$U$2:$U$1001,0),MATCH(COLUMNS($AB$1006:AN1006),$AB$1006:$AQ$1006,0)), HYPERLINK("#",""), HYPERLINK(CONCATENATE("#metadata!", ADDRESS(INDEX($W$2:$W$1001,MATCH(ROWS($U$2:U657),$U$2:$U$1001,0),0), INDEX($AB$1004:$AQ$1004,1,MATCH(COLUMNS($AB$1006:AN1006),$AB$1006:$AQ$1006,0)))),"Fix")))</f>
        <v>0</v>
      </c>
      <c r="O657" s="4">
        <f>IF(OR(INDEX($V$2:$V$1001,MATCH(ROWS($U$2:U657),$U$2:$U$1001,0),1)&gt;=100000,INDEX($AB$1005:$AQ$1005,1,MATCH(COLUMNS($AB$1006:AO1006),$AB$1006:$AQ$1006,0))&gt;=100000), " ",IF(INDEX($AB$2:$AQ$1001,MATCH(ROWS($U$2:U657),$U$2:$U$1001,0),MATCH(COLUMNS($AB$1006:AO1006),$AB$1006:$AQ$1006,0)), HYPERLINK("#",""), HYPERLINK(CONCATENATE("#metadata!", ADDRESS(INDEX($W$2:$W$1001,MATCH(ROWS($U$2:U657),$U$2:$U$1001,0),0), INDEX($AB$1004:$AQ$1004,1,MATCH(COLUMNS($AB$1006:AO1006),$AB$1006:$AQ$1006,0)))),"Fix")))</f>
        <v>0</v>
      </c>
      <c r="P657" s="4">
        <f>IF(OR(INDEX($V$2:$V$1001,MATCH(ROWS($U$2:U657),$U$2:$U$1001,0),1)&gt;=100000,INDEX($AB$1005:$AQ$1005,1,MATCH(COLUMNS($AB$1006:AP1006),$AB$1006:$AQ$1006,0))&gt;=100000), " ",IF(INDEX($AB$2:$AQ$1001,MATCH(ROWS($U$2:U657),$U$2:$U$1001,0),MATCH(COLUMNS($AB$1006:AP1006),$AB$1006:$AQ$1006,0)), HYPERLINK("#",""), HYPERLINK(CONCATENATE("#metadata!", ADDRESS(INDEX($W$2:$W$1001,MATCH(ROWS($U$2:U657),$U$2:$U$1001,0),0), INDEX($AB$1004:$AQ$1004,1,MATCH(COLUMNS($AB$1006:AP1006),$AB$1006:$AQ$1006,0)))),"Fix")))</f>
        <v>0</v>
      </c>
      <c r="Q657" s="4">
        <f>IF(OR(INDEX($V$2:$V$1001,MATCH(ROWS($U$2:U657),$U$2:$U$1001,0),1)&gt;=100000,INDEX($AB$1005:$AQ$1005,1,MATCH(COLUMNS($AB$1006:AQ1006),$AB$1006:$AQ$1006,0))&gt;=100000), " ",IF(INDEX($AB$2:$AQ$1001,MATCH(ROWS($U$2:U657),$U$2:$U$1001,0),MATCH(COLUMNS($AB$1006:AQ1006),$AB$1006:$AQ$1006,0)), HYPERLINK("#",""), HYPERLINK(CONCATENATE("#metadata!", ADDRESS(INDEX($W$2:$W$1001,MATCH(ROWS($U$2:U657),$U$2:$U$1001,0),0), INDEX($AB$1004:$AQ$1004,1,MATCH(COLUMNS($AB$1006:AQ1006),$AB$1006:$AQ$1006,0)))),"Fix")))</f>
        <v>0</v>
      </c>
      <c r="U657">
        <v>0</v>
      </c>
      <c r="V657">
        <v>0</v>
      </c>
      <c r="W657">
        <v>0</v>
      </c>
      <c r="X657">
        <f>IF(Y657,TRUE,AND(AB657:AQ657))</f>
        <v>0</v>
      </c>
      <c r="Y657">
        <f>COUNTBLANK(metadata!B657:Q657)=COLUMNS(metadata!B657:Q657)</f>
        <v>0</v>
      </c>
      <c r="Z657">
        <v>0</v>
      </c>
      <c r="AB657">
        <f>AND(IF(metadata!B657="",FALSE,TRUE),COUNTIF(metadata!B:B, metadata!B657) = 1,NOT(ISERROR(SUMPRODUCT(SEARCH(MID(metadata!B657,ROW(INDIRECT("1:"&amp;LEN(metadata!B657))), 1),"0123456789abcdefghijklmnopqrstuvwxyzABCDEFGHIJKLMNOPQRSTUVWXYZ.")))))</f>
        <v>0</v>
      </c>
      <c r="AC657">
        <f>OR(AND(IF(metadata!C657="",FALSE,TRUE),OR(exact(metadata!C657,"missing: not collected"),exact(metadata!C657,"missing: not provided"),exact(metadata!C657,"missing: restricted access"))),AND(IF(metadata!C657="",FALSE,TRUE),AND(AND(IFERROR(INT(LEFT(metadata!C657,4))&gt;1900,FALSE),IFERROR(INT(LEFT(metadata!C657,4))&lt;=YEAR(NOW()),FALSE)), OR(MID(metadata!C657,5,1)="", AND(AND(MID(metadata!C657,5,1)="-",IFERROR(INT(MID(metadata!C657,6,1))&gt;=0,FALSE),IFERROR(INT(MID(metadata!C657,6,1))&lt;=1,FALSE),NOT(MID(metadata!C657,7,1)=""),IFERROR(INT(MID(metadata!C657,6,2))&gt;=1,FALSE),IFERROR(INT(MID(metadata!C657,6,2))&lt;=12,FALSE)), OR(MID(metadata!C657,8,1)="", AND(AND(MID(metadata!C657,8,1)="-",IFERROR(INT(MID(metadata!C657,9,1))&gt;=0,FALSE),IFERROR(INT(MID(metadata!C657,9,1))&lt;=3,FALSE),NOT(MID(metadata!C657,10,1)=""),IFERROR(INT(MID(metadata!C657,9,2))&gt;=1,FALSE),IFERROR(INT(MID(metadata!C657,9,2))&lt;=31,FALSE)), OR(MID(metadata!C657,11,1)="", AND(AND(MID(metadata!C657,11,1)=" ",IFERROR(INT(MID(metadata!C657,12,1))&gt;=0,FALSE),IFERROR(INT(MID(metadata!C657,12,1))&lt;=2,FALSE),NOT(MID(metadata!C657,13,1)=""),IFERROR(INT(MID(metadata!C657,12,2))&gt;=0,FALSE),IFERROR(INT(MID(metadata!C657,12,2))&lt;=23,FALSE)), OR(MID(metadata!C657,14,1)="", AND(AND(MID(metadata!C657,14,1)=":",IFERROR(INT(MID(metadata!C657,15,1))&gt;=0,FALSE),IFERROR(INT(MID(metadata!C657,15,1))&lt;=5,FALSE),NOT(MID(metadata!C657,16,1)=""),IFERROR(INT(MID(metadata!C657,15,2))&gt;=0,FALSE),IFERROR(INT(MID(metadata!C657,15,2))&lt;=59,FALSE)), OR(MID(metadata!C657,17,1)="", AND(AND(MID(metadata!C657,17,1)=":",IFERROR(INT(MID(metadata!C657,18,1))&gt;=0,FALSE),IFERROR(INT(MID(metadata!C657,18,1))&lt;=5,FALSE),NOT(MID(metadata!C657,19,1)=""),IFERROR(INT(MID(metadata!C657,18,2))&gt;=0,FALSE),IFERROR(INT(MID(metadata!C657,18,2))&lt;=59,FALSE)), LEN(metadata!C657)&lt;=19)))))))))))))</f>
        <v>0</v>
      </c>
      <c r="AD657">
        <f>IF(metadata!D657="",FALSE,TRUE)</f>
        <v>0</v>
      </c>
      <c r="AE657">
        <f>OR(AND(IF(metadata!E657="",FALSE,TRUE),OR(exact(metadata!E657,"missing: not collected"),exact(metadata!E657,"missing: not provided"))),AND(IF(metadata!E657="",FALSE,TRUE),OR(exact(metadata!E657,"TRUE"),exact(metadata!E657,"FALSE"))))</f>
        <v>0</v>
      </c>
      <c r="AF657">
        <f>IF(metadata!F657="",FALSE,TRUE)</f>
        <v>0</v>
      </c>
      <c r="AG657">
        <f>IF(metadata!G657="",FALSE,TRUE)</f>
        <v>0</v>
      </c>
      <c r="AH657">
        <f>IF(metadata!H657="",FALSE,TRUE)</f>
        <v>0</v>
      </c>
      <c r="AI657">
        <f>OR(AND(IF(metadata!I657="",FALSE,TRUE),OR(exact(metadata!I657,"missing: not collected"),exact(metadata!I657,"missing: not provided"),exact(metadata!I657,"missing: restricted access"))),AND(IF(metadata!I657="",FALSE,TRUE),OR(exact(metadata!I657,"air"),exact(metadata!I657,"built environment"),exact(metadata!I657,"host-associated"),exact(metadata!I657,"human-associated"),exact(metadata!I657,"human-skin"),exact(metadata!I657,"human-oral"),exact(metadata!I657,"human-gut"),exact(metadata!I657,"human-vaginal"),exact(metadata!I657,"microbial mat/biofilm"),exact(metadata!I657,"misc environment"),exact(metadata!I657,"plant-associated"),exact(metadata!I657,"sediment"),exact(metadata!I657,"soil"),exact(metadata!I657,"wastewater/sludge"),exact(metadata!I657,"water"))))</f>
        <v>0</v>
      </c>
      <c r="AJ657">
        <f>IF(metadata!J657="",FALSE,TRUE)</f>
        <v>0</v>
      </c>
      <c r="AK657">
        <f>OR(AND(IF(metadata!K657="",FALSE,TRUE),OR(exact(metadata!K657,"missing: not collected"),exact(metadata!K657,"missing: not provided"),exact(metadata!K657,"missing: restricted access"))),AND(IF(metadata!K657="",FALSE,ISNUMBER(VALUE(metadata!K657))),metadata!K657&gt;=-90.00,metadata!K657&lt;=90.00))</f>
        <v>0</v>
      </c>
      <c r="AL657">
        <f>OR(AND(IF(metadata!L657="",FALSE,TRUE),OR(exact(metadata!L657,"missing: not collected"),exact(metadata!L657,"missing: not provided"),exact(metadata!L657,"missing: restricted access"))),AND(IF(metadata!L657="",FALSE,ISNUMBER(VALUE(metadata!L657))),metadata!L657&gt;=-180.00,metadata!L657&lt;=180.00))</f>
        <v>0</v>
      </c>
      <c r="AM657">
        <f>IF(metadata!M657="",FALSE,TRUE)</f>
        <v>0</v>
      </c>
      <c r="AN657">
        <f>OR(AND(IF(metadata!N657="",FALSE,TRUE),OR(exact(metadata!N657,"missing: not collected"),exact(metadata!N657,"missing: not provided"),exact(metadata!N657,"missing: restricted access"))),AND(IF(metadata!N657="",FALSE,TRUE),OR(exact(metadata!N657,"TRUE"),exact(metadata!N657,"FALSE"))))</f>
        <v>0</v>
      </c>
      <c r="AO657">
        <f>IF(metadata!O657="",FALSE,TRUE)</f>
        <v>0</v>
      </c>
      <c r="AP657">
        <f>OR(AND(IF(metadata!P657="",FALSE,TRUE),OR(exact(metadata!P657,"missing: not collected"),exact(metadata!P657,"missing: not provided"))),AND(IF(metadata!P657="",FALSE,IF(ISERROR(INT(metadata!P657)),FALSE,INT(metadata!P657)=metadata!P657)),metadata!P657&gt;0))</f>
        <v>0</v>
      </c>
      <c r="AQ657">
        <f>IF(metadata!Q657="",FALSE,TRUE)</f>
        <v>0</v>
      </c>
    </row>
    <row r="658" spans="1:43">
      <c r="A658" s="5">
        <f>IF(B658=" "," ",HYPERLINK(CONCATENATE("#metadata!",ADDRESS(INDEX($W$2:$W$1001,MATCH(ROWS($U$2:U658),$U$2:$U$1001,0),0),1)),INDEX($Z$2:$Z$1001,MATCH(ROWS($U$2:U658),$U$2:$U$1001,0),0)))</f>
        <v>0</v>
      </c>
      <c r="B658" s="4">
        <f>IF(OR(INDEX($V$2:$V$1001,MATCH(ROWS($U$2:U658),$U$2:$U$1001,0),1)&gt;=100000,INDEX($AB$1005:$AQ$1005,1,MATCH(COLUMNS($AB$1006:AB1006),$AB$1006:$AQ$1006,0))&gt;=100000), " ",IF(INDEX($AB$2:$AQ$1001,MATCH(ROWS($U$2:U658),$U$2:$U$1001,0),MATCH(COLUMNS($AB$1006:AB1006),$AB$1006:$AQ$1006,0)), HYPERLINK("#",""), HYPERLINK(CONCATENATE("#metadata!", ADDRESS(INDEX($W$2:$W$1001,MATCH(ROWS($U$2:U658),$U$2:$U$1001,0),0), INDEX($AB$1004:$AQ$1004,1,MATCH(COLUMNS($AB$1006:AB1006),$AB$1006:$AQ$1006,0)))),"Fix")))</f>
        <v>0</v>
      </c>
      <c r="C658" s="4">
        <f>IF(OR(INDEX($V$2:$V$1001,MATCH(ROWS($U$2:U658),$U$2:$U$1001,0),1)&gt;=100000,INDEX($AB$1005:$AQ$1005,1,MATCH(COLUMNS($AB$1006:AC1006),$AB$1006:$AQ$1006,0))&gt;=100000), " ",IF(INDEX($AB$2:$AQ$1001,MATCH(ROWS($U$2:U658),$U$2:$U$1001,0),MATCH(COLUMNS($AB$1006:AC1006),$AB$1006:$AQ$1006,0)), HYPERLINK("#",""), HYPERLINK(CONCATENATE("#metadata!", ADDRESS(INDEX($W$2:$W$1001,MATCH(ROWS($U$2:U658),$U$2:$U$1001,0),0), INDEX($AB$1004:$AQ$1004,1,MATCH(COLUMNS($AB$1006:AC1006),$AB$1006:$AQ$1006,0)))),"Fix")))</f>
        <v>0</v>
      </c>
      <c r="D658" s="4">
        <f>IF(OR(INDEX($V$2:$V$1001,MATCH(ROWS($U$2:U658),$U$2:$U$1001,0),1)&gt;=100000,INDEX($AB$1005:$AQ$1005,1,MATCH(COLUMNS($AB$1006:AD1006),$AB$1006:$AQ$1006,0))&gt;=100000), " ",IF(INDEX($AB$2:$AQ$1001,MATCH(ROWS($U$2:U658),$U$2:$U$1001,0),MATCH(COLUMNS($AB$1006:AD1006),$AB$1006:$AQ$1006,0)), HYPERLINK("#",""), HYPERLINK(CONCATENATE("#metadata!", ADDRESS(INDEX($W$2:$W$1001,MATCH(ROWS($U$2:U658),$U$2:$U$1001,0),0), INDEX($AB$1004:$AQ$1004,1,MATCH(COLUMNS($AB$1006:AD1006),$AB$1006:$AQ$1006,0)))),"Fix")))</f>
        <v>0</v>
      </c>
      <c r="E658" s="4">
        <f>IF(OR(INDEX($V$2:$V$1001,MATCH(ROWS($U$2:U658),$U$2:$U$1001,0),1)&gt;=100000,INDEX($AB$1005:$AQ$1005,1,MATCH(COLUMNS($AB$1006:AE1006),$AB$1006:$AQ$1006,0))&gt;=100000), " ",IF(INDEX($AB$2:$AQ$1001,MATCH(ROWS($U$2:U658),$U$2:$U$1001,0),MATCH(COLUMNS($AB$1006:AE1006),$AB$1006:$AQ$1006,0)), HYPERLINK("#",""), HYPERLINK(CONCATENATE("#metadata!", ADDRESS(INDEX($W$2:$W$1001,MATCH(ROWS($U$2:U658),$U$2:$U$1001,0),0), INDEX($AB$1004:$AQ$1004,1,MATCH(COLUMNS($AB$1006:AE1006),$AB$1006:$AQ$1006,0)))),"Fix")))</f>
        <v>0</v>
      </c>
      <c r="F658" s="4">
        <f>IF(OR(INDEX($V$2:$V$1001,MATCH(ROWS($U$2:U658),$U$2:$U$1001,0),1)&gt;=100000,INDEX($AB$1005:$AQ$1005,1,MATCH(COLUMNS($AB$1006:AF1006),$AB$1006:$AQ$1006,0))&gt;=100000), " ",IF(INDEX($AB$2:$AQ$1001,MATCH(ROWS($U$2:U658),$U$2:$U$1001,0),MATCH(COLUMNS($AB$1006:AF1006),$AB$1006:$AQ$1006,0)), HYPERLINK("#",""), HYPERLINK(CONCATENATE("#metadata!", ADDRESS(INDEX($W$2:$W$1001,MATCH(ROWS($U$2:U658),$U$2:$U$1001,0),0), INDEX($AB$1004:$AQ$1004,1,MATCH(COLUMNS($AB$1006:AF1006),$AB$1006:$AQ$1006,0)))),"Fix")))</f>
        <v>0</v>
      </c>
      <c r="G658" s="4">
        <f>IF(OR(INDEX($V$2:$V$1001,MATCH(ROWS($U$2:U658),$U$2:$U$1001,0),1)&gt;=100000,INDEX($AB$1005:$AQ$1005,1,MATCH(COLUMNS($AB$1006:AG1006),$AB$1006:$AQ$1006,0))&gt;=100000), " ",IF(INDEX($AB$2:$AQ$1001,MATCH(ROWS($U$2:U658),$U$2:$U$1001,0),MATCH(COLUMNS($AB$1006:AG1006),$AB$1006:$AQ$1006,0)), HYPERLINK("#",""), HYPERLINK(CONCATENATE("#metadata!", ADDRESS(INDEX($W$2:$W$1001,MATCH(ROWS($U$2:U658),$U$2:$U$1001,0),0), INDEX($AB$1004:$AQ$1004,1,MATCH(COLUMNS($AB$1006:AG1006),$AB$1006:$AQ$1006,0)))),"Fix")))</f>
        <v>0</v>
      </c>
      <c r="H658" s="4">
        <f>IF(OR(INDEX($V$2:$V$1001,MATCH(ROWS($U$2:U658),$U$2:$U$1001,0),1)&gt;=100000,INDEX($AB$1005:$AQ$1005,1,MATCH(COLUMNS($AB$1006:AH1006),$AB$1006:$AQ$1006,0))&gt;=100000), " ",IF(INDEX($AB$2:$AQ$1001,MATCH(ROWS($U$2:U658),$U$2:$U$1001,0),MATCH(COLUMNS($AB$1006:AH1006),$AB$1006:$AQ$1006,0)), HYPERLINK("#",""), HYPERLINK(CONCATENATE("#metadata!", ADDRESS(INDEX($W$2:$W$1001,MATCH(ROWS($U$2:U658),$U$2:$U$1001,0),0), INDEX($AB$1004:$AQ$1004,1,MATCH(COLUMNS($AB$1006:AH1006),$AB$1006:$AQ$1006,0)))),"Fix")))</f>
        <v>0</v>
      </c>
      <c r="I658" s="4">
        <f>IF(OR(INDEX($V$2:$V$1001,MATCH(ROWS($U$2:U658),$U$2:$U$1001,0),1)&gt;=100000,INDEX($AB$1005:$AQ$1005,1,MATCH(COLUMNS($AB$1006:AI1006),$AB$1006:$AQ$1006,0))&gt;=100000), " ",IF(INDEX($AB$2:$AQ$1001,MATCH(ROWS($U$2:U658),$U$2:$U$1001,0),MATCH(COLUMNS($AB$1006:AI1006),$AB$1006:$AQ$1006,0)), HYPERLINK("#",""), HYPERLINK(CONCATENATE("#metadata!", ADDRESS(INDEX($W$2:$W$1001,MATCH(ROWS($U$2:U658),$U$2:$U$1001,0),0), INDEX($AB$1004:$AQ$1004,1,MATCH(COLUMNS($AB$1006:AI1006),$AB$1006:$AQ$1006,0)))),"Fix")))</f>
        <v>0</v>
      </c>
      <c r="J658" s="4">
        <f>IF(OR(INDEX($V$2:$V$1001,MATCH(ROWS($U$2:U658),$U$2:$U$1001,0),1)&gt;=100000,INDEX($AB$1005:$AQ$1005,1,MATCH(COLUMNS($AB$1006:AJ1006),$AB$1006:$AQ$1006,0))&gt;=100000), " ",IF(INDEX($AB$2:$AQ$1001,MATCH(ROWS($U$2:U658),$U$2:$U$1001,0),MATCH(COLUMNS($AB$1006:AJ1006),$AB$1006:$AQ$1006,0)), HYPERLINK("#",""), HYPERLINK(CONCATENATE("#metadata!", ADDRESS(INDEX($W$2:$W$1001,MATCH(ROWS($U$2:U658),$U$2:$U$1001,0),0), INDEX($AB$1004:$AQ$1004,1,MATCH(COLUMNS($AB$1006:AJ1006),$AB$1006:$AQ$1006,0)))),"Fix")))</f>
        <v>0</v>
      </c>
      <c r="K658" s="4">
        <f>IF(OR(INDEX($V$2:$V$1001,MATCH(ROWS($U$2:U658),$U$2:$U$1001,0),1)&gt;=100000,INDEX($AB$1005:$AQ$1005,1,MATCH(COLUMNS($AB$1006:AK1006),$AB$1006:$AQ$1006,0))&gt;=100000), " ",IF(INDEX($AB$2:$AQ$1001,MATCH(ROWS($U$2:U658),$U$2:$U$1001,0),MATCH(COLUMNS($AB$1006:AK1006),$AB$1006:$AQ$1006,0)), HYPERLINK("#",""), HYPERLINK(CONCATENATE("#metadata!", ADDRESS(INDEX($W$2:$W$1001,MATCH(ROWS($U$2:U658),$U$2:$U$1001,0),0), INDEX($AB$1004:$AQ$1004,1,MATCH(COLUMNS($AB$1006:AK1006),$AB$1006:$AQ$1006,0)))),"Fix")))</f>
        <v>0</v>
      </c>
      <c r="L658" s="4">
        <f>IF(OR(INDEX($V$2:$V$1001,MATCH(ROWS($U$2:U658),$U$2:$U$1001,0),1)&gt;=100000,INDEX($AB$1005:$AQ$1005,1,MATCH(COLUMNS($AB$1006:AL1006),$AB$1006:$AQ$1006,0))&gt;=100000), " ",IF(INDEX($AB$2:$AQ$1001,MATCH(ROWS($U$2:U658),$U$2:$U$1001,0),MATCH(COLUMNS($AB$1006:AL1006),$AB$1006:$AQ$1006,0)), HYPERLINK("#",""), HYPERLINK(CONCATENATE("#metadata!", ADDRESS(INDEX($W$2:$W$1001,MATCH(ROWS($U$2:U658),$U$2:$U$1001,0),0), INDEX($AB$1004:$AQ$1004,1,MATCH(COLUMNS($AB$1006:AL1006),$AB$1006:$AQ$1006,0)))),"Fix")))</f>
        <v>0</v>
      </c>
      <c r="M658" s="4">
        <f>IF(OR(INDEX($V$2:$V$1001,MATCH(ROWS($U$2:U658),$U$2:$U$1001,0),1)&gt;=100000,INDEX($AB$1005:$AQ$1005,1,MATCH(COLUMNS($AB$1006:AM1006),$AB$1006:$AQ$1006,0))&gt;=100000), " ",IF(INDEX($AB$2:$AQ$1001,MATCH(ROWS($U$2:U658),$U$2:$U$1001,0),MATCH(COLUMNS($AB$1006:AM1006),$AB$1006:$AQ$1006,0)), HYPERLINK("#",""), HYPERLINK(CONCATENATE("#metadata!", ADDRESS(INDEX($W$2:$W$1001,MATCH(ROWS($U$2:U658),$U$2:$U$1001,0),0), INDEX($AB$1004:$AQ$1004,1,MATCH(COLUMNS($AB$1006:AM1006),$AB$1006:$AQ$1006,0)))),"Fix")))</f>
        <v>0</v>
      </c>
      <c r="N658" s="4">
        <f>IF(OR(INDEX($V$2:$V$1001,MATCH(ROWS($U$2:U658),$U$2:$U$1001,0),1)&gt;=100000,INDEX($AB$1005:$AQ$1005,1,MATCH(COLUMNS($AB$1006:AN1006),$AB$1006:$AQ$1006,0))&gt;=100000), " ",IF(INDEX($AB$2:$AQ$1001,MATCH(ROWS($U$2:U658),$U$2:$U$1001,0),MATCH(COLUMNS($AB$1006:AN1006),$AB$1006:$AQ$1006,0)), HYPERLINK("#",""), HYPERLINK(CONCATENATE("#metadata!", ADDRESS(INDEX($W$2:$W$1001,MATCH(ROWS($U$2:U658),$U$2:$U$1001,0),0), INDEX($AB$1004:$AQ$1004,1,MATCH(COLUMNS($AB$1006:AN1006),$AB$1006:$AQ$1006,0)))),"Fix")))</f>
        <v>0</v>
      </c>
      <c r="O658" s="4">
        <f>IF(OR(INDEX($V$2:$V$1001,MATCH(ROWS($U$2:U658),$U$2:$U$1001,0),1)&gt;=100000,INDEX($AB$1005:$AQ$1005,1,MATCH(COLUMNS($AB$1006:AO1006),$AB$1006:$AQ$1006,0))&gt;=100000), " ",IF(INDEX($AB$2:$AQ$1001,MATCH(ROWS($U$2:U658),$U$2:$U$1001,0),MATCH(COLUMNS($AB$1006:AO1006),$AB$1006:$AQ$1006,0)), HYPERLINK("#",""), HYPERLINK(CONCATENATE("#metadata!", ADDRESS(INDEX($W$2:$W$1001,MATCH(ROWS($U$2:U658),$U$2:$U$1001,0),0), INDEX($AB$1004:$AQ$1004,1,MATCH(COLUMNS($AB$1006:AO1006),$AB$1006:$AQ$1006,0)))),"Fix")))</f>
        <v>0</v>
      </c>
      <c r="P658" s="4">
        <f>IF(OR(INDEX($V$2:$V$1001,MATCH(ROWS($U$2:U658),$U$2:$U$1001,0),1)&gt;=100000,INDEX($AB$1005:$AQ$1005,1,MATCH(COLUMNS($AB$1006:AP1006),$AB$1006:$AQ$1006,0))&gt;=100000), " ",IF(INDEX($AB$2:$AQ$1001,MATCH(ROWS($U$2:U658),$U$2:$U$1001,0),MATCH(COLUMNS($AB$1006:AP1006),$AB$1006:$AQ$1006,0)), HYPERLINK("#",""), HYPERLINK(CONCATENATE("#metadata!", ADDRESS(INDEX($W$2:$W$1001,MATCH(ROWS($U$2:U658),$U$2:$U$1001,0),0), INDEX($AB$1004:$AQ$1004,1,MATCH(COLUMNS($AB$1006:AP1006),$AB$1006:$AQ$1006,0)))),"Fix")))</f>
        <v>0</v>
      </c>
      <c r="Q658" s="4">
        <f>IF(OR(INDEX($V$2:$V$1001,MATCH(ROWS($U$2:U658),$U$2:$U$1001,0),1)&gt;=100000,INDEX($AB$1005:$AQ$1005,1,MATCH(COLUMNS($AB$1006:AQ1006),$AB$1006:$AQ$1006,0))&gt;=100000), " ",IF(INDEX($AB$2:$AQ$1001,MATCH(ROWS($U$2:U658),$U$2:$U$1001,0),MATCH(COLUMNS($AB$1006:AQ1006),$AB$1006:$AQ$1006,0)), HYPERLINK("#",""), HYPERLINK(CONCATENATE("#metadata!", ADDRESS(INDEX($W$2:$W$1001,MATCH(ROWS($U$2:U658),$U$2:$U$1001,0),0), INDEX($AB$1004:$AQ$1004,1,MATCH(COLUMNS($AB$1006:AQ1006),$AB$1006:$AQ$1006,0)))),"Fix")))</f>
        <v>0</v>
      </c>
      <c r="U658">
        <v>0</v>
      </c>
      <c r="V658">
        <v>0</v>
      </c>
      <c r="W658">
        <v>0</v>
      </c>
      <c r="X658">
        <f>IF(Y658,TRUE,AND(AB658:AQ658))</f>
        <v>0</v>
      </c>
      <c r="Y658">
        <f>COUNTBLANK(metadata!B658:Q658)=COLUMNS(metadata!B658:Q658)</f>
        <v>0</v>
      </c>
      <c r="Z658">
        <v>0</v>
      </c>
      <c r="AB658">
        <f>AND(IF(metadata!B658="",FALSE,TRUE),COUNTIF(metadata!B:B, metadata!B658) = 1,NOT(ISERROR(SUMPRODUCT(SEARCH(MID(metadata!B658,ROW(INDIRECT("1:"&amp;LEN(metadata!B658))), 1),"0123456789abcdefghijklmnopqrstuvwxyzABCDEFGHIJKLMNOPQRSTUVWXYZ.")))))</f>
        <v>0</v>
      </c>
      <c r="AC658">
        <f>OR(AND(IF(metadata!C658="",FALSE,TRUE),OR(exact(metadata!C658,"missing: not collected"),exact(metadata!C658,"missing: not provided"),exact(metadata!C658,"missing: restricted access"))),AND(IF(metadata!C658="",FALSE,TRUE),AND(AND(IFERROR(INT(LEFT(metadata!C658,4))&gt;1900,FALSE),IFERROR(INT(LEFT(metadata!C658,4))&lt;=YEAR(NOW()),FALSE)), OR(MID(metadata!C658,5,1)="", AND(AND(MID(metadata!C658,5,1)="-",IFERROR(INT(MID(metadata!C658,6,1))&gt;=0,FALSE),IFERROR(INT(MID(metadata!C658,6,1))&lt;=1,FALSE),NOT(MID(metadata!C658,7,1)=""),IFERROR(INT(MID(metadata!C658,6,2))&gt;=1,FALSE),IFERROR(INT(MID(metadata!C658,6,2))&lt;=12,FALSE)), OR(MID(metadata!C658,8,1)="", AND(AND(MID(metadata!C658,8,1)="-",IFERROR(INT(MID(metadata!C658,9,1))&gt;=0,FALSE),IFERROR(INT(MID(metadata!C658,9,1))&lt;=3,FALSE),NOT(MID(metadata!C658,10,1)=""),IFERROR(INT(MID(metadata!C658,9,2))&gt;=1,FALSE),IFERROR(INT(MID(metadata!C658,9,2))&lt;=31,FALSE)), OR(MID(metadata!C658,11,1)="", AND(AND(MID(metadata!C658,11,1)=" ",IFERROR(INT(MID(metadata!C658,12,1))&gt;=0,FALSE),IFERROR(INT(MID(metadata!C658,12,1))&lt;=2,FALSE),NOT(MID(metadata!C658,13,1)=""),IFERROR(INT(MID(metadata!C658,12,2))&gt;=0,FALSE),IFERROR(INT(MID(metadata!C658,12,2))&lt;=23,FALSE)), OR(MID(metadata!C658,14,1)="", AND(AND(MID(metadata!C658,14,1)=":",IFERROR(INT(MID(metadata!C658,15,1))&gt;=0,FALSE),IFERROR(INT(MID(metadata!C658,15,1))&lt;=5,FALSE),NOT(MID(metadata!C658,16,1)=""),IFERROR(INT(MID(metadata!C658,15,2))&gt;=0,FALSE),IFERROR(INT(MID(metadata!C658,15,2))&lt;=59,FALSE)), OR(MID(metadata!C658,17,1)="", AND(AND(MID(metadata!C658,17,1)=":",IFERROR(INT(MID(metadata!C658,18,1))&gt;=0,FALSE),IFERROR(INT(MID(metadata!C658,18,1))&lt;=5,FALSE),NOT(MID(metadata!C658,19,1)=""),IFERROR(INT(MID(metadata!C658,18,2))&gt;=0,FALSE),IFERROR(INT(MID(metadata!C658,18,2))&lt;=59,FALSE)), LEN(metadata!C658)&lt;=19)))))))))))))</f>
        <v>0</v>
      </c>
      <c r="AD658">
        <f>IF(metadata!D658="",FALSE,TRUE)</f>
        <v>0</v>
      </c>
      <c r="AE658">
        <f>OR(AND(IF(metadata!E658="",FALSE,TRUE),OR(exact(metadata!E658,"missing: not collected"),exact(metadata!E658,"missing: not provided"))),AND(IF(metadata!E658="",FALSE,TRUE),OR(exact(metadata!E658,"TRUE"),exact(metadata!E658,"FALSE"))))</f>
        <v>0</v>
      </c>
      <c r="AF658">
        <f>IF(metadata!F658="",FALSE,TRUE)</f>
        <v>0</v>
      </c>
      <c r="AG658">
        <f>IF(metadata!G658="",FALSE,TRUE)</f>
        <v>0</v>
      </c>
      <c r="AH658">
        <f>IF(metadata!H658="",FALSE,TRUE)</f>
        <v>0</v>
      </c>
      <c r="AI658">
        <f>OR(AND(IF(metadata!I658="",FALSE,TRUE),OR(exact(metadata!I658,"missing: not collected"),exact(metadata!I658,"missing: not provided"),exact(metadata!I658,"missing: restricted access"))),AND(IF(metadata!I658="",FALSE,TRUE),OR(exact(metadata!I658,"air"),exact(metadata!I658,"built environment"),exact(metadata!I658,"host-associated"),exact(metadata!I658,"human-associated"),exact(metadata!I658,"human-skin"),exact(metadata!I658,"human-oral"),exact(metadata!I658,"human-gut"),exact(metadata!I658,"human-vaginal"),exact(metadata!I658,"microbial mat/biofilm"),exact(metadata!I658,"misc environment"),exact(metadata!I658,"plant-associated"),exact(metadata!I658,"sediment"),exact(metadata!I658,"soil"),exact(metadata!I658,"wastewater/sludge"),exact(metadata!I658,"water"))))</f>
        <v>0</v>
      </c>
      <c r="AJ658">
        <f>IF(metadata!J658="",FALSE,TRUE)</f>
        <v>0</v>
      </c>
      <c r="AK658">
        <f>OR(AND(IF(metadata!K658="",FALSE,TRUE),OR(exact(metadata!K658,"missing: not collected"),exact(metadata!K658,"missing: not provided"),exact(metadata!K658,"missing: restricted access"))),AND(IF(metadata!K658="",FALSE,ISNUMBER(VALUE(metadata!K658))),metadata!K658&gt;=-90.00,metadata!K658&lt;=90.00))</f>
        <v>0</v>
      </c>
      <c r="AL658">
        <f>OR(AND(IF(metadata!L658="",FALSE,TRUE),OR(exact(metadata!L658,"missing: not collected"),exact(metadata!L658,"missing: not provided"),exact(metadata!L658,"missing: restricted access"))),AND(IF(metadata!L658="",FALSE,ISNUMBER(VALUE(metadata!L658))),metadata!L658&gt;=-180.00,metadata!L658&lt;=180.00))</f>
        <v>0</v>
      </c>
      <c r="AM658">
        <f>IF(metadata!M658="",FALSE,TRUE)</f>
        <v>0</v>
      </c>
      <c r="AN658">
        <f>OR(AND(IF(metadata!N658="",FALSE,TRUE),OR(exact(metadata!N658,"missing: not collected"),exact(metadata!N658,"missing: not provided"),exact(metadata!N658,"missing: restricted access"))),AND(IF(metadata!N658="",FALSE,TRUE),OR(exact(metadata!N658,"TRUE"),exact(metadata!N658,"FALSE"))))</f>
        <v>0</v>
      </c>
      <c r="AO658">
        <f>IF(metadata!O658="",FALSE,TRUE)</f>
        <v>0</v>
      </c>
      <c r="AP658">
        <f>OR(AND(IF(metadata!P658="",FALSE,TRUE),OR(exact(metadata!P658,"missing: not collected"),exact(metadata!P658,"missing: not provided"))),AND(IF(metadata!P658="",FALSE,IF(ISERROR(INT(metadata!P658)),FALSE,INT(metadata!P658)=metadata!P658)),metadata!P658&gt;0))</f>
        <v>0</v>
      </c>
      <c r="AQ658">
        <f>IF(metadata!Q658="",FALSE,TRUE)</f>
        <v>0</v>
      </c>
    </row>
    <row r="659" spans="1:43">
      <c r="A659" s="5">
        <f>IF(B659=" "," ",HYPERLINK(CONCATENATE("#metadata!",ADDRESS(INDEX($W$2:$W$1001,MATCH(ROWS($U$2:U659),$U$2:$U$1001,0),0),1)),INDEX($Z$2:$Z$1001,MATCH(ROWS($U$2:U659),$U$2:$U$1001,0),0)))</f>
        <v>0</v>
      </c>
      <c r="B659" s="4">
        <f>IF(OR(INDEX($V$2:$V$1001,MATCH(ROWS($U$2:U659),$U$2:$U$1001,0),1)&gt;=100000,INDEX($AB$1005:$AQ$1005,1,MATCH(COLUMNS($AB$1006:AB1006),$AB$1006:$AQ$1006,0))&gt;=100000), " ",IF(INDEX($AB$2:$AQ$1001,MATCH(ROWS($U$2:U659),$U$2:$U$1001,0),MATCH(COLUMNS($AB$1006:AB1006),$AB$1006:$AQ$1006,0)), HYPERLINK("#",""), HYPERLINK(CONCATENATE("#metadata!", ADDRESS(INDEX($W$2:$W$1001,MATCH(ROWS($U$2:U659),$U$2:$U$1001,0),0), INDEX($AB$1004:$AQ$1004,1,MATCH(COLUMNS($AB$1006:AB1006),$AB$1006:$AQ$1006,0)))),"Fix")))</f>
        <v>0</v>
      </c>
      <c r="C659" s="4">
        <f>IF(OR(INDEX($V$2:$V$1001,MATCH(ROWS($U$2:U659),$U$2:$U$1001,0),1)&gt;=100000,INDEX($AB$1005:$AQ$1005,1,MATCH(COLUMNS($AB$1006:AC1006),$AB$1006:$AQ$1006,0))&gt;=100000), " ",IF(INDEX($AB$2:$AQ$1001,MATCH(ROWS($U$2:U659),$U$2:$U$1001,0),MATCH(COLUMNS($AB$1006:AC1006),$AB$1006:$AQ$1006,0)), HYPERLINK("#",""), HYPERLINK(CONCATENATE("#metadata!", ADDRESS(INDEX($W$2:$W$1001,MATCH(ROWS($U$2:U659),$U$2:$U$1001,0),0), INDEX($AB$1004:$AQ$1004,1,MATCH(COLUMNS($AB$1006:AC1006),$AB$1006:$AQ$1006,0)))),"Fix")))</f>
        <v>0</v>
      </c>
      <c r="D659" s="4">
        <f>IF(OR(INDEX($V$2:$V$1001,MATCH(ROWS($U$2:U659),$U$2:$U$1001,0),1)&gt;=100000,INDEX($AB$1005:$AQ$1005,1,MATCH(COLUMNS($AB$1006:AD1006),$AB$1006:$AQ$1006,0))&gt;=100000), " ",IF(INDEX($AB$2:$AQ$1001,MATCH(ROWS($U$2:U659),$U$2:$U$1001,0),MATCH(COLUMNS($AB$1006:AD1006),$AB$1006:$AQ$1006,0)), HYPERLINK("#",""), HYPERLINK(CONCATENATE("#metadata!", ADDRESS(INDEX($W$2:$W$1001,MATCH(ROWS($U$2:U659),$U$2:$U$1001,0),0), INDEX($AB$1004:$AQ$1004,1,MATCH(COLUMNS($AB$1006:AD1006),$AB$1006:$AQ$1006,0)))),"Fix")))</f>
        <v>0</v>
      </c>
      <c r="E659" s="4">
        <f>IF(OR(INDEX($V$2:$V$1001,MATCH(ROWS($U$2:U659),$U$2:$U$1001,0),1)&gt;=100000,INDEX($AB$1005:$AQ$1005,1,MATCH(COLUMNS($AB$1006:AE1006),$AB$1006:$AQ$1006,0))&gt;=100000), " ",IF(INDEX($AB$2:$AQ$1001,MATCH(ROWS($U$2:U659),$U$2:$U$1001,0),MATCH(COLUMNS($AB$1006:AE1006),$AB$1006:$AQ$1006,0)), HYPERLINK("#",""), HYPERLINK(CONCATENATE("#metadata!", ADDRESS(INDEX($W$2:$W$1001,MATCH(ROWS($U$2:U659),$U$2:$U$1001,0),0), INDEX($AB$1004:$AQ$1004,1,MATCH(COLUMNS($AB$1006:AE1006),$AB$1006:$AQ$1006,0)))),"Fix")))</f>
        <v>0</v>
      </c>
      <c r="F659" s="4">
        <f>IF(OR(INDEX($V$2:$V$1001,MATCH(ROWS($U$2:U659),$U$2:$U$1001,0),1)&gt;=100000,INDEX($AB$1005:$AQ$1005,1,MATCH(COLUMNS($AB$1006:AF1006),$AB$1006:$AQ$1006,0))&gt;=100000), " ",IF(INDEX($AB$2:$AQ$1001,MATCH(ROWS($U$2:U659),$U$2:$U$1001,0),MATCH(COLUMNS($AB$1006:AF1006),$AB$1006:$AQ$1006,0)), HYPERLINK("#",""), HYPERLINK(CONCATENATE("#metadata!", ADDRESS(INDEX($W$2:$W$1001,MATCH(ROWS($U$2:U659),$U$2:$U$1001,0),0), INDEX($AB$1004:$AQ$1004,1,MATCH(COLUMNS($AB$1006:AF1006),$AB$1006:$AQ$1006,0)))),"Fix")))</f>
        <v>0</v>
      </c>
      <c r="G659" s="4">
        <f>IF(OR(INDEX($V$2:$V$1001,MATCH(ROWS($U$2:U659),$U$2:$U$1001,0),1)&gt;=100000,INDEX($AB$1005:$AQ$1005,1,MATCH(COLUMNS($AB$1006:AG1006),$AB$1006:$AQ$1006,0))&gt;=100000), " ",IF(INDEX($AB$2:$AQ$1001,MATCH(ROWS($U$2:U659),$U$2:$U$1001,0),MATCH(COLUMNS($AB$1006:AG1006),$AB$1006:$AQ$1006,0)), HYPERLINK("#",""), HYPERLINK(CONCATENATE("#metadata!", ADDRESS(INDEX($W$2:$W$1001,MATCH(ROWS($U$2:U659),$U$2:$U$1001,0),0), INDEX($AB$1004:$AQ$1004,1,MATCH(COLUMNS($AB$1006:AG1006),$AB$1006:$AQ$1006,0)))),"Fix")))</f>
        <v>0</v>
      </c>
      <c r="H659" s="4">
        <f>IF(OR(INDEX($V$2:$V$1001,MATCH(ROWS($U$2:U659),$U$2:$U$1001,0),1)&gt;=100000,INDEX($AB$1005:$AQ$1005,1,MATCH(COLUMNS($AB$1006:AH1006),$AB$1006:$AQ$1006,0))&gt;=100000), " ",IF(INDEX($AB$2:$AQ$1001,MATCH(ROWS($U$2:U659),$U$2:$U$1001,0),MATCH(COLUMNS($AB$1006:AH1006),$AB$1006:$AQ$1006,0)), HYPERLINK("#",""), HYPERLINK(CONCATENATE("#metadata!", ADDRESS(INDEX($W$2:$W$1001,MATCH(ROWS($U$2:U659),$U$2:$U$1001,0),0), INDEX($AB$1004:$AQ$1004,1,MATCH(COLUMNS($AB$1006:AH1006),$AB$1006:$AQ$1006,0)))),"Fix")))</f>
        <v>0</v>
      </c>
      <c r="I659" s="4">
        <f>IF(OR(INDEX($V$2:$V$1001,MATCH(ROWS($U$2:U659),$U$2:$U$1001,0),1)&gt;=100000,INDEX($AB$1005:$AQ$1005,1,MATCH(COLUMNS($AB$1006:AI1006),$AB$1006:$AQ$1006,0))&gt;=100000), " ",IF(INDEX($AB$2:$AQ$1001,MATCH(ROWS($U$2:U659),$U$2:$U$1001,0),MATCH(COLUMNS($AB$1006:AI1006),$AB$1006:$AQ$1006,0)), HYPERLINK("#",""), HYPERLINK(CONCATENATE("#metadata!", ADDRESS(INDEX($W$2:$W$1001,MATCH(ROWS($U$2:U659),$U$2:$U$1001,0),0), INDEX($AB$1004:$AQ$1004,1,MATCH(COLUMNS($AB$1006:AI1006),$AB$1006:$AQ$1006,0)))),"Fix")))</f>
        <v>0</v>
      </c>
      <c r="J659" s="4">
        <f>IF(OR(INDEX($V$2:$V$1001,MATCH(ROWS($U$2:U659),$U$2:$U$1001,0),1)&gt;=100000,INDEX($AB$1005:$AQ$1005,1,MATCH(COLUMNS($AB$1006:AJ1006),$AB$1006:$AQ$1006,0))&gt;=100000), " ",IF(INDEX($AB$2:$AQ$1001,MATCH(ROWS($U$2:U659),$U$2:$U$1001,0),MATCH(COLUMNS($AB$1006:AJ1006),$AB$1006:$AQ$1006,0)), HYPERLINK("#",""), HYPERLINK(CONCATENATE("#metadata!", ADDRESS(INDEX($W$2:$W$1001,MATCH(ROWS($U$2:U659),$U$2:$U$1001,0),0), INDEX($AB$1004:$AQ$1004,1,MATCH(COLUMNS($AB$1006:AJ1006),$AB$1006:$AQ$1006,0)))),"Fix")))</f>
        <v>0</v>
      </c>
      <c r="K659" s="4">
        <f>IF(OR(INDEX($V$2:$V$1001,MATCH(ROWS($U$2:U659),$U$2:$U$1001,0),1)&gt;=100000,INDEX($AB$1005:$AQ$1005,1,MATCH(COLUMNS($AB$1006:AK1006),$AB$1006:$AQ$1006,0))&gt;=100000), " ",IF(INDEX($AB$2:$AQ$1001,MATCH(ROWS($U$2:U659),$U$2:$U$1001,0),MATCH(COLUMNS($AB$1006:AK1006),$AB$1006:$AQ$1006,0)), HYPERLINK("#",""), HYPERLINK(CONCATENATE("#metadata!", ADDRESS(INDEX($W$2:$W$1001,MATCH(ROWS($U$2:U659),$U$2:$U$1001,0),0), INDEX($AB$1004:$AQ$1004,1,MATCH(COLUMNS($AB$1006:AK1006),$AB$1006:$AQ$1006,0)))),"Fix")))</f>
        <v>0</v>
      </c>
      <c r="L659" s="4">
        <f>IF(OR(INDEX($V$2:$V$1001,MATCH(ROWS($U$2:U659),$U$2:$U$1001,0),1)&gt;=100000,INDEX($AB$1005:$AQ$1005,1,MATCH(COLUMNS($AB$1006:AL1006),$AB$1006:$AQ$1006,0))&gt;=100000), " ",IF(INDEX($AB$2:$AQ$1001,MATCH(ROWS($U$2:U659),$U$2:$U$1001,0),MATCH(COLUMNS($AB$1006:AL1006),$AB$1006:$AQ$1006,0)), HYPERLINK("#",""), HYPERLINK(CONCATENATE("#metadata!", ADDRESS(INDEX($W$2:$W$1001,MATCH(ROWS($U$2:U659),$U$2:$U$1001,0),0), INDEX($AB$1004:$AQ$1004,1,MATCH(COLUMNS($AB$1006:AL1006),$AB$1006:$AQ$1006,0)))),"Fix")))</f>
        <v>0</v>
      </c>
      <c r="M659" s="4">
        <f>IF(OR(INDEX($V$2:$V$1001,MATCH(ROWS($U$2:U659),$U$2:$U$1001,0),1)&gt;=100000,INDEX($AB$1005:$AQ$1005,1,MATCH(COLUMNS($AB$1006:AM1006),$AB$1006:$AQ$1006,0))&gt;=100000), " ",IF(INDEX($AB$2:$AQ$1001,MATCH(ROWS($U$2:U659),$U$2:$U$1001,0),MATCH(COLUMNS($AB$1006:AM1006),$AB$1006:$AQ$1006,0)), HYPERLINK("#",""), HYPERLINK(CONCATENATE("#metadata!", ADDRESS(INDEX($W$2:$W$1001,MATCH(ROWS($U$2:U659),$U$2:$U$1001,0),0), INDEX($AB$1004:$AQ$1004,1,MATCH(COLUMNS($AB$1006:AM1006),$AB$1006:$AQ$1006,0)))),"Fix")))</f>
        <v>0</v>
      </c>
      <c r="N659" s="4">
        <f>IF(OR(INDEX($V$2:$V$1001,MATCH(ROWS($U$2:U659),$U$2:$U$1001,0),1)&gt;=100000,INDEX($AB$1005:$AQ$1005,1,MATCH(COLUMNS($AB$1006:AN1006),$AB$1006:$AQ$1006,0))&gt;=100000), " ",IF(INDEX($AB$2:$AQ$1001,MATCH(ROWS($U$2:U659),$U$2:$U$1001,0),MATCH(COLUMNS($AB$1006:AN1006),$AB$1006:$AQ$1006,0)), HYPERLINK("#",""), HYPERLINK(CONCATENATE("#metadata!", ADDRESS(INDEX($W$2:$W$1001,MATCH(ROWS($U$2:U659),$U$2:$U$1001,0),0), INDEX($AB$1004:$AQ$1004,1,MATCH(COLUMNS($AB$1006:AN1006),$AB$1006:$AQ$1006,0)))),"Fix")))</f>
        <v>0</v>
      </c>
      <c r="O659" s="4">
        <f>IF(OR(INDEX($V$2:$V$1001,MATCH(ROWS($U$2:U659),$U$2:$U$1001,0),1)&gt;=100000,INDEX($AB$1005:$AQ$1005,1,MATCH(COLUMNS($AB$1006:AO1006),$AB$1006:$AQ$1006,0))&gt;=100000), " ",IF(INDEX($AB$2:$AQ$1001,MATCH(ROWS($U$2:U659),$U$2:$U$1001,0),MATCH(COLUMNS($AB$1006:AO1006),$AB$1006:$AQ$1006,0)), HYPERLINK("#",""), HYPERLINK(CONCATENATE("#metadata!", ADDRESS(INDEX($W$2:$W$1001,MATCH(ROWS($U$2:U659),$U$2:$U$1001,0),0), INDEX($AB$1004:$AQ$1004,1,MATCH(COLUMNS($AB$1006:AO1006),$AB$1006:$AQ$1006,0)))),"Fix")))</f>
        <v>0</v>
      </c>
      <c r="P659" s="4">
        <f>IF(OR(INDEX($V$2:$V$1001,MATCH(ROWS($U$2:U659),$U$2:$U$1001,0),1)&gt;=100000,INDEX($AB$1005:$AQ$1005,1,MATCH(COLUMNS($AB$1006:AP1006),$AB$1006:$AQ$1006,0))&gt;=100000), " ",IF(INDEX($AB$2:$AQ$1001,MATCH(ROWS($U$2:U659),$U$2:$U$1001,0),MATCH(COLUMNS($AB$1006:AP1006),$AB$1006:$AQ$1006,0)), HYPERLINK("#",""), HYPERLINK(CONCATENATE("#metadata!", ADDRESS(INDEX($W$2:$W$1001,MATCH(ROWS($U$2:U659),$U$2:$U$1001,0),0), INDEX($AB$1004:$AQ$1004,1,MATCH(COLUMNS($AB$1006:AP1006),$AB$1006:$AQ$1006,0)))),"Fix")))</f>
        <v>0</v>
      </c>
      <c r="Q659" s="4">
        <f>IF(OR(INDEX($V$2:$V$1001,MATCH(ROWS($U$2:U659),$U$2:$U$1001,0),1)&gt;=100000,INDEX($AB$1005:$AQ$1005,1,MATCH(COLUMNS($AB$1006:AQ1006),$AB$1006:$AQ$1006,0))&gt;=100000), " ",IF(INDEX($AB$2:$AQ$1001,MATCH(ROWS($U$2:U659),$U$2:$U$1001,0),MATCH(COLUMNS($AB$1006:AQ1006),$AB$1006:$AQ$1006,0)), HYPERLINK("#",""), HYPERLINK(CONCATENATE("#metadata!", ADDRESS(INDEX($W$2:$W$1001,MATCH(ROWS($U$2:U659),$U$2:$U$1001,0),0), INDEX($AB$1004:$AQ$1004,1,MATCH(COLUMNS($AB$1006:AQ1006),$AB$1006:$AQ$1006,0)))),"Fix")))</f>
        <v>0</v>
      </c>
      <c r="U659">
        <v>0</v>
      </c>
      <c r="V659">
        <v>0</v>
      </c>
      <c r="W659">
        <v>0</v>
      </c>
      <c r="X659">
        <f>IF(Y659,TRUE,AND(AB659:AQ659))</f>
        <v>0</v>
      </c>
      <c r="Y659">
        <f>COUNTBLANK(metadata!B659:Q659)=COLUMNS(metadata!B659:Q659)</f>
        <v>0</v>
      </c>
      <c r="Z659">
        <v>0</v>
      </c>
      <c r="AB659">
        <f>AND(IF(metadata!B659="",FALSE,TRUE),COUNTIF(metadata!B:B, metadata!B659) = 1,NOT(ISERROR(SUMPRODUCT(SEARCH(MID(metadata!B659,ROW(INDIRECT("1:"&amp;LEN(metadata!B659))), 1),"0123456789abcdefghijklmnopqrstuvwxyzABCDEFGHIJKLMNOPQRSTUVWXYZ.")))))</f>
        <v>0</v>
      </c>
      <c r="AC659">
        <f>OR(AND(IF(metadata!C659="",FALSE,TRUE),OR(exact(metadata!C659,"missing: not collected"),exact(metadata!C659,"missing: not provided"),exact(metadata!C659,"missing: restricted access"))),AND(IF(metadata!C659="",FALSE,TRUE),AND(AND(IFERROR(INT(LEFT(metadata!C659,4))&gt;1900,FALSE),IFERROR(INT(LEFT(metadata!C659,4))&lt;=YEAR(NOW()),FALSE)), OR(MID(metadata!C659,5,1)="", AND(AND(MID(metadata!C659,5,1)="-",IFERROR(INT(MID(metadata!C659,6,1))&gt;=0,FALSE),IFERROR(INT(MID(metadata!C659,6,1))&lt;=1,FALSE),NOT(MID(metadata!C659,7,1)=""),IFERROR(INT(MID(metadata!C659,6,2))&gt;=1,FALSE),IFERROR(INT(MID(metadata!C659,6,2))&lt;=12,FALSE)), OR(MID(metadata!C659,8,1)="", AND(AND(MID(metadata!C659,8,1)="-",IFERROR(INT(MID(metadata!C659,9,1))&gt;=0,FALSE),IFERROR(INT(MID(metadata!C659,9,1))&lt;=3,FALSE),NOT(MID(metadata!C659,10,1)=""),IFERROR(INT(MID(metadata!C659,9,2))&gt;=1,FALSE),IFERROR(INT(MID(metadata!C659,9,2))&lt;=31,FALSE)), OR(MID(metadata!C659,11,1)="", AND(AND(MID(metadata!C659,11,1)=" ",IFERROR(INT(MID(metadata!C659,12,1))&gt;=0,FALSE),IFERROR(INT(MID(metadata!C659,12,1))&lt;=2,FALSE),NOT(MID(metadata!C659,13,1)=""),IFERROR(INT(MID(metadata!C659,12,2))&gt;=0,FALSE),IFERROR(INT(MID(metadata!C659,12,2))&lt;=23,FALSE)), OR(MID(metadata!C659,14,1)="", AND(AND(MID(metadata!C659,14,1)=":",IFERROR(INT(MID(metadata!C659,15,1))&gt;=0,FALSE),IFERROR(INT(MID(metadata!C659,15,1))&lt;=5,FALSE),NOT(MID(metadata!C659,16,1)=""),IFERROR(INT(MID(metadata!C659,15,2))&gt;=0,FALSE),IFERROR(INT(MID(metadata!C659,15,2))&lt;=59,FALSE)), OR(MID(metadata!C659,17,1)="", AND(AND(MID(metadata!C659,17,1)=":",IFERROR(INT(MID(metadata!C659,18,1))&gt;=0,FALSE),IFERROR(INT(MID(metadata!C659,18,1))&lt;=5,FALSE),NOT(MID(metadata!C659,19,1)=""),IFERROR(INT(MID(metadata!C659,18,2))&gt;=0,FALSE),IFERROR(INT(MID(metadata!C659,18,2))&lt;=59,FALSE)), LEN(metadata!C659)&lt;=19)))))))))))))</f>
        <v>0</v>
      </c>
      <c r="AD659">
        <f>IF(metadata!D659="",FALSE,TRUE)</f>
        <v>0</v>
      </c>
      <c r="AE659">
        <f>OR(AND(IF(metadata!E659="",FALSE,TRUE),OR(exact(metadata!E659,"missing: not collected"),exact(metadata!E659,"missing: not provided"))),AND(IF(metadata!E659="",FALSE,TRUE),OR(exact(metadata!E659,"TRUE"),exact(metadata!E659,"FALSE"))))</f>
        <v>0</v>
      </c>
      <c r="AF659">
        <f>IF(metadata!F659="",FALSE,TRUE)</f>
        <v>0</v>
      </c>
      <c r="AG659">
        <f>IF(metadata!G659="",FALSE,TRUE)</f>
        <v>0</v>
      </c>
      <c r="AH659">
        <f>IF(metadata!H659="",FALSE,TRUE)</f>
        <v>0</v>
      </c>
      <c r="AI659">
        <f>OR(AND(IF(metadata!I659="",FALSE,TRUE),OR(exact(metadata!I659,"missing: not collected"),exact(metadata!I659,"missing: not provided"),exact(metadata!I659,"missing: restricted access"))),AND(IF(metadata!I659="",FALSE,TRUE),OR(exact(metadata!I659,"air"),exact(metadata!I659,"built environment"),exact(metadata!I659,"host-associated"),exact(metadata!I659,"human-associated"),exact(metadata!I659,"human-skin"),exact(metadata!I659,"human-oral"),exact(metadata!I659,"human-gut"),exact(metadata!I659,"human-vaginal"),exact(metadata!I659,"microbial mat/biofilm"),exact(metadata!I659,"misc environment"),exact(metadata!I659,"plant-associated"),exact(metadata!I659,"sediment"),exact(metadata!I659,"soil"),exact(metadata!I659,"wastewater/sludge"),exact(metadata!I659,"water"))))</f>
        <v>0</v>
      </c>
      <c r="AJ659">
        <f>IF(metadata!J659="",FALSE,TRUE)</f>
        <v>0</v>
      </c>
      <c r="AK659">
        <f>OR(AND(IF(metadata!K659="",FALSE,TRUE),OR(exact(metadata!K659,"missing: not collected"),exact(metadata!K659,"missing: not provided"),exact(metadata!K659,"missing: restricted access"))),AND(IF(metadata!K659="",FALSE,ISNUMBER(VALUE(metadata!K659))),metadata!K659&gt;=-90.00,metadata!K659&lt;=90.00))</f>
        <v>0</v>
      </c>
      <c r="AL659">
        <f>OR(AND(IF(metadata!L659="",FALSE,TRUE),OR(exact(metadata!L659,"missing: not collected"),exact(metadata!L659,"missing: not provided"),exact(metadata!L659,"missing: restricted access"))),AND(IF(metadata!L659="",FALSE,ISNUMBER(VALUE(metadata!L659))),metadata!L659&gt;=-180.00,metadata!L659&lt;=180.00))</f>
        <v>0</v>
      </c>
      <c r="AM659">
        <f>IF(metadata!M659="",FALSE,TRUE)</f>
        <v>0</v>
      </c>
      <c r="AN659">
        <f>OR(AND(IF(metadata!N659="",FALSE,TRUE),OR(exact(metadata!N659,"missing: not collected"),exact(metadata!N659,"missing: not provided"),exact(metadata!N659,"missing: restricted access"))),AND(IF(metadata!N659="",FALSE,TRUE),OR(exact(metadata!N659,"TRUE"),exact(metadata!N659,"FALSE"))))</f>
        <v>0</v>
      </c>
      <c r="AO659">
        <f>IF(metadata!O659="",FALSE,TRUE)</f>
        <v>0</v>
      </c>
      <c r="AP659">
        <f>OR(AND(IF(metadata!P659="",FALSE,TRUE),OR(exact(metadata!P659,"missing: not collected"),exact(metadata!P659,"missing: not provided"))),AND(IF(metadata!P659="",FALSE,IF(ISERROR(INT(metadata!P659)),FALSE,INT(metadata!P659)=metadata!P659)),metadata!P659&gt;0))</f>
        <v>0</v>
      </c>
      <c r="AQ659">
        <f>IF(metadata!Q659="",FALSE,TRUE)</f>
        <v>0</v>
      </c>
    </row>
    <row r="660" spans="1:43">
      <c r="A660" s="5">
        <f>IF(B660=" "," ",HYPERLINK(CONCATENATE("#metadata!",ADDRESS(INDEX($W$2:$W$1001,MATCH(ROWS($U$2:U660),$U$2:$U$1001,0),0),1)),INDEX($Z$2:$Z$1001,MATCH(ROWS($U$2:U660),$U$2:$U$1001,0),0)))</f>
        <v>0</v>
      </c>
      <c r="B660" s="4">
        <f>IF(OR(INDEX($V$2:$V$1001,MATCH(ROWS($U$2:U660),$U$2:$U$1001,0),1)&gt;=100000,INDEX($AB$1005:$AQ$1005,1,MATCH(COLUMNS($AB$1006:AB1006),$AB$1006:$AQ$1006,0))&gt;=100000), " ",IF(INDEX($AB$2:$AQ$1001,MATCH(ROWS($U$2:U660),$U$2:$U$1001,0),MATCH(COLUMNS($AB$1006:AB1006),$AB$1006:$AQ$1006,0)), HYPERLINK("#",""), HYPERLINK(CONCATENATE("#metadata!", ADDRESS(INDEX($W$2:$W$1001,MATCH(ROWS($U$2:U660),$U$2:$U$1001,0),0), INDEX($AB$1004:$AQ$1004,1,MATCH(COLUMNS($AB$1006:AB1006),$AB$1006:$AQ$1006,0)))),"Fix")))</f>
        <v>0</v>
      </c>
      <c r="C660" s="4">
        <f>IF(OR(INDEX($V$2:$V$1001,MATCH(ROWS($U$2:U660),$U$2:$U$1001,0),1)&gt;=100000,INDEX($AB$1005:$AQ$1005,1,MATCH(COLUMNS($AB$1006:AC1006),$AB$1006:$AQ$1006,0))&gt;=100000), " ",IF(INDEX($AB$2:$AQ$1001,MATCH(ROWS($U$2:U660),$U$2:$U$1001,0),MATCH(COLUMNS($AB$1006:AC1006),$AB$1006:$AQ$1006,0)), HYPERLINK("#",""), HYPERLINK(CONCATENATE("#metadata!", ADDRESS(INDEX($W$2:$W$1001,MATCH(ROWS($U$2:U660),$U$2:$U$1001,0),0), INDEX($AB$1004:$AQ$1004,1,MATCH(COLUMNS($AB$1006:AC1006),$AB$1006:$AQ$1006,0)))),"Fix")))</f>
        <v>0</v>
      </c>
      <c r="D660" s="4">
        <f>IF(OR(INDEX($V$2:$V$1001,MATCH(ROWS($U$2:U660),$U$2:$U$1001,0),1)&gt;=100000,INDEX($AB$1005:$AQ$1005,1,MATCH(COLUMNS($AB$1006:AD1006),$AB$1006:$AQ$1006,0))&gt;=100000), " ",IF(INDEX($AB$2:$AQ$1001,MATCH(ROWS($U$2:U660),$U$2:$U$1001,0),MATCH(COLUMNS($AB$1006:AD1006),$AB$1006:$AQ$1006,0)), HYPERLINK("#",""), HYPERLINK(CONCATENATE("#metadata!", ADDRESS(INDEX($W$2:$W$1001,MATCH(ROWS($U$2:U660),$U$2:$U$1001,0),0), INDEX($AB$1004:$AQ$1004,1,MATCH(COLUMNS($AB$1006:AD1006),$AB$1006:$AQ$1006,0)))),"Fix")))</f>
        <v>0</v>
      </c>
      <c r="E660" s="4">
        <f>IF(OR(INDEX($V$2:$V$1001,MATCH(ROWS($U$2:U660),$U$2:$U$1001,0),1)&gt;=100000,INDEX($AB$1005:$AQ$1005,1,MATCH(COLUMNS($AB$1006:AE1006),$AB$1006:$AQ$1006,0))&gt;=100000), " ",IF(INDEX($AB$2:$AQ$1001,MATCH(ROWS($U$2:U660),$U$2:$U$1001,0),MATCH(COLUMNS($AB$1006:AE1006),$AB$1006:$AQ$1006,0)), HYPERLINK("#",""), HYPERLINK(CONCATENATE("#metadata!", ADDRESS(INDEX($W$2:$W$1001,MATCH(ROWS($U$2:U660),$U$2:$U$1001,0),0), INDEX($AB$1004:$AQ$1004,1,MATCH(COLUMNS($AB$1006:AE1006),$AB$1006:$AQ$1006,0)))),"Fix")))</f>
        <v>0</v>
      </c>
      <c r="F660" s="4">
        <f>IF(OR(INDEX($V$2:$V$1001,MATCH(ROWS($U$2:U660),$U$2:$U$1001,0),1)&gt;=100000,INDEX($AB$1005:$AQ$1005,1,MATCH(COLUMNS($AB$1006:AF1006),$AB$1006:$AQ$1006,0))&gt;=100000), " ",IF(INDEX($AB$2:$AQ$1001,MATCH(ROWS($U$2:U660),$U$2:$U$1001,0),MATCH(COLUMNS($AB$1006:AF1006),$AB$1006:$AQ$1006,0)), HYPERLINK("#",""), HYPERLINK(CONCATENATE("#metadata!", ADDRESS(INDEX($W$2:$W$1001,MATCH(ROWS($U$2:U660),$U$2:$U$1001,0),0), INDEX($AB$1004:$AQ$1004,1,MATCH(COLUMNS($AB$1006:AF1006),$AB$1006:$AQ$1006,0)))),"Fix")))</f>
        <v>0</v>
      </c>
      <c r="G660" s="4">
        <f>IF(OR(INDEX($V$2:$V$1001,MATCH(ROWS($U$2:U660),$U$2:$U$1001,0),1)&gt;=100000,INDEX($AB$1005:$AQ$1005,1,MATCH(COLUMNS($AB$1006:AG1006),$AB$1006:$AQ$1006,0))&gt;=100000), " ",IF(INDEX($AB$2:$AQ$1001,MATCH(ROWS($U$2:U660),$U$2:$U$1001,0),MATCH(COLUMNS($AB$1006:AG1006),$AB$1006:$AQ$1006,0)), HYPERLINK("#",""), HYPERLINK(CONCATENATE("#metadata!", ADDRESS(INDEX($W$2:$W$1001,MATCH(ROWS($U$2:U660),$U$2:$U$1001,0),0), INDEX($AB$1004:$AQ$1004,1,MATCH(COLUMNS($AB$1006:AG1006),$AB$1006:$AQ$1006,0)))),"Fix")))</f>
        <v>0</v>
      </c>
      <c r="H660" s="4">
        <f>IF(OR(INDEX($V$2:$V$1001,MATCH(ROWS($U$2:U660),$U$2:$U$1001,0),1)&gt;=100000,INDEX($AB$1005:$AQ$1005,1,MATCH(COLUMNS($AB$1006:AH1006),$AB$1006:$AQ$1006,0))&gt;=100000), " ",IF(INDEX($AB$2:$AQ$1001,MATCH(ROWS($U$2:U660),$U$2:$U$1001,0),MATCH(COLUMNS($AB$1006:AH1006),$AB$1006:$AQ$1006,0)), HYPERLINK("#",""), HYPERLINK(CONCATENATE("#metadata!", ADDRESS(INDEX($W$2:$W$1001,MATCH(ROWS($U$2:U660),$U$2:$U$1001,0),0), INDEX($AB$1004:$AQ$1004,1,MATCH(COLUMNS($AB$1006:AH1006),$AB$1006:$AQ$1006,0)))),"Fix")))</f>
        <v>0</v>
      </c>
      <c r="I660" s="4">
        <f>IF(OR(INDEX($V$2:$V$1001,MATCH(ROWS($U$2:U660),$U$2:$U$1001,0),1)&gt;=100000,INDEX($AB$1005:$AQ$1005,1,MATCH(COLUMNS($AB$1006:AI1006),$AB$1006:$AQ$1006,0))&gt;=100000), " ",IF(INDEX($AB$2:$AQ$1001,MATCH(ROWS($U$2:U660),$U$2:$U$1001,0),MATCH(COLUMNS($AB$1006:AI1006),$AB$1006:$AQ$1006,0)), HYPERLINK("#",""), HYPERLINK(CONCATENATE("#metadata!", ADDRESS(INDEX($W$2:$W$1001,MATCH(ROWS($U$2:U660),$U$2:$U$1001,0),0), INDEX($AB$1004:$AQ$1004,1,MATCH(COLUMNS($AB$1006:AI1006),$AB$1006:$AQ$1006,0)))),"Fix")))</f>
        <v>0</v>
      </c>
      <c r="J660" s="4">
        <f>IF(OR(INDEX($V$2:$V$1001,MATCH(ROWS($U$2:U660),$U$2:$U$1001,0),1)&gt;=100000,INDEX($AB$1005:$AQ$1005,1,MATCH(COLUMNS($AB$1006:AJ1006),$AB$1006:$AQ$1006,0))&gt;=100000), " ",IF(INDEX($AB$2:$AQ$1001,MATCH(ROWS($U$2:U660),$U$2:$U$1001,0),MATCH(COLUMNS($AB$1006:AJ1006),$AB$1006:$AQ$1006,0)), HYPERLINK("#",""), HYPERLINK(CONCATENATE("#metadata!", ADDRESS(INDEX($W$2:$W$1001,MATCH(ROWS($U$2:U660),$U$2:$U$1001,0),0), INDEX($AB$1004:$AQ$1004,1,MATCH(COLUMNS($AB$1006:AJ1006),$AB$1006:$AQ$1006,0)))),"Fix")))</f>
        <v>0</v>
      </c>
      <c r="K660" s="4">
        <f>IF(OR(INDEX($V$2:$V$1001,MATCH(ROWS($U$2:U660),$U$2:$U$1001,0),1)&gt;=100000,INDEX($AB$1005:$AQ$1005,1,MATCH(COLUMNS($AB$1006:AK1006),$AB$1006:$AQ$1006,0))&gt;=100000), " ",IF(INDEX($AB$2:$AQ$1001,MATCH(ROWS($U$2:U660),$U$2:$U$1001,0),MATCH(COLUMNS($AB$1006:AK1006),$AB$1006:$AQ$1006,0)), HYPERLINK("#",""), HYPERLINK(CONCATENATE("#metadata!", ADDRESS(INDEX($W$2:$W$1001,MATCH(ROWS($U$2:U660),$U$2:$U$1001,0),0), INDEX($AB$1004:$AQ$1004,1,MATCH(COLUMNS($AB$1006:AK1006),$AB$1006:$AQ$1006,0)))),"Fix")))</f>
        <v>0</v>
      </c>
      <c r="L660" s="4">
        <f>IF(OR(INDEX($V$2:$V$1001,MATCH(ROWS($U$2:U660),$U$2:$U$1001,0),1)&gt;=100000,INDEX($AB$1005:$AQ$1005,1,MATCH(COLUMNS($AB$1006:AL1006),$AB$1006:$AQ$1006,0))&gt;=100000), " ",IF(INDEX($AB$2:$AQ$1001,MATCH(ROWS($U$2:U660),$U$2:$U$1001,0),MATCH(COLUMNS($AB$1006:AL1006),$AB$1006:$AQ$1006,0)), HYPERLINK("#",""), HYPERLINK(CONCATENATE("#metadata!", ADDRESS(INDEX($W$2:$W$1001,MATCH(ROWS($U$2:U660),$U$2:$U$1001,0),0), INDEX($AB$1004:$AQ$1004,1,MATCH(COLUMNS($AB$1006:AL1006),$AB$1006:$AQ$1006,0)))),"Fix")))</f>
        <v>0</v>
      </c>
      <c r="M660" s="4">
        <f>IF(OR(INDEX($V$2:$V$1001,MATCH(ROWS($U$2:U660),$U$2:$U$1001,0),1)&gt;=100000,INDEX($AB$1005:$AQ$1005,1,MATCH(COLUMNS($AB$1006:AM1006),$AB$1006:$AQ$1006,0))&gt;=100000), " ",IF(INDEX($AB$2:$AQ$1001,MATCH(ROWS($U$2:U660),$U$2:$U$1001,0),MATCH(COLUMNS($AB$1006:AM1006),$AB$1006:$AQ$1006,0)), HYPERLINK("#",""), HYPERLINK(CONCATENATE("#metadata!", ADDRESS(INDEX($W$2:$W$1001,MATCH(ROWS($U$2:U660),$U$2:$U$1001,0),0), INDEX($AB$1004:$AQ$1004,1,MATCH(COLUMNS($AB$1006:AM1006),$AB$1006:$AQ$1006,0)))),"Fix")))</f>
        <v>0</v>
      </c>
      <c r="N660" s="4">
        <f>IF(OR(INDEX($V$2:$V$1001,MATCH(ROWS($U$2:U660),$U$2:$U$1001,0),1)&gt;=100000,INDEX($AB$1005:$AQ$1005,1,MATCH(COLUMNS($AB$1006:AN1006),$AB$1006:$AQ$1006,0))&gt;=100000), " ",IF(INDEX($AB$2:$AQ$1001,MATCH(ROWS($U$2:U660),$U$2:$U$1001,0),MATCH(COLUMNS($AB$1006:AN1006),$AB$1006:$AQ$1006,0)), HYPERLINK("#",""), HYPERLINK(CONCATENATE("#metadata!", ADDRESS(INDEX($W$2:$W$1001,MATCH(ROWS($U$2:U660),$U$2:$U$1001,0),0), INDEX($AB$1004:$AQ$1004,1,MATCH(COLUMNS($AB$1006:AN1006),$AB$1006:$AQ$1006,0)))),"Fix")))</f>
        <v>0</v>
      </c>
      <c r="O660" s="4">
        <f>IF(OR(INDEX($V$2:$V$1001,MATCH(ROWS($U$2:U660),$U$2:$U$1001,0),1)&gt;=100000,INDEX($AB$1005:$AQ$1005,1,MATCH(COLUMNS($AB$1006:AO1006),$AB$1006:$AQ$1006,0))&gt;=100000), " ",IF(INDEX($AB$2:$AQ$1001,MATCH(ROWS($U$2:U660),$U$2:$U$1001,0),MATCH(COLUMNS($AB$1006:AO1006),$AB$1006:$AQ$1006,0)), HYPERLINK("#",""), HYPERLINK(CONCATENATE("#metadata!", ADDRESS(INDEX($W$2:$W$1001,MATCH(ROWS($U$2:U660),$U$2:$U$1001,0),0), INDEX($AB$1004:$AQ$1004,1,MATCH(COLUMNS($AB$1006:AO1006),$AB$1006:$AQ$1006,0)))),"Fix")))</f>
        <v>0</v>
      </c>
      <c r="P660" s="4">
        <f>IF(OR(INDEX($V$2:$V$1001,MATCH(ROWS($U$2:U660),$U$2:$U$1001,0),1)&gt;=100000,INDEX($AB$1005:$AQ$1005,1,MATCH(COLUMNS($AB$1006:AP1006),$AB$1006:$AQ$1006,0))&gt;=100000), " ",IF(INDEX($AB$2:$AQ$1001,MATCH(ROWS($U$2:U660),$U$2:$U$1001,0),MATCH(COLUMNS($AB$1006:AP1006),$AB$1006:$AQ$1006,0)), HYPERLINK("#",""), HYPERLINK(CONCATENATE("#metadata!", ADDRESS(INDEX($W$2:$W$1001,MATCH(ROWS($U$2:U660),$U$2:$U$1001,0),0), INDEX($AB$1004:$AQ$1004,1,MATCH(COLUMNS($AB$1006:AP1006),$AB$1006:$AQ$1006,0)))),"Fix")))</f>
        <v>0</v>
      </c>
      <c r="Q660" s="4">
        <f>IF(OR(INDEX($V$2:$V$1001,MATCH(ROWS($U$2:U660),$U$2:$U$1001,0),1)&gt;=100000,INDEX($AB$1005:$AQ$1005,1,MATCH(COLUMNS($AB$1006:AQ1006),$AB$1006:$AQ$1006,0))&gt;=100000), " ",IF(INDEX($AB$2:$AQ$1001,MATCH(ROWS($U$2:U660),$U$2:$U$1001,0),MATCH(COLUMNS($AB$1006:AQ1006),$AB$1006:$AQ$1006,0)), HYPERLINK("#",""), HYPERLINK(CONCATENATE("#metadata!", ADDRESS(INDEX($W$2:$W$1001,MATCH(ROWS($U$2:U660),$U$2:$U$1001,0),0), INDEX($AB$1004:$AQ$1004,1,MATCH(COLUMNS($AB$1006:AQ1006),$AB$1006:$AQ$1006,0)))),"Fix")))</f>
        <v>0</v>
      </c>
      <c r="U660">
        <v>0</v>
      </c>
      <c r="V660">
        <v>0</v>
      </c>
      <c r="W660">
        <v>0</v>
      </c>
      <c r="X660">
        <f>IF(Y660,TRUE,AND(AB660:AQ660))</f>
        <v>0</v>
      </c>
      <c r="Y660">
        <f>COUNTBLANK(metadata!B660:Q660)=COLUMNS(metadata!B660:Q660)</f>
        <v>0</v>
      </c>
      <c r="Z660">
        <v>0</v>
      </c>
      <c r="AB660">
        <f>AND(IF(metadata!B660="",FALSE,TRUE),COUNTIF(metadata!B:B, metadata!B660) = 1,NOT(ISERROR(SUMPRODUCT(SEARCH(MID(metadata!B660,ROW(INDIRECT("1:"&amp;LEN(metadata!B660))), 1),"0123456789abcdefghijklmnopqrstuvwxyzABCDEFGHIJKLMNOPQRSTUVWXYZ.")))))</f>
        <v>0</v>
      </c>
      <c r="AC660">
        <f>OR(AND(IF(metadata!C660="",FALSE,TRUE),OR(exact(metadata!C660,"missing: not collected"),exact(metadata!C660,"missing: not provided"),exact(metadata!C660,"missing: restricted access"))),AND(IF(metadata!C660="",FALSE,TRUE),AND(AND(IFERROR(INT(LEFT(metadata!C660,4))&gt;1900,FALSE),IFERROR(INT(LEFT(metadata!C660,4))&lt;=YEAR(NOW()),FALSE)), OR(MID(metadata!C660,5,1)="", AND(AND(MID(metadata!C660,5,1)="-",IFERROR(INT(MID(metadata!C660,6,1))&gt;=0,FALSE),IFERROR(INT(MID(metadata!C660,6,1))&lt;=1,FALSE),NOT(MID(metadata!C660,7,1)=""),IFERROR(INT(MID(metadata!C660,6,2))&gt;=1,FALSE),IFERROR(INT(MID(metadata!C660,6,2))&lt;=12,FALSE)), OR(MID(metadata!C660,8,1)="", AND(AND(MID(metadata!C660,8,1)="-",IFERROR(INT(MID(metadata!C660,9,1))&gt;=0,FALSE),IFERROR(INT(MID(metadata!C660,9,1))&lt;=3,FALSE),NOT(MID(metadata!C660,10,1)=""),IFERROR(INT(MID(metadata!C660,9,2))&gt;=1,FALSE),IFERROR(INT(MID(metadata!C660,9,2))&lt;=31,FALSE)), OR(MID(metadata!C660,11,1)="", AND(AND(MID(metadata!C660,11,1)=" ",IFERROR(INT(MID(metadata!C660,12,1))&gt;=0,FALSE),IFERROR(INT(MID(metadata!C660,12,1))&lt;=2,FALSE),NOT(MID(metadata!C660,13,1)=""),IFERROR(INT(MID(metadata!C660,12,2))&gt;=0,FALSE),IFERROR(INT(MID(metadata!C660,12,2))&lt;=23,FALSE)), OR(MID(metadata!C660,14,1)="", AND(AND(MID(metadata!C660,14,1)=":",IFERROR(INT(MID(metadata!C660,15,1))&gt;=0,FALSE),IFERROR(INT(MID(metadata!C660,15,1))&lt;=5,FALSE),NOT(MID(metadata!C660,16,1)=""),IFERROR(INT(MID(metadata!C660,15,2))&gt;=0,FALSE),IFERROR(INT(MID(metadata!C660,15,2))&lt;=59,FALSE)), OR(MID(metadata!C660,17,1)="", AND(AND(MID(metadata!C660,17,1)=":",IFERROR(INT(MID(metadata!C660,18,1))&gt;=0,FALSE),IFERROR(INT(MID(metadata!C660,18,1))&lt;=5,FALSE),NOT(MID(metadata!C660,19,1)=""),IFERROR(INT(MID(metadata!C660,18,2))&gt;=0,FALSE),IFERROR(INT(MID(metadata!C660,18,2))&lt;=59,FALSE)), LEN(metadata!C660)&lt;=19)))))))))))))</f>
        <v>0</v>
      </c>
      <c r="AD660">
        <f>IF(metadata!D660="",FALSE,TRUE)</f>
        <v>0</v>
      </c>
      <c r="AE660">
        <f>OR(AND(IF(metadata!E660="",FALSE,TRUE),OR(exact(metadata!E660,"missing: not collected"),exact(metadata!E660,"missing: not provided"))),AND(IF(metadata!E660="",FALSE,TRUE),OR(exact(metadata!E660,"TRUE"),exact(metadata!E660,"FALSE"))))</f>
        <v>0</v>
      </c>
      <c r="AF660">
        <f>IF(metadata!F660="",FALSE,TRUE)</f>
        <v>0</v>
      </c>
      <c r="AG660">
        <f>IF(metadata!G660="",FALSE,TRUE)</f>
        <v>0</v>
      </c>
      <c r="AH660">
        <f>IF(metadata!H660="",FALSE,TRUE)</f>
        <v>0</v>
      </c>
      <c r="AI660">
        <f>OR(AND(IF(metadata!I660="",FALSE,TRUE),OR(exact(metadata!I660,"missing: not collected"),exact(metadata!I660,"missing: not provided"),exact(metadata!I660,"missing: restricted access"))),AND(IF(metadata!I660="",FALSE,TRUE),OR(exact(metadata!I660,"air"),exact(metadata!I660,"built environment"),exact(metadata!I660,"host-associated"),exact(metadata!I660,"human-associated"),exact(metadata!I660,"human-skin"),exact(metadata!I660,"human-oral"),exact(metadata!I660,"human-gut"),exact(metadata!I660,"human-vaginal"),exact(metadata!I660,"microbial mat/biofilm"),exact(metadata!I660,"misc environment"),exact(metadata!I660,"plant-associated"),exact(metadata!I660,"sediment"),exact(metadata!I660,"soil"),exact(metadata!I660,"wastewater/sludge"),exact(metadata!I660,"water"))))</f>
        <v>0</v>
      </c>
      <c r="AJ660">
        <f>IF(metadata!J660="",FALSE,TRUE)</f>
        <v>0</v>
      </c>
      <c r="AK660">
        <f>OR(AND(IF(metadata!K660="",FALSE,TRUE),OR(exact(metadata!K660,"missing: not collected"),exact(metadata!K660,"missing: not provided"),exact(metadata!K660,"missing: restricted access"))),AND(IF(metadata!K660="",FALSE,ISNUMBER(VALUE(metadata!K660))),metadata!K660&gt;=-90.00,metadata!K660&lt;=90.00))</f>
        <v>0</v>
      </c>
      <c r="AL660">
        <f>OR(AND(IF(metadata!L660="",FALSE,TRUE),OR(exact(metadata!L660,"missing: not collected"),exact(metadata!L660,"missing: not provided"),exact(metadata!L660,"missing: restricted access"))),AND(IF(metadata!L660="",FALSE,ISNUMBER(VALUE(metadata!L660))),metadata!L660&gt;=-180.00,metadata!L660&lt;=180.00))</f>
        <v>0</v>
      </c>
      <c r="AM660">
        <f>IF(metadata!M660="",FALSE,TRUE)</f>
        <v>0</v>
      </c>
      <c r="AN660">
        <f>OR(AND(IF(metadata!N660="",FALSE,TRUE),OR(exact(metadata!N660,"missing: not collected"),exact(metadata!N660,"missing: not provided"),exact(metadata!N660,"missing: restricted access"))),AND(IF(metadata!N660="",FALSE,TRUE),OR(exact(metadata!N660,"TRUE"),exact(metadata!N660,"FALSE"))))</f>
        <v>0</v>
      </c>
      <c r="AO660">
        <f>IF(metadata!O660="",FALSE,TRUE)</f>
        <v>0</v>
      </c>
      <c r="AP660">
        <f>OR(AND(IF(metadata!P660="",FALSE,TRUE),OR(exact(metadata!P660,"missing: not collected"),exact(metadata!P660,"missing: not provided"))),AND(IF(metadata!P660="",FALSE,IF(ISERROR(INT(metadata!P660)),FALSE,INT(metadata!P660)=metadata!P660)),metadata!P660&gt;0))</f>
        <v>0</v>
      </c>
      <c r="AQ660">
        <f>IF(metadata!Q660="",FALSE,TRUE)</f>
        <v>0</v>
      </c>
    </row>
    <row r="661" spans="1:43">
      <c r="A661" s="5">
        <f>IF(B661=" "," ",HYPERLINK(CONCATENATE("#metadata!",ADDRESS(INDEX($W$2:$W$1001,MATCH(ROWS($U$2:U661),$U$2:$U$1001,0),0),1)),INDEX($Z$2:$Z$1001,MATCH(ROWS($U$2:U661),$U$2:$U$1001,0),0)))</f>
        <v>0</v>
      </c>
      <c r="B661" s="4">
        <f>IF(OR(INDEX($V$2:$V$1001,MATCH(ROWS($U$2:U661),$U$2:$U$1001,0),1)&gt;=100000,INDEX($AB$1005:$AQ$1005,1,MATCH(COLUMNS($AB$1006:AB1006),$AB$1006:$AQ$1006,0))&gt;=100000), " ",IF(INDEX($AB$2:$AQ$1001,MATCH(ROWS($U$2:U661),$U$2:$U$1001,0),MATCH(COLUMNS($AB$1006:AB1006),$AB$1006:$AQ$1006,0)), HYPERLINK("#",""), HYPERLINK(CONCATENATE("#metadata!", ADDRESS(INDEX($W$2:$W$1001,MATCH(ROWS($U$2:U661),$U$2:$U$1001,0),0), INDEX($AB$1004:$AQ$1004,1,MATCH(COLUMNS($AB$1006:AB1006),$AB$1006:$AQ$1006,0)))),"Fix")))</f>
        <v>0</v>
      </c>
      <c r="C661" s="4">
        <f>IF(OR(INDEX($V$2:$V$1001,MATCH(ROWS($U$2:U661),$U$2:$U$1001,0),1)&gt;=100000,INDEX($AB$1005:$AQ$1005,1,MATCH(COLUMNS($AB$1006:AC1006),$AB$1006:$AQ$1006,0))&gt;=100000), " ",IF(INDEX($AB$2:$AQ$1001,MATCH(ROWS($U$2:U661),$U$2:$U$1001,0),MATCH(COLUMNS($AB$1006:AC1006),$AB$1006:$AQ$1006,0)), HYPERLINK("#",""), HYPERLINK(CONCATENATE("#metadata!", ADDRESS(INDEX($W$2:$W$1001,MATCH(ROWS($U$2:U661),$U$2:$U$1001,0),0), INDEX($AB$1004:$AQ$1004,1,MATCH(COLUMNS($AB$1006:AC1006),$AB$1006:$AQ$1006,0)))),"Fix")))</f>
        <v>0</v>
      </c>
      <c r="D661" s="4">
        <f>IF(OR(INDEX($V$2:$V$1001,MATCH(ROWS($U$2:U661),$U$2:$U$1001,0),1)&gt;=100000,INDEX($AB$1005:$AQ$1005,1,MATCH(COLUMNS($AB$1006:AD1006),$AB$1006:$AQ$1006,0))&gt;=100000), " ",IF(INDEX($AB$2:$AQ$1001,MATCH(ROWS($U$2:U661),$U$2:$U$1001,0),MATCH(COLUMNS($AB$1006:AD1006),$AB$1006:$AQ$1006,0)), HYPERLINK("#",""), HYPERLINK(CONCATENATE("#metadata!", ADDRESS(INDEX($W$2:$W$1001,MATCH(ROWS($U$2:U661),$U$2:$U$1001,0),0), INDEX($AB$1004:$AQ$1004,1,MATCH(COLUMNS($AB$1006:AD1006),$AB$1006:$AQ$1006,0)))),"Fix")))</f>
        <v>0</v>
      </c>
      <c r="E661" s="4">
        <f>IF(OR(INDEX($V$2:$V$1001,MATCH(ROWS($U$2:U661),$U$2:$U$1001,0),1)&gt;=100000,INDEX($AB$1005:$AQ$1005,1,MATCH(COLUMNS($AB$1006:AE1006),$AB$1006:$AQ$1006,0))&gt;=100000), " ",IF(INDEX($AB$2:$AQ$1001,MATCH(ROWS($U$2:U661),$U$2:$U$1001,0),MATCH(COLUMNS($AB$1006:AE1006),$AB$1006:$AQ$1006,0)), HYPERLINK("#",""), HYPERLINK(CONCATENATE("#metadata!", ADDRESS(INDEX($W$2:$W$1001,MATCH(ROWS($U$2:U661),$U$2:$U$1001,0),0), INDEX($AB$1004:$AQ$1004,1,MATCH(COLUMNS($AB$1006:AE1006),$AB$1006:$AQ$1006,0)))),"Fix")))</f>
        <v>0</v>
      </c>
      <c r="F661" s="4">
        <f>IF(OR(INDEX($V$2:$V$1001,MATCH(ROWS($U$2:U661),$U$2:$U$1001,0),1)&gt;=100000,INDEX($AB$1005:$AQ$1005,1,MATCH(COLUMNS($AB$1006:AF1006),$AB$1006:$AQ$1006,0))&gt;=100000), " ",IF(INDEX($AB$2:$AQ$1001,MATCH(ROWS($U$2:U661),$U$2:$U$1001,0),MATCH(COLUMNS($AB$1006:AF1006),$AB$1006:$AQ$1006,0)), HYPERLINK("#",""), HYPERLINK(CONCATENATE("#metadata!", ADDRESS(INDEX($W$2:$W$1001,MATCH(ROWS($U$2:U661),$U$2:$U$1001,0),0), INDEX($AB$1004:$AQ$1004,1,MATCH(COLUMNS($AB$1006:AF1006),$AB$1006:$AQ$1006,0)))),"Fix")))</f>
        <v>0</v>
      </c>
      <c r="G661" s="4">
        <f>IF(OR(INDEX($V$2:$V$1001,MATCH(ROWS($U$2:U661),$U$2:$U$1001,0),1)&gt;=100000,INDEX($AB$1005:$AQ$1005,1,MATCH(COLUMNS($AB$1006:AG1006),$AB$1006:$AQ$1006,0))&gt;=100000), " ",IF(INDEX($AB$2:$AQ$1001,MATCH(ROWS($U$2:U661),$U$2:$U$1001,0),MATCH(COLUMNS($AB$1006:AG1006),$AB$1006:$AQ$1006,0)), HYPERLINK("#",""), HYPERLINK(CONCATENATE("#metadata!", ADDRESS(INDEX($W$2:$W$1001,MATCH(ROWS($U$2:U661),$U$2:$U$1001,0),0), INDEX($AB$1004:$AQ$1004,1,MATCH(COLUMNS($AB$1006:AG1006),$AB$1006:$AQ$1006,0)))),"Fix")))</f>
        <v>0</v>
      </c>
      <c r="H661" s="4">
        <f>IF(OR(INDEX($V$2:$V$1001,MATCH(ROWS($U$2:U661),$U$2:$U$1001,0),1)&gt;=100000,INDEX($AB$1005:$AQ$1005,1,MATCH(COLUMNS($AB$1006:AH1006),$AB$1006:$AQ$1006,0))&gt;=100000), " ",IF(INDEX($AB$2:$AQ$1001,MATCH(ROWS($U$2:U661),$U$2:$U$1001,0),MATCH(COLUMNS($AB$1006:AH1006),$AB$1006:$AQ$1006,0)), HYPERLINK("#",""), HYPERLINK(CONCATENATE("#metadata!", ADDRESS(INDEX($W$2:$W$1001,MATCH(ROWS($U$2:U661),$U$2:$U$1001,0),0), INDEX($AB$1004:$AQ$1004,1,MATCH(COLUMNS($AB$1006:AH1006),$AB$1006:$AQ$1006,0)))),"Fix")))</f>
        <v>0</v>
      </c>
      <c r="I661" s="4">
        <f>IF(OR(INDEX($V$2:$V$1001,MATCH(ROWS($U$2:U661),$U$2:$U$1001,0),1)&gt;=100000,INDEX($AB$1005:$AQ$1005,1,MATCH(COLUMNS($AB$1006:AI1006),$AB$1006:$AQ$1006,0))&gt;=100000), " ",IF(INDEX($AB$2:$AQ$1001,MATCH(ROWS($U$2:U661),$U$2:$U$1001,0),MATCH(COLUMNS($AB$1006:AI1006),$AB$1006:$AQ$1006,0)), HYPERLINK("#",""), HYPERLINK(CONCATENATE("#metadata!", ADDRESS(INDEX($W$2:$W$1001,MATCH(ROWS($U$2:U661),$U$2:$U$1001,0),0), INDEX($AB$1004:$AQ$1004,1,MATCH(COLUMNS($AB$1006:AI1006),$AB$1006:$AQ$1006,0)))),"Fix")))</f>
        <v>0</v>
      </c>
      <c r="J661" s="4">
        <f>IF(OR(INDEX($V$2:$V$1001,MATCH(ROWS($U$2:U661),$U$2:$U$1001,0),1)&gt;=100000,INDEX($AB$1005:$AQ$1005,1,MATCH(COLUMNS($AB$1006:AJ1006),$AB$1006:$AQ$1006,0))&gt;=100000), " ",IF(INDEX($AB$2:$AQ$1001,MATCH(ROWS($U$2:U661),$U$2:$U$1001,0),MATCH(COLUMNS($AB$1006:AJ1006),$AB$1006:$AQ$1006,0)), HYPERLINK("#",""), HYPERLINK(CONCATENATE("#metadata!", ADDRESS(INDEX($W$2:$W$1001,MATCH(ROWS($U$2:U661),$U$2:$U$1001,0),0), INDEX($AB$1004:$AQ$1004,1,MATCH(COLUMNS($AB$1006:AJ1006),$AB$1006:$AQ$1006,0)))),"Fix")))</f>
        <v>0</v>
      </c>
      <c r="K661" s="4">
        <f>IF(OR(INDEX($V$2:$V$1001,MATCH(ROWS($U$2:U661),$U$2:$U$1001,0),1)&gt;=100000,INDEX($AB$1005:$AQ$1005,1,MATCH(COLUMNS($AB$1006:AK1006),$AB$1006:$AQ$1006,0))&gt;=100000), " ",IF(INDEX($AB$2:$AQ$1001,MATCH(ROWS($U$2:U661),$U$2:$U$1001,0),MATCH(COLUMNS($AB$1006:AK1006),$AB$1006:$AQ$1006,0)), HYPERLINK("#",""), HYPERLINK(CONCATENATE("#metadata!", ADDRESS(INDEX($W$2:$W$1001,MATCH(ROWS($U$2:U661),$U$2:$U$1001,0),0), INDEX($AB$1004:$AQ$1004,1,MATCH(COLUMNS($AB$1006:AK1006),$AB$1006:$AQ$1006,0)))),"Fix")))</f>
        <v>0</v>
      </c>
      <c r="L661" s="4">
        <f>IF(OR(INDEX($V$2:$V$1001,MATCH(ROWS($U$2:U661),$U$2:$U$1001,0),1)&gt;=100000,INDEX($AB$1005:$AQ$1005,1,MATCH(COLUMNS($AB$1006:AL1006),$AB$1006:$AQ$1006,0))&gt;=100000), " ",IF(INDEX($AB$2:$AQ$1001,MATCH(ROWS($U$2:U661),$U$2:$U$1001,0),MATCH(COLUMNS($AB$1006:AL1006),$AB$1006:$AQ$1006,0)), HYPERLINK("#",""), HYPERLINK(CONCATENATE("#metadata!", ADDRESS(INDEX($W$2:$W$1001,MATCH(ROWS($U$2:U661),$U$2:$U$1001,0),0), INDEX($AB$1004:$AQ$1004,1,MATCH(COLUMNS($AB$1006:AL1006),$AB$1006:$AQ$1006,0)))),"Fix")))</f>
        <v>0</v>
      </c>
      <c r="M661" s="4">
        <f>IF(OR(INDEX($V$2:$V$1001,MATCH(ROWS($U$2:U661),$U$2:$U$1001,0),1)&gt;=100000,INDEX($AB$1005:$AQ$1005,1,MATCH(COLUMNS($AB$1006:AM1006),$AB$1006:$AQ$1006,0))&gt;=100000), " ",IF(INDEX($AB$2:$AQ$1001,MATCH(ROWS($U$2:U661),$U$2:$U$1001,0),MATCH(COLUMNS($AB$1006:AM1006),$AB$1006:$AQ$1006,0)), HYPERLINK("#",""), HYPERLINK(CONCATENATE("#metadata!", ADDRESS(INDEX($W$2:$W$1001,MATCH(ROWS($U$2:U661),$U$2:$U$1001,0),0), INDEX($AB$1004:$AQ$1004,1,MATCH(COLUMNS($AB$1006:AM1006),$AB$1006:$AQ$1006,0)))),"Fix")))</f>
        <v>0</v>
      </c>
      <c r="N661" s="4">
        <f>IF(OR(INDEX($V$2:$V$1001,MATCH(ROWS($U$2:U661),$U$2:$U$1001,0),1)&gt;=100000,INDEX($AB$1005:$AQ$1005,1,MATCH(COLUMNS($AB$1006:AN1006),$AB$1006:$AQ$1006,0))&gt;=100000), " ",IF(INDEX($AB$2:$AQ$1001,MATCH(ROWS($U$2:U661),$U$2:$U$1001,0),MATCH(COLUMNS($AB$1006:AN1006),$AB$1006:$AQ$1006,0)), HYPERLINK("#",""), HYPERLINK(CONCATENATE("#metadata!", ADDRESS(INDEX($W$2:$W$1001,MATCH(ROWS($U$2:U661),$U$2:$U$1001,0),0), INDEX($AB$1004:$AQ$1004,1,MATCH(COLUMNS($AB$1006:AN1006),$AB$1006:$AQ$1006,0)))),"Fix")))</f>
        <v>0</v>
      </c>
      <c r="O661" s="4">
        <f>IF(OR(INDEX($V$2:$V$1001,MATCH(ROWS($U$2:U661),$U$2:$U$1001,0),1)&gt;=100000,INDEX($AB$1005:$AQ$1005,1,MATCH(COLUMNS($AB$1006:AO1006),$AB$1006:$AQ$1006,0))&gt;=100000), " ",IF(INDEX($AB$2:$AQ$1001,MATCH(ROWS($U$2:U661),$U$2:$U$1001,0),MATCH(COLUMNS($AB$1006:AO1006),$AB$1006:$AQ$1006,0)), HYPERLINK("#",""), HYPERLINK(CONCATENATE("#metadata!", ADDRESS(INDEX($W$2:$W$1001,MATCH(ROWS($U$2:U661),$U$2:$U$1001,0),0), INDEX($AB$1004:$AQ$1004,1,MATCH(COLUMNS($AB$1006:AO1006),$AB$1006:$AQ$1006,0)))),"Fix")))</f>
        <v>0</v>
      </c>
      <c r="P661" s="4">
        <f>IF(OR(INDEX($V$2:$V$1001,MATCH(ROWS($U$2:U661),$U$2:$U$1001,0),1)&gt;=100000,INDEX($AB$1005:$AQ$1005,1,MATCH(COLUMNS($AB$1006:AP1006),$AB$1006:$AQ$1006,0))&gt;=100000), " ",IF(INDEX($AB$2:$AQ$1001,MATCH(ROWS($U$2:U661),$U$2:$U$1001,0),MATCH(COLUMNS($AB$1006:AP1006),$AB$1006:$AQ$1006,0)), HYPERLINK("#",""), HYPERLINK(CONCATENATE("#metadata!", ADDRESS(INDEX($W$2:$W$1001,MATCH(ROWS($U$2:U661),$U$2:$U$1001,0),0), INDEX($AB$1004:$AQ$1004,1,MATCH(COLUMNS($AB$1006:AP1006),$AB$1006:$AQ$1006,0)))),"Fix")))</f>
        <v>0</v>
      </c>
      <c r="Q661" s="4">
        <f>IF(OR(INDEX($V$2:$V$1001,MATCH(ROWS($U$2:U661),$U$2:$U$1001,0),1)&gt;=100000,INDEX($AB$1005:$AQ$1005,1,MATCH(COLUMNS($AB$1006:AQ1006),$AB$1006:$AQ$1006,0))&gt;=100000), " ",IF(INDEX($AB$2:$AQ$1001,MATCH(ROWS($U$2:U661),$U$2:$U$1001,0),MATCH(COLUMNS($AB$1006:AQ1006),$AB$1006:$AQ$1006,0)), HYPERLINK("#",""), HYPERLINK(CONCATENATE("#metadata!", ADDRESS(INDEX($W$2:$W$1001,MATCH(ROWS($U$2:U661),$U$2:$U$1001,0),0), INDEX($AB$1004:$AQ$1004,1,MATCH(COLUMNS($AB$1006:AQ1006),$AB$1006:$AQ$1006,0)))),"Fix")))</f>
        <v>0</v>
      </c>
      <c r="U661">
        <v>0</v>
      </c>
      <c r="V661">
        <v>0</v>
      </c>
      <c r="W661">
        <v>0</v>
      </c>
      <c r="X661">
        <f>IF(Y661,TRUE,AND(AB661:AQ661))</f>
        <v>0</v>
      </c>
      <c r="Y661">
        <f>COUNTBLANK(metadata!B661:Q661)=COLUMNS(metadata!B661:Q661)</f>
        <v>0</v>
      </c>
      <c r="Z661">
        <v>0</v>
      </c>
      <c r="AB661">
        <f>AND(IF(metadata!B661="",FALSE,TRUE),COUNTIF(metadata!B:B, metadata!B661) = 1,NOT(ISERROR(SUMPRODUCT(SEARCH(MID(metadata!B661,ROW(INDIRECT("1:"&amp;LEN(metadata!B661))), 1),"0123456789abcdefghijklmnopqrstuvwxyzABCDEFGHIJKLMNOPQRSTUVWXYZ.")))))</f>
        <v>0</v>
      </c>
      <c r="AC661">
        <f>OR(AND(IF(metadata!C661="",FALSE,TRUE),OR(exact(metadata!C661,"missing: not collected"),exact(metadata!C661,"missing: not provided"),exact(metadata!C661,"missing: restricted access"))),AND(IF(metadata!C661="",FALSE,TRUE),AND(AND(IFERROR(INT(LEFT(metadata!C661,4))&gt;1900,FALSE),IFERROR(INT(LEFT(metadata!C661,4))&lt;=YEAR(NOW()),FALSE)), OR(MID(metadata!C661,5,1)="", AND(AND(MID(metadata!C661,5,1)="-",IFERROR(INT(MID(metadata!C661,6,1))&gt;=0,FALSE),IFERROR(INT(MID(metadata!C661,6,1))&lt;=1,FALSE),NOT(MID(metadata!C661,7,1)=""),IFERROR(INT(MID(metadata!C661,6,2))&gt;=1,FALSE),IFERROR(INT(MID(metadata!C661,6,2))&lt;=12,FALSE)), OR(MID(metadata!C661,8,1)="", AND(AND(MID(metadata!C661,8,1)="-",IFERROR(INT(MID(metadata!C661,9,1))&gt;=0,FALSE),IFERROR(INT(MID(metadata!C661,9,1))&lt;=3,FALSE),NOT(MID(metadata!C661,10,1)=""),IFERROR(INT(MID(metadata!C661,9,2))&gt;=1,FALSE),IFERROR(INT(MID(metadata!C661,9,2))&lt;=31,FALSE)), OR(MID(metadata!C661,11,1)="", AND(AND(MID(metadata!C661,11,1)=" ",IFERROR(INT(MID(metadata!C661,12,1))&gt;=0,FALSE),IFERROR(INT(MID(metadata!C661,12,1))&lt;=2,FALSE),NOT(MID(metadata!C661,13,1)=""),IFERROR(INT(MID(metadata!C661,12,2))&gt;=0,FALSE),IFERROR(INT(MID(metadata!C661,12,2))&lt;=23,FALSE)), OR(MID(metadata!C661,14,1)="", AND(AND(MID(metadata!C661,14,1)=":",IFERROR(INT(MID(metadata!C661,15,1))&gt;=0,FALSE),IFERROR(INT(MID(metadata!C661,15,1))&lt;=5,FALSE),NOT(MID(metadata!C661,16,1)=""),IFERROR(INT(MID(metadata!C661,15,2))&gt;=0,FALSE),IFERROR(INT(MID(metadata!C661,15,2))&lt;=59,FALSE)), OR(MID(metadata!C661,17,1)="", AND(AND(MID(metadata!C661,17,1)=":",IFERROR(INT(MID(metadata!C661,18,1))&gt;=0,FALSE),IFERROR(INT(MID(metadata!C661,18,1))&lt;=5,FALSE),NOT(MID(metadata!C661,19,1)=""),IFERROR(INT(MID(metadata!C661,18,2))&gt;=0,FALSE),IFERROR(INT(MID(metadata!C661,18,2))&lt;=59,FALSE)), LEN(metadata!C661)&lt;=19)))))))))))))</f>
        <v>0</v>
      </c>
      <c r="AD661">
        <f>IF(metadata!D661="",FALSE,TRUE)</f>
        <v>0</v>
      </c>
      <c r="AE661">
        <f>OR(AND(IF(metadata!E661="",FALSE,TRUE),OR(exact(metadata!E661,"missing: not collected"),exact(metadata!E661,"missing: not provided"))),AND(IF(metadata!E661="",FALSE,TRUE),OR(exact(metadata!E661,"TRUE"),exact(metadata!E661,"FALSE"))))</f>
        <v>0</v>
      </c>
      <c r="AF661">
        <f>IF(metadata!F661="",FALSE,TRUE)</f>
        <v>0</v>
      </c>
      <c r="AG661">
        <f>IF(metadata!G661="",FALSE,TRUE)</f>
        <v>0</v>
      </c>
      <c r="AH661">
        <f>IF(metadata!H661="",FALSE,TRUE)</f>
        <v>0</v>
      </c>
      <c r="AI661">
        <f>OR(AND(IF(metadata!I661="",FALSE,TRUE),OR(exact(metadata!I661,"missing: not collected"),exact(metadata!I661,"missing: not provided"),exact(metadata!I661,"missing: restricted access"))),AND(IF(metadata!I661="",FALSE,TRUE),OR(exact(metadata!I661,"air"),exact(metadata!I661,"built environment"),exact(metadata!I661,"host-associated"),exact(metadata!I661,"human-associated"),exact(metadata!I661,"human-skin"),exact(metadata!I661,"human-oral"),exact(metadata!I661,"human-gut"),exact(metadata!I661,"human-vaginal"),exact(metadata!I661,"microbial mat/biofilm"),exact(metadata!I661,"misc environment"),exact(metadata!I661,"plant-associated"),exact(metadata!I661,"sediment"),exact(metadata!I661,"soil"),exact(metadata!I661,"wastewater/sludge"),exact(metadata!I661,"water"))))</f>
        <v>0</v>
      </c>
      <c r="AJ661">
        <f>IF(metadata!J661="",FALSE,TRUE)</f>
        <v>0</v>
      </c>
      <c r="AK661">
        <f>OR(AND(IF(metadata!K661="",FALSE,TRUE),OR(exact(metadata!K661,"missing: not collected"),exact(metadata!K661,"missing: not provided"),exact(metadata!K661,"missing: restricted access"))),AND(IF(metadata!K661="",FALSE,ISNUMBER(VALUE(metadata!K661))),metadata!K661&gt;=-90.00,metadata!K661&lt;=90.00))</f>
        <v>0</v>
      </c>
      <c r="AL661">
        <f>OR(AND(IF(metadata!L661="",FALSE,TRUE),OR(exact(metadata!L661,"missing: not collected"),exact(metadata!L661,"missing: not provided"),exact(metadata!L661,"missing: restricted access"))),AND(IF(metadata!L661="",FALSE,ISNUMBER(VALUE(metadata!L661))),metadata!L661&gt;=-180.00,metadata!L661&lt;=180.00))</f>
        <v>0</v>
      </c>
      <c r="AM661">
        <f>IF(metadata!M661="",FALSE,TRUE)</f>
        <v>0</v>
      </c>
      <c r="AN661">
        <f>OR(AND(IF(metadata!N661="",FALSE,TRUE),OR(exact(metadata!N661,"missing: not collected"),exact(metadata!N661,"missing: not provided"),exact(metadata!N661,"missing: restricted access"))),AND(IF(metadata!N661="",FALSE,TRUE),OR(exact(metadata!N661,"TRUE"),exact(metadata!N661,"FALSE"))))</f>
        <v>0</v>
      </c>
      <c r="AO661">
        <f>IF(metadata!O661="",FALSE,TRUE)</f>
        <v>0</v>
      </c>
      <c r="AP661">
        <f>OR(AND(IF(metadata!P661="",FALSE,TRUE),OR(exact(metadata!P661,"missing: not collected"),exact(metadata!P661,"missing: not provided"))),AND(IF(metadata!P661="",FALSE,IF(ISERROR(INT(metadata!P661)),FALSE,INT(metadata!P661)=metadata!P661)),metadata!P661&gt;0))</f>
        <v>0</v>
      </c>
      <c r="AQ661">
        <f>IF(metadata!Q661="",FALSE,TRUE)</f>
        <v>0</v>
      </c>
    </row>
    <row r="662" spans="1:43">
      <c r="A662" s="5">
        <f>IF(B662=" "," ",HYPERLINK(CONCATENATE("#metadata!",ADDRESS(INDEX($W$2:$W$1001,MATCH(ROWS($U$2:U662),$U$2:$U$1001,0),0),1)),INDEX($Z$2:$Z$1001,MATCH(ROWS($U$2:U662),$U$2:$U$1001,0),0)))</f>
        <v>0</v>
      </c>
      <c r="B662" s="4">
        <f>IF(OR(INDEX($V$2:$V$1001,MATCH(ROWS($U$2:U662),$U$2:$U$1001,0),1)&gt;=100000,INDEX($AB$1005:$AQ$1005,1,MATCH(COLUMNS($AB$1006:AB1006),$AB$1006:$AQ$1006,0))&gt;=100000), " ",IF(INDEX($AB$2:$AQ$1001,MATCH(ROWS($U$2:U662),$U$2:$U$1001,0),MATCH(COLUMNS($AB$1006:AB1006),$AB$1006:$AQ$1006,0)), HYPERLINK("#",""), HYPERLINK(CONCATENATE("#metadata!", ADDRESS(INDEX($W$2:$W$1001,MATCH(ROWS($U$2:U662),$U$2:$U$1001,0),0), INDEX($AB$1004:$AQ$1004,1,MATCH(COLUMNS($AB$1006:AB1006),$AB$1006:$AQ$1006,0)))),"Fix")))</f>
        <v>0</v>
      </c>
      <c r="C662" s="4">
        <f>IF(OR(INDEX($V$2:$V$1001,MATCH(ROWS($U$2:U662),$U$2:$U$1001,0),1)&gt;=100000,INDEX($AB$1005:$AQ$1005,1,MATCH(COLUMNS($AB$1006:AC1006),$AB$1006:$AQ$1006,0))&gt;=100000), " ",IF(INDEX($AB$2:$AQ$1001,MATCH(ROWS($U$2:U662),$U$2:$U$1001,0),MATCH(COLUMNS($AB$1006:AC1006),$AB$1006:$AQ$1006,0)), HYPERLINK("#",""), HYPERLINK(CONCATENATE("#metadata!", ADDRESS(INDEX($W$2:$W$1001,MATCH(ROWS($U$2:U662),$U$2:$U$1001,0),0), INDEX($AB$1004:$AQ$1004,1,MATCH(COLUMNS($AB$1006:AC1006),$AB$1006:$AQ$1006,0)))),"Fix")))</f>
        <v>0</v>
      </c>
      <c r="D662" s="4">
        <f>IF(OR(INDEX($V$2:$V$1001,MATCH(ROWS($U$2:U662),$U$2:$U$1001,0),1)&gt;=100000,INDEX($AB$1005:$AQ$1005,1,MATCH(COLUMNS($AB$1006:AD1006),$AB$1006:$AQ$1006,0))&gt;=100000), " ",IF(INDEX($AB$2:$AQ$1001,MATCH(ROWS($U$2:U662),$U$2:$U$1001,0),MATCH(COLUMNS($AB$1006:AD1006),$AB$1006:$AQ$1006,0)), HYPERLINK("#",""), HYPERLINK(CONCATENATE("#metadata!", ADDRESS(INDEX($W$2:$W$1001,MATCH(ROWS($U$2:U662),$U$2:$U$1001,0),0), INDEX($AB$1004:$AQ$1004,1,MATCH(COLUMNS($AB$1006:AD1006),$AB$1006:$AQ$1006,0)))),"Fix")))</f>
        <v>0</v>
      </c>
      <c r="E662" s="4">
        <f>IF(OR(INDEX($V$2:$V$1001,MATCH(ROWS($U$2:U662),$U$2:$U$1001,0),1)&gt;=100000,INDEX($AB$1005:$AQ$1005,1,MATCH(COLUMNS($AB$1006:AE1006),$AB$1006:$AQ$1006,0))&gt;=100000), " ",IF(INDEX($AB$2:$AQ$1001,MATCH(ROWS($U$2:U662),$U$2:$U$1001,0),MATCH(COLUMNS($AB$1006:AE1006),$AB$1006:$AQ$1006,0)), HYPERLINK("#",""), HYPERLINK(CONCATENATE("#metadata!", ADDRESS(INDEX($W$2:$W$1001,MATCH(ROWS($U$2:U662),$U$2:$U$1001,0),0), INDEX($AB$1004:$AQ$1004,1,MATCH(COLUMNS($AB$1006:AE1006),$AB$1006:$AQ$1006,0)))),"Fix")))</f>
        <v>0</v>
      </c>
      <c r="F662" s="4">
        <f>IF(OR(INDEX($V$2:$V$1001,MATCH(ROWS($U$2:U662),$U$2:$U$1001,0),1)&gt;=100000,INDEX($AB$1005:$AQ$1005,1,MATCH(COLUMNS($AB$1006:AF1006),$AB$1006:$AQ$1006,0))&gt;=100000), " ",IF(INDEX($AB$2:$AQ$1001,MATCH(ROWS($U$2:U662),$U$2:$U$1001,0),MATCH(COLUMNS($AB$1006:AF1006),$AB$1006:$AQ$1006,0)), HYPERLINK("#",""), HYPERLINK(CONCATENATE("#metadata!", ADDRESS(INDEX($W$2:$W$1001,MATCH(ROWS($U$2:U662),$U$2:$U$1001,0),0), INDEX($AB$1004:$AQ$1004,1,MATCH(COLUMNS($AB$1006:AF1006),$AB$1006:$AQ$1006,0)))),"Fix")))</f>
        <v>0</v>
      </c>
      <c r="G662" s="4">
        <f>IF(OR(INDEX($V$2:$V$1001,MATCH(ROWS($U$2:U662),$U$2:$U$1001,0),1)&gt;=100000,INDEX($AB$1005:$AQ$1005,1,MATCH(COLUMNS($AB$1006:AG1006),$AB$1006:$AQ$1006,0))&gt;=100000), " ",IF(INDEX($AB$2:$AQ$1001,MATCH(ROWS($U$2:U662),$U$2:$U$1001,0),MATCH(COLUMNS($AB$1006:AG1006),$AB$1006:$AQ$1006,0)), HYPERLINK("#",""), HYPERLINK(CONCATENATE("#metadata!", ADDRESS(INDEX($W$2:$W$1001,MATCH(ROWS($U$2:U662),$U$2:$U$1001,0),0), INDEX($AB$1004:$AQ$1004,1,MATCH(COLUMNS($AB$1006:AG1006),$AB$1006:$AQ$1006,0)))),"Fix")))</f>
        <v>0</v>
      </c>
      <c r="H662" s="4">
        <f>IF(OR(INDEX($V$2:$V$1001,MATCH(ROWS($U$2:U662),$U$2:$U$1001,0),1)&gt;=100000,INDEX($AB$1005:$AQ$1005,1,MATCH(COLUMNS($AB$1006:AH1006),$AB$1006:$AQ$1006,0))&gt;=100000), " ",IF(INDEX($AB$2:$AQ$1001,MATCH(ROWS($U$2:U662),$U$2:$U$1001,0),MATCH(COLUMNS($AB$1006:AH1006),$AB$1006:$AQ$1006,0)), HYPERLINK("#",""), HYPERLINK(CONCATENATE("#metadata!", ADDRESS(INDEX($W$2:$W$1001,MATCH(ROWS($U$2:U662),$U$2:$U$1001,0),0), INDEX($AB$1004:$AQ$1004,1,MATCH(COLUMNS($AB$1006:AH1006),$AB$1006:$AQ$1006,0)))),"Fix")))</f>
        <v>0</v>
      </c>
      <c r="I662" s="4">
        <f>IF(OR(INDEX($V$2:$V$1001,MATCH(ROWS($U$2:U662),$U$2:$U$1001,0),1)&gt;=100000,INDEX($AB$1005:$AQ$1005,1,MATCH(COLUMNS($AB$1006:AI1006),$AB$1006:$AQ$1006,0))&gt;=100000), " ",IF(INDEX($AB$2:$AQ$1001,MATCH(ROWS($U$2:U662),$U$2:$U$1001,0),MATCH(COLUMNS($AB$1006:AI1006),$AB$1006:$AQ$1006,0)), HYPERLINK("#",""), HYPERLINK(CONCATENATE("#metadata!", ADDRESS(INDEX($W$2:$W$1001,MATCH(ROWS($U$2:U662),$U$2:$U$1001,0),0), INDEX($AB$1004:$AQ$1004,1,MATCH(COLUMNS($AB$1006:AI1006),$AB$1006:$AQ$1006,0)))),"Fix")))</f>
        <v>0</v>
      </c>
      <c r="J662" s="4">
        <f>IF(OR(INDEX($V$2:$V$1001,MATCH(ROWS($U$2:U662),$U$2:$U$1001,0),1)&gt;=100000,INDEX($AB$1005:$AQ$1005,1,MATCH(COLUMNS($AB$1006:AJ1006),$AB$1006:$AQ$1006,0))&gt;=100000), " ",IF(INDEX($AB$2:$AQ$1001,MATCH(ROWS($U$2:U662),$U$2:$U$1001,0),MATCH(COLUMNS($AB$1006:AJ1006),$AB$1006:$AQ$1006,0)), HYPERLINK("#",""), HYPERLINK(CONCATENATE("#metadata!", ADDRESS(INDEX($W$2:$W$1001,MATCH(ROWS($U$2:U662),$U$2:$U$1001,0),0), INDEX($AB$1004:$AQ$1004,1,MATCH(COLUMNS($AB$1006:AJ1006),$AB$1006:$AQ$1006,0)))),"Fix")))</f>
        <v>0</v>
      </c>
      <c r="K662" s="4">
        <f>IF(OR(INDEX($V$2:$V$1001,MATCH(ROWS($U$2:U662),$U$2:$U$1001,0),1)&gt;=100000,INDEX($AB$1005:$AQ$1005,1,MATCH(COLUMNS($AB$1006:AK1006),$AB$1006:$AQ$1006,0))&gt;=100000), " ",IF(INDEX($AB$2:$AQ$1001,MATCH(ROWS($U$2:U662),$U$2:$U$1001,0),MATCH(COLUMNS($AB$1006:AK1006),$AB$1006:$AQ$1006,0)), HYPERLINK("#",""), HYPERLINK(CONCATENATE("#metadata!", ADDRESS(INDEX($W$2:$W$1001,MATCH(ROWS($U$2:U662),$U$2:$U$1001,0),0), INDEX($AB$1004:$AQ$1004,1,MATCH(COLUMNS($AB$1006:AK1006),$AB$1006:$AQ$1006,0)))),"Fix")))</f>
        <v>0</v>
      </c>
      <c r="L662" s="4">
        <f>IF(OR(INDEX($V$2:$V$1001,MATCH(ROWS($U$2:U662),$U$2:$U$1001,0),1)&gt;=100000,INDEX($AB$1005:$AQ$1005,1,MATCH(COLUMNS($AB$1006:AL1006),$AB$1006:$AQ$1006,0))&gt;=100000), " ",IF(INDEX($AB$2:$AQ$1001,MATCH(ROWS($U$2:U662),$U$2:$U$1001,0),MATCH(COLUMNS($AB$1006:AL1006),$AB$1006:$AQ$1006,0)), HYPERLINK("#",""), HYPERLINK(CONCATENATE("#metadata!", ADDRESS(INDEX($W$2:$W$1001,MATCH(ROWS($U$2:U662),$U$2:$U$1001,0),0), INDEX($AB$1004:$AQ$1004,1,MATCH(COLUMNS($AB$1006:AL1006),$AB$1006:$AQ$1006,0)))),"Fix")))</f>
        <v>0</v>
      </c>
      <c r="M662" s="4">
        <f>IF(OR(INDEX($V$2:$V$1001,MATCH(ROWS($U$2:U662),$U$2:$U$1001,0),1)&gt;=100000,INDEX($AB$1005:$AQ$1005,1,MATCH(COLUMNS($AB$1006:AM1006),$AB$1006:$AQ$1006,0))&gt;=100000), " ",IF(INDEX($AB$2:$AQ$1001,MATCH(ROWS($U$2:U662),$U$2:$U$1001,0),MATCH(COLUMNS($AB$1006:AM1006),$AB$1006:$AQ$1006,0)), HYPERLINK("#",""), HYPERLINK(CONCATENATE("#metadata!", ADDRESS(INDEX($W$2:$W$1001,MATCH(ROWS($U$2:U662),$U$2:$U$1001,0),0), INDEX($AB$1004:$AQ$1004,1,MATCH(COLUMNS($AB$1006:AM1006),$AB$1006:$AQ$1006,0)))),"Fix")))</f>
        <v>0</v>
      </c>
      <c r="N662" s="4">
        <f>IF(OR(INDEX($V$2:$V$1001,MATCH(ROWS($U$2:U662),$U$2:$U$1001,0),1)&gt;=100000,INDEX($AB$1005:$AQ$1005,1,MATCH(COLUMNS($AB$1006:AN1006),$AB$1006:$AQ$1006,0))&gt;=100000), " ",IF(INDEX($AB$2:$AQ$1001,MATCH(ROWS($U$2:U662),$U$2:$U$1001,0),MATCH(COLUMNS($AB$1006:AN1006),$AB$1006:$AQ$1006,0)), HYPERLINK("#",""), HYPERLINK(CONCATENATE("#metadata!", ADDRESS(INDEX($W$2:$W$1001,MATCH(ROWS($U$2:U662),$U$2:$U$1001,0),0), INDEX($AB$1004:$AQ$1004,1,MATCH(COLUMNS($AB$1006:AN1006),$AB$1006:$AQ$1006,0)))),"Fix")))</f>
        <v>0</v>
      </c>
      <c r="O662" s="4">
        <f>IF(OR(INDEX($V$2:$V$1001,MATCH(ROWS($U$2:U662),$U$2:$U$1001,0),1)&gt;=100000,INDEX($AB$1005:$AQ$1005,1,MATCH(COLUMNS($AB$1006:AO1006),$AB$1006:$AQ$1006,0))&gt;=100000), " ",IF(INDEX($AB$2:$AQ$1001,MATCH(ROWS($U$2:U662),$U$2:$U$1001,0),MATCH(COLUMNS($AB$1006:AO1006),$AB$1006:$AQ$1006,0)), HYPERLINK("#",""), HYPERLINK(CONCATENATE("#metadata!", ADDRESS(INDEX($W$2:$W$1001,MATCH(ROWS($U$2:U662),$U$2:$U$1001,0),0), INDEX($AB$1004:$AQ$1004,1,MATCH(COLUMNS($AB$1006:AO1006),$AB$1006:$AQ$1006,0)))),"Fix")))</f>
        <v>0</v>
      </c>
      <c r="P662" s="4">
        <f>IF(OR(INDEX($V$2:$V$1001,MATCH(ROWS($U$2:U662),$U$2:$U$1001,0),1)&gt;=100000,INDEX($AB$1005:$AQ$1005,1,MATCH(COLUMNS($AB$1006:AP1006),$AB$1006:$AQ$1006,0))&gt;=100000), " ",IF(INDEX($AB$2:$AQ$1001,MATCH(ROWS($U$2:U662),$U$2:$U$1001,0),MATCH(COLUMNS($AB$1006:AP1006),$AB$1006:$AQ$1006,0)), HYPERLINK("#",""), HYPERLINK(CONCATENATE("#metadata!", ADDRESS(INDEX($W$2:$W$1001,MATCH(ROWS($U$2:U662),$U$2:$U$1001,0),0), INDEX($AB$1004:$AQ$1004,1,MATCH(COLUMNS($AB$1006:AP1006),$AB$1006:$AQ$1006,0)))),"Fix")))</f>
        <v>0</v>
      </c>
      <c r="Q662" s="4">
        <f>IF(OR(INDEX($V$2:$V$1001,MATCH(ROWS($U$2:U662),$U$2:$U$1001,0),1)&gt;=100000,INDEX($AB$1005:$AQ$1005,1,MATCH(COLUMNS($AB$1006:AQ1006),$AB$1006:$AQ$1006,0))&gt;=100000), " ",IF(INDEX($AB$2:$AQ$1001,MATCH(ROWS($U$2:U662),$U$2:$U$1001,0),MATCH(COLUMNS($AB$1006:AQ1006),$AB$1006:$AQ$1006,0)), HYPERLINK("#",""), HYPERLINK(CONCATENATE("#metadata!", ADDRESS(INDEX($W$2:$W$1001,MATCH(ROWS($U$2:U662),$U$2:$U$1001,0),0), INDEX($AB$1004:$AQ$1004,1,MATCH(COLUMNS($AB$1006:AQ1006),$AB$1006:$AQ$1006,0)))),"Fix")))</f>
        <v>0</v>
      </c>
      <c r="U662">
        <v>0</v>
      </c>
      <c r="V662">
        <v>0</v>
      </c>
      <c r="W662">
        <v>0</v>
      </c>
      <c r="X662">
        <f>IF(Y662,TRUE,AND(AB662:AQ662))</f>
        <v>0</v>
      </c>
      <c r="Y662">
        <f>COUNTBLANK(metadata!B662:Q662)=COLUMNS(metadata!B662:Q662)</f>
        <v>0</v>
      </c>
      <c r="Z662">
        <v>0</v>
      </c>
      <c r="AB662">
        <f>AND(IF(metadata!B662="",FALSE,TRUE),COUNTIF(metadata!B:B, metadata!B662) = 1,NOT(ISERROR(SUMPRODUCT(SEARCH(MID(metadata!B662,ROW(INDIRECT("1:"&amp;LEN(metadata!B662))), 1),"0123456789abcdefghijklmnopqrstuvwxyzABCDEFGHIJKLMNOPQRSTUVWXYZ.")))))</f>
        <v>0</v>
      </c>
      <c r="AC662">
        <f>OR(AND(IF(metadata!C662="",FALSE,TRUE),OR(exact(metadata!C662,"missing: not collected"),exact(metadata!C662,"missing: not provided"),exact(metadata!C662,"missing: restricted access"))),AND(IF(metadata!C662="",FALSE,TRUE),AND(AND(IFERROR(INT(LEFT(metadata!C662,4))&gt;1900,FALSE),IFERROR(INT(LEFT(metadata!C662,4))&lt;=YEAR(NOW()),FALSE)), OR(MID(metadata!C662,5,1)="", AND(AND(MID(metadata!C662,5,1)="-",IFERROR(INT(MID(metadata!C662,6,1))&gt;=0,FALSE),IFERROR(INT(MID(metadata!C662,6,1))&lt;=1,FALSE),NOT(MID(metadata!C662,7,1)=""),IFERROR(INT(MID(metadata!C662,6,2))&gt;=1,FALSE),IFERROR(INT(MID(metadata!C662,6,2))&lt;=12,FALSE)), OR(MID(metadata!C662,8,1)="", AND(AND(MID(metadata!C662,8,1)="-",IFERROR(INT(MID(metadata!C662,9,1))&gt;=0,FALSE),IFERROR(INT(MID(metadata!C662,9,1))&lt;=3,FALSE),NOT(MID(metadata!C662,10,1)=""),IFERROR(INT(MID(metadata!C662,9,2))&gt;=1,FALSE),IFERROR(INT(MID(metadata!C662,9,2))&lt;=31,FALSE)), OR(MID(metadata!C662,11,1)="", AND(AND(MID(metadata!C662,11,1)=" ",IFERROR(INT(MID(metadata!C662,12,1))&gt;=0,FALSE),IFERROR(INT(MID(metadata!C662,12,1))&lt;=2,FALSE),NOT(MID(metadata!C662,13,1)=""),IFERROR(INT(MID(metadata!C662,12,2))&gt;=0,FALSE),IFERROR(INT(MID(metadata!C662,12,2))&lt;=23,FALSE)), OR(MID(metadata!C662,14,1)="", AND(AND(MID(metadata!C662,14,1)=":",IFERROR(INT(MID(metadata!C662,15,1))&gt;=0,FALSE),IFERROR(INT(MID(metadata!C662,15,1))&lt;=5,FALSE),NOT(MID(metadata!C662,16,1)=""),IFERROR(INT(MID(metadata!C662,15,2))&gt;=0,FALSE),IFERROR(INT(MID(metadata!C662,15,2))&lt;=59,FALSE)), OR(MID(metadata!C662,17,1)="", AND(AND(MID(metadata!C662,17,1)=":",IFERROR(INT(MID(metadata!C662,18,1))&gt;=0,FALSE),IFERROR(INT(MID(metadata!C662,18,1))&lt;=5,FALSE),NOT(MID(metadata!C662,19,1)=""),IFERROR(INT(MID(metadata!C662,18,2))&gt;=0,FALSE),IFERROR(INT(MID(metadata!C662,18,2))&lt;=59,FALSE)), LEN(metadata!C662)&lt;=19)))))))))))))</f>
        <v>0</v>
      </c>
      <c r="AD662">
        <f>IF(metadata!D662="",FALSE,TRUE)</f>
        <v>0</v>
      </c>
      <c r="AE662">
        <f>OR(AND(IF(metadata!E662="",FALSE,TRUE),OR(exact(metadata!E662,"missing: not collected"),exact(metadata!E662,"missing: not provided"))),AND(IF(metadata!E662="",FALSE,TRUE),OR(exact(metadata!E662,"TRUE"),exact(metadata!E662,"FALSE"))))</f>
        <v>0</v>
      </c>
      <c r="AF662">
        <f>IF(metadata!F662="",FALSE,TRUE)</f>
        <v>0</v>
      </c>
      <c r="AG662">
        <f>IF(metadata!G662="",FALSE,TRUE)</f>
        <v>0</v>
      </c>
      <c r="AH662">
        <f>IF(metadata!H662="",FALSE,TRUE)</f>
        <v>0</v>
      </c>
      <c r="AI662">
        <f>OR(AND(IF(metadata!I662="",FALSE,TRUE),OR(exact(metadata!I662,"missing: not collected"),exact(metadata!I662,"missing: not provided"),exact(metadata!I662,"missing: restricted access"))),AND(IF(metadata!I662="",FALSE,TRUE),OR(exact(metadata!I662,"air"),exact(metadata!I662,"built environment"),exact(metadata!I662,"host-associated"),exact(metadata!I662,"human-associated"),exact(metadata!I662,"human-skin"),exact(metadata!I662,"human-oral"),exact(metadata!I662,"human-gut"),exact(metadata!I662,"human-vaginal"),exact(metadata!I662,"microbial mat/biofilm"),exact(metadata!I662,"misc environment"),exact(metadata!I662,"plant-associated"),exact(metadata!I662,"sediment"),exact(metadata!I662,"soil"),exact(metadata!I662,"wastewater/sludge"),exact(metadata!I662,"water"))))</f>
        <v>0</v>
      </c>
      <c r="AJ662">
        <f>IF(metadata!J662="",FALSE,TRUE)</f>
        <v>0</v>
      </c>
      <c r="AK662">
        <f>OR(AND(IF(metadata!K662="",FALSE,TRUE),OR(exact(metadata!K662,"missing: not collected"),exact(metadata!K662,"missing: not provided"),exact(metadata!K662,"missing: restricted access"))),AND(IF(metadata!K662="",FALSE,ISNUMBER(VALUE(metadata!K662))),metadata!K662&gt;=-90.00,metadata!K662&lt;=90.00))</f>
        <v>0</v>
      </c>
      <c r="AL662">
        <f>OR(AND(IF(metadata!L662="",FALSE,TRUE),OR(exact(metadata!L662,"missing: not collected"),exact(metadata!L662,"missing: not provided"),exact(metadata!L662,"missing: restricted access"))),AND(IF(metadata!L662="",FALSE,ISNUMBER(VALUE(metadata!L662))),metadata!L662&gt;=-180.00,metadata!L662&lt;=180.00))</f>
        <v>0</v>
      </c>
      <c r="AM662">
        <f>IF(metadata!M662="",FALSE,TRUE)</f>
        <v>0</v>
      </c>
      <c r="AN662">
        <f>OR(AND(IF(metadata!N662="",FALSE,TRUE),OR(exact(metadata!N662,"missing: not collected"),exact(metadata!N662,"missing: not provided"),exact(metadata!N662,"missing: restricted access"))),AND(IF(metadata!N662="",FALSE,TRUE),OR(exact(metadata!N662,"TRUE"),exact(metadata!N662,"FALSE"))))</f>
        <v>0</v>
      </c>
      <c r="AO662">
        <f>IF(metadata!O662="",FALSE,TRUE)</f>
        <v>0</v>
      </c>
      <c r="AP662">
        <f>OR(AND(IF(metadata!P662="",FALSE,TRUE),OR(exact(metadata!P662,"missing: not collected"),exact(metadata!P662,"missing: not provided"))),AND(IF(metadata!P662="",FALSE,IF(ISERROR(INT(metadata!P662)),FALSE,INT(metadata!P662)=metadata!P662)),metadata!P662&gt;0))</f>
        <v>0</v>
      </c>
      <c r="AQ662">
        <f>IF(metadata!Q662="",FALSE,TRUE)</f>
        <v>0</v>
      </c>
    </row>
    <row r="663" spans="1:43">
      <c r="A663" s="5">
        <f>IF(B663=" "," ",HYPERLINK(CONCATENATE("#metadata!",ADDRESS(INDEX($W$2:$W$1001,MATCH(ROWS($U$2:U663),$U$2:$U$1001,0),0),1)),INDEX($Z$2:$Z$1001,MATCH(ROWS($U$2:U663),$U$2:$U$1001,0),0)))</f>
        <v>0</v>
      </c>
      <c r="B663" s="4">
        <f>IF(OR(INDEX($V$2:$V$1001,MATCH(ROWS($U$2:U663),$U$2:$U$1001,0),1)&gt;=100000,INDEX($AB$1005:$AQ$1005,1,MATCH(COLUMNS($AB$1006:AB1006),$AB$1006:$AQ$1006,0))&gt;=100000), " ",IF(INDEX($AB$2:$AQ$1001,MATCH(ROWS($U$2:U663),$U$2:$U$1001,0),MATCH(COLUMNS($AB$1006:AB1006),$AB$1006:$AQ$1006,0)), HYPERLINK("#",""), HYPERLINK(CONCATENATE("#metadata!", ADDRESS(INDEX($W$2:$W$1001,MATCH(ROWS($U$2:U663),$U$2:$U$1001,0),0), INDEX($AB$1004:$AQ$1004,1,MATCH(COLUMNS($AB$1006:AB1006),$AB$1006:$AQ$1006,0)))),"Fix")))</f>
        <v>0</v>
      </c>
      <c r="C663" s="4">
        <f>IF(OR(INDEX($V$2:$V$1001,MATCH(ROWS($U$2:U663),$U$2:$U$1001,0),1)&gt;=100000,INDEX($AB$1005:$AQ$1005,1,MATCH(COLUMNS($AB$1006:AC1006),$AB$1006:$AQ$1006,0))&gt;=100000), " ",IF(INDEX($AB$2:$AQ$1001,MATCH(ROWS($U$2:U663),$U$2:$U$1001,0),MATCH(COLUMNS($AB$1006:AC1006),$AB$1006:$AQ$1006,0)), HYPERLINK("#",""), HYPERLINK(CONCATENATE("#metadata!", ADDRESS(INDEX($W$2:$W$1001,MATCH(ROWS($U$2:U663),$U$2:$U$1001,0),0), INDEX($AB$1004:$AQ$1004,1,MATCH(COLUMNS($AB$1006:AC1006),$AB$1006:$AQ$1006,0)))),"Fix")))</f>
        <v>0</v>
      </c>
      <c r="D663" s="4">
        <f>IF(OR(INDEX($V$2:$V$1001,MATCH(ROWS($U$2:U663),$U$2:$U$1001,0),1)&gt;=100000,INDEX($AB$1005:$AQ$1005,1,MATCH(COLUMNS($AB$1006:AD1006),$AB$1006:$AQ$1006,0))&gt;=100000), " ",IF(INDEX($AB$2:$AQ$1001,MATCH(ROWS($U$2:U663),$U$2:$U$1001,0),MATCH(COLUMNS($AB$1006:AD1006),$AB$1006:$AQ$1006,0)), HYPERLINK("#",""), HYPERLINK(CONCATENATE("#metadata!", ADDRESS(INDEX($W$2:$W$1001,MATCH(ROWS($U$2:U663),$U$2:$U$1001,0),0), INDEX($AB$1004:$AQ$1004,1,MATCH(COLUMNS($AB$1006:AD1006),$AB$1006:$AQ$1006,0)))),"Fix")))</f>
        <v>0</v>
      </c>
      <c r="E663" s="4">
        <f>IF(OR(INDEX($V$2:$V$1001,MATCH(ROWS($U$2:U663),$U$2:$U$1001,0),1)&gt;=100000,INDEX($AB$1005:$AQ$1005,1,MATCH(COLUMNS($AB$1006:AE1006),$AB$1006:$AQ$1006,0))&gt;=100000), " ",IF(INDEX($AB$2:$AQ$1001,MATCH(ROWS($U$2:U663),$U$2:$U$1001,0),MATCH(COLUMNS($AB$1006:AE1006),$AB$1006:$AQ$1006,0)), HYPERLINK("#",""), HYPERLINK(CONCATENATE("#metadata!", ADDRESS(INDEX($W$2:$W$1001,MATCH(ROWS($U$2:U663),$U$2:$U$1001,0),0), INDEX($AB$1004:$AQ$1004,1,MATCH(COLUMNS($AB$1006:AE1006),$AB$1006:$AQ$1006,0)))),"Fix")))</f>
        <v>0</v>
      </c>
      <c r="F663" s="4">
        <f>IF(OR(INDEX($V$2:$V$1001,MATCH(ROWS($U$2:U663),$U$2:$U$1001,0),1)&gt;=100000,INDEX($AB$1005:$AQ$1005,1,MATCH(COLUMNS($AB$1006:AF1006),$AB$1006:$AQ$1006,0))&gt;=100000), " ",IF(INDEX($AB$2:$AQ$1001,MATCH(ROWS($U$2:U663),$U$2:$U$1001,0),MATCH(COLUMNS($AB$1006:AF1006),$AB$1006:$AQ$1006,0)), HYPERLINK("#",""), HYPERLINK(CONCATENATE("#metadata!", ADDRESS(INDEX($W$2:$W$1001,MATCH(ROWS($U$2:U663),$U$2:$U$1001,0),0), INDEX($AB$1004:$AQ$1004,1,MATCH(COLUMNS($AB$1006:AF1006),$AB$1006:$AQ$1006,0)))),"Fix")))</f>
        <v>0</v>
      </c>
      <c r="G663" s="4">
        <f>IF(OR(INDEX($V$2:$V$1001,MATCH(ROWS($U$2:U663),$U$2:$U$1001,0),1)&gt;=100000,INDEX($AB$1005:$AQ$1005,1,MATCH(COLUMNS($AB$1006:AG1006),$AB$1006:$AQ$1006,0))&gt;=100000), " ",IF(INDEX($AB$2:$AQ$1001,MATCH(ROWS($U$2:U663),$U$2:$U$1001,0),MATCH(COLUMNS($AB$1006:AG1006),$AB$1006:$AQ$1006,0)), HYPERLINK("#",""), HYPERLINK(CONCATENATE("#metadata!", ADDRESS(INDEX($W$2:$W$1001,MATCH(ROWS($U$2:U663),$U$2:$U$1001,0),0), INDEX($AB$1004:$AQ$1004,1,MATCH(COLUMNS($AB$1006:AG1006),$AB$1006:$AQ$1006,0)))),"Fix")))</f>
        <v>0</v>
      </c>
      <c r="H663" s="4">
        <f>IF(OR(INDEX($V$2:$V$1001,MATCH(ROWS($U$2:U663),$U$2:$U$1001,0),1)&gt;=100000,INDEX($AB$1005:$AQ$1005,1,MATCH(COLUMNS($AB$1006:AH1006),$AB$1006:$AQ$1006,0))&gt;=100000), " ",IF(INDEX($AB$2:$AQ$1001,MATCH(ROWS($U$2:U663),$U$2:$U$1001,0),MATCH(COLUMNS($AB$1006:AH1006),$AB$1006:$AQ$1006,0)), HYPERLINK("#",""), HYPERLINK(CONCATENATE("#metadata!", ADDRESS(INDEX($W$2:$W$1001,MATCH(ROWS($U$2:U663),$U$2:$U$1001,0),0), INDEX($AB$1004:$AQ$1004,1,MATCH(COLUMNS($AB$1006:AH1006),$AB$1006:$AQ$1006,0)))),"Fix")))</f>
        <v>0</v>
      </c>
      <c r="I663" s="4">
        <f>IF(OR(INDEX($V$2:$V$1001,MATCH(ROWS($U$2:U663),$U$2:$U$1001,0),1)&gt;=100000,INDEX($AB$1005:$AQ$1005,1,MATCH(COLUMNS($AB$1006:AI1006),$AB$1006:$AQ$1006,0))&gt;=100000), " ",IF(INDEX($AB$2:$AQ$1001,MATCH(ROWS($U$2:U663),$U$2:$U$1001,0),MATCH(COLUMNS($AB$1006:AI1006),$AB$1006:$AQ$1006,0)), HYPERLINK("#",""), HYPERLINK(CONCATENATE("#metadata!", ADDRESS(INDEX($W$2:$W$1001,MATCH(ROWS($U$2:U663),$U$2:$U$1001,0),0), INDEX($AB$1004:$AQ$1004,1,MATCH(COLUMNS($AB$1006:AI1006),$AB$1006:$AQ$1006,0)))),"Fix")))</f>
        <v>0</v>
      </c>
      <c r="J663" s="4">
        <f>IF(OR(INDEX($V$2:$V$1001,MATCH(ROWS($U$2:U663),$U$2:$U$1001,0),1)&gt;=100000,INDEX($AB$1005:$AQ$1005,1,MATCH(COLUMNS($AB$1006:AJ1006),$AB$1006:$AQ$1006,0))&gt;=100000), " ",IF(INDEX($AB$2:$AQ$1001,MATCH(ROWS($U$2:U663),$U$2:$U$1001,0),MATCH(COLUMNS($AB$1006:AJ1006),$AB$1006:$AQ$1006,0)), HYPERLINK("#",""), HYPERLINK(CONCATENATE("#metadata!", ADDRESS(INDEX($W$2:$W$1001,MATCH(ROWS($U$2:U663),$U$2:$U$1001,0),0), INDEX($AB$1004:$AQ$1004,1,MATCH(COLUMNS($AB$1006:AJ1006),$AB$1006:$AQ$1006,0)))),"Fix")))</f>
        <v>0</v>
      </c>
      <c r="K663" s="4">
        <f>IF(OR(INDEX($V$2:$V$1001,MATCH(ROWS($U$2:U663),$U$2:$U$1001,0),1)&gt;=100000,INDEX($AB$1005:$AQ$1005,1,MATCH(COLUMNS($AB$1006:AK1006),$AB$1006:$AQ$1006,0))&gt;=100000), " ",IF(INDEX($AB$2:$AQ$1001,MATCH(ROWS($U$2:U663),$U$2:$U$1001,0),MATCH(COLUMNS($AB$1006:AK1006),$AB$1006:$AQ$1006,0)), HYPERLINK("#",""), HYPERLINK(CONCATENATE("#metadata!", ADDRESS(INDEX($W$2:$W$1001,MATCH(ROWS($U$2:U663),$U$2:$U$1001,0),0), INDEX($AB$1004:$AQ$1004,1,MATCH(COLUMNS($AB$1006:AK1006),$AB$1006:$AQ$1006,0)))),"Fix")))</f>
        <v>0</v>
      </c>
      <c r="L663" s="4">
        <f>IF(OR(INDEX($V$2:$V$1001,MATCH(ROWS($U$2:U663),$U$2:$U$1001,0),1)&gt;=100000,INDEX($AB$1005:$AQ$1005,1,MATCH(COLUMNS($AB$1006:AL1006),$AB$1006:$AQ$1006,0))&gt;=100000), " ",IF(INDEX($AB$2:$AQ$1001,MATCH(ROWS($U$2:U663),$U$2:$U$1001,0),MATCH(COLUMNS($AB$1006:AL1006),$AB$1006:$AQ$1006,0)), HYPERLINK("#",""), HYPERLINK(CONCATENATE("#metadata!", ADDRESS(INDEX($W$2:$W$1001,MATCH(ROWS($U$2:U663),$U$2:$U$1001,0),0), INDEX($AB$1004:$AQ$1004,1,MATCH(COLUMNS($AB$1006:AL1006),$AB$1006:$AQ$1006,0)))),"Fix")))</f>
        <v>0</v>
      </c>
      <c r="M663" s="4">
        <f>IF(OR(INDEX($V$2:$V$1001,MATCH(ROWS($U$2:U663),$U$2:$U$1001,0),1)&gt;=100000,INDEX($AB$1005:$AQ$1005,1,MATCH(COLUMNS($AB$1006:AM1006),$AB$1006:$AQ$1006,0))&gt;=100000), " ",IF(INDEX($AB$2:$AQ$1001,MATCH(ROWS($U$2:U663),$U$2:$U$1001,0),MATCH(COLUMNS($AB$1006:AM1006),$AB$1006:$AQ$1006,0)), HYPERLINK("#",""), HYPERLINK(CONCATENATE("#metadata!", ADDRESS(INDEX($W$2:$W$1001,MATCH(ROWS($U$2:U663),$U$2:$U$1001,0),0), INDEX($AB$1004:$AQ$1004,1,MATCH(COLUMNS($AB$1006:AM1006),$AB$1006:$AQ$1006,0)))),"Fix")))</f>
        <v>0</v>
      </c>
      <c r="N663" s="4">
        <f>IF(OR(INDEX($V$2:$V$1001,MATCH(ROWS($U$2:U663),$U$2:$U$1001,0),1)&gt;=100000,INDEX($AB$1005:$AQ$1005,1,MATCH(COLUMNS($AB$1006:AN1006),$AB$1006:$AQ$1006,0))&gt;=100000), " ",IF(INDEX($AB$2:$AQ$1001,MATCH(ROWS($U$2:U663),$U$2:$U$1001,0),MATCH(COLUMNS($AB$1006:AN1006),$AB$1006:$AQ$1006,0)), HYPERLINK("#",""), HYPERLINK(CONCATENATE("#metadata!", ADDRESS(INDEX($W$2:$W$1001,MATCH(ROWS($U$2:U663),$U$2:$U$1001,0),0), INDEX($AB$1004:$AQ$1004,1,MATCH(COLUMNS($AB$1006:AN1006),$AB$1006:$AQ$1006,0)))),"Fix")))</f>
        <v>0</v>
      </c>
      <c r="O663" s="4">
        <f>IF(OR(INDEX($V$2:$V$1001,MATCH(ROWS($U$2:U663),$U$2:$U$1001,0),1)&gt;=100000,INDEX($AB$1005:$AQ$1005,1,MATCH(COLUMNS($AB$1006:AO1006),$AB$1006:$AQ$1006,0))&gt;=100000), " ",IF(INDEX($AB$2:$AQ$1001,MATCH(ROWS($U$2:U663),$U$2:$U$1001,0),MATCH(COLUMNS($AB$1006:AO1006),$AB$1006:$AQ$1006,0)), HYPERLINK("#",""), HYPERLINK(CONCATENATE("#metadata!", ADDRESS(INDEX($W$2:$W$1001,MATCH(ROWS($U$2:U663),$U$2:$U$1001,0),0), INDEX($AB$1004:$AQ$1004,1,MATCH(COLUMNS($AB$1006:AO1006),$AB$1006:$AQ$1006,0)))),"Fix")))</f>
        <v>0</v>
      </c>
      <c r="P663" s="4">
        <f>IF(OR(INDEX($V$2:$V$1001,MATCH(ROWS($U$2:U663),$U$2:$U$1001,0),1)&gt;=100000,INDEX($AB$1005:$AQ$1005,1,MATCH(COLUMNS($AB$1006:AP1006),$AB$1006:$AQ$1006,0))&gt;=100000), " ",IF(INDEX($AB$2:$AQ$1001,MATCH(ROWS($U$2:U663),$U$2:$U$1001,0),MATCH(COLUMNS($AB$1006:AP1006),$AB$1006:$AQ$1006,0)), HYPERLINK("#",""), HYPERLINK(CONCATENATE("#metadata!", ADDRESS(INDEX($W$2:$W$1001,MATCH(ROWS($U$2:U663),$U$2:$U$1001,0),0), INDEX($AB$1004:$AQ$1004,1,MATCH(COLUMNS($AB$1006:AP1006),$AB$1006:$AQ$1006,0)))),"Fix")))</f>
        <v>0</v>
      </c>
      <c r="Q663" s="4">
        <f>IF(OR(INDEX($V$2:$V$1001,MATCH(ROWS($U$2:U663),$U$2:$U$1001,0),1)&gt;=100000,INDEX($AB$1005:$AQ$1005,1,MATCH(COLUMNS($AB$1006:AQ1006),$AB$1006:$AQ$1006,0))&gt;=100000), " ",IF(INDEX($AB$2:$AQ$1001,MATCH(ROWS($U$2:U663),$U$2:$U$1001,0),MATCH(COLUMNS($AB$1006:AQ1006),$AB$1006:$AQ$1006,0)), HYPERLINK("#",""), HYPERLINK(CONCATENATE("#metadata!", ADDRESS(INDEX($W$2:$W$1001,MATCH(ROWS($U$2:U663),$U$2:$U$1001,0),0), INDEX($AB$1004:$AQ$1004,1,MATCH(COLUMNS($AB$1006:AQ1006),$AB$1006:$AQ$1006,0)))),"Fix")))</f>
        <v>0</v>
      </c>
      <c r="U663">
        <v>0</v>
      </c>
      <c r="V663">
        <v>0</v>
      </c>
      <c r="W663">
        <v>0</v>
      </c>
      <c r="X663">
        <f>IF(Y663,TRUE,AND(AB663:AQ663))</f>
        <v>0</v>
      </c>
      <c r="Y663">
        <f>COUNTBLANK(metadata!B663:Q663)=COLUMNS(metadata!B663:Q663)</f>
        <v>0</v>
      </c>
      <c r="Z663">
        <v>0</v>
      </c>
      <c r="AB663">
        <f>AND(IF(metadata!B663="",FALSE,TRUE),COUNTIF(metadata!B:B, metadata!B663) = 1,NOT(ISERROR(SUMPRODUCT(SEARCH(MID(metadata!B663,ROW(INDIRECT("1:"&amp;LEN(metadata!B663))), 1),"0123456789abcdefghijklmnopqrstuvwxyzABCDEFGHIJKLMNOPQRSTUVWXYZ.")))))</f>
        <v>0</v>
      </c>
      <c r="AC663">
        <f>OR(AND(IF(metadata!C663="",FALSE,TRUE),OR(exact(metadata!C663,"missing: not collected"),exact(metadata!C663,"missing: not provided"),exact(metadata!C663,"missing: restricted access"))),AND(IF(metadata!C663="",FALSE,TRUE),AND(AND(IFERROR(INT(LEFT(metadata!C663,4))&gt;1900,FALSE),IFERROR(INT(LEFT(metadata!C663,4))&lt;=YEAR(NOW()),FALSE)), OR(MID(metadata!C663,5,1)="", AND(AND(MID(metadata!C663,5,1)="-",IFERROR(INT(MID(metadata!C663,6,1))&gt;=0,FALSE),IFERROR(INT(MID(metadata!C663,6,1))&lt;=1,FALSE),NOT(MID(metadata!C663,7,1)=""),IFERROR(INT(MID(metadata!C663,6,2))&gt;=1,FALSE),IFERROR(INT(MID(metadata!C663,6,2))&lt;=12,FALSE)), OR(MID(metadata!C663,8,1)="", AND(AND(MID(metadata!C663,8,1)="-",IFERROR(INT(MID(metadata!C663,9,1))&gt;=0,FALSE),IFERROR(INT(MID(metadata!C663,9,1))&lt;=3,FALSE),NOT(MID(metadata!C663,10,1)=""),IFERROR(INT(MID(metadata!C663,9,2))&gt;=1,FALSE),IFERROR(INT(MID(metadata!C663,9,2))&lt;=31,FALSE)), OR(MID(metadata!C663,11,1)="", AND(AND(MID(metadata!C663,11,1)=" ",IFERROR(INT(MID(metadata!C663,12,1))&gt;=0,FALSE),IFERROR(INT(MID(metadata!C663,12,1))&lt;=2,FALSE),NOT(MID(metadata!C663,13,1)=""),IFERROR(INT(MID(metadata!C663,12,2))&gt;=0,FALSE),IFERROR(INT(MID(metadata!C663,12,2))&lt;=23,FALSE)), OR(MID(metadata!C663,14,1)="", AND(AND(MID(metadata!C663,14,1)=":",IFERROR(INT(MID(metadata!C663,15,1))&gt;=0,FALSE),IFERROR(INT(MID(metadata!C663,15,1))&lt;=5,FALSE),NOT(MID(metadata!C663,16,1)=""),IFERROR(INT(MID(metadata!C663,15,2))&gt;=0,FALSE),IFERROR(INT(MID(metadata!C663,15,2))&lt;=59,FALSE)), OR(MID(metadata!C663,17,1)="", AND(AND(MID(metadata!C663,17,1)=":",IFERROR(INT(MID(metadata!C663,18,1))&gt;=0,FALSE),IFERROR(INT(MID(metadata!C663,18,1))&lt;=5,FALSE),NOT(MID(metadata!C663,19,1)=""),IFERROR(INT(MID(metadata!C663,18,2))&gt;=0,FALSE),IFERROR(INT(MID(metadata!C663,18,2))&lt;=59,FALSE)), LEN(metadata!C663)&lt;=19)))))))))))))</f>
        <v>0</v>
      </c>
      <c r="AD663">
        <f>IF(metadata!D663="",FALSE,TRUE)</f>
        <v>0</v>
      </c>
      <c r="AE663">
        <f>OR(AND(IF(metadata!E663="",FALSE,TRUE),OR(exact(metadata!E663,"missing: not collected"),exact(metadata!E663,"missing: not provided"))),AND(IF(metadata!E663="",FALSE,TRUE),OR(exact(metadata!E663,"TRUE"),exact(metadata!E663,"FALSE"))))</f>
        <v>0</v>
      </c>
      <c r="AF663">
        <f>IF(metadata!F663="",FALSE,TRUE)</f>
        <v>0</v>
      </c>
      <c r="AG663">
        <f>IF(metadata!G663="",FALSE,TRUE)</f>
        <v>0</v>
      </c>
      <c r="AH663">
        <f>IF(metadata!H663="",FALSE,TRUE)</f>
        <v>0</v>
      </c>
      <c r="AI663">
        <f>OR(AND(IF(metadata!I663="",FALSE,TRUE),OR(exact(metadata!I663,"missing: not collected"),exact(metadata!I663,"missing: not provided"),exact(metadata!I663,"missing: restricted access"))),AND(IF(metadata!I663="",FALSE,TRUE),OR(exact(metadata!I663,"air"),exact(metadata!I663,"built environment"),exact(metadata!I663,"host-associated"),exact(metadata!I663,"human-associated"),exact(metadata!I663,"human-skin"),exact(metadata!I663,"human-oral"),exact(metadata!I663,"human-gut"),exact(metadata!I663,"human-vaginal"),exact(metadata!I663,"microbial mat/biofilm"),exact(metadata!I663,"misc environment"),exact(metadata!I663,"plant-associated"),exact(metadata!I663,"sediment"),exact(metadata!I663,"soil"),exact(metadata!I663,"wastewater/sludge"),exact(metadata!I663,"water"))))</f>
        <v>0</v>
      </c>
      <c r="AJ663">
        <f>IF(metadata!J663="",FALSE,TRUE)</f>
        <v>0</v>
      </c>
      <c r="AK663">
        <f>OR(AND(IF(metadata!K663="",FALSE,TRUE),OR(exact(metadata!K663,"missing: not collected"),exact(metadata!K663,"missing: not provided"),exact(metadata!K663,"missing: restricted access"))),AND(IF(metadata!K663="",FALSE,ISNUMBER(VALUE(metadata!K663))),metadata!K663&gt;=-90.00,metadata!K663&lt;=90.00))</f>
        <v>0</v>
      </c>
      <c r="AL663">
        <f>OR(AND(IF(metadata!L663="",FALSE,TRUE),OR(exact(metadata!L663,"missing: not collected"),exact(metadata!L663,"missing: not provided"),exact(metadata!L663,"missing: restricted access"))),AND(IF(metadata!L663="",FALSE,ISNUMBER(VALUE(metadata!L663))),metadata!L663&gt;=-180.00,metadata!L663&lt;=180.00))</f>
        <v>0</v>
      </c>
      <c r="AM663">
        <f>IF(metadata!M663="",FALSE,TRUE)</f>
        <v>0</v>
      </c>
      <c r="AN663">
        <f>OR(AND(IF(metadata!N663="",FALSE,TRUE),OR(exact(metadata!N663,"missing: not collected"),exact(metadata!N663,"missing: not provided"),exact(metadata!N663,"missing: restricted access"))),AND(IF(metadata!N663="",FALSE,TRUE),OR(exact(metadata!N663,"TRUE"),exact(metadata!N663,"FALSE"))))</f>
        <v>0</v>
      </c>
      <c r="AO663">
        <f>IF(metadata!O663="",FALSE,TRUE)</f>
        <v>0</v>
      </c>
      <c r="AP663">
        <f>OR(AND(IF(metadata!P663="",FALSE,TRUE),OR(exact(metadata!P663,"missing: not collected"),exact(metadata!P663,"missing: not provided"))),AND(IF(metadata!P663="",FALSE,IF(ISERROR(INT(metadata!P663)),FALSE,INT(metadata!P663)=metadata!P663)),metadata!P663&gt;0))</f>
        <v>0</v>
      </c>
      <c r="AQ663">
        <f>IF(metadata!Q663="",FALSE,TRUE)</f>
        <v>0</v>
      </c>
    </row>
    <row r="664" spans="1:43">
      <c r="A664" s="5">
        <f>IF(B664=" "," ",HYPERLINK(CONCATENATE("#metadata!",ADDRESS(INDEX($W$2:$W$1001,MATCH(ROWS($U$2:U664),$U$2:$U$1001,0),0),1)),INDEX($Z$2:$Z$1001,MATCH(ROWS($U$2:U664),$U$2:$U$1001,0),0)))</f>
        <v>0</v>
      </c>
      <c r="B664" s="4">
        <f>IF(OR(INDEX($V$2:$V$1001,MATCH(ROWS($U$2:U664),$U$2:$U$1001,0),1)&gt;=100000,INDEX($AB$1005:$AQ$1005,1,MATCH(COLUMNS($AB$1006:AB1006),$AB$1006:$AQ$1006,0))&gt;=100000), " ",IF(INDEX($AB$2:$AQ$1001,MATCH(ROWS($U$2:U664),$U$2:$U$1001,0),MATCH(COLUMNS($AB$1006:AB1006),$AB$1006:$AQ$1006,0)), HYPERLINK("#",""), HYPERLINK(CONCATENATE("#metadata!", ADDRESS(INDEX($W$2:$W$1001,MATCH(ROWS($U$2:U664),$U$2:$U$1001,0),0), INDEX($AB$1004:$AQ$1004,1,MATCH(COLUMNS($AB$1006:AB1006),$AB$1006:$AQ$1006,0)))),"Fix")))</f>
        <v>0</v>
      </c>
      <c r="C664" s="4">
        <f>IF(OR(INDEX($V$2:$V$1001,MATCH(ROWS($U$2:U664),$U$2:$U$1001,0),1)&gt;=100000,INDEX($AB$1005:$AQ$1005,1,MATCH(COLUMNS($AB$1006:AC1006),$AB$1006:$AQ$1006,0))&gt;=100000), " ",IF(INDEX($AB$2:$AQ$1001,MATCH(ROWS($U$2:U664),$U$2:$U$1001,0),MATCH(COLUMNS($AB$1006:AC1006),$AB$1006:$AQ$1006,0)), HYPERLINK("#",""), HYPERLINK(CONCATENATE("#metadata!", ADDRESS(INDEX($W$2:$W$1001,MATCH(ROWS($U$2:U664),$U$2:$U$1001,0),0), INDEX($AB$1004:$AQ$1004,1,MATCH(COLUMNS($AB$1006:AC1006),$AB$1006:$AQ$1006,0)))),"Fix")))</f>
        <v>0</v>
      </c>
      <c r="D664" s="4">
        <f>IF(OR(INDEX($V$2:$V$1001,MATCH(ROWS($U$2:U664),$U$2:$U$1001,0),1)&gt;=100000,INDEX($AB$1005:$AQ$1005,1,MATCH(COLUMNS($AB$1006:AD1006),$AB$1006:$AQ$1006,0))&gt;=100000), " ",IF(INDEX($AB$2:$AQ$1001,MATCH(ROWS($U$2:U664),$U$2:$U$1001,0),MATCH(COLUMNS($AB$1006:AD1006),$AB$1006:$AQ$1006,0)), HYPERLINK("#",""), HYPERLINK(CONCATENATE("#metadata!", ADDRESS(INDEX($W$2:$W$1001,MATCH(ROWS($U$2:U664),$U$2:$U$1001,0),0), INDEX($AB$1004:$AQ$1004,1,MATCH(COLUMNS($AB$1006:AD1006),$AB$1006:$AQ$1006,0)))),"Fix")))</f>
        <v>0</v>
      </c>
      <c r="E664" s="4">
        <f>IF(OR(INDEX($V$2:$V$1001,MATCH(ROWS($U$2:U664),$U$2:$U$1001,0),1)&gt;=100000,INDEX($AB$1005:$AQ$1005,1,MATCH(COLUMNS($AB$1006:AE1006),$AB$1006:$AQ$1006,0))&gt;=100000), " ",IF(INDEX($AB$2:$AQ$1001,MATCH(ROWS($U$2:U664),$U$2:$U$1001,0),MATCH(COLUMNS($AB$1006:AE1006),$AB$1006:$AQ$1006,0)), HYPERLINK("#",""), HYPERLINK(CONCATENATE("#metadata!", ADDRESS(INDEX($W$2:$W$1001,MATCH(ROWS($U$2:U664),$U$2:$U$1001,0),0), INDEX($AB$1004:$AQ$1004,1,MATCH(COLUMNS($AB$1006:AE1006),$AB$1006:$AQ$1006,0)))),"Fix")))</f>
        <v>0</v>
      </c>
      <c r="F664" s="4">
        <f>IF(OR(INDEX($V$2:$V$1001,MATCH(ROWS($U$2:U664),$U$2:$U$1001,0),1)&gt;=100000,INDEX($AB$1005:$AQ$1005,1,MATCH(COLUMNS($AB$1006:AF1006),$AB$1006:$AQ$1006,0))&gt;=100000), " ",IF(INDEX($AB$2:$AQ$1001,MATCH(ROWS($U$2:U664),$U$2:$U$1001,0),MATCH(COLUMNS($AB$1006:AF1006),$AB$1006:$AQ$1006,0)), HYPERLINK("#",""), HYPERLINK(CONCATENATE("#metadata!", ADDRESS(INDEX($W$2:$W$1001,MATCH(ROWS($U$2:U664),$U$2:$U$1001,0),0), INDEX($AB$1004:$AQ$1004,1,MATCH(COLUMNS($AB$1006:AF1006),$AB$1006:$AQ$1006,0)))),"Fix")))</f>
        <v>0</v>
      </c>
      <c r="G664" s="4">
        <f>IF(OR(INDEX($V$2:$V$1001,MATCH(ROWS($U$2:U664),$U$2:$U$1001,0),1)&gt;=100000,INDEX($AB$1005:$AQ$1005,1,MATCH(COLUMNS($AB$1006:AG1006),$AB$1006:$AQ$1006,0))&gt;=100000), " ",IF(INDEX($AB$2:$AQ$1001,MATCH(ROWS($U$2:U664),$U$2:$U$1001,0),MATCH(COLUMNS($AB$1006:AG1006),$AB$1006:$AQ$1006,0)), HYPERLINK("#",""), HYPERLINK(CONCATENATE("#metadata!", ADDRESS(INDEX($W$2:$W$1001,MATCH(ROWS($U$2:U664),$U$2:$U$1001,0),0), INDEX($AB$1004:$AQ$1004,1,MATCH(COLUMNS($AB$1006:AG1006),$AB$1006:$AQ$1006,0)))),"Fix")))</f>
        <v>0</v>
      </c>
      <c r="H664" s="4">
        <f>IF(OR(INDEX($V$2:$V$1001,MATCH(ROWS($U$2:U664),$U$2:$U$1001,0),1)&gt;=100000,INDEX($AB$1005:$AQ$1005,1,MATCH(COLUMNS($AB$1006:AH1006),$AB$1006:$AQ$1006,0))&gt;=100000), " ",IF(INDEX($AB$2:$AQ$1001,MATCH(ROWS($U$2:U664),$U$2:$U$1001,0),MATCH(COLUMNS($AB$1006:AH1006),$AB$1006:$AQ$1006,0)), HYPERLINK("#",""), HYPERLINK(CONCATENATE("#metadata!", ADDRESS(INDEX($W$2:$W$1001,MATCH(ROWS($U$2:U664),$U$2:$U$1001,0),0), INDEX($AB$1004:$AQ$1004,1,MATCH(COLUMNS($AB$1006:AH1006),$AB$1006:$AQ$1006,0)))),"Fix")))</f>
        <v>0</v>
      </c>
      <c r="I664" s="4">
        <f>IF(OR(INDEX($V$2:$V$1001,MATCH(ROWS($U$2:U664),$U$2:$U$1001,0),1)&gt;=100000,INDEX($AB$1005:$AQ$1005,1,MATCH(COLUMNS($AB$1006:AI1006),$AB$1006:$AQ$1006,0))&gt;=100000), " ",IF(INDEX($AB$2:$AQ$1001,MATCH(ROWS($U$2:U664),$U$2:$U$1001,0),MATCH(COLUMNS($AB$1006:AI1006),$AB$1006:$AQ$1006,0)), HYPERLINK("#",""), HYPERLINK(CONCATENATE("#metadata!", ADDRESS(INDEX($W$2:$W$1001,MATCH(ROWS($U$2:U664),$U$2:$U$1001,0),0), INDEX($AB$1004:$AQ$1004,1,MATCH(COLUMNS($AB$1006:AI1006),$AB$1006:$AQ$1006,0)))),"Fix")))</f>
        <v>0</v>
      </c>
      <c r="J664" s="4">
        <f>IF(OR(INDEX($V$2:$V$1001,MATCH(ROWS($U$2:U664),$U$2:$U$1001,0),1)&gt;=100000,INDEX($AB$1005:$AQ$1005,1,MATCH(COLUMNS($AB$1006:AJ1006),$AB$1006:$AQ$1006,0))&gt;=100000), " ",IF(INDEX($AB$2:$AQ$1001,MATCH(ROWS($U$2:U664),$U$2:$U$1001,0),MATCH(COLUMNS($AB$1006:AJ1006),$AB$1006:$AQ$1006,0)), HYPERLINK("#",""), HYPERLINK(CONCATENATE("#metadata!", ADDRESS(INDEX($W$2:$W$1001,MATCH(ROWS($U$2:U664),$U$2:$U$1001,0),0), INDEX($AB$1004:$AQ$1004,1,MATCH(COLUMNS($AB$1006:AJ1006),$AB$1006:$AQ$1006,0)))),"Fix")))</f>
        <v>0</v>
      </c>
      <c r="K664" s="4">
        <f>IF(OR(INDEX($V$2:$V$1001,MATCH(ROWS($U$2:U664),$U$2:$U$1001,0),1)&gt;=100000,INDEX($AB$1005:$AQ$1005,1,MATCH(COLUMNS($AB$1006:AK1006),$AB$1006:$AQ$1006,0))&gt;=100000), " ",IF(INDEX($AB$2:$AQ$1001,MATCH(ROWS($U$2:U664),$U$2:$U$1001,0),MATCH(COLUMNS($AB$1006:AK1006),$AB$1006:$AQ$1006,0)), HYPERLINK("#",""), HYPERLINK(CONCATENATE("#metadata!", ADDRESS(INDEX($W$2:$W$1001,MATCH(ROWS($U$2:U664),$U$2:$U$1001,0),0), INDEX($AB$1004:$AQ$1004,1,MATCH(COLUMNS($AB$1006:AK1006),$AB$1006:$AQ$1006,0)))),"Fix")))</f>
        <v>0</v>
      </c>
      <c r="L664" s="4">
        <f>IF(OR(INDEX($V$2:$V$1001,MATCH(ROWS($U$2:U664),$U$2:$U$1001,0),1)&gt;=100000,INDEX($AB$1005:$AQ$1005,1,MATCH(COLUMNS($AB$1006:AL1006),$AB$1006:$AQ$1006,0))&gt;=100000), " ",IF(INDEX($AB$2:$AQ$1001,MATCH(ROWS($U$2:U664),$U$2:$U$1001,0),MATCH(COLUMNS($AB$1006:AL1006),$AB$1006:$AQ$1006,0)), HYPERLINK("#",""), HYPERLINK(CONCATENATE("#metadata!", ADDRESS(INDEX($W$2:$W$1001,MATCH(ROWS($U$2:U664),$U$2:$U$1001,0),0), INDEX($AB$1004:$AQ$1004,1,MATCH(COLUMNS($AB$1006:AL1006),$AB$1006:$AQ$1006,0)))),"Fix")))</f>
        <v>0</v>
      </c>
      <c r="M664" s="4">
        <f>IF(OR(INDEX($V$2:$V$1001,MATCH(ROWS($U$2:U664),$U$2:$U$1001,0),1)&gt;=100000,INDEX($AB$1005:$AQ$1005,1,MATCH(COLUMNS($AB$1006:AM1006),$AB$1006:$AQ$1006,0))&gt;=100000), " ",IF(INDEX($AB$2:$AQ$1001,MATCH(ROWS($U$2:U664),$U$2:$U$1001,0),MATCH(COLUMNS($AB$1006:AM1006),$AB$1006:$AQ$1006,0)), HYPERLINK("#",""), HYPERLINK(CONCATENATE("#metadata!", ADDRESS(INDEX($W$2:$W$1001,MATCH(ROWS($U$2:U664),$U$2:$U$1001,0),0), INDEX($AB$1004:$AQ$1004,1,MATCH(COLUMNS($AB$1006:AM1006),$AB$1006:$AQ$1006,0)))),"Fix")))</f>
        <v>0</v>
      </c>
      <c r="N664" s="4">
        <f>IF(OR(INDEX($V$2:$V$1001,MATCH(ROWS($U$2:U664),$U$2:$U$1001,0),1)&gt;=100000,INDEX($AB$1005:$AQ$1005,1,MATCH(COLUMNS($AB$1006:AN1006),$AB$1006:$AQ$1006,0))&gt;=100000), " ",IF(INDEX($AB$2:$AQ$1001,MATCH(ROWS($U$2:U664),$U$2:$U$1001,0),MATCH(COLUMNS($AB$1006:AN1006),$AB$1006:$AQ$1006,0)), HYPERLINK("#",""), HYPERLINK(CONCATENATE("#metadata!", ADDRESS(INDEX($W$2:$W$1001,MATCH(ROWS($U$2:U664),$U$2:$U$1001,0),0), INDEX($AB$1004:$AQ$1004,1,MATCH(COLUMNS($AB$1006:AN1006),$AB$1006:$AQ$1006,0)))),"Fix")))</f>
        <v>0</v>
      </c>
      <c r="O664" s="4">
        <f>IF(OR(INDEX($V$2:$V$1001,MATCH(ROWS($U$2:U664),$U$2:$U$1001,0),1)&gt;=100000,INDEX($AB$1005:$AQ$1005,1,MATCH(COLUMNS($AB$1006:AO1006),$AB$1006:$AQ$1006,0))&gt;=100000), " ",IF(INDEX($AB$2:$AQ$1001,MATCH(ROWS($U$2:U664),$U$2:$U$1001,0),MATCH(COLUMNS($AB$1006:AO1006),$AB$1006:$AQ$1006,0)), HYPERLINK("#",""), HYPERLINK(CONCATENATE("#metadata!", ADDRESS(INDEX($W$2:$W$1001,MATCH(ROWS($U$2:U664),$U$2:$U$1001,0),0), INDEX($AB$1004:$AQ$1004,1,MATCH(COLUMNS($AB$1006:AO1006),$AB$1006:$AQ$1006,0)))),"Fix")))</f>
        <v>0</v>
      </c>
      <c r="P664" s="4">
        <f>IF(OR(INDEX($V$2:$V$1001,MATCH(ROWS($U$2:U664),$U$2:$U$1001,0),1)&gt;=100000,INDEX($AB$1005:$AQ$1005,1,MATCH(COLUMNS($AB$1006:AP1006),$AB$1006:$AQ$1006,0))&gt;=100000), " ",IF(INDEX($AB$2:$AQ$1001,MATCH(ROWS($U$2:U664),$U$2:$U$1001,0),MATCH(COLUMNS($AB$1006:AP1006),$AB$1006:$AQ$1006,0)), HYPERLINK("#",""), HYPERLINK(CONCATENATE("#metadata!", ADDRESS(INDEX($W$2:$W$1001,MATCH(ROWS($U$2:U664),$U$2:$U$1001,0),0), INDEX($AB$1004:$AQ$1004,1,MATCH(COLUMNS($AB$1006:AP1006),$AB$1006:$AQ$1006,0)))),"Fix")))</f>
        <v>0</v>
      </c>
      <c r="Q664" s="4">
        <f>IF(OR(INDEX($V$2:$V$1001,MATCH(ROWS($U$2:U664),$U$2:$U$1001,0),1)&gt;=100000,INDEX($AB$1005:$AQ$1005,1,MATCH(COLUMNS($AB$1006:AQ1006),$AB$1006:$AQ$1006,0))&gt;=100000), " ",IF(INDEX($AB$2:$AQ$1001,MATCH(ROWS($U$2:U664),$U$2:$U$1001,0),MATCH(COLUMNS($AB$1006:AQ1006),$AB$1006:$AQ$1006,0)), HYPERLINK("#",""), HYPERLINK(CONCATENATE("#metadata!", ADDRESS(INDEX($W$2:$W$1001,MATCH(ROWS($U$2:U664),$U$2:$U$1001,0),0), INDEX($AB$1004:$AQ$1004,1,MATCH(COLUMNS($AB$1006:AQ1006),$AB$1006:$AQ$1006,0)))),"Fix")))</f>
        <v>0</v>
      </c>
      <c r="U664">
        <v>0</v>
      </c>
      <c r="V664">
        <v>0</v>
      </c>
      <c r="W664">
        <v>0</v>
      </c>
      <c r="X664">
        <f>IF(Y664,TRUE,AND(AB664:AQ664))</f>
        <v>0</v>
      </c>
      <c r="Y664">
        <f>COUNTBLANK(metadata!B664:Q664)=COLUMNS(metadata!B664:Q664)</f>
        <v>0</v>
      </c>
      <c r="Z664">
        <v>0</v>
      </c>
      <c r="AB664">
        <f>AND(IF(metadata!B664="",FALSE,TRUE),COUNTIF(metadata!B:B, metadata!B664) = 1,NOT(ISERROR(SUMPRODUCT(SEARCH(MID(metadata!B664,ROW(INDIRECT("1:"&amp;LEN(metadata!B664))), 1),"0123456789abcdefghijklmnopqrstuvwxyzABCDEFGHIJKLMNOPQRSTUVWXYZ.")))))</f>
        <v>0</v>
      </c>
      <c r="AC664">
        <f>OR(AND(IF(metadata!C664="",FALSE,TRUE),OR(exact(metadata!C664,"missing: not collected"),exact(metadata!C664,"missing: not provided"),exact(metadata!C664,"missing: restricted access"))),AND(IF(metadata!C664="",FALSE,TRUE),AND(AND(IFERROR(INT(LEFT(metadata!C664,4))&gt;1900,FALSE),IFERROR(INT(LEFT(metadata!C664,4))&lt;=YEAR(NOW()),FALSE)), OR(MID(metadata!C664,5,1)="", AND(AND(MID(metadata!C664,5,1)="-",IFERROR(INT(MID(metadata!C664,6,1))&gt;=0,FALSE),IFERROR(INT(MID(metadata!C664,6,1))&lt;=1,FALSE),NOT(MID(metadata!C664,7,1)=""),IFERROR(INT(MID(metadata!C664,6,2))&gt;=1,FALSE),IFERROR(INT(MID(metadata!C664,6,2))&lt;=12,FALSE)), OR(MID(metadata!C664,8,1)="", AND(AND(MID(metadata!C664,8,1)="-",IFERROR(INT(MID(metadata!C664,9,1))&gt;=0,FALSE),IFERROR(INT(MID(metadata!C664,9,1))&lt;=3,FALSE),NOT(MID(metadata!C664,10,1)=""),IFERROR(INT(MID(metadata!C664,9,2))&gt;=1,FALSE),IFERROR(INT(MID(metadata!C664,9,2))&lt;=31,FALSE)), OR(MID(metadata!C664,11,1)="", AND(AND(MID(metadata!C664,11,1)=" ",IFERROR(INT(MID(metadata!C664,12,1))&gt;=0,FALSE),IFERROR(INT(MID(metadata!C664,12,1))&lt;=2,FALSE),NOT(MID(metadata!C664,13,1)=""),IFERROR(INT(MID(metadata!C664,12,2))&gt;=0,FALSE),IFERROR(INT(MID(metadata!C664,12,2))&lt;=23,FALSE)), OR(MID(metadata!C664,14,1)="", AND(AND(MID(metadata!C664,14,1)=":",IFERROR(INT(MID(metadata!C664,15,1))&gt;=0,FALSE),IFERROR(INT(MID(metadata!C664,15,1))&lt;=5,FALSE),NOT(MID(metadata!C664,16,1)=""),IFERROR(INT(MID(metadata!C664,15,2))&gt;=0,FALSE),IFERROR(INT(MID(metadata!C664,15,2))&lt;=59,FALSE)), OR(MID(metadata!C664,17,1)="", AND(AND(MID(metadata!C664,17,1)=":",IFERROR(INT(MID(metadata!C664,18,1))&gt;=0,FALSE),IFERROR(INT(MID(metadata!C664,18,1))&lt;=5,FALSE),NOT(MID(metadata!C664,19,1)=""),IFERROR(INT(MID(metadata!C664,18,2))&gt;=0,FALSE),IFERROR(INT(MID(metadata!C664,18,2))&lt;=59,FALSE)), LEN(metadata!C664)&lt;=19)))))))))))))</f>
        <v>0</v>
      </c>
      <c r="AD664">
        <f>IF(metadata!D664="",FALSE,TRUE)</f>
        <v>0</v>
      </c>
      <c r="AE664">
        <f>OR(AND(IF(metadata!E664="",FALSE,TRUE),OR(exact(metadata!E664,"missing: not collected"),exact(metadata!E664,"missing: not provided"))),AND(IF(metadata!E664="",FALSE,TRUE),OR(exact(metadata!E664,"TRUE"),exact(metadata!E664,"FALSE"))))</f>
        <v>0</v>
      </c>
      <c r="AF664">
        <f>IF(metadata!F664="",FALSE,TRUE)</f>
        <v>0</v>
      </c>
      <c r="AG664">
        <f>IF(metadata!G664="",FALSE,TRUE)</f>
        <v>0</v>
      </c>
      <c r="AH664">
        <f>IF(metadata!H664="",FALSE,TRUE)</f>
        <v>0</v>
      </c>
      <c r="AI664">
        <f>OR(AND(IF(metadata!I664="",FALSE,TRUE),OR(exact(metadata!I664,"missing: not collected"),exact(metadata!I664,"missing: not provided"),exact(metadata!I664,"missing: restricted access"))),AND(IF(metadata!I664="",FALSE,TRUE),OR(exact(metadata!I664,"air"),exact(metadata!I664,"built environment"),exact(metadata!I664,"host-associated"),exact(metadata!I664,"human-associated"),exact(metadata!I664,"human-skin"),exact(metadata!I664,"human-oral"),exact(metadata!I664,"human-gut"),exact(metadata!I664,"human-vaginal"),exact(metadata!I664,"microbial mat/biofilm"),exact(metadata!I664,"misc environment"),exact(metadata!I664,"plant-associated"),exact(metadata!I664,"sediment"),exact(metadata!I664,"soil"),exact(metadata!I664,"wastewater/sludge"),exact(metadata!I664,"water"))))</f>
        <v>0</v>
      </c>
      <c r="AJ664">
        <f>IF(metadata!J664="",FALSE,TRUE)</f>
        <v>0</v>
      </c>
      <c r="AK664">
        <f>OR(AND(IF(metadata!K664="",FALSE,TRUE),OR(exact(metadata!K664,"missing: not collected"),exact(metadata!K664,"missing: not provided"),exact(metadata!K664,"missing: restricted access"))),AND(IF(metadata!K664="",FALSE,ISNUMBER(VALUE(metadata!K664))),metadata!K664&gt;=-90.00,metadata!K664&lt;=90.00))</f>
        <v>0</v>
      </c>
      <c r="AL664">
        <f>OR(AND(IF(metadata!L664="",FALSE,TRUE),OR(exact(metadata!L664,"missing: not collected"),exact(metadata!L664,"missing: not provided"),exact(metadata!L664,"missing: restricted access"))),AND(IF(metadata!L664="",FALSE,ISNUMBER(VALUE(metadata!L664))),metadata!L664&gt;=-180.00,metadata!L664&lt;=180.00))</f>
        <v>0</v>
      </c>
      <c r="AM664">
        <f>IF(metadata!M664="",FALSE,TRUE)</f>
        <v>0</v>
      </c>
      <c r="AN664">
        <f>OR(AND(IF(metadata!N664="",FALSE,TRUE),OR(exact(metadata!N664,"missing: not collected"),exact(metadata!N664,"missing: not provided"),exact(metadata!N664,"missing: restricted access"))),AND(IF(metadata!N664="",FALSE,TRUE),OR(exact(metadata!N664,"TRUE"),exact(metadata!N664,"FALSE"))))</f>
        <v>0</v>
      </c>
      <c r="AO664">
        <f>IF(metadata!O664="",FALSE,TRUE)</f>
        <v>0</v>
      </c>
      <c r="AP664">
        <f>OR(AND(IF(metadata!P664="",FALSE,TRUE),OR(exact(metadata!P664,"missing: not collected"),exact(metadata!P664,"missing: not provided"))),AND(IF(metadata!P664="",FALSE,IF(ISERROR(INT(metadata!P664)),FALSE,INT(metadata!P664)=metadata!P664)),metadata!P664&gt;0))</f>
        <v>0</v>
      </c>
      <c r="AQ664">
        <f>IF(metadata!Q664="",FALSE,TRUE)</f>
        <v>0</v>
      </c>
    </row>
    <row r="665" spans="1:43">
      <c r="A665" s="5">
        <f>IF(B665=" "," ",HYPERLINK(CONCATENATE("#metadata!",ADDRESS(INDEX($W$2:$W$1001,MATCH(ROWS($U$2:U665),$U$2:$U$1001,0),0),1)),INDEX($Z$2:$Z$1001,MATCH(ROWS($U$2:U665),$U$2:$U$1001,0),0)))</f>
        <v>0</v>
      </c>
      <c r="B665" s="4">
        <f>IF(OR(INDEX($V$2:$V$1001,MATCH(ROWS($U$2:U665),$U$2:$U$1001,0),1)&gt;=100000,INDEX($AB$1005:$AQ$1005,1,MATCH(COLUMNS($AB$1006:AB1006),$AB$1006:$AQ$1006,0))&gt;=100000), " ",IF(INDEX($AB$2:$AQ$1001,MATCH(ROWS($U$2:U665),$U$2:$U$1001,0),MATCH(COLUMNS($AB$1006:AB1006),$AB$1006:$AQ$1006,0)), HYPERLINK("#",""), HYPERLINK(CONCATENATE("#metadata!", ADDRESS(INDEX($W$2:$W$1001,MATCH(ROWS($U$2:U665),$U$2:$U$1001,0),0), INDEX($AB$1004:$AQ$1004,1,MATCH(COLUMNS($AB$1006:AB1006),$AB$1006:$AQ$1006,0)))),"Fix")))</f>
        <v>0</v>
      </c>
      <c r="C665" s="4">
        <f>IF(OR(INDEX($V$2:$V$1001,MATCH(ROWS($U$2:U665),$U$2:$U$1001,0),1)&gt;=100000,INDEX($AB$1005:$AQ$1005,1,MATCH(COLUMNS($AB$1006:AC1006),$AB$1006:$AQ$1006,0))&gt;=100000), " ",IF(INDEX($AB$2:$AQ$1001,MATCH(ROWS($U$2:U665),$U$2:$U$1001,0),MATCH(COLUMNS($AB$1006:AC1006),$AB$1006:$AQ$1006,0)), HYPERLINK("#",""), HYPERLINK(CONCATENATE("#metadata!", ADDRESS(INDEX($W$2:$W$1001,MATCH(ROWS($U$2:U665),$U$2:$U$1001,0),0), INDEX($AB$1004:$AQ$1004,1,MATCH(COLUMNS($AB$1006:AC1006),$AB$1006:$AQ$1006,0)))),"Fix")))</f>
        <v>0</v>
      </c>
      <c r="D665" s="4">
        <f>IF(OR(INDEX($V$2:$V$1001,MATCH(ROWS($U$2:U665),$U$2:$U$1001,0),1)&gt;=100000,INDEX($AB$1005:$AQ$1005,1,MATCH(COLUMNS($AB$1006:AD1006),$AB$1006:$AQ$1006,0))&gt;=100000), " ",IF(INDEX($AB$2:$AQ$1001,MATCH(ROWS($U$2:U665),$U$2:$U$1001,0),MATCH(COLUMNS($AB$1006:AD1006),$AB$1006:$AQ$1006,0)), HYPERLINK("#",""), HYPERLINK(CONCATENATE("#metadata!", ADDRESS(INDEX($W$2:$W$1001,MATCH(ROWS($U$2:U665),$U$2:$U$1001,0),0), INDEX($AB$1004:$AQ$1004,1,MATCH(COLUMNS($AB$1006:AD1006),$AB$1006:$AQ$1006,0)))),"Fix")))</f>
        <v>0</v>
      </c>
      <c r="E665" s="4">
        <f>IF(OR(INDEX($V$2:$V$1001,MATCH(ROWS($U$2:U665),$U$2:$U$1001,0),1)&gt;=100000,INDEX($AB$1005:$AQ$1005,1,MATCH(COLUMNS($AB$1006:AE1006),$AB$1006:$AQ$1006,0))&gt;=100000), " ",IF(INDEX($AB$2:$AQ$1001,MATCH(ROWS($U$2:U665),$U$2:$U$1001,0),MATCH(COLUMNS($AB$1006:AE1006),$AB$1006:$AQ$1006,0)), HYPERLINK("#",""), HYPERLINK(CONCATENATE("#metadata!", ADDRESS(INDEX($W$2:$W$1001,MATCH(ROWS($U$2:U665),$U$2:$U$1001,0),0), INDEX($AB$1004:$AQ$1004,1,MATCH(COLUMNS($AB$1006:AE1006),$AB$1006:$AQ$1006,0)))),"Fix")))</f>
        <v>0</v>
      </c>
      <c r="F665" s="4">
        <f>IF(OR(INDEX($V$2:$V$1001,MATCH(ROWS($U$2:U665),$U$2:$U$1001,0),1)&gt;=100000,INDEX($AB$1005:$AQ$1005,1,MATCH(COLUMNS($AB$1006:AF1006),$AB$1006:$AQ$1006,0))&gt;=100000), " ",IF(INDEX($AB$2:$AQ$1001,MATCH(ROWS($U$2:U665),$U$2:$U$1001,0),MATCH(COLUMNS($AB$1006:AF1006),$AB$1006:$AQ$1006,0)), HYPERLINK("#",""), HYPERLINK(CONCATENATE("#metadata!", ADDRESS(INDEX($W$2:$W$1001,MATCH(ROWS($U$2:U665),$U$2:$U$1001,0),0), INDEX($AB$1004:$AQ$1004,1,MATCH(COLUMNS($AB$1006:AF1006),$AB$1006:$AQ$1006,0)))),"Fix")))</f>
        <v>0</v>
      </c>
      <c r="G665" s="4">
        <f>IF(OR(INDEX($V$2:$V$1001,MATCH(ROWS($U$2:U665),$U$2:$U$1001,0),1)&gt;=100000,INDEX($AB$1005:$AQ$1005,1,MATCH(COLUMNS($AB$1006:AG1006),$AB$1006:$AQ$1006,0))&gt;=100000), " ",IF(INDEX($AB$2:$AQ$1001,MATCH(ROWS($U$2:U665),$U$2:$U$1001,0),MATCH(COLUMNS($AB$1006:AG1006),$AB$1006:$AQ$1006,0)), HYPERLINK("#",""), HYPERLINK(CONCATENATE("#metadata!", ADDRESS(INDEX($W$2:$W$1001,MATCH(ROWS($U$2:U665),$U$2:$U$1001,0),0), INDEX($AB$1004:$AQ$1004,1,MATCH(COLUMNS($AB$1006:AG1006),$AB$1006:$AQ$1006,0)))),"Fix")))</f>
        <v>0</v>
      </c>
      <c r="H665" s="4">
        <f>IF(OR(INDEX($V$2:$V$1001,MATCH(ROWS($U$2:U665),$U$2:$U$1001,0),1)&gt;=100000,INDEX($AB$1005:$AQ$1005,1,MATCH(COLUMNS($AB$1006:AH1006),$AB$1006:$AQ$1006,0))&gt;=100000), " ",IF(INDEX($AB$2:$AQ$1001,MATCH(ROWS($U$2:U665),$U$2:$U$1001,0),MATCH(COLUMNS($AB$1006:AH1006),$AB$1006:$AQ$1006,0)), HYPERLINK("#",""), HYPERLINK(CONCATENATE("#metadata!", ADDRESS(INDEX($W$2:$W$1001,MATCH(ROWS($U$2:U665),$U$2:$U$1001,0),0), INDEX($AB$1004:$AQ$1004,1,MATCH(COLUMNS($AB$1006:AH1006),$AB$1006:$AQ$1006,0)))),"Fix")))</f>
        <v>0</v>
      </c>
      <c r="I665" s="4">
        <f>IF(OR(INDEX($V$2:$V$1001,MATCH(ROWS($U$2:U665),$U$2:$U$1001,0),1)&gt;=100000,INDEX($AB$1005:$AQ$1005,1,MATCH(COLUMNS($AB$1006:AI1006),$AB$1006:$AQ$1006,0))&gt;=100000), " ",IF(INDEX($AB$2:$AQ$1001,MATCH(ROWS($U$2:U665),$U$2:$U$1001,0),MATCH(COLUMNS($AB$1006:AI1006),$AB$1006:$AQ$1006,0)), HYPERLINK("#",""), HYPERLINK(CONCATENATE("#metadata!", ADDRESS(INDEX($W$2:$W$1001,MATCH(ROWS($U$2:U665),$U$2:$U$1001,0),0), INDEX($AB$1004:$AQ$1004,1,MATCH(COLUMNS($AB$1006:AI1006),$AB$1006:$AQ$1006,0)))),"Fix")))</f>
        <v>0</v>
      </c>
      <c r="J665" s="4">
        <f>IF(OR(INDEX($V$2:$V$1001,MATCH(ROWS($U$2:U665),$U$2:$U$1001,0),1)&gt;=100000,INDEX($AB$1005:$AQ$1005,1,MATCH(COLUMNS($AB$1006:AJ1006),$AB$1006:$AQ$1006,0))&gt;=100000), " ",IF(INDEX($AB$2:$AQ$1001,MATCH(ROWS($U$2:U665),$U$2:$U$1001,0),MATCH(COLUMNS($AB$1006:AJ1006),$AB$1006:$AQ$1006,0)), HYPERLINK("#",""), HYPERLINK(CONCATENATE("#metadata!", ADDRESS(INDEX($W$2:$W$1001,MATCH(ROWS($U$2:U665),$U$2:$U$1001,0),0), INDEX($AB$1004:$AQ$1004,1,MATCH(COLUMNS($AB$1006:AJ1006),$AB$1006:$AQ$1006,0)))),"Fix")))</f>
        <v>0</v>
      </c>
      <c r="K665" s="4">
        <f>IF(OR(INDEX($V$2:$V$1001,MATCH(ROWS($U$2:U665),$U$2:$U$1001,0),1)&gt;=100000,INDEX($AB$1005:$AQ$1005,1,MATCH(COLUMNS($AB$1006:AK1006),$AB$1006:$AQ$1006,0))&gt;=100000), " ",IF(INDEX($AB$2:$AQ$1001,MATCH(ROWS($U$2:U665),$U$2:$U$1001,0),MATCH(COLUMNS($AB$1006:AK1006),$AB$1006:$AQ$1006,0)), HYPERLINK("#",""), HYPERLINK(CONCATENATE("#metadata!", ADDRESS(INDEX($W$2:$W$1001,MATCH(ROWS($U$2:U665),$U$2:$U$1001,0),0), INDEX($AB$1004:$AQ$1004,1,MATCH(COLUMNS($AB$1006:AK1006),$AB$1006:$AQ$1006,0)))),"Fix")))</f>
        <v>0</v>
      </c>
      <c r="L665" s="4">
        <f>IF(OR(INDEX($V$2:$V$1001,MATCH(ROWS($U$2:U665),$U$2:$U$1001,0),1)&gt;=100000,INDEX($AB$1005:$AQ$1005,1,MATCH(COLUMNS($AB$1006:AL1006),$AB$1006:$AQ$1006,0))&gt;=100000), " ",IF(INDEX($AB$2:$AQ$1001,MATCH(ROWS($U$2:U665),$U$2:$U$1001,0),MATCH(COLUMNS($AB$1006:AL1006),$AB$1006:$AQ$1006,0)), HYPERLINK("#",""), HYPERLINK(CONCATENATE("#metadata!", ADDRESS(INDEX($W$2:$W$1001,MATCH(ROWS($U$2:U665),$U$2:$U$1001,0),0), INDEX($AB$1004:$AQ$1004,1,MATCH(COLUMNS($AB$1006:AL1006),$AB$1006:$AQ$1006,0)))),"Fix")))</f>
        <v>0</v>
      </c>
      <c r="M665" s="4">
        <f>IF(OR(INDEX($V$2:$V$1001,MATCH(ROWS($U$2:U665),$U$2:$U$1001,0),1)&gt;=100000,INDEX($AB$1005:$AQ$1005,1,MATCH(COLUMNS($AB$1006:AM1006),$AB$1006:$AQ$1006,0))&gt;=100000), " ",IF(INDEX($AB$2:$AQ$1001,MATCH(ROWS($U$2:U665),$U$2:$U$1001,0),MATCH(COLUMNS($AB$1006:AM1006),$AB$1006:$AQ$1006,0)), HYPERLINK("#",""), HYPERLINK(CONCATENATE("#metadata!", ADDRESS(INDEX($W$2:$W$1001,MATCH(ROWS($U$2:U665),$U$2:$U$1001,0),0), INDEX($AB$1004:$AQ$1004,1,MATCH(COLUMNS($AB$1006:AM1006),$AB$1006:$AQ$1006,0)))),"Fix")))</f>
        <v>0</v>
      </c>
      <c r="N665" s="4">
        <f>IF(OR(INDEX($V$2:$V$1001,MATCH(ROWS($U$2:U665),$U$2:$U$1001,0),1)&gt;=100000,INDEX($AB$1005:$AQ$1005,1,MATCH(COLUMNS($AB$1006:AN1006),$AB$1006:$AQ$1006,0))&gt;=100000), " ",IF(INDEX($AB$2:$AQ$1001,MATCH(ROWS($U$2:U665),$U$2:$U$1001,0),MATCH(COLUMNS($AB$1006:AN1006),$AB$1006:$AQ$1006,0)), HYPERLINK("#",""), HYPERLINK(CONCATENATE("#metadata!", ADDRESS(INDEX($W$2:$W$1001,MATCH(ROWS($U$2:U665),$U$2:$U$1001,0),0), INDEX($AB$1004:$AQ$1004,1,MATCH(COLUMNS($AB$1006:AN1006),$AB$1006:$AQ$1006,0)))),"Fix")))</f>
        <v>0</v>
      </c>
      <c r="O665" s="4">
        <f>IF(OR(INDEX($V$2:$V$1001,MATCH(ROWS($U$2:U665),$U$2:$U$1001,0),1)&gt;=100000,INDEX($AB$1005:$AQ$1005,1,MATCH(COLUMNS($AB$1006:AO1006),$AB$1006:$AQ$1006,0))&gt;=100000), " ",IF(INDEX($AB$2:$AQ$1001,MATCH(ROWS($U$2:U665),$U$2:$U$1001,0),MATCH(COLUMNS($AB$1006:AO1006),$AB$1006:$AQ$1006,0)), HYPERLINK("#",""), HYPERLINK(CONCATENATE("#metadata!", ADDRESS(INDEX($W$2:$W$1001,MATCH(ROWS($U$2:U665),$U$2:$U$1001,0),0), INDEX($AB$1004:$AQ$1004,1,MATCH(COLUMNS($AB$1006:AO1006),$AB$1006:$AQ$1006,0)))),"Fix")))</f>
        <v>0</v>
      </c>
      <c r="P665" s="4">
        <f>IF(OR(INDEX($V$2:$V$1001,MATCH(ROWS($U$2:U665),$U$2:$U$1001,0),1)&gt;=100000,INDEX($AB$1005:$AQ$1005,1,MATCH(COLUMNS($AB$1006:AP1006),$AB$1006:$AQ$1006,0))&gt;=100000), " ",IF(INDEX($AB$2:$AQ$1001,MATCH(ROWS($U$2:U665),$U$2:$U$1001,0),MATCH(COLUMNS($AB$1006:AP1006),$AB$1006:$AQ$1006,0)), HYPERLINK("#",""), HYPERLINK(CONCATENATE("#metadata!", ADDRESS(INDEX($W$2:$W$1001,MATCH(ROWS($U$2:U665),$U$2:$U$1001,0),0), INDEX($AB$1004:$AQ$1004,1,MATCH(COLUMNS($AB$1006:AP1006),$AB$1006:$AQ$1006,0)))),"Fix")))</f>
        <v>0</v>
      </c>
      <c r="Q665" s="4">
        <f>IF(OR(INDEX($V$2:$V$1001,MATCH(ROWS($U$2:U665),$U$2:$U$1001,0),1)&gt;=100000,INDEX($AB$1005:$AQ$1005,1,MATCH(COLUMNS($AB$1006:AQ1006),$AB$1006:$AQ$1006,0))&gt;=100000), " ",IF(INDEX($AB$2:$AQ$1001,MATCH(ROWS($U$2:U665),$U$2:$U$1001,0),MATCH(COLUMNS($AB$1006:AQ1006),$AB$1006:$AQ$1006,0)), HYPERLINK("#",""), HYPERLINK(CONCATENATE("#metadata!", ADDRESS(INDEX($W$2:$W$1001,MATCH(ROWS($U$2:U665),$U$2:$U$1001,0),0), INDEX($AB$1004:$AQ$1004,1,MATCH(COLUMNS($AB$1006:AQ1006),$AB$1006:$AQ$1006,0)))),"Fix")))</f>
        <v>0</v>
      </c>
      <c r="U665">
        <v>0</v>
      </c>
      <c r="V665">
        <v>0</v>
      </c>
      <c r="W665">
        <v>0</v>
      </c>
      <c r="X665">
        <f>IF(Y665,TRUE,AND(AB665:AQ665))</f>
        <v>0</v>
      </c>
      <c r="Y665">
        <f>COUNTBLANK(metadata!B665:Q665)=COLUMNS(metadata!B665:Q665)</f>
        <v>0</v>
      </c>
      <c r="Z665">
        <v>0</v>
      </c>
      <c r="AB665">
        <f>AND(IF(metadata!B665="",FALSE,TRUE),COUNTIF(metadata!B:B, metadata!B665) = 1,NOT(ISERROR(SUMPRODUCT(SEARCH(MID(metadata!B665,ROW(INDIRECT("1:"&amp;LEN(metadata!B665))), 1),"0123456789abcdefghijklmnopqrstuvwxyzABCDEFGHIJKLMNOPQRSTUVWXYZ.")))))</f>
        <v>0</v>
      </c>
      <c r="AC665">
        <f>OR(AND(IF(metadata!C665="",FALSE,TRUE),OR(exact(metadata!C665,"missing: not collected"),exact(metadata!C665,"missing: not provided"),exact(metadata!C665,"missing: restricted access"))),AND(IF(metadata!C665="",FALSE,TRUE),AND(AND(IFERROR(INT(LEFT(metadata!C665,4))&gt;1900,FALSE),IFERROR(INT(LEFT(metadata!C665,4))&lt;=YEAR(NOW()),FALSE)), OR(MID(metadata!C665,5,1)="", AND(AND(MID(metadata!C665,5,1)="-",IFERROR(INT(MID(metadata!C665,6,1))&gt;=0,FALSE),IFERROR(INT(MID(metadata!C665,6,1))&lt;=1,FALSE),NOT(MID(metadata!C665,7,1)=""),IFERROR(INT(MID(metadata!C665,6,2))&gt;=1,FALSE),IFERROR(INT(MID(metadata!C665,6,2))&lt;=12,FALSE)), OR(MID(metadata!C665,8,1)="", AND(AND(MID(metadata!C665,8,1)="-",IFERROR(INT(MID(metadata!C665,9,1))&gt;=0,FALSE),IFERROR(INT(MID(metadata!C665,9,1))&lt;=3,FALSE),NOT(MID(metadata!C665,10,1)=""),IFERROR(INT(MID(metadata!C665,9,2))&gt;=1,FALSE),IFERROR(INT(MID(metadata!C665,9,2))&lt;=31,FALSE)), OR(MID(metadata!C665,11,1)="", AND(AND(MID(metadata!C665,11,1)=" ",IFERROR(INT(MID(metadata!C665,12,1))&gt;=0,FALSE),IFERROR(INT(MID(metadata!C665,12,1))&lt;=2,FALSE),NOT(MID(metadata!C665,13,1)=""),IFERROR(INT(MID(metadata!C665,12,2))&gt;=0,FALSE),IFERROR(INT(MID(metadata!C665,12,2))&lt;=23,FALSE)), OR(MID(metadata!C665,14,1)="", AND(AND(MID(metadata!C665,14,1)=":",IFERROR(INT(MID(metadata!C665,15,1))&gt;=0,FALSE),IFERROR(INT(MID(metadata!C665,15,1))&lt;=5,FALSE),NOT(MID(metadata!C665,16,1)=""),IFERROR(INT(MID(metadata!C665,15,2))&gt;=0,FALSE),IFERROR(INT(MID(metadata!C665,15,2))&lt;=59,FALSE)), OR(MID(metadata!C665,17,1)="", AND(AND(MID(metadata!C665,17,1)=":",IFERROR(INT(MID(metadata!C665,18,1))&gt;=0,FALSE),IFERROR(INT(MID(metadata!C665,18,1))&lt;=5,FALSE),NOT(MID(metadata!C665,19,1)=""),IFERROR(INT(MID(metadata!C665,18,2))&gt;=0,FALSE),IFERROR(INT(MID(metadata!C665,18,2))&lt;=59,FALSE)), LEN(metadata!C665)&lt;=19)))))))))))))</f>
        <v>0</v>
      </c>
      <c r="AD665">
        <f>IF(metadata!D665="",FALSE,TRUE)</f>
        <v>0</v>
      </c>
      <c r="AE665">
        <f>OR(AND(IF(metadata!E665="",FALSE,TRUE),OR(exact(metadata!E665,"missing: not collected"),exact(metadata!E665,"missing: not provided"))),AND(IF(metadata!E665="",FALSE,TRUE),OR(exact(metadata!E665,"TRUE"),exact(metadata!E665,"FALSE"))))</f>
        <v>0</v>
      </c>
      <c r="AF665">
        <f>IF(metadata!F665="",FALSE,TRUE)</f>
        <v>0</v>
      </c>
      <c r="AG665">
        <f>IF(metadata!G665="",FALSE,TRUE)</f>
        <v>0</v>
      </c>
      <c r="AH665">
        <f>IF(metadata!H665="",FALSE,TRUE)</f>
        <v>0</v>
      </c>
      <c r="AI665">
        <f>OR(AND(IF(metadata!I665="",FALSE,TRUE),OR(exact(metadata!I665,"missing: not collected"),exact(metadata!I665,"missing: not provided"),exact(metadata!I665,"missing: restricted access"))),AND(IF(metadata!I665="",FALSE,TRUE),OR(exact(metadata!I665,"air"),exact(metadata!I665,"built environment"),exact(metadata!I665,"host-associated"),exact(metadata!I665,"human-associated"),exact(metadata!I665,"human-skin"),exact(metadata!I665,"human-oral"),exact(metadata!I665,"human-gut"),exact(metadata!I665,"human-vaginal"),exact(metadata!I665,"microbial mat/biofilm"),exact(metadata!I665,"misc environment"),exact(metadata!I665,"plant-associated"),exact(metadata!I665,"sediment"),exact(metadata!I665,"soil"),exact(metadata!I665,"wastewater/sludge"),exact(metadata!I665,"water"))))</f>
        <v>0</v>
      </c>
      <c r="AJ665">
        <f>IF(metadata!J665="",FALSE,TRUE)</f>
        <v>0</v>
      </c>
      <c r="AK665">
        <f>OR(AND(IF(metadata!K665="",FALSE,TRUE),OR(exact(metadata!K665,"missing: not collected"),exact(metadata!K665,"missing: not provided"),exact(metadata!K665,"missing: restricted access"))),AND(IF(metadata!K665="",FALSE,ISNUMBER(VALUE(metadata!K665))),metadata!K665&gt;=-90.00,metadata!K665&lt;=90.00))</f>
        <v>0</v>
      </c>
      <c r="AL665">
        <f>OR(AND(IF(metadata!L665="",FALSE,TRUE),OR(exact(metadata!L665,"missing: not collected"),exact(metadata!L665,"missing: not provided"),exact(metadata!L665,"missing: restricted access"))),AND(IF(metadata!L665="",FALSE,ISNUMBER(VALUE(metadata!L665))),metadata!L665&gt;=-180.00,metadata!L665&lt;=180.00))</f>
        <v>0</v>
      </c>
      <c r="AM665">
        <f>IF(metadata!M665="",FALSE,TRUE)</f>
        <v>0</v>
      </c>
      <c r="AN665">
        <f>OR(AND(IF(metadata!N665="",FALSE,TRUE),OR(exact(metadata!N665,"missing: not collected"),exact(metadata!N665,"missing: not provided"),exact(metadata!N665,"missing: restricted access"))),AND(IF(metadata!N665="",FALSE,TRUE),OR(exact(metadata!N665,"TRUE"),exact(metadata!N665,"FALSE"))))</f>
        <v>0</v>
      </c>
      <c r="AO665">
        <f>IF(metadata!O665="",FALSE,TRUE)</f>
        <v>0</v>
      </c>
      <c r="AP665">
        <f>OR(AND(IF(metadata!P665="",FALSE,TRUE),OR(exact(metadata!P665,"missing: not collected"),exact(metadata!P665,"missing: not provided"))),AND(IF(metadata!P665="",FALSE,IF(ISERROR(INT(metadata!P665)),FALSE,INT(metadata!P665)=metadata!P665)),metadata!P665&gt;0))</f>
        <v>0</v>
      </c>
      <c r="AQ665">
        <f>IF(metadata!Q665="",FALSE,TRUE)</f>
        <v>0</v>
      </c>
    </row>
    <row r="666" spans="1:43">
      <c r="A666" s="5">
        <f>IF(B666=" "," ",HYPERLINK(CONCATENATE("#metadata!",ADDRESS(INDEX($W$2:$W$1001,MATCH(ROWS($U$2:U666),$U$2:$U$1001,0),0),1)),INDEX($Z$2:$Z$1001,MATCH(ROWS($U$2:U666),$U$2:$U$1001,0),0)))</f>
        <v>0</v>
      </c>
      <c r="B666" s="4">
        <f>IF(OR(INDEX($V$2:$V$1001,MATCH(ROWS($U$2:U666),$U$2:$U$1001,0),1)&gt;=100000,INDEX($AB$1005:$AQ$1005,1,MATCH(COLUMNS($AB$1006:AB1006),$AB$1006:$AQ$1006,0))&gt;=100000), " ",IF(INDEX($AB$2:$AQ$1001,MATCH(ROWS($U$2:U666),$U$2:$U$1001,0),MATCH(COLUMNS($AB$1006:AB1006),$AB$1006:$AQ$1006,0)), HYPERLINK("#",""), HYPERLINK(CONCATENATE("#metadata!", ADDRESS(INDEX($W$2:$W$1001,MATCH(ROWS($U$2:U666),$U$2:$U$1001,0),0), INDEX($AB$1004:$AQ$1004,1,MATCH(COLUMNS($AB$1006:AB1006),$AB$1006:$AQ$1006,0)))),"Fix")))</f>
        <v>0</v>
      </c>
      <c r="C666" s="4">
        <f>IF(OR(INDEX($V$2:$V$1001,MATCH(ROWS($U$2:U666),$U$2:$U$1001,0),1)&gt;=100000,INDEX($AB$1005:$AQ$1005,1,MATCH(COLUMNS($AB$1006:AC1006),$AB$1006:$AQ$1006,0))&gt;=100000), " ",IF(INDEX($AB$2:$AQ$1001,MATCH(ROWS($U$2:U666),$U$2:$U$1001,0),MATCH(COLUMNS($AB$1006:AC1006),$AB$1006:$AQ$1006,0)), HYPERLINK("#",""), HYPERLINK(CONCATENATE("#metadata!", ADDRESS(INDEX($W$2:$W$1001,MATCH(ROWS($U$2:U666),$U$2:$U$1001,0),0), INDEX($AB$1004:$AQ$1004,1,MATCH(COLUMNS($AB$1006:AC1006),$AB$1006:$AQ$1006,0)))),"Fix")))</f>
        <v>0</v>
      </c>
      <c r="D666" s="4">
        <f>IF(OR(INDEX($V$2:$V$1001,MATCH(ROWS($U$2:U666),$U$2:$U$1001,0),1)&gt;=100000,INDEX($AB$1005:$AQ$1005,1,MATCH(COLUMNS($AB$1006:AD1006),$AB$1006:$AQ$1006,0))&gt;=100000), " ",IF(INDEX($AB$2:$AQ$1001,MATCH(ROWS($U$2:U666),$U$2:$U$1001,0),MATCH(COLUMNS($AB$1006:AD1006),$AB$1006:$AQ$1006,0)), HYPERLINK("#",""), HYPERLINK(CONCATENATE("#metadata!", ADDRESS(INDEX($W$2:$W$1001,MATCH(ROWS($U$2:U666),$U$2:$U$1001,0),0), INDEX($AB$1004:$AQ$1004,1,MATCH(COLUMNS($AB$1006:AD1006),$AB$1006:$AQ$1006,0)))),"Fix")))</f>
        <v>0</v>
      </c>
      <c r="E666" s="4">
        <f>IF(OR(INDEX($V$2:$V$1001,MATCH(ROWS($U$2:U666),$U$2:$U$1001,0),1)&gt;=100000,INDEX($AB$1005:$AQ$1005,1,MATCH(COLUMNS($AB$1006:AE1006),$AB$1006:$AQ$1006,0))&gt;=100000), " ",IF(INDEX($AB$2:$AQ$1001,MATCH(ROWS($U$2:U666),$U$2:$U$1001,0),MATCH(COLUMNS($AB$1006:AE1006),$AB$1006:$AQ$1006,0)), HYPERLINK("#",""), HYPERLINK(CONCATENATE("#metadata!", ADDRESS(INDEX($W$2:$W$1001,MATCH(ROWS($U$2:U666),$U$2:$U$1001,0),0), INDEX($AB$1004:$AQ$1004,1,MATCH(COLUMNS($AB$1006:AE1006),$AB$1006:$AQ$1006,0)))),"Fix")))</f>
        <v>0</v>
      </c>
      <c r="F666" s="4">
        <f>IF(OR(INDEX($V$2:$V$1001,MATCH(ROWS($U$2:U666),$U$2:$U$1001,0),1)&gt;=100000,INDEX($AB$1005:$AQ$1005,1,MATCH(COLUMNS($AB$1006:AF1006),$AB$1006:$AQ$1006,0))&gt;=100000), " ",IF(INDEX($AB$2:$AQ$1001,MATCH(ROWS($U$2:U666),$U$2:$U$1001,0),MATCH(COLUMNS($AB$1006:AF1006),$AB$1006:$AQ$1006,0)), HYPERLINK("#",""), HYPERLINK(CONCATENATE("#metadata!", ADDRESS(INDEX($W$2:$W$1001,MATCH(ROWS($U$2:U666),$U$2:$U$1001,0),0), INDEX($AB$1004:$AQ$1004,1,MATCH(COLUMNS($AB$1006:AF1006),$AB$1006:$AQ$1006,0)))),"Fix")))</f>
        <v>0</v>
      </c>
      <c r="G666" s="4">
        <f>IF(OR(INDEX($V$2:$V$1001,MATCH(ROWS($U$2:U666),$U$2:$U$1001,0),1)&gt;=100000,INDEX($AB$1005:$AQ$1005,1,MATCH(COLUMNS($AB$1006:AG1006),$AB$1006:$AQ$1006,0))&gt;=100000), " ",IF(INDEX($AB$2:$AQ$1001,MATCH(ROWS($U$2:U666),$U$2:$U$1001,0),MATCH(COLUMNS($AB$1006:AG1006),$AB$1006:$AQ$1006,0)), HYPERLINK("#",""), HYPERLINK(CONCATENATE("#metadata!", ADDRESS(INDEX($W$2:$W$1001,MATCH(ROWS($U$2:U666),$U$2:$U$1001,0),0), INDEX($AB$1004:$AQ$1004,1,MATCH(COLUMNS($AB$1006:AG1006),$AB$1006:$AQ$1006,0)))),"Fix")))</f>
        <v>0</v>
      </c>
      <c r="H666" s="4">
        <f>IF(OR(INDEX($V$2:$V$1001,MATCH(ROWS($U$2:U666),$U$2:$U$1001,0),1)&gt;=100000,INDEX($AB$1005:$AQ$1005,1,MATCH(COLUMNS($AB$1006:AH1006),$AB$1006:$AQ$1006,0))&gt;=100000), " ",IF(INDEX($AB$2:$AQ$1001,MATCH(ROWS($U$2:U666),$U$2:$U$1001,0),MATCH(COLUMNS($AB$1006:AH1006),$AB$1006:$AQ$1006,0)), HYPERLINK("#",""), HYPERLINK(CONCATENATE("#metadata!", ADDRESS(INDEX($W$2:$W$1001,MATCH(ROWS($U$2:U666),$U$2:$U$1001,0),0), INDEX($AB$1004:$AQ$1004,1,MATCH(COLUMNS($AB$1006:AH1006),$AB$1006:$AQ$1006,0)))),"Fix")))</f>
        <v>0</v>
      </c>
      <c r="I666" s="4">
        <f>IF(OR(INDEX($V$2:$V$1001,MATCH(ROWS($U$2:U666),$U$2:$U$1001,0),1)&gt;=100000,INDEX($AB$1005:$AQ$1005,1,MATCH(COLUMNS($AB$1006:AI1006),$AB$1006:$AQ$1006,0))&gt;=100000), " ",IF(INDEX($AB$2:$AQ$1001,MATCH(ROWS($U$2:U666),$U$2:$U$1001,0),MATCH(COLUMNS($AB$1006:AI1006),$AB$1006:$AQ$1006,0)), HYPERLINK("#",""), HYPERLINK(CONCATENATE("#metadata!", ADDRESS(INDEX($W$2:$W$1001,MATCH(ROWS($U$2:U666),$U$2:$U$1001,0),0), INDEX($AB$1004:$AQ$1004,1,MATCH(COLUMNS($AB$1006:AI1006),$AB$1006:$AQ$1006,0)))),"Fix")))</f>
        <v>0</v>
      </c>
      <c r="J666" s="4">
        <f>IF(OR(INDEX($V$2:$V$1001,MATCH(ROWS($U$2:U666),$U$2:$U$1001,0),1)&gt;=100000,INDEX($AB$1005:$AQ$1005,1,MATCH(COLUMNS($AB$1006:AJ1006),$AB$1006:$AQ$1006,0))&gt;=100000), " ",IF(INDEX($AB$2:$AQ$1001,MATCH(ROWS($U$2:U666),$U$2:$U$1001,0),MATCH(COLUMNS($AB$1006:AJ1006),$AB$1006:$AQ$1006,0)), HYPERLINK("#",""), HYPERLINK(CONCATENATE("#metadata!", ADDRESS(INDEX($W$2:$W$1001,MATCH(ROWS($U$2:U666),$U$2:$U$1001,0),0), INDEX($AB$1004:$AQ$1004,1,MATCH(COLUMNS($AB$1006:AJ1006),$AB$1006:$AQ$1006,0)))),"Fix")))</f>
        <v>0</v>
      </c>
      <c r="K666" s="4">
        <f>IF(OR(INDEX($V$2:$V$1001,MATCH(ROWS($U$2:U666),$U$2:$U$1001,0),1)&gt;=100000,INDEX($AB$1005:$AQ$1005,1,MATCH(COLUMNS($AB$1006:AK1006),$AB$1006:$AQ$1006,0))&gt;=100000), " ",IF(INDEX($AB$2:$AQ$1001,MATCH(ROWS($U$2:U666),$U$2:$U$1001,0),MATCH(COLUMNS($AB$1006:AK1006),$AB$1006:$AQ$1006,0)), HYPERLINK("#",""), HYPERLINK(CONCATENATE("#metadata!", ADDRESS(INDEX($W$2:$W$1001,MATCH(ROWS($U$2:U666),$U$2:$U$1001,0),0), INDEX($AB$1004:$AQ$1004,1,MATCH(COLUMNS($AB$1006:AK1006),$AB$1006:$AQ$1006,0)))),"Fix")))</f>
        <v>0</v>
      </c>
      <c r="L666" s="4">
        <f>IF(OR(INDEX($V$2:$V$1001,MATCH(ROWS($U$2:U666),$U$2:$U$1001,0),1)&gt;=100000,INDEX($AB$1005:$AQ$1005,1,MATCH(COLUMNS($AB$1006:AL1006),$AB$1006:$AQ$1006,0))&gt;=100000), " ",IF(INDEX($AB$2:$AQ$1001,MATCH(ROWS($U$2:U666),$U$2:$U$1001,0),MATCH(COLUMNS($AB$1006:AL1006),$AB$1006:$AQ$1006,0)), HYPERLINK("#",""), HYPERLINK(CONCATENATE("#metadata!", ADDRESS(INDEX($W$2:$W$1001,MATCH(ROWS($U$2:U666),$U$2:$U$1001,0),0), INDEX($AB$1004:$AQ$1004,1,MATCH(COLUMNS($AB$1006:AL1006),$AB$1006:$AQ$1006,0)))),"Fix")))</f>
        <v>0</v>
      </c>
      <c r="M666" s="4">
        <f>IF(OR(INDEX($V$2:$V$1001,MATCH(ROWS($U$2:U666),$U$2:$U$1001,0),1)&gt;=100000,INDEX($AB$1005:$AQ$1005,1,MATCH(COLUMNS($AB$1006:AM1006),$AB$1006:$AQ$1006,0))&gt;=100000), " ",IF(INDEX($AB$2:$AQ$1001,MATCH(ROWS($U$2:U666),$U$2:$U$1001,0),MATCH(COLUMNS($AB$1006:AM1006),$AB$1006:$AQ$1006,0)), HYPERLINK("#",""), HYPERLINK(CONCATENATE("#metadata!", ADDRESS(INDEX($W$2:$W$1001,MATCH(ROWS($U$2:U666),$U$2:$U$1001,0),0), INDEX($AB$1004:$AQ$1004,1,MATCH(COLUMNS($AB$1006:AM1006),$AB$1006:$AQ$1006,0)))),"Fix")))</f>
        <v>0</v>
      </c>
      <c r="N666" s="4">
        <f>IF(OR(INDEX($V$2:$V$1001,MATCH(ROWS($U$2:U666),$U$2:$U$1001,0),1)&gt;=100000,INDEX($AB$1005:$AQ$1005,1,MATCH(COLUMNS($AB$1006:AN1006),$AB$1006:$AQ$1006,0))&gt;=100000), " ",IF(INDEX($AB$2:$AQ$1001,MATCH(ROWS($U$2:U666),$U$2:$U$1001,0),MATCH(COLUMNS($AB$1006:AN1006),$AB$1006:$AQ$1006,0)), HYPERLINK("#",""), HYPERLINK(CONCATENATE("#metadata!", ADDRESS(INDEX($W$2:$W$1001,MATCH(ROWS($U$2:U666),$U$2:$U$1001,0),0), INDEX($AB$1004:$AQ$1004,1,MATCH(COLUMNS($AB$1006:AN1006),$AB$1006:$AQ$1006,0)))),"Fix")))</f>
        <v>0</v>
      </c>
      <c r="O666" s="4">
        <f>IF(OR(INDEX($V$2:$V$1001,MATCH(ROWS($U$2:U666),$U$2:$U$1001,0),1)&gt;=100000,INDEX($AB$1005:$AQ$1005,1,MATCH(COLUMNS($AB$1006:AO1006),$AB$1006:$AQ$1006,0))&gt;=100000), " ",IF(INDEX($AB$2:$AQ$1001,MATCH(ROWS($U$2:U666),$U$2:$U$1001,0),MATCH(COLUMNS($AB$1006:AO1006),$AB$1006:$AQ$1006,0)), HYPERLINK("#",""), HYPERLINK(CONCATENATE("#metadata!", ADDRESS(INDEX($W$2:$W$1001,MATCH(ROWS($U$2:U666),$U$2:$U$1001,0),0), INDEX($AB$1004:$AQ$1004,1,MATCH(COLUMNS($AB$1006:AO1006),$AB$1006:$AQ$1006,0)))),"Fix")))</f>
        <v>0</v>
      </c>
      <c r="P666" s="4">
        <f>IF(OR(INDEX($V$2:$V$1001,MATCH(ROWS($U$2:U666),$U$2:$U$1001,0),1)&gt;=100000,INDEX($AB$1005:$AQ$1005,1,MATCH(COLUMNS($AB$1006:AP1006),$AB$1006:$AQ$1006,0))&gt;=100000), " ",IF(INDEX($AB$2:$AQ$1001,MATCH(ROWS($U$2:U666),$U$2:$U$1001,0),MATCH(COLUMNS($AB$1006:AP1006),$AB$1006:$AQ$1006,0)), HYPERLINK("#",""), HYPERLINK(CONCATENATE("#metadata!", ADDRESS(INDEX($W$2:$W$1001,MATCH(ROWS($U$2:U666),$U$2:$U$1001,0),0), INDEX($AB$1004:$AQ$1004,1,MATCH(COLUMNS($AB$1006:AP1006),$AB$1006:$AQ$1006,0)))),"Fix")))</f>
        <v>0</v>
      </c>
      <c r="Q666" s="4">
        <f>IF(OR(INDEX($V$2:$V$1001,MATCH(ROWS($U$2:U666),$U$2:$U$1001,0),1)&gt;=100000,INDEX($AB$1005:$AQ$1005,1,MATCH(COLUMNS($AB$1006:AQ1006),$AB$1006:$AQ$1006,0))&gt;=100000), " ",IF(INDEX($AB$2:$AQ$1001,MATCH(ROWS($U$2:U666),$U$2:$U$1001,0),MATCH(COLUMNS($AB$1006:AQ1006),$AB$1006:$AQ$1006,0)), HYPERLINK("#",""), HYPERLINK(CONCATENATE("#metadata!", ADDRESS(INDEX($W$2:$W$1001,MATCH(ROWS($U$2:U666),$U$2:$U$1001,0),0), INDEX($AB$1004:$AQ$1004,1,MATCH(COLUMNS($AB$1006:AQ1006),$AB$1006:$AQ$1006,0)))),"Fix")))</f>
        <v>0</v>
      </c>
      <c r="U666">
        <v>0</v>
      </c>
      <c r="V666">
        <v>0</v>
      </c>
      <c r="W666">
        <v>0</v>
      </c>
      <c r="X666">
        <f>IF(Y666,TRUE,AND(AB666:AQ666))</f>
        <v>0</v>
      </c>
      <c r="Y666">
        <f>COUNTBLANK(metadata!B666:Q666)=COLUMNS(metadata!B666:Q666)</f>
        <v>0</v>
      </c>
      <c r="Z666">
        <v>0</v>
      </c>
      <c r="AB666">
        <f>AND(IF(metadata!B666="",FALSE,TRUE),COUNTIF(metadata!B:B, metadata!B666) = 1,NOT(ISERROR(SUMPRODUCT(SEARCH(MID(metadata!B666,ROW(INDIRECT("1:"&amp;LEN(metadata!B666))), 1),"0123456789abcdefghijklmnopqrstuvwxyzABCDEFGHIJKLMNOPQRSTUVWXYZ.")))))</f>
        <v>0</v>
      </c>
      <c r="AC666">
        <f>OR(AND(IF(metadata!C666="",FALSE,TRUE),OR(exact(metadata!C666,"missing: not collected"),exact(metadata!C666,"missing: not provided"),exact(metadata!C666,"missing: restricted access"))),AND(IF(metadata!C666="",FALSE,TRUE),AND(AND(IFERROR(INT(LEFT(metadata!C666,4))&gt;1900,FALSE),IFERROR(INT(LEFT(metadata!C666,4))&lt;=YEAR(NOW()),FALSE)), OR(MID(metadata!C666,5,1)="", AND(AND(MID(metadata!C666,5,1)="-",IFERROR(INT(MID(metadata!C666,6,1))&gt;=0,FALSE),IFERROR(INT(MID(metadata!C666,6,1))&lt;=1,FALSE),NOT(MID(metadata!C666,7,1)=""),IFERROR(INT(MID(metadata!C666,6,2))&gt;=1,FALSE),IFERROR(INT(MID(metadata!C666,6,2))&lt;=12,FALSE)), OR(MID(metadata!C666,8,1)="", AND(AND(MID(metadata!C666,8,1)="-",IFERROR(INT(MID(metadata!C666,9,1))&gt;=0,FALSE),IFERROR(INT(MID(metadata!C666,9,1))&lt;=3,FALSE),NOT(MID(metadata!C666,10,1)=""),IFERROR(INT(MID(metadata!C666,9,2))&gt;=1,FALSE),IFERROR(INT(MID(metadata!C666,9,2))&lt;=31,FALSE)), OR(MID(metadata!C666,11,1)="", AND(AND(MID(metadata!C666,11,1)=" ",IFERROR(INT(MID(metadata!C666,12,1))&gt;=0,FALSE),IFERROR(INT(MID(metadata!C666,12,1))&lt;=2,FALSE),NOT(MID(metadata!C666,13,1)=""),IFERROR(INT(MID(metadata!C666,12,2))&gt;=0,FALSE),IFERROR(INT(MID(metadata!C666,12,2))&lt;=23,FALSE)), OR(MID(metadata!C666,14,1)="", AND(AND(MID(metadata!C666,14,1)=":",IFERROR(INT(MID(metadata!C666,15,1))&gt;=0,FALSE),IFERROR(INT(MID(metadata!C666,15,1))&lt;=5,FALSE),NOT(MID(metadata!C666,16,1)=""),IFERROR(INT(MID(metadata!C666,15,2))&gt;=0,FALSE),IFERROR(INT(MID(metadata!C666,15,2))&lt;=59,FALSE)), OR(MID(metadata!C666,17,1)="", AND(AND(MID(metadata!C666,17,1)=":",IFERROR(INT(MID(metadata!C666,18,1))&gt;=0,FALSE),IFERROR(INT(MID(metadata!C666,18,1))&lt;=5,FALSE),NOT(MID(metadata!C666,19,1)=""),IFERROR(INT(MID(metadata!C666,18,2))&gt;=0,FALSE),IFERROR(INT(MID(metadata!C666,18,2))&lt;=59,FALSE)), LEN(metadata!C666)&lt;=19)))))))))))))</f>
        <v>0</v>
      </c>
      <c r="AD666">
        <f>IF(metadata!D666="",FALSE,TRUE)</f>
        <v>0</v>
      </c>
      <c r="AE666">
        <f>OR(AND(IF(metadata!E666="",FALSE,TRUE),OR(exact(metadata!E666,"missing: not collected"),exact(metadata!E666,"missing: not provided"))),AND(IF(metadata!E666="",FALSE,TRUE),OR(exact(metadata!E666,"TRUE"),exact(metadata!E666,"FALSE"))))</f>
        <v>0</v>
      </c>
      <c r="AF666">
        <f>IF(metadata!F666="",FALSE,TRUE)</f>
        <v>0</v>
      </c>
      <c r="AG666">
        <f>IF(metadata!G666="",FALSE,TRUE)</f>
        <v>0</v>
      </c>
      <c r="AH666">
        <f>IF(metadata!H666="",FALSE,TRUE)</f>
        <v>0</v>
      </c>
      <c r="AI666">
        <f>OR(AND(IF(metadata!I666="",FALSE,TRUE),OR(exact(metadata!I666,"missing: not collected"),exact(metadata!I666,"missing: not provided"),exact(metadata!I666,"missing: restricted access"))),AND(IF(metadata!I666="",FALSE,TRUE),OR(exact(metadata!I666,"air"),exact(metadata!I666,"built environment"),exact(metadata!I666,"host-associated"),exact(metadata!I666,"human-associated"),exact(metadata!I666,"human-skin"),exact(metadata!I666,"human-oral"),exact(metadata!I666,"human-gut"),exact(metadata!I666,"human-vaginal"),exact(metadata!I666,"microbial mat/biofilm"),exact(metadata!I666,"misc environment"),exact(metadata!I666,"plant-associated"),exact(metadata!I666,"sediment"),exact(metadata!I666,"soil"),exact(metadata!I666,"wastewater/sludge"),exact(metadata!I666,"water"))))</f>
        <v>0</v>
      </c>
      <c r="AJ666">
        <f>IF(metadata!J666="",FALSE,TRUE)</f>
        <v>0</v>
      </c>
      <c r="AK666">
        <f>OR(AND(IF(metadata!K666="",FALSE,TRUE),OR(exact(metadata!K666,"missing: not collected"),exact(metadata!K666,"missing: not provided"),exact(metadata!K666,"missing: restricted access"))),AND(IF(metadata!K666="",FALSE,ISNUMBER(VALUE(metadata!K666))),metadata!K666&gt;=-90.00,metadata!K666&lt;=90.00))</f>
        <v>0</v>
      </c>
      <c r="AL666">
        <f>OR(AND(IF(metadata!L666="",FALSE,TRUE),OR(exact(metadata!L666,"missing: not collected"),exact(metadata!L666,"missing: not provided"),exact(metadata!L666,"missing: restricted access"))),AND(IF(metadata!L666="",FALSE,ISNUMBER(VALUE(metadata!L666))),metadata!L666&gt;=-180.00,metadata!L666&lt;=180.00))</f>
        <v>0</v>
      </c>
      <c r="AM666">
        <f>IF(metadata!M666="",FALSE,TRUE)</f>
        <v>0</v>
      </c>
      <c r="AN666">
        <f>OR(AND(IF(metadata!N666="",FALSE,TRUE),OR(exact(metadata!N666,"missing: not collected"),exact(metadata!N666,"missing: not provided"),exact(metadata!N666,"missing: restricted access"))),AND(IF(metadata!N666="",FALSE,TRUE),OR(exact(metadata!N666,"TRUE"),exact(metadata!N666,"FALSE"))))</f>
        <v>0</v>
      </c>
      <c r="AO666">
        <f>IF(metadata!O666="",FALSE,TRUE)</f>
        <v>0</v>
      </c>
      <c r="AP666">
        <f>OR(AND(IF(metadata!P666="",FALSE,TRUE),OR(exact(metadata!P666,"missing: not collected"),exact(metadata!P666,"missing: not provided"))),AND(IF(metadata!P666="",FALSE,IF(ISERROR(INT(metadata!P666)),FALSE,INT(metadata!P666)=metadata!P666)),metadata!P666&gt;0))</f>
        <v>0</v>
      </c>
      <c r="AQ666">
        <f>IF(metadata!Q666="",FALSE,TRUE)</f>
        <v>0</v>
      </c>
    </row>
    <row r="667" spans="1:43">
      <c r="A667" s="5">
        <f>IF(B667=" "," ",HYPERLINK(CONCATENATE("#metadata!",ADDRESS(INDEX($W$2:$W$1001,MATCH(ROWS($U$2:U667),$U$2:$U$1001,0),0),1)),INDEX($Z$2:$Z$1001,MATCH(ROWS($U$2:U667),$U$2:$U$1001,0),0)))</f>
        <v>0</v>
      </c>
      <c r="B667" s="4">
        <f>IF(OR(INDEX($V$2:$V$1001,MATCH(ROWS($U$2:U667),$U$2:$U$1001,0),1)&gt;=100000,INDEX($AB$1005:$AQ$1005,1,MATCH(COLUMNS($AB$1006:AB1006),$AB$1006:$AQ$1006,0))&gt;=100000), " ",IF(INDEX($AB$2:$AQ$1001,MATCH(ROWS($U$2:U667),$U$2:$U$1001,0),MATCH(COLUMNS($AB$1006:AB1006),$AB$1006:$AQ$1006,0)), HYPERLINK("#",""), HYPERLINK(CONCATENATE("#metadata!", ADDRESS(INDEX($W$2:$W$1001,MATCH(ROWS($U$2:U667),$U$2:$U$1001,0),0), INDEX($AB$1004:$AQ$1004,1,MATCH(COLUMNS($AB$1006:AB1006),$AB$1006:$AQ$1006,0)))),"Fix")))</f>
        <v>0</v>
      </c>
      <c r="C667" s="4">
        <f>IF(OR(INDEX($V$2:$V$1001,MATCH(ROWS($U$2:U667),$U$2:$U$1001,0),1)&gt;=100000,INDEX($AB$1005:$AQ$1005,1,MATCH(COLUMNS($AB$1006:AC1006),$AB$1006:$AQ$1006,0))&gt;=100000), " ",IF(INDEX($AB$2:$AQ$1001,MATCH(ROWS($U$2:U667),$U$2:$U$1001,0),MATCH(COLUMNS($AB$1006:AC1006),$AB$1006:$AQ$1006,0)), HYPERLINK("#",""), HYPERLINK(CONCATENATE("#metadata!", ADDRESS(INDEX($W$2:$W$1001,MATCH(ROWS($U$2:U667),$U$2:$U$1001,0),0), INDEX($AB$1004:$AQ$1004,1,MATCH(COLUMNS($AB$1006:AC1006),$AB$1006:$AQ$1006,0)))),"Fix")))</f>
        <v>0</v>
      </c>
      <c r="D667" s="4">
        <f>IF(OR(INDEX($V$2:$V$1001,MATCH(ROWS($U$2:U667),$U$2:$U$1001,0),1)&gt;=100000,INDEX($AB$1005:$AQ$1005,1,MATCH(COLUMNS($AB$1006:AD1006),$AB$1006:$AQ$1006,0))&gt;=100000), " ",IF(INDEX($AB$2:$AQ$1001,MATCH(ROWS($U$2:U667),$U$2:$U$1001,0),MATCH(COLUMNS($AB$1006:AD1006),$AB$1006:$AQ$1006,0)), HYPERLINK("#",""), HYPERLINK(CONCATENATE("#metadata!", ADDRESS(INDEX($W$2:$W$1001,MATCH(ROWS($U$2:U667),$U$2:$U$1001,0),0), INDEX($AB$1004:$AQ$1004,1,MATCH(COLUMNS($AB$1006:AD1006),$AB$1006:$AQ$1006,0)))),"Fix")))</f>
        <v>0</v>
      </c>
      <c r="E667" s="4">
        <f>IF(OR(INDEX($V$2:$V$1001,MATCH(ROWS($U$2:U667),$U$2:$U$1001,0),1)&gt;=100000,INDEX($AB$1005:$AQ$1005,1,MATCH(COLUMNS($AB$1006:AE1006),$AB$1006:$AQ$1006,0))&gt;=100000), " ",IF(INDEX($AB$2:$AQ$1001,MATCH(ROWS($U$2:U667),$U$2:$U$1001,0),MATCH(COLUMNS($AB$1006:AE1006),$AB$1006:$AQ$1006,0)), HYPERLINK("#",""), HYPERLINK(CONCATENATE("#metadata!", ADDRESS(INDEX($W$2:$W$1001,MATCH(ROWS($U$2:U667),$U$2:$U$1001,0),0), INDEX($AB$1004:$AQ$1004,1,MATCH(COLUMNS($AB$1006:AE1006),$AB$1006:$AQ$1006,0)))),"Fix")))</f>
        <v>0</v>
      </c>
      <c r="F667" s="4">
        <f>IF(OR(INDEX($V$2:$V$1001,MATCH(ROWS($U$2:U667),$U$2:$U$1001,0),1)&gt;=100000,INDEX($AB$1005:$AQ$1005,1,MATCH(COLUMNS($AB$1006:AF1006),$AB$1006:$AQ$1006,0))&gt;=100000), " ",IF(INDEX($AB$2:$AQ$1001,MATCH(ROWS($U$2:U667),$U$2:$U$1001,0),MATCH(COLUMNS($AB$1006:AF1006),$AB$1006:$AQ$1006,0)), HYPERLINK("#",""), HYPERLINK(CONCATENATE("#metadata!", ADDRESS(INDEX($W$2:$W$1001,MATCH(ROWS($U$2:U667),$U$2:$U$1001,0),0), INDEX($AB$1004:$AQ$1004,1,MATCH(COLUMNS($AB$1006:AF1006),$AB$1006:$AQ$1006,0)))),"Fix")))</f>
        <v>0</v>
      </c>
      <c r="G667" s="4">
        <f>IF(OR(INDEX($V$2:$V$1001,MATCH(ROWS($U$2:U667),$U$2:$U$1001,0),1)&gt;=100000,INDEX($AB$1005:$AQ$1005,1,MATCH(COLUMNS($AB$1006:AG1006),$AB$1006:$AQ$1006,0))&gt;=100000), " ",IF(INDEX($AB$2:$AQ$1001,MATCH(ROWS($U$2:U667),$U$2:$U$1001,0),MATCH(COLUMNS($AB$1006:AG1006),$AB$1006:$AQ$1006,0)), HYPERLINK("#",""), HYPERLINK(CONCATENATE("#metadata!", ADDRESS(INDEX($W$2:$W$1001,MATCH(ROWS($U$2:U667),$U$2:$U$1001,0),0), INDEX($AB$1004:$AQ$1004,1,MATCH(COLUMNS($AB$1006:AG1006),$AB$1006:$AQ$1006,0)))),"Fix")))</f>
        <v>0</v>
      </c>
      <c r="H667" s="4">
        <f>IF(OR(INDEX($V$2:$V$1001,MATCH(ROWS($U$2:U667),$U$2:$U$1001,0),1)&gt;=100000,INDEX($AB$1005:$AQ$1005,1,MATCH(COLUMNS($AB$1006:AH1006),$AB$1006:$AQ$1006,0))&gt;=100000), " ",IF(INDEX($AB$2:$AQ$1001,MATCH(ROWS($U$2:U667),$U$2:$U$1001,0),MATCH(COLUMNS($AB$1006:AH1006),$AB$1006:$AQ$1006,0)), HYPERLINK("#",""), HYPERLINK(CONCATENATE("#metadata!", ADDRESS(INDEX($W$2:$W$1001,MATCH(ROWS($U$2:U667),$U$2:$U$1001,0),0), INDEX($AB$1004:$AQ$1004,1,MATCH(COLUMNS($AB$1006:AH1006),$AB$1006:$AQ$1006,0)))),"Fix")))</f>
        <v>0</v>
      </c>
      <c r="I667" s="4">
        <f>IF(OR(INDEX($V$2:$V$1001,MATCH(ROWS($U$2:U667),$U$2:$U$1001,0),1)&gt;=100000,INDEX($AB$1005:$AQ$1005,1,MATCH(COLUMNS($AB$1006:AI1006),$AB$1006:$AQ$1006,0))&gt;=100000), " ",IF(INDEX($AB$2:$AQ$1001,MATCH(ROWS($U$2:U667),$U$2:$U$1001,0),MATCH(COLUMNS($AB$1006:AI1006),$AB$1006:$AQ$1006,0)), HYPERLINK("#",""), HYPERLINK(CONCATENATE("#metadata!", ADDRESS(INDEX($W$2:$W$1001,MATCH(ROWS($U$2:U667),$U$2:$U$1001,0),0), INDEX($AB$1004:$AQ$1004,1,MATCH(COLUMNS($AB$1006:AI1006),$AB$1006:$AQ$1006,0)))),"Fix")))</f>
        <v>0</v>
      </c>
      <c r="J667" s="4">
        <f>IF(OR(INDEX($V$2:$V$1001,MATCH(ROWS($U$2:U667),$U$2:$U$1001,0),1)&gt;=100000,INDEX($AB$1005:$AQ$1005,1,MATCH(COLUMNS($AB$1006:AJ1006),$AB$1006:$AQ$1006,0))&gt;=100000), " ",IF(INDEX($AB$2:$AQ$1001,MATCH(ROWS($U$2:U667),$U$2:$U$1001,0),MATCH(COLUMNS($AB$1006:AJ1006),$AB$1006:$AQ$1006,0)), HYPERLINK("#",""), HYPERLINK(CONCATENATE("#metadata!", ADDRESS(INDEX($W$2:$W$1001,MATCH(ROWS($U$2:U667),$U$2:$U$1001,0),0), INDEX($AB$1004:$AQ$1004,1,MATCH(COLUMNS($AB$1006:AJ1006),$AB$1006:$AQ$1006,0)))),"Fix")))</f>
        <v>0</v>
      </c>
      <c r="K667" s="4">
        <f>IF(OR(INDEX($V$2:$V$1001,MATCH(ROWS($U$2:U667),$U$2:$U$1001,0),1)&gt;=100000,INDEX($AB$1005:$AQ$1005,1,MATCH(COLUMNS($AB$1006:AK1006),$AB$1006:$AQ$1006,0))&gt;=100000), " ",IF(INDEX($AB$2:$AQ$1001,MATCH(ROWS($U$2:U667),$U$2:$U$1001,0),MATCH(COLUMNS($AB$1006:AK1006),$AB$1006:$AQ$1006,0)), HYPERLINK("#",""), HYPERLINK(CONCATENATE("#metadata!", ADDRESS(INDEX($W$2:$W$1001,MATCH(ROWS($U$2:U667),$U$2:$U$1001,0),0), INDEX($AB$1004:$AQ$1004,1,MATCH(COLUMNS($AB$1006:AK1006),$AB$1006:$AQ$1006,0)))),"Fix")))</f>
        <v>0</v>
      </c>
      <c r="L667" s="4">
        <f>IF(OR(INDEX($V$2:$V$1001,MATCH(ROWS($U$2:U667),$U$2:$U$1001,0),1)&gt;=100000,INDEX($AB$1005:$AQ$1005,1,MATCH(COLUMNS($AB$1006:AL1006),$AB$1006:$AQ$1006,0))&gt;=100000), " ",IF(INDEX($AB$2:$AQ$1001,MATCH(ROWS($U$2:U667),$U$2:$U$1001,0),MATCH(COLUMNS($AB$1006:AL1006),$AB$1006:$AQ$1006,0)), HYPERLINK("#",""), HYPERLINK(CONCATENATE("#metadata!", ADDRESS(INDEX($W$2:$W$1001,MATCH(ROWS($U$2:U667),$U$2:$U$1001,0),0), INDEX($AB$1004:$AQ$1004,1,MATCH(COLUMNS($AB$1006:AL1006),$AB$1006:$AQ$1006,0)))),"Fix")))</f>
        <v>0</v>
      </c>
      <c r="M667" s="4">
        <f>IF(OR(INDEX($V$2:$V$1001,MATCH(ROWS($U$2:U667),$U$2:$U$1001,0),1)&gt;=100000,INDEX($AB$1005:$AQ$1005,1,MATCH(COLUMNS($AB$1006:AM1006),$AB$1006:$AQ$1006,0))&gt;=100000), " ",IF(INDEX($AB$2:$AQ$1001,MATCH(ROWS($U$2:U667),$U$2:$U$1001,0),MATCH(COLUMNS($AB$1006:AM1006),$AB$1006:$AQ$1006,0)), HYPERLINK("#",""), HYPERLINK(CONCATENATE("#metadata!", ADDRESS(INDEX($W$2:$W$1001,MATCH(ROWS($U$2:U667),$U$2:$U$1001,0),0), INDEX($AB$1004:$AQ$1004,1,MATCH(COLUMNS($AB$1006:AM1006),$AB$1006:$AQ$1006,0)))),"Fix")))</f>
        <v>0</v>
      </c>
      <c r="N667" s="4">
        <f>IF(OR(INDEX($V$2:$V$1001,MATCH(ROWS($U$2:U667),$U$2:$U$1001,0),1)&gt;=100000,INDEX($AB$1005:$AQ$1005,1,MATCH(COLUMNS($AB$1006:AN1006),$AB$1006:$AQ$1006,0))&gt;=100000), " ",IF(INDEX($AB$2:$AQ$1001,MATCH(ROWS($U$2:U667),$U$2:$U$1001,0),MATCH(COLUMNS($AB$1006:AN1006),$AB$1006:$AQ$1006,0)), HYPERLINK("#",""), HYPERLINK(CONCATENATE("#metadata!", ADDRESS(INDEX($W$2:$W$1001,MATCH(ROWS($U$2:U667),$U$2:$U$1001,0),0), INDEX($AB$1004:$AQ$1004,1,MATCH(COLUMNS($AB$1006:AN1006),$AB$1006:$AQ$1006,0)))),"Fix")))</f>
        <v>0</v>
      </c>
      <c r="O667" s="4">
        <f>IF(OR(INDEX($V$2:$V$1001,MATCH(ROWS($U$2:U667),$U$2:$U$1001,0),1)&gt;=100000,INDEX($AB$1005:$AQ$1005,1,MATCH(COLUMNS($AB$1006:AO1006),$AB$1006:$AQ$1006,0))&gt;=100000), " ",IF(INDEX($AB$2:$AQ$1001,MATCH(ROWS($U$2:U667),$U$2:$U$1001,0),MATCH(COLUMNS($AB$1006:AO1006),$AB$1006:$AQ$1006,0)), HYPERLINK("#",""), HYPERLINK(CONCATENATE("#metadata!", ADDRESS(INDEX($W$2:$W$1001,MATCH(ROWS($U$2:U667),$U$2:$U$1001,0),0), INDEX($AB$1004:$AQ$1004,1,MATCH(COLUMNS($AB$1006:AO1006),$AB$1006:$AQ$1006,0)))),"Fix")))</f>
        <v>0</v>
      </c>
      <c r="P667" s="4">
        <f>IF(OR(INDEX($V$2:$V$1001,MATCH(ROWS($U$2:U667),$U$2:$U$1001,0),1)&gt;=100000,INDEX($AB$1005:$AQ$1005,1,MATCH(COLUMNS($AB$1006:AP1006),$AB$1006:$AQ$1006,0))&gt;=100000), " ",IF(INDEX($AB$2:$AQ$1001,MATCH(ROWS($U$2:U667),$U$2:$U$1001,0),MATCH(COLUMNS($AB$1006:AP1006),$AB$1006:$AQ$1006,0)), HYPERLINK("#",""), HYPERLINK(CONCATENATE("#metadata!", ADDRESS(INDEX($W$2:$W$1001,MATCH(ROWS($U$2:U667),$U$2:$U$1001,0),0), INDEX($AB$1004:$AQ$1004,1,MATCH(COLUMNS($AB$1006:AP1006),$AB$1006:$AQ$1006,0)))),"Fix")))</f>
        <v>0</v>
      </c>
      <c r="Q667" s="4">
        <f>IF(OR(INDEX($V$2:$V$1001,MATCH(ROWS($U$2:U667),$U$2:$U$1001,0),1)&gt;=100000,INDEX($AB$1005:$AQ$1005,1,MATCH(COLUMNS($AB$1006:AQ1006),$AB$1006:$AQ$1006,0))&gt;=100000), " ",IF(INDEX($AB$2:$AQ$1001,MATCH(ROWS($U$2:U667),$U$2:$U$1001,0),MATCH(COLUMNS($AB$1006:AQ1006),$AB$1006:$AQ$1006,0)), HYPERLINK("#",""), HYPERLINK(CONCATENATE("#metadata!", ADDRESS(INDEX($W$2:$W$1001,MATCH(ROWS($U$2:U667),$U$2:$U$1001,0),0), INDEX($AB$1004:$AQ$1004,1,MATCH(COLUMNS($AB$1006:AQ1006),$AB$1006:$AQ$1006,0)))),"Fix")))</f>
        <v>0</v>
      </c>
      <c r="U667">
        <v>0</v>
      </c>
      <c r="V667">
        <v>0</v>
      </c>
      <c r="W667">
        <v>0</v>
      </c>
      <c r="X667">
        <f>IF(Y667,TRUE,AND(AB667:AQ667))</f>
        <v>0</v>
      </c>
      <c r="Y667">
        <f>COUNTBLANK(metadata!B667:Q667)=COLUMNS(metadata!B667:Q667)</f>
        <v>0</v>
      </c>
      <c r="Z667">
        <v>0</v>
      </c>
      <c r="AB667">
        <f>AND(IF(metadata!B667="",FALSE,TRUE),COUNTIF(metadata!B:B, metadata!B667) = 1,NOT(ISERROR(SUMPRODUCT(SEARCH(MID(metadata!B667,ROW(INDIRECT("1:"&amp;LEN(metadata!B667))), 1),"0123456789abcdefghijklmnopqrstuvwxyzABCDEFGHIJKLMNOPQRSTUVWXYZ.")))))</f>
        <v>0</v>
      </c>
      <c r="AC667">
        <f>OR(AND(IF(metadata!C667="",FALSE,TRUE),OR(exact(metadata!C667,"missing: not collected"),exact(metadata!C667,"missing: not provided"),exact(metadata!C667,"missing: restricted access"))),AND(IF(metadata!C667="",FALSE,TRUE),AND(AND(IFERROR(INT(LEFT(metadata!C667,4))&gt;1900,FALSE),IFERROR(INT(LEFT(metadata!C667,4))&lt;=YEAR(NOW()),FALSE)), OR(MID(metadata!C667,5,1)="", AND(AND(MID(metadata!C667,5,1)="-",IFERROR(INT(MID(metadata!C667,6,1))&gt;=0,FALSE),IFERROR(INT(MID(metadata!C667,6,1))&lt;=1,FALSE),NOT(MID(metadata!C667,7,1)=""),IFERROR(INT(MID(metadata!C667,6,2))&gt;=1,FALSE),IFERROR(INT(MID(metadata!C667,6,2))&lt;=12,FALSE)), OR(MID(metadata!C667,8,1)="", AND(AND(MID(metadata!C667,8,1)="-",IFERROR(INT(MID(metadata!C667,9,1))&gt;=0,FALSE),IFERROR(INT(MID(metadata!C667,9,1))&lt;=3,FALSE),NOT(MID(metadata!C667,10,1)=""),IFERROR(INT(MID(metadata!C667,9,2))&gt;=1,FALSE),IFERROR(INT(MID(metadata!C667,9,2))&lt;=31,FALSE)), OR(MID(metadata!C667,11,1)="", AND(AND(MID(metadata!C667,11,1)=" ",IFERROR(INT(MID(metadata!C667,12,1))&gt;=0,FALSE),IFERROR(INT(MID(metadata!C667,12,1))&lt;=2,FALSE),NOT(MID(metadata!C667,13,1)=""),IFERROR(INT(MID(metadata!C667,12,2))&gt;=0,FALSE),IFERROR(INT(MID(metadata!C667,12,2))&lt;=23,FALSE)), OR(MID(metadata!C667,14,1)="", AND(AND(MID(metadata!C667,14,1)=":",IFERROR(INT(MID(metadata!C667,15,1))&gt;=0,FALSE),IFERROR(INT(MID(metadata!C667,15,1))&lt;=5,FALSE),NOT(MID(metadata!C667,16,1)=""),IFERROR(INT(MID(metadata!C667,15,2))&gt;=0,FALSE),IFERROR(INT(MID(metadata!C667,15,2))&lt;=59,FALSE)), OR(MID(metadata!C667,17,1)="", AND(AND(MID(metadata!C667,17,1)=":",IFERROR(INT(MID(metadata!C667,18,1))&gt;=0,FALSE),IFERROR(INT(MID(metadata!C667,18,1))&lt;=5,FALSE),NOT(MID(metadata!C667,19,1)=""),IFERROR(INT(MID(metadata!C667,18,2))&gt;=0,FALSE),IFERROR(INT(MID(metadata!C667,18,2))&lt;=59,FALSE)), LEN(metadata!C667)&lt;=19)))))))))))))</f>
        <v>0</v>
      </c>
      <c r="AD667">
        <f>IF(metadata!D667="",FALSE,TRUE)</f>
        <v>0</v>
      </c>
      <c r="AE667">
        <f>OR(AND(IF(metadata!E667="",FALSE,TRUE),OR(exact(metadata!E667,"missing: not collected"),exact(metadata!E667,"missing: not provided"))),AND(IF(metadata!E667="",FALSE,TRUE),OR(exact(metadata!E667,"TRUE"),exact(metadata!E667,"FALSE"))))</f>
        <v>0</v>
      </c>
      <c r="AF667">
        <f>IF(metadata!F667="",FALSE,TRUE)</f>
        <v>0</v>
      </c>
      <c r="AG667">
        <f>IF(metadata!G667="",FALSE,TRUE)</f>
        <v>0</v>
      </c>
      <c r="AH667">
        <f>IF(metadata!H667="",FALSE,TRUE)</f>
        <v>0</v>
      </c>
      <c r="AI667">
        <f>OR(AND(IF(metadata!I667="",FALSE,TRUE),OR(exact(metadata!I667,"missing: not collected"),exact(metadata!I667,"missing: not provided"),exact(metadata!I667,"missing: restricted access"))),AND(IF(metadata!I667="",FALSE,TRUE),OR(exact(metadata!I667,"air"),exact(metadata!I667,"built environment"),exact(metadata!I667,"host-associated"),exact(metadata!I667,"human-associated"),exact(metadata!I667,"human-skin"),exact(metadata!I667,"human-oral"),exact(metadata!I667,"human-gut"),exact(metadata!I667,"human-vaginal"),exact(metadata!I667,"microbial mat/biofilm"),exact(metadata!I667,"misc environment"),exact(metadata!I667,"plant-associated"),exact(metadata!I667,"sediment"),exact(metadata!I667,"soil"),exact(metadata!I667,"wastewater/sludge"),exact(metadata!I667,"water"))))</f>
        <v>0</v>
      </c>
      <c r="AJ667">
        <f>IF(metadata!J667="",FALSE,TRUE)</f>
        <v>0</v>
      </c>
      <c r="AK667">
        <f>OR(AND(IF(metadata!K667="",FALSE,TRUE),OR(exact(metadata!K667,"missing: not collected"),exact(metadata!K667,"missing: not provided"),exact(metadata!K667,"missing: restricted access"))),AND(IF(metadata!K667="",FALSE,ISNUMBER(VALUE(metadata!K667))),metadata!K667&gt;=-90.00,metadata!K667&lt;=90.00))</f>
        <v>0</v>
      </c>
      <c r="AL667">
        <f>OR(AND(IF(metadata!L667="",FALSE,TRUE),OR(exact(metadata!L667,"missing: not collected"),exact(metadata!L667,"missing: not provided"),exact(metadata!L667,"missing: restricted access"))),AND(IF(metadata!L667="",FALSE,ISNUMBER(VALUE(metadata!L667))),metadata!L667&gt;=-180.00,metadata!L667&lt;=180.00))</f>
        <v>0</v>
      </c>
      <c r="AM667">
        <f>IF(metadata!M667="",FALSE,TRUE)</f>
        <v>0</v>
      </c>
      <c r="AN667">
        <f>OR(AND(IF(metadata!N667="",FALSE,TRUE),OR(exact(metadata!N667,"missing: not collected"),exact(metadata!N667,"missing: not provided"),exact(metadata!N667,"missing: restricted access"))),AND(IF(metadata!N667="",FALSE,TRUE),OR(exact(metadata!N667,"TRUE"),exact(metadata!N667,"FALSE"))))</f>
        <v>0</v>
      </c>
      <c r="AO667">
        <f>IF(metadata!O667="",FALSE,TRUE)</f>
        <v>0</v>
      </c>
      <c r="AP667">
        <f>OR(AND(IF(metadata!P667="",FALSE,TRUE),OR(exact(metadata!P667,"missing: not collected"),exact(metadata!P667,"missing: not provided"))),AND(IF(metadata!P667="",FALSE,IF(ISERROR(INT(metadata!P667)),FALSE,INT(metadata!P667)=metadata!P667)),metadata!P667&gt;0))</f>
        <v>0</v>
      </c>
      <c r="AQ667">
        <f>IF(metadata!Q667="",FALSE,TRUE)</f>
        <v>0</v>
      </c>
    </row>
    <row r="668" spans="1:43">
      <c r="A668" s="5">
        <f>IF(B668=" "," ",HYPERLINK(CONCATENATE("#metadata!",ADDRESS(INDEX($W$2:$W$1001,MATCH(ROWS($U$2:U668),$U$2:$U$1001,0),0),1)),INDEX($Z$2:$Z$1001,MATCH(ROWS($U$2:U668),$U$2:$U$1001,0),0)))</f>
        <v>0</v>
      </c>
      <c r="B668" s="4">
        <f>IF(OR(INDEX($V$2:$V$1001,MATCH(ROWS($U$2:U668),$U$2:$U$1001,0),1)&gt;=100000,INDEX($AB$1005:$AQ$1005,1,MATCH(COLUMNS($AB$1006:AB1006),$AB$1006:$AQ$1006,0))&gt;=100000), " ",IF(INDEX($AB$2:$AQ$1001,MATCH(ROWS($U$2:U668),$U$2:$U$1001,0),MATCH(COLUMNS($AB$1006:AB1006),$AB$1006:$AQ$1006,0)), HYPERLINK("#",""), HYPERLINK(CONCATENATE("#metadata!", ADDRESS(INDEX($W$2:$W$1001,MATCH(ROWS($U$2:U668),$U$2:$U$1001,0),0), INDEX($AB$1004:$AQ$1004,1,MATCH(COLUMNS($AB$1006:AB1006),$AB$1006:$AQ$1006,0)))),"Fix")))</f>
        <v>0</v>
      </c>
      <c r="C668" s="4">
        <f>IF(OR(INDEX($V$2:$V$1001,MATCH(ROWS($U$2:U668),$U$2:$U$1001,0),1)&gt;=100000,INDEX($AB$1005:$AQ$1005,1,MATCH(COLUMNS($AB$1006:AC1006),$AB$1006:$AQ$1006,0))&gt;=100000), " ",IF(INDEX($AB$2:$AQ$1001,MATCH(ROWS($U$2:U668),$U$2:$U$1001,0),MATCH(COLUMNS($AB$1006:AC1006),$AB$1006:$AQ$1006,0)), HYPERLINK("#",""), HYPERLINK(CONCATENATE("#metadata!", ADDRESS(INDEX($W$2:$W$1001,MATCH(ROWS($U$2:U668),$U$2:$U$1001,0),0), INDEX($AB$1004:$AQ$1004,1,MATCH(COLUMNS($AB$1006:AC1006),$AB$1006:$AQ$1006,0)))),"Fix")))</f>
        <v>0</v>
      </c>
      <c r="D668" s="4">
        <f>IF(OR(INDEX($V$2:$V$1001,MATCH(ROWS($U$2:U668),$U$2:$U$1001,0),1)&gt;=100000,INDEX($AB$1005:$AQ$1005,1,MATCH(COLUMNS($AB$1006:AD1006),$AB$1006:$AQ$1006,0))&gt;=100000), " ",IF(INDEX($AB$2:$AQ$1001,MATCH(ROWS($U$2:U668),$U$2:$U$1001,0),MATCH(COLUMNS($AB$1006:AD1006),$AB$1006:$AQ$1006,0)), HYPERLINK("#",""), HYPERLINK(CONCATENATE("#metadata!", ADDRESS(INDEX($W$2:$W$1001,MATCH(ROWS($U$2:U668),$U$2:$U$1001,0),0), INDEX($AB$1004:$AQ$1004,1,MATCH(COLUMNS($AB$1006:AD1006),$AB$1006:$AQ$1006,0)))),"Fix")))</f>
        <v>0</v>
      </c>
      <c r="E668" s="4">
        <f>IF(OR(INDEX($V$2:$V$1001,MATCH(ROWS($U$2:U668),$U$2:$U$1001,0),1)&gt;=100000,INDEX($AB$1005:$AQ$1005,1,MATCH(COLUMNS($AB$1006:AE1006),$AB$1006:$AQ$1006,0))&gt;=100000), " ",IF(INDEX($AB$2:$AQ$1001,MATCH(ROWS($U$2:U668),$U$2:$U$1001,0),MATCH(COLUMNS($AB$1006:AE1006),$AB$1006:$AQ$1006,0)), HYPERLINK("#",""), HYPERLINK(CONCATENATE("#metadata!", ADDRESS(INDEX($W$2:$W$1001,MATCH(ROWS($U$2:U668),$U$2:$U$1001,0),0), INDEX($AB$1004:$AQ$1004,1,MATCH(COLUMNS($AB$1006:AE1006),$AB$1006:$AQ$1006,0)))),"Fix")))</f>
        <v>0</v>
      </c>
      <c r="F668" s="4">
        <f>IF(OR(INDEX($V$2:$V$1001,MATCH(ROWS($U$2:U668),$U$2:$U$1001,0),1)&gt;=100000,INDEX($AB$1005:$AQ$1005,1,MATCH(COLUMNS($AB$1006:AF1006),$AB$1006:$AQ$1006,0))&gt;=100000), " ",IF(INDEX($AB$2:$AQ$1001,MATCH(ROWS($U$2:U668),$U$2:$U$1001,0),MATCH(COLUMNS($AB$1006:AF1006),$AB$1006:$AQ$1006,0)), HYPERLINK("#",""), HYPERLINK(CONCATENATE("#metadata!", ADDRESS(INDEX($W$2:$W$1001,MATCH(ROWS($U$2:U668),$U$2:$U$1001,0),0), INDEX($AB$1004:$AQ$1004,1,MATCH(COLUMNS($AB$1006:AF1006),$AB$1006:$AQ$1006,0)))),"Fix")))</f>
        <v>0</v>
      </c>
      <c r="G668" s="4">
        <f>IF(OR(INDEX($V$2:$V$1001,MATCH(ROWS($U$2:U668),$U$2:$U$1001,0),1)&gt;=100000,INDEX($AB$1005:$AQ$1005,1,MATCH(COLUMNS($AB$1006:AG1006),$AB$1006:$AQ$1006,0))&gt;=100000), " ",IF(INDEX($AB$2:$AQ$1001,MATCH(ROWS($U$2:U668),$U$2:$U$1001,0),MATCH(COLUMNS($AB$1006:AG1006),$AB$1006:$AQ$1006,0)), HYPERLINK("#",""), HYPERLINK(CONCATENATE("#metadata!", ADDRESS(INDEX($W$2:$W$1001,MATCH(ROWS($U$2:U668),$U$2:$U$1001,0),0), INDEX($AB$1004:$AQ$1004,1,MATCH(COLUMNS($AB$1006:AG1006),$AB$1006:$AQ$1006,0)))),"Fix")))</f>
        <v>0</v>
      </c>
      <c r="H668" s="4">
        <f>IF(OR(INDEX($V$2:$V$1001,MATCH(ROWS($U$2:U668),$U$2:$U$1001,0),1)&gt;=100000,INDEX($AB$1005:$AQ$1005,1,MATCH(COLUMNS($AB$1006:AH1006),$AB$1006:$AQ$1006,0))&gt;=100000), " ",IF(INDEX($AB$2:$AQ$1001,MATCH(ROWS($U$2:U668),$U$2:$U$1001,0),MATCH(COLUMNS($AB$1006:AH1006),$AB$1006:$AQ$1006,0)), HYPERLINK("#",""), HYPERLINK(CONCATENATE("#metadata!", ADDRESS(INDEX($W$2:$W$1001,MATCH(ROWS($U$2:U668),$U$2:$U$1001,0),0), INDEX($AB$1004:$AQ$1004,1,MATCH(COLUMNS($AB$1006:AH1006),$AB$1006:$AQ$1006,0)))),"Fix")))</f>
        <v>0</v>
      </c>
      <c r="I668" s="4">
        <f>IF(OR(INDEX($V$2:$V$1001,MATCH(ROWS($U$2:U668),$U$2:$U$1001,0),1)&gt;=100000,INDEX($AB$1005:$AQ$1005,1,MATCH(COLUMNS($AB$1006:AI1006),$AB$1006:$AQ$1006,0))&gt;=100000), " ",IF(INDEX($AB$2:$AQ$1001,MATCH(ROWS($U$2:U668),$U$2:$U$1001,0),MATCH(COLUMNS($AB$1006:AI1006),$AB$1006:$AQ$1006,0)), HYPERLINK("#",""), HYPERLINK(CONCATENATE("#metadata!", ADDRESS(INDEX($W$2:$W$1001,MATCH(ROWS($U$2:U668),$U$2:$U$1001,0),0), INDEX($AB$1004:$AQ$1004,1,MATCH(COLUMNS($AB$1006:AI1006),$AB$1006:$AQ$1006,0)))),"Fix")))</f>
        <v>0</v>
      </c>
      <c r="J668" s="4">
        <f>IF(OR(INDEX($V$2:$V$1001,MATCH(ROWS($U$2:U668),$U$2:$U$1001,0),1)&gt;=100000,INDEX($AB$1005:$AQ$1005,1,MATCH(COLUMNS($AB$1006:AJ1006),$AB$1006:$AQ$1006,0))&gt;=100000), " ",IF(INDEX($AB$2:$AQ$1001,MATCH(ROWS($U$2:U668),$U$2:$U$1001,0),MATCH(COLUMNS($AB$1006:AJ1006),$AB$1006:$AQ$1006,0)), HYPERLINK("#",""), HYPERLINK(CONCATENATE("#metadata!", ADDRESS(INDEX($W$2:$W$1001,MATCH(ROWS($U$2:U668),$U$2:$U$1001,0),0), INDEX($AB$1004:$AQ$1004,1,MATCH(COLUMNS($AB$1006:AJ1006),$AB$1006:$AQ$1006,0)))),"Fix")))</f>
        <v>0</v>
      </c>
      <c r="K668" s="4">
        <f>IF(OR(INDEX($V$2:$V$1001,MATCH(ROWS($U$2:U668),$U$2:$U$1001,0),1)&gt;=100000,INDEX($AB$1005:$AQ$1005,1,MATCH(COLUMNS($AB$1006:AK1006),$AB$1006:$AQ$1006,0))&gt;=100000), " ",IF(INDEX($AB$2:$AQ$1001,MATCH(ROWS($U$2:U668),$U$2:$U$1001,0),MATCH(COLUMNS($AB$1006:AK1006),$AB$1006:$AQ$1006,0)), HYPERLINK("#",""), HYPERLINK(CONCATENATE("#metadata!", ADDRESS(INDEX($W$2:$W$1001,MATCH(ROWS($U$2:U668),$U$2:$U$1001,0),0), INDEX($AB$1004:$AQ$1004,1,MATCH(COLUMNS($AB$1006:AK1006),$AB$1006:$AQ$1006,0)))),"Fix")))</f>
        <v>0</v>
      </c>
      <c r="L668" s="4">
        <f>IF(OR(INDEX($V$2:$V$1001,MATCH(ROWS($U$2:U668),$U$2:$U$1001,0),1)&gt;=100000,INDEX($AB$1005:$AQ$1005,1,MATCH(COLUMNS($AB$1006:AL1006),$AB$1006:$AQ$1006,0))&gt;=100000), " ",IF(INDEX($AB$2:$AQ$1001,MATCH(ROWS($U$2:U668),$U$2:$U$1001,0),MATCH(COLUMNS($AB$1006:AL1006),$AB$1006:$AQ$1006,0)), HYPERLINK("#",""), HYPERLINK(CONCATENATE("#metadata!", ADDRESS(INDEX($W$2:$W$1001,MATCH(ROWS($U$2:U668),$U$2:$U$1001,0),0), INDEX($AB$1004:$AQ$1004,1,MATCH(COLUMNS($AB$1006:AL1006),$AB$1006:$AQ$1006,0)))),"Fix")))</f>
        <v>0</v>
      </c>
      <c r="M668" s="4">
        <f>IF(OR(INDEX($V$2:$V$1001,MATCH(ROWS($U$2:U668),$U$2:$U$1001,0),1)&gt;=100000,INDEX($AB$1005:$AQ$1005,1,MATCH(COLUMNS($AB$1006:AM1006),$AB$1006:$AQ$1006,0))&gt;=100000), " ",IF(INDEX($AB$2:$AQ$1001,MATCH(ROWS($U$2:U668),$U$2:$U$1001,0),MATCH(COLUMNS($AB$1006:AM1006),$AB$1006:$AQ$1006,0)), HYPERLINK("#",""), HYPERLINK(CONCATENATE("#metadata!", ADDRESS(INDEX($W$2:$W$1001,MATCH(ROWS($U$2:U668),$U$2:$U$1001,0),0), INDEX($AB$1004:$AQ$1004,1,MATCH(COLUMNS($AB$1006:AM1006),$AB$1006:$AQ$1006,0)))),"Fix")))</f>
        <v>0</v>
      </c>
      <c r="N668" s="4">
        <f>IF(OR(INDEX($V$2:$V$1001,MATCH(ROWS($U$2:U668),$U$2:$U$1001,0),1)&gt;=100000,INDEX($AB$1005:$AQ$1005,1,MATCH(COLUMNS($AB$1006:AN1006),$AB$1006:$AQ$1006,0))&gt;=100000), " ",IF(INDEX($AB$2:$AQ$1001,MATCH(ROWS($U$2:U668),$U$2:$U$1001,0),MATCH(COLUMNS($AB$1006:AN1006),$AB$1006:$AQ$1006,0)), HYPERLINK("#",""), HYPERLINK(CONCATENATE("#metadata!", ADDRESS(INDEX($W$2:$W$1001,MATCH(ROWS($U$2:U668),$U$2:$U$1001,0),0), INDEX($AB$1004:$AQ$1004,1,MATCH(COLUMNS($AB$1006:AN1006),$AB$1006:$AQ$1006,0)))),"Fix")))</f>
        <v>0</v>
      </c>
      <c r="O668" s="4">
        <f>IF(OR(INDEX($V$2:$V$1001,MATCH(ROWS($U$2:U668),$U$2:$U$1001,0),1)&gt;=100000,INDEX($AB$1005:$AQ$1005,1,MATCH(COLUMNS($AB$1006:AO1006),$AB$1006:$AQ$1006,0))&gt;=100000), " ",IF(INDEX($AB$2:$AQ$1001,MATCH(ROWS($U$2:U668),$U$2:$U$1001,0),MATCH(COLUMNS($AB$1006:AO1006),$AB$1006:$AQ$1006,0)), HYPERLINK("#",""), HYPERLINK(CONCATENATE("#metadata!", ADDRESS(INDEX($W$2:$W$1001,MATCH(ROWS($U$2:U668),$U$2:$U$1001,0),0), INDEX($AB$1004:$AQ$1004,1,MATCH(COLUMNS($AB$1006:AO1006),$AB$1006:$AQ$1006,0)))),"Fix")))</f>
        <v>0</v>
      </c>
      <c r="P668" s="4">
        <f>IF(OR(INDEX($V$2:$V$1001,MATCH(ROWS($U$2:U668),$U$2:$U$1001,0),1)&gt;=100000,INDEX($AB$1005:$AQ$1005,1,MATCH(COLUMNS($AB$1006:AP1006),$AB$1006:$AQ$1006,0))&gt;=100000), " ",IF(INDEX($AB$2:$AQ$1001,MATCH(ROWS($U$2:U668),$U$2:$U$1001,0),MATCH(COLUMNS($AB$1006:AP1006),$AB$1006:$AQ$1006,0)), HYPERLINK("#",""), HYPERLINK(CONCATENATE("#metadata!", ADDRESS(INDEX($W$2:$W$1001,MATCH(ROWS($U$2:U668),$U$2:$U$1001,0),0), INDEX($AB$1004:$AQ$1004,1,MATCH(COLUMNS($AB$1006:AP1006),$AB$1006:$AQ$1006,0)))),"Fix")))</f>
        <v>0</v>
      </c>
      <c r="Q668" s="4">
        <f>IF(OR(INDEX($V$2:$V$1001,MATCH(ROWS($U$2:U668),$U$2:$U$1001,0),1)&gt;=100000,INDEX($AB$1005:$AQ$1005,1,MATCH(COLUMNS($AB$1006:AQ1006),$AB$1006:$AQ$1006,0))&gt;=100000), " ",IF(INDEX($AB$2:$AQ$1001,MATCH(ROWS($U$2:U668),$U$2:$U$1001,0),MATCH(COLUMNS($AB$1006:AQ1006),$AB$1006:$AQ$1006,0)), HYPERLINK("#",""), HYPERLINK(CONCATENATE("#metadata!", ADDRESS(INDEX($W$2:$W$1001,MATCH(ROWS($U$2:U668),$U$2:$U$1001,0),0), INDEX($AB$1004:$AQ$1004,1,MATCH(COLUMNS($AB$1006:AQ1006),$AB$1006:$AQ$1006,0)))),"Fix")))</f>
        <v>0</v>
      </c>
      <c r="U668">
        <v>0</v>
      </c>
      <c r="V668">
        <v>0</v>
      </c>
      <c r="W668">
        <v>0</v>
      </c>
      <c r="X668">
        <f>IF(Y668,TRUE,AND(AB668:AQ668))</f>
        <v>0</v>
      </c>
      <c r="Y668">
        <f>COUNTBLANK(metadata!B668:Q668)=COLUMNS(metadata!B668:Q668)</f>
        <v>0</v>
      </c>
      <c r="Z668">
        <v>0</v>
      </c>
      <c r="AB668">
        <f>AND(IF(metadata!B668="",FALSE,TRUE),COUNTIF(metadata!B:B, metadata!B668) = 1,NOT(ISERROR(SUMPRODUCT(SEARCH(MID(metadata!B668,ROW(INDIRECT("1:"&amp;LEN(metadata!B668))), 1),"0123456789abcdefghijklmnopqrstuvwxyzABCDEFGHIJKLMNOPQRSTUVWXYZ.")))))</f>
        <v>0</v>
      </c>
      <c r="AC668">
        <f>OR(AND(IF(metadata!C668="",FALSE,TRUE),OR(exact(metadata!C668,"missing: not collected"),exact(metadata!C668,"missing: not provided"),exact(metadata!C668,"missing: restricted access"))),AND(IF(metadata!C668="",FALSE,TRUE),AND(AND(IFERROR(INT(LEFT(metadata!C668,4))&gt;1900,FALSE),IFERROR(INT(LEFT(metadata!C668,4))&lt;=YEAR(NOW()),FALSE)), OR(MID(metadata!C668,5,1)="", AND(AND(MID(metadata!C668,5,1)="-",IFERROR(INT(MID(metadata!C668,6,1))&gt;=0,FALSE),IFERROR(INT(MID(metadata!C668,6,1))&lt;=1,FALSE),NOT(MID(metadata!C668,7,1)=""),IFERROR(INT(MID(metadata!C668,6,2))&gt;=1,FALSE),IFERROR(INT(MID(metadata!C668,6,2))&lt;=12,FALSE)), OR(MID(metadata!C668,8,1)="", AND(AND(MID(metadata!C668,8,1)="-",IFERROR(INT(MID(metadata!C668,9,1))&gt;=0,FALSE),IFERROR(INT(MID(metadata!C668,9,1))&lt;=3,FALSE),NOT(MID(metadata!C668,10,1)=""),IFERROR(INT(MID(metadata!C668,9,2))&gt;=1,FALSE),IFERROR(INT(MID(metadata!C668,9,2))&lt;=31,FALSE)), OR(MID(metadata!C668,11,1)="", AND(AND(MID(metadata!C668,11,1)=" ",IFERROR(INT(MID(metadata!C668,12,1))&gt;=0,FALSE),IFERROR(INT(MID(metadata!C668,12,1))&lt;=2,FALSE),NOT(MID(metadata!C668,13,1)=""),IFERROR(INT(MID(metadata!C668,12,2))&gt;=0,FALSE),IFERROR(INT(MID(metadata!C668,12,2))&lt;=23,FALSE)), OR(MID(metadata!C668,14,1)="", AND(AND(MID(metadata!C668,14,1)=":",IFERROR(INT(MID(metadata!C668,15,1))&gt;=0,FALSE),IFERROR(INT(MID(metadata!C668,15,1))&lt;=5,FALSE),NOT(MID(metadata!C668,16,1)=""),IFERROR(INT(MID(metadata!C668,15,2))&gt;=0,FALSE),IFERROR(INT(MID(metadata!C668,15,2))&lt;=59,FALSE)), OR(MID(metadata!C668,17,1)="", AND(AND(MID(metadata!C668,17,1)=":",IFERROR(INT(MID(metadata!C668,18,1))&gt;=0,FALSE),IFERROR(INT(MID(metadata!C668,18,1))&lt;=5,FALSE),NOT(MID(metadata!C668,19,1)=""),IFERROR(INT(MID(metadata!C668,18,2))&gt;=0,FALSE),IFERROR(INT(MID(metadata!C668,18,2))&lt;=59,FALSE)), LEN(metadata!C668)&lt;=19)))))))))))))</f>
        <v>0</v>
      </c>
      <c r="AD668">
        <f>IF(metadata!D668="",FALSE,TRUE)</f>
        <v>0</v>
      </c>
      <c r="AE668">
        <f>OR(AND(IF(metadata!E668="",FALSE,TRUE),OR(exact(metadata!E668,"missing: not collected"),exact(metadata!E668,"missing: not provided"))),AND(IF(metadata!E668="",FALSE,TRUE),OR(exact(metadata!E668,"TRUE"),exact(metadata!E668,"FALSE"))))</f>
        <v>0</v>
      </c>
      <c r="AF668">
        <f>IF(metadata!F668="",FALSE,TRUE)</f>
        <v>0</v>
      </c>
      <c r="AG668">
        <f>IF(metadata!G668="",FALSE,TRUE)</f>
        <v>0</v>
      </c>
      <c r="AH668">
        <f>IF(metadata!H668="",FALSE,TRUE)</f>
        <v>0</v>
      </c>
      <c r="AI668">
        <f>OR(AND(IF(metadata!I668="",FALSE,TRUE),OR(exact(metadata!I668,"missing: not collected"),exact(metadata!I668,"missing: not provided"),exact(metadata!I668,"missing: restricted access"))),AND(IF(metadata!I668="",FALSE,TRUE),OR(exact(metadata!I668,"air"),exact(metadata!I668,"built environment"),exact(metadata!I668,"host-associated"),exact(metadata!I668,"human-associated"),exact(metadata!I668,"human-skin"),exact(metadata!I668,"human-oral"),exact(metadata!I668,"human-gut"),exact(metadata!I668,"human-vaginal"),exact(metadata!I668,"microbial mat/biofilm"),exact(metadata!I668,"misc environment"),exact(metadata!I668,"plant-associated"),exact(metadata!I668,"sediment"),exact(metadata!I668,"soil"),exact(metadata!I668,"wastewater/sludge"),exact(metadata!I668,"water"))))</f>
        <v>0</v>
      </c>
      <c r="AJ668">
        <f>IF(metadata!J668="",FALSE,TRUE)</f>
        <v>0</v>
      </c>
      <c r="AK668">
        <f>OR(AND(IF(metadata!K668="",FALSE,TRUE),OR(exact(metadata!K668,"missing: not collected"),exact(metadata!K668,"missing: not provided"),exact(metadata!K668,"missing: restricted access"))),AND(IF(metadata!K668="",FALSE,ISNUMBER(VALUE(metadata!K668))),metadata!K668&gt;=-90.00,metadata!K668&lt;=90.00))</f>
        <v>0</v>
      </c>
      <c r="AL668">
        <f>OR(AND(IF(metadata!L668="",FALSE,TRUE),OR(exact(metadata!L668,"missing: not collected"),exact(metadata!L668,"missing: not provided"),exact(metadata!L668,"missing: restricted access"))),AND(IF(metadata!L668="",FALSE,ISNUMBER(VALUE(metadata!L668))),metadata!L668&gt;=-180.00,metadata!L668&lt;=180.00))</f>
        <v>0</v>
      </c>
      <c r="AM668">
        <f>IF(metadata!M668="",FALSE,TRUE)</f>
        <v>0</v>
      </c>
      <c r="AN668">
        <f>OR(AND(IF(metadata!N668="",FALSE,TRUE),OR(exact(metadata!N668,"missing: not collected"),exact(metadata!N668,"missing: not provided"),exact(metadata!N668,"missing: restricted access"))),AND(IF(metadata!N668="",FALSE,TRUE),OR(exact(metadata!N668,"TRUE"),exact(metadata!N668,"FALSE"))))</f>
        <v>0</v>
      </c>
      <c r="AO668">
        <f>IF(metadata!O668="",FALSE,TRUE)</f>
        <v>0</v>
      </c>
      <c r="AP668">
        <f>OR(AND(IF(metadata!P668="",FALSE,TRUE),OR(exact(metadata!P668,"missing: not collected"),exact(metadata!P668,"missing: not provided"))),AND(IF(metadata!P668="",FALSE,IF(ISERROR(INT(metadata!P668)),FALSE,INT(metadata!P668)=metadata!P668)),metadata!P668&gt;0))</f>
        <v>0</v>
      </c>
      <c r="AQ668">
        <f>IF(metadata!Q668="",FALSE,TRUE)</f>
        <v>0</v>
      </c>
    </row>
    <row r="669" spans="1:43">
      <c r="A669" s="5">
        <f>IF(B669=" "," ",HYPERLINK(CONCATENATE("#metadata!",ADDRESS(INDEX($W$2:$W$1001,MATCH(ROWS($U$2:U669),$U$2:$U$1001,0),0),1)),INDEX($Z$2:$Z$1001,MATCH(ROWS($U$2:U669),$U$2:$U$1001,0),0)))</f>
        <v>0</v>
      </c>
      <c r="B669" s="4">
        <f>IF(OR(INDEX($V$2:$V$1001,MATCH(ROWS($U$2:U669),$U$2:$U$1001,0),1)&gt;=100000,INDEX($AB$1005:$AQ$1005,1,MATCH(COLUMNS($AB$1006:AB1006),$AB$1006:$AQ$1006,0))&gt;=100000), " ",IF(INDEX($AB$2:$AQ$1001,MATCH(ROWS($U$2:U669),$U$2:$U$1001,0),MATCH(COLUMNS($AB$1006:AB1006),$AB$1006:$AQ$1006,0)), HYPERLINK("#",""), HYPERLINK(CONCATENATE("#metadata!", ADDRESS(INDEX($W$2:$W$1001,MATCH(ROWS($U$2:U669),$U$2:$U$1001,0),0), INDEX($AB$1004:$AQ$1004,1,MATCH(COLUMNS($AB$1006:AB1006),$AB$1006:$AQ$1006,0)))),"Fix")))</f>
        <v>0</v>
      </c>
      <c r="C669" s="4">
        <f>IF(OR(INDEX($V$2:$V$1001,MATCH(ROWS($U$2:U669),$U$2:$U$1001,0),1)&gt;=100000,INDEX($AB$1005:$AQ$1005,1,MATCH(COLUMNS($AB$1006:AC1006),$AB$1006:$AQ$1006,0))&gt;=100000), " ",IF(INDEX($AB$2:$AQ$1001,MATCH(ROWS($U$2:U669),$U$2:$U$1001,0),MATCH(COLUMNS($AB$1006:AC1006),$AB$1006:$AQ$1006,0)), HYPERLINK("#",""), HYPERLINK(CONCATENATE("#metadata!", ADDRESS(INDEX($W$2:$W$1001,MATCH(ROWS($U$2:U669),$U$2:$U$1001,0),0), INDEX($AB$1004:$AQ$1004,1,MATCH(COLUMNS($AB$1006:AC1006),$AB$1006:$AQ$1006,0)))),"Fix")))</f>
        <v>0</v>
      </c>
      <c r="D669" s="4">
        <f>IF(OR(INDEX($V$2:$V$1001,MATCH(ROWS($U$2:U669),$U$2:$U$1001,0),1)&gt;=100000,INDEX($AB$1005:$AQ$1005,1,MATCH(COLUMNS($AB$1006:AD1006),$AB$1006:$AQ$1006,0))&gt;=100000), " ",IF(INDEX($AB$2:$AQ$1001,MATCH(ROWS($U$2:U669),$U$2:$U$1001,0),MATCH(COLUMNS($AB$1006:AD1006),$AB$1006:$AQ$1006,0)), HYPERLINK("#",""), HYPERLINK(CONCATENATE("#metadata!", ADDRESS(INDEX($W$2:$W$1001,MATCH(ROWS($U$2:U669),$U$2:$U$1001,0),0), INDEX($AB$1004:$AQ$1004,1,MATCH(COLUMNS($AB$1006:AD1006),$AB$1006:$AQ$1006,0)))),"Fix")))</f>
        <v>0</v>
      </c>
      <c r="E669" s="4">
        <f>IF(OR(INDEX($V$2:$V$1001,MATCH(ROWS($U$2:U669),$U$2:$U$1001,0),1)&gt;=100000,INDEX($AB$1005:$AQ$1005,1,MATCH(COLUMNS($AB$1006:AE1006),$AB$1006:$AQ$1006,0))&gt;=100000), " ",IF(INDEX($AB$2:$AQ$1001,MATCH(ROWS($U$2:U669),$U$2:$U$1001,0),MATCH(COLUMNS($AB$1006:AE1006),$AB$1006:$AQ$1006,0)), HYPERLINK("#",""), HYPERLINK(CONCATENATE("#metadata!", ADDRESS(INDEX($W$2:$W$1001,MATCH(ROWS($U$2:U669),$U$2:$U$1001,0),0), INDEX($AB$1004:$AQ$1004,1,MATCH(COLUMNS($AB$1006:AE1006),$AB$1006:$AQ$1006,0)))),"Fix")))</f>
        <v>0</v>
      </c>
      <c r="F669" s="4">
        <f>IF(OR(INDEX($V$2:$V$1001,MATCH(ROWS($U$2:U669),$U$2:$U$1001,0),1)&gt;=100000,INDEX($AB$1005:$AQ$1005,1,MATCH(COLUMNS($AB$1006:AF1006),$AB$1006:$AQ$1006,0))&gt;=100000), " ",IF(INDEX($AB$2:$AQ$1001,MATCH(ROWS($U$2:U669),$U$2:$U$1001,0),MATCH(COLUMNS($AB$1006:AF1006),$AB$1006:$AQ$1006,0)), HYPERLINK("#",""), HYPERLINK(CONCATENATE("#metadata!", ADDRESS(INDEX($W$2:$W$1001,MATCH(ROWS($U$2:U669),$U$2:$U$1001,0),0), INDEX($AB$1004:$AQ$1004,1,MATCH(COLUMNS($AB$1006:AF1006),$AB$1006:$AQ$1006,0)))),"Fix")))</f>
        <v>0</v>
      </c>
      <c r="G669" s="4">
        <f>IF(OR(INDEX($V$2:$V$1001,MATCH(ROWS($U$2:U669),$U$2:$U$1001,0),1)&gt;=100000,INDEX($AB$1005:$AQ$1005,1,MATCH(COLUMNS($AB$1006:AG1006),$AB$1006:$AQ$1006,0))&gt;=100000), " ",IF(INDEX($AB$2:$AQ$1001,MATCH(ROWS($U$2:U669),$U$2:$U$1001,0),MATCH(COLUMNS($AB$1006:AG1006),$AB$1006:$AQ$1006,0)), HYPERLINK("#",""), HYPERLINK(CONCATENATE("#metadata!", ADDRESS(INDEX($W$2:$W$1001,MATCH(ROWS($U$2:U669),$U$2:$U$1001,0),0), INDEX($AB$1004:$AQ$1004,1,MATCH(COLUMNS($AB$1006:AG1006),$AB$1006:$AQ$1006,0)))),"Fix")))</f>
        <v>0</v>
      </c>
      <c r="H669" s="4">
        <f>IF(OR(INDEX($V$2:$V$1001,MATCH(ROWS($U$2:U669),$U$2:$U$1001,0),1)&gt;=100000,INDEX($AB$1005:$AQ$1005,1,MATCH(COLUMNS($AB$1006:AH1006),$AB$1006:$AQ$1006,0))&gt;=100000), " ",IF(INDEX($AB$2:$AQ$1001,MATCH(ROWS($U$2:U669),$U$2:$U$1001,0),MATCH(COLUMNS($AB$1006:AH1006),$AB$1006:$AQ$1006,0)), HYPERLINK("#",""), HYPERLINK(CONCATENATE("#metadata!", ADDRESS(INDEX($W$2:$W$1001,MATCH(ROWS($U$2:U669),$U$2:$U$1001,0),0), INDEX($AB$1004:$AQ$1004,1,MATCH(COLUMNS($AB$1006:AH1006),$AB$1006:$AQ$1006,0)))),"Fix")))</f>
        <v>0</v>
      </c>
      <c r="I669" s="4">
        <f>IF(OR(INDEX($V$2:$V$1001,MATCH(ROWS($U$2:U669),$U$2:$U$1001,0),1)&gt;=100000,INDEX($AB$1005:$AQ$1005,1,MATCH(COLUMNS($AB$1006:AI1006),$AB$1006:$AQ$1006,0))&gt;=100000), " ",IF(INDEX($AB$2:$AQ$1001,MATCH(ROWS($U$2:U669),$U$2:$U$1001,0),MATCH(COLUMNS($AB$1006:AI1006),$AB$1006:$AQ$1006,0)), HYPERLINK("#",""), HYPERLINK(CONCATENATE("#metadata!", ADDRESS(INDEX($W$2:$W$1001,MATCH(ROWS($U$2:U669),$U$2:$U$1001,0),0), INDEX($AB$1004:$AQ$1004,1,MATCH(COLUMNS($AB$1006:AI1006),$AB$1006:$AQ$1006,0)))),"Fix")))</f>
        <v>0</v>
      </c>
      <c r="J669" s="4">
        <f>IF(OR(INDEX($V$2:$V$1001,MATCH(ROWS($U$2:U669),$U$2:$U$1001,0),1)&gt;=100000,INDEX($AB$1005:$AQ$1005,1,MATCH(COLUMNS($AB$1006:AJ1006),$AB$1006:$AQ$1006,0))&gt;=100000), " ",IF(INDEX($AB$2:$AQ$1001,MATCH(ROWS($U$2:U669),$U$2:$U$1001,0),MATCH(COLUMNS($AB$1006:AJ1006),$AB$1006:$AQ$1006,0)), HYPERLINK("#",""), HYPERLINK(CONCATENATE("#metadata!", ADDRESS(INDEX($W$2:$W$1001,MATCH(ROWS($U$2:U669),$U$2:$U$1001,0),0), INDEX($AB$1004:$AQ$1004,1,MATCH(COLUMNS($AB$1006:AJ1006),$AB$1006:$AQ$1006,0)))),"Fix")))</f>
        <v>0</v>
      </c>
      <c r="K669" s="4">
        <f>IF(OR(INDEX($V$2:$V$1001,MATCH(ROWS($U$2:U669),$U$2:$U$1001,0),1)&gt;=100000,INDEX($AB$1005:$AQ$1005,1,MATCH(COLUMNS($AB$1006:AK1006),$AB$1006:$AQ$1006,0))&gt;=100000), " ",IF(INDEX($AB$2:$AQ$1001,MATCH(ROWS($U$2:U669),$U$2:$U$1001,0),MATCH(COLUMNS($AB$1006:AK1006),$AB$1006:$AQ$1006,0)), HYPERLINK("#",""), HYPERLINK(CONCATENATE("#metadata!", ADDRESS(INDEX($W$2:$W$1001,MATCH(ROWS($U$2:U669),$U$2:$U$1001,0),0), INDEX($AB$1004:$AQ$1004,1,MATCH(COLUMNS($AB$1006:AK1006),$AB$1006:$AQ$1006,0)))),"Fix")))</f>
        <v>0</v>
      </c>
      <c r="L669" s="4">
        <f>IF(OR(INDEX($V$2:$V$1001,MATCH(ROWS($U$2:U669),$U$2:$U$1001,0),1)&gt;=100000,INDEX($AB$1005:$AQ$1005,1,MATCH(COLUMNS($AB$1006:AL1006),$AB$1006:$AQ$1006,0))&gt;=100000), " ",IF(INDEX($AB$2:$AQ$1001,MATCH(ROWS($U$2:U669),$U$2:$U$1001,0),MATCH(COLUMNS($AB$1006:AL1006),$AB$1006:$AQ$1006,0)), HYPERLINK("#",""), HYPERLINK(CONCATENATE("#metadata!", ADDRESS(INDEX($W$2:$W$1001,MATCH(ROWS($U$2:U669),$U$2:$U$1001,0),0), INDEX($AB$1004:$AQ$1004,1,MATCH(COLUMNS($AB$1006:AL1006),$AB$1006:$AQ$1006,0)))),"Fix")))</f>
        <v>0</v>
      </c>
      <c r="M669" s="4">
        <f>IF(OR(INDEX($V$2:$V$1001,MATCH(ROWS($U$2:U669),$U$2:$U$1001,0),1)&gt;=100000,INDEX($AB$1005:$AQ$1005,1,MATCH(COLUMNS($AB$1006:AM1006),$AB$1006:$AQ$1006,0))&gt;=100000), " ",IF(INDEX($AB$2:$AQ$1001,MATCH(ROWS($U$2:U669),$U$2:$U$1001,0),MATCH(COLUMNS($AB$1006:AM1006),$AB$1006:$AQ$1006,0)), HYPERLINK("#",""), HYPERLINK(CONCATENATE("#metadata!", ADDRESS(INDEX($W$2:$W$1001,MATCH(ROWS($U$2:U669),$U$2:$U$1001,0),0), INDEX($AB$1004:$AQ$1004,1,MATCH(COLUMNS($AB$1006:AM1006),$AB$1006:$AQ$1006,0)))),"Fix")))</f>
        <v>0</v>
      </c>
      <c r="N669" s="4">
        <f>IF(OR(INDEX($V$2:$V$1001,MATCH(ROWS($U$2:U669),$U$2:$U$1001,0),1)&gt;=100000,INDEX($AB$1005:$AQ$1005,1,MATCH(COLUMNS($AB$1006:AN1006),$AB$1006:$AQ$1006,0))&gt;=100000), " ",IF(INDEX($AB$2:$AQ$1001,MATCH(ROWS($U$2:U669),$U$2:$U$1001,0),MATCH(COLUMNS($AB$1006:AN1006),$AB$1006:$AQ$1006,0)), HYPERLINK("#",""), HYPERLINK(CONCATENATE("#metadata!", ADDRESS(INDEX($W$2:$W$1001,MATCH(ROWS($U$2:U669),$U$2:$U$1001,0),0), INDEX($AB$1004:$AQ$1004,1,MATCH(COLUMNS($AB$1006:AN1006),$AB$1006:$AQ$1006,0)))),"Fix")))</f>
        <v>0</v>
      </c>
      <c r="O669" s="4">
        <f>IF(OR(INDEX($V$2:$V$1001,MATCH(ROWS($U$2:U669),$U$2:$U$1001,0),1)&gt;=100000,INDEX($AB$1005:$AQ$1005,1,MATCH(COLUMNS($AB$1006:AO1006),$AB$1006:$AQ$1006,0))&gt;=100000), " ",IF(INDEX($AB$2:$AQ$1001,MATCH(ROWS($U$2:U669),$U$2:$U$1001,0),MATCH(COLUMNS($AB$1006:AO1006),$AB$1006:$AQ$1006,0)), HYPERLINK("#",""), HYPERLINK(CONCATENATE("#metadata!", ADDRESS(INDEX($W$2:$W$1001,MATCH(ROWS($U$2:U669),$U$2:$U$1001,0),0), INDEX($AB$1004:$AQ$1004,1,MATCH(COLUMNS($AB$1006:AO1006),$AB$1006:$AQ$1006,0)))),"Fix")))</f>
        <v>0</v>
      </c>
      <c r="P669" s="4">
        <f>IF(OR(INDEX($V$2:$V$1001,MATCH(ROWS($U$2:U669),$U$2:$U$1001,0),1)&gt;=100000,INDEX($AB$1005:$AQ$1005,1,MATCH(COLUMNS($AB$1006:AP1006),$AB$1006:$AQ$1006,0))&gt;=100000), " ",IF(INDEX($AB$2:$AQ$1001,MATCH(ROWS($U$2:U669),$U$2:$U$1001,0),MATCH(COLUMNS($AB$1006:AP1006),$AB$1006:$AQ$1006,0)), HYPERLINK("#",""), HYPERLINK(CONCATENATE("#metadata!", ADDRESS(INDEX($W$2:$W$1001,MATCH(ROWS($U$2:U669),$U$2:$U$1001,0),0), INDEX($AB$1004:$AQ$1004,1,MATCH(COLUMNS($AB$1006:AP1006),$AB$1006:$AQ$1006,0)))),"Fix")))</f>
        <v>0</v>
      </c>
      <c r="Q669" s="4">
        <f>IF(OR(INDEX($V$2:$V$1001,MATCH(ROWS($U$2:U669),$U$2:$U$1001,0),1)&gt;=100000,INDEX($AB$1005:$AQ$1005,1,MATCH(COLUMNS($AB$1006:AQ1006),$AB$1006:$AQ$1006,0))&gt;=100000), " ",IF(INDEX($AB$2:$AQ$1001,MATCH(ROWS($U$2:U669),$U$2:$U$1001,0),MATCH(COLUMNS($AB$1006:AQ1006),$AB$1006:$AQ$1006,0)), HYPERLINK("#",""), HYPERLINK(CONCATENATE("#metadata!", ADDRESS(INDEX($W$2:$W$1001,MATCH(ROWS($U$2:U669),$U$2:$U$1001,0),0), INDEX($AB$1004:$AQ$1004,1,MATCH(COLUMNS($AB$1006:AQ1006),$AB$1006:$AQ$1006,0)))),"Fix")))</f>
        <v>0</v>
      </c>
      <c r="U669">
        <v>0</v>
      </c>
      <c r="V669">
        <v>0</v>
      </c>
      <c r="W669">
        <v>0</v>
      </c>
      <c r="X669">
        <f>IF(Y669,TRUE,AND(AB669:AQ669))</f>
        <v>0</v>
      </c>
      <c r="Y669">
        <f>COUNTBLANK(metadata!B669:Q669)=COLUMNS(metadata!B669:Q669)</f>
        <v>0</v>
      </c>
      <c r="Z669">
        <v>0</v>
      </c>
      <c r="AB669">
        <f>AND(IF(metadata!B669="",FALSE,TRUE),COUNTIF(metadata!B:B, metadata!B669) = 1,NOT(ISERROR(SUMPRODUCT(SEARCH(MID(metadata!B669,ROW(INDIRECT("1:"&amp;LEN(metadata!B669))), 1),"0123456789abcdefghijklmnopqrstuvwxyzABCDEFGHIJKLMNOPQRSTUVWXYZ.")))))</f>
        <v>0</v>
      </c>
      <c r="AC669">
        <f>OR(AND(IF(metadata!C669="",FALSE,TRUE),OR(exact(metadata!C669,"missing: not collected"),exact(metadata!C669,"missing: not provided"),exact(metadata!C669,"missing: restricted access"))),AND(IF(metadata!C669="",FALSE,TRUE),AND(AND(IFERROR(INT(LEFT(metadata!C669,4))&gt;1900,FALSE),IFERROR(INT(LEFT(metadata!C669,4))&lt;=YEAR(NOW()),FALSE)), OR(MID(metadata!C669,5,1)="", AND(AND(MID(metadata!C669,5,1)="-",IFERROR(INT(MID(metadata!C669,6,1))&gt;=0,FALSE),IFERROR(INT(MID(metadata!C669,6,1))&lt;=1,FALSE),NOT(MID(metadata!C669,7,1)=""),IFERROR(INT(MID(metadata!C669,6,2))&gt;=1,FALSE),IFERROR(INT(MID(metadata!C669,6,2))&lt;=12,FALSE)), OR(MID(metadata!C669,8,1)="", AND(AND(MID(metadata!C669,8,1)="-",IFERROR(INT(MID(metadata!C669,9,1))&gt;=0,FALSE),IFERROR(INT(MID(metadata!C669,9,1))&lt;=3,FALSE),NOT(MID(metadata!C669,10,1)=""),IFERROR(INT(MID(metadata!C669,9,2))&gt;=1,FALSE),IFERROR(INT(MID(metadata!C669,9,2))&lt;=31,FALSE)), OR(MID(metadata!C669,11,1)="", AND(AND(MID(metadata!C669,11,1)=" ",IFERROR(INT(MID(metadata!C669,12,1))&gt;=0,FALSE),IFERROR(INT(MID(metadata!C669,12,1))&lt;=2,FALSE),NOT(MID(metadata!C669,13,1)=""),IFERROR(INT(MID(metadata!C669,12,2))&gt;=0,FALSE),IFERROR(INT(MID(metadata!C669,12,2))&lt;=23,FALSE)), OR(MID(metadata!C669,14,1)="", AND(AND(MID(metadata!C669,14,1)=":",IFERROR(INT(MID(metadata!C669,15,1))&gt;=0,FALSE),IFERROR(INT(MID(metadata!C669,15,1))&lt;=5,FALSE),NOT(MID(metadata!C669,16,1)=""),IFERROR(INT(MID(metadata!C669,15,2))&gt;=0,FALSE),IFERROR(INT(MID(metadata!C669,15,2))&lt;=59,FALSE)), OR(MID(metadata!C669,17,1)="", AND(AND(MID(metadata!C669,17,1)=":",IFERROR(INT(MID(metadata!C669,18,1))&gt;=0,FALSE),IFERROR(INT(MID(metadata!C669,18,1))&lt;=5,FALSE),NOT(MID(metadata!C669,19,1)=""),IFERROR(INT(MID(metadata!C669,18,2))&gt;=0,FALSE),IFERROR(INT(MID(metadata!C669,18,2))&lt;=59,FALSE)), LEN(metadata!C669)&lt;=19)))))))))))))</f>
        <v>0</v>
      </c>
      <c r="AD669">
        <f>IF(metadata!D669="",FALSE,TRUE)</f>
        <v>0</v>
      </c>
      <c r="AE669">
        <f>OR(AND(IF(metadata!E669="",FALSE,TRUE),OR(exact(metadata!E669,"missing: not collected"),exact(metadata!E669,"missing: not provided"))),AND(IF(metadata!E669="",FALSE,TRUE),OR(exact(metadata!E669,"TRUE"),exact(metadata!E669,"FALSE"))))</f>
        <v>0</v>
      </c>
      <c r="AF669">
        <f>IF(metadata!F669="",FALSE,TRUE)</f>
        <v>0</v>
      </c>
      <c r="AG669">
        <f>IF(metadata!G669="",FALSE,TRUE)</f>
        <v>0</v>
      </c>
      <c r="AH669">
        <f>IF(metadata!H669="",FALSE,TRUE)</f>
        <v>0</v>
      </c>
      <c r="AI669">
        <f>OR(AND(IF(metadata!I669="",FALSE,TRUE),OR(exact(metadata!I669,"missing: not collected"),exact(metadata!I669,"missing: not provided"),exact(metadata!I669,"missing: restricted access"))),AND(IF(metadata!I669="",FALSE,TRUE),OR(exact(metadata!I669,"air"),exact(metadata!I669,"built environment"),exact(metadata!I669,"host-associated"),exact(metadata!I669,"human-associated"),exact(metadata!I669,"human-skin"),exact(metadata!I669,"human-oral"),exact(metadata!I669,"human-gut"),exact(metadata!I669,"human-vaginal"),exact(metadata!I669,"microbial mat/biofilm"),exact(metadata!I669,"misc environment"),exact(metadata!I669,"plant-associated"),exact(metadata!I669,"sediment"),exact(metadata!I669,"soil"),exact(metadata!I669,"wastewater/sludge"),exact(metadata!I669,"water"))))</f>
        <v>0</v>
      </c>
      <c r="AJ669">
        <f>IF(metadata!J669="",FALSE,TRUE)</f>
        <v>0</v>
      </c>
      <c r="AK669">
        <f>OR(AND(IF(metadata!K669="",FALSE,TRUE),OR(exact(metadata!K669,"missing: not collected"),exact(metadata!K669,"missing: not provided"),exact(metadata!K669,"missing: restricted access"))),AND(IF(metadata!K669="",FALSE,ISNUMBER(VALUE(metadata!K669))),metadata!K669&gt;=-90.00,metadata!K669&lt;=90.00))</f>
        <v>0</v>
      </c>
      <c r="AL669">
        <f>OR(AND(IF(metadata!L669="",FALSE,TRUE),OR(exact(metadata!L669,"missing: not collected"),exact(metadata!L669,"missing: not provided"),exact(metadata!L669,"missing: restricted access"))),AND(IF(metadata!L669="",FALSE,ISNUMBER(VALUE(metadata!L669))),metadata!L669&gt;=-180.00,metadata!L669&lt;=180.00))</f>
        <v>0</v>
      </c>
      <c r="AM669">
        <f>IF(metadata!M669="",FALSE,TRUE)</f>
        <v>0</v>
      </c>
      <c r="AN669">
        <f>OR(AND(IF(metadata!N669="",FALSE,TRUE),OR(exact(metadata!N669,"missing: not collected"),exact(metadata!N669,"missing: not provided"),exact(metadata!N669,"missing: restricted access"))),AND(IF(metadata!N669="",FALSE,TRUE),OR(exact(metadata!N669,"TRUE"),exact(metadata!N669,"FALSE"))))</f>
        <v>0</v>
      </c>
      <c r="AO669">
        <f>IF(metadata!O669="",FALSE,TRUE)</f>
        <v>0</v>
      </c>
      <c r="AP669">
        <f>OR(AND(IF(metadata!P669="",FALSE,TRUE),OR(exact(metadata!P669,"missing: not collected"),exact(metadata!P669,"missing: not provided"))),AND(IF(metadata!P669="",FALSE,IF(ISERROR(INT(metadata!P669)),FALSE,INT(metadata!P669)=metadata!P669)),metadata!P669&gt;0))</f>
        <v>0</v>
      </c>
      <c r="AQ669">
        <f>IF(metadata!Q669="",FALSE,TRUE)</f>
        <v>0</v>
      </c>
    </row>
    <row r="670" spans="1:43">
      <c r="A670" s="5">
        <f>IF(B670=" "," ",HYPERLINK(CONCATENATE("#metadata!",ADDRESS(INDEX($W$2:$W$1001,MATCH(ROWS($U$2:U670),$U$2:$U$1001,0),0),1)),INDEX($Z$2:$Z$1001,MATCH(ROWS($U$2:U670),$U$2:$U$1001,0),0)))</f>
        <v>0</v>
      </c>
      <c r="B670" s="4">
        <f>IF(OR(INDEX($V$2:$V$1001,MATCH(ROWS($U$2:U670),$U$2:$U$1001,0),1)&gt;=100000,INDEX($AB$1005:$AQ$1005,1,MATCH(COLUMNS($AB$1006:AB1006),$AB$1006:$AQ$1006,0))&gt;=100000), " ",IF(INDEX($AB$2:$AQ$1001,MATCH(ROWS($U$2:U670),$U$2:$U$1001,0),MATCH(COLUMNS($AB$1006:AB1006),$AB$1006:$AQ$1006,0)), HYPERLINK("#",""), HYPERLINK(CONCATENATE("#metadata!", ADDRESS(INDEX($W$2:$W$1001,MATCH(ROWS($U$2:U670),$U$2:$U$1001,0),0), INDEX($AB$1004:$AQ$1004,1,MATCH(COLUMNS($AB$1006:AB1006),$AB$1006:$AQ$1006,0)))),"Fix")))</f>
        <v>0</v>
      </c>
      <c r="C670" s="4">
        <f>IF(OR(INDEX($V$2:$V$1001,MATCH(ROWS($U$2:U670),$U$2:$U$1001,0),1)&gt;=100000,INDEX($AB$1005:$AQ$1005,1,MATCH(COLUMNS($AB$1006:AC1006),$AB$1006:$AQ$1006,0))&gt;=100000), " ",IF(INDEX($AB$2:$AQ$1001,MATCH(ROWS($U$2:U670),$U$2:$U$1001,0),MATCH(COLUMNS($AB$1006:AC1006),$AB$1006:$AQ$1006,0)), HYPERLINK("#",""), HYPERLINK(CONCATENATE("#metadata!", ADDRESS(INDEX($W$2:$W$1001,MATCH(ROWS($U$2:U670),$U$2:$U$1001,0),0), INDEX($AB$1004:$AQ$1004,1,MATCH(COLUMNS($AB$1006:AC1006),$AB$1006:$AQ$1006,0)))),"Fix")))</f>
        <v>0</v>
      </c>
      <c r="D670" s="4">
        <f>IF(OR(INDEX($V$2:$V$1001,MATCH(ROWS($U$2:U670),$U$2:$U$1001,0),1)&gt;=100000,INDEX($AB$1005:$AQ$1005,1,MATCH(COLUMNS($AB$1006:AD1006),$AB$1006:$AQ$1006,0))&gt;=100000), " ",IF(INDEX($AB$2:$AQ$1001,MATCH(ROWS($U$2:U670),$U$2:$U$1001,0),MATCH(COLUMNS($AB$1006:AD1006),$AB$1006:$AQ$1006,0)), HYPERLINK("#",""), HYPERLINK(CONCATENATE("#metadata!", ADDRESS(INDEX($W$2:$W$1001,MATCH(ROWS($U$2:U670),$U$2:$U$1001,0),0), INDEX($AB$1004:$AQ$1004,1,MATCH(COLUMNS($AB$1006:AD1006),$AB$1006:$AQ$1006,0)))),"Fix")))</f>
        <v>0</v>
      </c>
      <c r="E670" s="4">
        <f>IF(OR(INDEX($V$2:$V$1001,MATCH(ROWS($U$2:U670),$U$2:$U$1001,0),1)&gt;=100000,INDEX($AB$1005:$AQ$1005,1,MATCH(COLUMNS($AB$1006:AE1006),$AB$1006:$AQ$1006,0))&gt;=100000), " ",IF(INDEX($AB$2:$AQ$1001,MATCH(ROWS($U$2:U670),$U$2:$U$1001,0),MATCH(COLUMNS($AB$1006:AE1006),$AB$1006:$AQ$1006,0)), HYPERLINK("#",""), HYPERLINK(CONCATENATE("#metadata!", ADDRESS(INDEX($W$2:$W$1001,MATCH(ROWS($U$2:U670),$U$2:$U$1001,0),0), INDEX($AB$1004:$AQ$1004,1,MATCH(COLUMNS($AB$1006:AE1006),$AB$1006:$AQ$1006,0)))),"Fix")))</f>
        <v>0</v>
      </c>
      <c r="F670" s="4">
        <f>IF(OR(INDEX($V$2:$V$1001,MATCH(ROWS($U$2:U670),$U$2:$U$1001,0),1)&gt;=100000,INDEX($AB$1005:$AQ$1005,1,MATCH(COLUMNS($AB$1006:AF1006),$AB$1006:$AQ$1006,0))&gt;=100000), " ",IF(INDEX($AB$2:$AQ$1001,MATCH(ROWS($U$2:U670),$U$2:$U$1001,0),MATCH(COLUMNS($AB$1006:AF1006),$AB$1006:$AQ$1006,0)), HYPERLINK("#",""), HYPERLINK(CONCATENATE("#metadata!", ADDRESS(INDEX($W$2:$W$1001,MATCH(ROWS($U$2:U670),$U$2:$U$1001,0),0), INDEX($AB$1004:$AQ$1004,1,MATCH(COLUMNS($AB$1006:AF1006),$AB$1006:$AQ$1006,0)))),"Fix")))</f>
        <v>0</v>
      </c>
      <c r="G670" s="4">
        <f>IF(OR(INDEX($V$2:$V$1001,MATCH(ROWS($U$2:U670),$U$2:$U$1001,0),1)&gt;=100000,INDEX($AB$1005:$AQ$1005,1,MATCH(COLUMNS($AB$1006:AG1006),$AB$1006:$AQ$1006,0))&gt;=100000), " ",IF(INDEX($AB$2:$AQ$1001,MATCH(ROWS($U$2:U670),$U$2:$U$1001,0),MATCH(COLUMNS($AB$1006:AG1006),$AB$1006:$AQ$1006,0)), HYPERLINK("#",""), HYPERLINK(CONCATENATE("#metadata!", ADDRESS(INDEX($W$2:$W$1001,MATCH(ROWS($U$2:U670),$U$2:$U$1001,0),0), INDEX($AB$1004:$AQ$1004,1,MATCH(COLUMNS($AB$1006:AG1006),$AB$1006:$AQ$1006,0)))),"Fix")))</f>
        <v>0</v>
      </c>
      <c r="H670" s="4">
        <f>IF(OR(INDEX($V$2:$V$1001,MATCH(ROWS($U$2:U670),$U$2:$U$1001,0),1)&gt;=100000,INDEX($AB$1005:$AQ$1005,1,MATCH(COLUMNS($AB$1006:AH1006),$AB$1006:$AQ$1006,0))&gt;=100000), " ",IF(INDEX($AB$2:$AQ$1001,MATCH(ROWS($U$2:U670),$U$2:$U$1001,0),MATCH(COLUMNS($AB$1006:AH1006),$AB$1006:$AQ$1006,0)), HYPERLINK("#",""), HYPERLINK(CONCATENATE("#metadata!", ADDRESS(INDEX($W$2:$W$1001,MATCH(ROWS($U$2:U670),$U$2:$U$1001,0),0), INDEX($AB$1004:$AQ$1004,1,MATCH(COLUMNS($AB$1006:AH1006),$AB$1006:$AQ$1006,0)))),"Fix")))</f>
        <v>0</v>
      </c>
      <c r="I670" s="4">
        <f>IF(OR(INDEX($V$2:$V$1001,MATCH(ROWS($U$2:U670),$U$2:$U$1001,0),1)&gt;=100000,INDEX($AB$1005:$AQ$1005,1,MATCH(COLUMNS($AB$1006:AI1006),$AB$1006:$AQ$1006,0))&gt;=100000), " ",IF(INDEX($AB$2:$AQ$1001,MATCH(ROWS($U$2:U670),$U$2:$U$1001,0),MATCH(COLUMNS($AB$1006:AI1006),$AB$1006:$AQ$1006,0)), HYPERLINK("#",""), HYPERLINK(CONCATENATE("#metadata!", ADDRESS(INDEX($W$2:$W$1001,MATCH(ROWS($U$2:U670),$U$2:$U$1001,0),0), INDEX($AB$1004:$AQ$1004,1,MATCH(COLUMNS($AB$1006:AI1006),$AB$1006:$AQ$1006,0)))),"Fix")))</f>
        <v>0</v>
      </c>
      <c r="J670" s="4">
        <f>IF(OR(INDEX($V$2:$V$1001,MATCH(ROWS($U$2:U670),$U$2:$U$1001,0),1)&gt;=100000,INDEX($AB$1005:$AQ$1005,1,MATCH(COLUMNS($AB$1006:AJ1006),$AB$1006:$AQ$1006,0))&gt;=100000), " ",IF(INDEX($AB$2:$AQ$1001,MATCH(ROWS($U$2:U670),$U$2:$U$1001,0),MATCH(COLUMNS($AB$1006:AJ1006),$AB$1006:$AQ$1006,0)), HYPERLINK("#",""), HYPERLINK(CONCATENATE("#metadata!", ADDRESS(INDEX($W$2:$W$1001,MATCH(ROWS($U$2:U670),$U$2:$U$1001,0),0), INDEX($AB$1004:$AQ$1004,1,MATCH(COLUMNS($AB$1006:AJ1006),$AB$1006:$AQ$1006,0)))),"Fix")))</f>
        <v>0</v>
      </c>
      <c r="K670" s="4">
        <f>IF(OR(INDEX($V$2:$V$1001,MATCH(ROWS($U$2:U670),$U$2:$U$1001,0),1)&gt;=100000,INDEX($AB$1005:$AQ$1005,1,MATCH(COLUMNS($AB$1006:AK1006),$AB$1006:$AQ$1006,0))&gt;=100000), " ",IF(INDEX($AB$2:$AQ$1001,MATCH(ROWS($U$2:U670),$U$2:$U$1001,0),MATCH(COLUMNS($AB$1006:AK1006),$AB$1006:$AQ$1006,0)), HYPERLINK("#",""), HYPERLINK(CONCATENATE("#metadata!", ADDRESS(INDEX($W$2:$W$1001,MATCH(ROWS($U$2:U670),$U$2:$U$1001,0),0), INDEX($AB$1004:$AQ$1004,1,MATCH(COLUMNS($AB$1006:AK1006),$AB$1006:$AQ$1006,0)))),"Fix")))</f>
        <v>0</v>
      </c>
      <c r="L670" s="4">
        <f>IF(OR(INDEX($V$2:$V$1001,MATCH(ROWS($U$2:U670),$U$2:$U$1001,0),1)&gt;=100000,INDEX($AB$1005:$AQ$1005,1,MATCH(COLUMNS($AB$1006:AL1006),$AB$1006:$AQ$1006,0))&gt;=100000), " ",IF(INDEX($AB$2:$AQ$1001,MATCH(ROWS($U$2:U670),$U$2:$U$1001,0),MATCH(COLUMNS($AB$1006:AL1006),$AB$1006:$AQ$1006,0)), HYPERLINK("#",""), HYPERLINK(CONCATENATE("#metadata!", ADDRESS(INDEX($W$2:$W$1001,MATCH(ROWS($U$2:U670),$U$2:$U$1001,0),0), INDEX($AB$1004:$AQ$1004,1,MATCH(COLUMNS($AB$1006:AL1006),$AB$1006:$AQ$1006,0)))),"Fix")))</f>
        <v>0</v>
      </c>
      <c r="M670" s="4">
        <f>IF(OR(INDEX($V$2:$V$1001,MATCH(ROWS($U$2:U670),$U$2:$U$1001,0),1)&gt;=100000,INDEX($AB$1005:$AQ$1005,1,MATCH(COLUMNS($AB$1006:AM1006),$AB$1006:$AQ$1006,0))&gt;=100000), " ",IF(INDEX($AB$2:$AQ$1001,MATCH(ROWS($U$2:U670),$U$2:$U$1001,0),MATCH(COLUMNS($AB$1006:AM1006),$AB$1006:$AQ$1006,0)), HYPERLINK("#",""), HYPERLINK(CONCATENATE("#metadata!", ADDRESS(INDEX($W$2:$W$1001,MATCH(ROWS($U$2:U670),$U$2:$U$1001,0),0), INDEX($AB$1004:$AQ$1004,1,MATCH(COLUMNS($AB$1006:AM1006),$AB$1006:$AQ$1006,0)))),"Fix")))</f>
        <v>0</v>
      </c>
      <c r="N670" s="4">
        <f>IF(OR(INDEX($V$2:$V$1001,MATCH(ROWS($U$2:U670),$U$2:$U$1001,0),1)&gt;=100000,INDEX($AB$1005:$AQ$1005,1,MATCH(COLUMNS($AB$1006:AN1006),$AB$1006:$AQ$1006,0))&gt;=100000), " ",IF(INDEX($AB$2:$AQ$1001,MATCH(ROWS($U$2:U670),$U$2:$U$1001,0),MATCH(COLUMNS($AB$1006:AN1006),$AB$1006:$AQ$1006,0)), HYPERLINK("#",""), HYPERLINK(CONCATENATE("#metadata!", ADDRESS(INDEX($W$2:$W$1001,MATCH(ROWS($U$2:U670),$U$2:$U$1001,0),0), INDEX($AB$1004:$AQ$1004,1,MATCH(COLUMNS($AB$1006:AN1006),$AB$1006:$AQ$1006,0)))),"Fix")))</f>
        <v>0</v>
      </c>
      <c r="O670" s="4">
        <f>IF(OR(INDEX($V$2:$V$1001,MATCH(ROWS($U$2:U670),$U$2:$U$1001,0),1)&gt;=100000,INDEX($AB$1005:$AQ$1005,1,MATCH(COLUMNS($AB$1006:AO1006),$AB$1006:$AQ$1006,0))&gt;=100000), " ",IF(INDEX($AB$2:$AQ$1001,MATCH(ROWS($U$2:U670),$U$2:$U$1001,0),MATCH(COLUMNS($AB$1006:AO1006),$AB$1006:$AQ$1006,0)), HYPERLINK("#",""), HYPERLINK(CONCATENATE("#metadata!", ADDRESS(INDEX($W$2:$W$1001,MATCH(ROWS($U$2:U670),$U$2:$U$1001,0),0), INDEX($AB$1004:$AQ$1004,1,MATCH(COLUMNS($AB$1006:AO1006),$AB$1006:$AQ$1006,0)))),"Fix")))</f>
        <v>0</v>
      </c>
      <c r="P670" s="4">
        <f>IF(OR(INDEX($V$2:$V$1001,MATCH(ROWS($U$2:U670),$U$2:$U$1001,0),1)&gt;=100000,INDEX($AB$1005:$AQ$1005,1,MATCH(COLUMNS($AB$1006:AP1006),$AB$1006:$AQ$1006,0))&gt;=100000), " ",IF(INDEX($AB$2:$AQ$1001,MATCH(ROWS($U$2:U670),$U$2:$U$1001,0),MATCH(COLUMNS($AB$1006:AP1006),$AB$1006:$AQ$1006,0)), HYPERLINK("#",""), HYPERLINK(CONCATENATE("#metadata!", ADDRESS(INDEX($W$2:$W$1001,MATCH(ROWS($U$2:U670),$U$2:$U$1001,0),0), INDEX($AB$1004:$AQ$1004,1,MATCH(COLUMNS($AB$1006:AP1006),$AB$1006:$AQ$1006,0)))),"Fix")))</f>
        <v>0</v>
      </c>
      <c r="Q670" s="4">
        <f>IF(OR(INDEX($V$2:$V$1001,MATCH(ROWS($U$2:U670),$U$2:$U$1001,0),1)&gt;=100000,INDEX($AB$1005:$AQ$1005,1,MATCH(COLUMNS($AB$1006:AQ1006),$AB$1006:$AQ$1006,0))&gt;=100000), " ",IF(INDEX($AB$2:$AQ$1001,MATCH(ROWS($U$2:U670),$U$2:$U$1001,0),MATCH(COLUMNS($AB$1006:AQ1006),$AB$1006:$AQ$1006,0)), HYPERLINK("#",""), HYPERLINK(CONCATENATE("#metadata!", ADDRESS(INDEX($W$2:$W$1001,MATCH(ROWS($U$2:U670),$U$2:$U$1001,0),0), INDEX($AB$1004:$AQ$1004,1,MATCH(COLUMNS($AB$1006:AQ1006),$AB$1006:$AQ$1006,0)))),"Fix")))</f>
        <v>0</v>
      </c>
      <c r="U670">
        <v>0</v>
      </c>
      <c r="V670">
        <v>0</v>
      </c>
      <c r="W670">
        <v>0</v>
      </c>
      <c r="X670">
        <f>IF(Y670,TRUE,AND(AB670:AQ670))</f>
        <v>0</v>
      </c>
      <c r="Y670">
        <f>COUNTBLANK(metadata!B670:Q670)=COLUMNS(metadata!B670:Q670)</f>
        <v>0</v>
      </c>
      <c r="Z670">
        <v>0</v>
      </c>
      <c r="AB670">
        <f>AND(IF(metadata!B670="",FALSE,TRUE),COUNTIF(metadata!B:B, metadata!B670) = 1,NOT(ISERROR(SUMPRODUCT(SEARCH(MID(metadata!B670,ROW(INDIRECT("1:"&amp;LEN(metadata!B670))), 1),"0123456789abcdefghijklmnopqrstuvwxyzABCDEFGHIJKLMNOPQRSTUVWXYZ.")))))</f>
        <v>0</v>
      </c>
      <c r="AC670">
        <f>OR(AND(IF(metadata!C670="",FALSE,TRUE),OR(exact(metadata!C670,"missing: not collected"),exact(metadata!C670,"missing: not provided"),exact(metadata!C670,"missing: restricted access"))),AND(IF(metadata!C670="",FALSE,TRUE),AND(AND(IFERROR(INT(LEFT(metadata!C670,4))&gt;1900,FALSE),IFERROR(INT(LEFT(metadata!C670,4))&lt;=YEAR(NOW()),FALSE)), OR(MID(metadata!C670,5,1)="", AND(AND(MID(metadata!C670,5,1)="-",IFERROR(INT(MID(metadata!C670,6,1))&gt;=0,FALSE),IFERROR(INT(MID(metadata!C670,6,1))&lt;=1,FALSE),NOT(MID(metadata!C670,7,1)=""),IFERROR(INT(MID(metadata!C670,6,2))&gt;=1,FALSE),IFERROR(INT(MID(metadata!C670,6,2))&lt;=12,FALSE)), OR(MID(metadata!C670,8,1)="", AND(AND(MID(metadata!C670,8,1)="-",IFERROR(INT(MID(metadata!C670,9,1))&gt;=0,FALSE),IFERROR(INT(MID(metadata!C670,9,1))&lt;=3,FALSE),NOT(MID(metadata!C670,10,1)=""),IFERROR(INT(MID(metadata!C670,9,2))&gt;=1,FALSE),IFERROR(INT(MID(metadata!C670,9,2))&lt;=31,FALSE)), OR(MID(metadata!C670,11,1)="", AND(AND(MID(metadata!C670,11,1)=" ",IFERROR(INT(MID(metadata!C670,12,1))&gt;=0,FALSE),IFERROR(INT(MID(metadata!C670,12,1))&lt;=2,FALSE),NOT(MID(metadata!C670,13,1)=""),IFERROR(INT(MID(metadata!C670,12,2))&gt;=0,FALSE),IFERROR(INT(MID(metadata!C670,12,2))&lt;=23,FALSE)), OR(MID(metadata!C670,14,1)="", AND(AND(MID(metadata!C670,14,1)=":",IFERROR(INT(MID(metadata!C670,15,1))&gt;=0,FALSE),IFERROR(INT(MID(metadata!C670,15,1))&lt;=5,FALSE),NOT(MID(metadata!C670,16,1)=""),IFERROR(INT(MID(metadata!C670,15,2))&gt;=0,FALSE),IFERROR(INT(MID(metadata!C670,15,2))&lt;=59,FALSE)), OR(MID(metadata!C670,17,1)="", AND(AND(MID(metadata!C670,17,1)=":",IFERROR(INT(MID(metadata!C670,18,1))&gt;=0,FALSE),IFERROR(INT(MID(metadata!C670,18,1))&lt;=5,FALSE),NOT(MID(metadata!C670,19,1)=""),IFERROR(INT(MID(metadata!C670,18,2))&gt;=0,FALSE),IFERROR(INT(MID(metadata!C670,18,2))&lt;=59,FALSE)), LEN(metadata!C670)&lt;=19)))))))))))))</f>
        <v>0</v>
      </c>
      <c r="AD670">
        <f>IF(metadata!D670="",FALSE,TRUE)</f>
        <v>0</v>
      </c>
      <c r="AE670">
        <f>OR(AND(IF(metadata!E670="",FALSE,TRUE),OR(exact(metadata!E670,"missing: not collected"),exact(metadata!E670,"missing: not provided"))),AND(IF(metadata!E670="",FALSE,TRUE),OR(exact(metadata!E670,"TRUE"),exact(metadata!E670,"FALSE"))))</f>
        <v>0</v>
      </c>
      <c r="AF670">
        <f>IF(metadata!F670="",FALSE,TRUE)</f>
        <v>0</v>
      </c>
      <c r="AG670">
        <f>IF(metadata!G670="",FALSE,TRUE)</f>
        <v>0</v>
      </c>
      <c r="AH670">
        <f>IF(metadata!H670="",FALSE,TRUE)</f>
        <v>0</v>
      </c>
      <c r="AI670">
        <f>OR(AND(IF(metadata!I670="",FALSE,TRUE),OR(exact(metadata!I670,"missing: not collected"),exact(metadata!I670,"missing: not provided"),exact(metadata!I670,"missing: restricted access"))),AND(IF(metadata!I670="",FALSE,TRUE),OR(exact(metadata!I670,"air"),exact(metadata!I670,"built environment"),exact(metadata!I670,"host-associated"),exact(metadata!I670,"human-associated"),exact(metadata!I670,"human-skin"),exact(metadata!I670,"human-oral"),exact(metadata!I670,"human-gut"),exact(metadata!I670,"human-vaginal"),exact(metadata!I670,"microbial mat/biofilm"),exact(metadata!I670,"misc environment"),exact(metadata!I670,"plant-associated"),exact(metadata!I670,"sediment"),exact(metadata!I670,"soil"),exact(metadata!I670,"wastewater/sludge"),exact(metadata!I670,"water"))))</f>
        <v>0</v>
      </c>
      <c r="AJ670">
        <f>IF(metadata!J670="",FALSE,TRUE)</f>
        <v>0</v>
      </c>
      <c r="AK670">
        <f>OR(AND(IF(metadata!K670="",FALSE,TRUE),OR(exact(metadata!K670,"missing: not collected"),exact(metadata!K670,"missing: not provided"),exact(metadata!K670,"missing: restricted access"))),AND(IF(metadata!K670="",FALSE,ISNUMBER(VALUE(metadata!K670))),metadata!K670&gt;=-90.00,metadata!K670&lt;=90.00))</f>
        <v>0</v>
      </c>
      <c r="AL670">
        <f>OR(AND(IF(metadata!L670="",FALSE,TRUE),OR(exact(metadata!L670,"missing: not collected"),exact(metadata!L670,"missing: not provided"),exact(metadata!L670,"missing: restricted access"))),AND(IF(metadata!L670="",FALSE,ISNUMBER(VALUE(metadata!L670))),metadata!L670&gt;=-180.00,metadata!L670&lt;=180.00))</f>
        <v>0</v>
      </c>
      <c r="AM670">
        <f>IF(metadata!M670="",FALSE,TRUE)</f>
        <v>0</v>
      </c>
      <c r="AN670">
        <f>OR(AND(IF(metadata!N670="",FALSE,TRUE),OR(exact(metadata!N670,"missing: not collected"),exact(metadata!N670,"missing: not provided"),exact(metadata!N670,"missing: restricted access"))),AND(IF(metadata!N670="",FALSE,TRUE),OR(exact(metadata!N670,"TRUE"),exact(metadata!N670,"FALSE"))))</f>
        <v>0</v>
      </c>
      <c r="AO670">
        <f>IF(metadata!O670="",FALSE,TRUE)</f>
        <v>0</v>
      </c>
      <c r="AP670">
        <f>OR(AND(IF(metadata!P670="",FALSE,TRUE),OR(exact(metadata!P670,"missing: not collected"),exact(metadata!P670,"missing: not provided"))),AND(IF(metadata!P670="",FALSE,IF(ISERROR(INT(metadata!P670)),FALSE,INT(metadata!P670)=metadata!P670)),metadata!P670&gt;0))</f>
        <v>0</v>
      </c>
      <c r="AQ670">
        <f>IF(metadata!Q670="",FALSE,TRUE)</f>
        <v>0</v>
      </c>
    </row>
    <row r="671" spans="1:43">
      <c r="A671" s="5">
        <f>IF(B671=" "," ",HYPERLINK(CONCATENATE("#metadata!",ADDRESS(INDEX($W$2:$W$1001,MATCH(ROWS($U$2:U671),$U$2:$U$1001,0),0),1)),INDEX($Z$2:$Z$1001,MATCH(ROWS($U$2:U671),$U$2:$U$1001,0),0)))</f>
        <v>0</v>
      </c>
      <c r="B671" s="4">
        <f>IF(OR(INDEX($V$2:$V$1001,MATCH(ROWS($U$2:U671),$U$2:$U$1001,0),1)&gt;=100000,INDEX($AB$1005:$AQ$1005,1,MATCH(COLUMNS($AB$1006:AB1006),$AB$1006:$AQ$1006,0))&gt;=100000), " ",IF(INDEX($AB$2:$AQ$1001,MATCH(ROWS($U$2:U671),$U$2:$U$1001,0),MATCH(COLUMNS($AB$1006:AB1006),$AB$1006:$AQ$1006,0)), HYPERLINK("#",""), HYPERLINK(CONCATENATE("#metadata!", ADDRESS(INDEX($W$2:$W$1001,MATCH(ROWS($U$2:U671),$U$2:$U$1001,0),0), INDEX($AB$1004:$AQ$1004,1,MATCH(COLUMNS($AB$1006:AB1006),$AB$1006:$AQ$1006,0)))),"Fix")))</f>
        <v>0</v>
      </c>
      <c r="C671" s="4">
        <f>IF(OR(INDEX($V$2:$V$1001,MATCH(ROWS($U$2:U671),$U$2:$U$1001,0),1)&gt;=100000,INDEX($AB$1005:$AQ$1005,1,MATCH(COLUMNS($AB$1006:AC1006),$AB$1006:$AQ$1006,0))&gt;=100000), " ",IF(INDEX($AB$2:$AQ$1001,MATCH(ROWS($U$2:U671),$U$2:$U$1001,0),MATCH(COLUMNS($AB$1006:AC1006),$AB$1006:$AQ$1006,0)), HYPERLINK("#",""), HYPERLINK(CONCATENATE("#metadata!", ADDRESS(INDEX($W$2:$W$1001,MATCH(ROWS($U$2:U671),$U$2:$U$1001,0),0), INDEX($AB$1004:$AQ$1004,1,MATCH(COLUMNS($AB$1006:AC1006),$AB$1006:$AQ$1006,0)))),"Fix")))</f>
        <v>0</v>
      </c>
      <c r="D671" s="4">
        <f>IF(OR(INDEX($V$2:$V$1001,MATCH(ROWS($U$2:U671),$U$2:$U$1001,0),1)&gt;=100000,INDEX($AB$1005:$AQ$1005,1,MATCH(COLUMNS($AB$1006:AD1006),$AB$1006:$AQ$1006,0))&gt;=100000), " ",IF(INDEX($AB$2:$AQ$1001,MATCH(ROWS($U$2:U671),$U$2:$U$1001,0),MATCH(COLUMNS($AB$1006:AD1006),$AB$1006:$AQ$1006,0)), HYPERLINK("#",""), HYPERLINK(CONCATENATE("#metadata!", ADDRESS(INDEX($W$2:$W$1001,MATCH(ROWS($U$2:U671),$U$2:$U$1001,0),0), INDEX($AB$1004:$AQ$1004,1,MATCH(COLUMNS($AB$1006:AD1006),$AB$1006:$AQ$1006,0)))),"Fix")))</f>
        <v>0</v>
      </c>
      <c r="E671" s="4">
        <f>IF(OR(INDEX($V$2:$V$1001,MATCH(ROWS($U$2:U671),$U$2:$U$1001,0),1)&gt;=100000,INDEX($AB$1005:$AQ$1005,1,MATCH(COLUMNS($AB$1006:AE1006),$AB$1006:$AQ$1006,0))&gt;=100000), " ",IF(INDEX($AB$2:$AQ$1001,MATCH(ROWS($U$2:U671),$U$2:$U$1001,0),MATCH(COLUMNS($AB$1006:AE1006),$AB$1006:$AQ$1006,0)), HYPERLINK("#",""), HYPERLINK(CONCATENATE("#metadata!", ADDRESS(INDEX($W$2:$W$1001,MATCH(ROWS($U$2:U671),$U$2:$U$1001,0),0), INDEX($AB$1004:$AQ$1004,1,MATCH(COLUMNS($AB$1006:AE1006),$AB$1006:$AQ$1006,0)))),"Fix")))</f>
        <v>0</v>
      </c>
      <c r="F671" s="4">
        <f>IF(OR(INDEX($V$2:$V$1001,MATCH(ROWS($U$2:U671),$U$2:$U$1001,0),1)&gt;=100000,INDEX($AB$1005:$AQ$1005,1,MATCH(COLUMNS($AB$1006:AF1006),$AB$1006:$AQ$1006,0))&gt;=100000), " ",IF(INDEX($AB$2:$AQ$1001,MATCH(ROWS($U$2:U671),$U$2:$U$1001,0),MATCH(COLUMNS($AB$1006:AF1006),$AB$1006:$AQ$1006,0)), HYPERLINK("#",""), HYPERLINK(CONCATENATE("#metadata!", ADDRESS(INDEX($W$2:$W$1001,MATCH(ROWS($U$2:U671),$U$2:$U$1001,0),0), INDEX($AB$1004:$AQ$1004,1,MATCH(COLUMNS($AB$1006:AF1006),$AB$1006:$AQ$1006,0)))),"Fix")))</f>
        <v>0</v>
      </c>
      <c r="G671" s="4">
        <f>IF(OR(INDEX($V$2:$V$1001,MATCH(ROWS($U$2:U671),$U$2:$U$1001,0),1)&gt;=100000,INDEX($AB$1005:$AQ$1005,1,MATCH(COLUMNS($AB$1006:AG1006),$AB$1006:$AQ$1006,0))&gt;=100000), " ",IF(INDEX($AB$2:$AQ$1001,MATCH(ROWS($U$2:U671),$U$2:$U$1001,0),MATCH(COLUMNS($AB$1006:AG1006),$AB$1006:$AQ$1006,0)), HYPERLINK("#",""), HYPERLINK(CONCATENATE("#metadata!", ADDRESS(INDEX($W$2:$W$1001,MATCH(ROWS($U$2:U671),$U$2:$U$1001,0),0), INDEX($AB$1004:$AQ$1004,1,MATCH(COLUMNS($AB$1006:AG1006),$AB$1006:$AQ$1006,0)))),"Fix")))</f>
        <v>0</v>
      </c>
      <c r="H671" s="4">
        <f>IF(OR(INDEX($V$2:$V$1001,MATCH(ROWS($U$2:U671),$U$2:$U$1001,0),1)&gt;=100000,INDEX($AB$1005:$AQ$1005,1,MATCH(COLUMNS($AB$1006:AH1006),$AB$1006:$AQ$1006,0))&gt;=100000), " ",IF(INDEX($AB$2:$AQ$1001,MATCH(ROWS($U$2:U671),$U$2:$U$1001,0),MATCH(COLUMNS($AB$1006:AH1006),$AB$1006:$AQ$1006,0)), HYPERLINK("#",""), HYPERLINK(CONCATENATE("#metadata!", ADDRESS(INDEX($W$2:$W$1001,MATCH(ROWS($U$2:U671),$U$2:$U$1001,0),0), INDEX($AB$1004:$AQ$1004,1,MATCH(COLUMNS($AB$1006:AH1006),$AB$1006:$AQ$1006,0)))),"Fix")))</f>
        <v>0</v>
      </c>
      <c r="I671" s="4">
        <f>IF(OR(INDEX($V$2:$V$1001,MATCH(ROWS($U$2:U671),$U$2:$U$1001,0),1)&gt;=100000,INDEX($AB$1005:$AQ$1005,1,MATCH(COLUMNS($AB$1006:AI1006),$AB$1006:$AQ$1006,0))&gt;=100000), " ",IF(INDEX($AB$2:$AQ$1001,MATCH(ROWS($U$2:U671),$U$2:$U$1001,0),MATCH(COLUMNS($AB$1006:AI1006),$AB$1006:$AQ$1006,0)), HYPERLINK("#",""), HYPERLINK(CONCATENATE("#metadata!", ADDRESS(INDEX($W$2:$W$1001,MATCH(ROWS($U$2:U671),$U$2:$U$1001,0),0), INDEX($AB$1004:$AQ$1004,1,MATCH(COLUMNS($AB$1006:AI1006),$AB$1006:$AQ$1006,0)))),"Fix")))</f>
        <v>0</v>
      </c>
      <c r="J671" s="4">
        <f>IF(OR(INDEX($V$2:$V$1001,MATCH(ROWS($U$2:U671),$U$2:$U$1001,0),1)&gt;=100000,INDEX($AB$1005:$AQ$1005,1,MATCH(COLUMNS($AB$1006:AJ1006),$AB$1006:$AQ$1006,0))&gt;=100000), " ",IF(INDEX($AB$2:$AQ$1001,MATCH(ROWS($U$2:U671),$U$2:$U$1001,0),MATCH(COLUMNS($AB$1006:AJ1006),$AB$1006:$AQ$1006,0)), HYPERLINK("#",""), HYPERLINK(CONCATENATE("#metadata!", ADDRESS(INDEX($W$2:$W$1001,MATCH(ROWS($U$2:U671),$U$2:$U$1001,0),0), INDEX($AB$1004:$AQ$1004,1,MATCH(COLUMNS($AB$1006:AJ1006),$AB$1006:$AQ$1006,0)))),"Fix")))</f>
        <v>0</v>
      </c>
      <c r="K671" s="4">
        <f>IF(OR(INDEX($V$2:$V$1001,MATCH(ROWS($U$2:U671),$U$2:$U$1001,0),1)&gt;=100000,INDEX($AB$1005:$AQ$1005,1,MATCH(COLUMNS($AB$1006:AK1006),$AB$1006:$AQ$1006,0))&gt;=100000), " ",IF(INDEX($AB$2:$AQ$1001,MATCH(ROWS($U$2:U671),$U$2:$U$1001,0),MATCH(COLUMNS($AB$1006:AK1006),$AB$1006:$AQ$1006,0)), HYPERLINK("#",""), HYPERLINK(CONCATENATE("#metadata!", ADDRESS(INDEX($W$2:$W$1001,MATCH(ROWS($U$2:U671),$U$2:$U$1001,0),0), INDEX($AB$1004:$AQ$1004,1,MATCH(COLUMNS($AB$1006:AK1006),$AB$1006:$AQ$1006,0)))),"Fix")))</f>
        <v>0</v>
      </c>
      <c r="L671" s="4">
        <f>IF(OR(INDEX($V$2:$V$1001,MATCH(ROWS($U$2:U671),$U$2:$U$1001,0),1)&gt;=100000,INDEX($AB$1005:$AQ$1005,1,MATCH(COLUMNS($AB$1006:AL1006),$AB$1006:$AQ$1006,0))&gt;=100000), " ",IF(INDEX($AB$2:$AQ$1001,MATCH(ROWS($U$2:U671),$U$2:$U$1001,0),MATCH(COLUMNS($AB$1006:AL1006),$AB$1006:$AQ$1006,0)), HYPERLINK("#",""), HYPERLINK(CONCATENATE("#metadata!", ADDRESS(INDEX($W$2:$W$1001,MATCH(ROWS($U$2:U671),$U$2:$U$1001,0),0), INDEX($AB$1004:$AQ$1004,1,MATCH(COLUMNS($AB$1006:AL1006),$AB$1006:$AQ$1006,0)))),"Fix")))</f>
        <v>0</v>
      </c>
      <c r="M671" s="4">
        <f>IF(OR(INDEX($V$2:$V$1001,MATCH(ROWS($U$2:U671),$U$2:$U$1001,0),1)&gt;=100000,INDEX($AB$1005:$AQ$1005,1,MATCH(COLUMNS($AB$1006:AM1006),$AB$1006:$AQ$1006,0))&gt;=100000), " ",IF(INDEX($AB$2:$AQ$1001,MATCH(ROWS($U$2:U671),$U$2:$U$1001,0),MATCH(COLUMNS($AB$1006:AM1006),$AB$1006:$AQ$1006,0)), HYPERLINK("#",""), HYPERLINK(CONCATENATE("#metadata!", ADDRESS(INDEX($W$2:$W$1001,MATCH(ROWS($U$2:U671),$U$2:$U$1001,0),0), INDEX($AB$1004:$AQ$1004,1,MATCH(COLUMNS($AB$1006:AM1006),$AB$1006:$AQ$1006,0)))),"Fix")))</f>
        <v>0</v>
      </c>
      <c r="N671" s="4">
        <f>IF(OR(INDEX($V$2:$V$1001,MATCH(ROWS($U$2:U671),$U$2:$U$1001,0),1)&gt;=100000,INDEX($AB$1005:$AQ$1005,1,MATCH(COLUMNS($AB$1006:AN1006),$AB$1006:$AQ$1006,0))&gt;=100000), " ",IF(INDEX($AB$2:$AQ$1001,MATCH(ROWS($U$2:U671),$U$2:$U$1001,0),MATCH(COLUMNS($AB$1006:AN1006),$AB$1006:$AQ$1006,0)), HYPERLINK("#",""), HYPERLINK(CONCATENATE("#metadata!", ADDRESS(INDEX($W$2:$W$1001,MATCH(ROWS($U$2:U671),$U$2:$U$1001,0),0), INDEX($AB$1004:$AQ$1004,1,MATCH(COLUMNS($AB$1006:AN1006),$AB$1006:$AQ$1006,0)))),"Fix")))</f>
        <v>0</v>
      </c>
      <c r="O671" s="4">
        <f>IF(OR(INDEX($V$2:$V$1001,MATCH(ROWS($U$2:U671),$U$2:$U$1001,0),1)&gt;=100000,INDEX($AB$1005:$AQ$1005,1,MATCH(COLUMNS($AB$1006:AO1006),$AB$1006:$AQ$1006,0))&gt;=100000), " ",IF(INDEX($AB$2:$AQ$1001,MATCH(ROWS($U$2:U671),$U$2:$U$1001,0),MATCH(COLUMNS($AB$1006:AO1006),$AB$1006:$AQ$1006,0)), HYPERLINK("#",""), HYPERLINK(CONCATENATE("#metadata!", ADDRESS(INDEX($W$2:$W$1001,MATCH(ROWS($U$2:U671),$U$2:$U$1001,0),0), INDEX($AB$1004:$AQ$1004,1,MATCH(COLUMNS($AB$1006:AO1006),$AB$1006:$AQ$1006,0)))),"Fix")))</f>
        <v>0</v>
      </c>
      <c r="P671" s="4">
        <f>IF(OR(INDEX($V$2:$V$1001,MATCH(ROWS($U$2:U671),$U$2:$U$1001,0),1)&gt;=100000,INDEX($AB$1005:$AQ$1005,1,MATCH(COLUMNS($AB$1006:AP1006),$AB$1006:$AQ$1006,0))&gt;=100000), " ",IF(INDEX($AB$2:$AQ$1001,MATCH(ROWS($U$2:U671),$U$2:$U$1001,0),MATCH(COLUMNS($AB$1006:AP1006),$AB$1006:$AQ$1006,0)), HYPERLINK("#",""), HYPERLINK(CONCATENATE("#metadata!", ADDRESS(INDEX($W$2:$W$1001,MATCH(ROWS($U$2:U671),$U$2:$U$1001,0),0), INDEX($AB$1004:$AQ$1004,1,MATCH(COLUMNS($AB$1006:AP1006),$AB$1006:$AQ$1006,0)))),"Fix")))</f>
        <v>0</v>
      </c>
      <c r="Q671" s="4">
        <f>IF(OR(INDEX($V$2:$V$1001,MATCH(ROWS($U$2:U671),$U$2:$U$1001,0),1)&gt;=100000,INDEX($AB$1005:$AQ$1005,1,MATCH(COLUMNS($AB$1006:AQ1006),$AB$1006:$AQ$1006,0))&gt;=100000), " ",IF(INDEX($AB$2:$AQ$1001,MATCH(ROWS($U$2:U671),$U$2:$U$1001,0),MATCH(COLUMNS($AB$1006:AQ1006),$AB$1006:$AQ$1006,0)), HYPERLINK("#",""), HYPERLINK(CONCATENATE("#metadata!", ADDRESS(INDEX($W$2:$W$1001,MATCH(ROWS($U$2:U671),$U$2:$U$1001,0),0), INDEX($AB$1004:$AQ$1004,1,MATCH(COLUMNS($AB$1006:AQ1006),$AB$1006:$AQ$1006,0)))),"Fix")))</f>
        <v>0</v>
      </c>
      <c r="U671">
        <v>0</v>
      </c>
      <c r="V671">
        <v>0</v>
      </c>
      <c r="W671">
        <v>0</v>
      </c>
      <c r="X671">
        <f>IF(Y671,TRUE,AND(AB671:AQ671))</f>
        <v>0</v>
      </c>
      <c r="Y671">
        <f>COUNTBLANK(metadata!B671:Q671)=COLUMNS(metadata!B671:Q671)</f>
        <v>0</v>
      </c>
      <c r="Z671">
        <v>0</v>
      </c>
      <c r="AB671">
        <f>AND(IF(metadata!B671="",FALSE,TRUE),COUNTIF(metadata!B:B, metadata!B671) = 1,NOT(ISERROR(SUMPRODUCT(SEARCH(MID(metadata!B671,ROW(INDIRECT("1:"&amp;LEN(metadata!B671))), 1),"0123456789abcdefghijklmnopqrstuvwxyzABCDEFGHIJKLMNOPQRSTUVWXYZ.")))))</f>
        <v>0</v>
      </c>
      <c r="AC671">
        <f>OR(AND(IF(metadata!C671="",FALSE,TRUE),OR(exact(metadata!C671,"missing: not collected"),exact(metadata!C671,"missing: not provided"),exact(metadata!C671,"missing: restricted access"))),AND(IF(metadata!C671="",FALSE,TRUE),AND(AND(IFERROR(INT(LEFT(metadata!C671,4))&gt;1900,FALSE),IFERROR(INT(LEFT(metadata!C671,4))&lt;=YEAR(NOW()),FALSE)), OR(MID(metadata!C671,5,1)="", AND(AND(MID(metadata!C671,5,1)="-",IFERROR(INT(MID(metadata!C671,6,1))&gt;=0,FALSE),IFERROR(INT(MID(metadata!C671,6,1))&lt;=1,FALSE),NOT(MID(metadata!C671,7,1)=""),IFERROR(INT(MID(metadata!C671,6,2))&gt;=1,FALSE),IFERROR(INT(MID(metadata!C671,6,2))&lt;=12,FALSE)), OR(MID(metadata!C671,8,1)="", AND(AND(MID(metadata!C671,8,1)="-",IFERROR(INT(MID(metadata!C671,9,1))&gt;=0,FALSE),IFERROR(INT(MID(metadata!C671,9,1))&lt;=3,FALSE),NOT(MID(metadata!C671,10,1)=""),IFERROR(INT(MID(metadata!C671,9,2))&gt;=1,FALSE),IFERROR(INT(MID(metadata!C671,9,2))&lt;=31,FALSE)), OR(MID(metadata!C671,11,1)="", AND(AND(MID(metadata!C671,11,1)=" ",IFERROR(INT(MID(metadata!C671,12,1))&gt;=0,FALSE),IFERROR(INT(MID(metadata!C671,12,1))&lt;=2,FALSE),NOT(MID(metadata!C671,13,1)=""),IFERROR(INT(MID(metadata!C671,12,2))&gt;=0,FALSE),IFERROR(INT(MID(metadata!C671,12,2))&lt;=23,FALSE)), OR(MID(metadata!C671,14,1)="", AND(AND(MID(metadata!C671,14,1)=":",IFERROR(INT(MID(metadata!C671,15,1))&gt;=0,FALSE),IFERROR(INT(MID(metadata!C671,15,1))&lt;=5,FALSE),NOT(MID(metadata!C671,16,1)=""),IFERROR(INT(MID(metadata!C671,15,2))&gt;=0,FALSE),IFERROR(INT(MID(metadata!C671,15,2))&lt;=59,FALSE)), OR(MID(metadata!C671,17,1)="", AND(AND(MID(metadata!C671,17,1)=":",IFERROR(INT(MID(metadata!C671,18,1))&gt;=0,FALSE),IFERROR(INT(MID(metadata!C671,18,1))&lt;=5,FALSE),NOT(MID(metadata!C671,19,1)=""),IFERROR(INT(MID(metadata!C671,18,2))&gt;=0,FALSE),IFERROR(INT(MID(metadata!C671,18,2))&lt;=59,FALSE)), LEN(metadata!C671)&lt;=19)))))))))))))</f>
        <v>0</v>
      </c>
      <c r="AD671">
        <f>IF(metadata!D671="",FALSE,TRUE)</f>
        <v>0</v>
      </c>
      <c r="AE671">
        <f>OR(AND(IF(metadata!E671="",FALSE,TRUE),OR(exact(metadata!E671,"missing: not collected"),exact(metadata!E671,"missing: not provided"))),AND(IF(metadata!E671="",FALSE,TRUE),OR(exact(metadata!E671,"TRUE"),exact(metadata!E671,"FALSE"))))</f>
        <v>0</v>
      </c>
      <c r="AF671">
        <f>IF(metadata!F671="",FALSE,TRUE)</f>
        <v>0</v>
      </c>
      <c r="AG671">
        <f>IF(metadata!G671="",FALSE,TRUE)</f>
        <v>0</v>
      </c>
      <c r="AH671">
        <f>IF(metadata!H671="",FALSE,TRUE)</f>
        <v>0</v>
      </c>
      <c r="AI671">
        <f>OR(AND(IF(metadata!I671="",FALSE,TRUE),OR(exact(metadata!I671,"missing: not collected"),exact(metadata!I671,"missing: not provided"),exact(metadata!I671,"missing: restricted access"))),AND(IF(metadata!I671="",FALSE,TRUE),OR(exact(metadata!I671,"air"),exact(metadata!I671,"built environment"),exact(metadata!I671,"host-associated"),exact(metadata!I671,"human-associated"),exact(metadata!I671,"human-skin"),exact(metadata!I671,"human-oral"),exact(metadata!I671,"human-gut"),exact(metadata!I671,"human-vaginal"),exact(metadata!I671,"microbial mat/biofilm"),exact(metadata!I671,"misc environment"),exact(metadata!I671,"plant-associated"),exact(metadata!I671,"sediment"),exact(metadata!I671,"soil"),exact(metadata!I671,"wastewater/sludge"),exact(metadata!I671,"water"))))</f>
        <v>0</v>
      </c>
      <c r="AJ671">
        <f>IF(metadata!J671="",FALSE,TRUE)</f>
        <v>0</v>
      </c>
      <c r="AK671">
        <f>OR(AND(IF(metadata!K671="",FALSE,TRUE),OR(exact(metadata!K671,"missing: not collected"),exact(metadata!K671,"missing: not provided"),exact(metadata!K671,"missing: restricted access"))),AND(IF(metadata!K671="",FALSE,ISNUMBER(VALUE(metadata!K671))),metadata!K671&gt;=-90.00,metadata!K671&lt;=90.00))</f>
        <v>0</v>
      </c>
      <c r="AL671">
        <f>OR(AND(IF(metadata!L671="",FALSE,TRUE),OR(exact(metadata!L671,"missing: not collected"),exact(metadata!L671,"missing: not provided"),exact(metadata!L671,"missing: restricted access"))),AND(IF(metadata!L671="",FALSE,ISNUMBER(VALUE(metadata!L671))),metadata!L671&gt;=-180.00,metadata!L671&lt;=180.00))</f>
        <v>0</v>
      </c>
      <c r="AM671">
        <f>IF(metadata!M671="",FALSE,TRUE)</f>
        <v>0</v>
      </c>
      <c r="AN671">
        <f>OR(AND(IF(metadata!N671="",FALSE,TRUE),OR(exact(metadata!N671,"missing: not collected"),exact(metadata!N671,"missing: not provided"),exact(metadata!N671,"missing: restricted access"))),AND(IF(metadata!N671="",FALSE,TRUE),OR(exact(metadata!N671,"TRUE"),exact(metadata!N671,"FALSE"))))</f>
        <v>0</v>
      </c>
      <c r="AO671">
        <f>IF(metadata!O671="",FALSE,TRUE)</f>
        <v>0</v>
      </c>
      <c r="AP671">
        <f>OR(AND(IF(metadata!P671="",FALSE,TRUE),OR(exact(metadata!P671,"missing: not collected"),exact(metadata!P671,"missing: not provided"))),AND(IF(metadata!P671="",FALSE,IF(ISERROR(INT(metadata!P671)),FALSE,INT(metadata!P671)=metadata!P671)),metadata!P671&gt;0))</f>
        <v>0</v>
      </c>
      <c r="AQ671">
        <f>IF(metadata!Q671="",FALSE,TRUE)</f>
        <v>0</v>
      </c>
    </row>
    <row r="672" spans="1:43">
      <c r="A672" s="5">
        <f>IF(B672=" "," ",HYPERLINK(CONCATENATE("#metadata!",ADDRESS(INDEX($W$2:$W$1001,MATCH(ROWS($U$2:U672),$U$2:$U$1001,0),0),1)),INDEX($Z$2:$Z$1001,MATCH(ROWS($U$2:U672),$U$2:$U$1001,0),0)))</f>
        <v>0</v>
      </c>
      <c r="B672" s="4">
        <f>IF(OR(INDEX($V$2:$V$1001,MATCH(ROWS($U$2:U672),$U$2:$U$1001,0),1)&gt;=100000,INDEX($AB$1005:$AQ$1005,1,MATCH(COLUMNS($AB$1006:AB1006),$AB$1006:$AQ$1006,0))&gt;=100000), " ",IF(INDEX($AB$2:$AQ$1001,MATCH(ROWS($U$2:U672),$U$2:$U$1001,0),MATCH(COLUMNS($AB$1006:AB1006),$AB$1006:$AQ$1006,0)), HYPERLINK("#",""), HYPERLINK(CONCATENATE("#metadata!", ADDRESS(INDEX($W$2:$W$1001,MATCH(ROWS($U$2:U672),$U$2:$U$1001,0),0), INDEX($AB$1004:$AQ$1004,1,MATCH(COLUMNS($AB$1006:AB1006),$AB$1006:$AQ$1006,0)))),"Fix")))</f>
        <v>0</v>
      </c>
      <c r="C672" s="4">
        <f>IF(OR(INDEX($V$2:$V$1001,MATCH(ROWS($U$2:U672),$U$2:$U$1001,0),1)&gt;=100000,INDEX($AB$1005:$AQ$1005,1,MATCH(COLUMNS($AB$1006:AC1006),$AB$1006:$AQ$1006,0))&gt;=100000), " ",IF(INDEX($AB$2:$AQ$1001,MATCH(ROWS($U$2:U672),$U$2:$U$1001,0),MATCH(COLUMNS($AB$1006:AC1006),$AB$1006:$AQ$1006,0)), HYPERLINK("#",""), HYPERLINK(CONCATENATE("#metadata!", ADDRESS(INDEX($W$2:$W$1001,MATCH(ROWS($U$2:U672),$U$2:$U$1001,0),0), INDEX($AB$1004:$AQ$1004,1,MATCH(COLUMNS($AB$1006:AC1006),$AB$1006:$AQ$1006,0)))),"Fix")))</f>
        <v>0</v>
      </c>
      <c r="D672" s="4">
        <f>IF(OR(INDEX($V$2:$V$1001,MATCH(ROWS($U$2:U672),$U$2:$U$1001,0),1)&gt;=100000,INDEX($AB$1005:$AQ$1005,1,MATCH(COLUMNS($AB$1006:AD1006),$AB$1006:$AQ$1006,0))&gt;=100000), " ",IF(INDEX($AB$2:$AQ$1001,MATCH(ROWS($U$2:U672),$U$2:$U$1001,0),MATCH(COLUMNS($AB$1006:AD1006),$AB$1006:$AQ$1006,0)), HYPERLINK("#",""), HYPERLINK(CONCATENATE("#metadata!", ADDRESS(INDEX($W$2:$W$1001,MATCH(ROWS($U$2:U672),$U$2:$U$1001,0),0), INDEX($AB$1004:$AQ$1004,1,MATCH(COLUMNS($AB$1006:AD1006),$AB$1006:$AQ$1006,0)))),"Fix")))</f>
        <v>0</v>
      </c>
      <c r="E672" s="4">
        <f>IF(OR(INDEX($V$2:$V$1001,MATCH(ROWS($U$2:U672),$U$2:$U$1001,0),1)&gt;=100000,INDEX($AB$1005:$AQ$1005,1,MATCH(COLUMNS($AB$1006:AE1006),$AB$1006:$AQ$1006,0))&gt;=100000), " ",IF(INDEX($AB$2:$AQ$1001,MATCH(ROWS($U$2:U672),$U$2:$U$1001,0),MATCH(COLUMNS($AB$1006:AE1006),$AB$1006:$AQ$1006,0)), HYPERLINK("#",""), HYPERLINK(CONCATENATE("#metadata!", ADDRESS(INDEX($W$2:$W$1001,MATCH(ROWS($U$2:U672),$U$2:$U$1001,0),0), INDEX($AB$1004:$AQ$1004,1,MATCH(COLUMNS($AB$1006:AE1006),$AB$1006:$AQ$1006,0)))),"Fix")))</f>
        <v>0</v>
      </c>
      <c r="F672" s="4">
        <f>IF(OR(INDEX($V$2:$V$1001,MATCH(ROWS($U$2:U672),$U$2:$U$1001,0),1)&gt;=100000,INDEX($AB$1005:$AQ$1005,1,MATCH(COLUMNS($AB$1006:AF1006),$AB$1006:$AQ$1006,0))&gt;=100000), " ",IF(INDEX($AB$2:$AQ$1001,MATCH(ROWS($U$2:U672),$U$2:$U$1001,0),MATCH(COLUMNS($AB$1006:AF1006),$AB$1006:$AQ$1006,0)), HYPERLINK("#",""), HYPERLINK(CONCATENATE("#metadata!", ADDRESS(INDEX($W$2:$W$1001,MATCH(ROWS($U$2:U672),$U$2:$U$1001,0),0), INDEX($AB$1004:$AQ$1004,1,MATCH(COLUMNS($AB$1006:AF1006),$AB$1006:$AQ$1006,0)))),"Fix")))</f>
        <v>0</v>
      </c>
      <c r="G672" s="4">
        <f>IF(OR(INDEX($V$2:$V$1001,MATCH(ROWS($U$2:U672),$U$2:$U$1001,0),1)&gt;=100000,INDEX($AB$1005:$AQ$1005,1,MATCH(COLUMNS($AB$1006:AG1006),$AB$1006:$AQ$1006,0))&gt;=100000), " ",IF(INDEX($AB$2:$AQ$1001,MATCH(ROWS($U$2:U672),$U$2:$U$1001,0),MATCH(COLUMNS($AB$1006:AG1006),$AB$1006:$AQ$1006,0)), HYPERLINK("#",""), HYPERLINK(CONCATENATE("#metadata!", ADDRESS(INDEX($W$2:$W$1001,MATCH(ROWS($U$2:U672),$U$2:$U$1001,0),0), INDEX($AB$1004:$AQ$1004,1,MATCH(COLUMNS($AB$1006:AG1006),$AB$1006:$AQ$1006,0)))),"Fix")))</f>
        <v>0</v>
      </c>
      <c r="H672" s="4">
        <f>IF(OR(INDEX($V$2:$V$1001,MATCH(ROWS($U$2:U672),$U$2:$U$1001,0),1)&gt;=100000,INDEX($AB$1005:$AQ$1005,1,MATCH(COLUMNS($AB$1006:AH1006),$AB$1006:$AQ$1006,0))&gt;=100000), " ",IF(INDEX($AB$2:$AQ$1001,MATCH(ROWS($U$2:U672),$U$2:$U$1001,0),MATCH(COLUMNS($AB$1006:AH1006),$AB$1006:$AQ$1006,0)), HYPERLINK("#",""), HYPERLINK(CONCATENATE("#metadata!", ADDRESS(INDEX($W$2:$W$1001,MATCH(ROWS($U$2:U672),$U$2:$U$1001,0),0), INDEX($AB$1004:$AQ$1004,1,MATCH(COLUMNS($AB$1006:AH1006),$AB$1006:$AQ$1006,0)))),"Fix")))</f>
        <v>0</v>
      </c>
      <c r="I672" s="4">
        <f>IF(OR(INDEX($V$2:$V$1001,MATCH(ROWS($U$2:U672),$U$2:$U$1001,0),1)&gt;=100000,INDEX($AB$1005:$AQ$1005,1,MATCH(COLUMNS($AB$1006:AI1006),$AB$1006:$AQ$1006,0))&gt;=100000), " ",IF(INDEX($AB$2:$AQ$1001,MATCH(ROWS($U$2:U672),$U$2:$U$1001,0),MATCH(COLUMNS($AB$1006:AI1006),$AB$1006:$AQ$1006,0)), HYPERLINK("#",""), HYPERLINK(CONCATENATE("#metadata!", ADDRESS(INDEX($W$2:$W$1001,MATCH(ROWS($U$2:U672),$U$2:$U$1001,0),0), INDEX($AB$1004:$AQ$1004,1,MATCH(COLUMNS($AB$1006:AI1006),$AB$1006:$AQ$1006,0)))),"Fix")))</f>
        <v>0</v>
      </c>
      <c r="J672" s="4">
        <f>IF(OR(INDEX($V$2:$V$1001,MATCH(ROWS($U$2:U672),$U$2:$U$1001,0),1)&gt;=100000,INDEX($AB$1005:$AQ$1005,1,MATCH(COLUMNS($AB$1006:AJ1006),$AB$1006:$AQ$1006,0))&gt;=100000), " ",IF(INDEX($AB$2:$AQ$1001,MATCH(ROWS($U$2:U672),$U$2:$U$1001,0),MATCH(COLUMNS($AB$1006:AJ1006),$AB$1006:$AQ$1006,0)), HYPERLINK("#",""), HYPERLINK(CONCATENATE("#metadata!", ADDRESS(INDEX($W$2:$W$1001,MATCH(ROWS($U$2:U672),$U$2:$U$1001,0),0), INDEX($AB$1004:$AQ$1004,1,MATCH(COLUMNS($AB$1006:AJ1006),$AB$1006:$AQ$1006,0)))),"Fix")))</f>
        <v>0</v>
      </c>
      <c r="K672" s="4">
        <f>IF(OR(INDEX($V$2:$V$1001,MATCH(ROWS($U$2:U672),$U$2:$U$1001,0),1)&gt;=100000,INDEX($AB$1005:$AQ$1005,1,MATCH(COLUMNS($AB$1006:AK1006),$AB$1006:$AQ$1006,0))&gt;=100000), " ",IF(INDEX($AB$2:$AQ$1001,MATCH(ROWS($U$2:U672),$U$2:$U$1001,0),MATCH(COLUMNS($AB$1006:AK1006),$AB$1006:$AQ$1006,0)), HYPERLINK("#",""), HYPERLINK(CONCATENATE("#metadata!", ADDRESS(INDEX($W$2:$W$1001,MATCH(ROWS($U$2:U672),$U$2:$U$1001,0),0), INDEX($AB$1004:$AQ$1004,1,MATCH(COLUMNS($AB$1006:AK1006),$AB$1006:$AQ$1006,0)))),"Fix")))</f>
        <v>0</v>
      </c>
      <c r="L672" s="4">
        <f>IF(OR(INDEX($V$2:$V$1001,MATCH(ROWS($U$2:U672),$U$2:$U$1001,0),1)&gt;=100000,INDEX($AB$1005:$AQ$1005,1,MATCH(COLUMNS($AB$1006:AL1006),$AB$1006:$AQ$1006,0))&gt;=100000), " ",IF(INDEX($AB$2:$AQ$1001,MATCH(ROWS($U$2:U672),$U$2:$U$1001,0),MATCH(COLUMNS($AB$1006:AL1006),$AB$1006:$AQ$1006,0)), HYPERLINK("#",""), HYPERLINK(CONCATENATE("#metadata!", ADDRESS(INDEX($W$2:$W$1001,MATCH(ROWS($U$2:U672),$U$2:$U$1001,0),0), INDEX($AB$1004:$AQ$1004,1,MATCH(COLUMNS($AB$1006:AL1006),$AB$1006:$AQ$1006,0)))),"Fix")))</f>
        <v>0</v>
      </c>
      <c r="M672" s="4">
        <f>IF(OR(INDEX($V$2:$V$1001,MATCH(ROWS($U$2:U672),$U$2:$U$1001,0),1)&gt;=100000,INDEX($AB$1005:$AQ$1005,1,MATCH(COLUMNS($AB$1006:AM1006),$AB$1006:$AQ$1006,0))&gt;=100000), " ",IF(INDEX($AB$2:$AQ$1001,MATCH(ROWS($U$2:U672),$U$2:$U$1001,0),MATCH(COLUMNS($AB$1006:AM1006),$AB$1006:$AQ$1006,0)), HYPERLINK("#",""), HYPERLINK(CONCATENATE("#metadata!", ADDRESS(INDEX($W$2:$W$1001,MATCH(ROWS($U$2:U672),$U$2:$U$1001,0),0), INDEX($AB$1004:$AQ$1004,1,MATCH(COLUMNS($AB$1006:AM1006),$AB$1006:$AQ$1006,0)))),"Fix")))</f>
        <v>0</v>
      </c>
      <c r="N672" s="4">
        <f>IF(OR(INDEX($V$2:$V$1001,MATCH(ROWS($U$2:U672),$U$2:$U$1001,0),1)&gt;=100000,INDEX($AB$1005:$AQ$1005,1,MATCH(COLUMNS($AB$1006:AN1006),$AB$1006:$AQ$1006,0))&gt;=100000), " ",IF(INDEX($AB$2:$AQ$1001,MATCH(ROWS($U$2:U672),$U$2:$U$1001,0),MATCH(COLUMNS($AB$1006:AN1006),$AB$1006:$AQ$1006,0)), HYPERLINK("#",""), HYPERLINK(CONCATENATE("#metadata!", ADDRESS(INDEX($W$2:$W$1001,MATCH(ROWS($U$2:U672),$U$2:$U$1001,0),0), INDEX($AB$1004:$AQ$1004,1,MATCH(COLUMNS($AB$1006:AN1006),$AB$1006:$AQ$1006,0)))),"Fix")))</f>
        <v>0</v>
      </c>
      <c r="O672" s="4">
        <f>IF(OR(INDEX($V$2:$V$1001,MATCH(ROWS($U$2:U672),$U$2:$U$1001,0),1)&gt;=100000,INDEX($AB$1005:$AQ$1005,1,MATCH(COLUMNS($AB$1006:AO1006),$AB$1006:$AQ$1006,0))&gt;=100000), " ",IF(INDEX($AB$2:$AQ$1001,MATCH(ROWS($U$2:U672),$U$2:$U$1001,0),MATCH(COLUMNS($AB$1006:AO1006),$AB$1006:$AQ$1006,0)), HYPERLINK("#",""), HYPERLINK(CONCATENATE("#metadata!", ADDRESS(INDEX($W$2:$W$1001,MATCH(ROWS($U$2:U672),$U$2:$U$1001,0),0), INDEX($AB$1004:$AQ$1004,1,MATCH(COLUMNS($AB$1006:AO1006),$AB$1006:$AQ$1006,0)))),"Fix")))</f>
        <v>0</v>
      </c>
      <c r="P672" s="4">
        <f>IF(OR(INDEX($V$2:$V$1001,MATCH(ROWS($U$2:U672),$U$2:$U$1001,0),1)&gt;=100000,INDEX($AB$1005:$AQ$1005,1,MATCH(COLUMNS($AB$1006:AP1006),$AB$1006:$AQ$1006,0))&gt;=100000), " ",IF(INDEX($AB$2:$AQ$1001,MATCH(ROWS($U$2:U672),$U$2:$U$1001,0),MATCH(COLUMNS($AB$1006:AP1006),$AB$1006:$AQ$1006,0)), HYPERLINK("#",""), HYPERLINK(CONCATENATE("#metadata!", ADDRESS(INDEX($W$2:$W$1001,MATCH(ROWS($U$2:U672),$U$2:$U$1001,0),0), INDEX($AB$1004:$AQ$1004,1,MATCH(COLUMNS($AB$1006:AP1006),$AB$1006:$AQ$1006,0)))),"Fix")))</f>
        <v>0</v>
      </c>
      <c r="Q672" s="4">
        <f>IF(OR(INDEX($V$2:$V$1001,MATCH(ROWS($U$2:U672),$U$2:$U$1001,0),1)&gt;=100000,INDEX($AB$1005:$AQ$1005,1,MATCH(COLUMNS($AB$1006:AQ1006),$AB$1006:$AQ$1006,0))&gt;=100000), " ",IF(INDEX($AB$2:$AQ$1001,MATCH(ROWS($U$2:U672),$U$2:$U$1001,0),MATCH(COLUMNS($AB$1006:AQ1006),$AB$1006:$AQ$1006,0)), HYPERLINK("#",""), HYPERLINK(CONCATENATE("#metadata!", ADDRESS(INDEX($W$2:$W$1001,MATCH(ROWS($U$2:U672),$U$2:$U$1001,0),0), INDEX($AB$1004:$AQ$1004,1,MATCH(COLUMNS($AB$1006:AQ1006),$AB$1006:$AQ$1006,0)))),"Fix")))</f>
        <v>0</v>
      </c>
      <c r="U672">
        <v>0</v>
      </c>
      <c r="V672">
        <v>0</v>
      </c>
      <c r="W672">
        <v>0</v>
      </c>
      <c r="X672">
        <f>IF(Y672,TRUE,AND(AB672:AQ672))</f>
        <v>0</v>
      </c>
      <c r="Y672">
        <f>COUNTBLANK(metadata!B672:Q672)=COLUMNS(metadata!B672:Q672)</f>
        <v>0</v>
      </c>
      <c r="Z672">
        <v>0</v>
      </c>
      <c r="AB672">
        <f>AND(IF(metadata!B672="",FALSE,TRUE),COUNTIF(metadata!B:B, metadata!B672) = 1,NOT(ISERROR(SUMPRODUCT(SEARCH(MID(metadata!B672,ROW(INDIRECT("1:"&amp;LEN(metadata!B672))), 1),"0123456789abcdefghijklmnopqrstuvwxyzABCDEFGHIJKLMNOPQRSTUVWXYZ.")))))</f>
        <v>0</v>
      </c>
      <c r="AC672">
        <f>OR(AND(IF(metadata!C672="",FALSE,TRUE),OR(exact(metadata!C672,"missing: not collected"),exact(metadata!C672,"missing: not provided"),exact(metadata!C672,"missing: restricted access"))),AND(IF(metadata!C672="",FALSE,TRUE),AND(AND(IFERROR(INT(LEFT(metadata!C672,4))&gt;1900,FALSE),IFERROR(INT(LEFT(metadata!C672,4))&lt;=YEAR(NOW()),FALSE)), OR(MID(metadata!C672,5,1)="", AND(AND(MID(metadata!C672,5,1)="-",IFERROR(INT(MID(metadata!C672,6,1))&gt;=0,FALSE),IFERROR(INT(MID(metadata!C672,6,1))&lt;=1,FALSE),NOT(MID(metadata!C672,7,1)=""),IFERROR(INT(MID(metadata!C672,6,2))&gt;=1,FALSE),IFERROR(INT(MID(metadata!C672,6,2))&lt;=12,FALSE)), OR(MID(metadata!C672,8,1)="", AND(AND(MID(metadata!C672,8,1)="-",IFERROR(INT(MID(metadata!C672,9,1))&gt;=0,FALSE),IFERROR(INT(MID(metadata!C672,9,1))&lt;=3,FALSE),NOT(MID(metadata!C672,10,1)=""),IFERROR(INT(MID(metadata!C672,9,2))&gt;=1,FALSE),IFERROR(INT(MID(metadata!C672,9,2))&lt;=31,FALSE)), OR(MID(metadata!C672,11,1)="", AND(AND(MID(metadata!C672,11,1)=" ",IFERROR(INT(MID(metadata!C672,12,1))&gt;=0,FALSE),IFERROR(INT(MID(metadata!C672,12,1))&lt;=2,FALSE),NOT(MID(metadata!C672,13,1)=""),IFERROR(INT(MID(metadata!C672,12,2))&gt;=0,FALSE),IFERROR(INT(MID(metadata!C672,12,2))&lt;=23,FALSE)), OR(MID(metadata!C672,14,1)="", AND(AND(MID(metadata!C672,14,1)=":",IFERROR(INT(MID(metadata!C672,15,1))&gt;=0,FALSE),IFERROR(INT(MID(metadata!C672,15,1))&lt;=5,FALSE),NOT(MID(metadata!C672,16,1)=""),IFERROR(INT(MID(metadata!C672,15,2))&gt;=0,FALSE),IFERROR(INT(MID(metadata!C672,15,2))&lt;=59,FALSE)), OR(MID(metadata!C672,17,1)="", AND(AND(MID(metadata!C672,17,1)=":",IFERROR(INT(MID(metadata!C672,18,1))&gt;=0,FALSE),IFERROR(INT(MID(metadata!C672,18,1))&lt;=5,FALSE),NOT(MID(metadata!C672,19,1)=""),IFERROR(INT(MID(metadata!C672,18,2))&gt;=0,FALSE),IFERROR(INT(MID(metadata!C672,18,2))&lt;=59,FALSE)), LEN(metadata!C672)&lt;=19)))))))))))))</f>
        <v>0</v>
      </c>
      <c r="AD672">
        <f>IF(metadata!D672="",FALSE,TRUE)</f>
        <v>0</v>
      </c>
      <c r="AE672">
        <f>OR(AND(IF(metadata!E672="",FALSE,TRUE),OR(exact(metadata!E672,"missing: not collected"),exact(metadata!E672,"missing: not provided"))),AND(IF(metadata!E672="",FALSE,TRUE),OR(exact(metadata!E672,"TRUE"),exact(metadata!E672,"FALSE"))))</f>
        <v>0</v>
      </c>
      <c r="AF672">
        <f>IF(metadata!F672="",FALSE,TRUE)</f>
        <v>0</v>
      </c>
      <c r="AG672">
        <f>IF(metadata!G672="",FALSE,TRUE)</f>
        <v>0</v>
      </c>
      <c r="AH672">
        <f>IF(metadata!H672="",FALSE,TRUE)</f>
        <v>0</v>
      </c>
      <c r="AI672">
        <f>OR(AND(IF(metadata!I672="",FALSE,TRUE),OR(exact(metadata!I672,"missing: not collected"),exact(metadata!I672,"missing: not provided"),exact(metadata!I672,"missing: restricted access"))),AND(IF(metadata!I672="",FALSE,TRUE),OR(exact(metadata!I672,"air"),exact(metadata!I672,"built environment"),exact(metadata!I672,"host-associated"),exact(metadata!I672,"human-associated"),exact(metadata!I672,"human-skin"),exact(metadata!I672,"human-oral"),exact(metadata!I672,"human-gut"),exact(metadata!I672,"human-vaginal"),exact(metadata!I672,"microbial mat/biofilm"),exact(metadata!I672,"misc environment"),exact(metadata!I672,"plant-associated"),exact(metadata!I672,"sediment"),exact(metadata!I672,"soil"),exact(metadata!I672,"wastewater/sludge"),exact(metadata!I672,"water"))))</f>
        <v>0</v>
      </c>
      <c r="AJ672">
        <f>IF(metadata!J672="",FALSE,TRUE)</f>
        <v>0</v>
      </c>
      <c r="AK672">
        <f>OR(AND(IF(metadata!K672="",FALSE,TRUE),OR(exact(metadata!K672,"missing: not collected"),exact(metadata!K672,"missing: not provided"),exact(metadata!K672,"missing: restricted access"))),AND(IF(metadata!K672="",FALSE,ISNUMBER(VALUE(metadata!K672))),metadata!K672&gt;=-90.00,metadata!K672&lt;=90.00))</f>
        <v>0</v>
      </c>
      <c r="AL672">
        <f>OR(AND(IF(metadata!L672="",FALSE,TRUE),OR(exact(metadata!L672,"missing: not collected"),exact(metadata!L672,"missing: not provided"),exact(metadata!L672,"missing: restricted access"))),AND(IF(metadata!L672="",FALSE,ISNUMBER(VALUE(metadata!L672))),metadata!L672&gt;=-180.00,metadata!L672&lt;=180.00))</f>
        <v>0</v>
      </c>
      <c r="AM672">
        <f>IF(metadata!M672="",FALSE,TRUE)</f>
        <v>0</v>
      </c>
      <c r="AN672">
        <f>OR(AND(IF(metadata!N672="",FALSE,TRUE),OR(exact(metadata!N672,"missing: not collected"),exact(metadata!N672,"missing: not provided"),exact(metadata!N672,"missing: restricted access"))),AND(IF(metadata!N672="",FALSE,TRUE),OR(exact(metadata!N672,"TRUE"),exact(metadata!N672,"FALSE"))))</f>
        <v>0</v>
      </c>
      <c r="AO672">
        <f>IF(metadata!O672="",FALSE,TRUE)</f>
        <v>0</v>
      </c>
      <c r="AP672">
        <f>OR(AND(IF(metadata!P672="",FALSE,TRUE),OR(exact(metadata!P672,"missing: not collected"),exact(metadata!P672,"missing: not provided"))),AND(IF(metadata!P672="",FALSE,IF(ISERROR(INT(metadata!P672)),FALSE,INT(metadata!P672)=metadata!P672)),metadata!P672&gt;0))</f>
        <v>0</v>
      </c>
      <c r="AQ672">
        <f>IF(metadata!Q672="",FALSE,TRUE)</f>
        <v>0</v>
      </c>
    </row>
    <row r="673" spans="1:43">
      <c r="A673" s="5">
        <f>IF(B673=" "," ",HYPERLINK(CONCATENATE("#metadata!",ADDRESS(INDEX($W$2:$W$1001,MATCH(ROWS($U$2:U673),$U$2:$U$1001,0),0),1)),INDEX($Z$2:$Z$1001,MATCH(ROWS($U$2:U673),$U$2:$U$1001,0),0)))</f>
        <v>0</v>
      </c>
      <c r="B673" s="4">
        <f>IF(OR(INDEX($V$2:$V$1001,MATCH(ROWS($U$2:U673),$U$2:$U$1001,0),1)&gt;=100000,INDEX($AB$1005:$AQ$1005,1,MATCH(COLUMNS($AB$1006:AB1006),$AB$1006:$AQ$1006,0))&gt;=100000), " ",IF(INDEX($AB$2:$AQ$1001,MATCH(ROWS($U$2:U673),$U$2:$U$1001,0),MATCH(COLUMNS($AB$1006:AB1006),$AB$1006:$AQ$1006,0)), HYPERLINK("#",""), HYPERLINK(CONCATENATE("#metadata!", ADDRESS(INDEX($W$2:$W$1001,MATCH(ROWS($U$2:U673),$U$2:$U$1001,0),0), INDEX($AB$1004:$AQ$1004,1,MATCH(COLUMNS($AB$1006:AB1006),$AB$1006:$AQ$1006,0)))),"Fix")))</f>
        <v>0</v>
      </c>
      <c r="C673" s="4">
        <f>IF(OR(INDEX($V$2:$V$1001,MATCH(ROWS($U$2:U673),$U$2:$U$1001,0),1)&gt;=100000,INDEX($AB$1005:$AQ$1005,1,MATCH(COLUMNS($AB$1006:AC1006),$AB$1006:$AQ$1006,0))&gt;=100000), " ",IF(INDEX($AB$2:$AQ$1001,MATCH(ROWS($U$2:U673),$U$2:$U$1001,0),MATCH(COLUMNS($AB$1006:AC1006),$AB$1006:$AQ$1006,0)), HYPERLINK("#",""), HYPERLINK(CONCATENATE("#metadata!", ADDRESS(INDEX($W$2:$W$1001,MATCH(ROWS($U$2:U673),$U$2:$U$1001,0),0), INDEX($AB$1004:$AQ$1004,1,MATCH(COLUMNS($AB$1006:AC1006),$AB$1006:$AQ$1006,0)))),"Fix")))</f>
        <v>0</v>
      </c>
      <c r="D673" s="4">
        <f>IF(OR(INDEX($V$2:$V$1001,MATCH(ROWS($U$2:U673),$U$2:$U$1001,0),1)&gt;=100000,INDEX($AB$1005:$AQ$1005,1,MATCH(COLUMNS($AB$1006:AD1006),$AB$1006:$AQ$1006,0))&gt;=100000), " ",IF(INDEX($AB$2:$AQ$1001,MATCH(ROWS($U$2:U673),$U$2:$U$1001,0),MATCH(COLUMNS($AB$1006:AD1006),$AB$1006:$AQ$1006,0)), HYPERLINK("#",""), HYPERLINK(CONCATENATE("#metadata!", ADDRESS(INDEX($W$2:$W$1001,MATCH(ROWS($U$2:U673),$U$2:$U$1001,0),0), INDEX($AB$1004:$AQ$1004,1,MATCH(COLUMNS($AB$1006:AD1006),$AB$1006:$AQ$1006,0)))),"Fix")))</f>
        <v>0</v>
      </c>
      <c r="E673" s="4">
        <f>IF(OR(INDEX($V$2:$V$1001,MATCH(ROWS($U$2:U673),$U$2:$U$1001,0),1)&gt;=100000,INDEX($AB$1005:$AQ$1005,1,MATCH(COLUMNS($AB$1006:AE1006),$AB$1006:$AQ$1006,0))&gt;=100000), " ",IF(INDEX($AB$2:$AQ$1001,MATCH(ROWS($U$2:U673),$U$2:$U$1001,0),MATCH(COLUMNS($AB$1006:AE1006),$AB$1006:$AQ$1006,0)), HYPERLINK("#",""), HYPERLINK(CONCATENATE("#metadata!", ADDRESS(INDEX($W$2:$W$1001,MATCH(ROWS($U$2:U673),$U$2:$U$1001,0),0), INDEX($AB$1004:$AQ$1004,1,MATCH(COLUMNS($AB$1006:AE1006),$AB$1006:$AQ$1006,0)))),"Fix")))</f>
        <v>0</v>
      </c>
      <c r="F673" s="4">
        <f>IF(OR(INDEX($V$2:$V$1001,MATCH(ROWS($U$2:U673),$U$2:$U$1001,0),1)&gt;=100000,INDEX($AB$1005:$AQ$1005,1,MATCH(COLUMNS($AB$1006:AF1006),$AB$1006:$AQ$1006,0))&gt;=100000), " ",IF(INDEX($AB$2:$AQ$1001,MATCH(ROWS($U$2:U673),$U$2:$U$1001,0),MATCH(COLUMNS($AB$1006:AF1006),$AB$1006:$AQ$1006,0)), HYPERLINK("#",""), HYPERLINK(CONCATENATE("#metadata!", ADDRESS(INDEX($W$2:$W$1001,MATCH(ROWS($U$2:U673),$U$2:$U$1001,0),0), INDEX($AB$1004:$AQ$1004,1,MATCH(COLUMNS($AB$1006:AF1006),$AB$1006:$AQ$1006,0)))),"Fix")))</f>
        <v>0</v>
      </c>
      <c r="G673" s="4">
        <f>IF(OR(INDEX($V$2:$V$1001,MATCH(ROWS($U$2:U673),$U$2:$U$1001,0),1)&gt;=100000,INDEX($AB$1005:$AQ$1005,1,MATCH(COLUMNS($AB$1006:AG1006),$AB$1006:$AQ$1006,0))&gt;=100000), " ",IF(INDEX($AB$2:$AQ$1001,MATCH(ROWS($U$2:U673),$U$2:$U$1001,0),MATCH(COLUMNS($AB$1006:AG1006),$AB$1006:$AQ$1006,0)), HYPERLINK("#",""), HYPERLINK(CONCATENATE("#metadata!", ADDRESS(INDEX($W$2:$W$1001,MATCH(ROWS($U$2:U673),$U$2:$U$1001,0),0), INDEX($AB$1004:$AQ$1004,1,MATCH(COLUMNS($AB$1006:AG1006),$AB$1006:$AQ$1006,0)))),"Fix")))</f>
        <v>0</v>
      </c>
      <c r="H673" s="4">
        <f>IF(OR(INDEX($V$2:$V$1001,MATCH(ROWS($U$2:U673),$U$2:$U$1001,0),1)&gt;=100000,INDEX($AB$1005:$AQ$1005,1,MATCH(COLUMNS($AB$1006:AH1006),$AB$1006:$AQ$1006,0))&gt;=100000), " ",IF(INDEX($AB$2:$AQ$1001,MATCH(ROWS($U$2:U673),$U$2:$U$1001,0),MATCH(COLUMNS($AB$1006:AH1006),$AB$1006:$AQ$1006,0)), HYPERLINK("#",""), HYPERLINK(CONCATENATE("#metadata!", ADDRESS(INDEX($W$2:$W$1001,MATCH(ROWS($U$2:U673),$U$2:$U$1001,0),0), INDEX($AB$1004:$AQ$1004,1,MATCH(COLUMNS($AB$1006:AH1006),$AB$1006:$AQ$1006,0)))),"Fix")))</f>
        <v>0</v>
      </c>
      <c r="I673" s="4">
        <f>IF(OR(INDEX($V$2:$V$1001,MATCH(ROWS($U$2:U673),$U$2:$U$1001,0),1)&gt;=100000,INDEX($AB$1005:$AQ$1005,1,MATCH(COLUMNS($AB$1006:AI1006),$AB$1006:$AQ$1006,0))&gt;=100000), " ",IF(INDEX($AB$2:$AQ$1001,MATCH(ROWS($U$2:U673),$U$2:$U$1001,0),MATCH(COLUMNS($AB$1006:AI1006),$AB$1006:$AQ$1006,0)), HYPERLINK("#",""), HYPERLINK(CONCATENATE("#metadata!", ADDRESS(INDEX($W$2:$W$1001,MATCH(ROWS($U$2:U673),$U$2:$U$1001,0),0), INDEX($AB$1004:$AQ$1004,1,MATCH(COLUMNS($AB$1006:AI1006),$AB$1006:$AQ$1006,0)))),"Fix")))</f>
        <v>0</v>
      </c>
      <c r="J673" s="4">
        <f>IF(OR(INDEX($V$2:$V$1001,MATCH(ROWS($U$2:U673),$U$2:$U$1001,0),1)&gt;=100000,INDEX($AB$1005:$AQ$1005,1,MATCH(COLUMNS($AB$1006:AJ1006),$AB$1006:$AQ$1006,0))&gt;=100000), " ",IF(INDEX($AB$2:$AQ$1001,MATCH(ROWS($U$2:U673),$U$2:$U$1001,0),MATCH(COLUMNS($AB$1006:AJ1006),$AB$1006:$AQ$1006,0)), HYPERLINK("#",""), HYPERLINK(CONCATENATE("#metadata!", ADDRESS(INDEX($W$2:$W$1001,MATCH(ROWS($U$2:U673),$U$2:$U$1001,0),0), INDEX($AB$1004:$AQ$1004,1,MATCH(COLUMNS($AB$1006:AJ1006),$AB$1006:$AQ$1006,0)))),"Fix")))</f>
        <v>0</v>
      </c>
      <c r="K673" s="4">
        <f>IF(OR(INDEX($V$2:$V$1001,MATCH(ROWS($U$2:U673),$U$2:$U$1001,0),1)&gt;=100000,INDEX($AB$1005:$AQ$1005,1,MATCH(COLUMNS($AB$1006:AK1006),$AB$1006:$AQ$1006,0))&gt;=100000), " ",IF(INDEX($AB$2:$AQ$1001,MATCH(ROWS($U$2:U673),$U$2:$U$1001,0),MATCH(COLUMNS($AB$1006:AK1006),$AB$1006:$AQ$1006,0)), HYPERLINK("#",""), HYPERLINK(CONCATENATE("#metadata!", ADDRESS(INDEX($W$2:$W$1001,MATCH(ROWS($U$2:U673),$U$2:$U$1001,0),0), INDEX($AB$1004:$AQ$1004,1,MATCH(COLUMNS($AB$1006:AK1006),$AB$1006:$AQ$1006,0)))),"Fix")))</f>
        <v>0</v>
      </c>
      <c r="L673" s="4">
        <f>IF(OR(INDEX($V$2:$V$1001,MATCH(ROWS($U$2:U673),$U$2:$U$1001,0),1)&gt;=100000,INDEX($AB$1005:$AQ$1005,1,MATCH(COLUMNS($AB$1006:AL1006),$AB$1006:$AQ$1006,0))&gt;=100000), " ",IF(INDEX($AB$2:$AQ$1001,MATCH(ROWS($U$2:U673),$U$2:$U$1001,0),MATCH(COLUMNS($AB$1006:AL1006),$AB$1006:$AQ$1006,0)), HYPERLINK("#",""), HYPERLINK(CONCATENATE("#metadata!", ADDRESS(INDEX($W$2:$W$1001,MATCH(ROWS($U$2:U673),$U$2:$U$1001,0),0), INDEX($AB$1004:$AQ$1004,1,MATCH(COLUMNS($AB$1006:AL1006),$AB$1006:$AQ$1006,0)))),"Fix")))</f>
        <v>0</v>
      </c>
      <c r="M673" s="4">
        <f>IF(OR(INDEX($V$2:$V$1001,MATCH(ROWS($U$2:U673),$U$2:$U$1001,0),1)&gt;=100000,INDEX($AB$1005:$AQ$1005,1,MATCH(COLUMNS($AB$1006:AM1006),$AB$1006:$AQ$1006,0))&gt;=100000), " ",IF(INDEX($AB$2:$AQ$1001,MATCH(ROWS($U$2:U673),$U$2:$U$1001,0),MATCH(COLUMNS($AB$1006:AM1006),$AB$1006:$AQ$1006,0)), HYPERLINK("#",""), HYPERLINK(CONCATENATE("#metadata!", ADDRESS(INDEX($W$2:$W$1001,MATCH(ROWS($U$2:U673),$U$2:$U$1001,0),0), INDEX($AB$1004:$AQ$1004,1,MATCH(COLUMNS($AB$1006:AM1006),$AB$1006:$AQ$1006,0)))),"Fix")))</f>
        <v>0</v>
      </c>
      <c r="N673" s="4">
        <f>IF(OR(INDEX($V$2:$V$1001,MATCH(ROWS($U$2:U673),$U$2:$U$1001,0),1)&gt;=100000,INDEX($AB$1005:$AQ$1005,1,MATCH(COLUMNS($AB$1006:AN1006),$AB$1006:$AQ$1006,0))&gt;=100000), " ",IF(INDEX($AB$2:$AQ$1001,MATCH(ROWS($U$2:U673),$U$2:$U$1001,0),MATCH(COLUMNS($AB$1006:AN1006),$AB$1006:$AQ$1006,0)), HYPERLINK("#",""), HYPERLINK(CONCATENATE("#metadata!", ADDRESS(INDEX($W$2:$W$1001,MATCH(ROWS($U$2:U673),$U$2:$U$1001,0),0), INDEX($AB$1004:$AQ$1004,1,MATCH(COLUMNS($AB$1006:AN1006),$AB$1006:$AQ$1006,0)))),"Fix")))</f>
        <v>0</v>
      </c>
      <c r="O673" s="4">
        <f>IF(OR(INDEX($V$2:$V$1001,MATCH(ROWS($U$2:U673),$U$2:$U$1001,0),1)&gt;=100000,INDEX($AB$1005:$AQ$1005,1,MATCH(COLUMNS($AB$1006:AO1006),$AB$1006:$AQ$1006,0))&gt;=100000), " ",IF(INDEX($AB$2:$AQ$1001,MATCH(ROWS($U$2:U673),$U$2:$U$1001,0),MATCH(COLUMNS($AB$1006:AO1006),$AB$1006:$AQ$1006,0)), HYPERLINK("#",""), HYPERLINK(CONCATENATE("#metadata!", ADDRESS(INDEX($W$2:$W$1001,MATCH(ROWS($U$2:U673),$U$2:$U$1001,0),0), INDEX($AB$1004:$AQ$1004,1,MATCH(COLUMNS($AB$1006:AO1006),$AB$1006:$AQ$1006,0)))),"Fix")))</f>
        <v>0</v>
      </c>
      <c r="P673" s="4">
        <f>IF(OR(INDEX($V$2:$V$1001,MATCH(ROWS($U$2:U673),$U$2:$U$1001,0),1)&gt;=100000,INDEX($AB$1005:$AQ$1005,1,MATCH(COLUMNS($AB$1006:AP1006),$AB$1006:$AQ$1006,0))&gt;=100000), " ",IF(INDEX($AB$2:$AQ$1001,MATCH(ROWS($U$2:U673),$U$2:$U$1001,0),MATCH(COLUMNS($AB$1006:AP1006),$AB$1006:$AQ$1006,0)), HYPERLINK("#",""), HYPERLINK(CONCATENATE("#metadata!", ADDRESS(INDEX($W$2:$W$1001,MATCH(ROWS($U$2:U673),$U$2:$U$1001,0),0), INDEX($AB$1004:$AQ$1004,1,MATCH(COLUMNS($AB$1006:AP1006),$AB$1006:$AQ$1006,0)))),"Fix")))</f>
        <v>0</v>
      </c>
      <c r="Q673" s="4">
        <f>IF(OR(INDEX($V$2:$V$1001,MATCH(ROWS($U$2:U673),$U$2:$U$1001,0),1)&gt;=100000,INDEX($AB$1005:$AQ$1005,1,MATCH(COLUMNS($AB$1006:AQ1006),$AB$1006:$AQ$1006,0))&gt;=100000), " ",IF(INDEX($AB$2:$AQ$1001,MATCH(ROWS($U$2:U673),$U$2:$U$1001,0),MATCH(COLUMNS($AB$1006:AQ1006),$AB$1006:$AQ$1006,0)), HYPERLINK("#",""), HYPERLINK(CONCATENATE("#metadata!", ADDRESS(INDEX($W$2:$W$1001,MATCH(ROWS($U$2:U673),$U$2:$U$1001,0),0), INDEX($AB$1004:$AQ$1004,1,MATCH(COLUMNS($AB$1006:AQ1006),$AB$1006:$AQ$1006,0)))),"Fix")))</f>
        <v>0</v>
      </c>
      <c r="U673">
        <v>0</v>
      </c>
      <c r="V673">
        <v>0</v>
      </c>
      <c r="W673">
        <v>0</v>
      </c>
      <c r="X673">
        <f>IF(Y673,TRUE,AND(AB673:AQ673))</f>
        <v>0</v>
      </c>
      <c r="Y673">
        <f>COUNTBLANK(metadata!B673:Q673)=COLUMNS(metadata!B673:Q673)</f>
        <v>0</v>
      </c>
      <c r="Z673">
        <v>0</v>
      </c>
      <c r="AB673">
        <f>AND(IF(metadata!B673="",FALSE,TRUE),COUNTIF(metadata!B:B, metadata!B673) = 1,NOT(ISERROR(SUMPRODUCT(SEARCH(MID(metadata!B673,ROW(INDIRECT("1:"&amp;LEN(metadata!B673))), 1),"0123456789abcdefghijklmnopqrstuvwxyzABCDEFGHIJKLMNOPQRSTUVWXYZ.")))))</f>
        <v>0</v>
      </c>
      <c r="AC673">
        <f>OR(AND(IF(metadata!C673="",FALSE,TRUE),OR(exact(metadata!C673,"missing: not collected"),exact(metadata!C673,"missing: not provided"),exact(metadata!C673,"missing: restricted access"))),AND(IF(metadata!C673="",FALSE,TRUE),AND(AND(IFERROR(INT(LEFT(metadata!C673,4))&gt;1900,FALSE),IFERROR(INT(LEFT(metadata!C673,4))&lt;=YEAR(NOW()),FALSE)), OR(MID(metadata!C673,5,1)="", AND(AND(MID(metadata!C673,5,1)="-",IFERROR(INT(MID(metadata!C673,6,1))&gt;=0,FALSE),IFERROR(INT(MID(metadata!C673,6,1))&lt;=1,FALSE),NOT(MID(metadata!C673,7,1)=""),IFERROR(INT(MID(metadata!C673,6,2))&gt;=1,FALSE),IFERROR(INT(MID(metadata!C673,6,2))&lt;=12,FALSE)), OR(MID(metadata!C673,8,1)="", AND(AND(MID(metadata!C673,8,1)="-",IFERROR(INT(MID(metadata!C673,9,1))&gt;=0,FALSE),IFERROR(INT(MID(metadata!C673,9,1))&lt;=3,FALSE),NOT(MID(metadata!C673,10,1)=""),IFERROR(INT(MID(metadata!C673,9,2))&gt;=1,FALSE),IFERROR(INT(MID(metadata!C673,9,2))&lt;=31,FALSE)), OR(MID(metadata!C673,11,1)="", AND(AND(MID(metadata!C673,11,1)=" ",IFERROR(INT(MID(metadata!C673,12,1))&gt;=0,FALSE),IFERROR(INT(MID(metadata!C673,12,1))&lt;=2,FALSE),NOT(MID(metadata!C673,13,1)=""),IFERROR(INT(MID(metadata!C673,12,2))&gt;=0,FALSE),IFERROR(INT(MID(metadata!C673,12,2))&lt;=23,FALSE)), OR(MID(metadata!C673,14,1)="", AND(AND(MID(metadata!C673,14,1)=":",IFERROR(INT(MID(metadata!C673,15,1))&gt;=0,FALSE),IFERROR(INT(MID(metadata!C673,15,1))&lt;=5,FALSE),NOT(MID(metadata!C673,16,1)=""),IFERROR(INT(MID(metadata!C673,15,2))&gt;=0,FALSE),IFERROR(INT(MID(metadata!C673,15,2))&lt;=59,FALSE)), OR(MID(metadata!C673,17,1)="", AND(AND(MID(metadata!C673,17,1)=":",IFERROR(INT(MID(metadata!C673,18,1))&gt;=0,FALSE),IFERROR(INT(MID(metadata!C673,18,1))&lt;=5,FALSE),NOT(MID(metadata!C673,19,1)=""),IFERROR(INT(MID(metadata!C673,18,2))&gt;=0,FALSE),IFERROR(INT(MID(metadata!C673,18,2))&lt;=59,FALSE)), LEN(metadata!C673)&lt;=19)))))))))))))</f>
        <v>0</v>
      </c>
      <c r="AD673">
        <f>IF(metadata!D673="",FALSE,TRUE)</f>
        <v>0</v>
      </c>
      <c r="AE673">
        <f>OR(AND(IF(metadata!E673="",FALSE,TRUE),OR(exact(metadata!E673,"missing: not collected"),exact(metadata!E673,"missing: not provided"))),AND(IF(metadata!E673="",FALSE,TRUE),OR(exact(metadata!E673,"TRUE"),exact(metadata!E673,"FALSE"))))</f>
        <v>0</v>
      </c>
      <c r="AF673">
        <f>IF(metadata!F673="",FALSE,TRUE)</f>
        <v>0</v>
      </c>
      <c r="AG673">
        <f>IF(metadata!G673="",FALSE,TRUE)</f>
        <v>0</v>
      </c>
      <c r="AH673">
        <f>IF(metadata!H673="",FALSE,TRUE)</f>
        <v>0</v>
      </c>
      <c r="AI673">
        <f>OR(AND(IF(metadata!I673="",FALSE,TRUE),OR(exact(metadata!I673,"missing: not collected"),exact(metadata!I673,"missing: not provided"),exact(metadata!I673,"missing: restricted access"))),AND(IF(metadata!I673="",FALSE,TRUE),OR(exact(metadata!I673,"air"),exact(metadata!I673,"built environment"),exact(metadata!I673,"host-associated"),exact(metadata!I673,"human-associated"),exact(metadata!I673,"human-skin"),exact(metadata!I673,"human-oral"),exact(metadata!I673,"human-gut"),exact(metadata!I673,"human-vaginal"),exact(metadata!I673,"microbial mat/biofilm"),exact(metadata!I673,"misc environment"),exact(metadata!I673,"plant-associated"),exact(metadata!I673,"sediment"),exact(metadata!I673,"soil"),exact(metadata!I673,"wastewater/sludge"),exact(metadata!I673,"water"))))</f>
        <v>0</v>
      </c>
      <c r="AJ673">
        <f>IF(metadata!J673="",FALSE,TRUE)</f>
        <v>0</v>
      </c>
      <c r="AK673">
        <f>OR(AND(IF(metadata!K673="",FALSE,TRUE),OR(exact(metadata!K673,"missing: not collected"),exact(metadata!K673,"missing: not provided"),exact(metadata!K673,"missing: restricted access"))),AND(IF(metadata!K673="",FALSE,ISNUMBER(VALUE(metadata!K673))),metadata!K673&gt;=-90.00,metadata!K673&lt;=90.00))</f>
        <v>0</v>
      </c>
      <c r="AL673">
        <f>OR(AND(IF(metadata!L673="",FALSE,TRUE),OR(exact(metadata!L673,"missing: not collected"),exact(metadata!L673,"missing: not provided"),exact(metadata!L673,"missing: restricted access"))),AND(IF(metadata!L673="",FALSE,ISNUMBER(VALUE(metadata!L673))),metadata!L673&gt;=-180.00,metadata!L673&lt;=180.00))</f>
        <v>0</v>
      </c>
      <c r="AM673">
        <f>IF(metadata!M673="",FALSE,TRUE)</f>
        <v>0</v>
      </c>
      <c r="AN673">
        <f>OR(AND(IF(metadata!N673="",FALSE,TRUE),OR(exact(metadata!N673,"missing: not collected"),exact(metadata!N673,"missing: not provided"),exact(metadata!N673,"missing: restricted access"))),AND(IF(metadata!N673="",FALSE,TRUE),OR(exact(metadata!N673,"TRUE"),exact(metadata!N673,"FALSE"))))</f>
        <v>0</v>
      </c>
      <c r="AO673">
        <f>IF(metadata!O673="",FALSE,TRUE)</f>
        <v>0</v>
      </c>
      <c r="AP673">
        <f>OR(AND(IF(metadata!P673="",FALSE,TRUE),OR(exact(metadata!P673,"missing: not collected"),exact(metadata!P673,"missing: not provided"))),AND(IF(metadata!P673="",FALSE,IF(ISERROR(INT(metadata!P673)),FALSE,INT(metadata!P673)=metadata!P673)),metadata!P673&gt;0))</f>
        <v>0</v>
      </c>
      <c r="AQ673">
        <f>IF(metadata!Q673="",FALSE,TRUE)</f>
        <v>0</v>
      </c>
    </row>
    <row r="674" spans="1:43">
      <c r="A674" s="5">
        <f>IF(B674=" "," ",HYPERLINK(CONCATENATE("#metadata!",ADDRESS(INDEX($W$2:$W$1001,MATCH(ROWS($U$2:U674),$U$2:$U$1001,0),0),1)),INDEX($Z$2:$Z$1001,MATCH(ROWS($U$2:U674),$U$2:$U$1001,0),0)))</f>
        <v>0</v>
      </c>
      <c r="B674" s="4">
        <f>IF(OR(INDEX($V$2:$V$1001,MATCH(ROWS($U$2:U674),$U$2:$U$1001,0),1)&gt;=100000,INDEX($AB$1005:$AQ$1005,1,MATCH(COLUMNS($AB$1006:AB1006),$AB$1006:$AQ$1006,0))&gt;=100000), " ",IF(INDEX($AB$2:$AQ$1001,MATCH(ROWS($U$2:U674),$U$2:$U$1001,0),MATCH(COLUMNS($AB$1006:AB1006),$AB$1006:$AQ$1006,0)), HYPERLINK("#",""), HYPERLINK(CONCATENATE("#metadata!", ADDRESS(INDEX($W$2:$W$1001,MATCH(ROWS($U$2:U674),$U$2:$U$1001,0),0), INDEX($AB$1004:$AQ$1004,1,MATCH(COLUMNS($AB$1006:AB1006),$AB$1006:$AQ$1006,0)))),"Fix")))</f>
        <v>0</v>
      </c>
      <c r="C674" s="4">
        <f>IF(OR(INDEX($V$2:$V$1001,MATCH(ROWS($U$2:U674),$U$2:$U$1001,0),1)&gt;=100000,INDEX($AB$1005:$AQ$1005,1,MATCH(COLUMNS($AB$1006:AC1006),$AB$1006:$AQ$1006,0))&gt;=100000), " ",IF(INDEX($AB$2:$AQ$1001,MATCH(ROWS($U$2:U674),$U$2:$U$1001,0),MATCH(COLUMNS($AB$1006:AC1006),$AB$1006:$AQ$1006,0)), HYPERLINK("#",""), HYPERLINK(CONCATENATE("#metadata!", ADDRESS(INDEX($W$2:$W$1001,MATCH(ROWS($U$2:U674),$U$2:$U$1001,0),0), INDEX($AB$1004:$AQ$1004,1,MATCH(COLUMNS($AB$1006:AC1006),$AB$1006:$AQ$1006,0)))),"Fix")))</f>
        <v>0</v>
      </c>
      <c r="D674" s="4">
        <f>IF(OR(INDEX($V$2:$V$1001,MATCH(ROWS($U$2:U674),$U$2:$U$1001,0),1)&gt;=100000,INDEX($AB$1005:$AQ$1005,1,MATCH(COLUMNS($AB$1006:AD1006),$AB$1006:$AQ$1006,0))&gt;=100000), " ",IF(INDEX($AB$2:$AQ$1001,MATCH(ROWS($U$2:U674),$U$2:$U$1001,0),MATCH(COLUMNS($AB$1006:AD1006),$AB$1006:$AQ$1006,0)), HYPERLINK("#",""), HYPERLINK(CONCATENATE("#metadata!", ADDRESS(INDEX($W$2:$W$1001,MATCH(ROWS($U$2:U674),$U$2:$U$1001,0),0), INDEX($AB$1004:$AQ$1004,1,MATCH(COLUMNS($AB$1006:AD1006),$AB$1006:$AQ$1006,0)))),"Fix")))</f>
        <v>0</v>
      </c>
      <c r="E674" s="4">
        <f>IF(OR(INDEX($V$2:$V$1001,MATCH(ROWS($U$2:U674),$U$2:$U$1001,0),1)&gt;=100000,INDEX($AB$1005:$AQ$1005,1,MATCH(COLUMNS($AB$1006:AE1006),$AB$1006:$AQ$1006,0))&gt;=100000), " ",IF(INDEX($AB$2:$AQ$1001,MATCH(ROWS($U$2:U674),$U$2:$U$1001,0),MATCH(COLUMNS($AB$1006:AE1006),$AB$1006:$AQ$1006,0)), HYPERLINK("#",""), HYPERLINK(CONCATENATE("#metadata!", ADDRESS(INDEX($W$2:$W$1001,MATCH(ROWS($U$2:U674),$U$2:$U$1001,0),0), INDEX($AB$1004:$AQ$1004,1,MATCH(COLUMNS($AB$1006:AE1006),$AB$1006:$AQ$1006,0)))),"Fix")))</f>
        <v>0</v>
      </c>
      <c r="F674" s="4">
        <f>IF(OR(INDEX($V$2:$V$1001,MATCH(ROWS($U$2:U674),$U$2:$U$1001,0),1)&gt;=100000,INDEX($AB$1005:$AQ$1005,1,MATCH(COLUMNS($AB$1006:AF1006),$AB$1006:$AQ$1006,0))&gt;=100000), " ",IF(INDEX($AB$2:$AQ$1001,MATCH(ROWS($U$2:U674),$U$2:$U$1001,0),MATCH(COLUMNS($AB$1006:AF1006),$AB$1006:$AQ$1006,0)), HYPERLINK("#",""), HYPERLINK(CONCATENATE("#metadata!", ADDRESS(INDEX($W$2:$W$1001,MATCH(ROWS($U$2:U674),$U$2:$U$1001,0),0), INDEX($AB$1004:$AQ$1004,1,MATCH(COLUMNS($AB$1006:AF1006),$AB$1006:$AQ$1006,0)))),"Fix")))</f>
        <v>0</v>
      </c>
      <c r="G674" s="4">
        <f>IF(OR(INDEX($V$2:$V$1001,MATCH(ROWS($U$2:U674),$U$2:$U$1001,0),1)&gt;=100000,INDEX($AB$1005:$AQ$1005,1,MATCH(COLUMNS($AB$1006:AG1006),$AB$1006:$AQ$1006,0))&gt;=100000), " ",IF(INDEX($AB$2:$AQ$1001,MATCH(ROWS($U$2:U674),$U$2:$U$1001,0),MATCH(COLUMNS($AB$1006:AG1006),$AB$1006:$AQ$1006,0)), HYPERLINK("#",""), HYPERLINK(CONCATENATE("#metadata!", ADDRESS(INDEX($W$2:$W$1001,MATCH(ROWS($U$2:U674),$U$2:$U$1001,0),0), INDEX($AB$1004:$AQ$1004,1,MATCH(COLUMNS($AB$1006:AG1006),$AB$1006:$AQ$1006,0)))),"Fix")))</f>
        <v>0</v>
      </c>
      <c r="H674" s="4">
        <f>IF(OR(INDEX($V$2:$V$1001,MATCH(ROWS($U$2:U674),$U$2:$U$1001,0),1)&gt;=100000,INDEX($AB$1005:$AQ$1005,1,MATCH(COLUMNS($AB$1006:AH1006),$AB$1006:$AQ$1006,0))&gt;=100000), " ",IF(INDEX($AB$2:$AQ$1001,MATCH(ROWS($U$2:U674),$U$2:$U$1001,0),MATCH(COLUMNS($AB$1006:AH1006),$AB$1006:$AQ$1006,0)), HYPERLINK("#",""), HYPERLINK(CONCATENATE("#metadata!", ADDRESS(INDEX($W$2:$W$1001,MATCH(ROWS($U$2:U674),$U$2:$U$1001,0),0), INDEX($AB$1004:$AQ$1004,1,MATCH(COLUMNS($AB$1006:AH1006),$AB$1006:$AQ$1006,0)))),"Fix")))</f>
        <v>0</v>
      </c>
      <c r="I674" s="4">
        <f>IF(OR(INDEX($V$2:$V$1001,MATCH(ROWS($U$2:U674),$U$2:$U$1001,0),1)&gt;=100000,INDEX($AB$1005:$AQ$1005,1,MATCH(COLUMNS($AB$1006:AI1006),$AB$1006:$AQ$1006,0))&gt;=100000), " ",IF(INDEX($AB$2:$AQ$1001,MATCH(ROWS($U$2:U674),$U$2:$U$1001,0),MATCH(COLUMNS($AB$1006:AI1006),$AB$1006:$AQ$1006,0)), HYPERLINK("#",""), HYPERLINK(CONCATENATE("#metadata!", ADDRESS(INDEX($W$2:$W$1001,MATCH(ROWS($U$2:U674),$U$2:$U$1001,0),0), INDEX($AB$1004:$AQ$1004,1,MATCH(COLUMNS($AB$1006:AI1006),$AB$1006:$AQ$1006,0)))),"Fix")))</f>
        <v>0</v>
      </c>
      <c r="J674" s="4">
        <f>IF(OR(INDEX($V$2:$V$1001,MATCH(ROWS($U$2:U674),$U$2:$U$1001,0),1)&gt;=100000,INDEX($AB$1005:$AQ$1005,1,MATCH(COLUMNS($AB$1006:AJ1006),$AB$1006:$AQ$1006,0))&gt;=100000), " ",IF(INDEX($AB$2:$AQ$1001,MATCH(ROWS($U$2:U674),$U$2:$U$1001,0),MATCH(COLUMNS($AB$1006:AJ1006),$AB$1006:$AQ$1006,0)), HYPERLINK("#",""), HYPERLINK(CONCATENATE("#metadata!", ADDRESS(INDEX($W$2:$W$1001,MATCH(ROWS($U$2:U674),$U$2:$U$1001,0),0), INDEX($AB$1004:$AQ$1004,1,MATCH(COLUMNS($AB$1006:AJ1006),$AB$1006:$AQ$1006,0)))),"Fix")))</f>
        <v>0</v>
      </c>
      <c r="K674" s="4">
        <f>IF(OR(INDEX($V$2:$V$1001,MATCH(ROWS($U$2:U674),$U$2:$U$1001,0),1)&gt;=100000,INDEX($AB$1005:$AQ$1005,1,MATCH(COLUMNS($AB$1006:AK1006),$AB$1006:$AQ$1006,0))&gt;=100000), " ",IF(INDEX($AB$2:$AQ$1001,MATCH(ROWS($U$2:U674),$U$2:$U$1001,0),MATCH(COLUMNS($AB$1006:AK1006),$AB$1006:$AQ$1006,0)), HYPERLINK("#",""), HYPERLINK(CONCATENATE("#metadata!", ADDRESS(INDEX($W$2:$W$1001,MATCH(ROWS($U$2:U674),$U$2:$U$1001,0),0), INDEX($AB$1004:$AQ$1004,1,MATCH(COLUMNS($AB$1006:AK1006),$AB$1006:$AQ$1006,0)))),"Fix")))</f>
        <v>0</v>
      </c>
      <c r="L674" s="4">
        <f>IF(OR(INDEX($V$2:$V$1001,MATCH(ROWS($U$2:U674),$U$2:$U$1001,0),1)&gt;=100000,INDEX($AB$1005:$AQ$1005,1,MATCH(COLUMNS($AB$1006:AL1006),$AB$1006:$AQ$1006,0))&gt;=100000), " ",IF(INDEX($AB$2:$AQ$1001,MATCH(ROWS($U$2:U674),$U$2:$U$1001,0),MATCH(COLUMNS($AB$1006:AL1006),$AB$1006:$AQ$1006,0)), HYPERLINK("#",""), HYPERLINK(CONCATENATE("#metadata!", ADDRESS(INDEX($W$2:$W$1001,MATCH(ROWS($U$2:U674),$U$2:$U$1001,0),0), INDEX($AB$1004:$AQ$1004,1,MATCH(COLUMNS($AB$1006:AL1006),$AB$1006:$AQ$1006,0)))),"Fix")))</f>
        <v>0</v>
      </c>
      <c r="M674" s="4">
        <f>IF(OR(INDEX($V$2:$V$1001,MATCH(ROWS($U$2:U674),$U$2:$U$1001,0),1)&gt;=100000,INDEX($AB$1005:$AQ$1005,1,MATCH(COLUMNS($AB$1006:AM1006),$AB$1006:$AQ$1006,0))&gt;=100000), " ",IF(INDEX($AB$2:$AQ$1001,MATCH(ROWS($U$2:U674),$U$2:$U$1001,0),MATCH(COLUMNS($AB$1006:AM1006),$AB$1006:$AQ$1006,0)), HYPERLINK("#",""), HYPERLINK(CONCATENATE("#metadata!", ADDRESS(INDEX($W$2:$W$1001,MATCH(ROWS($U$2:U674),$U$2:$U$1001,0),0), INDEX($AB$1004:$AQ$1004,1,MATCH(COLUMNS($AB$1006:AM1006),$AB$1006:$AQ$1006,0)))),"Fix")))</f>
        <v>0</v>
      </c>
      <c r="N674" s="4">
        <f>IF(OR(INDEX($V$2:$V$1001,MATCH(ROWS($U$2:U674),$U$2:$U$1001,0),1)&gt;=100000,INDEX($AB$1005:$AQ$1005,1,MATCH(COLUMNS($AB$1006:AN1006),$AB$1006:$AQ$1006,0))&gt;=100000), " ",IF(INDEX($AB$2:$AQ$1001,MATCH(ROWS($U$2:U674),$U$2:$U$1001,0),MATCH(COLUMNS($AB$1006:AN1006),$AB$1006:$AQ$1006,0)), HYPERLINK("#",""), HYPERLINK(CONCATENATE("#metadata!", ADDRESS(INDEX($W$2:$W$1001,MATCH(ROWS($U$2:U674),$U$2:$U$1001,0),0), INDEX($AB$1004:$AQ$1004,1,MATCH(COLUMNS($AB$1006:AN1006),$AB$1006:$AQ$1006,0)))),"Fix")))</f>
        <v>0</v>
      </c>
      <c r="O674" s="4">
        <f>IF(OR(INDEX($V$2:$V$1001,MATCH(ROWS($U$2:U674),$U$2:$U$1001,0),1)&gt;=100000,INDEX($AB$1005:$AQ$1005,1,MATCH(COLUMNS($AB$1006:AO1006),$AB$1006:$AQ$1006,0))&gt;=100000), " ",IF(INDEX($AB$2:$AQ$1001,MATCH(ROWS($U$2:U674),$U$2:$U$1001,0),MATCH(COLUMNS($AB$1006:AO1006),$AB$1006:$AQ$1006,0)), HYPERLINK("#",""), HYPERLINK(CONCATENATE("#metadata!", ADDRESS(INDEX($W$2:$W$1001,MATCH(ROWS($U$2:U674),$U$2:$U$1001,0),0), INDEX($AB$1004:$AQ$1004,1,MATCH(COLUMNS($AB$1006:AO1006),$AB$1006:$AQ$1006,0)))),"Fix")))</f>
        <v>0</v>
      </c>
      <c r="P674" s="4">
        <f>IF(OR(INDEX($V$2:$V$1001,MATCH(ROWS($U$2:U674),$U$2:$U$1001,0),1)&gt;=100000,INDEX($AB$1005:$AQ$1005,1,MATCH(COLUMNS($AB$1006:AP1006),$AB$1006:$AQ$1006,0))&gt;=100000), " ",IF(INDEX($AB$2:$AQ$1001,MATCH(ROWS($U$2:U674),$U$2:$U$1001,0),MATCH(COLUMNS($AB$1006:AP1006),$AB$1006:$AQ$1006,0)), HYPERLINK("#",""), HYPERLINK(CONCATENATE("#metadata!", ADDRESS(INDEX($W$2:$W$1001,MATCH(ROWS($U$2:U674),$U$2:$U$1001,0),0), INDEX($AB$1004:$AQ$1004,1,MATCH(COLUMNS($AB$1006:AP1006),$AB$1006:$AQ$1006,0)))),"Fix")))</f>
        <v>0</v>
      </c>
      <c r="Q674" s="4">
        <f>IF(OR(INDEX($V$2:$V$1001,MATCH(ROWS($U$2:U674),$U$2:$U$1001,0),1)&gt;=100000,INDEX($AB$1005:$AQ$1005,1,MATCH(COLUMNS($AB$1006:AQ1006),$AB$1006:$AQ$1006,0))&gt;=100000), " ",IF(INDEX($AB$2:$AQ$1001,MATCH(ROWS($U$2:U674),$U$2:$U$1001,0),MATCH(COLUMNS($AB$1006:AQ1006),$AB$1006:$AQ$1006,0)), HYPERLINK("#",""), HYPERLINK(CONCATENATE("#metadata!", ADDRESS(INDEX($W$2:$W$1001,MATCH(ROWS($U$2:U674),$U$2:$U$1001,0),0), INDEX($AB$1004:$AQ$1004,1,MATCH(COLUMNS($AB$1006:AQ1006),$AB$1006:$AQ$1006,0)))),"Fix")))</f>
        <v>0</v>
      </c>
      <c r="U674">
        <v>0</v>
      </c>
      <c r="V674">
        <v>0</v>
      </c>
      <c r="W674">
        <v>0</v>
      </c>
      <c r="X674">
        <f>IF(Y674,TRUE,AND(AB674:AQ674))</f>
        <v>0</v>
      </c>
      <c r="Y674">
        <f>COUNTBLANK(metadata!B674:Q674)=COLUMNS(metadata!B674:Q674)</f>
        <v>0</v>
      </c>
      <c r="Z674">
        <v>0</v>
      </c>
      <c r="AB674">
        <f>AND(IF(metadata!B674="",FALSE,TRUE),COUNTIF(metadata!B:B, metadata!B674) = 1,NOT(ISERROR(SUMPRODUCT(SEARCH(MID(metadata!B674,ROW(INDIRECT("1:"&amp;LEN(metadata!B674))), 1),"0123456789abcdefghijklmnopqrstuvwxyzABCDEFGHIJKLMNOPQRSTUVWXYZ.")))))</f>
        <v>0</v>
      </c>
      <c r="AC674">
        <f>OR(AND(IF(metadata!C674="",FALSE,TRUE),OR(exact(metadata!C674,"missing: not collected"),exact(metadata!C674,"missing: not provided"),exact(metadata!C674,"missing: restricted access"))),AND(IF(metadata!C674="",FALSE,TRUE),AND(AND(IFERROR(INT(LEFT(metadata!C674,4))&gt;1900,FALSE),IFERROR(INT(LEFT(metadata!C674,4))&lt;=YEAR(NOW()),FALSE)), OR(MID(metadata!C674,5,1)="", AND(AND(MID(metadata!C674,5,1)="-",IFERROR(INT(MID(metadata!C674,6,1))&gt;=0,FALSE),IFERROR(INT(MID(metadata!C674,6,1))&lt;=1,FALSE),NOT(MID(metadata!C674,7,1)=""),IFERROR(INT(MID(metadata!C674,6,2))&gt;=1,FALSE),IFERROR(INT(MID(metadata!C674,6,2))&lt;=12,FALSE)), OR(MID(metadata!C674,8,1)="", AND(AND(MID(metadata!C674,8,1)="-",IFERROR(INT(MID(metadata!C674,9,1))&gt;=0,FALSE),IFERROR(INT(MID(metadata!C674,9,1))&lt;=3,FALSE),NOT(MID(metadata!C674,10,1)=""),IFERROR(INT(MID(metadata!C674,9,2))&gt;=1,FALSE),IFERROR(INT(MID(metadata!C674,9,2))&lt;=31,FALSE)), OR(MID(metadata!C674,11,1)="", AND(AND(MID(metadata!C674,11,1)=" ",IFERROR(INT(MID(metadata!C674,12,1))&gt;=0,FALSE),IFERROR(INT(MID(metadata!C674,12,1))&lt;=2,FALSE),NOT(MID(metadata!C674,13,1)=""),IFERROR(INT(MID(metadata!C674,12,2))&gt;=0,FALSE),IFERROR(INT(MID(metadata!C674,12,2))&lt;=23,FALSE)), OR(MID(metadata!C674,14,1)="", AND(AND(MID(metadata!C674,14,1)=":",IFERROR(INT(MID(metadata!C674,15,1))&gt;=0,FALSE),IFERROR(INT(MID(metadata!C674,15,1))&lt;=5,FALSE),NOT(MID(metadata!C674,16,1)=""),IFERROR(INT(MID(metadata!C674,15,2))&gt;=0,FALSE),IFERROR(INT(MID(metadata!C674,15,2))&lt;=59,FALSE)), OR(MID(metadata!C674,17,1)="", AND(AND(MID(metadata!C674,17,1)=":",IFERROR(INT(MID(metadata!C674,18,1))&gt;=0,FALSE),IFERROR(INT(MID(metadata!C674,18,1))&lt;=5,FALSE),NOT(MID(metadata!C674,19,1)=""),IFERROR(INT(MID(metadata!C674,18,2))&gt;=0,FALSE),IFERROR(INT(MID(metadata!C674,18,2))&lt;=59,FALSE)), LEN(metadata!C674)&lt;=19)))))))))))))</f>
        <v>0</v>
      </c>
      <c r="AD674">
        <f>IF(metadata!D674="",FALSE,TRUE)</f>
        <v>0</v>
      </c>
      <c r="AE674">
        <f>OR(AND(IF(metadata!E674="",FALSE,TRUE),OR(exact(metadata!E674,"missing: not collected"),exact(metadata!E674,"missing: not provided"))),AND(IF(metadata!E674="",FALSE,TRUE),OR(exact(metadata!E674,"TRUE"),exact(metadata!E674,"FALSE"))))</f>
        <v>0</v>
      </c>
      <c r="AF674">
        <f>IF(metadata!F674="",FALSE,TRUE)</f>
        <v>0</v>
      </c>
      <c r="AG674">
        <f>IF(metadata!G674="",FALSE,TRUE)</f>
        <v>0</v>
      </c>
      <c r="AH674">
        <f>IF(metadata!H674="",FALSE,TRUE)</f>
        <v>0</v>
      </c>
      <c r="AI674">
        <f>OR(AND(IF(metadata!I674="",FALSE,TRUE),OR(exact(metadata!I674,"missing: not collected"),exact(metadata!I674,"missing: not provided"),exact(metadata!I674,"missing: restricted access"))),AND(IF(metadata!I674="",FALSE,TRUE),OR(exact(metadata!I674,"air"),exact(metadata!I674,"built environment"),exact(metadata!I674,"host-associated"),exact(metadata!I674,"human-associated"),exact(metadata!I674,"human-skin"),exact(metadata!I674,"human-oral"),exact(metadata!I674,"human-gut"),exact(metadata!I674,"human-vaginal"),exact(metadata!I674,"microbial mat/biofilm"),exact(metadata!I674,"misc environment"),exact(metadata!I674,"plant-associated"),exact(metadata!I674,"sediment"),exact(metadata!I674,"soil"),exact(metadata!I674,"wastewater/sludge"),exact(metadata!I674,"water"))))</f>
        <v>0</v>
      </c>
      <c r="AJ674">
        <f>IF(metadata!J674="",FALSE,TRUE)</f>
        <v>0</v>
      </c>
      <c r="AK674">
        <f>OR(AND(IF(metadata!K674="",FALSE,TRUE),OR(exact(metadata!K674,"missing: not collected"),exact(metadata!K674,"missing: not provided"),exact(metadata!K674,"missing: restricted access"))),AND(IF(metadata!K674="",FALSE,ISNUMBER(VALUE(metadata!K674))),metadata!K674&gt;=-90.00,metadata!K674&lt;=90.00))</f>
        <v>0</v>
      </c>
      <c r="AL674">
        <f>OR(AND(IF(metadata!L674="",FALSE,TRUE),OR(exact(metadata!L674,"missing: not collected"),exact(metadata!L674,"missing: not provided"),exact(metadata!L674,"missing: restricted access"))),AND(IF(metadata!L674="",FALSE,ISNUMBER(VALUE(metadata!L674))),metadata!L674&gt;=-180.00,metadata!L674&lt;=180.00))</f>
        <v>0</v>
      </c>
      <c r="AM674">
        <f>IF(metadata!M674="",FALSE,TRUE)</f>
        <v>0</v>
      </c>
      <c r="AN674">
        <f>OR(AND(IF(metadata!N674="",FALSE,TRUE),OR(exact(metadata!N674,"missing: not collected"),exact(metadata!N674,"missing: not provided"),exact(metadata!N674,"missing: restricted access"))),AND(IF(metadata!N674="",FALSE,TRUE),OR(exact(metadata!N674,"TRUE"),exact(metadata!N674,"FALSE"))))</f>
        <v>0</v>
      </c>
      <c r="AO674">
        <f>IF(metadata!O674="",FALSE,TRUE)</f>
        <v>0</v>
      </c>
      <c r="AP674">
        <f>OR(AND(IF(metadata!P674="",FALSE,TRUE),OR(exact(metadata!P674,"missing: not collected"),exact(metadata!P674,"missing: not provided"))),AND(IF(metadata!P674="",FALSE,IF(ISERROR(INT(metadata!P674)),FALSE,INT(metadata!P674)=metadata!P674)),metadata!P674&gt;0))</f>
        <v>0</v>
      </c>
      <c r="AQ674">
        <f>IF(metadata!Q674="",FALSE,TRUE)</f>
        <v>0</v>
      </c>
    </row>
    <row r="675" spans="1:43">
      <c r="A675" s="5">
        <f>IF(B675=" "," ",HYPERLINK(CONCATENATE("#metadata!",ADDRESS(INDEX($W$2:$W$1001,MATCH(ROWS($U$2:U675),$U$2:$U$1001,0),0),1)),INDEX($Z$2:$Z$1001,MATCH(ROWS($U$2:U675),$U$2:$U$1001,0),0)))</f>
        <v>0</v>
      </c>
      <c r="B675" s="4">
        <f>IF(OR(INDEX($V$2:$V$1001,MATCH(ROWS($U$2:U675),$U$2:$U$1001,0),1)&gt;=100000,INDEX($AB$1005:$AQ$1005,1,MATCH(COLUMNS($AB$1006:AB1006),$AB$1006:$AQ$1006,0))&gt;=100000), " ",IF(INDEX($AB$2:$AQ$1001,MATCH(ROWS($U$2:U675),$U$2:$U$1001,0),MATCH(COLUMNS($AB$1006:AB1006),$AB$1006:$AQ$1006,0)), HYPERLINK("#",""), HYPERLINK(CONCATENATE("#metadata!", ADDRESS(INDEX($W$2:$W$1001,MATCH(ROWS($U$2:U675),$U$2:$U$1001,0),0), INDEX($AB$1004:$AQ$1004,1,MATCH(COLUMNS($AB$1006:AB1006),$AB$1006:$AQ$1006,0)))),"Fix")))</f>
        <v>0</v>
      </c>
      <c r="C675" s="4">
        <f>IF(OR(INDEX($V$2:$V$1001,MATCH(ROWS($U$2:U675),$U$2:$U$1001,0),1)&gt;=100000,INDEX($AB$1005:$AQ$1005,1,MATCH(COLUMNS($AB$1006:AC1006),$AB$1006:$AQ$1006,0))&gt;=100000), " ",IF(INDEX($AB$2:$AQ$1001,MATCH(ROWS($U$2:U675),$U$2:$U$1001,0),MATCH(COLUMNS($AB$1006:AC1006),$AB$1006:$AQ$1006,0)), HYPERLINK("#",""), HYPERLINK(CONCATENATE("#metadata!", ADDRESS(INDEX($W$2:$W$1001,MATCH(ROWS($U$2:U675),$U$2:$U$1001,0),0), INDEX($AB$1004:$AQ$1004,1,MATCH(COLUMNS($AB$1006:AC1006),$AB$1006:$AQ$1006,0)))),"Fix")))</f>
        <v>0</v>
      </c>
      <c r="D675" s="4">
        <f>IF(OR(INDEX($V$2:$V$1001,MATCH(ROWS($U$2:U675),$U$2:$U$1001,0),1)&gt;=100000,INDEX($AB$1005:$AQ$1005,1,MATCH(COLUMNS($AB$1006:AD1006),$AB$1006:$AQ$1006,0))&gt;=100000), " ",IF(INDEX($AB$2:$AQ$1001,MATCH(ROWS($U$2:U675),$U$2:$U$1001,0),MATCH(COLUMNS($AB$1006:AD1006),$AB$1006:$AQ$1006,0)), HYPERLINK("#",""), HYPERLINK(CONCATENATE("#metadata!", ADDRESS(INDEX($W$2:$W$1001,MATCH(ROWS($U$2:U675),$U$2:$U$1001,0),0), INDEX($AB$1004:$AQ$1004,1,MATCH(COLUMNS($AB$1006:AD1006),$AB$1006:$AQ$1006,0)))),"Fix")))</f>
        <v>0</v>
      </c>
      <c r="E675" s="4">
        <f>IF(OR(INDEX($V$2:$V$1001,MATCH(ROWS($U$2:U675),$U$2:$U$1001,0),1)&gt;=100000,INDEX($AB$1005:$AQ$1005,1,MATCH(COLUMNS($AB$1006:AE1006),$AB$1006:$AQ$1006,0))&gt;=100000), " ",IF(INDEX($AB$2:$AQ$1001,MATCH(ROWS($U$2:U675),$U$2:$U$1001,0),MATCH(COLUMNS($AB$1006:AE1006),$AB$1006:$AQ$1006,0)), HYPERLINK("#",""), HYPERLINK(CONCATENATE("#metadata!", ADDRESS(INDEX($W$2:$W$1001,MATCH(ROWS($U$2:U675),$U$2:$U$1001,0),0), INDEX($AB$1004:$AQ$1004,1,MATCH(COLUMNS($AB$1006:AE1006),$AB$1006:$AQ$1006,0)))),"Fix")))</f>
        <v>0</v>
      </c>
      <c r="F675" s="4">
        <f>IF(OR(INDEX($V$2:$V$1001,MATCH(ROWS($U$2:U675),$U$2:$U$1001,0),1)&gt;=100000,INDEX($AB$1005:$AQ$1005,1,MATCH(COLUMNS($AB$1006:AF1006),$AB$1006:$AQ$1006,0))&gt;=100000), " ",IF(INDEX($AB$2:$AQ$1001,MATCH(ROWS($U$2:U675),$U$2:$U$1001,0),MATCH(COLUMNS($AB$1006:AF1006),$AB$1006:$AQ$1006,0)), HYPERLINK("#",""), HYPERLINK(CONCATENATE("#metadata!", ADDRESS(INDEX($W$2:$W$1001,MATCH(ROWS($U$2:U675),$U$2:$U$1001,0),0), INDEX($AB$1004:$AQ$1004,1,MATCH(COLUMNS($AB$1006:AF1006),$AB$1006:$AQ$1006,0)))),"Fix")))</f>
        <v>0</v>
      </c>
      <c r="G675" s="4">
        <f>IF(OR(INDEX($V$2:$V$1001,MATCH(ROWS($U$2:U675),$U$2:$U$1001,0),1)&gt;=100000,INDEX($AB$1005:$AQ$1005,1,MATCH(COLUMNS($AB$1006:AG1006),$AB$1006:$AQ$1006,0))&gt;=100000), " ",IF(INDEX($AB$2:$AQ$1001,MATCH(ROWS($U$2:U675),$U$2:$U$1001,0),MATCH(COLUMNS($AB$1006:AG1006),$AB$1006:$AQ$1006,0)), HYPERLINK("#",""), HYPERLINK(CONCATENATE("#metadata!", ADDRESS(INDEX($W$2:$W$1001,MATCH(ROWS($U$2:U675),$U$2:$U$1001,0),0), INDEX($AB$1004:$AQ$1004,1,MATCH(COLUMNS($AB$1006:AG1006),$AB$1006:$AQ$1006,0)))),"Fix")))</f>
        <v>0</v>
      </c>
      <c r="H675" s="4">
        <f>IF(OR(INDEX($V$2:$V$1001,MATCH(ROWS($U$2:U675),$U$2:$U$1001,0),1)&gt;=100000,INDEX($AB$1005:$AQ$1005,1,MATCH(COLUMNS($AB$1006:AH1006),$AB$1006:$AQ$1006,0))&gt;=100000), " ",IF(INDEX($AB$2:$AQ$1001,MATCH(ROWS($U$2:U675),$U$2:$U$1001,0),MATCH(COLUMNS($AB$1006:AH1006),$AB$1006:$AQ$1006,0)), HYPERLINK("#",""), HYPERLINK(CONCATENATE("#metadata!", ADDRESS(INDEX($W$2:$W$1001,MATCH(ROWS($U$2:U675),$U$2:$U$1001,0),0), INDEX($AB$1004:$AQ$1004,1,MATCH(COLUMNS($AB$1006:AH1006),$AB$1006:$AQ$1006,0)))),"Fix")))</f>
        <v>0</v>
      </c>
      <c r="I675" s="4">
        <f>IF(OR(INDEX($V$2:$V$1001,MATCH(ROWS($U$2:U675),$U$2:$U$1001,0),1)&gt;=100000,INDEX($AB$1005:$AQ$1005,1,MATCH(COLUMNS($AB$1006:AI1006),$AB$1006:$AQ$1006,0))&gt;=100000), " ",IF(INDEX($AB$2:$AQ$1001,MATCH(ROWS($U$2:U675),$U$2:$U$1001,0),MATCH(COLUMNS($AB$1006:AI1006),$AB$1006:$AQ$1006,0)), HYPERLINK("#",""), HYPERLINK(CONCATENATE("#metadata!", ADDRESS(INDEX($W$2:$W$1001,MATCH(ROWS($U$2:U675),$U$2:$U$1001,0),0), INDEX($AB$1004:$AQ$1004,1,MATCH(COLUMNS($AB$1006:AI1006),$AB$1006:$AQ$1006,0)))),"Fix")))</f>
        <v>0</v>
      </c>
      <c r="J675" s="4">
        <f>IF(OR(INDEX($V$2:$V$1001,MATCH(ROWS($U$2:U675),$U$2:$U$1001,0),1)&gt;=100000,INDEX($AB$1005:$AQ$1005,1,MATCH(COLUMNS($AB$1006:AJ1006),$AB$1006:$AQ$1006,0))&gt;=100000), " ",IF(INDEX($AB$2:$AQ$1001,MATCH(ROWS($U$2:U675),$U$2:$U$1001,0),MATCH(COLUMNS($AB$1006:AJ1006),$AB$1006:$AQ$1006,0)), HYPERLINK("#",""), HYPERLINK(CONCATENATE("#metadata!", ADDRESS(INDEX($W$2:$W$1001,MATCH(ROWS($U$2:U675),$U$2:$U$1001,0),0), INDEX($AB$1004:$AQ$1004,1,MATCH(COLUMNS($AB$1006:AJ1006),$AB$1006:$AQ$1006,0)))),"Fix")))</f>
        <v>0</v>
      </c>
      <c r="K675" s="4">
        <f>IF(OR(INDEX($V$2:$V$1001,MATCH(ROWS($U$2:U675),$U$2:$U$1001,0),1)&gt;=100000,INDEX($AB$1005:$AQ$1005,1,MATCH(COLUMNS($AB$1006:AK1006),$AB$1006:$AQ$1006,0))&gt;=100000), " ",IF(INDEX($AB$2:$AQ$1001,MATCH(ROWS($U$2:U675),$U$2:$U$1001,0),MATCH(COLUMNS($AB$1006:AK1006),$AB$1006:$AQ$1006,0)), HYPERLINK("#",""), HYPERLINK(CONCATENATE("#metadata!", ADDRESS(INDEX($W$2:$W$1001,MATCH(ROWS($U$2:U675),$U$2:$U$1001,0),0), INDEX($AB$1004:$AQ$1004,1,MATCH(COLUMNS($AB$1006:AK1006),$AB$1006:$AQ$1006,0)))),"Fix")))</f>
        <v>0</v>
      </c>
      <c r="L675" s="4">
        <f>IF(OR(INDEX($V$2:$V$1001,MATCH(ROWS($U$2:U675),$U$2:$U$1001,0),1)&gt;=100000,INDEX($AB$1005:$AQ$1005,1,MATCH(COLUMNS($AB$1006:AL1006),$AB$1006:$AQ$1006,0))&gt;=100000), " ",IF(INDEX($AB$2:$AQ$1001,MATCH(ROWS($U$2:U675),$U$2:$U$1001,0),MATCH(COLUMNS($AB$1006:AL1006),$AB$1006:$AQ$1006,0)), HYPERLINK("#",""), HYPERLINK(CONCATENATE("#metadata!", ADDRESS(INDEX($W$2:$W$1001,MATCH(ROWS($U$2:U675),$U$2:$U$1001,0),0), INDEX($AB$1004:$AQ$1004,1,MATCH(COLUMNS($AB$1006:AL1006),$AB$1006:$AQ$1006,0)))),"Fix")))</f>
        <v>0</v>
      </c>
      <c r="M675" s="4">
        <f>IF(OR(INDEX($V$2:$V$1001,MATCH(ROWS($U$2:U675),$U$2:$U$1001,0),1)&gt;=100000,INDEX($AB$1005:$AQ$1005,1,MATCH(COLUMNS($AB$1006:AM1006),$AB$1006:$AQ$1006,0))&gt;=100000), " ",IF(INDEX($AB$2:$AQ$1001,MATCH(ROWS($U$2:U675),$U$2:$U$1001,0),MATCH(COLUMNS($AB$1006:AM1006),$AB$1006:$AQ$1006,0)), HYPERLINK("#",""), HYPERLINK(CONCATENATE("#metadata!", ADDRESS(INDEX($W$2:$W$1001,MATCH(ROWS($U$2:U675),$U$2:$U$1001,0),0), INDEX($AB$1004:$AQ$1004,1,MATCH(COLUMNS($AB$1006:AM1006),$AB$1006:$AQ$1006,0)))),"Fix")))</f>
        <v>0</v>
      </c>
      <c r="N675" s="4">
        <f>IF(OR(INDEX($V$2:$V$1001,MATCH(ROWS($U$2:U675),$U$2:$U$1001,0),1)&gt;=100000,INDEX($AB$1005:$AQ$1005,1,MATCH(COLUMNS($AB$1006:AN1006),$AB$1006:$AQ$1006,0))&gt;=100000), " ",IF(INDEX($AB$2:$AQ$1001,MATCH(ROWS($U$2:U675),$U$2:$U$1001,0),MATCH(COLUMNS($AB$1006:AN1006),$AB$1006:$AQ$1006,0)), HYPERLINK("#",""), HYPERLINK(CONCATENATE("#metadata!", ADDRESS(INDEX($W$2:$W$1001,MATCH(ROWS($U$2:U675),$U$2:$U$1001,0),0), INDEX($AB$1004:$AQ$1004,1,MATCH(COLUMNS($AB$1006:AN1006),$AB$1006:$AQ$1006,0)))),"Fix")))</f>
        <v>0</v>
      </c>
      <c r="O675" s="4">
        <f>IF(OR(INDEX($V$2:$V$1001,MATCH(ROWS($U$2:U675),$U$2:$U$1001,0),1)&gt;=100000,INDEX($AB$1005:$AQ$1005,1,MATCH(COLUMNS($AB$1006:AO1006),$AB$1006:$AQ$1006,0))&gt;=100000), " ",IF(INDEX($AB$2:$AQ$1001,MATCH(ROWS($U$2:U675),$U$2:$U$1001,0),MATCH(COLUMNS($AB$1006:AO1006),$AB$1006:$AQ$1006,0)), HYPERLINK("#",""), HYPERLINK(CONCATENATE("#metadata!", ADDRESS(INDEX($W$2:$W$1001,MATCH(ROWS($U$2:U675),$U$2:$U$1001,0),0), INDEX($AB$1004:$AQ$1004,1,MATCH(COLUMNS($AB$1006:AO1006),$AB$1006:$AQ$1006,0)))),"Fix")))</f>
        <v>0</v>
      </c>
      <c r="P675" s="4">
        <f>IF(OR(INDEX($V$2:$V$1001,MATCH(ROWS($U$2:U675),$U$2:$U$1001,0),1)&gt;=100000,INDEX($AB$1005:$AQ$1005,1,MATCH(COLUMNS($AB$1006:AP1006),$AB$1006:$AQ$1006,0))&gt;=100000), " ",IF(INDEX($AB$2:$AQ$1001,MATCH(ROWS($U$2:U675),$U$2:$U$1001,0),MATCH(COLUMNS($AB$1006:AP1006),$AB$1006:$AQ$1006,0)), HYPERLINK("#",""), HYPERLINK(CONCATENATE("#metadata!", ADDRESS(INDEX($W$2:$W$1001,MATCH(ROWS($U$2:U675),$U$2:$U$1001,0),0), INDEX($AB$1004:$AQ$1004,1,MATCH(COLUMNS($AB$1006:AP1006),$AB$1006:$AQ$1006,0)))),"Fix")))</f>
        <v>0</v>
      </c>
      <c r="Q675" s="4">
        <f>IF(OR(INDEX($V$2:$V$1001,MATCH(ROWS($U$2:U675),$U$2:$U$1001,0),1)&gt;=100000,INDEX($AB$1005:$AQ$1005,1,MATCH(COLUMNS($AB$1006:AQ1006),$AB$1006:$AQ$1006,0))&gt;=100000), " ",IF(INDEX($AB$2:$AQ$1001,MATCH(ROWS($U$2:U675),$U$2:$U$1001,0),MATCH(COLUMNS($AB$1006:AQ1006),$AB$1006:$AQ$1006,0)), HYPERLINK("#",""), HYPERLINK(CONCATENATE("#metadata!", ADDRESS(INDEX($W$2:$W$1001,MATCH(ROWS($U$2:U675),$U$2:$U$1001,0),0), INDEX($AB$1004:$AQ$1004,1,MATCH(COLUMNS($AB$1006:AQ1006),$AB$1006:$AQ$1006,0)))),"Fix")))</f>
        <v>0</v>
      </c>
      <c r="U675">
        <v>0</v>
      </c>
      <c r="V675">
        <v>0</v>
      </c>
      <c r="W675">
        <v>0</v>
      </c>
      <c r="X675">
        <f>IF(Y675,TRUE,AND(AB675:AQ675))</f>
        <v>0</v>
      </c>
      <c r="Y675">
        <f>COUNTBLANK(metadata!B675:Q675)=COLUMNS(metadata!B675:Q675)</f>
        <v>0</v>
      </c>
      <c r="Z675">
        <v>0</v>
      </c>
      <c r="AB675">
        <f>AND(IF(metadata!B675="",FALSE,TRUE),COUNTIF(metadata!B:B, metadata!B675) = 1,NOT(ISERROR(SUMPRODUCT(SEARCH(MID(metadata!B675,ROW(INDIRECT("1:"&amp;LEN(metadata!B675))), 1),"0123456789abcdefghijklmnopqrstuvwxyzABCDEFGHIJKLMNOPQRSTUVWXYZ.")))))</f>
        <v>0</v>
      </c>
      <c r="AC675">
        <f>OR(AND(IF(metadata!C675="",FALSE,TRUE),OR(exact(metadata!C675,"missing: not collected"),exact(metadata!C675,"missing: not provided"),exact(metadata!C675,"missing: restricted access"))),AND(IF(metadata!C675="",FALSE,TRUE),AND(AND(IFERROR(INT(LEFT(metadata!C675,4))&gt;1900,FALSE),IFERROR(INT(LEFT(metadata!C675,4))&lt;=YEAR(NOW()),FALSE)), OR(MID(metadata!C675,5,1)="", AND(AND(MID(metadata!C675,5,1)="-",IFERROR(INT(MID(metadata!C675,6,1))&gt;=0,FALSE),IFERROR(INT(MID(metadata!C675,6,1))&lt;=1,FALSE),NOT(MID(metadata!C675,7,1)=""),IFERROR(INT(MID(metadata!C675,6,2))&gt;=1,FALSE),IFERROR(INT(MID(metadata!C675,6,2))&lt;=12,FALSE)), OR(MID(metadata!C675,8,1)="", AND(AND(MID(metadata!C675,8,1)="-",IFERROR(INT(MID(metadata!C675,9,1))&gt;=0,FALSE),IFERROR(INT(MID(metadata!C675,9,1))&lt;=3,FALSE),NOT(MID(metadata!C675,10,1)=""),IFERROR(INT(MID(metadata!C675,9,2))&gt;=1,FALSE),IFERROR(INT(MID(metadata!C675,9,2))&lt;=31,FALSE)), OR(MID(metadata!C675,11,1)="", AND(AND(MID(metadata!C675,11,1)=" ",IFERROR(INT(MID(metadata!C675,12,1))&gt;=0,FALSE),IFERROR(INT(MID(metadata!C675,12,1))&lt;=2,FALSE),NOT(MID(metadata!C675,13,1)=""),IFERROR(INT(MID(metadata!C675,12,2))&gt;=0,FALSE),IFERROR(INT(MID(metadata!C675,12,2))&lt;=23,FALSE)), OR(MID(metadata!C675,14,1)="", AND(AND(MID(metadata!C675,14,1)=":",IFERROR(INT(MID(metadata!C675,15,1))&gt;=0,FALSE),IFERROR(INT(MID(metadata!C675,15,1))&lt;=5,FALSE),NOT(MID(metadata!C675,16,1)=""),IFERROR(INT(MID(metadata!C675,15,2))&gt;=0,FALSE),IFERROR(INT(MID(metadata!C675,15,2))&lt;=59,FALSE)), OR(MID(metadata!C675,17,1)="", AND(AND(MID(metadata!C675,17,1)=":",IFERROR(INT(MID(metadata!C675,18,1))&gt;=0,FALSE),IFERROR(INT(MID(metadata!C675,18,1))&lt;=5,FALSE),NOT(MID(metadata!C675,19,1)=""),IFERROR(INT(MID(metadata!C675,18,2))&gt;=0,FALSE),IFERROR(INT(MID(metadata!C675,18,2))&lt;=59,FALSE)), LEN(metadata!C675)&lt;=19)))))))))))))</f>
        <v>0</v>
      </c>
      <c r="AD675">
        <f>IF(metadata!D675="",FALSE,TRUE)</f>
        <v>0</v>
      </c>
      <c r="AE675">
        <f>OR(AND(IF(metadata!E675="",FALSE,TRUE),OR(exact(metadata!E675,"missing: not collected"),exact(metadata!E675,"missing: not provided"))),AND(IF(metadata!E675="",FALSE,TRUE),OR(exact(metadata!E675,"TRUE"),exact(metadata!E675,"FALSE"))))</f>
        <v>0</v>
      </c>
      <c r="AF675">
        <f>IF(metadata!F675="",FALSE,TRUE)</f>
        <v>0</v>
      </c>
      <c r="AG675">
        <f>IF(metadata!G675="",FALSE,TRUE)</f>
        <v>0</v>
      </c>
      <c r="AH675">
        <f>IF(metadata!H675="",FALSE,TRUE)</f>
        <v>0</v>
      </c>
      <c r="AI675">
        <f>OR(AND(IF(metadata!I675="",FALSE,TRUE),OR(exact(metadata!I675,"missing: not collected"),exact(metadata!I675,"missing: not provided"),exact(metadata!I675,"missing: restricted access"))),AND(IF(metadata!I675="",FALSE,TRUE),OR(exact(metadata!I675,"air"),exact(metadata!I675,"built environment"),exact(metadata!I675,"host-associated"),exact(metadata!I675,"human-associated"),exact(metadata!I675,"human-skin"),exact(metadata!I675,"human-oral"),exact(metadata!I675,"human-gut"),exact(metadata!I675,"human-vaginal"),exact(metadata!I675,"microbial mat/biofilm"),exact(metadata!I675,"misc environment"),exact(metadata!I675,"plant-associated"),exact(metadata!I675,"sediment"),exact(metadata!I675,"soil"),exact(metadata!I675,"wastewater/sludge"),exact(metadata!I675,"water"))))</f>
        <v>0</v>
      </c>
      <c r="AJ675">
        <f>IF(metadata!J675="",FALSE,TRUE)</f>
        <v>0</v>
      </c>
      <c r="AK675">
        <f>OR(AND(IF(metadata!K675="",FALSE,TRUE),OR(exact(metadata!K675,"missing: not collected"),exact(metadata!K675,"missing: not provided"),exact(metadata!K675,"missing: restricted access"))),AND(IF(metadata!K675="",FALSE,ISNUMBER(VALUE(metadata!K675))),metadata!K675&gt;=-90.00,metadata!K675&lt;=90.00))</f>
        <v>0</v>
      </c>
      <c r="AL675">
        <f>OR(AND(IF(metadata!L675="",FALSE,TRUE),OR(exact(metadata!L675,"missing: not collected"),exact(metadata!L675,"missing: not provided"),exact(metadata!L675,"missing: restricted access"))),AND(IF(metadata!L675="",FALSE,ISNUMBER(VALUE(metadata!L675))),metadata!L675&gt;=-180.00,metadata!L675&lt;=180.00))</f>
        <v>0</v>
      </c>
      <c r="AM675">
        <f>IF(metadata!M675="",FALSE,TRUE)</f>
        <v>0</v>
      </c>
      <c r="AN675">
        <f>OR(AND(IF(metadata!N675="",FALSE,TRUE),OR(exact(metadata!N675,"missing: not collected"),exact(metadata!N675,"missing: not provided"),exact(metadata!N675,"missing: restricted access"))),AND(IF(metadata!N675="",FALSE,TRUE),OR(exact(metadata!N675,"TRUE"),exact(metadata!N675,"FALSE"))))</f>
        <v>0</v>
      </c>
      <c r="AO675">
        <f>IF(metadata!O675="",FALSE,TRUE)</f>
        <v>0</v>
      </c>
      <c r="AP675">
        <f>OR(AND(IF(metadata!P675="",FALSE,TRUE),OR(exact(metadata!P675,"missing: not collected"),exact(metadata!P675,"missing: not provided"))),AND(IF(metadata!P675="",FALSE,IF(ISERROR(INT(metadata!P675)),FALSE,INT(metadata!P675)=metadata!P675)),metadata!P675&gt;0))</f>
        <v>0</v>
      </c>
      <c r="AQ675">
        <f>IF(metadata!Q675="",FALSE,TRUE)</f>
        <v>0</v>
      </c>
    </row>
    <row r="676" spans="1:43">
      <c r="A676" s="5">
        <f>IF(B676=" "," ",HYPERLINK(CONCATENATE("#metadata!",ADDRESS(INDEX($W$2:$W$1001,MATCH(ROWS($U$2:U676),$U$2:$U$1001,0),0),1)),INDEX($Z$2:$Z$1001,MATCH(ROWS($U$2:U676),$U$2:$U$1001,0),0)))</f>
        <v>0</v>
      </c>
      <c r="B676" s="4">
        <f>IF(OR(INDEX($V$2:$V$1001,MATCH(ROWS($U$2:U676),$U$2:$U$1001,0),1)&gt;=100000,INDEX($AB$1005:$AQ$1005,1,MATCH(COLUMNS($AB$1006:AB1006),$AB$1006:$AQ$1006,0))&gt;=100000), " ",IF(INDEX($AB$2:$AQ$1001,MATCH(ROWS($U$2:U676),$U$2:$U$1001,0),MATCH(COLUMNS($AB$1006:AB1006),$AB$1006:$AQ$1006,0)), HYPERLINK("#",""), HYPERLINK(CONCATENATE("#metadata!", ADDRESS(INDEX($W$2:$W$1001,MATCH(ROWS($U$2:U676),$U$2:$U$1001,0),0), INDEX($AB$1004:$AQ$1004,1,MATCH(COLUMNS($AB$1006:AB1006),$AB$1006:$AQ$1006,0)))),"Fix")))</f>
        <v>0</v>
      </c>
      <c r="C676" s="4">
        <f>IF(OR(INDEX($V$2:$V$1001,MATCH(ROWS($U$2:U676),$U$2:$U$1001,0),1)&gt;=100000,INDEX($AB$1005:$AQ$1005,1,MATCH(COLUMNS($AB$1006:AC1006),$AB$1006:$AQ$1006,0))&gt;=100000), " ",IF(INDEX($AB$2:$AQ$1001,MATCH(ROWS($U$2:U676),$U$2:$U$1001,0),MATCH(COLUMNS($AB$1006:AC1006),$AB$1006:$AQ$1006,0)), HYPERLINK("#",""), HYPERLINK(CONCATENATE("#metadata!", ADDRESS(INDEX($W$2:$W$1001,MATCH(ROWS($U$2:U676),$U$2:$U$1001,0),0), INDEX($AB$1004:$AQ$1004,1,MATCH(COLUMNS($AB$1006:AC1006),$AB$1006:$AQ$1006,0)))),"Fix")))</f>
        <v>0</v>
      </c>
      <c r="D676" s="4">
        <f>IF(OR(INDEX($V$2:$V$1001,MATCH(ROWS($U$2:U676),$U$2:$U$1001,0),1)&gt;=100000,INDEX($AB$1005:$AQ$1005,1,MATCH(COLUMNS($AB$1006:AD1006),$AB$1006:$AQ$1006,0))&gt;=100000), " ",IF(INDEX($AB$2:$AQ$1001,MATCH(ROWS($U$2:U676),$U$2:$U$1001,0),MATCH(COLUMNS($AB$1006:AD1006),$AB$1006:$AQ$1006,0)), HYPERLINK("#",""), HYPERLINK(CONCATENATE("#metadata!", ADDRESS(INDEX($W$2:$W$1001,MATCH(ROWS($U$2:U676),$U$2:$U$1001,0),0), INDEX($AB$1004:$AQ$1004,1,MATCH(COLUMNS($AB$1006:AD1006),$AB$1006:$AQ$1006,0)))),"Fix")))</f>
        <v>0</v>
      </c>
      <c r="E676" s="4">
        <f>IF(OR(INDEX($V$2:$V$1001,MATCH(ROWS($U$2:U676),$U$2:$U$1001,0),1)&gt;=100000,INDEX($AB$1005:$AQ$1005,1,MATCH(COLUMNS($AB$1006:AE1006),$AB$1006:$AQ$1006,0))&gt;=100000), " ",IF(INDEX($AB$2:$AQ$1001,MATCH(ROWS($U$2:U676),$U$2:$U$1001,0),MATCH(COLUMNS($AB$1006:AE1006),$AB$1006:$AQ$1006,0)), HYPERLINK("#",""), HYPERLINK(CONCATENATE("#metadata!", ADDRESS(INDEX($W$2:$W$1001,MATCH(ROWS($U$2:U676),$U$2:$U$1001,0),0), INDEX($AB$1004:$AQ$1004,1,MATCH(COLUMNS($AB$1006:AE1006),$AB$1006:$AQ$1006,0)))),"Fix")))</f>
        <v>0</v>
      </c>
      <c r="F676" s="4">
        <f>IF(OR(INDEX($V$2:$V$1001,MATCH(ROWS($U$2:U676),$U$2:$U$1001,0),1)&gt;=100000,INDEX($AB$1005:$AQ$1005,1,MATCH(COLUMNS($AB$1006:AF1006),$AB$1006:$AQ$1006,0))&gt;=100000), " ",IF(INDEX($AB$2:$AQ$1001,MATCH(ROWS($U$2:U676),$U$2:$U$1001,0),MATCH(COLUMNS($AB$1006:AF1006),$AB$1006:$AQ$1006,0)), HYPERLINK("#",""), HYPERLINK(CONCATENATE("#metadata!", ADDRESS(INDEX($W$2:$W$1001,MATCH(ROWS($U$2:U676),$U$2:$U$1001,0),0), INDEX($AB$1004:$AQ$1004,1,MATCH(COLUMNS($AB$1006:AF1006),$AB$1006:$AQ$1006,0)))),"Fix")))</f>
        <v>0</v>
      </c>
      <c r="G676" s="4">
        <f>IF(OR(INDEX($V$2:$V$1001,MATCH(ROWS($U$2:U676),$U$2:$U$1001,0),1)&gt;=100000,INDEX($AB$1005:$AQ$1005,1,MATCH(COLUMNS($AB$1006:AG1006),$AB$1006:$AQ$1006,0))&gt;=100000), " ",IF(INDEX($AB$2:$AQ$1001,MATCH(ROWS($U$2:U676),$U$2:$U$1001,0),MATCH(COLUMNS($AB$1006:AG1006),$AB$1006:$AQ$1006,0)), HYPERLINK("#",""), HYPERLINK(CONCATENATE("#metadata!", ADDRESS(INDEX($W$2:$W$1001,MATCH(ROWS($U$2:U676),$U$2:$U$1001,0),0), INDEX($AB$1004:$AQ$1004,1,MATCH(COLUMNS($AB$1006:AG1006),$AB$1006:$AQ$1006,0)))),"Fix")))</f>
        <v>0</v>
      </c>
      <c r="H676" s="4">
        <f>IF(OR(INDEX($V$2:$V$1001,MATCH(ROWS($U$2:U676),$U$2:$U$1001,0),1)&gt;=100000,INDEX($AB$1005:$AQ$1005,1,MATCH(COLUMNS($AB$1006:AH1006),$AB$1006:$AQ$1006,0))&gt;=100000), " ",IF(INDEX($AB$2:$AQ$1001,MATCH(ROWS($U$2:U676),$U$2:$U$1001,0),MATCH(COLUMNS($AB$1006:AH1006),$AB$1006:$AQ$1006,0)), HYPERLINK("#",""), HYPERLINK(CONCATENATE("#metadata!", ADDRESS(INDEX($W$2:$W$1001,MATCH(ROWS($U$2:U676),$U$2:$U$1001,0),0), INDEX($AB$1004:$AQ$1004,1,MATCH(COLUMNS($AB$1006:AH1006),$AB$1006:$AQ$1006,0)))),"Fix")))</f>
        <v>0</v>
      </c>
      <c r="I676" s="4">
        <f>IF(OR(INDEX($V$2:$V$1001,MATCH(ROWS($U$2:U676),$U$2:$U$1001,0),1)&gt;=100000,INDEX($AB$1005:$AQ$1005,1,MATCH(COLUMNS($AB$1006:AI1006),$AB$1006:$AQ$1006,0))&gt;=100000), " ",IF(INDEX($AB$2:$AQ$1001,MATCH(ROWS($U$2:U676),$U$2:$U$1001,0),MATCH(COLUMNS($AB$1006:AI1006),$AB$1006:$AQ$1006,0)), HYPERLINK("#",""), HYPERLINK(CONCATENATE("#metadata!", ADDRESS(INDEX($W$2:$W$1001,MATCH(ROWS($U$2:U676),$U$2:$U$1001,0),0), INDEX($AB$1004:$AQ$1004,1,MATCH(COLUMNS($AB$1006:AI1006),$AB$1006:$AQ$1006,0)))),"Fix")))</f>
        <v>0</v>
      </c>
      <c r="J676" s="4">
        <f>IF(OR(INDEX($V$2:$V$1001,MATCH(ROWS($U$2:U676),$U$2:$U$1001,0),1)&gt;=100000,INDEX($AB$1005:$AQ$1005,1,MATCH(COLUMNS($AB$1006:AJ1006),$AB$1006:$AQ$1006,0))&gt;=100000), " ",IF(INDEX($AB$2:$AQ$1001,MATCH(ROWS($U$2:U676),$U$2:$U$1001,0),MATCH(COLUMNS($AB$1006:AJ1006),$AB$1006:$AQ$1006,0)), HYPERLINK("#",""), HYPERLINK(CONCATENATE("#metadata!", ADDRESS(INDEX($W$2:$W$1001,MATCH(ROWS($U$2:U676),$U$2:$U$1001,0),0), INDEX($AB$1004:$AQ$1004,1,MATCH(COLUMNS($AB$1006:AJ1006),$AB$1006:$AQ$1006,0)))),"Fix")))</f>
        <v>0</v>
      </c>
      <c r="K676" s="4">
        <f>IF(OR(INDEX($V$2:$V$1001,MATCH(ROWS($U$2:U676),$U$2:$U$1001,0),1)&gt;=100000,INDEX($AB$1005:$AQ$1005,1,MATCH(COLUMNS($AB$1006:AK1006),$AB$1006:$AQ$1006,0))&gt;=100000), " ",IF(INDEX($AB$2:$AQ$1001,MATCH(ROWS($U$2:U676),$U$2:$U$1001,0),MATCH(COLUMNS($AB$1006:AK1006),$AB$1006:$AQ$1006,0)), HYPERLINK("#",""), HYPERLINK(CONCATENATE("#metadata!", ADDRESS(INDEX($W$2:$W$1001,MATCH(ROWS($U$2:U676),$U$2:$U$1001,0),0), INDEX($AB$1004:$AQ$1004,1,MATCH(COLUMNS($AB$1006:AK1006),$AB$1006:$AQ$1006,0)))),"Fix")))</f>
        <v>0</v>
      </c>
      <c r="L676" s="4">
        <f>IF(OR(INDEX($V$2:$V$1001,MATCH(ROWS($U$2:U676),$U$2:$U$1001,0),1)&gt;=100000,INDEX($AB$1005:$AQ$1005,1,MATCH(COLUMNS($AB$1006:AL1006),$AB$1006:$AQ$1006,0))&gt;=100000), " ",IF(INDEX($AB$2:$AQ$1001,MATCH(ROWS($U$2:U676),$U$2:$U$1001,0),MATCH(COLUMNS($AB$1006:AL1006),$AB$1006:$AQ$1006,0)), HYPERLINK("#",""), HYPERLINK(CONCATENATE("#metadata!", ADDRESS(INDEX($W$2:$W$1001,MATCH(ROWS($U$2:U676),$U$2:$U$1001,0),0), INDEX($AB$1004:$AQ$1004,1,MATCH(COLUMNS($AB$1006:AL1006),$AB$1006:$AQ$1006,0)))),"Fix")))</f>
        <v>0</v>
      </c>
      <c r="M676" s="4">
        <f>IF(OR(INDEX($V$2:$V$1001,MATCH(ROWS($U$2:U676),$U$2:$U$1001,0),1)&gt;=100000,INDEX($AB$1005:$AQ$1005,1,MATCH(COLUMNS($AB$1006:AM1006),$AB$1006:$AQ$1006,0))&gt;=100000), " ",IF(INDEX($AB$2:$AQ$1001,MATCH(ROWS($U$2:U676),$U$2:$U$1001,0),MATCH(COLUMNS($AB$1006:AM1006),$AB$1006:$AQ$1006,0)), HYPERLINK("#",""), HYPERLINK(CONCATENATE("#metadata!", ADDRESS(INDEX($W$2:$W$1001,MATCH(ROWS($U$2:U676),$U$2:$U$1001,0),0), INDEX($AB$1004:$AQ$1004,1,MATCH(COLUMNS($AB$1006:AM1006),$AB$1006:$AQ$1006,0)))),"Fix")))</f>
        <v>0</v>
      </c>
      <c r="N676" s="4">
        <f>IF(OR(INDEX($V$2:$V$1001,MATCH(ROWS($U$2:U676),$U$2:$U$1001,0),1)&gt;=100000,INDEX($AB$1005:$AQ$1005,1,MATCH(COLUMNS($AB$1006:AN1006),$AB$1006:$AQ$1006,0))&gt;=100000), " ",IF(INDEX($AB$2:$AQ$1001,MATCH(ROWS($U$2:U676),$U$2:$U$1001,0),MATCH(COLUMNS($AB$1006:AN1006),$AB$1006:$AQ$1006,0)), HYPERLINK("#",""), HYPERLINK(CONCATENATE("#metadata!", ADDRESS(INDEX($W$2:$W$1001,MATCH(ROWS($U$2:U676),$U$2:$U$1001,0),0), INDEX($AB$1004:$AQ$1004,1,MATCH(COLUMNS($AB$1006:AN1006),$AB$1006:$AQ$1006,0)))),"Fix")))</f>
        <v>0</v>
      </c>
      <c r="O676" s="4">
        <f>IF(OR(INDEX($V$2:$V$1001,MATCH(ROWS($U$2:U676),$U$2:$U$1001,0),1)&gt;=100000,INDEX($AB$1005:$AQ$1005,1,MATCH(COLUMNS($AB$1006:AO1006),$AB$1006:$AQ$1006,0))&gt;=100000), " ",IF(INDEX($AB$2:$AQ$1001,MATCH(ROWS($U$2:U676),$U$2:$U$1001,0),MATCH(COLUMNS($AB$1006:AO1006),$AB$1006:$AQ$1006,0)), HYPERLINK("#",""), HYPERLINK(CONCATENATE("#metadata!", ADDRESS(INDEX($W$2:$W$1001,MATCH(ROWS($U$2:U676),$U$2:$U$1001,0),0), INDEX($AB$1004:$AQ$1004,1,MATCH(COLUMNS($AB$1006:AO1006),$AB$1006:$AQ$1006,0)))),"Fix")))</f>
        <v>0</v>
      </c>
      <c r="P676" s="4">
        <f>IF(OR(INDEX($V$2:$V$1001,MATCH(ROWS($U$2:U676),$U$2:$U$1001,0),1)&gt;=100000,INDEX($AB$1005:$AQ$1005,1,MATCH(COLUMNS($AB$1006:AP1006),$AB$1006:$AQ$1006,0))&gt;=100000), " ",IF(INDEX($AB$2:$AQ$1001,MATCH(ROWS($U$2:U676),$U$2:$U$1001,0),MATCH(COLUMNS($AB$1006:AP1006),$AB$1006:$AQ$1006,0)), HYPERLINK("#",""), HYPERLINK(CONCATENATE("#metadata!", ADDRESS(INDEX($W$2:$W$1001,MATCH(ROWS($U$2:U676),$U$2:$U$1001,0),0), INDEX($AB$1004:$AQ$1004,1,MATCH(COLUMNS($AB$1006:AP1006),$AB$1006:$AQ$1006,0)))),"Fix")))</f>
        <v>0</v>
      </c>
      <c r="Q676" s="4">
        <f>IF(OR(INDEX($V$2:$V$1001,MATCH(ROWS($U$2:U676),$U$2:$U$1001,0),1)&gt;=100000,INDEX($AB$1005:$AQ$1005,1,MATCH(COLUMNS($AB$1006:AQ1006),$AB$1006:$AQ$1006,0))&gt;=100000), " ",IF(INDEX($AB$2:$AQ$1001,MATCH(ROWS($U$2:U676),$U$2:$U$1001,0),MATCH(COLUMNS($AB$1006:AQ1006),$AB$1006:$AQ$1006,0)), HYPERLINK("#",""), HYPERLINK(CONCATENATE("#metadata!", ADDRESS(INDEX($W$2:$W$1001,MATCH(ROWS($U$2:U676),$U$2:$U$1001,0),0), INDEX($AB$1004:$AQ$1004,1,MATCH(COLUMNS($AB$1006:AQ1006),$AB$1006:$AQ$1006,0)))),"Fix")))</f>
        <v>0</v>
      </c>
      <c r="U676">
        <v>0</v>
      </c>
      <c r="V676">
        <v>0</v>
      </c>
      <c r="W676">
        <v>0</v>
      </c>
      <c r="X676">
        <f>IF(Y676,TRUE,AND(AB676:AQ676))</f>
        <v>0</v>
      </c>
      <c r="Y676">
        <f>COUNTBLANK(metadata!B676:Q676)=COLUMNS(metadata!B676:Q676)</f>
        <v>0</v>
      </c>
      <c r="Z676">
        <v>0</v>
      </c>
      <c r="AB676">
        <f>AND(IF(metadata!B676="",FALSE,TRUE),COUNTIF(metadata!B:B, metadata!B676) = 1,NOT(ISERROR(SUMPRODUCT(SEARCH(MID(metadata!B676,ROW(INDIRECT("1:"&amp;LEN(metadata!B676))), 1),"0123456789abcdefghijklmnopqrstuvwxyzABCDEFGHIJKLMNOPQRSTUVWXYZ.")))))</f>
        <v>0</v>
      </c>
      <c r="AC676">
        <f>OR(AND(IF(metadata!C676="",FALSE,TRUE),OR(exact(metadata!C676,"missing: not collected"),exact(metadata!C676,"missing: not provided"),exact(metadata!C676,"missing: restricted access"))),AND(IF(metadata!C676="",FALSE,TRUE),AND(AND(IFERROR(INT(LEFT(metadata!C676,4))&gt;1900,FALSE),IFERROR(INT(LEFT(metadata!C676,4))&lt;=YEAR(NOW()),FALSE)), OR(MID(metadata!C676,5,1)="", AND(AND(MID(metadata!C676,5,1)="-",IFERROR(INT(MID(metadata!C676,6,1))&gt;=0,FALSE),IFERROR(INT(MID(metadata!C676,6,1))&lt;=1,FALSE),NOT(MID(metadata!C676,7,1)=""),IFERROR(INT(MID(metadata!C676,6,2))&gt;=1,FALSE),IFERROR(INT(MID(metadata!C676,6,2))&lt;=12,FALSE)), OR(MID(metadata!C676,8,1)="", AND(AND(MID(metadata!C676,8,1)="-",IFERROR(INT(MID(metadata!C676,9,1))&gt;=0,FALSE),IFERROR(INT(MID(metadata!C676,9,1))&lt;=3,FALSE),NOT(MID(metadata!C676,10,1)=""),IFERROR(INT(MID(metadata!C676,9,2))&gt;=1,FALSE),IFERROR(INT(MID(metadata!C676,9,2))&lt;=31,FALSE)), OR(MID(metadata!C676,11,1)="", AND(AND(MID(metadata!C676,11,1)=" ",IFERROR(INT(MID(metadata!C676,12,1))&gt;=0,FALSE),IFERROR(INT(MID(metadata!C676,12,1))&lt;=2,FALSE),NOT(MID(metadata!C676,13,1)=""),IFERROR(INT(MID(metadata!C676,12,2))&gt;=0,FALSE),IFERROR(INT(MID(metadata!C676,12,2))&lt;=23,FALSE)), OR(MID(metadata!C676,14,1)="", AND(AND(MID(metadata!C676,14,1)=":",IFERROR(INT(MID(metadata!C676,15,1))&gt;=0,FALSE),IFERROR(INT(MID(metadata!C676,15,1))&lt;=5,FALSE),NOT(MID(metadata!C676,16,1)=""),IFERROR(INT(MID(metadata!C676,15,2))&gt;=0,FALSE),IFERROR(INT(MID(metadata!C676,15,2))&lt;=59,FALSE)), OR(MID(metadata!C676,17,1)="", AND(AND(MID(metadata!C676,17,1)=":",IFERROR(INT(MID(metadata!C676,18,1))&gt;=0,FALSE),IFERROR(INT(MID(metadata!C676,18,1))&lt;=5,FALSE),NOT(MID(metadata!C676,19,1)=""),IFERROR(INT(MID(metadata!C676,18,2))&gt;=0,FALSE),IFERROR(INT(MID(metadata!C676,18,2))&lt;=59,FALSE)), LEN(metadata!C676)&lt;=19)))))))))))))</f>
        <v>0</v>
      </c>
      <c r="AD676">
        <f>IF(metadata!D676="",FALSE,TRUE)</f>
        <v>0</v>
      </c>
      <c r="AE676">
        <f>OR(AND(IF(metadata!E676="",FALSE,TRUE),OR(exact(metadata!E676,"missing: not collected"),exact(metadata!E676,"missing: not provided"))),AND(IF(metadata!E676="",FALSE,TRUE),OR(exact(metadata!E676,"TRUE"),exact(metadata!E676,"FALSE"))))</f>
        <v>0</v>
      </c>
      <c r="AF676">
        <f>IF(metadata!F676="",FALSE,TRUE)</f>
        <v>0</v>
      </c>
      <c r="AG676">
        <f>IF(metadata!G676="",FALSE,TRUE)</f>
        <v>0</v>
      </c>
      <c r="AH676">
        <f>IF(metadata!H676="",FALSE,TRUE)</f>
        <v>0</v>
      </c>
      <c r="AI676">
        <f>OR(AND(IF(metadata!I676="",FALSE,TRUE),OR(exact(metadata!I676,"missing: not collected"),exact(metadata!I676,"missing: not provided"),exact(metadata!I676,"missing: restricted access"))),AND(IF(metadata!I676="",FALSE,TRUE),OR(exact(metadata!I676,"air"),exact(metadata!I676,"built environment"),exact(metadata!I676,"host-associated"),exact(metadata!I676,"human-associated"),exact(metadata!I676,"human-skin"),exact(metadata!I676,"human-oral"),exact(metadata!I676,"human-gut"),exact(metadata!I676,"human-vaginal"),exact(metadata!I676,"microbial mat/biofilm"),exact(metadata!I676,"misc environment"),exact(metadata!I676,"plant-associated"),exact(metadata!I676,"sediment"),exact(metadata!I676,"soil"),exact(metadata!I676,"wastewater/sludge"),exact(metadata!I676,"water"))))</f>
        <v>0</v>
      </c>
      <c r="AJ676">
        <f>IF(metadata!J676="",FALSE,TRUE)</f>
        <v>0</v>
      </c>
      <c r="AK676">
        <f>OR(AND(IF(metadata!K676="",FALSE,TRUE),OR(exact(metadata!K676,"missing: not collected"),exact(metadata!K676,"missing: not provided"),exact(metadata!K676,"missing: restricted access"))),AND(IF(metadata!K676="",FALSE,ISNUMBER(VALUE(metadata!K676))),metadata!K676&gt;=-90.00,metadata!K676&lt;=90.00))</f>
        <v>0</v>
      </c>
      <c r="AL676">
        <f>OR(AND(IF(metadata!L676="",FALSE,TRUE),OR(exact(metadata!L676,"missing: not collected"),exact(metadata!L676,"missing: not provided"),exact(metadata!L676,"missing: restricted access"))),AND(IF(metadata!L676="",FALSE,ISNUMBER(VALUE(metadata!L676))),metadata!L676&gt;=-180.00,metadata!L676&lt;=180.00))</f>
        <v>0</v>
      </c>
      <c r="AM676">
        <f>IF(metadata!M676="",FALSE,TRUE)</f>
        <v>0</v>
      </c>
      <c r="AN676">
        <f>OR(AND(IF(metadata!N676="",FALSE,TRUE),OR(exact(metadata!N676,"missing: not collected"),exact(metadata!N676,"missing: not provided"),exact(metadata!N676,"missing: restricted access"))),AND(IF(metadata!N676="",FALSE,TRUE),OR(exact(metadata!N676,"TRUE"),exact(metadata!N676,"FALSE"))))</f>
        <v>0</v>
      </c>
      <c r="AO676">
        <f>IF(metadata!O676="",FALSE,TRUE)</f>
        <v>0</v>
      </c>
      <c r="AP676">
        <f>OR(AND(IF(metadata!P676="",FALSE,TRUE),OR(exact(metadata!P676,"missing: not collected"),exact(metadata!P676,"missing: not provided"))),AND(IF(metadata!P676="",FALSE,IF(ISERROR(INT(metadata!P676)),FALSE,INT(metadata!P676)=metadata!P676)),metadata!P676&gt;0))</f>
        <v>0</v>
      </c>
      <c r="AQ676">
        <f>IF(metadata!Q676="",FALSE,TRUE)</f>
        <v>0</v>
      </c>
    </row>
    <row r="677" spans="1:43">
      <c r="A677" s="5">
        <f>IF(B677=" "," ",HYPERLINK(CONCATENATE("#metadata!",ADDRESS(INDEX($W$2:$W$1001,MATCH(ROWS($U$2:U677),$U$2:$U$1001,0),0),1)),INDEX($Z$2:$Z$1001,MATCH(ROWS($U$2:U677),$U$2:$U$1001,0),0)))</f>
        <v>0</v>
      </c>
      <c r="B677" s="4">
        <f>IF(OR(INDEX($V$2:$V$1001,MATCH(ROWS($U$2:U677),$U$2:$U$1001,0),1)&gt;=100000,INDEX($AB$1005:$AQ$1005,1,MATCH(COLUMNS($AB$1006:AB1006),$AB$1006:$AQ$1006,0))&gt;=100000), " ",IF(INDEX($AB$2:$AQ$1001,MATCH(ROWS($U$2:U677),$U$2:$U$1001,0),MATCH(COLUMNS($AB$1006:AB1006),$AB$1006:$AQ$1006,0)), HYPERLINK("#",""), HYPERLINK(CONCATENATE("#metadata!", ADDRESS(INDEX($W$2:$W$1001,MATCH(ROWS($U$2:U677),$U$2:$U$1001,0),0), INDEX($AB$1004:$AQ$1004,1,MATCH(COLUMNS($AB$1006:AB1006),$AB$1006:$AQ$1006,0)))),"Fix")))</f>
        <v>0</v>
      </c>
      <c r="C677" s="4">
        <f>IF(OR(INDEX($V$2:$V$1001,MATCH(ROWS($U$2:U677),$U$2:$U$1001,0),1)&gt;=100000,INDEX($AB$1005:$AQ$1005,1,MATCH(COLUMNS($AB$1006:AC1006),$AB$1006:$AQ$1006,0))&gt;=100000), " ",IF(INDEX($AB$2:$AQ$1001,MATCH(ROWS($U$2:U677),$U$2:$U$1001,0),MATCH(COLUMNS($AB$1006:AC1006),$AB$1006:$AQ$1006,0)), HYPERLINK("#",""), HYPERLINK(CONCATENATE("#metadata!", ADDRESS(INDEX($W$2:$W$1001,MATCH(ROWS($U$2:U677),$U$2:$U$1001,0),0), INDEX($AB$1004:$AQ$1004,1,MATCH(COLUMNS($AB$1006:AC1006),$AB$1006:$AQ$1006,0)))),"Fix")))</f>
        <v>0</v>
      </c>
      <c r="D677" s="4">
        <f>IF(OR(INDEX($V$2:$V$1001,MATCH(ROWS($U$2:U677),$U$2:$U$1001,0),1)&gt;=100000,INDEX($AB$1005:$AQ$1005,1,MATCH(COLUMNS($AB$1006:AD1006),$AB$1006:$AQ$1006,0))&gt;=100000), " ",IF(INDEX($AB$2:$AQ$1001,MATCH(ROWS($U$2:U677),$U$2:$U$1001,0),MATCH(COLUMNS($AB$1006:AD1006),$AB$1006:$AQ$1006,0)), HYPERLINK("#",""), HYPERLINK(CONCATENATE("#metadata!", ADDRESS(INDEX($W$2:$W$1001,MATCH(ROWS($U$2:U677),$U$2:$U$1001,0),0), INDEX($AB$1004:$AQ$1004,1,MATCH(COLUMNS($AB$1006:AD1006),$AB$1006:$AQ$1006,0)))),"Fix")))</f>
        <v>0</v>
      </c>
      <c r="E677" s="4">
        <f>IF(OR(INDEX($V$2:$V$1001,MATCH(ROWS($U$2:U677),$U$2:$U$1001,0),1)&gt;=100000,INDEX($AB$1005:$AQ$1005,1,MATCH(COLUMNS($AB$1006:AE1006),$AB$1006:$AQ$1006,0))&gt;=100000), " ",IF(INDEX($AB$2:$AQ$1001,MATCH(ROWS($U$2:U677),$U$2:$U$1001,0),MATCH(COLUMNS($AB$1006:AE1006),$AB$1006:$AQ$1006,0)), HYPERLINK("#",""), HYPERLINK(CONCATENATE("#metadata!", ADDRESS(INDEX($W$2:$W$1001,MATCH(ROWS($U$2:U677),$U$2:$U$1001,0),0), INDEX($AB$1004:$AQ$1004,1,MATCH(COLUMNS($AB$1006:AE1006),$AB$1006:$AQ$1006,0)))),"Fix")))</f>
        <v>0</v>
      </c>
      <c r="F677" s="4">
        <f>IF(OR(INDEX($V$2:$V$1001,MATCH(ROWS($U$2:U677),$U$2:$U$1001,0),1)&gt;=100000,INDEX($AB$1005:$AQ$1005,1,MATCH(COLUMNS($AB$1006:AF1006),$AB$1006:$AQ$1006,0))&gt;=100000), " ",IF(INDEX($AB$2:$AQ$1001,MATCH(ROWS($U$2:U677),$U$2:$U$1001,0),MATCH(COLUMNS($AB$1006:AF1006),$AB$1006:$AQ$1006,0)), HYPERLINK("#",""), HYPERLINK(CONCATENATE("#metadata!", ADDRESS(INDEX($W$2:$W$1001,MATCH(ROWS($U$2:U677),$U$2:$U$1001,0),0), INDEX($AB$1004:$AQ$1004,1,MATCH(COLUMNS($AB$1006:AF1006),$AB$1006:$AQ$1006,0)))),"Fix")))</f>
        <v>0</v>
      </c>
      <c r="G677" s="4">
        <f>IF(OR(INDEX($V$2:$V$1001,MATCH(ROWS($U$2:U677),$U$2:$U$1001,0),1)&gt;=100000,INDEX($AB$1005:$AQ$1005,1,MATCH(COLUMNS($AB$1006:AG1006),$AB$1006:$AQ$1006,0))&gt;=100000), " ",IF(INDEX($AB$2:$AQ$1001,MATCH(ROWS($U$2:U677),$U$2:$U$1001,0),MATCH(COLUMNS($AB$1006:AG1006),$AB$1006:$AQ$1006,0)), HYPERLINK("#",""), HYPERLINK(CONCATENATE("#metadata!", ADDRESS(INDEX($W$2:$W$1001,MATCH(ROWS($U$2:U677),$U$2:$U$1001,0),0), INDEX($AB$1004:$AQ$1004,1,MATCH(COLUMNS($AB$1006:AG1006),$AB$1006:$AQ$1006,0)))),"Fix")))</f>
        <v>0</v>
      </c>
      <c r="H677" s="4">
        <f>IF(OR(INDEX($V$2:$V$1001,MATCH(ROWS($U$2:U677),$U$2:$U$1001,0),1)&gt;=100000,INDEX($AB$1005:$AQ$1005,1,MATCH(COLUMNS($AB$1006:AH1006),$AB$1006:$AQ$1006,0))&gt;=100000), " ",IF(INDEX($AB$2:$AQ$1001,MATCH(ROWS($U$2:U677),$U$2:$U$1001,0),MATCH(COLUMNS($AB$1006:AH1006),$AB$1006:$AQ$1006,0)), HYPERLINK("#",""), HYPERLINK(CONCATENATE("#metadata!", ADDRESS(INDEX($W$2:$W$1001,MATCH(ROWS($U$2:U677),$U$2:$U$1001,0),0), INDEX($AB$1004:$AQ$1004,1,MATCH(COLUMNS($AB$1006:AH1006),$AB$1006:$AQ$1006,0)))),"Fix")))</f>
        <v>0</v>
      </c>
      <c r="I677" s="4">
        <f>IF(OR(INDEX($V$2:$V$1001,MATCH(ROWS($U$2:U677),$U$2:$U$1001,0),1)&gt;=100000,INDEX($AB$1005:$AQ$1005,1,MATCH(COLUMNS($AB$1006:AI1006),$AB$1006:$AQ$1006,0))&gt;=100000), " ",IF(INDEX($AB$2:$AQ$1001,MATCH(ROWS($U$2:U677),$U$2:$U$1001,0),MATCH(COLUMNS($AB$1006:AI1006),$AB$1006:$AQ$1006,0)), HYPERLINK("#",""), HYPERLINK(CONCATENATE("#metadata!", ADDRESS(INDEX($W$2:$W$1001,MATCH(ROWS($U$2:U677),$U$2:$U$1001,0),0), INDEX($AB$1004:$AQ$1004,1,MATCH(COLUMNS($AB$1006:AI1006),$AB$1006:$AQ$1006,0)))),"Fix")))</f>
        <v>0</v>
      </c>
      <c r="J677" s="4">
        <f>IF(OR(INDEX($V$2:$V$1001,MATCH(ROWS($U$2:U677),$U$2:$U$1001,0),1)&gt;=100000,INDEX($AB$1005:$AQ$1005,1,MATCH(COLUMNS($AB$1006:AJ1006),$AB$1006:$AQ$1006,0))&gt;=100000), " ",IF(INDEX($AB$2:$AQ$1001,MATCH(ROWS($U$2:U677),$U$2:$U$1001,0),MATCH(COLUMNS($AB$1006:AJ1006),$AB$1006:$AQ$1006,0)), HYPERLINK("#",""), HYPERLINK(CONCATENATE("#metadata!", ADDRESS(INDEX($W$2:$W$1001,MATCH(ROWS($U$2:U677),$U$2:$U$1001,0),0), INDEX($AB$1004:$AQ$1004,1,MATCH(COLUMNS($AB$1006:AJ1006),$AB$1006:$AQ$1006,0)))),"Fix")))</f>
        <v>0</v>
      </c>
      <c r="K677" s="4">
        <f>IF(OR(INDEX($V$2:$V$1001,MATCH(ROWS($U$2:U677),$U$2:$U$1001,0),1)&gt;=100000,INDEX($AB$1005:$AQ$1005,1,MATCH(COLUMNS($AB$1006:AK1006),$AB$1006:$AQ$1006,0))&gt;=100000), " ",IF(INDEX($AB$2:$AQ$1001,MATCH(ROWS($U$2:U677),$U$2:$U$1001,0),MATCH(COLUMNS($AB$1006:AK1006),$AB$1006:$AQ$1006,0)), HYPERLINK("#",""), HYPERLINK(CONCATENATE("#metadata!", ADDRESS(INDEX($W$2:$W$1001,MATCH(ROWS($U$2:U677),$U$2:$U$1001,0),0), INDEX($AB$1004:$AQ$1004,1,MATCH(COLUMNS($AB$1006:AK1006),$AB$1006:$AQ$1006,0)))),"Fix")))</f>
        <v>0</v>
      </c>
      <c r="L677" s="4">
        <f>IF(OR(INDEX($V$2:$V$1001,MATCH(ROWS($U$2:U677),$U$2:$U$1001,0),1)&gt;=100000,INDEX($AB$1005:$AQ$1005,1,MATCH(COLUMNS($AB$1006:AL1006),$AB$1006:$AQ$1006,0))&gt;=100000), " ",IF(INDEX($AB$2:$AQ$1001,MATCH(ROWS($U$2:U677),$U$2:$U$1001,0),MATCH(COLUMNS($AB$1006:AL1006),$AB$1006:$AQ$1006,0)), HYPERLINK("#",""), HYPERLINK(CONCATENATE("#metadata!", ADDRESS(INDEX($W$2:$W$1001,MATCH(ROWS($U$2:U677),$U$2:$U$1001,0),0), INDEX($AB$1004:$AQ$1004,1,MATCH(COLUMNS($AB$1006:AL1006),$AB$1006:$AQ$1006,0)))),"Fix")))</f>
        <v>0</v>
      </c>
      <c r="M677" s="4">
        <f>IF(OR(INDEX($V$2:$V$1001,MATCH(ROWS($U$2:U677),$U$2:$U$1001,0),1)&gt;=100000,INDEX($AB$1005:$AQ$1005,1,MATCH(COLUMNS($AB$1006:AM1006),$AB$1006:$AQ$1006,0))&gt;=100000), " ",IF(INDEX($AB$2:$AQ$1001,MATCH(ROWS($U$2:U677),$U$2:$U$1001,0),MATCH(COLUMNS($AB$1006:AM1006),$AB$1006:$AQ$1006,0)), HYPERLINK("#",""), HYPERLINK(CONCATENATE("#metadata!", ADDRESS(INDEX($W$2:$W$1001,MATCH(ROWS($U$2:U677),$U$2:$U$1001,0),0), INDEX($AB$1004:$AQ$1004,1,MATCH(COLUMNS($AB$1006:AM1006),$AB$1006:$AQ$1006,0)))),"Fix")))</f>
        <v>0</v>
      </c>
      <c r="N677" s="4">
        <f>IF(OR(INDEX($V$2:$V$1001,MATCH(ROWS($U$2:U677),$U$2:$U$1001,0),1)&gt;=100000,INDEX($AB$1005:$AQ$1005,1,MATCH(COLUMNS($AB$1006:AN1006),$AB$1006:$AQ$1006,0))&gt;=100000), " ",IF(INDEX($AB$2:$AQ$1001,MATCH(ROWS($U$2:U677),$U$2:$U$1001,0),MATCH(COLUMNS($AB$1006:AN1006),$AB$1006:$AQ$1006,0)), HYPERLINK("#",""), HYPERLINK(CONCATENATE("#metadata!", ADDRESS(INDEX($W$2:$W$1001,MATCH(ROWS($U$2:U677),$U$2:$U$1001,0),0), INDEX($AB$1004:$AQ$1004,1,MATCH(COLUMNS($AB$1006:AN1006),$AB$1006:$AQ$1006,0)))),"Fix")))</f>
        <v>0</v>
      </c>
      <c r="O677" s="4">
        <f>IF(OR(INDEX($V$2:$V$1001,MATCH(ROWS($U$2:U677),$U$2:$U$1001,0),1)&gt;=100000,INDEX($AB$1005:$AQ$1005,1,MATCH(COLUMNS($AB$1006:AO1006),$AB$1006:$AQ$1006,0))&gt;=100000), " ",IF(INDEX($AB$2:$AQ$1001,MATCH(ROWS($U$2:U677),$U$2:$U$1001,0),MATCH(COLUMNS($AB$1006:AO1006),$AB$1006:$AQ$1006,0)), HYPERLINK("#",""), HYPERLINK(CONCATENATE("#metadata!", ADDRESS(INDEX($W$2:$W$1001,MATCH(ROWS($U$2:U677),$U$2:$U$1001,0),0), INDEX($AB$1004:$AQ$1004,1,MATCH(COLUMNS($AB$1006:AO1006),$AB$1006:$AQ$1006,0)))),"Fix")))</f>
        <v>0</v>
      </c>
      <c r="P677" s="4">
        <f>IF(OR(INDEX($V$2:$V$1001,MATCH(ROWS($U$2:U677),$U$2:$U$1001,0),1)&gt;=100000,INDEX($AB$1005:$AQ$1005,1,MATCH(COLUMNS($AB$1006:AP1006),$AB$1006:$AQ$1006,0))&gt;=100000), " ",IF(INDEX($AB$2:$AQ$1001,MATCH(ROWS($U$2:U677),$U$2:$U$1001,0),MATCH(COLUMNS($AB$1006:AP1006),$AB$1006:$AQ$1006,0)), HYPERLINK("#",""), HYPERLINK(CONCATENATE("#metadata!", ADDRESS(INDEX($W$2:$W$1001,MATCH(ROWS($U$2:U677),$U$2:$U$1001,0),0), INDEX($AB$1004:$AQ$1004,1,MATCH(COLUMNS($AB$1006:AP1006),$AB$1006:$AQ$1006,0)))),"Fix")))</f>
        <v>0</v>
      </c>
      <c r="Q677" s="4">
        <f>IF(OR(INDEX($V$2:$V$1001,MATCH(ROWS($U$2:U677),$U$2:$U$1001,0),1)&gt;=100000,INDEX($AB$1005:$AQ$1005,1,MATCH(COLUMNS($AB$1006:AQ1006),$AB$1006:$AQ$1006,0))&gt;=100000), " ",IF(INDEX($AB$2:$AQ$1001,MATCH(ROWS($U$2:U677),$U$2:$U$1001,0),MATCH(COLUMNS($AB$1006:AQ1006),$AB$1006:$AQ$1006,0)), HYPERLINK("#",""), HYPERLINK(CONCATENATE("#metadata!", ADDRESS(INDEX($W$2:$W$1001,MATCH(ROWS($U$2:U677),$U$2:$U$1001,0),0), INDEX($AB$1004:$AQ$1004,1,MATCH(COLUMNS($AB$1006:AQ1006),$AB$1006:$AQ$1006,0)))),"Fix")))</f>
        <v>0</v>
      </c>
      <c r="U677">
        <v>0</v>
      </c>
      <c r="V677">
        <v>0</v>
      </c>
      <c r="W677">
        <v>0</v>
      </c>
      <c r="X677">
        <f>IF(Y677,TRUE,AND(AB677:AQ677))</f>
        <v>0</v>
      </c>
      <c r="Y677">
        <f>COUNTBLANK(metadata!B677:Q677)=COLUMNS(metadata!B677:Q677)</f>
        <v>0</v>
      </c>
      <c r="Z677">
        <v>0</v>
      </c>
      <c r="AB677">
        <f>AND(IF(metadata!B677="",FALSE,TRUE),COUNTIF(metadata!B:B, metadata!B677) = 1,NOT(ISERROR(SUMPRODUCT(SEARCH(MID(metadata!B677,ROW(INDIRECT("1:"&amp;LEN(metadata!B677))), 1),"0123456789abcdefghijklmnopqrstuvwxyzABCDEFGHIJKLMNOPQRSTUVWXYZ.")))))</f>
        <v>0</v>
      </c>
      <c r="AC677">
        <f>OR(AND(IF(metadata!C677="",FALSE,TRUE),OR(exact(metadata!C677,"missing: not collected"),exact(metadata!C677,"missing: not provided"),exact(metadata!C677,"missing: restricted access"))),AND(IF(metadata!C677="",FALSE,TRUE),AND(AND(IFERROR(INT(LEFT(metadata!C677,4))&gt;1900,FALSE),IFERROR(INT(LEFT(metadata!C677,4))&lt;=YEAR(NOW()),FALSE)), OR(MID(metadata!C677,5,1)="", AND(AND(MID(metadata!C677,5,1)="-",IFERROR(INT(MID(metadata!C677,6,1))&gt;=0,FALSE),IFERROR(INT(MID(metadata!C677,6,1))&lt;=1,FALSE),NOT(MID(metadata!C677,7,1)=""),IFERROR(INT(MID(metadata!C677,6,2))&gt;=1,FALSE),IFERROR(INT(MID(metadata!C677,6,2))&lt;=12,FALSE)), OR(MID(metadata!C677,8,1)="", AND(AND(MID(metadata!C677,8,1)="-",IFERROR(INT(MID(metadata!C677,9,1))&gt;=0,FALSE),IFERROR(INT(MID(metadata!C677,9,1))&lt;=3,FALSE),NOT(MID(metadata!C677,10,1)=""),IFERROR(INT(MID(metadata!C677,9,2))&gt;=1,FALSE),IFERROR(INT(MID(metadata!C677,9,2))&lt;=31,FALSE)), OR(MID(metadata!C677,11,1)="", AND(AND(MID(metadata!C677,11,1)=" ",IFERROR(INT(MID(metadata!C677,12,1))&gt;=0,FALSE),IFERROR(INT(MID(metadata!C677,12,1))&lt;=2,FALSE),NOT(MID(metadata!C677,13,1)=""),IFERROR(INT(MID(metadata!C677,12,2))&gt;=0,FALSE),IFERROR(INT(MID(metadata!C677,12,2))&lt;=23,FALSE)), OR(MID(metadata!C677,14,1)="", AND(AND(MID(metadata!C677,14,1)=":",IFERROR(INT(MID(metadata!C677,15,1))&gt;=0,FALSE),IFERROR(INT(MID(metadata!C677,15,1))&lt;=5,FALSE),NOT(MID(metadata!C677,16,1)=""),IFERROR(INT(MID(metadata!C677,15,2))&gt;=0,FALSE),IFERROR(INT(MID(metadata!C677,15,2))&lt;=59,FALSE)), OR(MID(metadata!C677,17,1)="", AND(AND(MID(metadata!C677,17,1)=":",IFERROR(INT(MID(metadata!C677,18,1))&gt;=0,FALSE),IFERROR(INT(MID(metadata!C677,18,1))&lt;=5,FALSE),NOT(MID(metadata!C677,19,1)=""),IFERROR(INT(MID(metadata!C677,18,2))&gt;=0,FALSE),IFERROR(INT(MID(metadata!C677,18,2))&lt;=59,FALSE)), LEN(metadata!C677)&lt;=19)))))))))))))</f>
        <v>0</v>
      </c>
      <c r="AD677">
        <f>IF(metadata!D677="",FALSE,TRUE)</f>
        <v>0</v>
      </c>
      <c r="AE677">
        <f>OR(AND(IF(metadata!E677="",FALSE,TRUE),OR(exact(metadata!E677,"missing: not collected"),exact(metadata!E677,"missing: not provided"))),AND(IF(metadata!E677="",FALSE,TRUE),OR(exact(metadata!E677,"TRUE"),exact(metadata!E677,"FALSE"))))</f>
        <v>0</v>
      </c>
      <c r="AF677">
        <f>IF(metadata!F677="",FALSE,TRUE)</f>
        <v>0</v>
      </c>
      <c r="AG677">
        <f>IF(metadata!G677="",FALSE,TRUE)</f>
        <v>0</v>
      </c>
      <c r="AH677">
        <f>IF(metadata!H677="",FALSE,TRUE)</f>
        <v>0</v>
      </c>
      <c r="AI677">
        <f>OR(AND(IF(metadata!I677="",FALSE,TRUE),OR(exact(metadata!I677,"missing: not collected"),exact(metadata!I677,"missing: not provided"),exact(metadata!I677,"missing: restricted access"))),AND(IF(metadata!I677="",FALSE,TRUE),OR(exact(metadata!I677,"air"),exact(metadata!I677,"built environment"),exact(metadata!I677,"host-associated"),exact(metadata!I677,"human-associated"),exact(metadata!I677,"human-skin"),exact(metadata!I677,"human-oral"),exact(metadata!I677,"human-gut"),exact(metadata!I677,"human-vaginal"),exact(metadata!I677,"microbial mat/biofilm"),exact(metadata!I677,"misc environment"),exact(metadata!I677,"plant-associated"),exact(metadata!I677,"sediment"),exact(metadata!I677,"soil"),exact(metadata!I677,"wastewater/sludge"),exact(metadata!I677,"water"))))</f>
        <v>0</v>
      </c>
      <c r="AJ677">
        <f>IF(metadata!J677="",FALSE,TRUE)</f>
        <v>0</v>
      </c>
      <c r="AK677">
        <f>OR(AND(IF(metadata!K677="",FALSE,TRUE),OR(exact(metadata!K677,"missing: not collected"),exact(metadata!K677,"missing: not provided"),exact(metadata!K677,"missing: restricted access"))),AND(IF(metadata!K677="",FALSE,ISNUMBER(VALUE(metadata!K677))),metadata!K677&gt;=-90.00,metadata!K677&lt;=90.00))</f>
        <v>0</v>
      </c>
      <c r="AL677">
        <f>OR(AND(IF(metadata!L677="",FALSE,TRUE),OR(exact(metadata!L677,"missing: not collected"),exact(metadata!L677,"missing: not provided"),exact(metadata!L677,"missing: restricted access"))),AND(IF(metadata!L677="",FALSE,ISNUMBER(VALUE(metadata!L677))),metadata!L677&gt;=-180.00,metadata!L677&lt;=180.00))</f>
        <v>0</v>
      </c>
      <c r="AM677">
        <f>IF(metadata!M677="",FALSE,TRUE)</f>
        <v>0</v>
      </c>
      <c r="AN677">
        <f>OR(AND(IF(metadata!N677="",FALSE,TRUE),OR(exact(metadata!N677,"missing: not collected"),exact(metadata!N677,"missing: not provided"),exact(metadata!N677,"missing: restricted access"))),AND(IF(metadata!N677="",FALSE,TRUE),OR(exact(metadata!N677,"TRUE"),exact(metadata!N677,"FALSE"))))</f>
        <v>0</v>
      </c>
      <c r="AO677">
        <f>IF(metadata!O677="",FALSE,TRUE)</f>
        <v>0</v>
      </c>
      <c r="AP677">
        <f>OR(AND(IF(metadata!P677="",FALSE,TRUE),OR(exact(metadata!P677,"missing: not collected"),exact(metadata!P677,"missing: not provided"))),AND(IF(metadata!P677="",FALSE,IF(ISERROR(INT(metadata!P677)),FALSE,INT(metadata!P677)=metadata!P677)),metadata!P677&gt;0))</f>
        <v>0</v>
      </c>
      <c r="AQ677">
        <f>IF(metadata!Q677="",FALSE,TRUE)</f>
        <v>0</v>
      </c>
    </row>
    <row r="678" spans="1:43">
      <c r="A678" s="5">
        <f>IF(B678=" "," ",HYPERLINK(CONCATENATE("#metadata!",ADDRESS(INDEX($W$2:$W$1001,MATCH(ROWS($U$2:U678),$U$2:$U$1001,0),0),1)),INDEX($Z$2:$Z$1001,MATCH(ROWS($U$2:U678),$U$2:$U$1001,0),0)))</f>
        <v>0</v>
      </c>
      <c r="B678" s="4">
        <f>IF(OR(INDEX($V$2:$V$1001,MATCH(ROWS($U$2:U678),$U$2:$U$1001,0),1)&gt;=100000,INDEX($AB$1005:$AQ$1005,1,MATCH(COLUMNS($AB$1006:AB1006),$AB$1006:$AQ$1006,0))&gt;=100000), " ",IF(INDEX($AB$2:$AQ$1001,MATCH(ROWS($U$2:U678),$U$2:$U$1001,0),MATCH(COLUMNS($AB$1006:AB1006),$AB$1006:$AQ$1006,0)), HYPERLINK("#",""), HYPERLINK(CONCATENATE("#metadata!", ADDRESS(INDEX($W$2:$W$1001,MATCH(ROWS($U$2:U678),$U$2:$U$1001,0),0), INDEX($AB$1004:$AQ$1004,1,MATCH(COLUMNS($AB$1006:AB1006),$AB$1006:$AQ$1006,0)))),"Fix")))</f>
        <v>0</v>
      </c>
      <c r="C678" s="4">
        <f>IF(OR(INDEX($V$2:$V$1001,MATCH(ROWS($U$2:U678),$U$2:$U$1001,0),1)&gt;=100000,INDEX($AB$1005:$AQ$1005,1,MATCH(COLUMNS($AB$1006:AC1006),$AB$1006:$AQ$1006,0))&gt;=100000), " ",IF(INDEX($AB$2:$AQ$1001,MATCH(ROWS($U$2:U678),$U$2:$U$1001,0),MATCH(COLUMNS($AB$1006:AC1006),$AB$1006:$AQ$1006,0)), HYPERLINK("#",""), HYPERLINK(CONCATENATE("#metadata!", ADDRESS(INDEX($W$2:$W$1001,MATCH(ROWS($U$2:U678),$U$2:$U$1001,0),0), INDEX($AB$1004:$AQ$1004,1,MATCH(COLUMNS($AB$1006:AC1006),$AB$1006:$AQ$1006,0)))),"Fix")))</f>
        <v>0</v>
      </c>
      <c r="D678" s="4">
        <f>IF(OR(INDEX($V$2:$V$1001,MATCH(ROWS($U$2:U678),$U$2:$U$1001,0),1)&gt;=100000,INDEX($AB$1005:$AQ$1005,1,MATCH(COLUMNS($AB$1006:AD1006),$AB$1006:$AQ$1006,0))&gt;=100000), " ",IF(INDEX($AB$2:$AQ$1001,MATCH(ROWS($U$2:U678),$U$2:$U$1001,0),MATCH(COLUMNS($AB$1006:AD1006),$AB$1006:$AQ$1006,0)), HYPERLINK("#",""), HYPERLINK(CONCATENATE("#metadata!", ADDRESS(INDEX($W$2:$W$1001,MATCH(ROWS($U$2:U678),$U$2:$U$1001,0),0), INDEX($AB$1004:$AQ$1004,1,MATCH(COLUMNS($AB$1006:AD1006),$AB$1006:$AQ$1006,0)))),"Fix")))</f>
        <v>0</v>
      </c>
      <c r="E678" s="4">
        <f>IF(OR(INDEX($V$2:$V$1001,MATCH(ROWS($U$2:U678),$U$2:$U$1001,0),1)&gt;=100000,INDEX($AB$1005:$AQ$1005,1,MATCH(COLUMNS($AB$1006:AE1006),$AB$1006:$AQ$1006,0))&gt;=100000), " ",IF(INDEX($AB$2:$AQ$1001,MATCH(ROWS($U$2:U678),$U$2:$U$1001,0),MATCH(COLUMNS($AB$1006:AE1006),$AB$1006:$AQ$1006,0)), HYPERLINK("#",""), HYPERLINK(CONCATENATE("#metadata!", ADDRESS(INDEX($W$2:$W$1001,MATCH(ROWS($U$2:U678),$U$2:$U$1001,0),0), INDEX($AB$1004:$AQ$1004,1,MATCH(COLUMNS($AB$1006:AE1006),$AB$1006:$AQ$1006,0)))),"Fix")))</f>
        <v>0</v>
      </c>
      <c r="F678" s="4">
        <f>IF(OR(INDEX($V$2:$V$1001,MATCH(ROWS($U$2:U678),$U$2:$U$1001,0),1)&gt;=100000,INDEX($AB$1005:$AQ$1005,1,MATCH(COLUMNS($AB$1006:AF1006),$AB$1006:$AQ$1006,0))&gt;=100000), " ",IF(INDEX($AB$2:$AQ$1001,MATCH(ROWS($U$2:U678),$U$2:$U$1001,0),MATCH(COLUMNS($AB$1006:AF1006),$AB$1006:$AQ$1006,0)), HYPERLINK("#",""), HYPERLINK(CONCATENATE("#metadata!", ADDRESS(INDEX($W$2:$W$1001,MATCH(ROWS($U$2:U678),$U$2:$U$1001,0),0), INDEX($AB$1004:$AQ$1004,1,MATCH(COLUMNS($AB$1006:AF1006),$AB$1006:$AQ$1006,0)))),"Fix")))</f>
        <v>0</v>
      </c>
      <c r="G678" s="4">
        <f>IF(OR(INDEX($V$2:$V$1001,MATCH(ROWS($U$2:U678),$U$2:$U$1001,0),1)&gt;=100000,INDEX($AB$1005:$AQ$1005,1,MATCH(COLUMNS($AB$1006:AG1006),$AB$1006:$AQ$1006,0))&gt;=100000), " ",IF(INDEX($AB$2:$AQ$1001,MATCH(ROWS($U$2:U678),$U$2:$U$1001,0),MATCH(COLUMNS($AB$1006:AG1006),$AB$1006:$AQ$1006,0)), HYPERLINK("#",""), HYPERLINK(CONCATENATE("#metadata!", ADDRESS(INDEX($W$2:$W$1001,MATCH(ROWS($U$2:U678),$U$2:$U$1001,0),0), INDEX($AB$1004:$AQ$1004,1,MATCH(COLUMNS($AB$1006:AG1006),$AB$1006:$AQ$1006,0)))),"Fix")))</f>
        <v>0</v>
      </c>
      <c r="H678" s="4">
        <f>IF(OR(INDEX($V$2:$V$1001,MATCH(ROWS($U$2:U678),$U$2:$U$1001,0),1)&gt;=100000,INDEX($AB$1005:$AQ$1005,1,MATCH(COLUMNS($AB$1006:AH1006),$AB$1006:$AQ$1006,0))&gt;=100000), " ",IF(INDEX($AB$2:$AQ$1001,MATCH(ROWS($U$2:U678),$U$2:$U$1001,0),MATCH(COLUMNS($AB$1006:AH1006),$AB$1006:$AQ$1006,0)), HYPERLINK("#",""), HYPERLINK(CONCATENATE("#metadata!", ADDRESS(INDEX($W$2:$W$1001,MATCH(ROWS($U$2:U678),$U$2:$U$1001,0),0), INDEX($AB$1004:$AQ$1004,1,MATCH(COLUMNS($AB$1006:AH1006),$AB$1006:$AQ$1006,0)))),"Fix")))</f>
        <v>0</v>
      </c>
      <c r="I678" s="4">
        <f>IF(OR(INDEX($V$2:$V$1001,MATCH(ROWS($U$2:U678),$U$2:$U$1001,0),1)&gt;=100000,INDEX($AB$1005:$AQ$1005,1,MATCH(COLUMNS($AB$1006:AI1006),$AB$1006:$AQ$1006,0))&gt;=100000), " ",IF(INDEX($AB$2:$AQ$1001,MATCH(ROWS($U$2:U678),$U$2:$U$1001,0),MATCH(COLUMNS($AB$1006:AI1006),$AB$1006:$AQ$1006,0)), HYPERLINK("#",""), HYPERLINK(CONCATENATE("#metadata!", ADDRESS(INDEX($W$2:$W$1001,MATCH(ROWS($U$2:U678),$U$2:$U$1001,0),0), INDEX($AB$1004:$AQ$1004,1,MATCH(COLUMNS($AB$1006:AI1006),$AB$1006:$AQ$1006,0)))),"Fix")))</f>
        <v>0</v>
      </c>
      <c r="J678" s="4">
        <f>IF(OR(INDEX($V$2:$V$1001,MATCH(ROWS($U$2:U678),$U$2:$U$1001,0),1)&gt;=100000,INDEX($AB$1005:$AQ$1005,1,MATCH(COLUMNS($AB$1006:AJ1006),$AB$1006:$AQ$1006,0))&gt;=100000), " ",IF(INDEX($AB$2:$AQ$1001,MATCH(ROWS($U$2:U678),$U$2:$U$1001,0),MATCH(COLUMNS($AB$1006:AJ1006),$AB$1006:$AQ$1006,0)), HYPERLINK("#",""), HYPERLINK(CONCATENATE("#metadata!", ADDRESS(INDEX($W$2:$W$1001,MATCH(ROWS($U$2:U678),$U$2:$U$1001,0),0), INDEX($AB$1004:$AQ$1004,1,MATCH(COLUMNS($AB$1006:AJ1006),$AB$1006:$AQ$1006,0)))),"Fix")))</f>
        <v>0</v>
      </c>
      <c r="K678" s="4">
        <f>IF(OR(INDEX($V$2:$V$1001,MATCH(ROWS($U$2:U678),$U$2:$U$1001,0),1)&gt;=100000,INDEX($AB$1005:$AQ$1005,1,MATCH(COLUMNS($AB$1006:AK1006),$AB$1006:$AQ$1006,0))&gt;=100000), " ",IF(INDEX($AB$2:$AQ$1001,MATCH(ROWS($U$2:U678),$U$2:$U$1001,0),MATCH(COLUMNS($AB$1006:AK1006),$AB$1006:$AQ$1006,0)), HYPERLINK("#",""), HYPERLINK(CONCATENATE("#metadata!", ADDRESS(INDEX($W$2:$W$1001,MATCH(ROWS($U$2:U678),$U$2:$U$1001,0),0), INDEX($AB$1004:$AQ$1004,1,MATCH(COLUMNS($AB$1006:AK1006),$AB$1006:$AQ$1006,0)))),"Fix")))</f>
        <v>0</v>
      </c>
      <c r="L678" s="4">
        <f>IF(OR(INDEX($V$2:$V$1001,MATCH(ROWS($U$2:U678),$U$2:$U$1001,0),1)&gt;=100000,INDEX($AB$1005:$AQ$1005,1,MATCH(COLUMNS($AB$1006:AL1006),$AB$1006:$AQ$1006,0))&gt;=100000), " ",IF(INDEX($AB$2:$AQ$1001,MATCH(ROWS($U$2:U678),$U$2:$U$1001,0),MATCH(COLUMNS($AB$1006:AL1006),$AB$1006:$AQ$1006,0)), HYPERLINK("#",""), HYPERLINK(CONCATENATE("#metadata!", ADDRESS(INDEX($W$2:$W$1001,MATCH(ROWS($U$2:U678),$U$2:$U$1001,0),0), INDEX($AB$1004:$AQ$1004,1,MATCH(COLUMNS($AB$1006:AL1006),$AB$1006:$AQ$1006,0)))),"Fix")))</f>
        <v>0</v>
      </c>
      <c r="M678" s="4">
        <f>IF(OR(INDEX($V$2:$V$1001,MATCH(ROWS($U$2:U678),$U$2:$U$1001,0),1)&gt;=100000,INDEX($AB$1005:$AQ$1005,1,MATCH(COLUMNS($AB$1006:AM1006),$AB$1006:$AQ$1006,0))&gt;=100000), " ",IF(INDEX($AB$2:$AQ$1001,MATCH(ROWS($U$2:U678),$U$2:$U$1001,0),MATCH(COLUMNS($AB$1006:AM1006),$AB$1006:$AQ$1006,0)), HYPERLINK("#",""), HYPERLINK(CONCATENATE("#metadata!", ADDRESS(INDEX($W$2:$W$1001,MATCH(ROWS($U$2:U678),$U$2:$U$1001,0),0), INDEX($AB$1004:$AQ$1004,1,MATCH(COLUMNS($AB$1006:AM1006),$AB$1006:$AQ$1006,0)))),"Fix")))</f>
        <v>0</v>
      </c>
      <c r="N678" s="4">
        <f>IF(OR(INDEX($V$2:$V$1001,MATCH(ROWS($U$2:U678),$U$2:$U$1001,0),1)&gt;=100000,INDEX($AB$1005:$AQ$1005,1,MATCH(COLUMNS($AB$1006:AN1006),$AB$1006:$AQ$1006,0))&gt;=100000), " ",IF(INDEX($AB$2:$AQ$1001,MATCH(ROWS($U$2:U678),$U$2:$U$1001,0),MATCH(COLUMNS($AB$1006:AN1006),$AB$1006:$AQ$1006,0)), HYPERLINK("#",""), HYPERLINK(CONCATENATE("#metadata!", ADDRESS(INDEX($W$2:$W$1001,MATCH(ROWS($U$2:U678),$U$2:$U$1001,0),0), INDEX($AB$1004:$AQ$1004,1,MATCH(COLUMNS($AB$1006:AN1006),$AB$1006:$AQ$1006,0)))),"Fix")))</f>
        <v>0</v>
      </c>
      <c r="O678" s="4">
        <f>IF(OR(INDEX($V$2:$V$1001,MATCH(ROWS($U$2:U678),$U$2:$U$1001,0),1)&gt;=100000,INDEX($AB$1005:$AQ$1005,1,MATCH(COLUMNS($AB$1006:AO1006),$AB$1006:$AQ$1006,0))&gt;=100000), " ",IF(INDEX($AB$2:$AQ$1001,MATCH(ROWS($U$2:U678),$U$2:$U$1001,0),MATCH(COLUMNS($AB$1006:AO1006),$AB$1006:$AQ$1006,0)), HYPERLINK("#",""), HYPERLINK(CONCATENATE("#metadata!", ADDRESS(INDEX($W$2:$W$1001,MATCH(ROWS($U$2:U678),$U$2:$U$1001,0),0), INDEX($AB$1004:$AQ$1004,1,MATCH(COLUMNS($AB$1006:AO1006),$AB$1006:$AQ$1006,0)))),"Fix")))</f>
        <v>0</v>
      </c>
      <c r="P678" s="4">
        <f>IF(OR(INDEX($V$2:$V$1001,MATCH(ROWS($U$2:U678),$U$2:$U$1001,0),1)&gt;=100000,INDEX($AB$1005:$AQ$1005,1,MATCH(COLUMNS($AB$1006:AP1006),$AB$1006:$AQ$1006,0))&gt;=100000), " ",IF(INDEX($AB$2:$AQ$1001,MATCH(ROWS($U$2:U678),$U$2:$U$1001,0),MATCH(COLUMNS($AB$1006:AP1006),$AB$1006:$AQ$1006,0)), HYPERLINK("#",""), HYPERLINK(CONCATENATE("#metadata!", ADDRESS(INDEX($W$2:$W$1001,MATCH(ROWS($U$2:U678),$U$2:$U$1001,0),0), INDEX($AB$1004:$AQ$1004,1,MATCH(COLUMNS($AB$1006:AP1006),$AB$1006:$AQ$1006,0)))),"Fix")))</f>
        <v>0</v>
      </c>
      <c r="Q678" s="4">
        <f>IF(OR(INDEX($V$2:$V$1001,MATCH(ROWS($U$2:U678),$U$2:$U$1001,0),1)&gt;=100000,INDEX($AB$1005:$AQ$1005,1,MATCH(COLUMNS($AB$1006:AQ1006),$AB$1006:$AQ$1006,0))&gt;=100000), " ",IF(INDEX($AB$2:$AQ$1001,MATCH(ROWS($U$2:U678),$U$2:$U$1001,0),MATCH(COLUMNS($AB$1006:AQ1006),$AB$1006:$AQ$1006,0)), HYPERLINK("#",""), HYPERLINK(CONCATENATE("#metadata!", ADDRESS(INDEX($W$2:$W$1001,MATCH(ROWS($U$2:U678),$U$2:$U$1001,0),0), INDEX($AB$1004:$AQ$1004,1,MATCH(COLUMNS($AB$1006:AQ1006),$AB$1006:$AQ$1006,0)))),"Fix")))</f>
        <v>0</v>
      </c>
      <c r="U678">
        <v>0</v>
      </c>
      <c r="V678">
        <v>0</v>
      </c>
      <c r="W678">
        <v>0</v>
      </c>
      <c r="X678">
        <f>IF(Y678,TRUE,AND(AB678:AQ678))</f>
        <v>0</v>
      </c>
      <c r="Y678">
        <f>COUNTBLANK(metadata!B678:Q678)=COLUMNS(metadata!B678:Q678)</f>
        <v>0</v>
      </c>
      <c r="Z678">
        <v>0</v>
      </c>
      <c r="AB678">
        <f>AND(IF(metadata!B678="",FALSE,TRUE),COUNTIF(metadata!B:B, metadata!B678) = 1,NOT(ISERROR(SUMPRODUCT(SEARCH(MID(metadata!B678,ROW(INDIRECT("1:"&amp;LEN(metadata!B678))), 1),"0123456789abcdefghijklmnopqrstuvwxyzABCDEFGHIJKLMNOPQRSTUVWXYZ.")))))</f>
        <v>0</v>
      </c>
      <c r="AC678">
        <f>OR(AND(IF(metadata!C678="",FALSE,TRUE),OR(exact(metadata!C678,"missing: not collected"),exact(metadata!C678,"missing: not provided"),exact(metadata!C678,"missing: restricted access"))),AND(IF(metadata!C678="",FALSE,TRUE),AND(AND(IFERROR(INT(LEFT(metadata!C678,4))&gt;1900,FALSE),IFERROR(INT(LEFT(metadata!C678,4))&lt;=YEAR(NOW()),FALSE)), OR(MID(metadata!C678,5,1)="", AND(AND(MID(metadata!C678,5,1)="-",IFERROR(INT(MID(metadata!C678,6,1))&gt;=0,FALSE),IFERROR(INT(MID(metadata!C678,6,1))&lt;=1,FALSE),NOT(MID(metadata!C678,7,1)=""),IFERROR(INT(MID(metadata!C678,6,2))&gt;=1,FALSE),IFERROR(INT(MID(metadata!C678,6,2))&lt;=12,FALSE)), OR(MID(metadata!C678,8,1)="", AND(AND(MID(metadata!C678,8,1)="-",IFERROR(INT(MID(metadata!C678,9,1))&gt;=0,FALSE),IFERROR(INT(MID(metadata!C678,9,1))&lt;=3,FALSE),NOT(MID(metadata!C678,10,1)=""),IFERROR(INT(MID(metadata!C678,9,2))&gt;=1,FALSE),IFERROR(INT(MID(metadata!C678,9,2))&lt;=31,FALSE)), OR(MID(metadata!C678,11,1)="", AND(AND(MID(metadata!C678,11,1)=" ",IFERROR(INT(MID(metadata!C678,12,1))&gt;=0,FALSE),IFERROR(INT(MID(metadata!C678,12,1))&lt;=2,FALSE),NOT(MID(metadata!C678,13,1)=""),IFERROR(INT(MID(metadata!C678,12,2))&gt;=0,FALSE),IFERROR(INT(MID(metadata!C678,12,2))&lt;=23,FALSE)), OR(MID(metadata!C678,14,1)="", AND(AND(MID(metadata!C678,14,1)=":",IFERROR(INT(MID(metadata!C678,15,1))&gt;=0,FALSE),IFERROR(INT(MID(metadata!C678,15,1))&lt;=5,FALSE),NOT(MID(metadata!C678,16,1)=""),IFERROR(INT(MID(metadata!C678,15,2))&gt;=0,FALSE),IFERROR(INT(MID(metadata!C678,15,2))&lt;=59,FALSE)), OR(MID(metadata!C678,17,1)="", AND(AND(MID(metadata!C678,17,1)=":",IFERROR(INT(MID(metadata!C678,18,1))&gt;=0,FALSE),IFERROR(INT(MID(metadata!C678,18,1))&lt;=5,FALSE),NOT(MID(metadata!C678,19,1)=""),IFERROR(INT(MID(metadata!C678,18,2))&gt;=0,FALSE),IFERROR(INT(MID(metadata!C678,18,2))&lt;=59,FALSE)), LEN(metadata!C678)&lt;=19)))))))))))))</f>
        <v>0</v>
      </c>
      <c r="AD678">
        <f>IF(metadata!D678="",FALSE,TRUE)</f>
        <v>0</v>
      </c>
      <c r="AE678">
        <f>OR(AND(IF(metadata!E678="",FALSE,TRUE),OR(exact(metadata!E678,"missing: not collected"),exact(metadata!E678,"missing: not provided"))),AND(IF(metadata!E678="",FALSE,TRUE),OR(exact(metadata!E678,"TRUE"),exact(metadata!E678,"FALSE"))))</f>
        <v>0</v>
      </c>
      <c r="AF678">
        <f>IF(metadata!F678="",FALSE,TRUE)</f>
        <v>0</v>
      </c>
      <c r="AG678">
        <f>IF(metadata!G678="",FALSE,TRUE)</f>
        <v>0</v>
      </c>
      <c r="AH678">
        <f>IF(metadata!H678="",FALSE,TRUE)</f>
        <v>0</v>
      </c>
      <c r="AI678">
        <f>OR(AND(IF(metadata!I678="",FALSE,TRUE),OR(exact(metadata!I678,"missing: not collected"),exact(metadata!I678,"missing: not provided"),exact(metadata!I678,"missing: restricted access"))),AND(IF(metadata!I678="",FALSE,TRUE),OR(exact(metadata!I678,"air"),exact(metadata!I678,"built environment"),exact(metadata!I678,"host-associated"),exact(metadata!I678,"human-associated"),exact(metadata!I678,"human-skin"),exact(metadata!I678,"human-oral"),exact(metadata!I678,"human-gut"),exact(metadata!I678,"human-vaginal"),exact(metadata!I678,"microbial mat/biofilm"),exact(metadata!I678,"misc environment"),exact(metadata!I678,"plant-associated"),exact(metadata!I678,"sediment"),exact(metadata!I678,"soil"),exact(metadata!I678,"wastewater/sludge"),exact(metadata!I678,"water"))))</f>
        <v>0</v>
      </c>
      <c r="AJ678">
        <f>IF(metadata!J678="",FALSE,TRUE)</f>
        <v>0</v>
      </c>
      <c r="AK678">
        <f>OR(AND(IF(metadata!K678="",FALSE,TRUE),OR(exact(metadata!K678,"missing: not collected"),exact(metadata!K678,"missing: not provided"),exact(metadata!K678,"missing: restricted access"))),AND(IF(metadata!K678="",FALSE,ISNUMBER(VALUE(metadata!K678))),metadata!K678&gt;=-90.00,metadata!K678&lt;=90.00))</f>
        <v>0</v>
      </c>
      <c r="AL678">
        <f>OR(AND(IF(metadata!L678="",FALSE,TRUE),OR(exact(metadata!L678,"missing: not collected"),exact(metadata!L678,"missing: not provided"),exact(metadata!L678,"missing: restricted access"))),AND(IF(metadata!L678="",FALSE,ISNUMBER(VALUE(metadata!L678))),metadata!L678&gt;=-180.00,metadata!L678&lt;=180.00))</f>
        <v>0</v>
      </c>
      <c r="AM678">
        <f>IF(metadata!M678="",FALSE,TRUE)</f>
        <v>0</v>
      </c>
      <c r="AN678">
        <f>OR(AND(IF(metadata!N678="",FALSE,TRUE),OR(exact(metadata!N678,"missing: not collected"),exact(metadata!N678,"missing: not provided"),exact(metadata!N678,"missing: restricted access"))),AND(IF(metadata!N678="",FALSE,TRUE),OR(exact(metadata!N678,"TRUE"),exact(metadata!N678,"FALSE"))))</f>
        <v>0</v>
      </c>
      <c r="AO678">
        <f>IF(metadata!O678="",FALSE,TRUE)</f>
        <v>0</v>
      </c>
      <c r="AP678">
        <f>OR(AND(IF(metadata!P678="",FALSE,TRUE),OR(exact(metadata!P678,"missing: not collected"),exact(metadata!P678,"missing: not provided"))),AND(IF(metadata!P678="",FALSE,IF(ISERROR(INT(metadata!P678)),FALSE,INT(metadata!P678)=metadata!P678)),metadata!P678&gt;0))</f>
        <v>0</v>
      </c>
      <c r="AQ678">
        <f>IF(metadata!Q678="",FALSE,TRUE)</f>
        <v>0</v>
      </c>
    </row>
    <row r="679" spans="1:43">
      <c r="A679" s="5">
        <f>IF(B679=" "," ",HYPERLINK(CONCATENATE("#metadata!",ADDRESS(INDEX($W$2:$W$1001,MATCH(ROWS($U$2:U679),$U$2:$U$1001,0),0),1)),INDEX($Z$2:$Z$1001,MATCH(ROWS($U$2:U679),$U$2:$U$1001,0),0)))</f>
        <v>0</v>
      </c>
      <c r="B679" s="4">
        <f>IF(OR(INDEX($V$2:$V$1001,MATCH(ROWS($U$2:U679),$U$2:$U$1001,0),1)&gt;=100000,INDEX($AB$1005:$AQ$1005,1,MATCH(COLUMNS($AB$1006:AB1006),$AB$1006:$AQ$1006,0))&gt;=100000), " ",IF(INDEX($AB$2:$AQ$1001,MATCH(ROWS($U$2:U679),$U$2:$U$1001,0),MATCH(COLUMNS($AB$1006:AB1006),$AB$1006:$AQ$1006,0)), HYPERLINK("#",""), HYPERLINK(CONCATENATE("#metadata!", ADDRESS(INDEX($W$2:$W$1001,MATCH(ROWS($U$2:U679),$U$2:$U$1001,0),0), INDEX($AB$1004:$AQ$1004,1,MATCH(COLUMNS($AB$1006:AB1006),$AB$1006:$AQ$1006,0)))),"Fix")))</f>
        <v>0</v>
      </c>
      <c r="C679" s="4">
        <f>IF(OR(INDEX($V$2:$V$1001,MATCH(ROWS($U$2:U679),$U$2:$U$1001,0),1)&gt;=100000,INDEX($AB$1005:$AQ$1005,1,MATCH(COLUMNS($AB$1006:AC1006),$AB$1006:$AQ$1006,0))&gt;=100000), " ",IF(INDEX($AB$2:$AQ$1001,MATCH(ROWS($U$2:U679),$U$2:$U$1001,0),MATCH(COLUMNS($AB$1006:AC1006),$AB$1006:$AQ$1006,0)), HYPERLINK("#",""), HYPERLINK(CONCATENATE("#metadata!", ADDRESS(INDEX($W$2:$W$1001,MATCH(ROWS($U$2:U679),$U$2:$U$1001,0),0), INDEX($AB$1004:$AQ$1004,1,MATCH(COLUMNS($AB$1006:AC1006),$AB$1006:$AQ$1006,0)))),"Fix")))</f>
        <v>0</v>
      </c>
      <c r="D679" s="4">
        <f>IF(OR(INDEX($V$2:$V$1001,MATCH(ROWS($U$2:U679),$U$2:$U$1001,0),1)&gt;=100000,INDEX($AB$1005:$AQ$1005,1,MATCH(COLUMNS($AB$1006:AD1006),$AB$1006:$AQ$1006,0))&gt;=100000), " ",IF(INDEX($AB$2:$AQ$1001,MATCH(ROWS($U$2:U679),$U$2:$U$1001,0),MATCH(COLUMNS($AB$1006:AD1006),$AB$1006:$AQ$1006,0)), HYPERLINK("#",""), HYPERLINK(CONCATENATE("#metadata!", ADDRESS(INDEX($W$2:$W$1001,MATCH(ROWS($U$2:U679),$U$2:$U$1001,0),0), INDEX($AB$1004:$AQ$1004,1,MATCH(COLUMNS($AB$1006:AD1006),$AB$1006:$AQ$1006,0)))),"Fix")))</f>
        <v>0</v>
      </c>
      <c r="E679" s="4">
        <f>IF(OR(INDEX($V$2:$V$1001,MATCH(ROWS($U$2:U679),$U$2:$U$1001,0),1)&gt;=100000,INDEX($AB$1005:$AQ$1005,1,MATCH(COLUMNS($AB$1006:AE1006),$AB$1006:$AQ$1006,0))&gt;=100000), " ",IF(INDEX($AB$2:$AQ$1001,MATCH(ROWS($U$2:U679),$U$2:$U$1001,0),MATCH(COLUMNS($AB$1006:AE1006),$AB$1006:$AQ$1006,0)), HYPERLINK("#",""), HYPERLINK(CONCATENATE("#metadata!", ADDRESS(INDEX($W$2:$W$1001,MATCH(ROWS($U$2:U679),$U$2:$U$1001,0),0), INDEX($AB$1004:$AQ$1004,1,MATCH(COLUMNS($AB$1006:AE1006),$AB$1006:$AQ$1006,0)))),"Fix")))</f>
        <v>0</v>
      </c>
      <c r="F679" s="4">
        <f>IF(OR(INDEX($V$2:$V$1001,MATCH(ROWS($U$2:U679),$U$2:$U$1001,0),1)&gt;=100000,INDEX($AB$1005:$AQ$1005,1,MATCH(COLUMNS($AB$1006:AF1006),$AB$1006:$AQ$1006,0))&gt;=100000), " ",IF(INDEX($AB$2:$AQ$1001,MATCH(ROWS($U$2:U679),$U$2:$U$1001,0),MATCH(COLUMNS($AB$1006:AF1006),$AB$1006:$AQ$1006,0)), HYPERLINK("#",""), HYPERLINK(CONCATENATE("#metadata!", ADDRESS(INDEX($W$2:$W$1001,MATCH(ROWS($U$2:U679),$U$2:$U$1001,0),0), INDEX($AB$1004:$AQ$1004,1,MATCH(COLUMNS($AB$1006:AF1006),$AB$1006:$AQ$1006,0)))),"Fix")))</f>
        <v>0</v>
      </c>
      <c r="G679" s="4">
        <f>IF(OR(INDEX($V$2:$V$1001,MATCH(ROWS($U$2:U679),$U$2:$U$1001,0),1)&gt;=100000,INDEX($AB$1005:$AQ$1005,1,MATCH(COLUMNS($AB$1006:AG1006),$AB$1006:$AQ$1006,0))&gt;=100000), " ",IF(INDEX($AB$2:$AQ$1001,MATCH(ROWS($U$2:U679),$U$2:$U$1001,0),MATCH(COLUMNS($AB$1006:AG1006),$AB$1006:$AQ$1006,0)), HYPERLINK("#",""), HYPERLINK(CONCATENATE("#metadata!", ADDRESS(INDEX($W$2:$W$1001,MATCH(ROWS($U$2:U679),$U$2:$U$1001,0),0), INDEX($AB$1004:$AQ$1004,1,MATCH(COLUMNS($AB$1006:AG1006),$AB$1006:$AQ$1006,0)))),"Fix")))</f>
        <v>0</v>
      </c>
      <c r="H679" s="4">
        <f>IF(OR(INDEX($V$2:$V$1001,MATCH(ROWS($U$2:U679),$U$2:$U$1001,0),1)&gt;=100000,INDEX($AB$1005:$AQ$1005,1,MATCH(COLUMNS($AB$1006:AH1006),$AB$1006:$AQ$1006,0))&gt;=100000), " ",IF(INDEX($AB$2:$AQ$1001,MATCH(ROWS($U$2:U679),$U$2:$U$1001,0),MATCH(COLUMNS($AB$1006:AH1006),$AB$1006:$AQ$1006,0)), HYPERLINK("#",""), HYPERLINK(CONCATENATE("#metadata!", ADDRESS(INDEX($W$2:$W$1001,MATCH(ROWS($U$2:U679),$U$2:$U$1001,0),0), INDEX($AB$1004:$AQ$1004,1,MATCH(COLUMNS($AB$1006:AH1006),$AB$1006:$AQ$1006,0)))),"Fix")))</f>
        <v>0</v>
      </c>
      <c r="I679" s="4">
        <f>IF(OR(INDEX($V$2:$V$1001,MATCH(ROWS($U$2:U679),$U$2:$U$1001,0),1)&gt;=100000,INDEX($AB$1005:$AQ$1005,1,MATCH(COLUMNS($AB$1006:AI1006),$AB$1006:$AQ$1006,0))&gt;=100000), " ",IF(INDEX($AB$2:$AQ$1001,MATCH(ROWS($U$2:U679),$U$2:$U$1001,0),MATCH(COLUMNS($AB$1006:AI1006),$AB$1006:$AQ$1006,0)), HYPERLINK("#",""), HYPERLINK(CONCATENATE("#metadata!", ADDRESS(INDEX($W$2:$W$1001,MATCH(ROWS($U$2:U679),$U$2:$U$1001,0),0), INDEX($AB$1004:$AQ$1004,1,MATCH(COLUMNS($AB$1006:AI1006),$AB$1006:$AQ$1006,0)))),"Fix")))</f>
        <v>0</v>
      </c>
      <c r="J679" s="4">
        <f>IF(OR(INDEX($V$2:$V$1001,MATCH(ROWS($U$2:U679),$U$2:$U$1001,0),1)&gt;=100000,INDEX($AB$1005:$AQ$1005,1,MATCH(COLUMNS($AB$1006:AJ1006),$AB$1006:$AQ$1006,0))&gt;=100000), " ",IF(INDEX($AB$2:$AQ$1001,MATCH(ROWS($U$2:U679),$U$2:$U$1001,0),MATCH(COLUMNS($AB$1006:AJ1006),$AB$1006:$AQ$1006,0)), HYPERLINK("#",""), HYPERLINK(CONCATENATE("#metadata!", ADDRESS(INDEX($W$2:$W$1001,MATCH(ROWS($U$2:U679),$U$2:$U$1001,0),0), INDEX($AB$1004:$AQ$1004,1,MATCH(COLUMNS($AB$1006:AJ1006),$AB$1006:$AQ$1006,0)))),"Fix")))</f>
        <v>0</v>
      </c>
      <c r="K679" s="4">
        <f>IF(OR(INDEX($V$2:$V$1001,MATCH(ROWS($U$2:U679),$U$2:$U$1001,0),1)&gt;=100000,INDEX($AB$1005:$AQ$1005,1,MATCH(COLUMNS($AB$1006:AK1006),$AB$1006:$AQ$1006,0))&gt;=100000), " ",IF(INDEX($AB$2:$AQ$1001,MATCH(ROWS($U$2:U679),$U$2:$U$1001,0),MATCH(COLUMNS($AB$1006:AK1006),$AB$1006:$AQ$1006,0)), HYPERLINK("#",""), HYPERLINK(CONCATENATE("#metadata!", ADDRESS(INDEX($W$2:$W$1001,MATCH(ROWS($U$2:U679),$U$2:$U$1001,0),0), INDEX($AB$1004:$AQ$1004,1,MATCH(COLUMNS($AB$1006:AK1006),$AB$1006:$AQ$1006,0)))),"Fix")))</f>
        <v>0</v>
      </c>
      <c r="L679" s="4">
        <f>IF(OR(INDEX($V$2:$V$1001,MATCH(ROWS($U$2:U679),$U$2:$U$1001,0),1)&gt;=100000,INDEX($AB$1005:$AQ$1005,1,MATCH(COLUMNS($AB$1006:AL1006),$AB$1006:$AQ$1006,0))&gt;=100000), " ",IF(INDEX($AB$2:$AQ$1001,MATCH(ROWS($U$2:U679),$U$2:$U$1001,0),MATCH(COLUMNS($AB$1006:AL1006),$AB$1006:$AQ$1006,0)), HYPERLINK("#",""), HYPERLINK(CONCATENATE("#metadata!", ADDRESS(INDEX($W$2:$W$1001,MATCH(ROWS($U$2:U679),$U$2:$U$1001,0),0), INDEX($AB$1004:$AQ$1004,1,MATCH(COLUMNS($AB$1006:AL1006),$AB$1006:$AQ$1006,0)))),"Fix")))</f>
        <v>0</v>
      </c>
      <c r="M679" s="4">
        <f>IF(OR(INDEX($V$2:$V$1001,MATCH(ROWS($U$2:U679),$U$2:$U$1001,0),1)&gt;=100000,INDEX($AB$1005:$AQ$1005,1,MATCH(COLUMNS($AB$1006:AM1006),$AB$1006:$AQ$1006,0))&gt;=100000), " ",IF(INDEX($AB$2:$AQ$1001,MATCH(ROWS($U$2:U679),$U$2:$U$1001,0),MATCH(COLUMNS($AB$1006:AM1006),$AB$1006:$AQ$1006,0)), HYPERLINK("#",""), HYPERLINK(CONCATENATE("#metadata!", ADDRESS(INDEX($W$2:$W$1001,MATCH(ROWS($U$2:U679),$U$2:$U$1001,0),0), INDEX($AB$1004:$AQ$1004,1,MATCH(COLUMNS($AB$1006:AM1006),$AB$1006:$AQ$1006,0)))),"Fix")))</f>
        <v>0</v>
      </c>
      <c r="N679" s="4">
        <f>IF(OR(INDEX($V$2:$V$1001,MATCH(ROWS($U$2:U679),$U$2:$U$1001,0),1)&gt;=100000,INDEX($AB$1005:$AQ$1005,1,MATCH(COLUMNS($AB$1006:AN1006),$AB$1006:$AQ$1006,0))&gt;=100000), " ",IF(INDEX($AB$2:$AQ$1001,MATCH(ROWS($U$2:U679),$U$2:$U$1001,0),MATCH(COLUMNS($AB$1006:AN1006),$AB$1006:$AQ$1006,0)), HYPERLINK("#",""), HYPERLINK(CONCATENATE("#metadata!", ADDRESS(INDEX($W$2:$W$1001,MATCH(ROWS($U$2:U679),$U$2:$U$1001,0),0), INDEX($AB$1004:$AQ$1004,1,MATCH(COLUMNS($AB$1006:AN1006),$AB$1006:$AQ$1006,0)))),"Fix")))</f>
        <v>0</v>
      </c>
      <c r="O679" s="4">
        <f>IF(OR(INDEX($V$2:$V$1001,MATCH(ROWS($U$2:U679),$U$2:$U$1001,0),1)&gt;=100000,INDEX($AB$1005:$AQ$1005,1,MATCH(COLUMNS($AB$1006:AO1006),$AB$1006:$AQ$1006,0))&gt;=100000), " ",IF(INDEX($AB$2:$AQ$1001,MATCH(ROWS($U$2:U679),$U$2:$U$1001,0),MATCH(COLUMNS($AB$1006:AO1006),$AB$1006:$AQ$1006,0)), HYPERLINK("#",""), HYPERLINK(CONCATENATE("#metadata!", ADDRESS(INDEX($W$2:$W$1001,MATCH(ROWS($U$2:U679),$U$2:$U$1001,0),0), INDEX($AB$1004:$AQ$1004,1,MATCH(COLUMNS($AB$1006:AO1006),$AB$1006:$AQ$1006,0)))),"Fix")))</f>
        <v>0</v>
      </c>
      <c r="P679" s="4">
        <f>IF(OR(INDEX($V$2:$V$1001,MATCH(ROWS($U$2:U679),$U$2:$U$1001,0),1)&gt;=100000,INDEX($AB$1005:$AQ$1005,1,MATCH(COLUMNS($AB$1006:AP1006),$AB$1006:$AQ$1006,0))&gt;=100000), " ",IF(INDEX($AB$2:$AQ$1001,MATCH(ROWS($U$2:U679),$U$2:$U$1001,0),MATCH(COLUMNS($AB$1006:AP1006),$AB$1006:$AQ$1006,0)), HYPERLINK("#",""), HYPERLINK(CONCATENATE("#metadata!", ADDRESS(INDEX($W$2:$W$1001,MATCH(ROWS($U$2:U679),$U$2:$U$1001,0),0), INDEX($AB$1004:$AQ$1004,1,MATCH(COLUMNS($AB$1006:AP1006),$AB$1006:$AQ$1006,0)))),"Fix")))</f>
        <v>0</v>
      </c>
      <c r="Q679" s="4">
        <f>IF(OR(INDEX($V$2:$V$1001,MATCH(ROWS($U$2:U679),$U$2:$U$1001,0),1)&gt;=100000,INDEX($AB$1005:$AQ$1005,1,MATCH(COLUMNS($AB$1006:AQ1006),$AB$1006:$AQ$1006,0))&gt;=100000), " ",IF(INDEX($AB$2:$AQ$1001,MATCH(ROWS($U$2:U679),$U$2:$U$1001,0),MATCH(COLUMNS($AB$1006:AQ1006),$AB$1006:$AQ$1006,0)), HYPERLINK("#",""), HYPERLINK(CONCATENATE("#metadata!", ADDRESS(INDEX($W$2:$W$1001,MATCH(ROWS($U$2:U679),$U$2:$U$1001,0),0), INDEX($AB$1004:$AQ$1004,1,MATCH(COLUMNS($AB$1006:AQ1006),$AB$1006:$AQ$1006,0)))),"Fix")))</f>
        <v>0</v>
      </c>
      <c r="U679">
        <v>0</v>
      </c>
      <c r="V679">
        <v>0</v>
      </c>
      <c r="W679">
        <v>0</v>
      </c>
      <c r="X679">
        <f>IF(Y679,TRUE,AND(AB679:AQ679))</f>
        <v>0</v>
      </c>
      <c r="Y679">
        <f>COUNTBLANK(metadata!B679:Q679)=COLUMNS(metadata!B679:Q679)</f>
        <v>0</v>
      </c>
      <c r="Z679">
        <v>0</v>
      </c>
      <c r="AB679">
        <f>AND(IF(metadata!B679="",FALSE,TRUE),COUNTIF(metadata!B:B, metadata!B679) = 1,NOT(ISERROR(SUMPRODUCT(SEARCH(MID(metadata!B679,ROW(INDIRECT("1:"&amp;LEN(metadata!B679))), 1),"0123456789abcdefghijklmnopqrstuvwxyzABCDEFGHIJKLMNOPQRSTUVWXYZ.")))))</f>
        <v>0</v>
      </c>
      <c r="AC679">
        <f>OR(AND(IF(metadata!C679="",FALSE,TRUE),OR(exact(metadata!C679,"missing: not collected"),exact(metadata!C679,"missing: not provided"),exact(metadata!C679,"missing: restricted access"))),AND(IF(metadata!C679="",FALSE,TRUE),AND(AND(IFERROR(INT(LEFT(metadata!C679,4))&gt;1900,FALSE),IFERROR(INT(LEFT(metadata!C679,4))&lt;=YEAR(NOW()),FALSE)), OR(MID(metadata!C679,5,1)="", AND(AND(MID(metadata!C679,5,1)="-",IFERROR(INT(MID(metadata!C679,6,1))&gt;=0,FALSE),IFERROR(INT(MID(metadata!C679,6,1))&lt;=1,FALSE),NOT(MID(metadata!C679,7,1)=""),IFERROR(INT(MID(metadata!C679,6,2))&gt;=1,FALSE),IFERROR(INT(MID(metadata!C679,6,2))&lt;=12,FALSE)), OR(MID(metadata!C679,8,1)="", AND(AND(MID(metadata!C679,8,1)="-",IFERROR(INT(MID(metadata!C679,9,1))&gt;=0,FALSE),IFERROR(INT(MID(metadata!C679,9,1))&lt;=3,FALSE),NOT(MID(metadata!C679,10,1)=""),IFERROR(INT(MID(metadata!C679,9,2))&gt;=1,FALSE),IFERROR(INT(MID(metadata!C679,9,2))&lt;=31,FALSE)), OR(MID(metadata!C679,11,1)="", AND(AND(MID(metadata!C679,11,1)=" ",IFERROR(INT(MID(metadata!C679,12,1))&gt;=0,FALSE),IFERROR(INT(MID(metadata!C679,12,1))&lt;=2,FALSE),NOT(MID(metadata!C679,13,1)=""),IFERROR(INT(MID(metadata!C679,12,2))&gt;=0,FALSE),IFERROR(INT(MID(metadata!C679,12,2))&lt;=23,FALSE)), OR(MID(metadata!C679,14,1)="", AND(AND(MID(metadata!C679,14,1)=":",IFERROR(INT(MID(metadata!C679,15,1))&gt;=0,FALSE),IFERROR(INT(MID(metadata!C679,15,1))&lt;=5,FALSE),NOT(MID(metadata!C679,16,1)=""),IFERROR(INT(MID(metadata!C679,15,2))&gt;=0,FALSE),IFERROR(INT(MID(metadata!C679,15,2))&lt;=59,FALSE)), OR(MID(metadata!C679,17,1)="", AND(AND(MID(metadata!C679,17,1)=":",IFERROR(INT(MID(metadata!C679,18,1))&gt;=0,FALSE),IFERROR(INT(MID(metadata!C679,18,1))&lt;=5,FALSE),NOT(MID(metadata!C679,19,1)=""),IFERROR(INT(MID(metadata!C679,18,2))&gt;=0,FALSE),IFERROR(INT(MID(metadata!C679,18,2))&lt;=59,FALSE)), LEN(metadata!C679)&lt;=19)))))))))))))</f>
        <v>0</v>
      </c>
      <c r="AD679">
        <f>IF(metadata!D679="",FALSE,TRUE)</f>
        <v>0</v>
      </c>
      <c r="AE679">
        <f>OR(AND(IF(metadata!E679="",FALSE,TRUE),OR(exact(metadata!E679,"missing: not collected"),exact(metadata!E679,"missing: not provided"))),AND(IF(metadata!E679="",FALSE,TRUE),OR(exact(metadata!E679,"TRUE"),exact(metadata!E679,"FALSE"))))</f>
        <v>0</v>
      </c>
      <c r="AF679">
        <f>IF(metadata!F679="",FALSE,TRUE)</f>
        <v>0</v>
      </c>
      <c r="AG679">
        <f>IF(metadata!G679="",FALSE,TRUE)</f>
        <v>0</v>
      </c>
      <c r="AH679">
        <f>IF(metadata!H679="",FALSE,TRUE)</f>
        <v>0</v>
      </c>
      <c r="AI679">
        <f>OR(AND(IF(metadata!I679="",FALSE,TRUE),OR(exact(metadata!I679,"missing: not collected"),exact(metadata!I679,"missing: not provided"),exact(metadata!I679,"missing: restricted access"))),AND(IF(metadata!I679="",FALSE,TRUE),OR(exact(metadata!I679,"air"),exact(metadata!I679,"built environment"),exact(metadata!I679,"host-associated"),exact(metadata!I679,"human-associated"),exact(metadata!I679,"human-skin"),exact(metadata!I679,"human-oral"),exact(metadata!I679,"human-gut"),exact(metadata!I679,"human-vaginal"),exact(metadata!I679,"microbial mat/biofilm"),exact(metadata!I679,"misc environment"),exact(metadata!I679,"plant-associated"),exact(metadata!I679,"sediment"),exact(metadata!I679,"soil"),exact(metadata!I679,"wastewater/sludge"),exact(metadata!I679,"water"))))</f>
        <v>0</v>
      </c>
      <c r="AJ679">
        <f>IF(metadata!J679="",FALSE,TRUE)</f>
        <v>0</v>
      </c>
      <c r="AK679">
        <f>OR(AND(IF(metadata!K679="",FALSE,TRUE),OR(exact(metadata!K679,"missing: not collected"),exact(metadata!K679,"missing: not provided"),exact(metadata!K679,"missing: restricted access"))),AND(IF(metadata!K679="",FALSE,ISNUMBER(VALUE(metadata!K679))),metadata!K679&gt;=-90.00,metadata!K679&lt;=90.00))</f>
        <v>0</v>
      </c>
      <c r="AL679">
        <f>OR(AND(IF(metadata!L679="",FALSE,TRUE),OR(exact(metadata!L679,"missing: not collected"),exact(metadata!L679,"missing: not provided"),exact(metadata!L679,"missing: restricted access"))),AND(IF(metadata!L679="",FALSE,ISNUMBER(VALUE(metadata!L679))),metadata!L679&gt;=-180.00,metadata!L679&lt;=180.00))</f>
        <v>0</v>
      </c>
      <c r="AM679">
        <f>IF(metadata!M679="",FALSE,TRUE)</f>
        <v>0</v>
      </c>
      <c r="AN679">
        <f>OR(AND(IF(metadata!N679="",FALSE,TRUE),OR(exact(metadata!N679,"missing: not collected"),exact(metadata!N679,"missing: not provided"),exact(metadata!N679,"missing: restricted access"))),AND(IF(metadata!N679="",FALSE,TRUE),OR(exact(metadata!N679,"TRUE"),exact(metadata!N679,"FALSE"))))</f>
        <v>0</v>
      </c>
      <c r="AO679">
        <f>IF(metadata!O679="",FALSE,TRUE)</f>
        <v>0</v>
      </c>
      <c r="AP679">
        <f>OR(AND(IF(metadata!P679="",FALSE,TRUE),OR(exact(metadata!P679,"missing: not collected"),exact(metadata!P679,"missing: not provided"))),AND(IF(metadata!P679="",FALSE,IF(ISERROR(INT(metadata!P679)),FALSE,INT(metadata!P679)=metadata!P679)),metadata!P679&gt;0))</f>
        <v>0</v>
      </c>
      <c r="AQ679">
        <f>IF(metadata!Q679="",FALSE,TRUE)</f>
        <v>0</v>
      </c>
    </row>
    <row r="680" spans="1:43">
      <c r="A680" s="5">
        <f>IF(B680=" "," ",HYPERLINK(CONCATENATE("#metadata!",ADDRESS(INDEX($W$2:$W$1001,MATCH(ROWS($U$2:U680),$U$2:$U$1001,0),0),1)),INDEX($Z$2:$Z$1001,MATCH(ROWS($U$2:U680),$U$2:$U$1001,0),0)))</f>
        <v>0</v>
      </c>
      <c r="B680" s="4">
        <f>IF(OR(INDEX($V$2:$V$1001,MATCH(ROWS($U$2:U680),$U$2:$U$1001,0),1)&gt;=100000,INDEX($AB$1005:$AQ$1005,1,MATCH(COLUMNS($AB$1006:AB1006),$AB$1006:$AQ$1006,0))&gt;=100000), " ",IF(INDEX($AB$2:$AQ$1001,MATCH(ROWS($U$2:U680),$U$2:$U$1001,0),MATCH(COLUMNS($AB$1006:AB1006),$AB$1006:$AQ$1006,0)), HYPERLINK("#",""), HYPERLINK(CONCATENATE("#metadata!", ADDRESS(INDEX($W$2:$W$1001,MATCH(ROWS($U$2:U680),$U$2:$U$1001,0),0), INDEX($AB$1004:$AQ$1004,1,MATCH(COLUMNS($AB$1006:AB1006),$AB$1006:$AQ$1006,0)))),"Fix")))</f>
        <v>0</v>
      </c>
      <c r="C680" s="4">
        <f>IF(OR(INDEX($V$2:$V$1001,MATCH(ROWS($U$2:U680),$U$2:$U$1001,0),1)&gt;=100000,INDEX($AB$1005:$AQ$1005,1,MATCH(COLUMNS($AB$1006:AC1006),$AB$1006:$AQ$1006,0))&gt;=100000), " ",IF(INDEX($AB$2:$AQ$1001,MATCH(ROWS($U$2:U680),$U$2:$U$1001,0),MATCH(COLUMNS($AB$1006:AC1006),$AB$1006:$AQ$1006,0)), HYPERLINK("#",""), HYPERLINK(CONCATENATE("#metadata!", ADDRESS(INDEX($W$2:$W$1001,MATCH(ROWS($U$2:U680),$U$2:$U$1001,0),0), INDEX($AB$1004:$AQ$1004,1,MATCH(COLUMNS($AB$1006:AC1006),$AB$1006:$AQ$1006,0)))),"Fix")))</f>
        <v>0</v>
      </c>
      <c r="D680" s="4">
        <f>IF(OR(INDEX($V$2:$V$1001,MATCH(ROWS($U$2:U680),$U$2:$U$1001,0),1)&gt;=100000,INDEX($AB$1005:$AQ$1005,1,MATCH(COLUMNS($AB$1006:AD1006),$AB$1006:$AQ$1006,0))&gt;=100000), " ",IF(INDEX($AB$2:$AQ$1001,MATCH(ROWS($U$2:U680),$U$2:$U$1001,0),MATCH(COLUMNS($AB$1006:AD1006),$AB$1006:$AQ$1006,0)), HYPERLINK("#",""), HYPERLINK(CONCATENATE("#metadata!", ADDRESS(INDEX($W$2:$W$1001,MATCH(ROWS($U$2:U680),$U$2:$U$1001,0),0), INDEX($AB$1004:$AQ$1004,1,MATCH(COLUMNS($AB$1006:AD1006),$AB$1006:$AQ$1006,0)))),"Fix")))</f>
        <v>0</v>
      </c>
      <c r="E680" s="4">
        <f>IF(OR(INDEX($V$2:$V$1001,MATCH(ROWS($U$2:U680),$U$2:$U$1001,0),1)&gt;=100000,INDEX($AB$1005:$AQ$1005,1,MATCH(COLUMNS($AB$1006:AE1006),$AB$1006:$AQ$1006,0))&gt;=100000), " ",IF(INDEX($AB$2:$AQ$1001,MATCH(ROWS($U$2:U680),$U$2:$U$1001,0),MATCH(COLUMNS($AB$1006:AE1006),$AB$1006:$AQ$1006,0)), HYPERLINK("#",""), HYPERLINK(CONCATENATE("#metadata!", ADDRESS(INDEX($W$2:$W$1001,MATCH(ROWS($U$2:U680),$U$2:$U$1001,0),0), INDEX($AB$1004:$AQ$1004,1,MATCH(COLUMNS($AB$1006:AE1006),$AB$1006:$AQ$1006,0)))),"Fix")))</f>
        <v>0</v>
      </c>
      <c r="F680" s="4">
        <f>IF(OR(INDEX($V$2:$V$1001,MATCH(ROWS($U$2:U680),$U$2:$U$1001,0),1)&gt;=100000,INDEX($AB$1005:$AQ$1005,1,MATCH(COLUMNS($AB$1006:AF1006),$AB$1006:$AQ$1006,0))&gt;=100000), " ",IF(INDEX($AB$2:$AQ$1001,MATCH(ROWS($U$2:U680),$U$2:$U$1001,0),MATCH(COLUMNS($AB$1006:AF1006),$AB$1006:$AQ$1006,0)), HYPERLINK("#",""), HYPERLINK(CONCATENATE("#metadata!", ADDRESS(INDEX($W$2:$W$1001,MATCH(ROWS($U$2:U680),$U$2:$U$1001,0),0), INDEX($AB$1004:$AQ$1004,1,MATCH(COLUMNS($AB$1006:AF1006),$AB$1006:$AQ$1006,0)))),"Fix")))</f>
        <v>0</v>
      </c>
      <c r="G680" s="4">
        <f>IF(OR(INDEX($V$2:$V$1001,MATCH(ROWS($U$2:U680),$U$2:$U$1001,0),1)&gt;=100000,INDEX($AB$1005:$AQ$1005,1,MATCH(COLUMNS($AB$1006:AG1006),$AB$1006:$AQ$1006,0))&gt;=100000), " ",IF(INDEX($AB$2:$AQ$1001,MATCH(ROWS($U$2:U680),$U$2:$U$1001,0),MATCH(COLUMNS($AB$1006:AG1006),$AB$1006:$AQ$1006,0)), HYPERLINK("#",""), HYPERLINK(CONCATENATE("#metadata!", ADDRESS(INDEX($W$2:$W$1001,MATCH(ROWS($U$2:U680),$U$2:$U$1001,0),0), INDEX($AB$1004:$AQ$1004,1,MATCH(COLUMNS($AB$1006:AG1006),$AB$1006:$AQ$1006,0)))),"Fix")))</f>
        <v>0</v>
      </c>
      <c r="H680" s="4">
        <f>IF(OR(INDEX($V$2:$V$1001,MATCH(ROWS($U$2:U680),$U$2:$U$1001,0),1)&gt;=100000,INDEX($AB$1005:$AQ$1005,1,MATCH(COLUMNS($AB$1006:AH1006),$AB$1006:$AQ$1006,0))&gt;=100000), " ",IF(INDEX($AB$2:$AQ$1001,MATCH(ROWS($U$2:U680),$U$2:$U$1001,0),MATCH(COLUMNS($AB$1006:AH1006),$AB$1006:$AQ$1006,0)), HYPERLINK("#",""), HYPERLINK(CONCATENATE("#metadata!", ADDRESS(INDEX($W$2:$W$1001,MATCH(ROWS($U$2:U680),$U$2:$U$1001,0),0), INDEX($AB$1004:$AQ$1004,1,MATCH(COLUMNS($AB$1006:AH1006),$AB$1006:$AQ$1006,0)))),"Fix")))</f>
        <v>0</v>
      </c>
      <c r="I680" s="4">
        <f>IF(OR(INDEX($V$2:$V$1001,MATCH(ROWS($U$2:U680),$U$2:$U$1001,0),1)&gt;=100000,INDEX($AB$1005:$AQ$1005,1,MATCH(COLUMNS($AB$1006:AI1006),$AB$1006:$AQ$1006,0))&gt;=100000), " ",IF(INDEX($AB$2:$AQ$1001,MATCH(ROWS($U$2:U680),$U$2:$U$1001,0),MATCH(COLUMNS($AB$1006:AI1006),$AB$1006:$AQ$1006,0)), HYPERLINK("#",""), HYPERLINK(CONCATENATE("#metadata!", ADDRESS(INDEX($W$2:$W$1001,MATCH(ROWS($U$2:U680),$U$2:$U$1001,0),0), INDEX($AB$1004:$AQ$1004,1,MATCH(COLUMNS($AB$1006:AI1006),$AB$1006:$AQ$1006,0)))),"Fix")))</f>
        <v>0</v>
      </c>
      <c r="J680" s="4">
        <f>IF(OR(INDEX($V$2:$V$1001,MATCH(ROWS($U$2:U680),$U$2:$U$1001,0),1)&gt;=100000,INDEX($AB$1005:$AQ$1005,1,MATCH(COLUMNS($AB$1006:AJ1006),$AB$1006:$AQ$1006,0))&gt;=100000), " ",IF(INDEX($AB$2:$AQ$1001,MATCH(ROWS($U$2:U680),$U$2:$U$1001,0),MATCH(COLUMNS($AB$1006:AJ1006),$AB$1006:$AQ$1006,0)), HYPERLINK("#",""), HYPERLINK(CONCATENATE("#metadata!", ADDRESS(INDEX($W$2:$W$1001,MATCH(ROWS($U$2:U680),$U$2:$U$1001,0),0), INDEX($AB$1004:$AQ$1004,1,MATCH(COLUMNS($AB$1006:AJ1006),$AB$1006:$AQ$1006,0)))),"Fix")))</f>
        <v>0</v>
      </c>
      <c r="K680" s="4">
        <f>IF(OR(INDEX($V$2:$V$1001,MATCH(ROWS($U$2:U680),$U$2:$U$1001,0),1)&gt;=100000,INDEX($AB$1005:$AQ$1005,1,MATCH(COLUMNS($AB$1006:AK1006),$AB$1006:$AQ$1006,0))&gt;=100000), " ",IF(INDEX($AB$2:$AQ$1001,MATCH(ROWS($U$2:U680),$U$2:$U$1001,0),MATCH(COLUMNS($AB$1006:AK1006),$AB$1006:$AQ$1006,0)), HYPERLINK("#",""), HYPERLINK(CONCATENATE("#metadata!", ADDRESS(INDEX($W$2:$W$1001,MATCH(ROWS($U$2:U680),$U$2:$U$1001,0),0), INDEX($AB$1004:$AQ$1004,1,MATCH(COLUMNS($AB$1006:AK1006),$AB$1006:$AQ$1006,0)))),"Fix")))</f>
        <v>0</v>
      </c>
      <c r="L680" s="4">
        <f>IF(OR(INDEX($V$2:$V$1001,MATCH(ROWS($U$2:U680),$U$2:$U$1001,0),1)&gt;=100000,INDEX($AB$1005:$AQ$1005,1,MATCH(COLUMNS($AB$1006:AL1006),$AB$1006:$AQ$1006,0))&gt;=100000), " ",IF(INDEX($AB$2:$AQ$1001,MATCH(ROWS($U$2:U680),$U$2:$U$1001,0),MATCH(COLUMNS($AB$1006:AL1006),$AB$1006:$AQ$1006,0)), HYPERLINK("#",""), HYPERLINK(CONCATENATE("#metadata!", ADDRESS(INDEX($W$2:$W$1001,MATCH(ROWS($U$2:U680),$U$2:$U$1001,0),0), INDEX($AB$1004:$AQ$1004,1,MATCH(COLUMNS($AB$1006:AL1006),$AB$1006:$AQ$1006,0)))),"Fix")))</f>
        <v>0</v>
      </c>
      <c r="M680" s="4">
        <f>IF(OR(INDEX($V$2:$V$1001,MATCH(ROWS($U$2:U680),$U$2:$U$1001,0),1)&gt;=100000,INDEX($AB$1005:$AQ$1005,1,MATCH(COLUMNS($AB$1006:AM1006),$AB$1006:$AQ$1006,0))&gt;=100000), " ",IF(INDEX($AB$2:$AQ$1001,MATCH(ROWS($U$2:U680),$U$2:$U$1001,0),MATCH(COLUMNS($AB$1006:AM1006),$AB$1006:$AQ$1006,0)), HYPERLINK("#",""), HYPERLINK(CONCATENATE("#metadata!", ADDRESS(INDEX($W$2:$W$1001,MATCH(ROWS($U$2:U680),$U$2:$U$1001,0),0), INDEX($AB$1004:$AQ$1004,1,MATCH(COLUMNS($AB$1006:AM1006),$AB$1006:$AQ$1006,0)))),"Fix")))</f>
        <v>0</v>
      </c>
      <c r="N680" s="4">
        <f>IF(OR(INDEX($V$2:$V$1001,MATCH(ROWS($U$2:U680),$U$2:$U$1001,0),1)&gt;=100000,INDEX($AB$1005:$AQ$1005,1,MATCH(COLUMNS($AB$1006:AN1006),$AB$1006:$AQ$1006,0))&gt;=100000), " ",IF(INDEX($AB$2:$AQ$1001,MATCH(ROWS($U$2:U680),$U$2:$U$1001,0),MATCH(COLUMNS($AB$1006:AN1006),$AB$1006:$AQ$1006,0)), HYPERLINK("#",""), HYPERLINK(CONCATENATE("#metadata!", ADDRESS(INDEX($W$2:$W$1001,MATCH(ROWS($U$2:U680),$U$2:$U$1001,0),0), INDEX($AB$1004:$AQ$1004,1,MATCH(COLUMNS($AB$1006:AN1006),$AB$1006:$AQ$1006,0)))),"Fix")))</f>
        <v>0</v>
      </c>
      <c r="O680" s="4">
        <f>IF(OR(INDEX($V$2:$V$1001,MATCH(ROWS($U$2:U680),$U$2:$U$1001,0),1)&gt;=100000,INDEX($AB$1005:$AQ$1005,1,MATCH(COLUMNS($AB$1006:AO1006),$AB$1006:$AQ$1006,0))&gt;=100000), " ",IF(INDEX($AB$2:$AQ$1001,MATCH(ROWS($U$2:U680),$U$2:$U$1001,0),MATCH(COLUMNS($AB$1006:AO1006),$AB$1006:$AQ$1006,0)), HYPERLINK("#",""), HYPERLINK(CONCATENATE("#metadata!", ADDRESS(INDEX($W$2:$W$1001,MATCH(ROWS($U$2:U680),$U$2:$U$1001,0),0), INDEX($AB$1004:$AQ$1004,1,MATCH(COLUMNS($AB$1006:AO1006),$AB$1006:$AQ$1006,0)))),"Fix")))</f>
        <v>0</v>
      </c>
      <c r="P680" s="4">
        <f>IF(OR(INDEX($V$2:$V$1001,MATCH(ROWS($U$2:U680),$U$2:$U$1001,0),1)&gt;=100000,INDEX($AB$1005:$AQ$1005,1,MATCH(COLUMNS($AB$1006:AP1006),$AB$1006:$AQ$1006,0))&gt;=100000), " ",IF(INDEX($AB$2:$AQ$1001,MATCH(ROWS($U$2:U680),$U$2:$U$1001,0),MATCH(COLUMNS($AB$1006:AP1006),$AB$1006:$AQ$1006,0)), HYPERLINK("#",""), HYPERLINK(CONCATENATE("#metadata!", ADDRESS(INDEX($W$2:$W$1001,MATCH(ROWS($U$2:U680),$U$2:$U$1001,0),0), INDEX($AB$1004:$AQ$1004,1,MATCH(COLUMNS($AB$1006:AP1006),$AB$1006:$AQ$1006,0)))),"Fix")))</f>
        <v>0</v>
      </c>
      <c r="Q680" s="4">
        <f>IF(OR(INDEX($V$2:$V$1001,MATCH(ROWS($U$2:U680),$U$2:$U$1001,0),1)&gt;=100000,INDEX($AB$1005:$AQ$1005,1,MATCH(COLUMNS($AB$1006:AQ1006),$AB$1006:$AQ$1006,0))&gt;=100000), " ",IF(INDEX($AB$2:$AQ$1001,MATCH(ROWS($U$2:U680),$U$2:$U$1001,0),MATCH(COLUMNS($AB$1006:AQ1006),$AB$1006:$AQ$1006,0)), HYPERLINK("#",""), HYPERLINK(CONCATENATE("#metadata!", ADDRESS(INDEX($W$2:$W$1001,MATCH(ROWS($U$2:U680),$U$2:$U$1001,0),0), INDEX($AB$1004:$AQ$1004,1,MATCH(COLUMNS($AB$1006:AQ1006),$AB$1006:$AQ$1006,0)))),"Fix")))</f>
        <v>0</v>
      </c>
      <c r="U680">
        <v>0</v>
      </c>
      <c r="V680">
        <v>0</v>
      </c>
      <c r="W680">
        <v>0</v>
      </c>
      <c r="X680">
        <f>IF(Y680,TRUE,AND(AB680:AQ680))</f>
        <v>0</v>
      </c>
      <c r="Y680">
        <f>COUNTBLANK(metadata!B680:Q680)=COLUMNS(metadata!B680:Q680)</f>
        <v>0</v>
      </c>
      <c r="Z680">
        <v>0</v>
      </c>
      <c r="AB680">
        <f>AND(IF(metadata!B680="",FALSE,TRUE),COUNTIF(metadata!B:B, metadata!B680) = 1,NOT(ISERROR(SUMPRODUCT(SEARCH(MID(metadata!B680,ROW(INDIRECT("1:"&amp;LEN(metadata!B680))), 1),"0123456789abcdefghijklmnopqrstuvwxyzABCDEFGHIJKLMNOPQRSTUVWXYZ.")))))</f>
        <v>0</v>
      </c>
      <c r="AC680">
        <f>OR(AND(IF(metadata!C680="",FALSE,TRUE),OR(exact(metadata!C680,"missing: not collected"),exact(metadata!C680,"missing: not provided"),exact(metadata!C680,"missing: restricted access"))),AND(IF(metadata!C680="",FALSE,TRUE),AND(AND(IFERROR(INT(LEFT(metadata!C680,4))&gt;1900,FALSE),IFERROR(INT(LEFT(metadata!C680,4))&lt;=YEAR(NOW()),FALSE)), OR(MID(metadata!C680,5,1)="", AND(AND(MID(metadata!C680,5,1)="-",IFERROR(INT(MID(metadata!C680,6,1))&gt;=0,FALSE),IFERROR(INT(MID(metadata!C680,6,1))&lt;=1,FALSE),NOT(MID(metadata!C680,7,1)=""),IFERROR(INT(MID(metadata!C680,6,2))&gt;=1,FALSE),IFERROR(INT(MID(metadata!C680,6,2))&lt;=12,FALSE)), OR(MID(metadata!C680,8,1)="", AND(AND(MID(metadata!C680,8,1)="-",IFERROR(INT(MID(metadata!C680,9,1))&gt;=0,FALSE),IFERROR(INT(MID(metadata!C680,9,1))&lt;=3,FALSE),NOT(MID(metadata!C680,10,1)=""),IFERROR(INT(MID(metadata!C680,9,2))&gt;=1,FALSE),IFERROR(INT(MID(metadata!C680,9,2))&lt;=31,FALSE)), OR(MID(metadata!C680,11,1)="", AND(AND(MID(metadata!C680,11,1)=" ",IFERROR(INT(MID(metadata!C680,12,1))&gt;=0,FALSE),IFERROR(INT(MID(metadata!C680,12,1))&lt;=2,FALSE),NOT(MID(metadata!C680,13,1)=""),IFERROR(INT(MID(metadata!C680,12,2))&gt;=0,FALSE),IFERROR(INT(MID(metadata!C680,12,2))&lt;=23,FALSE)), OR(MID(metadata!C680,14,1)="", AND(AND(MID(metadata!C680,14,1)=":",IFERROR(INT(MID(metadata!C680,15,1))&gt;=0,FALSE),IFERROR(INT(MID(metadata!C680,15,1))&lt;=5,FALSE),NOT(MID(metadata!C680,16,1)=""),IFERROR(INT(MID(metadata!C680,15,2))&gt;=0,FALSE),IFERROR(INT(MID(metadata!C680,15,2))&lt;=59,FALSE)), OR(MID(metadata!C680,17,1)="", AND(AND(MID(metadata!C680,17,1)=":",IFERROR(INT(MID(metadata!C680,18,1))&gt;=0,FALSE),IFERROR(INT(MID(metadata!C680,18,1))&lt;=5,FALSE),NOT(MID(metadata!C680,19,1)=""),IFERROR(INT(MID(metadata!C680,18,2))&gt;=0,FALSE),IFERROR(INT(MID(metadata!C680,18,2))&lt;=59,FALSE)), LEN(metadata!C680)&lt;=19)))))))))))))</f>
        <v>0</v>
      </c>
      <c r="AD680">
        <f>IF(metadata!D680="",FALSE,TRUE)</f>
        <v>0</v>
      </c>
      <c r="AE680">
        <f>OR(AND(IF(metadata!E680="",FALSE,TRUE),OR(exact(metadata!E680,"missing: not collected"),exact(metadata!E680,"missing: not provided"))),AND(IF(metadata!E680="",FALSE,TRUE),OR(exact(metadata!E680,"TRUE"),exact(metadata!E680,"FALSE"))))</f>
        <v>0</v>
      </c>
      <c r="AF680">
        <f>IF(metadata!F680="",FALSE,TRUE)</f>
        <v>0</v>
      </c>
      <c r="AG680">
        <f>IF(metadata!G680="",FALSE,TRUE)</f>
        <v>0</v>
      </c>
      <c r="AH680">
        <f>IF(metadata!H680="",FALSE,TRUE)</f>
        <v>0</v>
      </c>
      <c r="AI680">
        <f>OR(AND(IF(metadata!I680="",FALSE,TRUE),OR(exact(metadata!I680,"missing: not collected"),exact(metadata!I680,"missing: not provided"),exact(metadata!I680,"missing: restricted access"))),AND(IF(metadata!I680="",FALSE,TRUE),OR(exact(metadata!I680,"air"),exact(metadata!I680,"built environment"),exact(metadata!I680,"host-associated"),exact(metadata!I680,"human-associated"),exact(metadata!I680,"human-skin"),exact(metadata!I680,"human-oral"),exact(metadata!I680,"human-gut"),exact(metadata!I680,"human-vaginal"),exact(metadata!I680,"microbial mat/biofilm"),exact(metadata!I680,"misc environment"),exact(metadata!I680,"plant-associated"),exact(metadata!I680,"sediment"),exact(metadata!I680,"soil"),exact(metadata!I680,"wastewater/sludge"),exact(metadata!I680,"water"))))</f>
        <v>0</v>
      </c>
      <c r="AJ680">
        <f>IF(metadata!J680="",FALSE,TRUE)</f>
        <v>0</v>
      </c>
      <c r="AK680">
        <f>OR(AND(IF(metadata!K680="",FALSE,TRUE),OR(exact(metadata!K680,"missing: not collected"),exact(metadata!K680,"missing: not provided"),exact(metadata!K680,"missing: restricted access"))),AND(IF(metadata!K680="",FALSE,ISNUMBER(VALUE(metadata!K680))),metadata!K680&gt;=-90.00,metadata!K680&lt;=90.00))</f>
        <v>0</v>
      </c>
      <c r="AL680">
        <f>OR(AND(IF(metadata!L680="",FALSE,TRUE),OR(exact(metadata!L680,"missing: not collected"),exact(metadata!L680,"missing: not provided"),exact(metadata!L680,"missing: restricted access"))),AND(IF(metadata!L680="",FALSE,ISNUMBER(VALUE(metadata!L680))),metadata!L680&gt;=-180.00,metadata!L680&lt;=180.00))</f>
        <v>0</v>
      </c>
      <c r="AM680">
        <f>IF(metadata!M680="",FALSE,TRUE)</f>
        <v>0</v>
      </c>
      <c r="AN680">
        <f>OR(AND(IF(metadata!N680="",FALSE,TRUE),OR(exact(metadata!N680,"missing: not collected"),exact(metadata!N680,"missing: not provided"),exact(metadata!N680,"missing: restricted access"))),AND(IF(metadata!N680="",FALSE,TRUE),OR(exact(metadata!N680,"TRUE"),exact(metadata!N680,"FALSE"))))</f>
        <v>0</v>
      </c>
      <c r="AO680">
        <f>IF(metadata!O680="",FALSE,TRUE)</f>
        <v>0</v>
      </c>
      <c r="AP680">
        <f>OR(AND(IF(metadata!P680="",FALSE,TRUE),OR(exact(metadata!P680,"missing: not collected"),exact(metadata!P680,"missing: not provided"))),AND(IF(metadata!P680="",FALSE,IF(ISERROR(INT(metadata!P680)),FALSE,INT(metadata!P680)=metadata!P680)),metadata!P680&gt;0))</f>
        <v>0</v>
      </c>
      <c r="AQ680">
        <f>IF(metadata!Q680="",FALSE,TRUE)</f>
        <v>0</v>
      </c>
    </row>
    <row r="681" spans="1:43">
      <c r="A681" s="5">
        <f>IF(B681=" "," ",HYPERLINK(CONCATENATE("#metadata!",ADDRESS(INDEX($W$2:$W$1001,MATCH(ROWS($U$2:U681),$U$2:$U$1001,0),0),1)),INDEX($Z$2:$Z$1001,MATCH(ROWS($U$2:U681),$U$2:$U$1001,0),0)))</f>
        <v>0</v>
      </c>
      <c r="B681" s="4">
        <f>IF(OR(INDEX($V$2:$V$1001,MATCH(ROWS($U$2:U681),$U$2:$U$1001,0),1)&gt;=100000,INDEX($AB$1005:$AQ$1005,1,MATCH(COLUMNS($AB$1006:AB1006),$AB$1006:$AQ$1006,0))&gt;=100000), " ",IF(INDEX($AB$2:$AQ$1001,MATCH(ROWS($U$2:U681),$U$2:$U$1001,0),MATCH(COLUMNS($AB$1006:AB1006),$AB$1006:$AQ$1006,0)), HYPERLINK("#",""), HYPERLINK(CONCATENATE("#metadata!", ADDRESS(INDEX($W$2:$W$1001,MATCH(ROWS($U$2:U681),$U$2:$U$1001,0),0), INDEX($AB$1004:$AQ$1004,1,MATCH(COLUMNS($AB$1006:AB1006),$AB$1006:$AQ$1006,0)))),"Fix")))</f>
        <v>0</v>
      </c>
      <c r="C681" s="4">
        <f>IF(OR(INDEX($V$2:$V$1001,MATCH(ROWS($U$2:U681),$U$2:$U$1001,0),1)&gt;=100000,INDEX($AB$1005:$AQ$1005,1,MATCH(COLUMNS($AB$1006:AC1006),$AB$1006:$AQ$1006,0))&gt;=100000), " ",IF(INDEX($AB$2:$AQ$1001,MATCH(ROWS($U$2:U681),$U$2:$U$1001,0),MATCH(COLUMNS($AB$1006:AC1006),$AB$1006:$AQ$1006,0)), HYPERLINK("#",""), HYPERLINK(CONCATENATE("#metadata!", ADDRESS(INDEX($W$2:$W$1001,MATCH(ROWS($U$2:U681),$U$2:$U$1001,0),0), INDEX($AB$1004:$AQ$1004,1,MATCH(COLUMNS($AB$1006:AC1006),$AB$1006:$AQ$1006,0)))),"Fix")))</f>
        <v>0</v>
      </c>
      <c r="D681" s="4">
        <f>IF(OR(INDEX($V$2:$V$1001,MATCH(ROWS($U$2:U681),$U$2:$U$1001,0),1)&gt;=100000,INDEX($AB$1005:$AQ$1005,1,MATCH(COLUMNS($AB$1006:AD1006),$AB$1006:$AQ$1006,0))&gt;=100000), " ",IF(INDEX($AB$2:$AQ$1001,MATCH(ROWS($U$2:U681),$U$2:$U$1001,0),MATCH(COLUMNS($AB$1006:AD1006),$AB$1006:$AQ$1006,0)), HYPERLINK("#",""), HYPERLINK(CONCATENATE("#metadata!", ADDRESS(INDEX($W$2:$W$1001,MATCH(ROWS($U$2:U681),$U$2:$U$1001,0),0), INDEX($AB$1004:$AQ$1004,1,MATCH(COLUMNS($AB$1006:AD1006),$AB$1006:$AQ$1006,0)))),"Fix")))</f>
        <v>0</v>
      </c>
      <c r="E681" s="4">
        <f>IF(OR(INDEX($V$2:$V$1001,MATCH(ROWS($U$2:U681),$U$2:$U$1001,0),1)&gt;=100000,INDEX($AB$1005:$AQ$1005,1,MATCH(COLUMNS($AB$1006:AE1006),$AB$1006:$AQ$1006,0))&gt;=100000), " ",IF(INDEX($AB$2:$AQ$1001,MATCH(ROWS($U$2:U681),$U$2:$U$1001,0),MATCH(COLUMNS($AB$1006:AE1006),$AB$1006:$AQ$1006,0)), HYPERLINK("#",""), HYPERLINK(CONCATENATE("#metadata!", ADDRESS(INDEX($W$2:$W$1001,MATCH(ROWS($U$2:U681),$U$2:$U$1001,0),0), INDEX($AB$1004:$AQ$1004,1,MATCH(COLUMNS($AB$1006:AE1006),$AB$1006:$AQ$1006,0)))),"Fix")))</f>
        <v>0</v>
      </c>
      <c r="F681" s="4">
        <f>IF(OR(INDEX($V$2:$V$1001,MATCH(ROWS($U$2:U681),$U$2:$U$1001,0),1)&gt;=100000,INDEX($AB$1005:$AQ$1005,1,MATCH(COLUMNS($AB$1006:AF1006),$AB$1006:$AQ$1006,0))&gt;=100000), " ",IF(INDEX($AB$2:$AQ$1001,MATCH(ROWS($U$2:U681),$U$2:$U$1001,0),MATCH(COLUMNS($AB$1006:AF1006),$AB$1006:$AQ$1006,0)), HYPERLINK("#",""), HYPERLINK(CONCATENATE("#metadata!", ADDRESS(INDEX($W$2:$W$1001,MATCH(ROWS($U$2:U681),$U$2:$U$1001,0),0), INDEX($AB$1004:$AQ$1004,1,MATCH(COLUMNS($AB$1006:AF1006),$AB$1006:$AQ$1006,0)))),"Fix")))</f>
        <v>0</v>
      </c>
      <c r="G681" s="4">
        <f>IF(OR(INDEX($V$2:$V$1001,MATCH(ROWS($U$2:U681),$U$2:$U$1001,0),1)&gt;=100000,INDEX($AB$1005:$AQ$1005,1,MATCH(COLUMNS($AB$1006:AG1006),$AB$1006:$AQ$1006,0))&gt;=100000), " ",IF(INDEX($AB$2:$AQ$1001,MATCH(ROWS($U$2:U681),$U$2:$U$1001,0),MATCH(COLUMNS($AB$1006:AG1006),$AB$1006:$AQ$1006,0)), HYPERLINK("#",""), HYPERLINK(CONCATENATE("#metadata!", ADDRESS(INDEX($W$2:$W$1001,MATCH(ROWS($U$2:U681),$U$2:$U$1001,0),0), INDEX($AB$1004:$AQ$1004,1,MATCH(COLUMNS($AB$1006:AG1006),$AB$1006:$AQ$1006,0)))),"Fix")))</f>
        <v>0</v>
      </c>
      <c r="H681" s="4">
        <f>IF(OR(INDEX($V$2:$V$1001,MATCH(ROWS($U$2:U681),$U$2:$U$1001,0),1)&gt;=100000,INDEX($AB$1005:$AQ$1005,1,MATCH(COLUMNS($AB$1006:AH1006),$AB$1006:$AQ$1006,0))&gt;=100000), " ",IF(INDEX($AB$2:$AQ$1001,MATCH(ROWS($U$2:U681),$U$2:$U$1001,0),MATCH(COLUMNS($AB$1006:AH1006),$AB$1006:$AQ$1006,0)), HYPERLINK("#",""), HYPERLINK(CONCATENATE("#metadata!", ADDRESS(INDEX($W$2:$W$1001,MATCH(ROWS($U$2:U681),$U$2:$U$1001,0),0), INDEX($AB$1004:$AQ$1004,1,MATCH(COLUMNS($AB$1006:AH1006),$AB$1006:$AQ$1006,0)))),"Fix")))</f>
        <v>0</v>
      </c>
      <c r="I681" s="4">
        <f>IF(OR(INDEX($V$2:$V$1001,MATCH(ROWS($U$2:U681),$U$2:$U$1001,0),1)&gt;=100000,INDEX($AB$1005:$AQ$1005,1,MATCH(COLUMNS($AB$1006:AI1006),$AB$1006:$AQ$1006,0))&gt;=100000), " ",IF(INDEX($AB$2:$AQ$1001,MATCH(ROWS($U$2:U681),$U$2:$U$1001,0),MATCH(COLUMNS($AB$1006:AI1006),$AB$1006:$AQ$1006,0)), HYPERLINK("#",""), HYPERLINK(CONCATENATE("#metadata!", ADDRESS(INDEX($W$2:$W$1001,MATCH(ROWS($U$2:U681),$U$2:$U$1001,0),0), INDEX($AB$1004:$AQ$1004,1,MATCH(COLUMNS($AB$1006:AI1006),$AB$1006:$AQ$1006,0)))),"Fix")))</f>
        <v>0</v>
      </c>
      <c r="J681" s="4">
        <f>IF(OR(INDEX($V$2:$V$1001,MATCH(ROWS($U$2:U681),$U$2:$U$1001,0),1)&gt;=100000,INDEX($AB$1005:$AQ$1005,1,MATCH(COLUMNS($AB$1006:AJ1006),$AB$1006:$AQ$1006,0))&gt;=100000), " ",IF(INDEX($AB$2:$AQ$1001,MATCH(ROWS($U$2:U681),$U$2:$U$1001,0),MATCH(COLUMNS($AB$1006:AJ1006),$AB$1006:$AQ$1006,0)), HYPERLINK("#",""), HYPERLINK(CONCATENATE("#metadata!", ADDRESS(INDEX($W$2:$W$1001,MATCH(ROWS($U$2:U681),$U$2:$U$1001,0),0), INDEX($AB$1004:$AQ$1004,1,MATCH(COLUMNS($AB$1006:AJ1006),$AB$1006:$AQ$1006,0)))),"Fix")))</f>
        <v>0</v>
      </c>
      <c r="K681" s="4">
        <f>IF(OR(INDEX($V$2:$V$1001,MATCH(ROWS($U$2:U681),$U$2:$U$1001,0),1)&gt;=100000,INDEX($AB$1005:$AQ$1005,1,MATCH(COLUMNS($AB$1006:AK1006),$AB$1006:$AQ$1006,0))&gt;=100000), " ",IF(INDEX($AB$2:$AQ$1001,MATCH(ROWS($U$2:U681),$U$2:$U$1001,0),MATCH(COLUMNS($AB$1006:AK1006),$AB$1006:$AQ$1006,0)), HYPERLINK("#",""), HYPERLINK(CONCATENATE("#metadata!", ADDRESS(INDEX($W$2:$W$1001,MATCH(ROWS($U$2:U681),$U$2:$U$1001,0),0), INDEX($AB$1004:$AQ$1004,1,MATCH(COLUMNS($AB$1006:AK1006),$AB$1006:$AQ$1006,0)))),"Fix")))</f>
        <v>0</v>
      </c>
      <c r="L681" s="4">
        <f>IF(OR(INDEX($V$2:$V$1001,MATCH(ROWS($U$2:U681),$U$2:$U$1001,0),1)&gt;=100000,INDEX($AB$1005:$AQ$1005,1,MATCH(COLUMNS($AB$1006:AL1006),$AB$1006:$AQ$1006,0))&gt;=100000), " ",IF(INDEX($AB$2:$AQ$1001,MATCH(ROWS($U$2:U681),$U$2:$U$1001,0),MATCH(COLUMNS($AB$1006:AL1006),$AB$1006:$AQ$1006,0)), HYPERLINK("#",""), HYPERLINK(CONCATENATE("#metadata!", ADDRESS(INDEX($W$2:$W$1001,MATCH(ROWS($U$2:U681),$U$2:$U$1001,0),0), INDEX($AB$1004:$AQ$1004,1,MATCH(COLUMNS($AB$1006:AL1006),$AB$1006:$AQ$1006,0)))),"Fix")))</f>
        <v>0</v>
      </c>
      <c r="M681" s="4">
        <f>IF(OR(INDEX($V$2:$V$1001,MATCH(ROWS($U$2:U681),$U$2:$U$1001,0),1)&gt;=100000,INDEX($AB$1005:$AQ$1005,1,MATCH(COLUMNS($AB$1006:AM1006),$AB$1006:$AQ$1006,0))&gt;=100000), " ",IF(INDEX($AB$2:$AQ$1001,MATCH(ROWS($U$2:U681),$U$2:$U$1001,0),MATCH(COLUMNS($AB$1006:AM1006),$AB$1006:$AQ$1006,0)), HYPERLINK("#",""), HYPERLINK(CONCATENATE("#metadata!", ADDRESS(INDEX($W$2:$W$1001,MATCH(ROWS($U$2:U681),$U$2:$U$1001,0),0), INDEX($AB$1004:$AQ$1004,1,MATCH(COLUMNS($AB$1006:AM1006),$AB$1006:$AQ$1006,0)))),"Fix")))</f>
        <v>0</v>
      </c>
      <c r="N681" s="4">
        <f>IF(OR(INDEX($V$2:$V$1001,MATCH(ROWS($U$2:U681),$U$2:$U$1001,0),1)&gt;=100000,INDEX($AB$1005:$AQ$1005,1,MATCH(COLUMNS($AB$1006:AN1006),$AB$1006:$AQ$1006,0))&gt;=100000), " ",IF(INDEX($AB$2:$AQ$1001,MATCH(ROWS($U$2:U681),$U$2:$U$1001,0),MATCH(COLUMNS($AB$1006:AN1006),$AB$1006:$AQ$1006,0)), HYPERLINK("#",""), HYPERLINK(CONCATENATE("#metadata!", ADDRESS(INDEX($W$2:$W$1001,MATCH(ROWS($U$2:U681),$U$2:$U$1001,0),0), INDEX($AB$1004:$AQ$1004,1,MATCH(COLUMNS($AB$1006:AN1006),$AB$1006:$AQ$1006,0)))),"Fix")))</f>
        <v>0</v>
      </c>
      <c r="O681" s="4">
        <f>IF(OR(INDEX($V$2:$V$1001,MATCH(ROWS($U$2:U681),$U$2:$U$1001,0),1)&gt;=100000,INDEX($AB$1005:$AQ$1005,1,MATCH(COLUMNS($AB$1006:AO1006),$AB$1006:$AQ$1006,0))&gt;=100000), " ",IF(INDEX($AB$2:$AQ$1001,MATCH(ROWS($U$2:U681),$U$2:$U$1001,0),MATCH(COLUMNS($AB$1006:AO1006),$AB$1006:$AQ$1006,0)), HYPERLINK("#",""), HYPERLINK(CONCATENATE("#metadata!", ADDRESS(INDEX($W$2:$W$1001,MATCH(ROWS($U$2:U681),$U$2:$U$1001,0),0), INDEX($AB$1004:$AQ$1004,1,MATCH(COLUMNS($AB$1006:AO1006),$AB$1006:$AQ$1006,0)))),"Fix")))</f>
        <v>0</v>
      </c>
      <c r="P681" s="4">
        <f>IF(OR(INDEX($V$2:$V$1001,MATCH(ROWS($U$2:U681),$U$2:$U$1001,0),1)&gt;=100000,INDEX($AB$1005:$AQ$1005,1,MATCH(COLUMNS($AB$1006:AP1006),$AB$1006:$AQ$1006,0))&gt;=100000), " ",IF(INDEX($AB$2:$AQ$1001,MATCH(ROWS($U$2:U681),$U$2:$U$1001,0),MATCH(COLUMNS($AB$1006:AP1006),$AB$1006:$AQ$1006,0)), HYPERLINK("#",""), HYPERLINK(CONCATENATE("#metadata!", ADDRESS(INDEX($W$2:$W$1001,MATCH(ROWS($U$2:U681),$U$2:$U$1001,0),0), INDEX($AB$1004:$AQ$1004,1,MATCH(COLUMNS($AB$1006:AP1006),$AB$1006:$AQ$1006,0)))),"Fix")))</f>
        <v>0</v>
      </c>
      <c r="Q681" s="4">
        <f>IF(OR(INDEX($V$2:$V$1001,MATCH(ROWS($U$2:U681),$U$2:$U$1001,0),1)&gt;=100000,INDEX($AB$1005:$AQ$1005,1,MATCH(COLUMNS($AB$1006:AQ1006),$AB$1006:$AQ$1006,0))&gt;=100000), " ",IF(INDEX($AB$2:$AQ$1001,MATCH(ROWS($U$2:U681),$U$2:$U$1001,0),MATCH(COLUMNS($AB$1006:AQ1006),$AB$1006:$AQ$1006,0)), HYPERLINK("#",""), HYPERLINK(CONCATENATE("#metadata!", ADDRESS(INDEX($W$2:$W$1001,MATCH(ROWS($U$2:U681),$U$2:$U$1001,0),0), INDEX($AB$1004:$AQ$1004,1,MATCH(COLUMNS($AB$1006:AQ1006),$AB$1006:$AQ$1006,0)))),"Fix")))</f>
        <v>0</v>
      </c>
      <c r="U681">
        <v>0</v>
      </c>
      <c r="V681">
        <v>0</v>
      </c>
      <c r="W681">
        <v>0</v>
      </c>
      <c r="X681">
        <f>IF(Y681,TRUE,AND(AB681:AQ681))</f>
        <v>0</v>
      </c>
      <c r="Y681">
        <f>COUNTBLANK(metadata!B681:Q681)=COLUMNS(metadata!B681:Q681)</f>
        <v>0</v>
      </c>
      <c r="Z681">
        <v>0</v>
      </c>
      <c r="AB681">
        <f>AND(IF(metadata!B681="",FALSE,TRUE),COUNTIF(metadata!B:B, metadata!B681) = 1,NOT(ISERROR(SUMPRODUCT(SEARCH(MID(metadata!B681,ROW(INDIRECT("1:"&amp;LEN(metadata!B681))), 1),"0123456789abcdefghijklmnopqrstuvwxyzABCDEFGHIJKLMNOPQRSTUVWXYZ.")))))</f>
        <v>0</v>
      </c>
      <c r="AC681">
        <f>OR(AND(IF(metadata!C681="",FALSE,TRUE),OR(exact(metadata!C681,"missing: not collected"),exact(metadata!C681,"missing: not provided"),exact(metadata!C681,"missing: restricted access"))),AND(IF(metadata!C681="",FALSE,TRUE),AND(AND(IFERROR(INT(LEFT(metadata!C681,4))&gt;1900,FALSE),IFERROR(INT(LEFT(metadata!C681,4))&lt;=YEAR(NOW()),FALSE)), OR(MID(metadata!C681,5,1)="", AND(AND(MID(metadata!C681,5,1)="-",IFERROR(INT(MID(metadata!C681,6,1))&gt;=0,FALSE),IFERROR(INT(MID(metadata!C681,6,1))&lt;=1,FALSE),NOT(MID(metadata!C681,7,1)=""),IFERROR(INT(MID(metadata!C681,6,2))&gt;=1,FALSE),IFERROR(INT(MID(metadata!C681,6,2))&lt;=12,FALSE)), OR(MID(metadata!C681,8,1)="", AND(AND(MID(metadata!C681,8,1)="-",IFERROR(INT(MID(metadata!C681,9,1))&gt;=0,FALSE),IFERROR(INT(MID(metadata!C681,9,1))&lt;=3,FALSE),NOT(MID(metadata!C681,10,1)=""),IFERROR(INT(MID(metadata!C681,9,2))&gt;=1,FALSE),IFERROR(INT(MID(metadata!C681,9,2))&lt;=31,FALSE)), OR(MID(metadata!C681,11,1)="", AND(AND(MID(metadata!C681,11,1)=" ",IFERROR(INT(MID(metadata!C681,12,1))&gt;=0,FALSE),IFERROR(INT(MID(metadata!C681,12,1))&lt;=2,FALSE),NOT(MID(metadata!C681,13,1)=""),IFERROR(INT(MID(metadata!C681,12,2))&gt;=0,FALSE),IFERROR(INT(MID(metadata!C681,12,2))&lt;=23,FALSE)), OR(MID(metadata!C681,14,1)="", AND(AND(MID(metadata!C681,14,1)=":",IFERROR(INT(MID(metadata!C681,15,1))&gt;=0,FALSE),IFERROR(INT(MID(metadata!C681,15,1))&lt;=5,FALSE),NOT(MID(metadata!C681,16,1)=""),IFERROR(INT(MID(metadata!C681,15,2))&gt;=0,FALSE),IFERROR(INT(MID(metadata!C681,15,2))&lt;=59,FALSE)), OR(MID(metadata!C681,17,1)="", AND(AND(MID(metadata!C681,17,1)=":",IFERROR(INT(MID(metadata!C681,18,1))&gt;=0,FALSE),IFERROR(INT(MID(metadata!C681,18,1))&lt;=5,FALSE),NOT(MID(metadata!C681,19,1)=""),IFERROR(INT(MID(metadata!C681,18,2))&gt;=0,FALSE),IFERROR(INT(MID(metadata!C681,18,2))&lt;=59,FALSE)), LEN(metadata!C681)&lt;=19)))))))))))))</f>
        <v>0</v>
      </c>
      <c r="AD681">
        <f>IF(metadata!D681="",FALSE,TRUE)</f>
        <v>0</v>
      </c>
      <c r="AE681">
        <f>OR(AND(IF(metadata!E681="",FALSE,TRUE),OR(exact(metadata!E681,"missing: not collected"),exact(metadata!E681,"missing: not provided"))),AND(IF(metadata!E681="",FALSE,TRUE),OR(exact(metadata!E681,"TRUE"),exact(metadata!E681,"FALSE"))))</f>
        <v>0</v>
      </c>
      <c r="AF681">
        <f>IF(metadata!F681="",FALSE,TRUE)</f>
        <v>0</v>
      </c>
      <c r="AG681">
        <f>IF(metadata!G681="",FALSE,TRUE)</f>
        <v>0</v>
      </c>
      <c r="AH681">
        <f>IF(metadata!H681="",FALSE,TRUE)</f>
        <v>0</v>
      </c>
      <c r="AI681">
        <f>OR(AND(IF(metadata!I681="",FALSE,TRUE),OR(exact(metadata!I681,"missing: not collected"),exact(metadata!I681,"missing: not provided"),exact(metadata!I681,"missing: restricted access"))),AND(IF(metadata!I681="",FALSE,TRUE),OR(exact(metadata!I681,"air"),exact(metadata!I681,"built environment"),exact(metadata!I681,"host-associated"),exact(metadata!I681,"human-associated"),exact(metadata!I681,"human-skin"),exact(metadata!I681,"human-oral"),exact(metadata!I681,"human-gut"),exact(metadata!I681,"human-vaginal"),exact(metadata!I681,"microbial mat/biofilm"),exact(metadata!I681,"misc environment"),exact(metadata!I681,"plant-associated"),exact(metadata!I681,"sediment"),exact(metadata!I681,"soil"),exact(metadata!I681,"wastewater/sludge"),exact(metadata!I681,"water"))))</f>
        <v>0</v>
      </c>
      <c r="AJ681">
        <f>IF(metadata!J681="",FALSE,TRUE)</f>
        <v>0</v>
      </c>
      <c r="AK681">
        <f>OR(AND(IF(metadata!K681="",FALSE,TRUE),OR(exact(metadata!K681,"missing: not collected"),exact(metadata!K681,"missing: not provided"),exact(metadata!K681,"missing: restricted access"))),AND(IF(metadata!K681="",FALSE,ISNUMBER(VALUE(metadata!K681))),metadata!K681&gt;=-90.00,metadata!K681&lt;=90.00))</f>
        <v>0</v>
      </c>
      <c r="AL681">
        <f>OR(AND(IF(metadata!L681="",FALSE,TRUE),OR(exact(metadata!L681,"missing: not collected"),exact(metadata!L681,"missing: not provided"),exact(metadata!L681,"missing: restricted access"))),AND(IF(metadata!L681="",FALSE,ISNUMBER(VALUE(metadata!L681))),metadata!L681&gt;=-180.00,metadata!L681&lt;=180.00))</f>
        <v>0</v>
      </c>
      <c r="AM681">
        <f>IF(metadata!M681="",FALSE,TRUE)</f>
        <v>0</v>
      </c>
      <c r="AN681">
        <f>OR(AND(IF(metadata!N681="",FALSE,TRUE),OR(exact(metadata!N681,"missing: not collected"),exact(metadata!N681,"missing: not provided"),exact(metadata!N681,"missing: restricted access"))),AND(IF(metadata!N681="",FALSE,TRUE),OR(exact(metadata!N681,"TRUE"),exact(metadata!N681,"FALSE"))))</f>
        <v>0</v>
      </c>
      <c r="AO681">
        <f>IF(metadata!O681="",FALSE,TRUE)</f>
        <v>0</v>
      </c>
      <c r="AP681">
        <f>OR(AND(IF(metadata!P681="",FALSE,TRUE),OR(exact(metadata!P681,"missing: not collected"),exact(metadata!P681,"missing: not provided"))),AND(IF(metadata!P681="",FALSE,IF(ISERROR(INT(metadata!P681)),FALSE,INT(metadata!P681)=metadata!P681)),metadata!P681&gt;0))</f>
        <v>0</v>
      </c>
      <c r="AQ681">
        <f>IF(metadata!Q681="",FALSE,TRUE)</f>
        <v>0</v>
      </c>
    </row>
    <row r="682" spans="1:43">
      <c r="A682" s="5">
        <f>IF(B682=" "," ",HYPERLINK(CONCATENATE("#metadata!",ADDRESS(INDEX($W$2:$W$1001,MATCH(ROWS($U$2:U682),$U$2:$U$1001,0),0),1)),INDEX($Z$2:$Z$1001,MATCH(ROWS($U$2:U682),$U$2:$U$1001,0),0)))</f>
        <v>0</v>
      </c>
      <c r="B682" s="4">
        <f>IF(OR(INDEX($V$2:$V$1001,MATCH(ROWS($U$2:U682),$U$2:$U$1001,0),1)&gt;=100000,INDEX($AB$1005:$AQ$1005,1,MATCH(COLUMNS($AB$1006:AB1006),$AB$1006:$AQ$1006,0))&gt;=100000), " ",IF(INDEX($AB$2:$AQ$1001,MATCH(ROWS($U$2:U682),$U$2:$U$1001,0),MATCH(COLUMNS($AB$1006:AB1006),$AB$1006:$AQ$1006,0)), HYPERLINK("#",""), HYPERLINK(CONCATENATE("#metadata!", ADDRESS(INDEX($W$2:$W$1001,MATCH(ROWS($U$2:U682),$U$2:$U$1001,0),0), INDEX($AB$1004:$AQ$1004,1,MATCH(COLUMNS($AB$1006:AB1006),$AB$1006:$AQ$1006,0)))),"Fix")))</f>
        <v>0</v>
      </c>
      <c r="C682" s="4">
        <f>IF(OR(INDEX($V$2:$V$1001,MATCH(ROWS($U$2:U682),$U$2:$U$1001,0),1)&gt;=100000,INDEX($AB$1005:$AQ$1005,1,MATCH(COLUMNS($AB$1006:AC1006),$AB$1006:$AQ$1006,0))&gt;=100000), " ",IF(INDEX($AB$2:$AQ$1001,MATCH(ROWS($U$2:U682),$U$2:$U$1001,0),MATCH(COLUMNS($AB$1006:AC1006),$AB$1006:$AQ$1006,0)), HYPERLINK("#",""), HYPERLINK(CONCATENATE("#metadata!", ADDRESS(INDEX($W$2:$W$1001,MATCH(ROWS($U$2:U682),$U$2:$U$1001,0),0), INDEX($AB$1004:$AQ$1004,1,MATCH(COLUMNS($AB$1006:AC1006),$AB$1006:$AQ$1006,0)))),"Fix")))</f>
        <v>0</v>
      </c>
      <c r="D682" s="4">
        <f>IF(OR(INDEX($V$2:$V$1001,MATCH(ROWS($U$2:U682),$U$2:$U$1001,0),1)&gt;=100000,INDEX($AB$1005:$AQ$1005,1,MATCH(COLUMNS($AB$1006:AD1006),$AB$1006:$AQ$1006,0))&gt;=100000), " ",IF(INDEX($AB$2:$AQ$1001,MATCH(ROWS($U$2:U682),$U$2:$U$1001,0),MATCH(COLUMNS($AB$1006:AD1006),$AB$1006:$AQ$1006,0)), HYPERLINK("#",""), HYPERLINK(CONCATENATE("#metadata!", ADDRESS(INDEX($W$2:$W$1001,MATCH(ROWS($U$2:U682),$U$2:$U$1001,0),0), INDEX($AB$1004:$AQ$1004,1,MATCH(COLUMNS($AB$1006:AD1006),$AB$1006:$AQ$1006,0)))),"Fix")))</f>
        <v>0</v>
      </c>
      <c r="E682" s="4">
        <f>IF(OR(INDEX($V$2:$V$1001,MATCH(ROWS($U$2:U682),$U$2:$U$1001,0),1)&gt;=100000,INDEX($AB$1005:$AQ$1005,1,MATCH(COLUMNS($AB$1006:AE1006),$AB$1006:$AQ$1006,0))&gt;=100000), " ",IF(INDEX($AB$2:$AQ$1001,MATCH(ROWS($U$2:U682),$U$2:$U$1001,0),MATCH(COLUMNS($AB$1006:AE1006),$AB$1006:$AQ$1006,0)), HYPERLINK("#",""), HYPERLINK(CONCATENATE("#metadata!", ADDRESS(INDEX($W$2:$W$1001,MATCH(ROWS($U$2:U682),$U$2:$U$1001,0),0), INDEX($AB$1004:$AQ$1004,1,MATCH(COLUMNS($AB$1006:AE1006),$AB$1006:$AQ$1006,0)))),"Fix")))</f>
        <v>0</v>
      </c>
      <c r="F682" s="4">
        <f>IF(OR(INDEX($V$2:$V$1001,MATCH(ROWS($U$2:U682),$U$2:$U$1001,0),1)&gt;=100000,INDEX($AB$1005:$AQ$1005,1,MATCH(COLUMNS($AB$1006:AF1006),$AB$1006:$AQ$1006,0))&gt;=100000), " ",IF(INDEX($AB$2:$AQ$1001,MATCH(ROWS($U$2:U682),$U$2:$U$1001,0),MATCH(COLUMNS($AB$1006:AF1006),$AB$1006:$AQ$1006,0)), HYPERLINK("#",""), HYPERLINK(CONCATENATE("#metadata!", ADDRESS(INDEX($W$2:$W$1001,MATCH(ROWS($U$2:U682),$U$2:$U$1001,0),0), INDEX($AB$1004:$AQ$1004,1,MATCH(COLUMNS($AB$1006:AF1006),$AB$1006:$AQ$1006,0)))),"Fix")))</f>
        <v>0</v>
      </c>
      <c r="G682" s="4">
        <f>IF(OR(INDEX($V$2:$V$1001,MATCH(ROWS($U$2:U682),$U$2:$U$1001,0),1)&gt;=100000,INDEX($AB$1005:$AQ$1005,1,MATCH(COLUMNS($AB$1006:AG1006),$AB$1006:$AQ$1006,0))&gt;=100000), " ",IF(INDEX($AB$2:$AQ$1001,MATCH(ROWS($U$2:U682),$U$2:$U$1001,0),MATCH(COLUMNS($AB$1006:AG1006),$AB$1006:$AQ$1006,0)), HYPERLINK("#",""), HYPERLINK(CONCATENATE("#metadata!", ADDRESS(INDEX($W$2:$W$1001,MATCH(ROWS($U$2:U682),$U$2:$U$1001,0),0), INDEX($AB$1004:$AQ$1004,1,MATCH(COLUMNS($AB$1006:AG1006),$AB$1006:$AQ$1006,0)))),"Fix")))</f>
        <v>0</v>
      </c>
      <c r="H682" s="4">
        <f>IF(OR(INDEX($V$2:$V$1001,MATCH(ROWS($U$2:U682),$U$2:$U$1001,0),1)&gt;=100000,INDEX($AB$1005:$AQ$1005,1,MATCH(COLUMNS($AB$1006:AH1006),$AB$1006:$AQ$1006,0))&gt;=100000), " ",IF(INDEX($AB$2:$AQ$1001,MATCH(ROWS($U$2:U682),$U$2:$U$1001,0),MATCH(COLUMNS($AB$1006:AH1006),$AB$1006:$AQ$1006,0)), HYPERLINK("#",""), HYPERLINK(CONCATENATE("#metadata!", ADDRESS(INDEX($W$2:$W$1001,MATCH(ROWS($U$2:U682),$U$2:$U$1001,0),0), INDEX($AB$1004:$AQ$1004,1,MATCH(COLUMNS($AB$1006:AH1006),$AB$1006:$AQ$1006,0)))),"Fix")))</f>
        <v>0</v>
      </c>
      <c r="I682" s="4">
        <f>IF(OR(INDEX($V$2:$V$1001,MATCH(ROWS($U$2:U682),$U$2:$U$1001,0),1)&gt;=100000,INDEX($AB$1005:$AQ$1005,1,MATCH(COLUMNS($AB$1006:AI1006),$AB$1006:$AQ$1006,0))&gt;=100000), " ",IF(INDEX($AB$2:$AQ$1001,MATCH(ROWS($U$2:U682),$U$2:$U$1001,0),MATCH(COLUMNS($AB$1006:AI1006),$AB$1006:$AQ$1006,0)), HYPERLINK("#",""), HYPERLINK(CONCATENATE("#metadata!", ADDRESS(INDEX($W$2:$W$1001,MATCH(ROWS($U$2:U682),$U$2:$U$1001,0),0), INDEX($AB$1004:$AQ$1004,1,MATCH(COLUMNS($AB$1006:AI1006),$AB$1006:$AQ$1006,0)))),"Fix")))</f>
        <v>0</v>
      </c>
      <c r="J682" s="4">
        <f>IF(OR(INDEX($V$2:$V$1001,MATCH(ROWS($U$2:U682),$U$2:$U$1001,0),1)&gt;=100000,INDEX($AB$1005:$AQ$1005,1,MATCH(COLUMNS($AB$1006:AJ1006),$AB$1006:$AQ$1006,0))&gt;=100000), " ",IF(INDEX($AB$2:$AQ$1001,MATCH(ROWS($U$2:U682),$U$2:$U$1001,0),MATCH(COLUMNS($AB$1006:AJ1006),$AB$1006:$AQ$1006,0)), HYPERLINK("#",""), HYPERLINK(CONCATENATE("#metadata!", ADDRESS(INDEX($W$2:$W$1001,MATCH(ROWS($U$2:U682),$U$2:$U$1001,0),0), INDEX($AB$1004:$AQ$1004,1,MATCH(COLUMNS($AB$1006:AJ1006),$AB$1006:$AQ$1006,0)))),"Fix")))</f>
        <v>0</v>
      </c>
      <c r="K682" s="4">
        <f>IF(OR(INDEX($V$2:$V$1001,MATCH(ROWS($U$2:U682),$U$2:$U$1001,0),1)&gt;=100000,INDEX($AB$1005:$AQ$1005,1,MATCH(COLUMNS($AB$1006:AK1006),$AB$1006:$AQ$1006,0))&gt;=100000), " ",IF(INDEX($AB$2:$AQ$1001,MATCH(ROWS($U$2:U682),$U$2:$U$1001,0),MATCH(COLUMNS($AB$1006:AK1006),$AB$1006:$AQ$1006,0)), HYPERLINK("#",""), HYPERLINK(CONCATENATE("#metadata!", ADDRESS(INDEX($W$2:$W$1001,MATCH(ROWS($U$2:U682),$U$2:$U$1001,0),0), INDEX($AB$1004:$AQ$1004,1,MATCH(COLUMNS($AB$1006:AK1006),$AB$1006:$AQ$1006,0)))),"Fix")))</f>
        <v>0</v>
      </c>
      <c r="L682" s="4">
        <f>IF(OR(INDEX($V$2:$V$1001,MATCH(ROWS($U$2:U682),$U$2:$U$1001,0),1)&gt;=100000,INDEX($AB$1005:$AQ$1005,1,MATCH(COLUMNS($AB$1006:AL1006),$AB$1006:$AQ$1006,0))&gt;=100000), " ",IF(INDEX($AB$2:$AQ$1001,MATCH(ROWS($U$2:U682),$U$2:$U$1001,0),MATCH(COLUMNS($AB$1006:AL1006),$AB$1006:$AQ$1006,0)), HYPERLINK("#",""), HYPERLINK(CONCATENATE("#metadata!", ADDRESS(INDEX($W$2:$W$1001,MATCH(ROWS($U$2:U682),$U$2:$U$1001,0),0), INDEX($AB$1004:$AQ$1004,1,MATCH(COLUMNS($AB$1006:AL1006),$AB$1006:$AQ$1006,0)))),"Fix")))</f>
        <v>0</v>
      </c>
      <c r="M682" s="4">
        <f>IF(OR(INDEX($V$2:$V$1001,MATCH(ROWS($U$2:U682),$U$2:$U$1001,0),1)&gt;=100000,INDEX($AB$1005:$AQ$1005,1,MATCH(COLUMNS($AB$1006:AM1006),$AB$1006:$AQ$1006,0))&gt;=100000), " ",IF(INDEX($AB$2:$AQ$1001,MATCH(ROWS($U$2:U682),$U$2:$U$1001,0),MATCH(COLUMNS($AB$1006:AM1006),$AB$1006:$AQ$1006,0)), HYPERLINK("#",""), HYPERLINK(CONCATENATE("#metadata!", ADDRESS(INDEX($W$2:$W$1001,MATCH(ROWS($U$2:U682),$U$2:$U$1001,0),0), INDEX($AB$1004:$AQ$1004,1,MATCH(COLUMNS($AB$1006:AM1006),$AB$1006:$AQ$1006,0)))),"Fix")))</f>
        <v>0</v>
      </c>
      <c r="N682" s="4">
        <f>IF(OR(INDEX($V$2:$V$1001,MATCH(ROWS($U$2:U682),$U$2:$U$1001,0),1)&gt;=100000,INDEX($AB$1005:$AQ$1005,1,MATCH(COLUMNS($AB$1006:AN1006),$AB$1006:$AQ$1006,0))&gt;=100000), " ",IF(INDEX($AB$2:$AQ$1001,MATCH(ROWS($U$2:U682),$U$2:$U$1001,0),MATCH(COLUMNS($AB$1006:AN1006),$AB$1006:$AQ$1006,0)), HYPERLINK("#",""), HYPERLINK(CONCATENATE("#metadata!", ADDRESS(INDEX($W$2:$W$1001,MATCH(ROWS($U$2:U682),$U$2:$U$1001,0),0), INDEX($AB$1004:$AQ$1004,1,MATCH(COLUMNS($AB$1006:AN1006),$AB$1006:$AQ$1006,0)))),"Fix")))</f>
        <v>0</v>
      </c>
      <c r="O682" s="4">
        <f>IF(OR(INDEX($V$2:$V$1001,MATCH(ROWS($U$2:U682),$U$2:$U$1001,0),1)&gt;=100000,INDEX($AB$1005:$AQ$1005,1,MATCH(COLUMNS($AB$1006:AO1006),$AB$1006:$AQ$1006,0))&gt;=100000), " ",IF(INDEX($AB$2:$AQ$1001,MATCH(ROWS($U$2:U682),$U$2:$U$1001,0),MATCH(COLUMNS($AB$1006:AO1006),$AB$1006:$AQ$1006,0)), HYPERLINK("#",""), HYPERLINK(CONCATENATE("#metadata!", ADDRESS(INDEX($W$2:$W$1001,MATCH(ROWS($U$2:U682),$U$2:$U$1001,0),0), INDEX($AB$1004:$AQ$1004,1,MATCH(COLUMNS($AB$1006:AO1006),$AB$1006:$AQ$1006,0)))),"Fix")))</f>
        <v>0</v>
      </c>
      <c r="P682" s="4">
        <f>IF(OR(INDEX($V$2:$V$1001,MATCH(ROWS($U$2:U682),$U$2:$U$1001,0),1)&gt;=100000,INDEX($AB$1005:$AQ$1005,1,MATCH(COLUMNS($AB$1006:AP1006),$AB$1006:$AQ$1006,0))&gt;=100000), " ",IF(INDEX($AB$2:$AQ$1001,MATCH(ROWS($U$2:U682),$U$2:$U$1001,0),MATCH(COLUMNS($AB$1006:AP1006),$AB$1006:$AQ$1006,0)), HYPERLINK("#",""), HYPERLINK(CONCATENATE("#metadata!", ADDRESS(INDEX($W$2:$W$1001,MATCH(ROWS($U$2:U682),$U$2:$U$1001,0),0), INDEX($AB$1004:$AQ$1004,1,MATCH(COLUMNS($AB$1006:AP1006),$AB$1006:$AQ$1006,0)))),"Fix")))</f>
        <v>0</v>
      </c>
      <c r="Q682" s="4">
        <f>IF(OR(INDEX($V$2:$V$1001,MATCH(ROWS($U$2:U682),$U$2:$U$1001,0),1)&gt;=100000,INDEX($AB$1005:$AQ$1005,1,MATCH(COLUMNS($AB$1006:AQ1006),$AB$1006:$AQ$1006,0))&gt;=100000), " ",IF(INDEX($AB$2:$AQ$1001,MATCH(ROWS($U$2:U682),$U$2:$U$1001,0),MATCH(COLUMNS($AB$1006:AQ1006),$AB$1006:$AQ$1006,0)), HYPERLINK("#",""), HYPERLINK(CONCATENATE("#metadata!", ADDRESS(INDEX($W$2:$W$1001,MATCH(ROWS($U$2:U682),$U$2:$U$1001,0),0), INDEX($AB$1004:$AQ$1004,1,MATCH(COLUMNS($AB$1006:AQ1006),$AB$1006:$AQ$1006,0)))),"Fix")))</f>
        <v>0</v>
      </c>
      <c r="U682">
        <v>0</v>
      </c>
      <c r="V682">
        <v>0</v>
      </c>
      <c r="W682">
        <v>0</v>
      </c>
      <c r="X682">
        <f>IF(Y682,TRUE,AND(AB682:AQ682))</f>
        <v>0</v>
      </c>
      <c r="Y682">
        <f>COUNTBLANK(metadata!B682:Q682)=COLUMNS(metadata!B682:Q682)</f>
        <v>0</v>
      </c>
      <c r="Z682">
        <v>0</v>
      </c>
      <c r="AB682">
        <f>AND(IF(metadata!B682="",FALSE,TRUE),COUNTIF(metadata!B:B, metadata!B682) = 1,NOT(ISERROR(SUMPRODUCT(SEARCH(MID(metadata!B682,ROW(INDIRECT("1:"&amp;LEN(metadata!B682))), 1),"0123456789abcdefghijklmnopqrstuvwxyzABCDEFGHIJKLMNOPQRSTUVWXYZ.")))))</f>
        <v>0</v>
      </c>
      <c r="AC682">
        <f>OR(AND(IF(metadata!C682="",FALSE,TRUE),OR(exact(metadata!C682,"missing: not collected"),exact(metadata!C682,"missing: not provided"),exact(metadata!C682,"missing: restricted access"))),AND(IF(metadata!C682="",FALSE,TRUE),AND(AND(IFERROR(INT(LEFT(metadata!C682,4))&gt;1900,FALSE),IFERROR(INT(LEFT(metadata!C682,4))&lt;=YEAR(NOW()),FALSE)), OR(MID(metadata!C682,5,1)="", AND(AND(MID(metadata!C682,5,1)="-",IFERROR(INT(MID(metadata!C682,6,1))&gt;=0,FALSE),IFERROR(INT(MID(metadata!C682,6,1))&lt;=1,FALSE),NOT(MID(metadata!C682,7,1)=""),IFERROR(INT(MID(metadata!C682,6,2))&gt;=1,FALSE),IFERROR(INT(MID(metadata!C682,6,2))&lt;=12,FALSE)), OR(MID(metadata!C682,8,1)="", AND(AND(MID(metadata!C682,8,1)="-",IFERROR(INT(MID(metadata!C682,9,1))&gt;=0,FALSE),IFERROR(INT(MID(metadata!C682,9,1))&lt;=3,FALSE),NOT(MID(metadata!C682,10,1)=""),IFERROR(INT(MID(metadata!C682,9,2))&gt;=1,FALSE),IFERROR(INT(MID(metadata!C682,9,2))&lt;=31,FALSE)), OR(MID(metadata!C682,11,1)="", AND(AND(MID(metadata!C682,11,1)=" ",IFERROR(INT(MID(metadata!C682,12,1))&gt;=0,FALSE),IFERROR(INT(MID(metadata!C682,12,1))&lt;=2,FALSE),NOT(MID(metadata!C682,13,1)=""),IFERROR(INT(MID(metadata!C682,12,2))&gt;=0,FALSE),IFERROR(INT(MID(metadata!C682,12,2))&lt;=23,FALSE)), OR(MID(metadata!C682,14,1)="", AND(AND(MID(metadata!C682,14,1)=":",IFERROR(INT(MID(metadata!C682,15,1))&gt;=0,FALSE),IFERROR(INT(MID(metadata!C682,15,1))&lt;=5,FALSE),NOT(MID(metadata!C682,16,1)=""),IFERROR(INT(MID(metadata!C682,15,2))&gt;=0,FALSE),IFERROR(INT(MID(metadata!C682,15,2))&lt;=59,FALSE)), OR(MID(metadata!C682,17,1)="", AND(AND(MID(metadata!C682,17,1)=":",IFERROR(INT(MID(metadata!C682,18,1))&gt;=0,FALSE),IFERROR(INT(MID(metadata!C682,18,1))&lt;=5,FALSE),NOT(MID(metadata!C682,19,1)=""),IFERROR(INT(MID(metadata!C682,18,2))&gt;=0,FALSE),IFERROR(INT(MID(metadata!C682,18,2))&lt;=59,FALSE)), LEN(metadata!C682)&lt;=19)))))))))))))</f>
        <v>0</v>
      </c>
      <c r="AD682">
        <f>IF(metadata!D682="",FALSE,TRUE)</f>
        <v>0</v>
      </c>
      <c r="AE682">
        <f>OR(AND(IF(metadata!E682="",FALSE,TRUE),OR(exact(metadata!E682,"missing: not collected"),exact(metadata!E682,"missing: not provided"))),AND(IF(metadata!E682="",FALSE,TRUE),OR(exact(metadata!E682,"TRUE"),exact(metadata!E682,"FALSE"))))</f>
        <v>0</v>
      </c>
      <c r="AF682">
        <f>IF(metadata!F682="",FALSE,TRUE)</f>
        <v>0</v>
      </c>
      <c r="AG682">
        <f>IF(metadata!G682="",FALSE,TRUE)</f>
        <v>0</v>
      </c>
      <c r="AH682">
        <f>IF(metadata!H682="",FALSE,TRUE)</f>
        <v>0</v>
      </c>
      <c r="AI682">
        <f>OR(AND(IF(metadata!I682="",FALSE,TRUE),OR(exact(metadata!I682,"missing: not collected"),exact(metadata!I682,"missing: not provided"),exact(metadata!I682,"missing: restricted access"))),AND(IF(metadata!I682="",FALSE,TRUE),OR(exact(metadata!I682,"air"),exact(metadata!I682,"built environment"),exact(metadata!I682,"host-associated"),exact(metadata!I682,"human-associated"),exact(metadata!I682,"human-skin"),exact(metadata!I682,"human-oral"),exact(metadata!I682,"human-gut"),exact(metadata!I682,"human-vaginal"),exact(metadata!I682,"microbial mat/biofilm"),exact(metadata!I682,"misc environment"),exact(metadata!I682,"plant-associated"),exact(metadata!I682,"sediment"),exact(metadata!I682,"soil"),exact(metadata!I682,"wastewater/sludge"),exact(metadata!I682,"water"))))</f>
        <v>0</v>
      </c>
      <c r="AJ682">
        <f>IF(metadata!J682="",FALSE,TRUE)</f>
        <v>0</v>
      </c>
      <c r="AK682">
        <f>OR(AND(IF(metadata!K682="",FALSE,TRUE),OR(exact(metadata!K682,"missing: not collected"),exact(metadata!K682,"missing: not provided"),exact(metadata!K682,"missing: restricted access"))),AND(IF(metadata!K682="",FALSE,ISNUMBER(VALUE(metadata!K682))),metadata!K682&gt;=-90.00,metadata!K682&lt;=90.00))</f>
        <v>0</v>
      </c>
      <c r="AL682">
        <f>OR(AND(IF(metadata!L682="",FALSE,TRUE),OR(exact(metadata!L682,"missing: not collected"),exact(metadata!L682,"missing: not provided"),exact(metadata!L682,"missing: restricted access"))),AND(IF(metadata!L682="",FALSE,ISNUMBER(VALUE(metadata!L682))),metadata!L682&gt;=-180.00,metadata!L682&lt;=180.00))</f>
        <v>0</v>
      </c>
      <c r="AM682">
        <f>IF(metadata!M682="",FALSE,TRUE)</f>
        <v>0</v>
      </c>
      <c r="AN682">
        <f>OR(AND(IF(metadata!N682="",FALSE,TRUE),OR(exact(metadata!N682,"missing: not collected"),exact(metadata!N682,"missing: not provided"),exact(metadata!N682,"missing: restricted access"))),AND(IF(metadata!N682="",FALSE,TRUE),OR(exact(metadata!N682,"TRUE"),exact(metadata!N682,"FALSE"))))</f>
        <v>0</v>
      </c>
      <c r="AO682">
        <f>IF(metadata!O682="",FALSE,TRUE)</f>
        <v>0</v>
      </c>
      <c r="AP682">
        <f>OR(AND(IF(metadata!P682="",FALSE,TRUE),OR(exact(metadata!P682,"missing: not collected"),exact(metadata!P682,"missing: not provided"))),AND(IF(metadata!P682="",FALSE,IF(ISERROR(INT(metadata!P682)),FALSE,INT(metadata!P682)=metadata!P682)),metadata!P682&gt;0))</f>
        <v>0</v>
      </c>
      <c r="AQ682">
        <f>IF(metadata!Q682="",FALSE,TRUE)</f>
        <v>0</v>
      </c>
    </row>
    <row r="683" spans="1:43">
      <c r="A683" s="5">
        <f>IF(B683=" "," ",HYPERLINK(CONCATENATE("#metadata!",ADDRESS(INDEX($W$2:$W$1001,MATCH(ROWS($U$2:U683),$U$2:$U$1001,0),0),1)),INDEX($Z$2:$Z$1001,MATCH(ROWS($U$2:U683),$U$2:$U$1001,0),0)))</f>
        <v>0</v>
      </c>
      <c r="B683" s="4">
        <f>IF(OR(INDEX($V$2:$V$1001,MATCH(ROWS($U$2:U683),$U$2:$U$1001,0),1)&gt;=100000,INDEX($AB$1005:$AQ$1005,1,MATCH(COLUMNS($AB$1006:AB1006),$AB$1006:$AQ$1006,0))&gt;=100000), " ",IF(INDEX($AB$2:$AQ$1001,MATCH(ROWS($U$2:U683),$U$2:$U$1001,0),MATCH(COLUMNS($AB$1006:AB1006),$AB$1006:$AQ$1006,0)), HYPERLINK("#",""), HYPERLINK(CONCATENATE("#metadata!", ADDRESS(INDEX($W$2:$W$1001,MATCH(ROWS($U$2:U683),$U$2:$U$1001,0),0), INDEX($AB$1004:$AQ$1004,1,MATCH(COLUMNS($AB$1006:AB1006),$AB$1006:$AQ$1006,0)))),"Fix")))</f>
        <v>0</v>
      </c>
      <c r="C683" s="4">
        <f>IF(OR(INDEX($V$2:$V$1001,MATCH(ROWS($U$2:U683),$U$2:$U$1001,0),1)&gt;=100000,INDEX($AB$1005:$AQ$1005,1,MATCH(COLUMNS($AB$1006:AC1006),$AB$1006:$AQ$1006,0))&gt;=100000), " ",IF(INDEX($AB$2:$AQ$1001,MATCH(ROWS($U$2:U683),$U$2:$U$1001,0),MATCH(COLUMNS($AB$1006:AC1006),$AB$1006:$AQ$1006,0)), HYPERLINK("#",""), HYPERLINK(CONCATENATE("#metadata!", ADDRESS(INDEX($W$2:$W$1001,MATCH(ROWS($U$2:U683),$U$2:$U$1001,0),0), INDEX($AB$1004:$AQ$1004,1,MATCH(COLUMNS($AB$1006:AC1006),$AB$1006:$AQ$1006,0)))),"Fix")))</f>
        <v>0</v>
      </c>
      <c r="D683" s="4">
        <f>IF(OR(INDEX($V$2:$V$1001,MATCH(ROWS($U$2:U683),$U$2:$U$1001,0),1)&gt;=100000,INDEX($AB$1005:$AQ$1005,1,MATCH(COLUMNS($AB$1006:AD1006),$AB$1006:$AQ$1006,0))&gt;=100000), " ",IF(INDEX($AB$2:$AQ$1001,MATCH(ROWS($U$2:U683),$U$2:$U$1001,0),MATCH(COLUMNS($AB$1006:AD1006),$AB$1006:$AQ$1006,0)), HYPERLINK("#",""), HYPERLINK(CONCATENATE("#metadata!", ADDRESS(INDEX($W$2:$W$1001,MATCH(ROWS($U$2:U683),$U$2:$U$1001,0),0), INDEX($AB$1004:$AQ$1004,1,MATCH(COLUMNS($AB$1006:AD1006),$AB$1006:$AQ$1006,0)))),"Fix")))</f>
        <v>0</v>
      </c>
      <c r="E683" s="4">
        <f>IF(OR(INDEX($V$2:$V$1001,MATCH(ROWS($U$2:U683),$U$2:$U$1001,0),1)&gt;=100000,INDEX($AB$1005:$AQ$1005,1,MATCH(COLUMNS($AB$1006:AE1006),$AB$1006:$AQ$1006,0))&gt;=100000), " ",IF(INDEX($AB$2:$AQ$1001,MATCH(ROWS($U$2:U683),$U$2:$U$1001,0),MATCH(COLUMNS($AB$1006:AE1006),$AB$1006:$AQ$1006,0)), HYPERLINK("#",""), HYPERLINK(CONCATENATE("#metadata!", ADDRESS(INDEX($W$2:$W$1001,MATCH(ROWS($U$2:U683),$U$2:$U$1001,0),0), INDEX($AB$1004:$AQ$1004,1,MATCH(COLUMNS($AB$1006:AE1006),$AB$1006:$AQ$1006,0)))),"Fix")))</f>
        <v>0</v>
      </c>
      <c r="F683" s="4">
        <f>IF(OR(INDEX($V$2:$V$1001,MATCH(ROWS($U$2:U683),$U$2:$U$1001,0),1)&gt;=100000,INDEX($AB$1005:$AQ$1005,1,MATCH(COLUMNS($AB$1006:AF1006),$AB$1006:$AQ$1006,0))&gt;=100000), " ",IF(INDEX($AB$2:$AQ$1001,MATCH(ROWS($U$2:U683),$U$2:$U$1001,0),MATCH(COLUMNS($AB$1006:AF1006),$AB$1006:$AQ$1006,0)), HYPERLINK("#",""), HYPERLINK(CONCATENATE("#metadata!", ADDRESS(INDEX($W$2:$W$1001,MATCH(ROWS($U$2:U683),$U$2:$U$1001,0),0), INDEX($AB$1004:$AQ$1004,1,MATCH(COLUMNS($AB$1006:AF1006),$AB$1006:$AQ$1006,0)))),"Fix")))</f>
        <v>0</v>
      </c>
      <c r="G683" s="4">
        <f>IF(OR(INDEX($V$2:$V$1001,MATCH(ROWS($U$2:U683),$U$2:$U$1001,0),1)&gt;=100000,INDEX($AB$1005:$AQ$1005,1,MATCH(COLUMNS($AB$1006:AG1006),$AB$1006:$AQ$1006,0))&gt;=100000), " ",IF(INDEX($AB$2:$AQ$1001,MATCH(ROWS($U$2:U683),$U$2:$U$1001,0),MATCH(COLUMNS($AB$1006:AG1006),$AB$1006:$AQ$1006,0)), HYPERLINK("#",""), HYPERLINK(CONCATENATE("#metadata!", ADDRESS(INDEX($W$2:$W$1001,MATCH(ROWS($U$2:U683),$U$2:$U$1001,0),0), INDEX($AB$1004:$AQ$1004,1,MATCH(COLUMNS($AB$1006:AG1006),$AB$1006:$AQ$1006,0)))),"Fix")))</f>
        <v>0</v>
      </c>
      <c r="H683" s="4">
        <f>IF(OR(INDEX($V$2:$V$1001,MATCH(ROWS($U$2:U683),$U$2:$U$1001,0),1)&gt;=100000,INDEX($AB$1005:$AQ$1005,1,MATCH(COLUMNS($AB$1006:AH1006),$AB$1006:$AQ$1006,0))&gt;=100000), " ",IF(INDEX($AB$2:$AQ$1001,MATCH(ROWS($U$2:U683),$U$2:$U$1001,0),MATCH(COLUMNS($AB$1006:AH1006),$AB$1006:$AQ$1006,0)), HYPERLINK("#",""), HYPERLINK(CONCATENATE("#metadata!", ADDRESS(INDEX($W$2:$W$1001,MATCH(ROWS($U$2:U683),$U$2:$U$1001,0),0), INDEX($AB$1004:$AQ$1004,1,MATCH(COLUMNS($AB$1006:AH1006),$AB$1006:$AQ$1006,0)))),"Fix")))</f>
        <v>0</v>
      </c>
      <c r="I683" s="4">
        <f>IF(OR(INDEX($V$2:$V$1001,MATCH(ROWS($U$2:U683),$U$2:$U$1001,0),1)&gt;=100000,INDEX($AB$1005:$AQ$1005,1,MATCH(COLUMNS($AB$1006:AI1006),$AB$1006:$AQ$1006,0))&gt;=100000), " ",IF(INDEX($AB$2:$AQ$1001,MATCH(ROWS($U$2:U683),$U$2:$U$1001,0),MATCH(COLUMNS($AB$1006:AI1006),$AB$1006:$AQ$1006,0)), HYPERLINK("#",""), HYPERLINK(CONCATENATE("#metadata!", ADDRESS(INDEX($W$2:$W$1001,MATCH(ROWS($U$2:U683),$U$2:$U$1001,0),0), INDEX($AB$1004:$AQ$1004,1,MATCH(COLUMNS($AB$1006:AI1006),$AB$1006:$AQ$1006,0)))),"Fix")))</f>
        <v>0</v>
      </c>
      <c r="J683" s="4">
        <f>IF(OR(INDEX($V$2:$V$1001,MATCH(ROWS($U$2:U683),$U$2:$U$1001,0),1)&gt;=100000,INDEX($AB$1005:$AQ$1005,1,MATCH(COLUMNS($AB$1006:AJ1006),$AB$1006:$AQ$1006,0))&gt;=100000), " ",IF(INDEX($AB$2:$AQ$1001,MATCH(ROWS($U$2:U683),$U$2:$U$1001,0),MATCH(COLUMNS($AB$1006:AJ1006),$AB$1006:$AQ$1006,0)), HYPERLINK("#",""), HYPERLINK(CONCATENATE("#metadata!", ADDRESS(INDEX($W$2:$W$1001,MATCH(ROWS($U$2:U683),$U$2:$U$1001,0),0), INDEX($AB$1004:$AQ$1004,1,MATCH(COLUMNS($AB$1006:AJ1006),$AB$1006:$AQ$1006,0)))),"Fix")))</f>
        <v>0</v>
      </c>
      <c r="K683" s="4">
        <f>IF(OR(INDEX($V$2:$V$1001,MATCH(ROWS($U$2:U683),$U$2:$U$1001,0),1)&gt;=100000,INDEX($AB$1005:$AQ$1005,1,MATCH(COLUMNS($AB$1006:AK1006),$AB$1006:$AQ$1006,0))&gt;=100000), " ",IF(INDEX($AB$2:$AQ$1001,MATCH(ROWS($U$2:U683),$U$2:$U$1001,0),MATCH(COLUMNS($AB$1006:AK1006),$AB$1006:$AQ$1006,0)), HYPERLINK("#",""), HYPERLINK(CONCATENATE("#metadata!", ADDRESS(INDEX($W$2:$W$1001,MATCH(ROWS($U$2:U683),$U$2:$U$1001,0),0), INDEX($AB$1004:$AQ$1004,1,MATCH(COLUMNS($AB$1006:AK1006),$AB$1006:$AQ$1006,0)))),"Fix")))</f>
        <v>0</v>
      </c>
      <c r="L683" s="4">
        <f>IF(OR(INDEX($V$2:$V$1001,MATCH(ROWS($U$2:U683),$U$2:$U$1001,0),1)&gt;=100000,INDEX($AB$1005:$AQ$1005,1,MATCH(COLUMNS($AB$1006:AL1006),$AB$1006:$AQ$1006,0))&gt;=100000), " ",IF(INDEX($AB$2:$AQ$1001,MATCH(ROWS($U$2:U683),$U$2:$U$1001,0),MATCH(COLUMNS($AB$1006:AL1006),$AB$1006:$AQ$1006,0)), HYPERLINK("#",""), HYPERLINK(CONCATENATE("#metadata!", ADDRESS(INDEX($W$2:$W$1001,MATCH(ROWS($U$2:U683),$U$2:$U$1001,0),0), INDEX($AB$1004:$AQ$1004,1,MATCH(COLUMNS($AB$1006:AL1006),$AB$1006:$AQ$1006,0)))),"Fix")))</f>
        <v>0</v>
      </c>
      <c r="M683" s="4">
        <f>IF(OR(INDEX($V$2:$V$1001,MATCH(ROWS($U$2:U683),$U$2:$U$1001,0),1)&gt;=100000,INDEX($AB$1005:$AQ$1005,1,MATCH(COLUMNS($AB$1006:AM1006),$AB$1006:$AQ$1006,0))&gt;=100000), " ",IF(INDEX($AB$2:$AQ$1001,MATCH(ROWS($U$2:U683),$U$2:$U$1001,0),MATCH(COLUMNS($AB$1006:AM1006),$AB$1006:$AQ$1006,0)), HYPERLINK("#",""), HYPERLINK(CONCATENATE("#metadata!", ADDRESS(INDEX($W$2:$W$1001,MATCH(ROWS($U$2:U683),$U$2:$U$1001,0),0), INDEX($AB$1004:$AQ$1004,1,MATCH(COLUMNS($AB$1006:AM1006),$AB$1006:$AQ$1006,0)))),"Fix")))</f>
        <v>0</v>
      </c>
      <c r="N683" s="4">
        <f>IF(OR(INDEX($V$2:$V$1001,MATCH(ROWS($U$2:U683),$U$2:$U$1001,0),1)&gt;=100000,INDEX($AB$1005:$AQ$1005,1,MATCH(COLUMNS($AB$1006:AN1006),$AB$1006:$AQ$1006,0))&gt;=100000), " ",IF(INDEX($AB$2:$AQ$1001,MATCH(ROWS($U$2:U683),$U$2:$U$1001,0),MATCH(COLUMNS($AB$1006:AN1006),$AB$1006:$AQ$1006,0)), HYPERLINK("#",""), HYPERLINK(CONCATENATE("#metadata!", ADDRESS(INDEX($W$2:$W$1001,MATCH(ROWS($U$2:U683),$U$2:$U$1001,0),0), INDEX($AB$1004:$AQ$1004,1,MATCH(COLUMNS($AB$1006:AN1006),$AB$1006:$AQ$1006,0)))),"Fix")))</f>
        <v>0</v>
      </c>
      <c r="O683" s="4">
        <f>IF(OR(INDEX($V$2:$V$1001,MATCH(ROWS($U$2:U683),$U$2:$U$1001,0),1)&gt;=100000,INDEX($AB$1005:$AQ$1005,1,MATCH(COLUMNS($AB$1006:AO1006),$AB$1006:$AQ$1006,0))&gt;=100000), " ",IF(INDEX($AB$2:$AQ$1001,MATCH(ROWS($U$2:U683),$U$2:$U$1001,0),MATCH(COLUMNS($AB$1006:AO1006),$AB$1006:$AQ$1006,0)), HYPERLINK("#",""), HYPERLINK(CONCATENATE("#metadata!", ADDRESS(INDEX($W$2:$W$1001,MATCH(ROWS($U$2:U683),$U$2:$U$1001,0),0), INDEX($AB$1004:$AQ$1004,1,MATCH(COLUMNS($AB$1006:AO1006),$AB$1006:$AQ$1006,0)))),"Fix")))</f>
        <v>0</v>
      </c>
      <c r="P683" s="4">
        <f>IF(OR(INDEX($V$2:$V$1001,MATCH(ROWS($U$2:U683),$U$2:$U$1001,0),1)&gt;=100000,INDEX($AB$1005:$AQ$1005,1,MATCH(COLUMNS($AB$1006:AP1006),$AB$1006:$AQ$1006,0))&gt;=100000), " ",IF(INDEX($AB$2:$AQ$1001,MATCH(ROWS($U$2:U683),$U$2:$U$1001,0),MATCH(COLUMNS($AB$1006:AP1006),$AB$1006:$AQ$1006,0)), HYPERLINK("#",""), HYPERLINK(CONCATENATE("#metadata!", ADDRESS(INDEX($W$2:$W$1001,MATCH(ROWS($U$2:U683),$U$2:$U$1001,0),0), INDEX($AB$1004:$AQ$1004,1,MATCH(COLUMNS($AB$1006:AP1006),$AB$1006:$AQ$1006,0)))),"Fix")))</f>
        <v>0</v>
      </c>
      <c r="Q683" s="4">
        <f>IF(OR(INDEX($V$2:$V$1001,MATCH(ROWS($U$2:U683),$U$2:$U$1001,0),1)&gt;=100000,INDEX($AB$1005:$AQ$1005,1,MATCH(COLUMNS($AB$1006:AQ1006),$AB$1006:$AQ$1006,0))&gt;=100000), " ",IF(INDEX($AB$2:$AQ$1001,MATCH(ROWS($U$2:U683),$U$2:$U$1001,0),MATCH(COLUMNS($AB$1006:AQ1006),$AB$1006:$AQ$1006,0)), HYPERLINK("#",""), HYPERLINK(CONCATENATE("#metadata!", ADDRESS(INDEX($W$2:$W$1001,MATCH(ROWS($U$2:U683),$U$2:$U$1001,0),0), INDEX($AB$1004:$AQ$1004,1,MATCH(COLUMNS($AB$1006:AQ1006),$AB$1006:$AQ$1006,0)))),"Fix")))</f>
        <v>0</v>
      </c>
      <c r="U683">
        <v>0</v>
      </c>
      <c r="V683">
        <v>0</v>
      </c>
      <c r="W683">
        <v>0</v>
      </c>
      <c r="X683">
        <f>IF(Y683,TRUE,AND(AB683:AQ683))</f>
        <v>0</v>
      </c>
      <c r="Y683">
        <f>COUNTBLANK(metadata!B683:Q683)=COLUMNS(metadata!B683:Q683)</f>
        <v>0</v>
      </c>
      <c r="Z683">
        <v>0</v>
      </c>
      <c r="AB683">
        <f>AND(IF(metadata!B683="",FALSE,TRUE),COUNTIF(metadata!B:B, metadata!B683) = 1,NOT(ISERROR(SUMPRODUCT(SEARCH(MID(metadata!B683,ROW(INDIRECT("1:"&amp;LEN(metadata!B683))), 1),"0123456789abcdefghijklmnopqrstuvwxyzABCDEFGHIJKLMNOPQRSTUVWXYZ.")))))</f>
        <v>0</v>
      </c>
      <c r="AC683">
        <f>OR(AND(IF(metadata!C683="",FALSE,TRUE),OR(exact(metadata!C683,"missing: not collected"),exact(metadata!C683,"missing: not provided"),exact(metadata!C683,"missing: restricted access"))),AND(IF(metadata!C683="",FALSE,TRUE),AND(AND(IFERROR(INT(LEFT(metadata!C683,4))&gt;1900,FALSE),IFERROR(INT(LEFT(metadata!C683,4))&lt;=YEAR(NOW()),FALSE)), OR(MID(metadata!C683,5,1)="", AND(AND(MID(metadata!C683,5,1)="-",IFERROR(INT(MID(metadata!C683,6,1))&gt;=0,FALSE),IFERROR(INT(MID(metadata!C683,6,1))&lt;=1,FALSE),NOT(MID(metadata!C683,7,1)=""),IFERROR(INT(MID(metadata!C683,6,2))&gt;=1,FALSE),IFERROR(INT(MID(metadata!C683,6,2))&lt;=12,FALSE)), OR(MID(metadata!C683,8,1)="", AND(AND(MID(metadata!C683,8,1)="-",IFERROR(INT(MID(metadata!C683,9,1))&gt;=0,FALSE),IFERROR(INT(MID(metadata!C683,9,1))&lt;=3,FALSE),NOT(MID(metadata!C683,10,1)=""),IFERROR(INT(MID(metadata!C683,9,2))&gt;=1,FALSE),IFERROR(INT(MID(metadata!C683,9,2))&lt;=31,FALSE)), OR(MID(metadata!C683,11,1)="", AND(AND(MID(metadata!C683,11,1)=" ",IFERROR(INT(MID(metadata!C683,12,1))&gt;=0,FALSE),IFERROR(INT(MID(metadata!C683,12,1))&lt;=2,FALSE),NOT(MID(metadata!C683,13,1)=""),IFERROR(INT(MID(metadata!C683,12,2))&gt;=0,FALSE),IFERROR(INT(MID(metadata!C683,12,2))&lt;=23,FALSE)), OR(MID(metadata!C683,14,1)="", AND(AND(MID(metadata!C683,14,1)=":",IFERROR(INT(MID(metadata!C683,15,1))&gt;=0,FALSE),IFERROR(INT(MID(metadata!C683,15,1))&lt;=5,FALSE),NOT(MID(metadata!C683,16,1)=""),IFERROR(INT(MID(metadata!C683,15,2))&gt;=0,FALSE),IFERROR(INT(MID(metadata!C683,15,2))&lt;=59,FALSE)), OR(MID(metadata!C683,17,1)="", AND(AND(MID(metadata!C683,17,1)=":",IFERROR(INT(MID(metadata!C683,18,1))&gt;=0,FALSE),IFERROR(INT(MID(metadata!C683,18,1))&lt;=5,FALSE),NOT(MID(metadata!C683,19,1)=""),IFERROR(INT(MID(metadata!C683,18,2))&gt;=0,FALSE),IFERROR(INT(MID(metadata!C683,18,2))&lt;=59,FALSE)), LEN(metadata!C683)&lt;=19)))))))))))))</f>
        <v>0</v>
      </c>
      <c r="AD683">
        <f>IF(metadata!D683="",FALSE,TRUE)</f>
        <v>0</v>
      </c>
      <c r="AE683">
        <f>OR(AND(IF(metadata!E683="",FALSE,TRUE),OR(exact(metadata!E683,"missing: not collected"),exact(metadata!E683,"missing: not provided"))),AND(IF(metadata!E683="",FALSE,TRUE),OR(exact(metadata!E683,"TRUE"),exact(metadata!E683,"FALSE"))))</f>
        <v>0</v>
      </c>
      <c r="AF683">
        <f>IF(metadata!F683="",FALSE,TRUE)</f>
        <v>0</v>
      </c>
      <c r="AG683">
        <f>IF(metadata!G683="",FALSE,TRUE)</f>
        <v>0</v>
      </c>
      <c r="AH683">
        <f>IF(metadata!H683="",FALSE,TRUE)</f>
        <v>0</v>
      </c>
      <c r="AI683">
        <f>OR(AND(IF(metadata!I683="",FALSE,TRUE),OR(exact(metadata!I683,"missing: not collected"),exact(metadata!I683,"missing: not provided"),exact(metadata!I683,"missing: restricted access"))),AND(IF(metadata!I683="",FALSE,TRUE),OR(exact(metadata!I683,"air"),exact(metadata!I683,"built environment"),exact(metadata!I683,"host-associated"),exact(metadata!I683,"human-associated"),exact(metadata!I683,"human-skin"),exact(metadata!I683,"human-oral"),exact(metadata!I683,"human-gut"),exact(metadata!I683,"human-vaginal"),exact(metadata!I683,"microbial mat/biofilm"),exact(metadata!I683,"misc environment"),exact(metadata!I683,"plant-associated"),exact(metadata!I683,"sediment"),exact(metadata!I683,"soil"),exact(metadata!I683,"wastewater/sludge"),exact(metadata!I683,"water"))))</f>
        <v>0</v>
      </c>
      <c r="AJ683">
        <f>IF(metadata!J683="",FALSE,TRUE)</f>
        <v>0</v>
      </c>
      <c r="AK683">
        <f>OR(AND(IF(metadata!K683="",FALSE,TRUE),OR(exact(metadata!K683,"missing: not collected"),exact(metadata!K683,"missing: not provided"),exact(metadata!K683,"missing: restricted access"))),AND(IF(metadata!K683="",FALSE,ISNUMBER(VALUE(metadata!K683))),metadata!K683&gt;=-90.00,metadata!K683&lt;=90.00))</f>
        <v>0</v>
      </c>
      <c r="AL683">
        <f>OR(AND(IF(metadata!L683="",FALSE,TRUE),OR(exact(metadata!L683,"missing: not collected"),exact(metadata!L683,"missing: not provided"),exact(metadata!L683,"missing: restricted access"))),AND(IF(metadata!L683="",FALSE,ISNUMBER(VALUE(metadata!L683))),metadata!L683&gt;=-180.00,metadata!L683&lt;=180.00))</f>
        <v>0</v>
      </c>
      <c r="AM683">
        <f>IF(metadata!M683="",FALSE,TRUE)</f>
        <v>0</v>
      </c>
      <c r="AN683">
        <f>OR(AND(IF(metadata!N683="",FALSE,TRUE),OR(exact(metadata!N683,"missing: not collected"),exact(metadata!N683,"missing: not provided"),exact(metadata!N683,"missing: restricted access"))),AND(IF(metadata!N683="",FALSE,TRUE),OR(exact(metadata!N683,"TRUE"),exact(metadata!N683,"FALSE"))))</f>
        <v>0</v>
      </c>
      <c r="AO683">
        <f>IF(metadata!O683="",FALSE,TRUE)</f>
        <v>0</v>
      </c>
      <c r="AP683">
        <f>OR(AND(IF(metadata!P683="",FALSE,TRUE),OR(exact(metadata!P683,"missing: not collected"),exact(metadata!P683,"missing: not provided"))),AND(IF(metadata!P683="",FALSE,IF(ISERROR(INT(metadata!P683)),FALSE,INT(metadata!P683)=metadata!P683)),metadata!P683&gt;0))</f>
        <v>0</v>
      </c>
      <c r="AQ683">
        <f>IF(metadata!Q683="",FALSE,TRUE)</f>
        <v>0</v>
      </c>
    </row>
    <row r="684" spans="1:43">
      <c r="A684" s="5">
        <f>IF(B684=" "," ",HYPERLINK(CONCATENATE("#metadata!",ADDRESS(INDEX($W$2:$W$1001,MATCH(ROWS($U$2:U684),$U$2:$U$1001,0),0),1)),INDEX($Z$2:$Z$1001,MATCH(ROWS($U$2:U684),$U$2:$U$1001,0),0)))</f>
        <v>0</v>
      </c>
      <c r="B684" s="4">
        <f>IF(OR(INDEX($V$2:$V$1001,MATCH(ROWS($U$2:U684),$U$2:$U$1001,0),1)&gt;=100000,INDEX($AB$1005:$AQ$1005,1,MATCH(COLUMNS($AB$1006:AB1006),$AB$1006:$AQ$1006,0))&gt;=100000), " ",IF(INDEX($AB$2:$AQ$1001,MATCH(ROWS($U$2:U684),$U$2:$U$1001,0),MATCH(COLUMNS($AB$1006:AB1006),$AB$1006:$AQ$1006,0)), HYPERLINK("#",""), HYPERLINK(CONCATENATE("#metadata!", ADDRESS(INDEX($W$2:$W$1001,MATCH(ROWS($U$2:U684),$U$2:$U$1001,0),0), INDEX($AB$1004:$AQ$1004,1,MATCH(COLUMNS($AB$1006:AB1006),$AB$1006:$AQ$1006,0)))),"Fix")))</f>
        <v>0</v>
      </c>
      <c r="C684" s="4">
        <f>IF(OR(INDEX($V$2:$V$1001,MATCH(ROWS($U$2:U684),$U$2:$U$1001,0),1)&gt;=100000,INDEX($AB$1005:$AQ$1005,1,MATCH(COLUMNS($AB$1006:AC1006),$AB$1006:$AQ$1006,0))&gt;=100000), " ",IF(INDEX($AB$2:$AQ$1001,MATCH(ROWS($U$2:U684),$U$2:$U$1001,0),MATCH(COLUMNS($AB$1006:AC1006),$AB$1006:$AQ$1006,0)), HYPERLINK("#",""), HYPERLINK(CONCATENATE("#metadata!", ADDRESS(INDEX($W$2:$W$1001,MATCH(ROWS($U$2:U684),$U$2:$U$1001,0),0), INDEX($AB$1004:$AQ$1004,1,MATCH(COLUMNS($AB$1006:AC1006),$AB$1006:$AQ$1006,0)))),"Fix")))</f>
        <v>0</v>
      </c>
      <c r="D684" s="4">
        <f>IF(OR(INDEX($V$2:$V$1001,MATCH(ROWS($U$2:U684),$U$2:$U$1001,0),1)&gt;=100000,INDEX($AB$1005:$AQ$1005,1,MATCH(COLUMNS($AB$1006:AD1006),$AB$1006:$AQ$1006,0))&gt;=100000), " ",IF(INDEX($AB$2:$AQ$1001,MATCH(ROWS($U$2:U684),$U$2:$U$1001,0),MATCH(COLUMNS($AB$1006:AD1006),$AB$1006:$AQ$1006,0)), HYPERLINK("#",""), HYPERLINK(CONCATENATE("#metadata!", ADDRESS(INDEX($W$2:$W$1001,MATCH(ROWS($U$2:U684),$U$2:$U$1001,0),0), INDEX($AB$1004:$AQ$1004,1,MATCH(COLUMNS($AB$1006:AD1006),$AB$1006:$AQ$1006,0)))),"Fix")))</f>
        <v>0</v>
      </c>
      <c r="E684" s="4">
        <f>IF(OR(INDEX($V$2:$V$1001,MATCH(ROWS($U$2:U684),$U$2:$U$1001,0),1)&gt;=100000,INDEX($AB$1005:$AQ$1005,1,MATCH(COLUMNS($AB$1006:AE1006),$AB$1006:$AQ$1006,0))&gt;=100000), " ",IF(INDEX($AB$2:$AQ$1001,MATCH(ROWS($U$2:U684),$U$2:$U$1001,0),MATCH(COLUMNS($AB$1006:AE1006),$AB$1006:$AQ$1006,0)), HYPERLINK("#",""), HYPERLINK(CONCATENATE("#metadata!", ADDRESS(INDEX($W$2:$W$1001,MATCH(ROWS($U$2:U684),$U$2:$U$1001,0),0), INDEX($AB$1004:$AQ$1004,1,MATCH(COLUMNS($AB$1006:AE1006),$AB$1006:$AQ$1006,0)))),"Fix")))</f>
        <v>0</v>
      </c>
      <c r="F684" s="4">
        <f>IF(OR(INDEX($V$2:$V$1001,MATCH(ROWS($U$2:U684),$U$2:$U$1001,0),1)&gt;=100000,INDEX($AB$1005:$AQ$1005,1,MATCH(COLUMNS($AB$1006:AF1006),$AB$1006:$AQ$1006,0))&gt;=100000), " ",IF(INDEX($AB$2:$AQ$1001,MATCH(ROWS($U$2:U684),$U$2:$U$1001,0),MATCH(COLUMNS($AB$1006:AF1006),$AB$1006:$AQ$1006,0)), HYPERLINK("#",""), HYPERLINK(CONCATENATE("#metadata!", ADDRESS(INDEX($W$2:$W$1001,MATCH(ROWS($U$2:U684),$U$2:$U$1001,0),0), INDEX($AB$1004:$AQ$1004,1,MATCH(COLUMNS($AB$1006:AF1006),$AB$1006:$AQ$1006,0)))),"Fix")))</f>
        <v>0</v>
      </c>
      <c r="G684" s="4">
        <f>IF(OR(INDEX($V$2:$V$1001,MATCH(ROWS($U$2:U684),$U$2:$U$1001,0),1)&gt;=100000,INDEX($AB$1005:$AQ$1005,1,MATCH(COLUMNS($AB$1006:AG1006),$AB$1006:$AQ$1006,0))&gt;=100000), " ",IF(INDEX($AB$2:$AQ$1001,MATCH(ROWS($U$2:U684),$U$2:$U$1001,0),MATCH(COLUMNS($AB$1006:AG1006),$AB$1006:$AQ$1006,0)), HYPERLINK("#",""), HYPERLINK(CONCATENATE("#metadata!", ADDRESS(INDEX($W$2:$W$1001,MATCH(ROWS($U$2:U684),$U$2:$U$1001,0),0), INDEX($AB$1004:$AQ$1004,1,MATCH(COLUMNS($AB$1006:AG1006),$AB$1006:$AQ$1006,0)))),"Fix")))</f>
        <v>0</v>
      </c>
      <c r="H684" s="4">
        <f>IF(OR(INDEX($V$2:$V$1001,MATCH(ROWS($U$2:U684),$U$2:$U$1001,0),1)&gt;=100000,INDEX($AB$1005:$AQ$1005,1,MATCH(COLUMNS($AB$1006:AH1006),$AB$1006:$AQ$1006,0))&gt;=100000), " ",IF(INDEX($AB$2:$AQ$1001,MATCH(ROWS($U$2:U684),$U$2:$U$1001,0),MATCH(COLUMNS($AB$1006:AH1006),$AB$1006:$AQ$1006,0)), HYPERLINK("#",""), HYPERLINK(CONCATENATE("#metadata!", ADDRESS(INDEX($W$2:$W$1001,MATCH(ROWS($U$2:U684),$U$2:$U$1001,0),0), INDEX($AB$1004:$AQ$1004,1,MATCH(COLUMNS($AB$1006:AH1006),$AB$1006:$AQ$1006,0)))),"Fix")))</f>
        <v>0</v>
      </c>
      <c r="I684" s="4">
        <f>IF(OR(INDEX($V$2:$V$1001,MATCH(ROWS($U$2:U684),$U$2:$U$1001,0),1)&gt;=100000,INDEX($AB$1005:$AQ$1005,1,MATCH(COLUMNS($AB$1006:AI1006),$AB$1006:$AQ$1006,0))&gt;=100000), " ",IF(INDEX($AB$2:$AQ$1001,MATCH(ROWS($U$2:U684),$U$2:$U$1001,0),MATCH(COLUMNS($AB$1006:AI1006),$AB$1006:$AQ$1006,0)), HYPERLINK("#",""), HYPERLINK(CONCATENATE("#metadata!", ADDRESS(INDEX($W$2:$W$1001,MATCH(ROWS($U$2:U684),$U$2:$U$1001,0),0), INDEX($AB$1004:$AQ$1004,1,MATCH(COLUMNS($AB$1006:AI1006),$AB$1006:$AQ$1006,0)))),"Fix")))</f>
        <v>0</v>
      </c>
      <c r="J684" s="4">
        <f>IF(OR(INDEX($V$2:$V$1001,MATCH(ROWS($U$2:U684),$U$2:$U$1001,0),1)&gt;=100000,INDEX($AB$1005:$AQ$1005,1,MATCH(COLUMNS($AB$1006:AJ1006),$AB$1006:$AQ$1006,0))&gt;=100000), " ",IF(INDEX($AB$2:$AQ$1001,MATCH(ROWS($U$2:U684),$U$2:$U$1001,0),MATCH(COLUMNS($AB$1006:AJ1006),$AB$1006:$AQ$1006,0)), HYPERLINK("#",""), HYPERLINK(CONCATENATE("#metadata!", ADDRESS(INDEX($W$2:$W$1001,MATCH(ROWS($U$2:U684),$U$2:$U$1001,0),0), INDEX($AB$1004:$AQ$1004,1,MATCH(COLUMNS($AB$1006:AJ1006),$AB$1006:$AQ$1006,0)))),"Fix")))</f>
        <v>0</v>
      </c>
      <c r="K684" s="4">
        <f>IF(OR(INDEX($V$2:$V$1001,MATCH(ROWS($U$2:U684),$U$2:$U$1001,0),1)&gt;=100000,INDEX($AB$1005:$AQ$1005,1,MATCH(COLUMNS($AB$1006:AK1006),$AB$1006:$AQ$1006,0))&gt;=100000), " ",IF(INDEX($AB$2:$AQ$1001,MATCH(ROWS($U$2:U684),$U$2:$U$1001,0),MATCH(COLUMNS($AB$1006:AK1006),$AB$1006:$AQ$1006,0)), HYPERLINK("#",""), HYPERLINK(CONCATENATE("#metadata!", ADDRESS(INDEX($W$2:$W$1001,MATCH(ROWS($U$2:U684),$U$2:$U$1001,0),0), INDEX($AB$1004:$AQ$1004,1,MATCH(COLUMNS($AB$1006:AK1006),$AB$1006:$AQ$1006,0)))),"Fix")))</f>
        <v>0</v>
      </c>
      <c r="L684" s="4">
        <f>IF(OR(INDEX($V$2:$V$1001,MATCH(ROWS($U$2:U684),$U$2:$U$1001,0),1)&gt;=100000,INDEX($AB$1005:$AQ$1005,1,MATCH(COLUMNS($AB$1006:AL1006),$AB$1006:$AQ$1006,0))&gt;=100000), " ",IF(INDEX($AB$2:$AQ$1001,MATCH(ROWS($U$2:U684),$U$2:$U$1001,0),MATCH(COLUMNS($AB$1006:AL1006),$AB$1006:$AQ$1006,0)), HYPERLINK("#",""), HYPERLINK(CONCATENATE("#metadata!", ADDRESS(INDEX($W$2:$W$1001,MATCH(ROWS($U$2:U684),$U$2:$U$1001,0),0), INDEX($AB$1004:$AQ$1004,1,MATCH(COLUMNS($AB$1006:AL1006),$AB$1006:$AQ$1006,0)))),"Fix")))</f>
        <v>0</v>
      </c>
      <c r="M684" s="4">
        <f>IF(OR(INDEX($V$2:$V$1001,MATCH(ROWS($U$2:U684),$U$2:$U$1001,0),1)&gt;=100000,INDEX($AB$1005:$AQ$1005,1,MATCH(COLUMNS($AB$1006:AM1006),$AB$1006:$AQ$1006,0))&gt;=100000), " ",IF(INDEX($AB$2:$AQ$1001,MATCH(ROWS($U$2:U684),$U$2:$U$1001,0),MATCH(COLUMNS($AB$1006:AM1006),$AB$1006:$AQ$1006,0)), HYPERLINK("#",""), HYPERLINK(CONCATENATE("#metadata!", ADDRESS(INDEX($W$2:$W$1001,MATCH(ROWS($U$2:U684),$U$2:$U$1001,0),0), INDEX($AB$1004:$AQ$1004,1,MATCH(COLUMNS($AB$1006:AM1006),$AB$1006:$AQ$1006,0)))),"Fix")))</f>
        <v>0</v>
      </c>
      <c r="N684" s="4">
        <f>IF(OR(INDEX($V$2:$V$1001,MATCH(ROWS($U$2:U684),$U$2:$U$1001,0),1)&gt;=100000,INDEX($AB$1005:$AQ$1005,1,MATCH(COLUMNS($AB$1006:AN1006),$AB$1006:$AQ$1006,0))&gt;=100000), " ",IF(INDEX($AB$2:$AQ$1001,MATCH(ROWS($U$2:U684),$U$2:$U$1001,0),MATCH(COLUMNS($AB$1006:AN1006),$AB$1006:$AQ$1006,0)), HYPERLINK("#",""), HYPERLINK(CONCATENATE("#metadata!", ADDRESS(INDEX($W$2:$W$1001,MATCH(ROWS($U$2:U684),$U$2:$U$1001,0),0), INDEX($AB$1004:$AQ$1004,1,MATCH(COLUMNS($AB$1006:AN1006),$AB$1006:$AQ$1006,0)))),"Fix")))</f>
        <v>0</v>
      </c>
      <c r="O684" s="4">
        <f>IF(OR(INDEX($V$2:$V$1001,MATCH(ROWS($U$2:U684),$U$2:$U$1001,0),1)&gt;=100000,INDEX($AB$1005:$AQ$1005,1,MATCH(COLUMNS($AB$1006:AO1006),$AB$1006:$AQ$1006,0))&gt;=100000), " ",IF(INDEX($AB$2:$AQ$1001,MATCH(ROWS($U$2:U684),$U$2:$U$1001,0),MATCH(COLUMNS($AB$1006:AO1006),$AB$1006:$AQ$1006,0)), HYPERLINK("#",""), HYPERLINK(CONCATENATE("#metadata!", ADDRESS(INDEX($W$2:$W$1001,MATCH(ROWS($U$2:U684),$U$2:$U$1001,0),0), INDEX($AB$1004:$AQ$1004,1,MATCH(COLUMNS($AB$1006:AO1006),$AB$1006:$AQ$1006,0)))),"Fix")))</f>
        <v>0</v>
      </c>
      <c r="P684" s="4">
        <f>IF(OR(INDEX($V$2:$V$1001,MATCH(ROWS($U$2:U684),$U$2:$U$1001,0),1)&gt;=100000,INDEX($AB$1005:$AQ$1005,1,MATCH(COLUMNS($AB$1006:AP1006),$AB$1006:$AQ$1006,0))&gt;=100000), " ",IF(INDEX($AB$2:$AQ$1001,MATCH(ROWS($U$2:U684),$U$2:$U$1001,0),MATCH(COLUMNS($AB$1006:AP1006),$AB$1006:$AQ$1006,0)), HYPERLINK("#",""), HYPERLINK(CONCATENATE("#metadata!", ADDRESS(INDEX($W$2:$W$1001,MATCH(ROWS($U$2:U684),$U$2:$U$1001,0),0), INDEX($AB$1004:$AQ$1004,1,MATCH(COLUMNS($AB$1006:AP1006),$AB$1006:$AQ$1006,0)))),"Fix")))</f>
        <v>0</v>
      </c>
      <c r="Q684" s="4">
        <f>IF(OR(INDEX($V$2:$V$1001,MATCH(ROWS($U$2:U684),$U$2:$U$1001,0),1)&gt;=100000,INDEX($AB$1005:$AQ$1005,1,MATCH(COLUMNS($AB$1006:AQ1006),$AB$1006:$AQ$1006,0))&gt;=100000), " ",IF(INDEX($AB$2:$AQ$1001,MATCH(ROWS($U$2:U684),$U$2:$U$1001,0),MATCH(COLUMNS($AB$1006:AQ1006),$AB$1006:$AQ$1006,0)), HYPERLINK("#",""), HYPERLINK(CONCATENATE("#metadata!", ADDRESS(INDEX($W$2:$W$1001,MATCH(ROWS($U$2:U684),$U$2:$U$1001,0),0), INDEX($AB$1004:$AQ$1004,1,MATCH(COLUMNS($AB$1006:AQ1006),$AB$1006:$AQ$1006,0)))),"Fix")))</f>
        <v>0</v>
      </c>
      <c r="U684">
        <v>0</v>
      </c>
      <c r="V684">
        <v>0</v>
      </c>
      <c r="W684">
        <v>0</v>
      </c>
      <c r="X684">
        <f>IF(Y684,TRUE,AND(AB684:AQ684))</f>
        <v>0</v>
      </c>
      <c r="Y684">
        <f>COUNTBLANK(metadata!B684:Q684)=COLUMNS(metadata!B684:Q684)</f>
        <v>0</v>
      </c>
      <c r="Z684">
        <v>0</v>
      </c>
      <c r="AB684">
        <f>AND(IF(metadata!B684="",FALSE,TRUE),COUNTIF(metadata!B:B, metadata!B684) = 1,NOT(ISERROR(SUMPRODUCT(SEARCH(MID(metadata!B684,ROW(INDIRECT("1:"&amp;LEN(metadata!B684))), 1),"0123456789abcdefghijklmnopqrstuvwxyzABCDEFGHIJKLMNOPQRSTUVWXYZ.")))))</f>
        <v>0</v>
      </c>
      <c r="AC684">
        <f>OR(AND(IF(metadata!C684="",FALSE,TRUE),OR(exact(metadata!C684,"missing: not collected"),exact(metadata!C684,"missing: not provided"),exact(metadata!C684,"missing: restricted access"))),AND(IF(metadata!C684="",FALSE,TRUE),AND(AND(IFERROR(INT(LEFT(metadata!C684,4))&gt;1900,FALSE),IFERROR(INT(LEFT(metadata!C684,4))&lt;=YEAR(NOW()),FALSE)), OR(MID(metadata!C684,5,1)="", AND(AND(MID(metadata!C684,5,1)="-",IFERROR(INT(MID(metadata!C684,6,1))&gt;=0,FALSE),IFERROR(INT(MID(metadata!C684,6,1))&lt;=1,FALSE),NOT(MID(metadata!C684,7,1)=""),IFERROR(INT(MID(metadata!C684,6,2))&gt;=1,FALSE),IFERROR(INT(MID(metadata!C684,6,2))&lt;=12,FALSE)), OR(MID(metadata!C684,8,1)="", AND(AND(MID(metadata!C684,8,1)="-",IFERROR(INT(MID(metadata!C684,9,1))&gt;=0,FALSE),IFERROR(INT(MID(metadata!C684,9,1))&lt;=3,FALSE),NOT(MID(metadata!C684,10,1)=""),IFERROR(INT(MID(metadata!C684,9,2))&gt;=1,FALSE),IFERROR(INT(MID(metadata!C684,9,2))&lt;=31,FALSE)), OR(MID(metadata!C684,11,1)="", AND(AND(MID(metadata!C684,11,1)=" ",IFERROR(INT(MID(metadata!C684,12,1))&gt;=0,FALSE),IFERROR(INT(MID(metadata!C684,12,1))&lt;=2,FALSE),NOT(MID(metadata!C684,13,1)=""),IFERROR(INT(MID(metadata!C684,12,2))&gt;=0,FALSE),IFERROR(INT(MID(metadata!C684,12,2))&lt;=23,FALSE)), OR(MID(metadata!C684,14,1)="", AND(AND(MID(metadata!C684,14,1)=":",IFERROR(INT(MID(metadata!C684,15,1))&gt;=0,FALSE),IFERROR(INT(MID(metadata!C684,15,1))&lt;=5,FALSE),NOT(MID(metadata!C684,16,1)=""),IFERROR(INT(MID(metadata!C684,15,2))&gt;=0,FALSE),IFERROR(INT(MID(metadata!C684,15,2))&lt;=59,FALSE)), OR(MID(metadata!C684,17,1)="", AND(AND(MID(metadata!C684,17,1)=":",IFERROR(INT(MID(metadata!C684,18,1))&gt;=0,FALSE),IFERROR(INT(MID(metadata!C684,18,1))&lt;=5,FALSE),NOT(MID(metadata!C684,19,1)=""),IFERROR(INT(MID(metadata!C684,18,2))&gt;=0,FALSE),IFERROR(INT(MID(metadata!C684,18,2))&lt;=59,FALSE)), LEN(metadata!C684)&lt;=19)))))))))))))</f>
        <v>0</v>
      </c>
      <c r="AD684">
        <f>IF(metadata!D684="",FALSE,TRUE)</f>
        <v>0</v>
      </c>
      <c r="AE684">
        <f>OR(AND(IF(metadata!E684="",FALSE,TRUE),OR(exact(metadata!E684,"missing: not collected"),exact(metadata!E684,"missing: not provided"))),AND(IF(metadata!E684="",FALSE,TRUE),OR(exact(metadata!E684,"TRUE"),exact(metadata!E684,"FALSE"))))</f>
        <v>0</v>
      </c>
      <c r="AF684">
        <f>IF(metadata!F684="",FALSE,TRUE)</f>
        <v>0</v>
      </c>
      <c r="AG684">
        <f>IF(metadata!G684="",FALSE,TRUE)</f>
        <v>0</v>
      </c>
      <c r="AH684">
        <f>IF(metadata!H684="",FALSE,TRUE)</f>
        <v>0</v>
      </c>
      <c r="AI684">
        <f>OR(AND(IF(metadata!I684="",FALSE,TRUE),OR(exact(metadata!I684,"missing: not collected"),exact(metadata!I684,"missing: not provided"),exact(metadata!I684,"missing: restricted access"))),AND(IF(metadata!I684="",FALSE,TRUE),OR(exact(metadata!I684,"air"),exact(metadata!I684,"built environment"),exact(metadata!I684,"host-associated"),exact(metadata!I684,"human-associated"),exact(metadata!I684,"human-skin"),exact(metadata!I684,"human-oral"),exact(metadata!I684,"human-gut"),exact(metadata!I684,"human-vaginal"),exact(metadata!I684,"microbial mat/biofilm"),exact(metadata!I684,"misc environment"),exact(metadata!I684,"plant-associated"),exact(metadata!I684,"sediment"),exact(metadata!I684,"soil"),exact(metadata!I684,"wastewater/sludge"),exact(metadata!I684,"water"))))</f>
        <v>0</v>
      </c>
      <c r="AJ684">
        <f>IF(metadata!J684="",FALSE,TRUE)</f>
        <v>0</v>
      </c>
      <c r="AK684">
        <f>OR(AND(IF(metadata!K684="",FALSE,TRUE),OR(exact(metadata!K684,"missing: not collected"),exact(metadata!K684,"missing: not provided"),exact(metadata!K684,"missing: restricted access"))),AND(IF(metadata!K684="",FALSE,ISNUMBER(VALUE(metadata!K684))),metadata!K684&gt;=-90.00,metadata!K684&lt;=90.00))</f>
        <v>0</v>
      </c>
      <c r="AL684">
        <f>OR(AND(IF(metadata!L684="",FALSE,TRUE),OR(exact(metadata!L684,"missing: not collected"),exact(metadata!L684,"missing: not provided"),exact(metadata!L684,"missing: restricted access"))),AND(IF(metadata!L684="",FALSE,ISNUMBER(VALUE(metadata!L684))),metadata!L684&gt;=-180.00,metadata!L684&lt;=180.00))</f>
        <v>0</v>
      </c>
      <c r="AM684">
        <f>IF(metadata!M684="",FALSE,TRUE)</f>
        <v>0</v>
      </c>
      <c r="AN684">
        <f>OR(AND(IF(metadata!N684="",FALSE,TRUE),OR(exact(metadata!N684,"missing: not collected"),exact(metadata!N684,"missing: not provided"),exact(metadata!N684,"missing: restricted access"))),AND(IF(metadata!N684="",FALSE,TRUE),OR(exact(metadata!N684,"TRUE"),exact(metadata!N684,"FALSE"))))</f>
        <v>0</v>
      </c>
      <c r="AO684">
        <f>IF(metadata!O684="",FALSE,TRUE)</f>
        <v>0</v>
      </c>
      <c r="AP684">
        <f>OR(AND(IF(metadata!P684="",FALSE,TRUE),OR(exact(metadata!P684,"missing: not collected"),exact(metadata!P684,"missing: not provided"))),AND(IF(metadata!P684="",FALSE,IF(ISERROR(INT(metadata!P684)),FALSE,INT(metadata!P684)=metadata!P684)),metadata!P684&gt;0))</f>
        <v>0</v>
      </c>
      <c r="AQ684">
        <f>IF(metadata!Q684="",FALSE,TRUE)</f>
        <v>0</v>
      </c>
    </row>
    <row r="685" spans="1:43">
      <c r="A685" s="5">
        <f>IF(B685=" "," ",HYPERLINK(CONCATENATE("#metadata!",ADDRESS(INDEX($W$2:$W$1001,MATCH(ROWS($U$2:U685),$U$2:$U$1001,0),0),1)),INDEX($Z$2:$Z$1001,MATCH(ROWS($U$2:U685),$U$2:$U$1001,0),0)))</f>
        <v>0</v>
      </c>
      <c r="B685" s="4">
        <f>IF(OR(INDEX($V$2:$V$1001,MATCH(ROWS($U$2:U685),$U$2:$U$1001,0),1)&gt;=100000,INDEX($AB$1005:$AQ$1005,1,MATCH(COLUMNS($AB$1006:AB1006),$AB$1006:$AQ$1006,0))&gt;=100000), " ",IF(INDEX($AB$2:$AQ$1001,MATCH(ROWS($U$2:U685),$U$2:$U$1001,0),MATCH(COLUMNS($AB$1006:AB1006),$AB$1006:$AQ$1006,0)), HYPERLINK("#",""), HYPERLINK(CONCATENATE("#metadata!", ADDRESS(INDEX($W$2:$W$1001,MATCH(ROWS($U$2:U685),$U$2:$U$1001,0),0), INDEX($AB$1004:$AQ$1004,1,MATCH(COLUMNS($AB$1006:AB1006),$AB$1006:$AQ$1006,0)))),"Fix")))</f>
        <v>0</v>
      </c>
      <c r="C685" s="4">
        <f>IF(OR(INDEX($V$2:$V$1001,MATCH(ROWS($U$2:U685),$U$2:$U$1001,0),1)&gt;=100000,INDEX($AB$1005:$AQ$1005,1,MATCH(COLUMNS($AB$1006:AC1006),$AB$1006:$AQ$1006,0))&gt;=100000), " ",IF(INDEX($AB$2:$AQ$1001,MATCH(ROWS($U$2:U685),$U$2:$U$1001,0),MATCH(COLUMNS($AB$1006:AC1006),$AB$1006:$AQ$1006,0)), HYPERLINK("#",""), HYPERLINK(CONCATENATE("#metadata!", ADDRESS(INDEX($W$2:$W$1001,MATCH(ROWS($U$2:U685),$U$2:$U$1001,0),0), INDEX($AB$1004:$AQ$1004,1,MATCH(COLUMNS($AB$1006:AC1006),$AB$1006:$AQ$1006,0)))),"Fix")))</f>
        <v>0</v>
      </c>
      <c r="D685" s="4">
        <f>IF(OR(INDEX($V$2:$V$1001,MATCH(ROWS($U$2:U685),$U$2:$U$1001,0),1)&gt;=100000,INDEX($AB$1005:$AQ$1005,1,MATCH(COLUMNS($AB$1006:AD1006),$AB$1006:$AQ$1006,0))&gt;=100000), " ",IF(INDEX($AB$2:$AQ$1001,MATCH(ROWS($U$2:U685),$U$2:$U$1001,0),MATCH(COLUMNS($AB$1006:AD1006),$AB$1006:$AQ$1006,0)), HYPERLINK("#",""), HYPERLINK(CONCATENATE("#metadata!", ADDRESS(INDEX($W$2:$W$1001,MATCH(ROWS($U$2:U685),$U$2:$U$1001,0),0), INDEX($AB$1004:$AQ$1004,1,MATCH(COLUMNS($AB$1006:AD1006),$AB$1006:$AQ$1006,0)))),"Fix")))</f>
        <v>0</v>
      </c>
      <c r="E685" s="4">
        <f>IF(OR(INDEX($V$2:$V$1001,MATCH(ROWS($U$2:U685),$U$2:$U$1001,0),1)&gt;=100000,INDEX($AB$1005:$AQ$1005,1,MATCH(COLUMNS($AB$1006:AE1006),$AB$1006:$AQ$1006,0))&gt;=100000), " ",IF(INDEX($AB$2:$AQ$1001,MATCH(ROWS($U$2:U685),$U$2:$U$1001,0),MATCH(COLUMNS($AB$1006:AE1006),$AB$1006:$AQ$1006,0)), HYPERLINK("#",""), HYPERLINK(CONCATENATE("#metadata!", ADDRESS(INDEX($W$2:$W$1001,MATCH(ROWS($U$2:U685),$U$2:$U$1001,0),0), INDEX($AB$1004:$AQ$1004,1,MATCH(COLUMNS($AB$1006:AE1006),$AB$1006:$AQ$1006,0)))),"Fix")))</f>
        <v>0</v>
      </c>
      <c r="F685" s="4">
        <f>IF(OR(INDEX($V$2:$V$1001,MATCH(ROWS($U$2:U685),$U$2:$U$1001,0),1)&gt;=100000,INDEX($AB$1005:$AQ$1005,1,MATCH(COLUMNS($AB$1006:AF1006),$AB$1006:$AQ$1006,0))&gt;=100000), " ",IF(INDEX($AB$2:$AQ$1001,MATCH(ROWS($U$2:U685),$U$2:$U$1001,0),MATCH(COLUMNS($AB$1006:AF1006),$AB$1006:$AQ$1006,0)), HYPERLINK("#",""), HYPERLINK(CONCATENATE("#metadata!", ADDRESS(INDEX($W$2:$W$1001,MATCH(ROWS($U$2:U685),$U$2:$U$1001,0),0), INDEX($AB$1004:$AQ$1004,1,MATCH(COLUMNS($AB$1006:AF1006),$AB$1006:$AQ$1006,0)))),"Fix")))</f>
        <v>0</v>
      </c>
      <c r="G685" s="4">
        <f>IF(OR(INDEX($V$2:$V$1001,MATCH(ROWS($U$2:U685),$U$2:$U$1001,0),1)&gt;=100000,INDEX($AB$1005:$AQ$1005,1,MATCH(COLUMNS($AB$1006:AG1006),$AB$1006:$AQ$1006,0))&gt;=100000), " ",IF(INDEX($AB$2:$AQ$1001,MATCH(ROWS($U$2:U685),$U$2:$U$1001,0),MATCH(COLUMNS($AB$1006:AG1006),$AB$1006:$AQ$1006,0)), HYPERLINK("#",""), HYPERLINK(CONCATENATE("#metadata!", ADDRESS(INDEX($W$2:$W$1001,MATCH(ROWS($U$2:U685),$U$2:$U$1001,0),0), INDEX($AB$1004:$AQ$1004,1,MATCH(COLUMNS($AB$1006:AG1006),$AB$1006:$AQ$1006,0)))),"Fix")))</f>
        <v>0</v>
      </c>
      <c r="H685" s="4">
        <f>IF(OR(INDEX($V$2:$V$1001,MATCH(ROWS($U$2:U685),$U$2:$U$1001,0),1)&gt;=100000,INDEX($AB$1005:$AQ$1005,1,MATCH(COLUMNS($AB$1006:AH1006),$AB$1006:$AQ$1006,0))&gt;=100000), " ",IF(INDEX($AB$2:$AQ$1001,MATCH(ROWS($U$2:U685),$U$2:$U$1001,0),MATCH(COLUMNS($AB$1006:AH1006),$AB$1006:$AQ$1006,0)), HYPERLINK("#",""), HYPERLINK(CONCATENATE("#metadata!", ADDRESS(INDEX($W$2:$W$1001,MATCH(ROWS($U$2:U685),$U$2:$U$1001,0),0), INDEX($AB$1004:$AQ$1004,1,MATCH(COLUMNS($AB$1006:AH1006),$AB$1006:$AQ$1006,0)))),"Fix")))</f>
        <v>0</v>
      </c>
      <c r="I685" s="4">
        <f>IF(OR(INDEX($V$2:$V$1001,MATCH(ROWS($U$2:U685),$U$2:$U$1001,0),1)&gt;=100000,INDEX($AB$1005:$AQ$1005,1,MATCH(COLUMNS($AB$1006:AI1006),$AB$1006:$AQ$1006,0))&gt;=100000), " ",IF(INDEX($AB$2:$AQ$1001,MATCH(ROWS($U$2:U685),$U$2:$U$1001,0),MATCH(COLUMNS($AB$1006:AI1006),$AB$1006:$AQ$1006,0)), HYPERLINK("#",""), HYPERLINK(CONCATENATE("#metadata!", ADDRESS(INDEX($W$2:$W$1001,MATCH(ROWS($U$2:U685),$U$2:$U$1001,0),0), INDEX($AB$1004:$AQ$1004,1,MATCH(COLUMNS($AB$1006:AI1006),$AB$1006:$AQ$1006,0)))),"Fix")))</f>
        <v>0</v>
      </c>
      <c r="J685" s="4">
        <f>IF(OR(INDEX($V$2:$V$1001,MATCH(ROWS($U$2:U685),$U$2:$U$1001,0),1)&gt;=100000,INDEX($AB$1005:$AQ$1005,1,MATCH(COLUMNS($AB$1006:AJ1006),$AB$1006:$AQ$1006,0))&gt;=100000), " ",IF(INDEX($AB$2:$AQ$1001,MATCH(ROWS($U$2:U685),$U$2:$U$1001,0),MATCH(COLUMNS($AB$1006:AJ1006),$AB$1006:$AQ$1006,0)), HYPERLINK("#",""), HYPERLINK(CONCATENATE("#metadata!", ADDRESS(INDEX($W$2:$W$1001,MATCH(ROWS($U$2:U685),$U$2:$U$1001,0),0), INDEX($AB$1004:$AQ$1004,1,MATCH(COLUMNS($AB$1006:AJ1006),$AB$1006:$AQ$1006,0)))),"Fix")))</f>
        <v>0</v>
      </c>
      <c r="K685" s="4">
        <f>IF(OR(INDEX($V$2:$V$1001,MATCH(ROWS($U$2:U685),$U$2:$U$1001,0),1)&gt;=100000,INDEX($AB$1005:$AQ$1005,1,MATCH(COLUMNS($AB$1006:AK1006),$AB$1006:$AQ$1006,0))&gt;=100000), " ",IF(INDEX($AB$2:$AQ$1001,MATCH(ROWS($U$2:U685),$U$2:$U$1001,0),MATCH(COLUMNS($AB$1006:AK1006),$AB$1006:$AQ$1006,0)), HYPERLINK("#",""), HYPERLINK(CONCATENATE("#metadata!", ADDRESS(INDEX($W$2:$W$1001,MATCH(ROWS($U$2:U685),$U$2:$U$1001,0),0), INDEX($AB$1004:$AQ$1004,1,MATCH(COLUMNS($AB$1006:AK1006),$AB$1006:$AQ$1006,0)))),"Fix")))</f>
        <v>0</v>
      </c>
      <c r="L685" s="4">
        <f>IF(OR(INDEX($V$2:$V$1001,MATCH(ROWS($U$2:U685),$U$2:$U$1001,0),1)&gt;=100000,INDEX($AB$1005:$AQ$1005,1,MATCH(COLUMNS($AB$1006:AL1006),$AB$1006:$AQ$1006,0))&gt;=100000), " ",IF(INDEX($AB$2:$AQ$1001,MATCH(ROWS($U$2:U685),$U$2:$U$1001,0),MATCH(COLUMNS($AB$1006:AL1006),$AB$1006:$AQ$1006,0)), HYPERLINK("#",""), HYPERLINK(CONCATENATE("#metadata!", ADDRESS(INDEX($W$2:$W$1001,MATCH(ROWS($U$2:U685),$U$2:$U$1001,0),0), INDEX($AB$1004:$AQ$1004,1,MATCH(COLUMNS($AB$1006:AL1006),$AB$1006:$AQ$1006,0)))),"Fix")))</f>
        <v>0</v>
      </c>
      <c r="M685" s="4">
        <f>IF(OR(INDEX($V$2:$V$1001,MATCH(ROWS($U$2:U685),$U$2:$U$1001,0),1)&gt;=100000,INDEX($AB$1005:$AQ$1005,1,MATCH(COLUMNS($AB$1006:AM1006),$AB$1006:$AQ$1006,0))&gt;=100000), " ",IF(INDEX($AB$2:$AQ$1001,MATCH(ROWS($U$2:U685),$U$2:$U$1001,0),MATCH(COLUMNS($AB$1006:AM1006),$AB$1006:$AQ$1006,0)), HYPERLINK("#",""), HYPERLINK(CONCATENATE("#metadata!", ADDRESS(INDEX($W$2:$W$1001,MATCH(ROWS($U$2:U685),$U$2:$U$1001,0),0), INDEX($AB$1004:$AQ$1004,1,MATCH(COLUMNS($AB$1006:AM1006),$AB$1006:$AQ$1006,0)))),"Fix")))</f>
        <v>0</v>
      </c>
      <c r="N685" s="4">
        <f>IF(OR(INDEX($V$2:$V$1001,MATCH(ROWS($U$2:U685),$U$2:$U$1001,0),1)&gt;=100000,INDEX($AB$1005:$AQ$1005,1,MATCH(COLUMNS($AB$1006:AN1006),$AB$1006:$AQ$1006,0))&gt;=100000), " ",IF(INDEX($AB$2:$AQ$1001,MATCH(ROWS($U$2:U685),$U$2:$U$1001,0),MATCH(COLUMNS($AB$1006:AN1006),$AB$1006:$AQ$1006,0)), HYPERLINK("#",""), HYPERLINK(CONCATENATE("#metadata!", ADDRESS(INDEX($W$2:$W$1001,MATCH(ROWS($U$2:U685),$U$2:$U$1001,0),0), INDEX($AB$1004:$AQ$1004,1,MATCH(COLUMNS($AB$1006:AN1006),$AB$1006:$AQ$1006,0)))),"Fix")))</f>
        <v>0</v>
      </c>
      <c r="O685" s="4">
        <f>IF(OR(INDEX($V$2:$V$1001,MATCH(ROWS($U$2:U685),$U$2:$U$1001,0),1)&gt;=100000,INDEX($AB$1005:$AQ$1005,1,MATCH(COLUMNS($AB$1006:AO1006),$AB$1006:$AQ$1006,0))&gt;=100000), " ",IF(INDEX($AB$2:$AQ$1001,MATCH(ROWS($U$2:U685),$U$2:$U$1001,0),MATCH(COLUMNS($AB$1006:AO1006),$AB$1006:$AQ$1006,0)), HYPERLINK("#",""), HYPERLINK(CONCATENATE("#metadata!", ADDRESS(INDEX($W$2:$W$1001,MATCH(ROWS($U$2:U685),$U$2:$U$1001,0),0), INDEX($AB$1004:$AQ$1004,1,MATCH(COLUMNS($AB$1006:AO1006),$AB$1006:$AQ$1006,0)))),"Fix")))</f>
        <v>0</v>
      </c>
      <c r="P685" s="4">
        <f>IF(OR(INDEX($V$2:$V$1001,MATCH(ROWS($U$2:U685),$U$2:$U$1001,0),1)&gt;=100000,INDEX($AB$1005:$AQ$1005,1,MATCH(COLUMNS($AB$1006:AP1006),$AB$1006:$AQ$1006,0))&gt;=100000), " ",IF(INDEX($AB$2:$AQ$1001,MATCH(ROWS($U$2:U685),$U$2:$U$1001,0),MATCH(COLUMNS($AB$1006:AP1006),$AB$1006:$AQ$1006,0)), HYPERLINK("#",""), HYPERLINK(CONCATENATE("#metadata!", ADDRESS(INDEX($W$2:$W$1001,MATCH(ROWS($U$2:U685),$U$2:$U$1001,0),0), INDEX($AB$1004:$AQ$1004,1,MATCH(COLUMNS($AB$1006:AP1006),$AB$1006:$AQ$1006,0)))),"Fix")))</f>
        <v>0</v>
      </c>
      <c r="Q685" s="4">
        <f>IF(OR(INDEX($V$2:$V$1001,MATCH(ROWS($U$2:U685),$U$2:$U$1001,0),1)&gt;=100000,INDEX($AB$1005:$AQ$1005,1,MATCH(COLUMNS($AB$1006:AQ1006),$AB$1006:$AQ$1006,0))&gt;=100000), " ",IF(INDEX($AB$2:$AQ$1001,MATCH(ROWS($U$2:U685),$U$2:$U$1001,0),MATCH(COLUMNS($AB$1006:AQ1006),$AB$1006:$AQ$1006,0)), HYPERLINK("#",""), HYPERLINK(CONCATENATE("#metadata!", ADDRESS(INDEX($W$2:$W$1001,MATCH(ROWS($U$2:U685),$U$2:$U$1001,0),0), INDEX($AB$1004:$AQ$1004,1,MATCH(COLUMNS($AB$1006:AQ1006),$AB$1006:$AQ$1006,0)))),"Fix")))</f>
        <v>0</v>
      </c>
      <c r="U685">
        <v>0</v>
      </c>
      <c r="V685">
        <v>0</v>
      </c>
      <c r="W685">
        <v>0</v>
      </c>
      <c r="X685">
        <f>IF(Y685,TRUE,AND(AB685:AQ685))</f>
        <v>0</v>
      </c>
      <c r="Y685">
        <f>COUNTBLANK(metadata!B685:Q685)=COLUMNS(metadata!B685:Q685)</f>
        <v>0</v>
      </c>
      <c r="Z685">
        <v>0</v>
      </c>
      <c r="AB685">
        <f>AND(IF(metadata!B685="",FALSE,TRUE),COUNTIF(metadata!B:B, metadata!B685) = 1,NOT(ISERROR(SUMPRODUCT(SEARCH(MID(metadata!B685,ROW(INDIRECT("1:"&amp;LEN(metadata!B685))), 1),"0123456789abcdefghijklmnopqrstuvwxyzABCDEFGHIJKLMNOPQRSTUVWXYZ.")))))</f>
        <v>0</v>
      </c>
      <c r="AC685">
        <f>OR(AND(IF(metadata!C685="",FALSE,TRUE),OR(exact(metadata!C685,"missing: not collected"),exact(metadata!C685,"missing: not provided"),exact(metadata!C685,"missing: restricted access"))),AND(IF(metadata!C685="",FALSE,TRUE),AND(AND(IFERROR(INT(LEFT(metadata!C685,4))&gt;1900,FALSE),IFERROR(INT(LEFT(metadata!C685,4))&lt;=YEAR(NOW()),FALSE)), OR(MID(metadata!C685,5,1)="", AND(AND(MID(metadata!C685,5,1)="-",IFERROR(INT(MID(metadata!C685,6,1))&gt;=0,FALSE),IFERROR(INT(MID(metadata!C685,6,1))&lt;=1,FALSE),NOT(MID(metadata!C685,7,1)=""),IFERROR(INT(MID(metadata!C685,6,2))&gt;=1,FALSE),IFERROR(INT(MID(metadata!C685,6,2))&lt;=12,FALSE)), OR(MID(metadata!C685,8,1)="", AND(AND(MID(metadata!C685,8,1)="-",IFERROR(INT(MID(metadata!C685,9,1))&gt;=0,FALSE),IFERROR(INT(MID(metadata!C685,9,1))&lt;=3,FALSE),NOT(MID(metadata!C685,10,1)=""),IFERROR(INT(MID(metadata!C685,9,2))&gt;=1,FALSE),IFERROR(INT(MID(metadata!C685,9,2))&lt;=31,FALSE)), OR(MID(metadata!C685,11,1)="", AND(AND(MID(metadata!C685,11,1)=" ",IFERROR(INT(MID(metadata!C685,12,1))&gt;=0,FALSE),IFERROR(INT(MID(metadata!C685,12,1))&lt;=2,FALSE),NOT(MID(metadata!C685,13,1)=""),IFERROR(INT(MID(metadata!C685,12,2))&gt;=0,FALSE),IFERROR(INT(MID(metadata!C685,12,2))&lt;=23,FALSE)), OR(MID(metadata!C685,14,1)="", AND(AND(MID(metadata!C685,14,1)=":",IFERROR(INT(MID(metadata!C685,15,1))&gt;=0,FALSE),IFERROR(INT(MID(metadata!C685,15,1))&lt;=5,FALSE),NOT(MID(metadata!C685,16,1)=""),IFERROR(INT(MID(metadata!C685,15,2))&gt;=0,FALSE),IFERROR(INT(MID(metadata!C685,15,2))&lt;=59,FALSE)), OR(MID(metadata!C685,17,1)="", AND(AND(MID(metadata!C685,17,1)=":",IFERROR(INT(MID(metadata!C685,18,1))&gt;=0,FALSE),IFERROR(INT(MID(metadata!C685,18,1))&lt;=5,FALSE),NOT(MID(metadata!C685,19,1)=""),IFERROR(INT(MID(metadata!C685,18,2))&gt;=0,FALSE),IFERROR(INT(MID(metadata!C685,18,2))&lt;=59,FALSE)), LEN(metadata!C685)&lt;=19)))))))))))))</f>
        <v>0</v>
      </c>
      <c r="AD685">
        <f>IF(metadata!D685="",FALSE,TRUE)</f>
        <v>0</v>
      </c>
      <c r="AE685">
        <f>OR(AND(IF(metadata!E685="",FALSE,TRUE),OR(exact(metadata!E685,"missing: not collected"),exact(metadata!E685,"missing: not provided"))),AND(IF(metadata!E685="",FALSE,TRUE),OR(exact(metadata!E685,"TRUE"),exact(metadata!E685,"FALSE"))))</f>
        <v>0</v>
      </c>
      <c r="AF685">
        <f>IF(metadata!F685="",FALSE,TRUE)</f>
        <v>0</v>
      </c>
      <c r="AG685">
        <f>IF(metadata!G685="",FALSE,TRUE)</f>
        <v>0</v>
      </c>
      <c r="AH685">
        <f>IF(metadata!H685="",FALSE,TRUE)</f>
        <v>0</v>
      </c>
      <c r="AI685">
        <f>OR(AND(IF(metadata!I685="",FALSE,TRUE),OR(exact(metadata!I685,"missing: not collected"),exact(metadata!I685,"missing: not provided"),exact(metadata!I685,"missing: restricted access"))),AND(IF(metadata!I685="",FALSE,TRUE),OR(exact(metadata!I685,"air"),exact(metadata!I685,"built environment"),exact(metadata!I685,"host-associated"),exact(metadata!I685,"human-associated"),exact(metadata!I685,"human-skin"),exact(metadata!I685,"human-oral"),exact(metadata!I685,"human-gut"),exact(metadata!I685,"human-vaginal"),exact(metadata!I685,"microbial mat/biofilm"),exact(metadata!I685,"misc environment"),exact(metadata!I685,"plant-associated"),exact(metadata!I685,"sediment"),exact(metadata!I685,"soil"),exact(metadata!I685,"wastewater/sludge"),exact(metadata!I685,"water"))))</f>
        <v>0</v>
      </c>
      <c r="AJ685">
        <f>IF(metadata!J685="",FALSE,TRUE)</f>
        <v>0</v>
      </c>
      <c r="AK685">
        <f>OR(AND(IF(metadata!K685="",FALSE,TRUE),OR(exact(metadata!K685,"missing: not collected"),exact(metadata!K685,"missing: not provided"),exact(metadata!K685,"missing: restricted access"))),AND(IF(metadata!K685="",FALSE,ISNUMBER(VALUE(metadata!K685))),metadata!K685&gt;=-90.00,metadata!K685&lt;=90.00))</f>
        <v>0</v>
      </c>
      <c r="AL685">
        <f>OR(AND(IF(metadata!L685="",FALSE,TRUE),OR(exact(metadata!L685,"missing: not collected"),exact(metadata!L685,"missing: not provided"),exact(metadata!L685,"missing: restricted access"))),AND(IF(metadata!L685="",FALSE,ISNUMBER(VALUE(metadata!L685))),metadata!L685&gt;=-180.00,metadata!L685&lt;=180.00))</f>
        <v>0</v>
      </c>
      <c r="AM685">
        <f>IF(metadata!M685="",FALSE,TRUE)</f>
        <v>0</v>
      </c>
      <c r="AN685">
        <f>OR(AND(IF(metadata!N685="",FALSE,TRUE),OR(exact(metadata!N685,"missing: not collected"),exact(metadata!N685,"missing: not provided"),exact(metadata!N685,"missing: restricted access"))),AND(IF(metadata!N685="",FALSE,TRUE),OR(exact(metadata!N685,"TRUE"),exact(metadata!N685,"FALSE"))))</f>
        <v>0</v>
      </c>
      <c r="AO685">
        <f>IF(metadata!O685="",FALSE,TRUE)</f>
        <v>0</v>
      </c>
      <c r="AP685">
        <f>OR(AND(IF(metadata!P685="",FALSE,TRUE),OR(exact(metadata!P685,"missing: not collected"),exact(metadata!P685,"missing: not provided"))),AND(IF(metadata!P685="",FALSE,IF(ISERROR(INT(metadata!P685)),FALSE,INT(metadata!P685)=metadata!P685)),metadata!P685&gt;0))</f>
        <v>0</v>
      </c>
      <c r="AQ685">
        <f>IF(metadata!Q685="",FALSE,TRUE)</f>
        <v>0</v>
      </c>
    </row>
    <row r="686" spans="1:43">
      <c r="A686" s="5">
        <f>IF(B686=" "," ",HYPERLINK(CONCATENATE("#metadata!",ADDRESS(INDEX($W$2:$W$1001,MATCH(ROWS($U$2:U686),$U$2:$U$1001,0),0),1)),INDEX($Z$2:$Z$1001,MATCH(ROWS($U$2:U686),$U$2:$U$1001,0),0)))</f>
        <v>0</v>
      </c>
      <c r="B686" s="4">
        <f>IF(OR(INDEX($V$2:$V$1001,MATCH(ROWS($U$2:U686),$U$2:$U$1001,0),1)&gt;=100000,INDEX($AB$1005:$AQ$1005,1,MATCH(COLUMNS($AB$1006:AB1006),$AB$1006:$AQ$1006,0))&gt;=100000), " ",IF(INDEX($AB$2:$AQ$1001,MATCH(ROWS($U$2:U686),$U$2:$U$1001,0),MATCH(COLUMNS($AB$1006:AB1006),$AB$1006:$AQ$1006,0)), HYPERLINK("#",""), HYPERLINK(CONCATENATE("#metadata!", ADDRESS(INDEX($W$2:$W$1001,MATCH(ROWS($U$2:U686),$U$2:$U$1001,0),0), INDEX($AB$1004:$AQ$1004,1,MATCH(COLUMNS($AB$1006:AB1006),$AB$1006:$AQ$1006,0)))),"Fix")))</f>
        <v>0</v>
      </c>
      <c r="C686" s="4">
        <f>IF(OR(INDEX($V$2:$V$1001,MATCH(ROWS($U$2:U686),$U$2:$U$1001,0),1)&gt;=100000,INDEX($AB$1005:$AQ$1005,1,MATCH(COLUMNS($AB$1006:AC1006),$AB$1006:$AQ$1006,0))&gt;=100000), " ",IF(INDEX($AB$2:$AQ$1001,MATCH(ROWS($U$2:U686),$U$2:$U$1001,0),MATCH(COLUMNS($AB$1006:AC1006),$AB$1006:$AQ$1006,0)), HYPERLINK("#",""), HYPERLINK(CONCATENATE("#metadata!", ADDRESS(INDEX($W$2:$W$1001,MATCH(ROWS($U$2:U686),$U$2:$U$1001,0),0), INDEX($AB$1004:$AQ$1004,1,MATCH(COLUMNS($AB$1006:AC1006),$AB$1006:$AQ$1006,0)))),"Fix")))</f>
        <v>0</v>
      </c>
      <c r="D686" s="4">
        <f>IF(OR(INDEX($V$2:$V$1001,MATCH(ROWS($U$2:U686),$U$2:$U$1001,0),1)&gt;=100000,INDEX($AB$1005:$AQ$1005,1,MATCH(COLUMNS($AB$1006:AD1006),$AB$1006:$AQ$1006,0))&gt;=100000), " ",IF(INDEX($AB$2:$AQ$1001,MATCH(ROWS($U$2:U686),$U$2:$U$1001,0),MATCH(COLUMNS($AB$1006:AD1006),$AB$1006:$AQ$1006,0)), HYPERLINK("#",""), HYPERLINK(CONCATENATE("#metadata!", ADDRESS(INDEX($W$2:$W$1001,MATCH(ROWS($U$2:U686),$U$2:$U$1001,0),0), INDEX($AB$1004:$AQ$1004,1,MATCH(COLUMNS($AB$1006:AD1006),$AB$1006:$AQ$1006,0)))),"Fix")))</f>
        <v>0</v>
      </c>
      <c r="E686" s="4">
        <f>IF(OR(INDEX($V$2:$V$1001,MATCH(ROWS($U$2:U686),$U$2:$U$1001,0),1)&gt;=100000,INDEX($AB$1005:$AQ$1005,1,MATCH(COLUMNS($AB$1006:AE1006),$AB$1006:$AQ$1006,0))&gt;=100000), " ",IF(INDEX($AB$2:$AQ$1001,MATCH(ROWS($U$2:U686),$U$2:$U$1001,0),MATCH(COLUMNS($AB$1006:AE1006),$AB$1006:$AQ$1006,0)), HYPERLINK("#",""), HYPERLINK(CONCATENATE("#metadata!", ADDRESS(INDEX($W$2:$W$1001,MATCH(ROWS($U$2:U686),$U$2:$U$1001,0),0), INDEX($AB$1004:$AQ$1004,1,MATCH(COLUMNS($AB$1006:AE1006),$AB$1006:$AQ$1006,0)))),"Fix")))</f>
        <v>0</v>
      </c>
      <c r="F686" s="4">
        <f>IF(OR(INDEX($V$2:$V$1001,MATCH(ROWS($U$2:U686),$U$2:$U$1001,0),1)&gt;=100000,INDEX($AB$1005:$AQ$1005,1,MATCH(COLUMNS($AB$1006:AF1006),$AB$1006:$AQ$1006,0))&gt;=100000), " ",IF(INDEX($AB$2:$AQ$1001,MATCH(ROWS($U$2:U686),$U$2:$U$1001,0),MATCH(COLUMNS($AB$1006:AF1006),$AB$1006:$AQ$1006,0)), HYPERLINK("#",""), HYPERLINK(CONCATENATE("#metadata!", ADDRESS(INDEX($W$2:$W$1001,MATCH(ROWS($U$2:U686),$U$2:$U$1001,0),0), INDEX($AB$1004:$AQ$1004,1,MATCH(COLUMNS($AB$1006:AF1006),$AB$1006:$AQ$1006,0)))),"Fix")))</f>
        <v>0</v>
      </c>
      <c r="G686" s="4">
        <f>IF(OR(INDEX($V$2:$V$1001,MATCH(ROWS($U$2:U686),$U$2:$U$1001,0),1)&gt;=100000,INDEX($AB$1005:$AQ$1005,1,MATCH(COLUMNS($AB$1006:AG1006),$AB$1006:$AQ$1006,0))&gt;=100000), " ",IF(INDEX($AB$2:$AQ$1001,MATCH(ROWS($U$2:U686),$U$2:$U$1001,0),MATCH(COLUMNS($AB$1006:AG1006),$AB$1006:$AQ$1006,0)), HYPERLINK("#",""), HYPERLINK(CONCATENATE("#metadata!", ADDRESS(INDEX($W$2:$W$1001,MATCH(ROWS($U$2:U686),$U$2:$U$1001,0),0), INDEX($AB$1004:$AQ$1004,1,MATCH(COLUMNS($AB$1006:AG1006),$AB$1006:$AQ$1006,0)))),"Fix")))</f>
        <v>0</v>
      </c>
      <c r="H686" s="4">
        <f>IF(OR(INDEX($V$2:$V$1001,MATCH(ROWS($U$2:U686),$U$2:$U$1001,0),1)&gt;=100000,INDEX($AB$1005:$AQ$1005,1,MATCH(COLUMNS($AB$1006:AH1006),$AB$1006:$AQ$1006,0))&gt;=100000), " ",IF(INDEX($AB$2:$AQ$1001,MATCH(ROWS($U$2:U686),$U$2:$U$1001,0),MATCH(COLUMNS($AB$1006:AH1006),$AB$1006:$AQ$1006,0)), HYPERLINK("#",""), HYPERLINK(CONCATENATE("#metadata!", ADDRESS(INDEX($W$2:$W$1001,MATCH(ROWS($U$2:U686),$U$2:$U$1001,0),0), INDEX($AB$1004:$AQ$1004,1,MATCH(COLUMNS($AB$1006:AH1006),$AB$1006:$AQ$1006,0)))),"Fix")))</f>
        <v>0</v>
      </c>
      <c r="I686" s="4">
        <f>IF(OR(INDEX($V$2:$V$1001,MATCH(ROWS($U$2:U686),$U$2:$U$1001,0),1)&gt;=100000,INDEX($AB$1005:$AQ$1005,1,MATCH(COLUMNS($AB$1006:AI1006),$AB$1006:$AQ$1006,0))&gt;=100000), " ",IF(INDEX($AB$2:$AQ$1001,MATCH(ROWS($U$2:U686),$U$2:$U$1001,0),MATCH(COLUMNS($AB$1006:AI1006),$AB$1006:$AQ$1006,0)), HYPERLINK("#",""), HYPERLINK(CONCATENATE("#metadata!", ADDRESS(INDEX($W$2:$W$1001,MATCH(ROWS($U$2:U686),$U$2:$U$1001,0),0), INDEX($AB$1004:$AQ$1004,1,MATCH(COLUMNS($AB$1006:AI1006),$AB$1006:$AQ$1006,0)))),"Fix")))</f>
        <v>0</v>
      </c>
      <c r="J686" s="4">
        <f>IF(OR(INDEX($V$2:$V$1001,MATCH(ROWS($U$2:U686),$U$2:$U$1001,0),1)&gt;=100000,INDEX($AB$1005:$AQ$1005,1,MATCH(COLUMNS($AB$1006:AJ1006),$AB$1006:$AQ$1006,0))&gt;=100000), " ",IF(INDEX($AB$2:$AQ$1001,MATCH(ROWS($U$2:U686),$U$2:$U$1001,0),MATCH(COLUMNS($AB$1006:AJ1006),$AB$1006:$AQ$1006,0)), HYPERLINK("#",""), HYPERLINK(CONCATENATE("#metadata!", ADDRESS(INDEX($W$2:$W$1001,MATCH(ROWS($U$2:U686),$U$2:$U$1001,0),0), INDEX($AB$1004:$AQ$1004,1,MATCH(COLUMNS($AB$1006:AJ1006),$AB$1006:$AQ$1006,0)))),"Fix")))</f>
        <v>0</v>
      </c>
      <c r="K686" s="4">
        <f>IF(OR(INDEX($V$2:$V$1001,MATCH(ROWS($U$2:U686),$U$2:$U$1001,0),1)&gt;=100000,INDEX($AB$1005:$AQ$1005,1,MATCH(COLUMNS($AB$1006:AK1006),$AB$1006:$AQ$1006,0))&gt;=100000), " ",IF(INDEX($AB$2:$AQ$1001,MATCH(ROWS($U$2:U686),$U$2:$U$1001,0),MATCH(COLUMNS($AB$1006:AK1006),$AB$1006:$AQ$1006,0)), HYPERLINK("#",""), HYPERLINK(CONCATENATE("#metadata!", ADDRESS(INDEX($W$2:$W$1001,MATCH(ROWS($U$2:U686),$U$2:$U$1001,0),0), INDEX($AB$1004:$AQ$1004,1,MATCH(COLUMNS($AB$1006:AK1006),$AB$1006:$AQ$1006,0)))),"Fix")))</f>
        <v>0</v>
      </c>
      <c r="L686" s="4">
        <f>IF(OR(INDEX($V$2:$V$1001,MATCH(ROWS($U$2:U686),$U$2:$U$1001,0),1)&gt;=100000,INDEX($AB$1005:$AQ$1005,1,MATCH(COLUMNS($AB$1006:AL1006),$AB$1006:$AQ$1006,0))&gt;=100000), " ",IF(INDEX($AB$2:$AQ$1001,MATCH(ROWS($U$2:U686),$U$2:$U$1001,0),MATCH(COLUMNS($AB$1006:AL1006),$AB$1006:$AQ$1006,0)), HYPERLINK("#",""), HYPERLINK(CONCATENATE("#metadata!", ADDRESS(INDEX($W$2:$W$1001,MATCH(ROWS($U$2:U686),$U$2:$U$1001,0),0), INDEX($AB$1004:$AQ$1004,1,MATCH(COLUMNS($AB$1006:AL1006),$AB$1006:$AQ$1006,0)))),"Fix")))</f>
        <v>0</v>
      </c>
      <c r="M686" s="4">
        <f>IF(OR(INDEX($V$2:$V$1001,MATCH(ROWS($U$2:U686),$U$2:$U$1001,0),1)&gt;=100000,INDEX($AB$1005:$AQ$1005,1,MATCH(COLUMNS($AB$1006:AM1006),$AB$1006:$AQ$1006,0))&gt;=100000), " ",IF(INDEX($AB$2:$AQ$1001,MATCH(ROWS($U$2:U686),$U$2:$U$1001,0),MATCH(COLUMNS($AB$1006:AM1006),$AB$1006:$AQ$1006,0)), HYPERLINK("#",""), HYPERLINK(CONCATENATE("#metadata!", ADDRESS(INDEX($W$2:$W$1001,MATCH(ROWS($U$2:U686),$U$2:$U$1001,0),0), INDEX($AB$1004:$AQ$1004,1,MATCH(COLUMNS($AB$1006:AM1006),$AB$1006:$AQ$1006,0)))),"Fix")))</f>
        <v>0</v>
      </c>
      <c r="N686" s="4">
        <f>IF(OR(INDEX($V$2:$V$1001,MATCH(ROWS($U$2:U686),$U$2:$U$1001,0),1)&gt;=100000,INDEX($AB$1005:$AQ$1005,1,MATCH(COLUMNS($AB$1006:AN1006),$AB$1006:$AQ$1006,0))&gt;=100000), " ",IF(INDEX($AB$2:$AQ$1001,MATCH(ROWS($U$2:U686),$U$2:$U$1001,0),MATCH(COLUMNS($AB$1006:AN1006),$AB$1006:$AQ$1006,0)), HYPERLINK("#",""), HYPERLINK(CONCATENATE("#metadata!", ADDRESS(INDEX($W$2:$W$1001,MATCH(ROWS($U$2:U686),$U$2:$U$1001,0),0), INDEX($AB$1004:$AQ$1004,1,MATCH(COLUMNS($AB$1006:AN1006),$AB$1006:$AQ$1006,0)))),"Fix")))</f>
        <v>0</v>
      </c>
      <c r="O686" s="4">
        <f>IF(OR(INDEX($V$2:$V$1001,MATCH(ROWS($U$2:U686),$U$2:$U$1001,0),1)&gt;=100000,INDEX($AB$1005:$AQ$1005,1,MATCH(COLUMNS($AB$1006:AO1006),$AB$1006:$AQ$1006,0))&gt;=100000), " ",IF(INDEX($AB$2:$AQ$1001,MATCH(ROWS($U$2:U686),$U$2:$U$1001,0),MATCH(COLUMNS($AB$1006:AO1006),$AB$1006:$AQ$1006,0)), HYPERLINK("#",""), HYPERLINK(CONCATENATE("#metadata!", ADDRESS(INDEX($W$2:$W$1001,MATCH(ROWS($U$2:U686),$U$2:$U$1001,0),0), INDEX($AB$1004:$AQ$1004,1,MATCH(COLUMNS($AB$1006:AO1006),$AB$1006:$AQ$1006,0)))),"Fix")))</f>
        <v>0</v>
      </c>
      <c r="P686" s="4">
        <f>IF(OR(INDEX($V$2:$V$1001,MATCH(ROWS($U$2:U686),$U$2:$U$1001,0),1)&gt;=100000,INDEX($AB$1005:$AQ$1005,1,MATCH(COLUMNS($AB$1006:AP1006),$AB$1006:$AQ$1006,0))&gt;=100000), " ",IF(INDEX($AB$2:$AQ$1001,MATCH(ROWS($U$2:U686),$U$2:$U$1001,0),MATCH(COLUMNS($AB$1006:AP1006),$AB$1006:$AQ$1006,0)), HYPERLINK("#",""), HYPERLINK(CONCATENATE("#metadata!", ADDRESS(INDEX($W$2:$W$1001,MATCH(ROWS($U$2:U686),$U$2:$U$1001,0),0), INDEX($AB$1004:$AQ$1004,1,MATCH(COLUMNS($AB$1006:AP1006),$AB$1006:$AQ$1006,0)))),"Fix")))</f>
        <v>0</v>
      </c>
      <c r="Q686" s="4">
        <f>IF(OR(INDEX($V$2:$V$1001,MATCH(ROWS($U$2:U686),$U$2:$U$1001,0),1)&gt;=100000,INDEX($AB$1005:$AQ$1005,1,MATCH(COLUMNS($AB$1006:AQ1006),$AB$1006:$AQ$1006,0))&gt;=100000), " ",IF(INDEX($AB$2:$AQ$1001,MATCH(ROWS($U$2:U686),$U$2:$U$1001,0),MATCH(COLUMNS($AB$1006:AQ1006),$AB$1006:$AQ$1006,0)), HYPERLINK("#",""), HYPERLINK(CONCATENATE("#metadata!", ADDRESS(INDEX($W$2:$W$1001,MATCH(ROWS($U$2:U686),$U$2:$U$1001,0),0), INDEX($AB$1004:$AQ$1004,1,MATCH(COLUMNS($AB$1006:AQ1006),$AB$1006:$AQ$1006,0)))),"Fix")))</f>
        <v>0</v>
      </c>
      <c r="U686">
        <v>0</v>
      </c>
      <c r="V686">
        <v>0</v>
      </c>
      <c r="W686">
        <v>0</v>
      </c>
      <c r="X686">
        <f>IF(Y686,TRUE,AND(AB686:AQ686))</f>
        <v>0</v>
      </c>
      <c r="Y686">
        <f>COUNTBLANK(metadata!B686:Q686)=COLUMNS(metadata!B686:Q686)</f>
        <v>0</v>
      </c>
      <c r="Z686">
        <v>0</v>
      </c>
      <c r="AB686">
        <f>AND(IF(metadata!B686="",FALSE,TRUE),COUNTIF(metadata!B:B, metadata!B686) = 1,NOT(ISERROR(SUMPRODUCT(SEARCH(MID(metadata!B686,ROW(INDIRECT("1:"&amp;LEN(metadata!B686))), 1),"0123456789abcdefghijklmnopqrstuvwxyzABCDEFGHIJKLMNOPQRSTUVWXYZ.")))))</f>
        <v>0</v>
      </c>
      <c r="AC686">
        <f>OR(AND(IF(metadata!C686="",FALSE,TRUE),OR(exact(metadata!C686,"missing: not collected"),exact(metadata!C686,"missing: not provided"),exact(metadata!C686,"missing: restricted access"))),AND(IF(metadata!C686="",FALSE,TRUE),AND(AND(IFERROR(INT(LEFT(metadata!C686,4))&gt;1900,FALSE),IFERROR(INT(LEFT(metadata!C686,4))&lt;=YEAR(NOW()),FALSE)), OR(MID(metadata!C686,5,1)="", AND(AND(MID(metadata!C686,5,1)="-",IFERROR(INT(MID(metadata!C686,6,1))&gt;=0,FALSE),IFERROR(INT(MID(metadata!C686,6,1))&lt;=1,FALSE),NOT(MID(metadata!C686,7,1)=""),IFERROR(INT(MID(metadata!C686,6,2))&gt;=1,FALSE),IFERROR(INT(MID(metadata!C686,6,2))&lt;=12,FALSE)), OR(MID(metadata!C686,8,1)="", AND(AND(MID(metadata!C686,8,1)="-",IFERROR(INT(MID(metadata!C686,9,1))&gt;=0,FALSE),IFERROR(INT(MID(metadata!C686,9,1))&lt;=3,FALSE),NOT(MID(metadata!C686,10,1)=""),IFERROR(INT(MID(metadata!C686,9,2))&gt;=1,FALSE),IFERROR(INT(MID(metadata!C686,9,2))&lt;=31,FALSE)), OR(MID(metadata!C686,11,1)="", AND(AND(MID(metadata!C686,11,1)=" ",IFERROR(INT(MID(metadata!C686,12,1))&gt;=0,FALSE),IFERROR(INT(MID(metadata!C686,12,1))&lt;=2,FALSE),NOT(MID(metadata!C686,13,1)=""),IFERROR(INT(MID(metadata!C686,12,2))&gt;=0,FALSE),IFERROR(INT(MID(metadata!C686,12,2))&lt;=23,FALSE)), OR(MID(metadata!C686,14,1)="", AND(AND(MID(metadata!C686,14,1)=":",IFERROR(INT(MID(metadata!C686,15,1))&gt;=0,FALSE),IFERROR(INT(MID(metadata!C686,15,1))&lt;=5,FALSE),NOT(MID(metadata!C686,16,1)=""),IFERROR(INT(MID(metadata!C686,15,2))&gt;=0,FALSE),IFERROR(INT(MID(metadata!C686,15,2))&lt;=59,FALSE)), OR(MID(metadata!C686,17,1)="", AND(AND(MID(metadata!C686,17,1)=":",IFERROR(INT(MID(metadata!C686,18,1))&gt;=0,FALSE),IFERROR(INT(MID(metadata!C686,18,1))&lt;=5,FALSE),NOT(MID(metadata!C686,19,1)=""),IFERROR(INT(MID(metadata!C686,18,2))&gt;=0,FALSE),IFERROR(INT(MID(metadata!C686,18,2))&lt;=59,FALSE)), LEN(metadata!C686)&lt;=19)))))))))))))</f>
        <v>0</v>
      </c>
      <c r="AD686">
        <f>IF(metadata!D686="",FALSE,TRUE)</f>
        <v>0</v>
      </c>
      <c r="AE686">
        <f>OR(AND(IF(metadata!E686="",FALSE,TRUE),OR(exact(metadata!E686,"missing: not collected"),exact(metadata!E686,"missing: not provided"))),AND(IF(metadata!E686="",FALSE,TRUE),OR(exact(metadata!E686,"TRUE"),exact(metadata!E686,"FALSE"))))</f>
        <v>0</v>
      </c>
      <c r="AF686">
        <f>IF(metadata!F686="",FALSE,TRUE)</f>
        <v>0</v>
      </c>
      <c r="AG686">
        <f>IF(metadata!G686="",FALSE,TRUE)</f>
        <v>0</v>
      </c>
      <c r="AH686">
        <f>IF(metadata!H686="",FALSE,TRUE)</f>
        <v>0</v>
      </c>
      <c r="AI686">
        <f>OR(AND(IF(metadata!I686="",FALSE,TRUE),OR(exact(metadata!I686,"missing: not collected"),exact(metadata!I686,"missing: not provided"),exact(metadata!I686,"missing: restricted access"))),AND(IF(metadata!I686="",FALSE,TRUE),OR(exact(metadata!I686,"air"),exact(metadata!I686,"built environment"),exact(metadata!I686,"host-associated"),exact(metadata!I686,"human-associated"),exact(metadata!I686,"human-skin"),exact(metadata!I686,"human-oral"),exact(metadata!I686,"human-gut"),exact(metadata!I686,"human-vaginal"),exact(metadata!I686,"microbial mat/biofilm"),exact(metadata!I686,"misc environment"),exact(metadata!I686,"plant-associated"),exact(metadata!I686,"sediment"),exact(metadata!I686,"soil"),exact(metadata!I686,"wastewater/sludge"),exact(metadata!I686,"water"))))</f>
        <v>0</v>
      </c>
      <c r="AJ686">
        <f>IF(metadata!J686="",FALSE,TRUE)</f>
        <v>0</v>
      </c>
      <c r="AK686">
        <f>OR(AND(IF(metadata!K686="",FALSE,TRUE),OR(exact(metadata!K686,"missing: not collected"),exact(metadata!K686,"missing: not provided"),exact(metadata!K686,"missing: restricted access"))),AND(IF(metadata!K686="",FALSE,ISNUMBER(VALUE(metadata!K686))),metadata!K686&gt;=-90.00,metadata!K686&lt;=90.00))</f>
        <v>0</v>
      </c>
      <c r="AL686">
        <f>OR(AND(IF(metadata!L686="",FALSE,TRUE),OR(exact(metadata!L686,"missing: not collected"),exact(metadata!L686,"missing: not provided"),exact(metadata!L686,"missing: restricted access"))),AND(IF(metadata!L686="",FALSE,ISNUMBER(VALUE(metadata!L686))),metadata!L686&gt;=-180.00,metadata!L686&lt;=180.00))</f>
        <v>0</v>
      </c>
      <c r="AM686">
        <f>IF(metadata!M686="",FALSE,TRUE)</f>
        <v>0</v>
      </c>
      <c r="AN686">
        <f>OR(AND(IF(metadata!N686="",FALSE,TRUE),OR(exact(metadata!N686,"missing: not collected"),exact(metadata!N686,"missing: not provided"),exact(metadata!N686,"missing: restricted access"))),AND(IF(metadata!N686="",FALSE,TRUE),OR(exact(metadata!N686,"TRUE"),exact(metadata!N686,"FALSE"))))</f>
        <v>0</v>
      </c>
      <c r="AO686">
        <f>IF(metadata!O686="",FALSE,TRUE)</f>
        <v>0</v>
      </c>
      <c r="AP686">
        <f>OR(AND(IF(metadata!P686="",FALSE,TRUE),OR(exact(metadata!P686,"missing: not collected"),exact(metadata!P686,"missing: not provided"))),AND(IF(metadata!P686="",FALSE,IF(ISERROR(INT(metadata!P686)),FALSE,INT(metadata!P686)=metadata!P686)),metadata!P686&gt;0))</f>
        <v>0</v>
      </c>
      <c r="AQ686">
        <f>IF(metadata!Q686="",FALSE,TRUE)</f>
        <v>0</v>
      </c>
    </row>
    <row r="687" spans="1:43">
      <c r="A687" s="5">
        <f>IF(B687=" "," ",HYPERLINK(CONCATENATE("#metadata!",ADDRESS(INDEX($W$2:$W$1001,MATCH(ROWS($U$2:U687),$U$2:$U$1001,0),0),1)),INDEX($Z$2:$Z$1001,MATCH(ROWS($U$2:U687),$U$2:$U$1001,0),0)))</f>
        <v>0</v>
      </c>
      <c r="B687" s="4">
        <f>IF(OR(INDEX($V$2:$V$1001,MATCH(ROWS($U$2:U687),$U$2:$U$1001,0),1)&gt;=100000,INDEX($AB$1005:$AQ$1005,1,MATCH(COLUMNS($AB$1006:AB1006),$AB$1006:$AQ$1006,0))&gt;=100000), " ",IF(INDEX($AB$2:$AQ$1001,MATCH(ROWS($U$2:U687),$U$2:$U$1001,0),MATCH(COLUMNS($AB$1006:AB1006),$AB$1006:$AQ$1006,0)), HYPERLINK("#",""), HYPERLINK(CONCATENATE("#metadata!", ADDRESS(INDEX($W$2:$W$1001,MATCH(ROWS($U$2:U687),$U$2:$U$1001,0),0), INDEX($AB$1004:$AQ$1004,1,MATCH(COLUMNS($AB$1006:AB1006),$AB$1006:$AQ$1006,0)))),"Fix")))</f>
        <v>0</v>
      </c>
      <c r="C687" s="4">
        <f>IF(OR(INDEX($V$2:$V$1001,MATCH(ROWS($U$2:U687),$U$2:$U$1001,0),1)&gt;=100000,INDEX($AB$1005:$AQ$1005,1,MATCH(COLUMNS($AB$1006:AC1006),$AB$1006:$AQ$1006,0))&gt;=100000), " ",IF(INDEX($AB$2:$AQ$1001,MATCH(ROWS($U$2:U687),$U$2:$U$1001,0),MATCH(COLUMNS($AB$1006:AC1006),$AB$1006:$AQ$1006,0)), HYPERLINK("#",""), HYPERLINK(CONCATENATE("#metadata!", ADDRESS(INDEX($W$2:$W$1001,MATCH(ROWS($U$2:U687),$U$2:$U$1001,0),0), INDEX($AB$1004:$AQ$1004,1,MATCH(COLUMNS($AB$1006:AC1006),$AB$1006:$AQ$1006,0)))),"Fix")))</f>
        <v>0</v>
      </c>
      <c r="D687" s="4">
        <f>IF(OR(INDEX($V$2:$V$1001,MATCH(ROWS($U$2:U687),$U$2:$U$1001,0),1)&gt;=100000,INDEX($AB$1005:$AQ$1005,1,MATCH(COLUMNS($AB$1006:AD1006),$AB$1006:$AQ$1006,0))&gt;=100000), " ",IF(INDEX($AB$2:$AQ$1001,MATCH(ROWS($U$2:U687),$U$2:$U$1001,0),MATCH(COLUMNS($AB$1006:AD1006),$AB$1006:$AQ$1006,0)), HYPERLINK("#",""), HYPERLINK(CONCATENATE("#metadata!", ADDRESS(INDEX($W$2:$W$1001,MATCH(ROWS($U$2:U687),$U$2:$U$1001,0),0), INDEX($AB$1004:$AQ$1004,1,MATCH(COLUMNS($AB$1006:AD1006),$AB$1006:$AQ$1006,0)))),"Fix")))</f>
        <v>0</v>
      </c>
      <c r="E687" s="4">
        <f>IF(OR(INDEX($V$2:$V$1001,MATCH(ROWS($U$2:U687),$U$2:$U$1001,0),1)&gt;=100000,INDEX($AB$1005:$AQ$1005,1,MATCH(COLUMNS($AB$1006:AE1006),$AB$1006:$AQ$1006,0))&gt;=100000), " ",IF(INDEX($AB$2:$AQ$1001,MATCH(ROWS($U$2:U687),$U$2:$U$1001,0),MATCH(COLUMNS($AB$1006:AE1006),$AB$1006:$AQ$1006,0)), HYPERLINK("#",""), HYPERLINK(CONCATENATE("#metadata!", ADDRESS(INDEX($W$2:$W$1001,MATCH(ROWS($U$2:U687),$U$2:$U$1001,0),0), INDEX($AB$1004:$AQ$1004,1,MATCH(COLUMNS($AB$1006:AE1006),$AB$1006:$AQ$1006,0)))),"Fix")))</f>
        <v>0</v>
      </c>
      <c r="F687" s="4">
        <f>IF(OR(INDEX($V$2:$V$1001,MATCH(ROWS($U$2:U687),$U$2:$U$1001,0),1)&gt;=100000,INDEX($AB$1005:$AQ$1005,1,MATCH(COLUMNS($AB$1006:AF1006),$AB$1006:$AQ$1006,0))&gt;=100000), " ",IF(INDEX($AB$2:$AQ$1001,MATCH(ROWS($U$2:U687),$U$2:$U$1001,0),MATCH(COLUMNS($AB$1006:AF1006),$AB$1006:$AQ$1006,0)), HYPERLINK("#",""), HYPERLINK(CONCATENATE("#metadata!", ADDRESS(INDEX($W$2:$W$1001,MATCH(ROWS($U$2:U687),$U$2:$U$1001,0),0), INDEX($AB$1004:$AQ$1004,1,MATCH(COLUMNS($AB$1006:AF1006),$AB$1006:$AQ$1006,0)))),"Fix")))</f>
        <v>0</v>
      </c>
      <c r="G687" s="4">
        <f>IF(OR(INDEX($V$2:$V$1001,MATCH(ROWS($U$2:U687),$U$2:$U$1001,0),1)&gt;=100000,INDEX($AB$1005:$AQ$1005,1,MATCH(COLUMNS($AB$1006:AG1006),$AB$1006:$AQ$1006,0))&gt;=100000), " ",IF(INDEX($AB$2:$AQ$1001,MATCH(ROWS($U$2:U687),$U$2:$U$1001,0),MATCH(COLUMNS($AB$1006:AG1006),$AB$1006:$AQ$1006,0)), HYPERLINK("#",""), HYPERLINK(CONCATENATE("#metadata!", ADDRESS(INDEX($W$2:$W$1001,MATCH(ROWS($U$2:U687),$U$2:$U$1001,0),0), INDEX($AB$1004:$AQ$1004,1,MATCH(COLUMNS($AB$1006:AG1006),$AB$1006:$AQ$1006,0)))),"Fix")))</f>
        <v>0</v>
      </c>
      <c r="H687" s="4">
        <f>IF(OR(INDEX($V$2:$V$1001,MATCH(ROWS($U$2:U687),$U$2:$U$1001,0),1)&gt;=100000,INDEX($AB$1005:$AQ$1005,1,MATCH(COLUMNS($AB$1006:AH1006),$AB$1006:$AQ$1006,0))&gt;=100000), " ",IF(INDEX($AB$2:$AQ$1001,MATCH(ROWS($U$2:U687),$U$2:$U$1001,0),MATCH(COLUMNS($AB$1006:AH1006),$AB$1006:$AQ$1006,0)), HYPERLINK("#",""), HYPERLINK(CONCATENATE("#metadata!", ADDRESS(INDEX($W$2:$W$1001,MATCH(ROWS($U$2:U687),$U$2:$U$1001,0),0), INDEX($AB$1004:$AQ$1004,1,MATCH(COLUMNS($AB$1006:AH1006),$AB$1006:$AQ$1006,0)))),"Fix")))</f>
        <v>0</v>
      </c>
      <c r="I687" s="4">
        <f>IF(OR(INDEX($V$2:$V$1001,MATCH(ROWS($U$2:U687),$U$2:$U$1001,0),1)&gt;=100000,INDEX($AB$1005:$AQ$1005,1,MATCH(COLUMNS($AB$1006:AI1006),$AB$1006:$AQ$1006,0))&gt;=100000), " ",IF(INDEX($AB$2:$AQ$1001,MATCH(ROWS($U$2:U687),$U$2:$U$1001,0),MATCH(COLUMNS($AB$1006:AI1006),$AB$1006:$AQ$1006,0)), HYPERLINK("#",""), HYPERLINK(CONCATENATE("#metadata!", ADDRESS(INDEX($W$2:$W$1001,MATCH(ROWS($U$2:U687),$U$2:$U$1001,0),0), INDEX($AB$1004:$AQ$1004,1,MATCH(COLUMNS($AB$1006:AI1006),$AB$1006:$AQ$1006,0)))),"Fix")))</f>
        <v>0</v>
      </c>
      <c r="J687" s="4">
        <f>IF(OR(INDEX($V$2:$V$1001,MATCH(ROWS($U$2:U687),$U$2:$U$1001,0),1)&gt;=100000,INDEX($AB$1005:$AQ$1005,1,MATCH(COLUMNS($AB$1006:AJ1006),$AB$1006:$AQ$1006,0))&gt;=100000), " ",IF(INDEX($AB$2:$AQ$1001,MATCH(ROWS($U$2:U687),$U$2:$U$1001,0),MATCH(COLUMNS($AB$1006:AJ1006),$AB$1006:$AQ$1006,0)), HYPERLINK("#",""), HYPERLINK(CONCATENATE("#metadata!", ADDRESS(INDEX($W$2:$W$1001,MATCH(ROWS($U$2:U687),$U$2:$U$1001,0),0), INDEX($AB$1004:$AQ$1004,1,MATCH(COLUMNS($AB$1006:AJ1006),$AB$1006:$AQ$1006,0)))),"Fix")))</f>
        <v>0</v>
      </c>
      <c r="K687" s="4">
        <f>IF(OR(INDEX($V$2:$V$1001,MATCH(ROWS($U$2:U687),$U$2:$U$1001,0),1)&gt;=100000,INDEX($AB$1005:$AQ$1005,1,MATCH(COLUMNS($AB$1006:AK1006),$AB$1006:$AQ$1006,0))&gt;=100000), " ",IF(INDEX($AB$2:$AQ$1001,MATCH(ROWS($U$2:U687),$U$2:$U$1001,0),MATCH(COLUMNS($AB$1006:AK1006),$AB$1006:$AQ$1006,0)), HYPERLINK("#",""), HYPERLINK(CONCATENATE("#metadata!", ADDRESS(INDEX($W$2:$W$1001,MATCH(ROWS($U$2:U687),$U$2:$U$1001,0),0), INDEX($AB$1004:$AQ$1004,1,MATCH(COLUMNS($AB$1006:AK1006),$AB$1006:$AQ$1006,0)))),"Fix")))</f>
        <v>0</v>
      </c>
      <c r="L687" s="4">
        <f>IF(OR(INDEX($V$2:$V$1001,MATCH(ROWS($U$2:U687),$U$2:$U$1001,0),1)&gt;=100000,INDEX($AB$1005:$AQ$1005,1,MATCH(COLUMNS($AB$1006:AL1006),$AB$1006:$AQ$1006,0))&gt;=100000), " ",IF(INDEX($AB$2:$AQ$1001,MATCH(ROWS($U$2:U687),$U$2:$U$1001,0),MATCH(COLUMNS($AB$1006:AL1006),$AB$1006:$AQ$1006,0)), HYPERLINK("#",""), HYPERLINK(CONCATENATE("#metadata!", ADDRESS(INDEX($W$2:$W$1001,MATCH(ROWS($U$2:U687),$U$2:$U$1001,0),0), INDEX($AB$1004:$AQ$1004,1,MATCH(COLUMNS($AB$1006:AL1006),$AB$1006:$AQ$1006,0)))),"Fix")))</f>
        <v>0</v>
      </c>
      <c r="M687" s="4">
        <f>IF(OR(INDEX($V$2:$V$1001,MATCH(ROWS($U$2:U687),$U$2:$U$1001,0),1)&gt;=100000,INDEX($AB$1005:$AQ$1005,1,MATCH(COLUMNS($AB$1006:AM1006),$AB$1006:$AQ$1006,0))&gt;=100000), " ",IF(INDEX($AB$2:$AQ$1001,MATCH(ROWS($U$2:U687),$U$2:$U$1001,0),MATCH(COLUMNS($AB$1006:AM1006),$AB$1006:$AQ$1006,0)), HYPERLINK("#",""), HYPERLINK(CONCATENATE("#metadata!", ADDRESS(INDEX($W$2:$W$1001,MATCH(ROWS($U$2:U687),$U$2:$U$1001,0),0), INDEX($AB$1004:$AQ$1004,1,MATCH(COLUMNS($AB$1006:AM1006),$AB$1006:$AQ$1006,0)))),"Fix")))</f>
        <v>0</v>
      </c>
      <c r="N687" s="4">
        <f>IF(OR(INDEX($V$2:$V$1001,MATCH(ROWS($U$2:U687),$U$2:$U$1001,0),1)&gt;=100000,INDEX($AB$1005:$AQ$1005,1,MATCH(COLUMNS($AB$1006:AN1006),$AB$1006:$AQ$1006,0))&gt;=100000), " ",IF(INDEX($AB$2:$AQ$1001,MATCH(ROWS($U$2:U687),$U$2:$U$1001,0),MATCH(COLUMNS($AB$1006:AN1006),$AB$1006:$AQ$1006,0)), HYPERLINK("#",""), HYPERLINK(CONCATENATE("#metadata!", ADDRESS(INDEX($W$2:$W$1001,MATCH(ROWS($U$2:U687),$U$2:$U$1001,0),0), INDEX($AB$1004:$AQ$1004,1,MATCH(COLUMNS($AB$1006:AN1006),$AB$1006:$AQ$1006,0)))),"Fix")))</f>
        <v>0</v>
      </c>
      <c r="O687" s="4">
        <f>IF(OR(INDEX($V$2:$V$1001,MATCH(ROWS($U$2:U687),$U$2:$U$1001,0),1)&gt;=100000,INDEX($AB$1005:$AQ$1005,1,MATCH(COLUMNS($AB$1006:AO1006),$AB$1006:$AQ$1006,0))&gt;=100000), " ",IF(INDEX($AB$2:$AQ$1001,MATCH(ROWS($U$2:U687),$U$2:$U$1001,0),MATCH(COLUMNS($AB$1006:AO1006),$AB$1006:$AQ$1006,0)), HYPERLINK("#",""), HYPERLINK(CONCATENATE("#metadata!", ADDRESS(INDEX($W$2:$W$1001,MATCH(ROWS($U$2:U687),$U$2:$U$1001,0),0), INDEX($AB$1004:$AQ$1004,1,MATCH(COLUMNS($AB$1006:AO1006),$AB$1006:$AQ$1006,0)))),"Fix")))</f>
        <v>0</v>
      </c>
      <c r="P687" s="4">
        <f>IF(OR(INDEX($V$2:$V$1001,MATCH(ROWS($U$2:U687),$U$2:$U$1001,0),1)&gt;=100000,INDEX($AB$1005:$AQ$1005,1,MATCH(COLUMNS($AB$1006:AP1006),$AB$1006:$AQ$1006,0))&gt;=100000), " ",IF(INDEX($AB$2:$AQ$1001,MATCH(ROWS($U$2:U687),$U$2:$U$1001,0),MATCH(COLUMNS($AB$1006:AP1006),$AB$1006:$AQ$1006,0)), HYPERLINK("#",""), HYPERLINK(CONCATENATE("#metadata!", ADDRESS(INDEX($W$2:$W$1001,MATCH(ROWS($U$2:U687),$U$2:$U$1001,0),0), INDEX($AB$1004:$AQ$1004,1,MATCH(COLUMNS($AB$1006:AP1006),$AB$1006:$AQ$1006,0)))),"Fix")))</f>
        <v>0</v>
      </c>
      <c r="Q687" s="4">
        <f>IF(OR(INDEX($V$2:$V$1001,MATCH(ROWS($U$2:U687),$U$2:$U$1001,0),1)&gt;=100000,INDEX($AB$1005:$AQ$1005,1,MATCH(COLUMNS($AB$1006:AQ1006),$AB$1006:$AQ$1006,0))&gt;=100000), " ",IF(INDEX($AB$2:$AQ$1001,MATCH(ROWS($U$2:U687),$U$2:$U$1001,0),MATCH(COLUMNS($AB$1006:AQ1006),$AB$1006:$AQ$1006,0)), HYPERLINK("#",""), HYPERLINK(CONCATENATE("#metadata!", ADDRESS(INDEX($W$2:$W$1001,MATCH(ROWS($U$2:U687),$U$2:$U$1001,0),0), INDEX($AB$1004:$AQ$1004,1,MATCH(COLUMNS($AB$1006:AQ1006),$AB$1006:$AQ$1006,0)))),"Fix")))</f>
        <v>0</v>
      </c>
      <c r="U687">
        <v>0</v>
      </c>
      <c r="V687">
        <v>0</v>
      </c>
      <c r="W687">
        <v>0</v>
      </c>
      <c r="X687">
        <f>IF(Y687,TRUE,AND(AB687:AQ687))</f>
        <v>0</v>
      </c>
      <c r="Y687">
        <f>COUNTBLANK(metadata!B687:Q687)=COLUMNS(metadata!B687:Q687)</f>
        <v>0</v>
      </c>
      <c r="Z687">
        <v>0</v>
      </c>
      <c r="AB687">
        <f>AND(IF(metadata!B687="",FALSE,TRUE),COUNTIF(metadata!B:B, metadata!B687) = 1,NOT(ISERROR(SUMPRODUCT(SEARCH(MID(metadata!B687,ROW(INDIRECT("1:"&amp;LEN(metadata!B687))), 1),"0123456789abcdefghijklmnopqrstuvwxyzABCDEFGHIJKLMNOPQRSTUVWXYZ.")))))</f>
        <v>0</v>
      </c>
      <c r="AC687">
        <f>OR(AND(IF(metadata!C687="",FALSE,TRUE),OR(exact(metadata!C687,"missing: not collected"),exact(metadata!C687,"missing: not provided"),exact(metadata!C687,"missing: restricted access"))),AND(IF(metadata!C687="",FALSE,TRUE),AND(AND(IFERROR(INT(LEFT(metadata!C687,4))&gt;1900,FALSE),IFERROR(INT(LEFT(metadata!C687,4))&lt;=YEAR(NOW()),FALSE)), OR(MID(metadata!C687,5,1)="", AND(AND(MID(metadata!C687,5,1)="-",IFERROR(INT(MID(metadata!C687,6,1))&gt;=0,FALSE),IFERROR(INT(MID(metadata!C687,6,1))&lt;=1,FALSE),NOT(MID(metadata!C687,7,1)=""),IFERROR(INT(MID(metadata!C687,6,2))&gt;=1,FALSE),IFERROR(INT(MID(metadata!C687,6,2))&lt;=12,FALSE)), OR(MID(metadata!C687,8,1)="", AND(AND(MID(metadata!C687,8,1)="-",IFERROR(INT(MID(metadata!C687,9,1))&gt;=0,FALSE),IFERROR(INT(MID(metadata!C687,9,1))&lt;=3,FALSE),NOT(MID(metadata!C687,10,1)=""),IFERROR(INT(MID(metadata!C687,9,2))&gt;=1,FALSE),IFERROR(INT(MID(metadata!C687,9,2))&lt;=31,FALSE)), OR(MID(metadata!C687,11,1)="", AND(AND(MID(metadata!C687,11,1)=" ",IFERROR(INT(MID(metadata!C687,12,1))&gt;=0,FALSE),IFERROR(INT(MID(metadata!C687,12,1))&lt;=2,FALSE),NOT(MID(metadata!C687,13,1)=""),IFERROR(INT(MID(metadata!C687,12,2))&gt;=0,FALSE),IFERROR(INT(MID(metadata!C687,12,2))&lt;=23,FALSE)), OR(MID(metadata!C687,14,1)="", AND(AND(MID(metadata!C687,14,1)=":",IFERROR(INT(MID(metadata!C687,15,1))&gt;=0,FALSE),IFERROR(INT(MID(metadata!C687,15,1))&lt;=5,FALSE),NOT(MID(metadata!C687,16,1)=""),IFERROR(INT(MID(metadata!C687,15,2))&gt;=0,FALSE),IFERROR(INT(MID(metadata!C687,15,2))&lt;=59,FALSE)), OR(MID(metadata!C687,17,1)="", AND(AND(MID(metadata!C687,17,1)=":",IFERROR(INT(MID(metadata!C687,18,1))&gt;=0,FALSE),IFERROR(INT(MID(metadata!C687,18,1))&lt;=5,FALSE),NOT(MID(metadata!C687,19,1)=""),IFERROR(INT(MID(metadata!C687,18,2))&gt;=0,FALSE),IFERROR(INT(MID(metadata!C687,18,2))&lt;=59,FALSE)), LEN(metadata!C687)&lt;=19)))))))))))))</f>
        <v>0</v>
      </c>
      <c r="AD687">
        <f>IF(metadata!D687="",FALSE,TRUE)</f>
        <v>0</v>
      </c>
      <c r="AE687">
        <f>OR(AND(IF(metadata!E687="",FALSE,TRUE),OR(exact(metadata!E687,"missing: not collected"),exact(metadata!E687,"missing: not provided"))),AND(IF(metadata!E687="",FALSE,TRUE),OR(exact(metadata!E687,"TRUE"),exact(metadata!E687,"FALSE"))))</f>
        <v>0</v>
      </c>
      <c r="AF687">
        <f>IF(metadata!F687="",FALSE,TRUE)</f>
        <v>0</v>
      </c>
      <c r="AG687">
        <f>IF(metadata!G687="",FALSE,TRUE)</f>
        <v>0</v>
      </c>
      <c r="AH687">
        <f>IF(metadata!H687="",FALSE,TRUE)</f>
        <v>0</v>
      </c>
      <c r="AI687">
        <f>OR(AND(IF(metadata!I687="",FALSE,TRUE),OR(exact(metadata!I687,"missing: not collected"),exact(metadata!I687,"missing: not provided"),exact(metadata!I687,"missing: restricted access"))),AND(IF(metadata!I687="",FALSE,TRUE),OR(exact(metadata!I687,"air"),exact(metadata!I687,"built environment"),exact(metadata!I687,"host-associated"),exact(metadata!I687,"human-associated"),exact(metadata!I687,"human-skin"),exact(metadata!I687,"human-oral"),exact(metadata!I687,"human-gut"),exact(metadata!I687,"human-vaginal"),exact(metadata!I687,"microbial mat/biofilm"),exact(metadata!I687,"misc environment"),exact(metadata!I687,"plant-associated"),exact(metadata!I687,"sediment"),exact(metadata!I687,"soil"),exact(metadata!I687,"wastewater/sludge"),exact(metadata!I687,"water"))))</f>
        <v>0</v>
      </c>
      <c r="AJ687">
        <f>IF(metadata!J687="",FALSE,TRUE)</f>
        <v>0</v>
      </c>
      <c r="AK687">
        <f>OR(AND(IF(metadata!K687="",FALSE,TRUE),OR(exact(metadata!K687,"missing: not collected"),exact(metadata!K687,"missing: not provided"),exact(metadata!K687,"missing: restricted access"))),AND(IF(metadata!K687="",FALSE,ISNUMBER(VALUE(metadata!K687))),metadata!K687&gt;=-90.00,metadata!K687&lt;=90.00))</f>
        <v>0</v>
      </c>
      <c r="AL687">
        <f>OR(AND(IF(metadata!L687="",FALSE,TRUE),OR(exact(metadata!L687,"missing: not collected"),exact(metadata!L687,"missing: not provided"),exact(metadata!L687,"missing: restricted access"))),AND(IF(metadata!L687="",FALSE,ISNUMBER(VALUE(metadata!L687))),metadata!L687&gt;=-180.00,metadata!L687&lt;=180.00))</f>
        <v>0</v>
      </c>
      <c r="AM687">
        <f>IF(metadata!M687="",FALSE,TRUE)</f>
        <v>0</v>
      </c>
      <c r="AN687">
        <f>OR(AND(IF(metadata!N687="",FALSE,TRUE),OR(exact(metadata!N687,"missing: not collected"),exact(metadata!N687,"missing: not provided"),exact(metadata!N687,"missing: restricted access"))),AND(IF(metadata!N687="",FALSE,TRUE),OR(exact(metadata!N687,"TRUE"),exact(metadata!N687,"FALSE"))))</f>
        <v>0</v>
      </c>
      <c r="AO687">
        <f>IF(metadata!O687="",FALSE,TRUE)</f>
        <v>0</v>
      </c>
      <c r="AP687">
        <f>OR(AND(IF(metadata!P687="",FALSE,TRUE),OR(exact(metadata!P687,"missing: not collected"),exact(metadata!P687,"missing: not provided"))),AND(IF(metadata!P687="",FALSE,IF(ISERROR(INT(metadata!P687)),FALSE,INT(metadata!P687)=metadata!P687)),metadata!P687&gt;0))</f>
        <v>0</v>
      </c>
      <c r="AQ687">
        <f>IF(metadata!Q687="",FALSE,TRUE)</f>
        <v>0</v>
      </c>
    </row>
    <row r="688" spans="1:43">
      <c r="A688" s="5">
        <f>IF(B688=" "," ",HYPERLINK(CONCATENATE("#metadata!",ADDRESS(INDEX($W$2:$W$1001,MATCH(ROWS($U$2:U688),$U$2:$U$1001,0),0),1)),INDEX($Z$2:$Z$1001,MATCH(ROWS($U$2:U688),$U$2:$U$1001,0),0)))</f>
        <v>0</v>
      </c>
      <c r="B688" s="4">
        <f>IF(OR(INDEX($V$2:$V$1001,MATCH(ROWS($U$2:U688),$U$2:$U$1001,0),1)&gt;=100000,INDEX($AB$1005:$AQ$1005,1,MATCH(COLUMNS($AB$1006:AB1006),$AB$1006:$AQ$1006,0))&gt;=100000), " ",IF(INDEX($AB$2:$AQ$1001,MATCH(ROWS($U$2:U688),$U$2:$U$1001,0),MATCH(COLUMNS($AB$1006:AB1006),$AB$1006:$AQ$1006,0)), HYPERLINK("#",""), HYPERLINK(CONCATENATE("#metadata!", ADDRESS(INDEX($W$2:$W$1001,MATCH(ROWS($U$2:U688),$U$2:$U$1001,0),0), INDEX($AB$1004:$AQ$1004,1,MATCH(COLUMNS($AB$1006:AB1006),$AB$1006:$AQ$1006,0)))),"Fix")))</f>
        <v>0</v>
      </c>
      <c r="C688" s="4">
        <f>IF(OR(INDEX($V$2:$V$1001,MATCH(ROWS($U$2:U688),$U$2:$U$1001,0),1)&gt;=100000,INDEX($AB$1005:$AQ$1005,1,MATCH(COLUMNS($AB$1006:AC1006),$AB$1006:$AQ$1006,0))&gt;=100000), " ",IF(INDEX($AB$2:$AQ$1001,MATCH(ROWS($U$2:U688),$U$2:$U$1001,0),MATCH(COLUMNS($AB$1006:AC1006),$AB$1006:$AQ$1006,0)), HYPERLINK("#",""), HYPERLINK(CONCATENATE("#metadata!", ADDRESS(INDEX($W$2:$W$1001,MATCH(ROWS($U$2:U688),$U$2:$U$1001,0),0), INDEX($AB$1004:$AQ$1004,1,MATCH(COLUMNS($AB$1006:AC1006),$AB$1006:$AQ$1006,0)))),"Fix")))</f>
        <v>0</v>
      </c>
      <c r="D688" s="4">
        <f>IF(OR(INDEX($V$2:$V$1001,MATCH(ROWS($U$2:U688),$U$2:$U$1001,0),1)&gt;=100000,INDEX($AB$1005:$AQ$1005,1,MATCH(COLUMNS($AB$1006:AD1006),$AB$1006:$AQ$1006,0))&gt;=100000), " ",IF(INDEX($AB$2:$AQ$1001,MATCH(ROWS($U$2:U688),$U$2:$U$1001,0),MATCH(COLUMNS($AB$1006:AD1006),$AB$1006:$AQ$1006,0)), HYPERLINK("#",""), HYPERLINK(CONCATENATE("#metadata!", ADDRESS(INDEX($W$2:$W$1001,MATCH(ROWS($U$2:U688),$U$2:$U$1001,0),0), INDEX($AB$1004:$AQ$1004,1,MATCH(COLUMNS($AB$1006:AD1006),$AB$1006:$AQ$1006,0)))),"Fix")))</f>
        <v>0</v>
      </c>
      <c r="E688" s="4">
        <f>IF(OR(INDEX($V$2:$V$1001,MATCH(ROWS($U$2:U688),$U$2:$U$1001,0),1)&gt;=100000,INDEX($AB$1005:$AQ$1005,1,MATCH(COLUMNS($AB$1006:AE1006),$AB$1006:$AQ$1006,0))&gt;=100000), " ",IF(INDEX($AB$2:$AQ$1001,MATCH(ROWS($U$2:U688),$U$2:$U$1001,0),MATCH(COLUMNS($AB$1006:AE1006),$AB$1006:$AQ$1006,0)), HYPERLINK("#",""), HYPERLINK(CONCATENATE("#metadata!", ADDRESS(INDEX($W$2:$W$1001,MATCH(ROWS($U$2:U688),$U$2:$U$1001,0),0), INDEX($AB$1004:$AQ$1004,1,MATCH(COLUMNS($AB$1006:AE1006),$AB$1006:$AQ$1006,0)))),"Fix")))</f>
        <v>0</v>
      </c>
      <c r="F688" s="4">
        <f>IF(OR(INDEX($V$2:$V$1001,MATCH(ROWS($U$2:U688),$U$2:$U$1001,0),1)&gt;=100000,INDEX($AB$1005:$AQ$1005,1,MATCH(COLUMNS($AB$1006:AF1006),$AB$1006:$AQ$1006,0))&gt;=100000), " ",IF(INDEX($AB$2:$AQ$1001,MATCH(ROWS($U$2:U688),$U$2:$U$1001,0),MATCH(COLUMNS($AB$1006:AF1006),$AB$1006:$AQ$1006,0)), HYPERLINK("#",""), HYPERLINK(CONCATENATE("#metadata!", ADDRESS(INDEX($W$2:$W$1001,MATCH(ROWS($U$2:U688),$U$2:$U$1001,0),0), INDEX($AB$1004:$AQ$1004,1,MATCH(COLUMNS($AB$1006:AF1006),$AB$1006:$AQ$1006,0)))),"Fix")))</f>
        <v>0</v>
      </c>
      <c r="G688" s="4">
        <f>IF(OR(INDEX($V$2:$V$1001,MATCH(ROWS($U$2:U688),$U$2:$U$1001,0),1)&gt;=100000,INDEX($AB$1005:$AQ$1005,1,MATCH(COLUMNS($AB$1006:AG1006),$AB$1006:$AQ$1006,0))&gt;=100000), " ",IF(INDEX($AB$2:$AQ$1001,MATCH(ROWS($U$2:U688),$U$2:$U$1001,0),MATCH(COLUMNS($AB$1006:AG1006),$AB$1006:$AQ$1006,0)), HYPERLINK("#",""), HYPERLINK(CONCATENATE("#metadata!", ADDRESS(INDEX($W$2:$W$1001,MATCH(ROWS($U$2:U688),$U$2:$U$1001,0),0), INDEX($AB$1004:$AQ$1004,1,MATCH(COLUMNS($AB$1006:AG1006),$AB$1006:$AQ$1006,0)))),"Fix")))</f>
        <v>0</v>
      </c>
      <c r="H688" s="4">
        <f>IF(OR(INDEX($V$2:$V$1001,MATCH(ROWS($U$2:U688),$U$2:$U$1001,0),1)&gt;=100000,INDEX($AB$1005:$AQ$1005,1,MATCH(COLUMNS($AB$1006:AH1006),$AB$1006:$AQ$1006,0))&gt;=100000), " ",IF(INDEX($AB$2:$AQ$1001,MATCH(ROWS($U$2:U688),$U$2:$U$1001,0),MATCH(COLUMNS($AB$1006:AH1006),$AB$1006:$AQ$1006,0)), HYPERLINK("#",""), HYPERLINK(CONCATENATE("#metadata!", ADDRESS(INDEX($W$2:$W$1001,MATCH(ROWS($U$2:U688),$U$2:$U$1001,0),0), INDEX($AB$1004:$AQ$1004,1,MATCH(COLUMNS($AB$1006:AH1006),$AB$1006:$AQ$1006,0)))),"Fix")))</f>
        <v>0</v>
      </c>
      <c r="I688" s="4">
        <f>IF(OR(INDEX($V$2:$V$1001,MATCH(ROWS($U$2:U688),$U$2:$U$1001,0),1)&gt;=100000,INDEX($AB$1005:$AQ$1005,1,MATCH(COLUMNS($AB$1006:AI1006),$AB$1006:$AQ$1006,0))&gt;=100000), " ",IF(INDEX($AB$2:$AQ$1001,MATCH(ROWS($U$2:U688),$U$2:$U$1001,0),MATCH(COLUMNS($AB$1006:AI1006),$AB$1006:$AQ$1006,0)), HYPERLINK("#",""), HYPERLINK(CONCATENATE("#metadata!", ADDRESS(INDEX($W$2:$W$1001,MATCH(ROWS($U$2:U688),$U$2:$U$1001,0),0), INDEX($AB$1004:$AQ$1004,1,MATCH(COLUMNS($AB$1006:AI1006),$AB$1006:$AQ$1006,0)))),"Fix")))</f>
        <v>0</v>
      </c>
      <c r="J688" s="4">
        <f>IF(OR(INDEX($V$2:$V$1001,MATCH(ROWS($U$2:U688),$U$2:$U$1001,0),1)&gt;=100000,INDEX($AB$1005:$AQ$1005,1,MATCH(COLUMNS($AB$1006:AJ1006),$AB$1006:$AQ$1006,0))&gt;=100000), " ",IF(INDEX($AB$2:$AQ$1001,MATCH(ROWS($U$2:U688),$U$2:$U$1001,0),MATCH(COLUMNS($AB$1006:AJ1006),$AB$1006:$AQ$1006,0)), HYPERLINK("#",""), HYPERLINK(CONCATENATE("#metadata!", ADDRESS(INDEX($W$2:$W$1001,MATCH(ROWS($U$2:U688),$U$2:$U$1001,0),0), INDEX($AB$1004:$AQ$1004,1,MATCH(COLUMNS($AB$1006:AJ1006),$AB$1006:$AQ$1006,0)))),"Fix")))</f>
        <v>0</v>
      </c>
      <c r="K688" s="4">
        <f>IF(OR(INDEX($V$2:$V$1001,MATCH(ROWS($U$2:U688),$U$2:$U$1001,0),1)&gt;=100000,INDEX($AB$1005:$AQ$1005,1,MATCH(COLUMNS($AB$1006:AK1006),$AB$1006:$AQ$1006,0))&gt;=100000), " ",IF(INDEX($AB$2:$AQ$1001,MATCH(ROWS($U$2:U688),$U$2:$U$1001,0),MATCH(COLUMNS($AB$1006:AK1006),$AB$1006:$AQ$1006,0)), HYPERLINK("#",""), HYPERLINK(CONCATENATE("#metadata!", ADDRESS(INDEX($W$2:$W$1001,MATCH(ROWS($U$2:U688),$U$2:$U$1001,0),0), INDEX($AB$1004:$AQ$1004,1,MATCH(COLUMNS($AB$1006:AK1006),$AB$1006:$AQ$1006,0)))),"Fix")))</f>
        <v>0</v>
      </c>
      <c r="L688" s="4">
        <f>IF(OR(INDEX($V$2:$V$1001,MATCH(ROWS($U$2:U688),$U$2:$U$1001,0),1)&gt;=100000,INDEX($AB$1005:$AQ$1005,1,MATCH(COLUMNS($AB$1006:AL1006),$AB$1006:$AQ$1006,0))&gt;=100000), " ",IF(INDEX($AB$2:$AQ$1001,MATCH(ROWS($U$2:U688),$U$2:$U$1001,0),MATCH(COLUMNS($AB$1006:AL1006),$AB$1006:$AQ$1006,0)), HYPERLINK("#",""), HYPERLINK(CONCATENATE("#metadata!", ADDRESS(INDEX($W$2:$W$1001,MATCH(ROWS($U$2:U688),$U$2:$U$1001,0),0), INDEX($AB$1004:$AQ$1004,1,MATCH(COLUMNS($AB$1006:AL1006),$AB$1006:$AQ$1006,0)))),"Fix")))</f>
        <v>0</v>
      </c>
      <c r="M688" s="4">
        <f>IF(OR(INDEX($V$2:$V$1001,MATCH(ROWS($U$2:U688),$U$2:$U$1001,0),1)&gt;=100000,INDEX($AB$1005:$AQ$1005,1,MATCH(COLUMNS($AB$1006:AM1006),$AB$1006:$AQ$1006,0))&gt;=100000), " ",IF(INDEX($AB$2:$AQ$1001,MATCH(ROWS($U$2:U688),$U$2:$U$1001,0),MATCH(COLUMNS($AB$1006:AM1006),$AB$1006:$AQ$1006,0)), HYPERLINK("#",""), HYPERLINK(CONCATENATE("#metadata!", ADDRESS(INDEX($W$2:$W$1001,MATCH(ROWS($U$2:U688),$U$2:$U$1001,0),0), INDEX($AB$1004:$AQ$1004,1,MATCH(COLUMNS($AB$1006:AM1006),$AB$1006:$AQ$1006,0)))),"Fix")))</f>
        <v>0</v>
      </c>
      <c r="N688" s="4">
        <f>IF(OR(INDEX($V$2:$V$1001,MATCH(ROWS($U$2:U688),$U$2:$U$1001,0),1)&gt;=100000,INDEX($AB$1005:$AQ$1005,1,MATCH(COLUMNS($AB$1006:AN1006),$AB$1006:$AQ$1006,0))&gt;=100000), " ",IF(INDEX($AB$2:$AQ$1001,MATCH(ROWS($U$2:U688),$U$2:$U$1001,0),MATCH(COLUMNS($AB$1006:AN1006),$AB$1006:$AQ$1006,0)), HYPERLINK("#",""), HYPERLINK(CONCATENATE("#metadata!", ADDRESS(INDEX($W$2:$W$1001,MATCH(ROWS($U$2:U688),$U$2:$U$1001,0),0), INDEX($AB$1004:$AQ$1004,1,MATCH(COLUMNS($AB$1006:AN1006),$AB$1006:$AQ$1006,0)))),"Fix")))</f>
        <v>0</v>
      </c>
      <c r="O688" s="4">
        <f>IF(OR(INDEX($V$2:$V$1001,MATCH(ROWS($U$2:U688),$U$2:$U$1001,0),1)&gt;=100000,INDEX($AB$1005:$AQ$1005,1,MATCH(COLUMNS($AB$1006:AO1006),$AB$1006:$AQ$1006,0))&gt;=100000), " ",IF(INDEX($AB$2:$AQ$1001,MATCH(ROWS($U$2:U688),$U$2:$U$1001,0),MATCH(COLUMNS($AB$1006:AO1006),$AB$1006:$AQ$1006,0)), HYPERLINK("#",""), HYPERLINK(CONCATENATE("#metadata!", ADDRESS(INDEX($W$2:$W$1001,MATCH(ROWS($U$2:U688),$U$2:$U$1001,0),0), INDEX($AB$1004:$AQ$1004,1,MATCH(COLUMNS($AB$1006:AO1006),$AB$1006:$AQ$1006,0)))),"Fix")))</f>
        <v>0</v>
      </c>
      <c r="P688" s="4">
        <f>IF(OR(INDEX($V$2:$V$1001,MATCH(ROWS($U$2:U688),$U$2:$U$1001,0),1)&gt;=100000,INDEX($AB$1005:$AQ$1005,1,MATCH(COLUMNS($AB$1006:AP1006),$AB$1006:$AQ$1006,0))&gt;=100000), " ",IF(INDEX($AB$2:$AQ$1001,MATCH(ROWS($U$2:U688),$U$2:$U$1001,0),MATCH(COLUMNS($AB$1006:AP1006),$AB$1006:$AQ$1006,0)), HYPERLINK("#",""), HYPERLINK(CONCATENATE("#metadata!", ADDRESS(INDEX($W$2:$W$1001,MATCH(ROWS($U$2:U688),$U$2:$U$1001,0),0), INDEX($AB$1004:$AQ$1004,1,MATCH(COLUMNS($AB$1006:AP1006),$AB$1006:$AQ$1006,0)))),"Fix")))</f>
        <v>0</v>
      </c>
      <c r="Q688" s="4">
        <f>IF(OR(INDEX($V$2:$V$1001,MATCH(ROWS($U$2:U688),$U$2:$U$1001,0),1)&gt;=100000,INDEX($AB$1005:$AQ$1005,1,MATCH(COLUMNS($AB$1006:AQ1006),$AB$1006:$AQ$1006,0))&gt;=100000), " ",IF(INDEX($AB$2:$AQ$1001,MATCH(ROWS($U$2:U688),$U$2:$U$1001,0),MATCH(COLUMNS($AB$1006:AQ1006),$AB$1006:$AQ$1006,0)), HYPERLINK("#",""), HYPERLINK(CONCATENATE("#metadata!", ADDRESS(INDEX($W$2:$W$1001,MATCH(ROWS($U$2:U688),$U$2:$U$1001,0),0), INDEX($AB$1004:$AQ$1004,1,MATCH(COLUMNS($AB$1006:AQ1006),$AB$1006:$AQ$1006,0)))),"Fix")))</f>
        <v>0</v>
      </c>
      <c r="U688">
        <v>0</v>
      </c>
      <c r="V688">
        <v>0</v>
      </c>
      <c r="W688">
        <v>0</v>
      </c>
      <c r="X688">
        <f>IF(Y688,TRUE,AND(AB688:AQ688))</f>
        <v>0</v>
      </c>
      <c r="Y688">
        <f>COUNTBLANK(metadata!B688:Q688)=COLUMNS(metadata!B688:Q688)</f>
        <v>0</v>
      </c>
      <c r="Z688">
        <v>0</v>
      </c>
      <c r="AB688">
        <f>AND(IF(metadata!B688="",FALSE,TRUE),COUNTIF(metadata!B:B, metadata!B688) = 1,NOT(ISERROR(SUMPRODUCT(SEARCH(MID(metadata!B688,ROW(INDIRECT("1:"&amp;LEN(metadata!B688))), 1),"0123456789abcdefghijklmnopqrstuvwxyzABCDEFGHIJKLMNOPQRSTUVWXYZ.")))))</f>
        <v>0</v>
      </c>
      <c r="AC688">
        <f>OR(AND(IF(metadata!C688="",FALSE,TRUE),OR(exact(metadata!C688,"missing: not collected"),exact(metadata!C688,"missing: not provided"),exact(metadata!C688,"missing: restricted access"))),AND(IF(metadata!C688="",FALSE,TRUE),AND(AND(IFERROR(INT(LEFT(metadata!C688,4))&gt;1900,FALSE),IFERROR(INT(LEFT(metadata!C688,4))&lt;=YEAR(NOW()),FALSE)), OR(MID(metadata!C688,5,1)="", AND(AND(MID(metadata!C688,5,1)="-",IFERROR(INT(MID(metadata!C688,6,1))&gt;=0,FALSE),IFERROR(INT(MID(metadata!C688,6,1))&lt;=1,FALSE),NOT(MID(metadata!C688,7,1)=""),IFERROR(INT(MID(metadata!C688,6,2))&gt;=1,FALSE),IFERROR(INT(MID(metadata!C688,6,2))&lt;=12,FALSE)), OR(MID(metadata!C688,8,1)="", AND(AND(MID(metadata!C688,8,1)="-",IFERROR(INT(MID(metadata!C688,9,1))&gt;=0,FALSE),IFERROR(INT(MID(metadata!C688,9,1))&lt;=3,FALSE),NOT(MID(metadata!C688,10,1)=""),IFERROR(INT(MID(metadata!C688,9,2))&gt;=1,FALSE),IFERROR(INT(MID(metadata!C688,9,2))&lt;=31,FALSE)), OR(MID(metadata!C688,11,1)="", AND(AND(MID(metadata!C688,11,1)=" ",IFERROR(INT(MID(metadata!C688,12,1))&gt;=0,FALSE),IFERROR(INT(MID(metadata!C688,12,1))&lt;=2,FALSE),NOT(MID(metadata!C688,13,1)=""),IFERROR(INT(MID(metadata!C688,12,2))&gt;=0,FALSE),IFERROR(INT(MID(metadata!C688,12,2))&lt;=23,FALSE)), OR(MID(metadata!C688,14,1)="", AND(AND(MID(metadata!C688,14,1)=":",IFERROR(INT(MID(metadata!C688,15,1))&gt;=0,FALSE),IFERROR(INT(MID(metadata!C688,15,1))&lt;=5,FALSE),NOT(MID(metadata!C688,16,1)=""),IFERROR(INT(MID(metadata!C688,15,2))&gt;=0,FALSE),IFERROR(INT(MID(metadata!C688,15,2))&lt;=59,FALSE)), OR(MID(metadata!C688,17,1)="", AND(AND(MID(metadata!C688,17,1)=":",IFERROR(INT(MID(metadata!C688,18,1))&gt;=0,FALSE),IFERROR(INT(MID(metadata!C688,18,1))&lt;=5,FALSE),NOT(MID(metadata!C688,19,1)=""),IFERROR(INT(MID(metadata!C688,18,2))&gt;=0,FALSE),IFERROR(INT(MID(metadata!C688,18,2))&lt;=59,FALSE)), LEN(metadata!C688)&lt;=19)))))))))))))</f>
        <v>0</v>
      </c>
      <c r="AD688">
        <f>IF(metadata!D688="",FALSE,TRUE)</f>
        <v>0</v>
      </c>
      <c r="AE688">
        <f>OR(AND(IF(metadata!E688="",FALSE,TRUE),OR(exact(metadata!E688,"missing: not collected"),exact(metadata!E688,"missing: not provided"))),AND(IF(metadata!E688="",FALSE,TRUE),OR(exact(metadata!E688,"TRUE"),exact(metadata!E688,"FALSE"))))</f>
        <v>0</v>
      </c>
      <c r="AF688">
        <f>IF(metadata!F688="",FALSE,TRUE)</f>
        <v>0</v>
      </c>
      <c r="AG688">
        <f>IF(metadata!G688="",FALSE,TRUE)</f>
        <v>0</v>
      </c>
      <c r="AH688">
        <f>IF(metadata!H688="",FALSE,TRUE)</f>
        <v>0</v>
      </c>
      <c r="AI688">
        <f>OR(AND(IF(metadata!I688="",FALSE,TRUE),OR(exact(metadata!I688,"missing: not collected"),exact(metadata!I688,"missing: not provided"),exact(metadata!I688,"missing: restricted access"))),AND(IF(metadata!I688="",FALSE,TRUE),OR(exact(metadata!I688,"air"),exact(metadata!I688,"built environment"),exact(metadata!I688,"host-associated"),exact(metadata!I688,"human-associated"),exact(metadata!I688,"human-skin"),exact(metadata!I688,"human-oral"),exact(metadata!I688,"human-gut"),exact(metadata!I688,"human-vaginal"),exact(metadata!I688,"microbial mat/biofilm"),exact(metadata!I688,"misc environment"),exact(metadata!I688,"plant-associated"),exact(metadata!I688,"sediment"),exact(metadata!I688,"soil"),exact(metadata!I688,"wastewater/sludge"),exact(metadata!I688,"water"))))</f>
        <v>0</v>
      </c>
      <c r="AJ688">
        <f>IF(metadata!J688="",FALSE,TRUE)</f>
        <v>0</v>
      </c>
      <c r="AK688">
        <f>OR(AND(IF(metadata!K688="",FALSE,TRUE),OR(exact(metadata!K688,"missing: not collected"),exact(metadata!K688,"missing: not provided"),exact(metadata!K688,"missing: restricted access"))),AND(IF(metadata!K688="",FALSE,ISNUMBER(VALUE(metadata!K688))),metadata!K688&gt;=-90.00,metadata!K688&lt;=90.00))</f>
        <v>0</v>
      </c>
      <c r="AL688">
        <f>OR(AND(IF(metadata!L688="",FALSE,TRUE),OR(exact(metadata!L688,"missing: not collected"),exact(metadata!L688,"missing: not provided"),exact(metadata!L688,"missing: restricted access"))),AND(IF(metadata!L688="",FALSE,ISNUMBER(VALUE(metadata!L688))),metadata!L688&gt;=-180.00,metadata!L688&lt;=180.00))</f>
        <v>0</v>
      </c>
      <c r="AM688">
        <f>IF(metadata!M688="",FALSE,TRUE)</f>
        <v>0</v>
      </c>
      <c r="AN688">
        <f>OR(AND(IF(metadata!N688="",FALSE,TRUE),OR(exact(metadata!N688,"missing: not collected"),exact(metadata!N688,"missing: not provided"),exact(metadata!N688,"missing: restricted access"))),AND(IF(metadata!N688="",FALSE,TRUE),OR(exact(metadata!N688,"TRUE"),exact(metadata!N688,"FALSE"))))</f>
        <v>0</v>
      </c>
      <c r="AO688">
        <f>IF(metadata!O688="",FALSE,TRUE)</f>
        <v>0</v>
      </c>
      <c r="AP688">
        <f>OR(AND(IF(metadata!P688="",FALSE,TRUE),OR(exact(metadata!P688,"missing: not collected"),exact(metadata!P688,"missing: not provided"))),AND(IF(metadata!P688="",FALSE,IF(ISERROR(INT(metadata!P688)),FALSE,INT(metadata!P688)=metadata!P688)),metadata!P688&gt;0))</f>
        <v>0</v>
      </c>
      <c r="AQ688">
        <f>IF(metadata!Q688="",FALSE,TRUE)</f>
        <v>0</v>
      </c>
    </row>
    <row r="689" spans="1:43">
      <c r="A689" s="5">
        <f>IF(B689=" "," ",HYPERLINK(CONCATENATE("#metadata!",ADDRESS(INDEX($W$2:$W$1001,MATCH(ROWS($U$2:U689),$U$2:$U$1001,0),0),1)),INDEX($Z$2:$Z$1001,MATCH(ROWS($U$2:U689),$U$2:$U$1001,0),0)))</f>
        <v>0</v>
      </c>
      <c r="B689" s="4">
        <f>IF(OR(INDEX($V$2:$V$1001,MATCH(ROWS($U$2:U689),$U$2:$U$1001,0),1)&gt;=100000,INDEX($AB$1005:$AQ$1005,1,MATCH(COLUMNS($AB$1006:AB1006),$AB$1006:$AQ$1006,0))&gt;=100000), " ",IF(INDEX($AB$2:$AQ$1001,MATCH(ROWS($U$2:U689),$U$2:$U$1001,0),MATCH(COLUMNS($AB$1006:AB1006),$AB$1006:$AQ$1006,0)), HYPERLINK("#",""), HYPERLINK(CONCATENATE("#metadata!", ADDRESS(INDEX($W$2:$W$1001,MATCH(ROWS($U$2:U689),$U$2:$U$1001,0),0), INDEX($AB$1004:$AQ$1004,1,MATCH(COLUMNS($AB$1006:AB1006),$AB$1006:$AQ$1006,0)))),"Fix")))</f>
        <v>0</v>
      </c>
      <c r="C689" s="4">
        <f>IF(OR(INDEX($V$2:$V$1001,MATCH(ROWS($U$2:U689),$U$2:$U$1001,0),1)&gt;=100000,INDEX($AB$1005:$AQ$1005,1,MATCH(COLUMNS($AB$1006:AC1006),$AB$1006:$AQ$1006,0))&gt;=100000), " ",IF(INDEX($AB$2:$AQ$1001,MATCH(ROWS($U$2:U689),$U$2:$U$1001,0),MATCH(COLUMNS($AB$1006:AC1006),$AB$1006:$AQ$1006,0)), HYPERLINK("#",""), HYPERLINK(CONCATENATE("#metadata!", ADDRESS(INDEX($W$2:$W$1001,MATCH(ROWS($U$2:U689),$U$2:$U$1001,0),0), INDEX($AB$1004:$AQ$1004,1,MATCH(COLUMNS($AB$1006:AC1006),$AB$1006:$AQ$1006,0)))),"Fix")))</f>
        <v>0</v>
      </c>
      <c r="D689" s="4">
        <f>IF(OR(INDEX($V$2:$V$1001,MATCH(ROWS($U$2:U689),$U$2:$U$1001,0),1)&gt;=100000,INDEX($AB$1005:$AQ$1005,1,MATCH(COLUMNS($AB$1006:AD1006),$AB$1006:$AQ$1006,0))&gt;=100000), " ",IF(INDEX($AB$2:$AQ$1001,MATCH(ROWS($U$2:U689),$U$2:$U$1001,0),MATCH(COLUMNS($AB$1006:AD1006),$AB$1006:$AQ$1006,0)), HYPERLINK("#",""), HYPERLINK(CONCATENATE("#metadata!", ADDRESS(INDEX($W$2:$W$1001,MATCH(ROWS($U$2:U689),$U$2:$U$1001,0),0), INDEX($AB$1004:$AQ$1004,1,MATCH(COLUMNS($AB$1006:AD1006),$AB$1006:$AQ$1006,0)))),"Fix")))</f>
        <v>0</v>
      </c>
      <c r="E689" s="4">
        <f>IF(OR(INDEX($V$2:$V$1001,MATCH(ROWS($U$2:U689),$U$2:$U$1001,0),1)&gt;=100000,INDEX($AB$1005:$AQ$1005,1,MATCH(COLUMNS($AB$1006:AE1006),$AB$1006:$AQ$1006,0))&gt;=100000), " ",IF(INDEX($AB$2:$AQ$1001,MATCH(ROWS($U$2:U689),$U$2:$U$1001,0),MATCH(COLUMNS($AB$1006:AE1006),$AB$1006:$AQ$1006,0)), HYPERLINK("#",""), HYPERLINK(CONCATENATE("#metadata!", ADDRESS(INDEX($W$2:$W$1001,MATCH(ROWS($U$2:U689),$U$2:$U$1001,0),0), INDEX($AB$1004:$AQ$1004,1,MATCH(COLUMNS($AB$1006:AE1006),$AB$1006:$AQ$1006,0)))),"Fix")))</f>
        <v>0</v>
      </c>
      <c r="F689" s="4">
        <f>IF(OR(INDEX($V$2:$V$1001,MATCH(ROWS($U$2:U689),$U$2:$U$1001,0),1)&gt;=100000,INDEX($AB$1005:$AQ$1005,1,MATCH(COLUMNS($AB$1006:AF1006),$AB$1006:$AQ$1006,0))&gt;=100000), " ",IF(INDEX($AB$2:$AQ$1001,MATCH(ROWS($U$2:U689),$U$2:$U$1001,0),MATCH(COLUMNS($AB$1006:AF1006),$AB$1006:$AQ$1006,0)), HYPERLINK("#",""), HYPERLINK(CONCATENATE("#metadata!", ADDRESS(INDEX($W$2:$W$1001,MATCH(ROWS($U$2:U689),$U$2:$U$1001,0),0), INDEX($AB$1004:$AQ$1004,1,MATCH(COLUMNS($AB$1006:AF1006),$AB$1006:$AQ$1006,0)))),"Fix")))</f>
        <v>0</v>
      </c>
      <c r="G689" s="4">
        <f>IF(OR(INDEX($V$2:$V$1001,MATCH(ROWS($U$2:U689),$U$2:$U$1001,0),1)&gt;=100000,INDEX($AB$1005:$AQ$1005,1,MATCH(COLUMNS($AB$1006:AG1006),$AB$1006:$AQ$1006,0))&gt;=100000), " ",IF(INDEX($AB$2:$AQ$1001,MATCH(ROWS($U$2:U689),$U$2:$U$1001,0),MATCH(COLUMNS($AB$1006:AG1006),$AB$1006:$AQ$1006,0)), HYPERLINK("#",""), HYPERLINK(CONCATENATE("#metadata!", ADDRESS(INDEX($W$2:$W$1001,MATCH(ROWS($U$2:U689),$U$2:$U$1001,0),0), INDEX($AB$1004:$AQ$1004,1,MATCH(COLUMNS($AB$1006:AG1006),$AB$1006:$AQ$1006,0)))),"Fix")))</f>
        <v>0</v>
      </c>
      <c r="H689" s="4">
        <f>IF(OR(INDEX($V$2:$V$1001,MATCH(ROWS($U$2:U689),$U$2:$U$1001,0),1)&gt;=100000,INDEX($AB$1005:$AQ$1005,1,MATCH(COLUMNS($AB$1006:AH1006),$AB$1006:$AQ$1006,0))&gt;=100000), " ",IF(INDEX($AB$2:$AQ$1001,MATCH(ROWS($U$2:U689),$U$2:$U$1001,0),MATCH(COLUMNS($AB$1006:AH1006),$AB$1006:$AQ$1006,0)), HYPERLINK("#",""), HYPERLINK(CONCATENATE("#metadata!", ADDRESS(INDEX($W$2:$W$1001,MATCH(ROWS($U$2:U689),$U$2:$U$1001,0),0), INDEX($AB$1004:$AQ$1004,1,MATCH(COLUMNS($AB$1006:AH1006),$AB$1006:$AQ$1006,0)))),"Fix")))</f>
        <v>0</v>
      </c>
      <c r="I689" s="4">
        <f>IF(OR(INDEX($V$2:$V$1001,MATCH(ROWS($U$2:U689),$U$2:$U$1001,0),1)&gt;=100000,INDEX($AB$1005:$AQ$1005,1,MATCH(COLUMNS($AB$1006:AI1006),$AB$1006:$AQ$1006,0))&gt;=100000), " ",IF(INDEX($AB$2:$AQ$1001,MATCH(ROWS($U$2:U689),$U$2:$U$1001,0),MATCH(COLUMNS($AB$1006:AI1006),$AB$1006:$AQ$1006,0)), HYPERLINK("#",""), HYPERLINK(CONCATENATE("#metadata!", ADDRESS(INDEX($W$2:$W$1001,MATCH(ROWS($U$2:U689),$U$2:$U$1001,0),0), INDEX($AB$1004:$AQ$1004,1,MATCH(COLUMNS($AB$1006:AI1006),$AB$1006:$AQ$1006,0)))),"Fix")))</f>
        <v>0</v>
      </c>
      <c r="J689" s="4">
        <f>IF(OR(INDEX($V$2:$V$1001,MATCH(ROWS($U$2:U689),$U$2:$U$1001,0),1)&gt;=100000,INDEX($AB$1005:$AQ$1005,1,MATCH(COLUMNS($AB$1006:AJ1006),$AB$1006:$AQ$1006,0))&gt;=100000), " ",IF(INDEX($AB$2:$AQ$1001,MATCH(ROWS($U$2:U689),$U$2:$U$1001,0),MATCH(COLUMNS($AB$1006:AJ1006),$AB$1006:$AQ$1006,0)), HYPERLINK("#",""), HYPERLINK(CONCATENATE("#metadata!", ADDRESS(INDEX($W$2:$W$1001,MATCH(ROWS($U$2:U689),$U$2:$U$1001,0),0), INDEX($AB$1004:$AQ$1004,1,MATCH(COLUMNS($AB$1006:AJ1006),$AB$1006:$AQ$1006,0)))),"Fix")))</f>
        <v>0</v>
      </c>
      <c r="K689" s="4">
        <f>IF(OR(INDEX($V$2:$V$1001,MATCH(ROWS($U$2:U689),$U$2:$U$1001,0),1)&gt;=100000,INDEX($AB$1005:$AQ$1005,1,MATCH(COLUMNS($AB$1006:AK1006),$AB$1006:$AQ$1006,0))&gt;=100000), " ",IF(INDEX($AB$2:$AQ$1001,MATCH(ROWS($U$2:U689),$U$2:$U$1001,0),MATCH(COLUMNS($AB$1006:AK1006),$AB$1006:$AQ$1006,0)), HYPERLINK("#",""), HYPERLINK(CONCATENATE("#metadata!", ADDRESS(INDEX($W$2:$W$1001,MATCH(ROWS($U$2:U689),$U$2:$U$1001,0),0), INDEX($AB$1004:$AQ$1004,1,MATCH(COLUMNS($AB$1006:AK1006),$AB$1006:$AQ$1006,0)))),"Fix")))</f>
        <v>0</v>
      </c>
      <c r="L689" s="4">
        <f>IF(OR(INDEX($V$2:$V$1001,MATCH(ROWS($U$2:U689),$U$2:$U$1001,0),1)&gt;=100000,INDEX($AB$1005:$AQ$1005,1,MATCH(COLUMNS($AB$1006:AL1006),$AB$1006:$AQ$1006,0))&gt;=100000), " ",IF(INDEX($AB$2:$AQ$1001,MATCH(ROWS($U$2:U689),$U$2:$U$1001,0),MATCH(COLUMNS($AB$1006:AL1006),$AB$1006:$AQ$1006,0)), HYPERLINK("#",""), HYPERLINK(CONCATENATE("#metadata!", ADDRESS(INDEX($W$2:$W$1001,MATCH(ROWS($U$2:U689),$U$2:$U$1001,0),0), INDEX($AB$1004:$AQ$1004,1,MATCH(COLUMNS($AB$1006:AL1006),$AB$1006:$AQ$1006,0)))),"Fix")))</f>
        <v>0</v>
      </c>
      <c r="M689" s="4">
        <f>IF(OR(INDEX($V$2:$V$1001,MATCH(ROWS($U$2:U689),$U$2:$U$1001,0),1)&gt;=100000,INDEX($AB$1005:$AQ$1005,1,MATCH(COLUMNS($AB$1006:AM1006),$AB$1006:$AQ$1006,0))&gt;=100000), " ",IF(INDEX($AB$2:$AQ$1001,MATCH(ROWS($U$2:U689),$U$2:$U$1001,0),MATCH(COLUMNS($AB$1006:AM1006),$AB$1006:$AQ$1006,0)), HYPERLINK("#",""), HYPERLINK(CONCATENATE("#metadata!", ADDRESS(INDEX($W$2:$W$1001,MATCH(ROWS($U$2:U689),$U$2:$U$1001,0),0), INDEX($AB$1004:$AQ$1004,1,MATCH(COLUMNS($AB$1006:AM1006),$AB$1006:$AQ$1006,0)))),"Fix")))</f>
        <v>0</v>
      </c>
      <c r="N689" s="4">
        <f>IF(OR(INDEX($V$2:$V$1001,MATCH(ROWS($U$2:U689),$U$2:$U$1001,0),1)&gt;=100000,INDEX($AB$1005:$AQ$1005,1,MATCH(COLUMNS($AB$1006:AN1006),$AB$1006:$AQ$1006,0))&gt;=100000), " ",IF(INDEX($AB$2:$AQ$1001,MATCH(ROWS($U$2:U689),$U$2:$U$1001,0),MATCH(COLUMNS($AB$1006:AN1006),$AB$1006:$AQ$1006,0)), HYPERLINK("#",""), HYPERLINK(CONCATENATE("#metadata!", ADDRESS(INDEX($W$2:$W$1001,MATCH(ROWS($U$2:U689),$U$2:$U$1001,0),0), INDEX($AB$1004:$AQ$1004,1,MATCH(COLUMNS($AB$1006:AN1006),$AB$1006:$AQ$1006,0)))),"Fix")))</f>
        <v>0</v>
      </c>
      <c r="O689" s="4">
        <f>IF(OR(INDEX($V$2:$V$1001,MATCH(ROWS($U$2:U689),$U$2:$U$1001,0),1)&gt;=100000,INDEX($AB$1005:$AQ$1005,1,MATCH(COLUMNS($AB$1006:AO1006),$AB$1006:$AQ$1006,0))&gt;=100000), " ",IF(INDEX($AB$2:$AQ$1001,MATCH(ROWS($U$2:U689),$U$2:$U$1001,0),MATCH(COLUMNS($AB$1006:AO1006),$AB$1006:$AQ$1006,0)), HYPERLINK("#",""), HYPERLINK(CONCATENATE("#metadata!", ADDRESS(INDEX($W$2:$W$1001,MATCH(ROWS($U$2:U689),$U$2:$U$1001,0),0), INDEX($AB$1004:$AQ$1004,1,MATCH(COLUMNS($AB$1006:AO1006),$AB$1006:$AQ$1006,0)))),"Fix")))</f>
        <v>0</v>
      </c>
      <c r="P689" s="4">
        <f>IF(OR(INDEX($V$2:$V$1001,MATCH(ROWS($U$2:U689),$U$2:$U$1001,0),1)&gt;=100000,INDEX($AB$1005:$AQ$1005,1,MATCH(COLUMNS($AB$1006:AP1006),$AB$1006:$AQ$1006,0))&gt;=100000), " ",IF(INDEX($AB$2:$AQ$1001,MATCH(ROWS($U$2:U689),$U$2:$U$1001,0),MATCH(COLUMNS($AB$1006:AP1006),$AB$1006:$AQ$1006,0)), HYPERLINK("#",""), HYPERLINK(CONCATENATE("#metadata!", ADDRESS(INDEX($W$2:$W$1001,MATCH(ROWS($U$2:U689),$U$2:$U$1001,0),0), INDEX($AB$1004:$AQ$1004,1,MATCH(COLUMNS($AB$1006:AP1006),$AB$1006:$AQ$1006,0)))),"Fix")))</f>
        <v>0</v>
      </c>
      <c r="Q689" s="4">
        <f>IF(OR(INDEX($V$2:$V$1001,MATCH(ROWS($U$2:U689),$U$2:$U$1001,0),1)&gt;=100000,INDEX($AB$1005:$AQ$1005,1,MATCH(COLUMNS($AB$1006:AQ1006),$AB$1006:$AQ$1006,0))&gt;=100000), " ",IF(INDEX($AB$2:$AQ$1001,MATCH(ROWS($U$2:U689),$U$2:$U$1001,0),MATCH(COLUMNS($AB$1006:AQ1006),$AB$1006:$AQ$1006,0)), HYPERLINK("#",""), HYPERLINK(CONCATENATE("#metadata!", ADDRESS(INDEX($W$2:$W$1001,MATCH(ROWS($U$2:U689),$U$2:$U$1001,0),0), INDEX($AB$1004:$AQ$1004,1,MATCH(COLUMNS($AB$1006:AQ1006),$AB$1006:$AQ$1006,0)))),"Fix")))</f>
        <v>0</v>
      </c>
      <c r="U689">
        <v>0</v>
      </c>
      <c r="V689">
        <v>0</v>
      </c>
      <c r="W689">
        <v>0</v>
      </c>
      <c r="X689">
        <f>IF(Y689,TRUE,AND(AB689:AQ689))</f>
        <v>0</v>
      </c>
      <c r="Y689">
        <f>COUNTBLANK(metadata!B689:Q689)=COLUMNS(metadata!B689:Q689)</f>
        <v>0</v>
      </c>
      <c r="Z689">
        <v>0</v>
      </c>
      <c r="AB689">
        <f>AND(IF(metadata!B689="",FALSE,TRUE),COUNTIF(metadata!B:B, metadata!B689) = 1,NOT(ISERROR(SUMPRODUCT(SEARCH(MID(metadata!B689,ROW(INDIRECT("1:"&amp;LEN(metadata!B689))), 1),"0123456789abcdefghijklmnopqrstuvwxyzABCDEFGHIJKLMNOPQRSTUVWXYZ.")))))</f>
        <v>0</v>
      </c>
      <c r="AC689">
        <f>OR(AND(IF(metadata!C689="",FALSE,TRUE),OR(exact(metadata!C689,"missing: not collected"),exact(metadata!C689,"missing: not provided"),exact(metadata!C689,"missing: restricted access"))),AND(IF(metadata!C689="",FALSE,TRUE),AND(AND(IFERROR(INT(LEFT(metadata!C689,4))&gt;1900,FALSE),IFERROR(INT(LEFT(metadata!C689,4))&lt;=YEAR(NOW()),FALSE)), OR(MID(metadata!C689,5,1)="", AND(AND(MID(metadata!C689,5,1)="-",IFERROR(INT(MID(metadata!C689,6,1))&gt;=0,FALSE),IFERROR(INT(MID(metadata!C689,6,1))&lt;=1,FALSE),NOT(MID(metadata!C689,7,1)=""),IFERROR(INT(MID(metadata!C689,6,2))&gt;=1,FALSE),IFERROR(INT(MID(metadata!C689,6,2))&lt;=12,FALSE)), OR(MID(metadata!C689,8,1)="", AND(AND(MID(metadata!C689,8,1)="-",IFERROR(INT(MID(metadata!C689,9,1))&gt;=0,FALSE),IFERROR(INT(MID(metadata!C689,9,1))&lt;=3,FALSE),NOT(MID(metadata!C689,10,1)=""),IFERROR(INT(MID(metadata!C689,9,2))&gt;=1,FALSE),IFERROR(INT(MID(metadata!C689,9,2))&lt;=31,FALSE)), OR(MID(metadata!C689,11,1)="", AND(AND(MID(metadata!C689,11,1)=" ",IFERROR(INT(MID(metadata!C689,12,1))&gt;=0,FALSE),IFERROR(INT(MID(metadata!C689,12,1))&lt;=2,FALSE),NOT(MID(metadata!C689,13,1)=""),IFERROR(INT(MID(metadata!C689,12,2))&gt;=0,FALSE),IFERROR(INT(MID(metadata!C689,12,2))&lt;=23,FALSE)), OR(MID(metadata!C689,14,1)="", AND(AND(MID(metadata!C689,14,1)=":",IFERROR(INT(MID(metadata!C689,15,1))&gt;=0,FALSE),IFERROR(INT(MID(metadata!C689,15,1))&lt;=5,FALSE),NOT(MID(metadata!C689,16,1)=""),IFERROR(INT(MID(metadata!C689,15,2))&gt;=0,FALSE),IFERROR(INT(MID(metadata!C689,15,2))&lt;=59,FALSE)), OR(MID(metadata!C689,17,1)="", AND(AND(MID(metadata!C689,17,1)=":",IFERROR(INT(MID(metadata!C689,18,1))&gt;=0,FALSE),IFERROR(INT(MID(metadata!C689,18,1))&lt;=5,FALSE),NOT(MID(metadata!C689,19,1)=""),IFERROR(INT(MID(metadata!C689,18,2))&gt;=0,FALSE),IFERROR(INT(MID(metadata!C689,18,2))&lt;=59,FALSE)), LEN(metadata!C689)&lt;=19)))))))))))))</f>
        <v>0</v>
      </c>
      <c r="AD689">
        <f>IF(metadata!D689="",FALSE,TRUE)</f>
        <v>0</v>
      </c>
      <c r="AE689">
        <f>OR(AND(IF(metadata!E689="",FALSE,TRUE),OR(exact(metadata!E689,"missing: not collected"),exact(metadata!E689,"missing: not provided"))),AND(IF(metadata!E689="",FALSE,TRUE),OR(exact(metadata!E689,"TRUE"),exact(metadata!E689,"FALSE"))))</f>
        <v>0</v>
      </c>
      <c r="AF689">
        <f>IF(metadata!F689="",FALSE,TRUE)</f>
        <v>0</v>
      </c>
      <c r="AG689">
        <f>IF(metadata!G689="",FALSE,TRUE)</f>
        <v>0</v>
      </c>
      <c r="AH689">
        <f>IF(metadata!H689="",FALSE,TRUE)</f>
        <v>0</v>
      </c>
      <c r="AI689">
        <f>OR(AND(IF(metadata!I689="",FALSE,TRUE),OR(exact(metadata!I689,"missing: not collected"),exact(metadata!I689,"missing: not provided"),exact(metadata!I689,"missing: restricted access"))),AND(IF(metadata!I689="",FALSE,TRUE),OR(exact(metadata!I689,"air"),exact(metadata!I689,"built environment"),exact(metadata!I689,"host-associated"),exact(metadata!I689,"human-associated"),exact(metadata!I689,"human-skin"),exact(metadata!I689,"human-oral"),exact(metadata!I689,"human-gut"),exact(metadata!I689,"human-vaginal"),exact(metadata!I689,"microbial mat/biofilm"),exact(metadata!I689,"misc environment"),exact(metadata!I689,"plant-associated"),exact(metadata!I689,"sediment"),exact(metadata!I689,"soil"),exact(metadata!I689,"wastewater/sludge"),exact(metadata!I689,"water"))))</f>
        <v>0</v>
      </c>
      <c r="AJ689">
        <f>IF(metadata!J689="",FALSE,TRUE)</f>
        <v>0</v>
      </c>
      <c r="AK689">
        <f>OR(AND(IF(metadata!K689="",FALSE,TRUE),OR(exact(metadata!K689,"missing: not collected"),exact(metadata!K689,"missing: not provided"),exact(metadata!K689,"missing: restricted access"))),AND(IF(metadata!K689="",FALSE,ISNUMBER(VALUE(metadata!K689))),metadata!K689&gt;=-90.00,metadata!K689&lt;=90.00))</f>
        <v>0</v>
      </c>
      <c r="AL689">
        <f>OR(AND(IF(metadata!L689="",FALSE,TRUE),OR(exact(metadata!L689,"missing: not collected"),exact(metadata!L689,"missing: not provided"),exact(metadata!L689,"missing: restricted access"))),AND(IF(metadata!L689="",FALSE,ISNUMBER(VALUE(metadata!L689))),metadata!L689&gt;=-180.00,metadata!L689&lt;=180.00))</f>
        <v>0</v>
      </c>
      <c r="AM689">
        <f>IF(metadata!M689="",FALSE,TRUE)</f>
        <v>0</v>
      </c>
      <c r="AN689">
        <f>OR(AND(IF(metadata!N689="",FALSE,TRUE),OR(exact(metadata!N689,"missing: not collected"),exact(metadata!N689,"missing: not provided"),exact(metadata!N689,"missing: restricted access"))),AND(IF(metadata!N689="",FALSE,TRUE),OR(exact(metadata!N689,"TRUE"),exact(metadata!N689,"FALSE"))))</f>
        <v>0</v>
      </c>
      <c r="AO689">
        <f>IF(metadata!O689="",FALSE,TRUE)</f>
        <v>0</v>
      </c>
      <c r="AP689">
        <f>OR(AND(IF(metadata!P689="",FALSE,TRUE),OR(exact(metadata!P689,"missing: not collected"),exact(metadata!P689,"missing: not provided"))),AND(IF(metadata!P689="",FALSE,IF(ISERROR(INT(metadata!P689)),FALSE,INT(metadata!P689)=metadata!P689)),metadata!P689&gt;0))</f>
        <v>0</v>
      </c>
      <c r="AQ689">
        <f>IF(metadata!Q689="",FALSE,TRUE)</f>
        <v>0</v>
      </c>
    </row>
    <row r="690" spans="1:43">
      <c r="A690" s="5">
        <f>IF(B690=" "," ",HYPERLINK(CONCATENATE("#metadata!",ADDRESS(INDEX($W$2:$W$1001,MATCH(ROWS($U$2:U690),$U$2:$U$1001,0),0),1)),INDEX($Z$2:$Z$1001,MATCH(ROWS($U$2:U690),$U$2:$U$1001,0),0)))</f>
        <v>0</v>
      </c>
      <c r="B690" s="4">
        <f>IF(OR(INDEX($V$2:$V$1001,MATCH(ROWS($U$2:U690),$U$2:$U$1001,0),1)&gt;=100000,INDEX($AB$1005:$AQ$1005,1,MATCH(COLUMNS($AB$1006:AB1006),$AB$1006:$AQ$1006,0))&gt;=100000), " ",IF(INDEX($AB$2:$AQ$1001,MATCH(ROWS($U$2:U690),$U$2:$U$1001,0),MATCH(COLUMNS($AB$1006:AB1006),$AB$1006:$AQ$1006,0)), HYPERLINK("#",""), HYPERLINK(CONCATENATE("#metadata!", ADDRESS(INDEX($W$2:$W$1001,MATCH(ROWS($U$2:U690),$U$2:$U$1001,0),0), INDEX($AB$1004:$AQ$1004,1,MATCH(COLUMNS($AB$1006:AB1006),$AB$1006:$AQ$1006,0)))),"Fix")))</f>
        <v>0</v>
      </c>
      <c r="C690" s="4">
        <f>IF(OR(INDEX($V$2:$V$1001,MATCH(ROWS($U$2:U690),$U$2:$U$1001,0),1)&gt;=100000,INDEX($AB$1005:$AQ$1005,1,MATCH(COLUMNS($AB$1006:AC1006),$AB$1006:$AQ$1006,0))&gt;=100000), " ",IF(INDEX($AB$2:$AQ$1001,MATCH(ROWS($U$2:U690),$U$2:$U$1001,0),MATCH(COLUMNS($AB$1006:AC1006),$AB$1006:$AQ$1006,0)), HYPERLINK("#",""), HYPERLINK(CONCATENATE("#metadata!", ADDRESS(INDEX($W$2:$W$1001,MATCH(ROWS($U$2:U690),$U$2:$U$1001,0),0), INDEX($AB$1004:$AQ$1004,1,MATCH(COLUMNS($AB$1006:AC1006),$AB$1006:$AQ$1006,0)))),"Fix")))</f>
        <v>0</v>
      </c>
      <c r="D690" s="4">
        <f>IF(OR(INDEX($V$2:$V$1001,MATCH(ROWS($U$2:U690),$U$2:$U$1001,0),1)&gt;=100000,INDEX($AB$1005:$AQ$1005,1,MATCH(COLUMNS($AB$1006:AD1006),$AB$1006:$AQ$1006,0))&gt;=100000), " ",IF(INDEX($AB$2:$AQ$1001,MATCH(ROWS($U$2:U690),$U$2:$U$1001,0),MATCH(COLUMNS($AB$1006:AD1006),$AB$1006:$AQ$1006,0)), HYPERLINK("#",""), HYPERLINK(CONCATENATE("#metadata!", ADDRESS(INDEX($W$2:$W$1001,MATCH(ROWS($U$2:U690),$U$2:$U$1001,0),0), INDEX($AB$1004:$AQ$1004,1,MATCH(COLUMNS($AB$1006:AD1006),$AB$1006:$AQ$1006,0)))),"Fix")))</f>
        <v>0</v>
      </c>
      <c r="E690" s="4">
        <f>IF(OR(INDEX($V$2:$V$1001,MATCH(ROWS($U$2:U690),$U$2:$U$1001,0),1)&gt;=100000,INDEX($AB$1005:$AQ$1005,1,MATCH(COLUMNS($AB$1006:AE1006),$AB$1006:$AQ$1006,0))&gt;=100000), " ",IF(INDEX($AB$2:$AQ$1001,MATCH(ROWS($U$2:U690),$U$2:$U$1001,0),MATCH(COLUMNS($AB$1006:AE1006),$AB$1006:$AQ$1006,0)), HYPERLINK("#",""), HYPERLINK(CONCATENATE("#metadata!", ADDRESS(INDEX($W$2:$W$1001,MATCH(ROWS($U$2:U690),$U$2:$U$1001,0),0), INDEX($AB$1004:$AQ$1004,1,MATCH(COLUMNS($AB$1006:AE1006),$AB$1006:$AQ$1006,0)))),"Fix")))</f>
        <v>0</v>
      </c>
      <c r="F690" s="4">
        <f>IF(OR(INDEX($V$2:$V$1001,MATCH(ROWS($U$2:U690),$U$2:$U$1001,0),1)&gt;=100000,INDEX($AB$1005:$AQ$1005,1,MATCH(COLUMNS($AB$1006:AF1006),$AB$1006:$AQ$1006,0))&gt;=100000), " ",IF(INDEX($AB$2:$AQ$1001,MATCH(ROWS($U$2:U690),$U$2:$U$1001,0),MATCH(COLUMNS($AB$1006:AF1006),$AB$1006:$AQ$1006,0)), HYPERLINK("#",""), HYPERLINK(CONCATENATE("#metadata!", ADDRESS(INDEX($W$2:$W$1001,MATCH(ROWS($U$2:U690),$U$2:$U$1001,0),0), INDEX($AB$1004:$AQ$1004,1,MATCH(COLUMNS($AB$1006:AF1006),$AB$1006:$AQ$1006,0)))),"Fix")))</f>
        <v>0</v>
      </c>
      <c r="G690" s="4">
        <f>IF(OR(INDEX($V$2:$V$1001,MATCH(ROWS($U$2:U690),$U$2:$U$1001,0),1)&gt;=100000,INDEX($AB$1005:$AQ$1005,1,MATCH(COLUMNS($AB$1006:AG1006),$AB$1006:$AQ$1006,0))&gt;=100000), " ",IF(INDEX($AB$2:$AQ$1001,MATCH(ROWS($U$2:U690),$U$2:$U$1001,0),MATCH(COLUMNS($AB$1006:AG1006),$AB$1006:$AQ$1006,0)), HYPERLINK("#",""), HYPERLINK(CONCATENATE("#metadata!", ADDRESS(INDEX($W$2:$W$1001,MATCH(ROWS($U$2:U690),$U$2:$U$1001,0),0), INDEX($AB$1004:$AQ$1004,1,MATCH(COLUMNS($AB$1006:AG1006),$AB$1006:$AQ$1006,0)))),"Fix")))</f>
        <v>0</v>
      </c>
      <c r="H690" s="4">
        <f>IF(OR(INDEX($V$2:$V$1001,MATCH(ROWS($U$2:U690),$U$2:$U$1001,0),1)&gt;=100000,INDEX($AB$1005:$AQ$1005,1,MATCH(COLUMNS($AB$1006:AH1006),$AB$1006:$AQ$1006,0))&gt;=100000), " ",IF(INDEX($AB$2:$AQ$1001,MATCH(ROWS($U$2:U690),$U$2:$U$1001,0),MATCH(COLUMNS($AB$1006:AH1006),$AB$1006:$AQ$1006,0)), HYPERLINK("#",""), HYPERLINK(CONCATENATE("#metadata!", ADDRESS(INDEX($W$2:$W$1001,MATCH(ROWS($U$2:U690),$U$2:$U$1001,0),0), INDEX($AB$1004:$AQ$1004,1,MATCH(COLUMNS($AB$1006:AH1006),$AB$1006:$AQ$1006,0)))),"Fix")))</f>
        <v>0</v>
      </c>
      <c r="I690" s="4">
        <f>IF(OR(INDEX($V$2:$V$1001,MATCH(ROWS($U$2:U690),$U$2:$U$1001,0),1)&gt;=100000,INDEX($AB$1005:$AQ$1005,1,MATCH(COLUMNS($AB$1006:AI1006),$AB$1006:$AQ$1006,0))&gt;=100000), " ",IF(INDEX($AB$2:$AQ$1001,MATCH(ROWS($U$2:U690),$U$2:$U$1001,0),MATCH(COLUMNS($AB$1006:AI1006),$AB$1006:$AQ$1006,0)), HYPERLINK("#",""), HYPERLINK(CONCATENATE("#metadata!", ADDRESS(INDEX($W$2:$W$1001,MATCH(ROWS($U$2:U690),$U$2:$U$1001,0),0), INDEX($AB$1004:$AQ$1004,1,MATCH(COLUMNS($AB$1006:AI1006),$AB$1006:$AQ$1006,0)))),"Fix")))</f>
        <v>0</v>
      </c>
      <c r="J690" s="4">
        <f>IF(OR(INDEX($V$2:$V$1001,MATCH(ROWS($U$2:U690),$U$2:$U$1001,0),1)&gt;=100000,INDEX($AB$1005:$AQ$1005,1,MATCH(COLUMNS($AB$1006:AJ1006),$AB$1006:$AQ$1006,0))&gt;=100000), " ",IF(INDEX($AB$2:$AQ$1001,MATCH(ROWS($U$2:U690),$U$2:$U$1001,0),MATCH(COLUMNS($AB$1006:AJ1006),$AB$1006:$AQ$1006,0)), HYPERLINK("#",""), HYPERLINK(CONCATENATE("#metadata!", ADDRESS(INDEX($W$2:$W$1001,MATCH(ROWS($U$2:U690),$U$2:$U$1001,0),0), INDEX($AB$1004:$AQ$1004,1,MATCH(COLUMNS($AB$1006:AJ1006),$AB$1006:$AQ$1006,0)))),"Fix")))</f>
        <v>0</v>
      </c>
      <c r="K690" s="4">
        <f>IF(OR(INDEX($V$2:$V$1001,MATCH(ROWS($U$2:U690),$U$2:$U$1001,0),1)&gt;=100000,INDEX($AB$1005:$AQ$1005,1,MATCH(COLUMNS($AB$1006:AK1006),$AB$1006:$AQ$1006,0))&gt;=100000), " ",IF(INDEX($AB$2:$AQ$1001,MATCH(ROWS($U$2:U690),$U$2:$U$1001,0),MATCH(COLUMNS($AB$1006:AK1006),$AB$1006:$AQ$1006,0)), HYPERLINK("#",""), HYPERLINK(CONCATENATE("#metadata!", ADDRESS(INDEX($W$2:$W$1001,MATCH(ROWS($U$2:U690),$U$2:$U$1001,0),0), INDEX($AB$1004:$AQ$1004,1,MATCH(COLUMNS($AB$1006:AK1006),$AB$1006:$AQ$1006,0)))),"Fix")))</f>
        <v>0</v>
      </c>
      <c r="L690" s="4">
        <f>IF(OR(INDEX($V$2:$V$1001,MATCH(ROWS($U$2:U690),$U$2:$U$1001,0),1)&gt;=100000,INDEX($AB$1005:$AQ$1005,1,MATCH(COLUMNS($AB$1006:AL1006),$AB$1006:$AQ$1006,0))&gt;=100000), " ",IF(INDEX($AB$2:$AQ$1001,MATCH(ROWS($U$2:U690),$U$2:$U$1001,0),MATCH(COLUMNS($AB$1006:AL1006),$AB$1006:$AQ$1006,0)), HYPERLINK("#",""), HYPERLINK(CONCATENATE("#metadata!", ADDRESS(INDEX($W$2:$W$1001,MATCH(ROWS($U$2:U690),$U$2:$U$1001,0),0), INDEX($AB$1004:$AQ$1004,1,MATCH(COLUMNS($AB$1006:AL1006),$AB$1006:$AQ$1006,0)))),"Fix")))</f>
        <v>0</v>
      </c>
      <c r="M690" s="4">
        <f>IF(OR(INDEX($V$2:$V$1001,MATCH(ROWS($U$2:U690),$U$2:$U$1001,0),1)&gt;=100000,INDEX($AB$1005:$AQ$1005,1,MATCH(COLUMNS($AB$1006:AM1006),$AB$1006:$AQ$1006,0))&gt;=100000), " ",IF(INDEX($AB$2:$AQ$1001,MATCH(ROWS($U$2:U690),$U$2:$U$1001,0),MATCH(COLUMNS($AB$1006:AM1006),$AB$1006:$AQ$1006,0)), HYPERLINK("#",""), HYPERLINK(CONCATENATE("#metadata!", ADDRESS(INDEX($W$2:$W$1001,MATCH(ROWS($U$2:U690),$U$2:$U$1001,0),0), INDEX($AB$1004:$AQ$1004,1,MATCH(COLUMNS($AB$1006:AM1006),$AB$1006:$AQ$1006,0)))),"Fix")))</f>
        <v>0</v>
      </c>
      <c r="N690" s="4">
        <f>IF(OR(INDEX($V$2:$V$1001,MATCH(ROWS($U$2:U690),$U$2:$U$1001,0),1)&gt;=100000,INDEX($AB$1005:$AQ$1005,1,MATCH(COLUMNS($AB$1006:AN1006),$AB$1006:$AQ$1006,0))&gt;=100000), " ",IF(INDEX($AB$2:$AQ$1001,MATCH(ROWS($U$2:U690),$U$2:$U$1001,0),MATCH(COLUMNS($AB$1006:AN1006),$AB$1006:$AQ$1006,0)), HYPERLINK("#",""), HYPERLINK(CONCATENATE("#metadata!", ADDRESS(INDEX($W$2:$W$1001,MATCH(ROWS($U$2:U690),$U$2:$U$1001,0),0), INDEX($AB$1004:$AQ$1004,1,MATCH(COLUMNS($AB$1006:AN1006),$AB$1006:$AQ$1006,0)))),"Fix")))</f>
        <v>0</v>
      </c>
      <c r="O690" s="4">
        <f>IF(OR(INDEX($V$2:$V$1001,MATCH(ROWS($U$2:U690),$U$2:$U$1001,0),1)&gt;=100000,INDEX($AB$1005:$AQ$1005,1,MATCH(COLUMNS($AB$1006:AO1006),$AB$1006:$AQ$1006,0))&gt;=100000), " ",IF(INDEX($AB$2:$AQ$1001,MATCH(ROWS($U$2:U690),$U$2:$U$1001,0),MATCH(COLUMNS($AB$1006:AO1006),$AB$1006:$AQ$1006,0)), HYPERLINK("#",""), HYPERLINK(CONCATENATE("#metadata!", ADDRESS(INDEX($W$2:$W$1001,MATCH(ROWS($U$2:U690),$U$2:$U$1001,0),0), INDEX($AB$1004:$AQ$1004,1,MATCH(COLUMNS($AB$1006:AO1006),$AB$1006:$AQ$1006,0)))),"Fix")))</f>
        <v>0</v>
      </c>
      <c r="P690" s="4">
        <f>IF(OR(INDEX($V$2:$V$1001,MATCH(ROWS($U$2:U690),$U$2:$U$1001,0),1)&gt;=100000,INDEX($AB$1005:$AQ$1005,1,MATCH(COLUMNS($AB$1006:AP1006),$AB$1006:$AQ$1006,0))&gt;=100000), " ",IF(INDEX($AB$2:$AQ$1001,MATCH(ROWS($U$2:U690),$U$2:$U$1001,0),MATCH(COLUMNS($AB$1006:AP1006),$AB$1006:$AQ$1006,0)), HYPERLINK("#",""), HYPERLINK(CONCATENATE("#metadata!", ADDRESS(INDEX($W$2:$W$1001,MATCH(ROWS($U$2:U690),$U$2:$U$1001,0),0), INDEX($AB$1004:$AQ$1004,1,MATCH(COLUMNS($AB$1006:AP1006),$AB$1006:$AQ$1006,0)))),"Fix")))</f>
        <v>0</v>
      </c>
      <c r="Q690" s="4">
        <f>IF(OR(INDEX($V$2:$V$1001,MATCH(ROWS($U$2:U690),$U$2:$U$1001,0),1)&gt;=100000,INDEX($AB$1005:$AQ$1005,1,MATCH(COLUMNS($AB$1006:AQ1006),$AB$1006:$AQ$1006,0))&gt;=100000), " ",IF(INDEX($AB$2:$AQ$1001,MATCH(ROWS($U$2:U690),$U$2:$U$1001,0),MATCH(COLUMNS($AB$1006:AQ1006),$AB$1006:$AQ$1006,0)), HYPERLINK("#",""), HYPERLINK(CONCATENATE("#metadata!", ADDRESS(INDEX($W$2:$W$1001,MATCH(ROWS($U$2:U690),$U$2:$U$1001,0),0), INDEX($AB$1004:$AQ$1004,1,MATCH(COLUMNS($AB$1006:AQ1006),$AB$1006:$AQ$1006,0)))),"Fix")))</f>
        <v>0</v>
      </c>
      <c r="U690">
        <v>0</v>
      </c>
      <c r="V690">
        <v>0</v>
      </c>
      <c r="W690">
        <v>0</v>
      </c>
      <c r="X690">
        <f>IF(Y690,TRUE,AND(AB690:AQ690))</f>
        <v>0</v>
      </c>
      <c r="Y690">
        <f>COUNTBLANK(metadata!B690:Q690)=COLUMNS(metadata!B690:Q690)</f>
        <v>0</v>
      </c>
      <c r="Z690">
        <v>0</v>
      </c>
      <c r="AB690">
        <f>AND(IF(metadata!B690="",FALSE,TRUE),COUNTIF(metadata!B:B, metadata!B690) = 1,NOT(ISERROR(SUMPRODUCT(SEARCH(MID(metadata!B690,ROW(INDIRECT("1:"&amp;LEN(metadata!B690))), 1),"0123456789abcdefghijklmnopqrstuvwxyzABCDEFGHIJKLMNOPQRSTUVWXYZ.")))))</f>
        <v>0</v>
      </c>
      <c r="AC690">
        <f>OR(AND(IF(metadata!C690="",FALSE,TRUE),OR(exact(metadata!C690,"missing: not collected"),exact(metadata!C690,"missing: not provided"),exact(metadata!C690,"missing: restricted access"))),AND(IF(metadata!C690="",FALSE,TRUE),AND(AND(IFERROR(INT(LEFT(metadata!C690,4))&gt;1900,FALSE),IFERROR(INT(LEFT(metadata!C690,4))&lt;=YEAR(NOW()),FALSE)), OR(MID(metadata!C690,5,1)="", AND(AND(MID(metadata!C690,5,1)="-",IFERROR(INT(MID(metadata!C690,6,1))&gt;=0,FALSE),IFERROR(INT(MID(metadata!C690,6,1))&lt;=1,FALSE),NOT(MID(metadata!C690,7,1)=""),IFERROR(INT(MID(metadata!C690,6,2))&gt;=1,FALSE),IFERROR(INT(MID(metadata!C690,6,2))&lt;=12,FALSE)), OR(MID(metadata!C690,8,1)="", AND(AND(MID(metadata!C690,8,1)="-",IFERROR(INT(MID(metadata!C690,9,1))&gt;=0,FALSE),IFERROR(INT(MID(metadata!C690,9,1))&lt;=3,FALSE),NOT(MID(metadata!C690,10,1)=""),IFERROR(INT(MID(metadata!C690,9,2))&gt;=1,FALSE),IFERROR(INT(MID(metadata!C690,9,2))&lt;=31,FALSE)), OR(MID(metadata!C690,11,1)="", AND(AND(MID(metadata!C690,11,1)=" ",IFERROR(INT(MID(metadata!C690,12,1))&gt;=0,FALSE),IFERROR(INT(MID(metadata!C690,12,1))&lt;=2,FALSE),NOT(MID(metadata!C690,13,1)=""),IFERROR(INT(MID(metadata!C690,12,2))&gt;=0,FALSE),IFERROR(INT(MID(metadata!C690,12,2))&lt;=23,FALSE)), OR(MID(metadata!C690,14,1)="", AND(AND(MID(metadata!C690,14,1)=":",IFERROR(INT(MID(metadata!C690,15,1))&gt;=0,FALSE),IFERROR(INT(MID(metadata!C690,15,1))&lt;=5,FALSE),NOT(MID(metadata!C690,16,1)=""),IFERROR(INT(MID(metadata!C690,15,2))&gt;=0,FALSE),IFERROR(INT(MID(metadata!C690,15,2))&lt;=59,FALSE)), OR(MID(metadata!C690,17,1)="", AND(AND(MID(metadata!C690,17,1)=":",IFERROR(INT(MID(metadata!C690,18,1))&gt;=0,FALSE),IFERROR(INT(MID(metadata!C690,18,1))&lt;=5,FALSE),NOT(MID(metadata!C690,19,1)=""),IFERROR(INT(MID(metadata!C690,18,2))&gt;=0,FALSE),IFERROR(INT(MID(metadata!C690,18,2))&lt;=59,FALSE)), LEN(metadata!C690)&lt;=19)))))))))))))</f>
        <v>0</v>
      </c>
      <c r="AD690">
        <f>IF(metadata!D690="",FALSE,TRUE)</f>
        <v>0</v>
      </c>
      <c r="AE690">
        <f>OR(AND(IF(metadata!E690="",FALSE,TRUE),OR(exact(metadata!E690,"missing: not collected"),exact(metadata!E690,"missing: not provided"))),AND(IF(metadata!E690="",FALSE,TRUE),OR(exact(metadata!E690,"TRUE"),exact(metadata!E690,"FALSE"))))</f>
        <v>0</v>
      </c>
      <c r="AF690">
        <f>IF(metadata!F690="",FALSE,TRUE)</f>
        <v>0</v>
      </c>
      <c r="AG690">
        <f>IF(metadata!G690="",FALSE,TRUE)</f>
        <v>0</v>
      </c>
      <c r="AH690">
        <f>IF(metadata!H690="",FALSE,TRUE)</f>
        <v>0</v>
      </c>
      <c r="AI690">
        <f>OR(AND(IF(metadata!I690="",FALSE,TRUE),OR(exact(metadata!I690,"missing: not collected"),exact(metadata!I690,"missing: not provided"),exact(metadata!I690,"missing: restricted access"))),AND(IF(metadata!I690="",FALSE,TRUE),OR(exact(metadata!I690,"air"),exact(metadata!I690,"built environment"),exact(metadata!I690,"host-associated"),exact(metadata!I690,"human-associated"),exact(metadata!I690,"human-skin"),exact(metadata!I690,"human-oral"),exact(metadata!I690,"human-gut"),exact(metadata!I690,"human-vaginal"),exact(metadata!I690,"microbial mat/biofilm"),exact(metadata!I690,"misc environment"),exact(metadata!I690,"plant-associated"),exact(metadata!I690,"sediment"),exact(metadata!I690,"soil"),exact(metadata!I690,"wastewater/sludge"),exact(metadata!I690,"water"))))</f>
        <v>0</v>
      </c>
      <c r="AJ690">
        <f>IF(metadata!J690="",FALSE,TRUE)</f>
        <v>0</v>
      </c>
      <c r="AK690">
        <f>OR(AND(IF(metadata!K690="",FALSE,TRUE),OR(exact(metadata!K690,"missing: not collected"),exact(metadata!K690,"missing: not provided"),exact(metadata!K690,"missing: restricted access"))),AND(IF(metadata!K690="",FALSE,ISNUMBER(VALUE(metadata!K690))),metadata!K690&gt;=-90.00,metadata!K690&lt;=90.00))</f>
        <v>0</v>
      </c>
      <c r="AL690">
        <f>OR(AND(IF(metadata!L690="",FALSE,TRUE),OR(exact(metadata!L690,"missing: not collected"),exact(metadata!L690,"missing: not provided"),exact(metadata!L690,"missing: restricted access"))),AND(IF(metadata!L690="",FALSE,ISNUMBER(VALUE(metadata!L690))),metadata!L690&gt;=-180.00,metadata!L690&lt;=180.00))</f>
        <v>0</v>
      </c>
      <c r="AM690">
        <f>IF(metadata!M690="",FALSE,TRUE)</f>
        <v>0</v>
      </c>
      <c r="AN690">
        <f>OR(AND(IF(metadata!N690="",FALSE,TRUE),OR(exact(metadata!N690,"missing: not collected"),exact(metadata!N690,"missing: not provided"),exact(metadata!N690,"missing: restricted access"))),AND(IF(metadata!N690="",FALSE,TRUE),OR(exact(metadata!N690,"TRUE"),exact(metadata!N690,"FALSE"))))</f>
        <v>0</v>
      </c>
      <c r="AO690">
        <f>IF(metadata!O690="",FALSE,TRUE)</f>
        <v>0</v>
      </c>
      <c r="AP690">
        <f>OR(AND(IF(metadata!P690="",FALSE,TRUE),OR(exact(metadata!P690,"missing: not collected"),exact(metadata!P690,"missing: not provided"))),AND(IF(metadata!P690="",FALSE,IF(ISERROR(INT(metadata!P690)),FALSE,INT(metadata!P690)=metadata!P690)),metadata!P690&gt;0))</f>
        <v>0</v>
      </c>
      <c r="AQ690">
        <f>IF(metadata!Q690="",FALSE,TRUE)</f>
        <v>0</v>
      </c>
    </row>
    <row r="691" spans="1:43">
      <c r="A691" s="5">
        <f>IF(B691=" "," ",HYPERLINK(CONCATENATE("#metadata!",ADDRESS(INDEX($W$2:$W$1001,MATCH(ROWS($U$2:U691),$U$2:$U$1001,0),0),1)),INDEX($Z$2:$Z$1001,MATCH(ROWS($U$2:U691),$U$2:$U$1001,0),0)))</f>
        <v>0</v>
      </c>
      <c r="B691" s="4">
        <f>IF(OR(INDEX($V$2:$V$1001,MATCH(ROWS($U$2:U691),$U$2:$U$1001,0),1)&gt;=100000,INDEX($AB$1005:$AQ$1005,1,MATCH(COLUMNS($AB$1006:AB1006),$AB$1006:$AQ$1006,0))&gt;=100000), " ",IF(INDEX($AB$2:$AQ$1001,MATCH(ROWS($U$2:U691),$U$2:$U$1001,0),MATCH(COLUMNS($AB$1006:AB1006),$AB$1006:$AQ$1006,0)), HYPERLINK("#",""), HYPERLINK(CONCATENATE("#metadata!", ADDRESS(INDEX($W$2:$W$1001,MATCH(ROWS($U$2:U691),$U$2:$U$1001,0),0), INDEX($AB$1004:$AQ$1004,1,MATCH(COLUMNS($AB$1006:AB1006),$AB$1006:$AQ$1006,0)))),"Fix")))</f>
        <v>0</v>
      </c>
      <c r="C691" s="4">
        <f>IF(OR(INDEX($V$2:$V$1001,MATCH(ROWS($U$2:U691),$U$2:$U$1001,0),1)&gt;=100000,INDEX($AB$1005:$AQ$1005,1,MATCH(COLUMNS($AB$1006:AC1006),$AB$1006:$AQ$1006,0))&gt;=100000), " ",IF(INDEX($AB$2:$AQ$1001,MATCH(ROWS($U$2:U691),$U$2:$U$1001,0),MATCH(COLUMNS($AB$1006:AC1006),$AB$1006:$AQ$1006,0)), HYPERLINK("#",""), HYPERLINK(CONCATENATE("#metadata!", ADDRESS(INDEX($W$2:$W$1001,MATCH(ROWS($U$2:U691),$U$2:$U$1001,0),0), INDEX($AB$1004:$AQ$1004,1,MATCH(COLUMNS($AB$1006:AC1006),$AB$1006:$AQ$1006,0)))),"Fix")))</f>
        <v>0</v>
      </c>
      <c r="D691" s="4">
        <f>IF(OR(INDEX($V$2:$V$1001,MATCH(ROWS($U$2:U691),$U$2:$U$1001,0),1)&gt;=100000,INDEX($AB$1005:$AQ$1005,1,MATCH(COLUMNS($AB$1006:AD1006),$AB$1006:$AQ$1006,0))&gt;=100000), " ",IF(INDEX($AB$2:$AQ$1001,MATCH(ROWS($U$2:U691),$U$2:$U$1001,0),MATCH(COLUMNS($AB$1006:AD1006),$AB$1006:$AQ$1006,0)), HYPERLINK("#",""), HYPERLINK(CONCATENATE("#metadata!", ADDRESS(INDEX($W$2:$W$1001,MATCH(ROWS($U$2:U691),$U$2:$U$1001,0),0), INDEX($AB$1004:$AQ$1004,1,MATCH(COLUMNS($AB$1006:AD1006),$AB$1006:$AQ$1006,0)))),"Fix")))</f>
        <v>0</v>
      </c>
      <c r="E691" s="4">
        <f>IF(OR(INDEX($V$2:$V$1001,MATCH(ROWS($U$2:U691),$U$2:$U$1001,0),1)&gt;=100000,INDEX($AB$1005:$AQ$1005,1,MATCH(COLUMNS($AB$1006:AE1006),$AB$1006:$AQ$1006,0))&gt;=100000), " ",IF(INDEX($AB$2:$AQ$1001,MATCH(ROWS($U$2:U691),$U$2:$U$1001,0),MATCH(COLUMNS($AB$1006:AE1006),$AB$1006:$AQ$1006,0)), HYPERLINK("#",""), HYPERLINK(CONCATENATE("#metadata!", ADDRESS(INDEX($W$2:$W$1001,MATCH(ROWS($U$2:U691),$U$2:$U$1001,0),0), INDEX($AB$1004:$AQ$1004,1,MATCH(COLUMNS($AB$1006:AE1006),$AB$1006:$AQ$1006,0)))),"Fix")))</f>
        <v>0</v>
      </c>
      <c r="F691" s="4">
        <f>IF(OR(INDEX($V$2:$V$1001,MATCH(ROWS($U$2:U691),$U$2:$U$1001,0),1)&gt;=100000,INDEX($AB$1005:$AQ$1005,1,MATCH(COLUMNS($AB$1006:AF1006),$AB$1006:$AQ$1006,0))&gt;=100000), " ",IF(INDEX($AB$2:$AQ$1001,MATCH(ROWS($U$2:U691),$U$2:$U$1001,0),MATCH(COLUMNS($AB$1006:AF1006),$AB$1006:$AQ$1006,0)), HYPERLINK("#",""), HYPERLINK(CONCATENATE("#metadata!", ADDRESS(INDEX($W$2:$W$1001,MATCH(ROWS($U$2:U691),$U$2:$U$1001,0),0), INDEX($AB$1004:$AQ$1004,1,MATCH(COLUMNS($AB$1006:AF1006),$AB$1006:$AQ$1006,0)))),"Fix")))</f>
        <v>0</v>
      </c>
      <c r="G691" s="4">
        <f>IF(OR(INDEX($V$2:$V$1001,MATCH(ROWS($U$2:U691),$U$2:$U$1001,0),1)&gt;=100000,INDEX($AB$1005:$AQ$1005,1,MATCH(COLUMNS($AB$1006:AG1006),$AB$1006:$AQ$1006,0))&gt;=100000), " ",IF(INDEX($AB$2:$AQ$1001,MATCH(ROWS($U$2:U691),$U$2:$U$1001,0),MATCH(COLUMNS($AB$1006:AG1006),$AB$1006:$AQ$1006,0)), HYPERLINK("#",""), HYPERLINK(CONCATENATE("#metadata!", ADDRESS(INDEX($W$2:$W$1001,MATCH(ROWS($U$2:U691),$U$2:$U$1001,0),0), INDEX($AB$1004:$AQ$1004,1,MATCH(COLUMNS($AB$1006:AG1006),$AB$1006:$AQ$1006,0)))),"Fix")))</f>
        <v>0</v>
      </c>
      <c r="H691" s="4">
        <f>IF(OR(INDEX($V$2:$V$1001,MATCH(ROWS($U$2:U691),$U$2:$U$1001,0),1)&gt;=100000,INDEX($AB$1005:$AQ$1005,1,MATCH(COLUMNS($AB$1006:AH1006),$AB$1006:$AQ$1006,0))&gt;=100000), " ",IF(INDEX($AB$2:$AQ$1001,MATCH(ROWS($U$2:U691),$U$2:$U$1001,0),MATCH(COLUMNS($AB$1006:AH1006),$AB$1006:$AQ$1006,0)), HYPERLINK("#",""), HYPERLINK(CONCATENATE("#metadata!", ADDRESS(INDEX($W$2:$W$1001,MATCH(ROWS($U$2:U691),$U$2:$U$1001,0),0), INDEX($AB$1004:$AQ$1004,1,MATCH(COLUMNS($AB$1006:AH1006),$AB$1006:$AQ$1006,0)))),"Fix")))</f>
        <v>0</v>
      </c>
      <c r="I691" s="4">
        <f>IF(OR(INDEX($V$2:$V$1001,MATCH(ROWS($U$2:U691),$U$2:$U$1001,0),1)&gt;=100000,INDEX($AB$1005:$AQ$1005,1,MATCH(COLUMNS($AB$1006:AI1006),$AB$1006:$AQ$1006,0))&gt;=100000), " ",IF(INDEX($AB$2:$AQ$1001,MATCH(ROWS($U$2:U691),$U$2:$U$1001,0),MATCH(COLUMNS($AB$1006:AI1006),$AB$1006:$AQ$1006,0)), HYPERLINK("#",""), HYPERLINK(CONCATENATE("#metadata!", ADDRESS(INDEX($W$2:$W$1001,MATCH(ROWS($U$2:U691),$U$2:$U$1001,0),0), INDEX($AB$1004:$AQ$1004,1,MATCH(COLUMNS($AB$1006:AI1006),$AB$1006:$AQ$1006,0)))),"Fix")))</f>
        <v>0</v>
      </c>
      <c r="J691" s="4">
        <f>IF(OR(INDEX($V$2:$V$1001,MATCH(ROWS($U$2:U691),$U$2:$U$1001,0),1)&gt;=100000,INDEX($AB$1005:$AQ$1005,1,MATCH(COLUMNS($AB$1006:AJ1006),$AB$1006:$AQ$1006,0))&gt;=100000), " ",IF(INDEX($AB$2:$AQ$1001,MATCH(ROWS($U$2:U691),$U$2:$U$1001,0),MATCH(COLUMNS($AB$1006:AJ1006),$AB$1006:$AQ$1006,0)), HYPERLINK("#",""), HYPERLINK(CONCATENATE("#metadata!", ADDRESS(INDEX($W$2:$W$1001,MATCH(ROWS($U$2:U691),$U$2:$U$1001,0),0), INDEX($AB$1004:$AQ$1004,1,MATCH(COLUMNS($AB$1006:AJ1006),$AB$1006:$AQ$1006,0)))),"Fix")))</f>
        <v>0</v>
      </c>
      <c r="K691" s="4">
        <f>IF(OR(INDEX($V$2:$V$1001,MATCH(ROWS($U$2:U691),$U$2:$U$1001,0),1)&gt;=100000,INDEX($AB$1005:$AQ$1005,1,MATCH(COLUMNS($AB$1006:AK1006),$AB$1006:$AQ$1006,0))&gt;=100000), " ",IF(INDEX($AB$2:$AQ$1001,MATCH(ROWS($U$2:U691),$U$2:$U$1001,0),MATCH(COLUMNS($AB$1006:AK1006),$AB$1006:$AQ$1006,0)), HYPERLINK("#",""), HYPERLINK(CONCATENATE("#metadata!", ADDRESS(INDEX($W$2:$W$1001,MATCH(ROWS($U$2:U691),$U$2:$U$1001,0),0), INDEX($AB$1004:$AQ$1004,1,MATCH(COLUMNS($AB$1006:AK1006),$AB$1006:$AQ$1006,0)))),"Fix")))</f>
        <v>0</v>
      </c>
      <c r="L691" s="4">
        <f>IF(OR(INDEX($V$2:$V$1001,MATCH(ROWS($U$2:U691),$U$2:$U$1001,0),1)&gt;=100000,INDEX($AB$1005:$AQ$1005,1,MATCH(COLUMNS($AB$1006:AL1006),$AB$1006:$AQ$1006,0))&gt;=100000), " ",IF(INDEX($AB$2:$AQ$1001,MATCH(ROWS($U$2:U691),$U$2:$U$1001,0),MATCH(COLUMNS($AB$1006:AL1006),$AB$1006:$AQ$1006,0)), HYPERLINK("#",""), HYPERLINK(CONCATENATE("#metadata!", ADDRESS(INDEX($W$2:$W$1001,MATCH(ROWS($U$2:U691),$U$2:$U$1001,0),0), INDEX($AB$1004:$AQ$1004,1,MATCH(COLUMNS($AB$1006:AL1006),$AB$1006:$AQ$1006,0)))),"Fix")))</f>
        <v>0</v>
      </c>
      <c r="M691" s="4">
        <f>IF(OR(INDEX($V$2:$V$1001,MATCH(ROWS($U$2:U691),$U$2:$U$1001,0),1)&gt;=100000,INDEX($AB$1005:$AQ$1005,1,MATCH(COLUMNS($AB$1006:AM1006),$AB$1006:$AQ$1006,0))&gt;=100000), " ",IF(INDEX($AB$2:$AQ$1001,MATCH(ROWS($U$2:U691),$U$2:$U$1001,0),MATCH(COLUMNS($AB$1006:AM1006),$AB$1006:$AQ$1006,0)), HYPERLINK("#",""), HYPERLINK(CONCATENATE("#metadata!", ADDRESS(INDEX($W$2:$W$1001,MATCH(ROWS($U$2:U691),$U$2:$U$1001,0),0), INDEX($AB$1004:$AQ$1004,1,MATCH(COLUMNS($AB$1006:AM1006),$AB$1006:$AQ$1006,0)))),"Fix")))</f>
        <v>0</v>
      </c>
      <c r="N691" s="4">
        <f>IF(OR(INDEX($V$2:$V$1001,MATCH(ROWS($U$2:U691),$U$2:$U$1001,0),1)&gt;=100000,INDEX($AB$1005:$AQ$1005,1,MATCH(COLUMNS($AB$1006:AN1006),$AB$1006:$AQ$1006,0))&gt;=100000), " ",IF(INDEX($AB$2:$AQ$1001,MATCH(ROWS($U$2:U691),$U$2:$U$1001,0),MATCH(COLUMNS($AB$1006:AN1006),$AB$1006:$AQ$1006,0)), HYPERLINK("#",""), HYPERLINK(CONCATENATE("#metadata!", ADDRESS(INDEX($W$2:$W$1001,MATCH(ROWS($U$2:U691),$U$2:$U$1001,0),0), INDEX($AB$1004:$AQ$1004,1,MATCH(COLUMNS($AB$1006:AN1006),$AB$1006:$AQ$1006,0)))),"Fix")))</f>
        <v>0</v>
      </c>
      <c r="O691" s="4">
        <f>IF(OR(INDEX($V$2:$V$1001,MATCH(ROWS($U$2:U691),$U$2:$U$1001,0),1)&gt;=100000,INDEX($AB$1005:$AQ$1005,1,MATCH(COLUMNS($AB$1006:AO1006),$AB$1006:$AQ$1006,0))&gt;=100000), " ",IF(INDEX($AB$2:$AQ$1001,MATCH(ROWS($U$2:U691),$U$2:$U$1001,0),MATCH(COLUMNS($AB$1006:AO1006),$AB$1006:$AQ$1006,0)), HYPERLINK("#",""), HYPERLINK(CONCATENATE("#metadata!", ADDRESS(INDEX($W$2:$W$1001,MATCH(ROWS($U$2:U691),$U$2:$U$1001,0),0), INDEX($AB$1004:$AQ$1004,1,MATCH(COLUMNS($AB$1006:AO1006),$AB$1006:$AQ$1006,0)))),"Fix")))</f>
        <v>0</v>
      </c>
      <c r="P691" s="4">
        <f>IF(OR(INDEX($V$2:$V$1001,MATCH(ROWS($U$2:U691),$U$2:$U$1001,0),1)&gt;=100000,INDEX($AB$1005:$AQ$1005,1,MATCH(COLUMNS($AB$1006:AP1006),$AB$1006:$AQ$1006,0))&gt;=100000), " ",IF(INDEX($AB$2:$AQ$1001,MATCH(ROWS($U$2:U691),$U$2:$U$1001,0),MATCH(COLUMNS($AB$1006:AP1006),$AB$1006:$AQ$1006,0)), HYPERLINK("#",""), HYPERLINK(CONCATENATE("#metadata!", ADDRESS(INDEX($W$2:$W$1001,MATCH(ROWS($U$2:U691),$U$2:$U$1001,0),0), INDEX($AB$1004:$AQ$1004,1,MATCH(COLUMNS($AB$1006:AP1006),$AB$1006:$AQ$1006,0)))),"Fix")))</f>
        <v>0</v>
      </c>
      <c r="Q691" s="4">
        <f>IF(OR(INDEX($V$2:$V$1001,MATCH(ROWS($U$2:U691),$U$2:$U$1001,0),1)&gt;=100000,INDEX($AB$1005:$AQ$1005,1,MATCH(COLUMNS($AB$1006:AQ1006),$AB$1006:$AQ$1006,0))&gt;=100000), " ",IF(INDEX($AB$2:$AQ$1001,MATCH(ROWS($U$2:U691),$U$2:$U$1001,0),MATCH(COLUMNS($AB$1006:AQ1006),$AB$1006:$AQ$1006,0)), HYPERLINK("#",""), HYPERLINK(CONCATENATE("#metadata!", ADDRESS(INDEX($W$2:$W$1001,MATCH(ROWS($U$2:U691),$U$2:$U$1001,0),0), INDEX($AB$1004:$AQ$1004,1,MATCH(COLUMNS($AB$1006:AQ1006),$AB$1006:$AQ$1006,0)))),"Fix")))</f>
        <v>0</v>
      </c>
      <c r="U691">
        <v>0</v>
      </c>
      <c r="V691">
        <v>0</v>
      </c>
      <c r="W691">
        <v>0</v>
      </c>
      <c r="X691">
        <f>IF(Y691,TRUE,AND(AB691:AQ691))</f>
        <v>0</v>
      </c>
      <c r="Y691">
        <f>COUNTBLANK(metadata!B691:Q691)=COLUMNS(metadata!B691:Q691)</f>
        <v>0</v>
      </c>
      <c r="Z691">
        <v>0</v>
      </c>
      <c r="AB691">
        <f>AND(IF(metadata!B691="",FALSE,TRUE),COUNTIF(metadata!B:B, metadata!B691) = 1,NOT(ISERROR(SUMPRODUCT(SEARCH(MID(metadata!B691,ROW(INDIRECT("1:"&amp;LEN(metadata!B691))), 1),"0123456789abcdefghijklmnopqrstuvwxyzABCDEFGHIJKLMNOPQRSTUVWXYZ.")))))</f>
        <v>0</v>
      </c>
      <c r="AC691">
        <f>OR(AND(IF(metadata!C691="",FALSE,TRUE),OR(exact(metadata!C691,"missing: not collected"),exact(metadata!C691,"missing: not provided"),exact(metadata!C691,"missing: restricted access"))),AND(IF(metadata!C691="",FALSE,TRUE),AND(AND(IFERROR(INT(LEFT(metadata!C691,4))&gt;1900,FALSE),IFERROR(INT(LEFT(metadata!C691,4))&lt;=YEAR(NOW()),FALSE)), OR(MID(metadata!C691,5,1)="", AND(AND(MID(metadata!C691,5,1)="-",IFERROR(INT(MID(metadata!C691,6,1))&gt;=0,FALSE),IFERROR(INT(MID(metadata!C691,6,1))&lt;=1,FALSE),NOT(MID(metadata!C691,7,1)=""),IFERROR(INT(MID(metadata!C691,6,2))&gt;=1,FALSE),IFERROR(INT(MID(metadata!C691,6,2))&lt;=12,FALSE)), OR(MID(metadata!C691,8,1)="", AND(AND(MID(metadata!C691,8,1)="-",IFERROR(INT(MID(metadata!C691,9,1))&gt;=0,FALSE),IFERROR(INT(MID(metadata!C691,9,1))&lt;=3,FALSE),NOT(MID(metadata!C691,10,1)=""),IFERROR(INT(MID(metadata!C691,9,2))&gt;=1,FALSE),IFERROR(INT(MID(metadata!C691,9,2))&lt;=31,FALSE)), OR(MID(metadata!C691,11,1)="", AND(AND(MID(metadata!C691,11,1)=" ",IFERROR(INT(MID(metadata!C691,12,1))&gt;=0,FALSE),IFERROR(INT(MID(metadata!C691,12,1))&lt;=2,FALSE),NOT(MID(metadata!C691,13,1)=""),IFERROR(INT(MID(metadata!C691,12,2))&gt;=0,FALSE),IFERROR(INT(MID(metadata!C691,12,2))&lt;=23,FALSE)), OR(MID(metadata!C691,14,1)="", AND(AND(MID(metadata!C691,14,1)=":",IFERROR(INT(MID(metadata!C691,15,1))&gt;=0,FALSE),IFERROR(INT(MID(metadata!C691,15,1))&lt;=5,FALSE),NOT(MID(metadata!C691,16,1)=""),IFERROR(INT(MID(metadata!C691,15,2))&gt;=0,FALSE),IFERROR(INT(MID(metadata!C691,15,2))&lt;=59,FALSE)), OR(MID(metadata!C691,17,1)="", AND(AND(MID(metadata!C691,17,1)=":",IFERROR(INT(MID(metadata!C691,18,1))&gt;=0,FALSE),IFERROR(INT(MID(metadata!C691,18,1))&lt;=5,FALSE),NOT(MID(metadata!C691,19,1)=""),IFERROR(INT(MID(metadata!C691,18,2))&gt;=0,FALSE),IFERROR(INT(MID(metadata!C691,18,2))&lt;=59,FALSE)), LEN(metadata!C691)&lt;=19)))))))))))))</f>
        <v>0</v>
      </c>
      <c r="AD691">
        <f>IF(metadata!D691="",FALSE,TRUE)</f>
        <v>0</v>
      </c>
      <c r="AE691">
        <f>OR(AND(IF(metadata!E691="",FALSE,TRUE),OR(exact(metadata!E691,"missing: not collected"),exact(metadata!E691,"missing: not provided"))),AND(IF(metadata!E691="",FALSE,TRUE),OR(exact(metadata!E691,"TRUE"),exact(metadata!E691,"FALSE"))))</f>
        <v>0</v>
      </c>
      <c r="AF691">
        <f>IF(metadata!F691="",FALSE,TRUE)</f>
        <v>0</v>
      </c>
      <c r="AG691">
        <f>IF(metadata!G691="",FALSE,TRUE)</f>
        <v>0</v>
      </c>
      <c r="AH691">
        <f>IF(metadata!H691="",FALSE,TRUE)</f>
        <v>0</v>
      </c>
      <c r="AI691">
        <f>OR(AND(IF(metadata!I691="",FALSE,TRUE),OR(exact(metadata!I691,"missing: not collected"),exact(metadata!I691,"missing: not provided"),exact(metadata!I691,"missing: restricted access"))),AND(IF(metadata!I691="",FALSE,TRUE),OR(exact(metadata!I691,"air"),exact(metadata!I691,"built environment"),exact(metadata!I691,"host-associated"),exact(metadata!I691,"human-associated"),exact(metadata!I691,"human-skin"),exact(metadata!I691,"human-oral"),exact(metadata!I691,"human-gut"),exact(metadata!I691,"human-vaginal"),exact(metadata!I691,"microbial mat/biofilm"),exact(metadata!I691,"misc environment"),exact(metadata!I691,"plant-associated"),exact(metadata!I691,"sediment"),exact(metadata!I691,"soil"),exact(metadata!I691,"wastewater/sludge"),exact(metadata!I691,"water"))))</f>
        <v>0</v>
      </c>
      <c r="AJ691">
        <f>IF(metadata!J691="",FALSE,TRUE)</f>
        <v>0</v>
      </c>
      <c r="AK691">
        <f>OR(AND(IF(metadata!K691="",FALSE,TRUE),OR(exact(metadata!K691,"missing: not collected"),exact(metadata!K691,"missing: not provided"),exact(metadata!K691,"missing: restricted access"))),AND(IF(metadata!K691="",FALSE,ISNUMBER(VALUE(metadata!K691))),metadata!K691&gt;=-90.00,metadata!K691&lt;=90.00))</f>
        <v>0</v>
      </c>
      <c r="AL691">
        <f>OR(AND(IF(metadata!L691="",FALSE,TRUE),OR(exact(metadata!L691,"missing: not collected"),exact(metadata!L691,"missing: not provided"),exact(metadata!L691,"missing: restricted access"))),AND(IF(metadata!L691="",FALSE,ISNUMBER(VALUE(metadata!L691))),metadata!L691&gt;=-180.00,metadata!L691&lt;=180.00))</f>
        <v>0</v>
      </c>
      <c r="AM691">
        <f>IF(metadata!M691="",FALSE,TRUE)</f>
        <v>0</v>
      </c>
      <c r="AN691">
        <f>OR(AND(IF(metadata!N691="",FALSE,TRUE),OR(exact(metadata!N691,"missing: not collected"),exact(metadata!N691,"missing: not provided"),exact(metadata!N691,"missing: restricted access"))),AND(IF(metadata!N691="",FALSE,TRUE),OR(exact(metadata!N691,"TRUE"),exact(metadata!N691,"FALSE"))))</f>
        <v>0</v>
      </c>
      <c r="AO691">
        <f>IF(metadata!O691="",FALSE,TRUE)</f>
        <v>0</v>
      </c>
      <c r="AP691">
        <f>OR(AND(IF(metadata!P691="",FALSE,TRUE),OR(exact(metadata!P691,"missing: not collected"),exact(metadata!P691,"missing: not provided"))),AND(IF(metadata!P691="",FALSE,IF(ISERROR(INT(metadata!P691)),FALSE,INT(metadata!P691)=metadata!P691)),metadata!P691&gt;0))</f>
        <v>0</v>
      </c>
      <c r="AQ691">
        <f>IF(metadata!Q691="",FALSE,TRUE)</f>
        <v>0</v>
      </c>
    </row>
    <row r="692" spans="1:43">
      <c r="A692" s="5">
        <f>IF(B692=" "," ",HYPERLINK(CONCATENATE("#metadata!",ADDRESS(INDEX($W$2:$W$1001,MATCH(ROWS($U$2:U692),$U$2:$U$1001,0),0),1)),INDEX($Z$2:$Z$1001,MATCH(ROWS($U$2:U692),$U$2:$U$1001,0),0)))</f>
        <v>0</v>
      </c>
      <c r="B692" s="4">
        <f>IF(OR(INDEX($V$2:$V$1001,MATCH(ROWS($U$2:U692),$U$2:$U$1001,0),1)&gt;=100000,INDEX($AB$1005:$AQ$1005,1,MATCH(COLUMNS($AB$1006:AB1006),$AB$1006:$AQ$1006,0))&gt;=100000), " ",IF(INDEX($AB$2:$AQ$1001,MATCH(ROWS($U$2:U692),$U$2:$U$1001,0),MATCH(COLUMNS($AB$1006:AB1006),$AB$1006:$AQ$1006,0)), HYPERLINK("#",""), HYPERLINK(CONCATENATE("#metadata!", ADDRESS(INDEX($W$2:$W$1001,MATCH(ROWS($U$2:U692),$U$2:$U$1001,0),0), INDEX($AB$1004:$AQ$1004,1,MATCH(COLUMNS($AB$1006:AB1006),$AB$1006:$AQ$1006,0)))),"Fix")))</f>
        <v>0</v>
      </c>
      <c r="C692" s="4">
        <f>IF(OR(INDEX($V$2:$V$1001,MATCH(ROWS($U$2:U692),$U$2:$U$1001,0),1)&gt;=100000,INDEX($AB$1005:$AQ$1005,1,MATCH(COLUMNS($AB$1006:AC1006),$AB$1006:$AQ$1006,0))&gt;=100000), " ",IF(INDEX($AB$2:$AQ$1001,MATCH(ROWS($U$2:U692),$U$2:$U$1001,0),MATCH(COLUMNS($AB$1006:AC1006),$AB$1006:$AQ$1006,0)), HYPERLINK("#",""), HYPERLINK(CONCATENATE("#metadata!", ADDRESS(INDEX($W$2:$W$1001,MATCH(ROWS($U$2:U692),$U$2:$U$1001,0),0), INDEX($AB$1004:$AQ$1004,1,MATCH(COLUMNS($AB$1006:AC1006),$AB$1006:$AQ$1006,0)))),"Fix")))</f>
        <v>0</v>
      </c>
      <c r="D692" s="4">
        <f>IF(OR(INDEX($V$2:$V$1001,MATCH(ROWS($U$2:U692),$U$2:$U$1001,0),1)&gt;=100000,INDEX($AB$1005:$AQ$1005,1,MATCH(COLUMNS($AB$1006:AD1006),$AB$1006:$AQ$1006,0))&gt;=100000), " ",IF(INDEX($AB$2:$AQ$1001,MATCH(ROWS($U$2:U692),$U$2:$U$1001,0),MATCH(COLUMNS($AB$1006:AD1006),$AB$1006:$AQ$1006,0)), HYPERLINK("#",""), HYPERLINK(CONCATENATE("#metadata!", ADDRESS(INDEX($W$2:$W$1001,MATCH(ROWS($U$2:U692),$U$2:$U$1001,0),0), INDEX($AB$1004:$AQ$1004,1,MATCH(COLUMNS($AB$1006:AD1006),$AB$1006:$AQ$1006,0)))),"Fix")))</f>
        <v>0</v>
      </c>
      <c r="E692" s="4">
        <f>IF(OR(INDEX($V$2:$V$1001,MATCH(ROWS($U$2:U692),$U$2:$U$1001,0),1)&gt;=100000,INDEX($AB$1005:$AQ$1005,1,MATCH(COLUMNS($AB$1006:AE1006),$AB$1006:$AQ$1006,0))&gt;=100000), " ",IF(INDEX($AB$2:$AQ$1001,MATCH(ROWS($U$2:U692),$U$2:$U$1001,0),MATCH(COLUMNS($AB$1006:AE1006),$AB$1006:$AQ$1006,0)), HYPERLINK("#",""), HYPERLINK(CONCATENATE("#metadata!", ADDRESS(INDEX($W$2:$W$1001,MATCH(ROWS($U$2:U692),$U$2:$U$1001,0),0), INDEX($AB$1004:$AQ$1004,1,MATCH(COLUMNS($AB$1006:AE1006),$AB$1006:$AQ$1006,0)))),"Fix")))</f>
        <v>0</v>
      </c>
      <c r="F692" s="4">
        <f>IF(OR(INDEX($V$2:$V$1001,MATCH(ROWS($U$2:U692),$U$2:$U$1001,0),1)&gt;=100000,INDEX($AB$1005:$AQ$1005,1,MATCH(COLUMNS($AB$1006:AF1006),$AB$1006:$AQ$1006,0))&gt;=100000), " ",IF(INDEX($AB$2:$AQ$1001,MATCH(ROWS($U$2:U692),$U$2:$U$1001,0),MATCH(COLUMNS($AB$1006:AF1006),$AB$1006:$AQ$1006,0)), HYPERLINK("#",""), HYPERLINK(CONCATENATE("#metadata!", ADDRESS(INDEX($W$2:$W$1001,MATCH(ROWS($U$2:U692),$U$2:$U$1001,0),0), INDEX($AB$1004:$AQ$1004,1,MATCH(COLUMNS($AB$1006:AF1006),$AB$1006:$AQ$1006,0)))),"Fix")))</f>
        <v>0</v>
      </c>
      <c r="G692" s="4">
        <f>IF(OR(INDEX($V$2:$V$1001,MATCH(ROWS($U$2:U692),$U$2:$U$1001,0),1)&gt;=100000,INDEX($AB$1005:$AQ$1005,1,MATCH(COLUMNS($AB$1006:AG1006),$AB$1006:$AQ$1006,0))&gt;=100000), " ",IF(INDEX($AB$2:$AQ$1001,MATCH(ROWS($U$2:U692),$U$2:$U$1001,0),MATCH(COLUMNS($AB$1006:AG1006),$AB$1006:$AQ$1006,0)), HYPERLINK("#",""), HYPERLINK(CONCATENATE("#metadata!", ADDRESS(INDEX($W$2:$W$1001,MATCH(ROWS($U$2:U692),$U$2:$U$1001,0),0), INDEX($AB$1004:$AQ$1004,1,MATCH(COLUMNS($AB$1006:AG1006),$AB$1006:$AQ$1006,0)))),"Fix")))</f>
        <v>0</v>
      </c>
      <c r="H692" s="4">
        <f>IF(OR(INDEX($V$2:$V$1001,MATCH(ROWS($U$2:U692),$U$2:$U$1001,0),1)&gt;=100000,INDEX($AB$1005:$AQ$1005,1,MATCH(COLUMNS($AB$1006:AH1006),$AB$1006:$AQ$1006,0))&gt;=100000), " ",IF(INDEX($AB$2:$AQ$1001,MATCH(ROWS($U$2:U692),$U$2:$U$1001,0),MATCH(COLUMNS($AB$1006:AH1006),$AB$1006:$AQ$1006,0)), HYPERLINK("#",""), HYPERLINK(CONCATENATE("#metadata!", ADDRESS(INDEX($W$2:$W$1001,MATCH(ROWS($U$2:U692),$U$2:$U$1001,0),0), INDEX($AB$1004:$AQ$1004,1,MATCH(COLUMNS($AB$1006:AH1006),$AB$1006:$AQ$1006,0)))),"Fix")))</f>
        <v>0</v>
      </c>
      <c r="I692" s="4">
        <f>IF(OR(INDEX($V$2:$V$1001,MATCH(ROWS($U$2:U692),$U$2:$U$1001,0),1)&gt;=100000,INDEX($AB$1005:$AQ$1005,1,MATCH(COLUMNS($AB$1006:AI1006),$AB$1006:$AQ$1006,0))&gt;=100000), " ",IF(INDEX($AB$2:$AQ$1001,MATCH(ROWS($U$2:U692),$U$2:$U$1001,0),MATCH(COLUMNS($AB$1006:AI1006),$AB$1006:$AQ$1006,0)), HYPERLINK("#",""), HYPERLINK(CONCATENATE("#metadata!", ADDRESS(INDEX($W$2:$W$1001,MATCH(ROWS($U$2:U692),$U$2:$U$1001,0),0), INDEX($AB$1004:$AQ$1004,1,MATCH(COLUMNS($AB$1006:AI1006),$AB$1006:$AQ$1006,0)))),"Fix")))</f>
        <v>0</v>
      </c>
      <c r="J692" s="4">
        <f>IF(OR(INDEX($V$2:$V$1001,MATCH(ROWS($U$2:U692),$U$2:$U$1001,0),1)&gt;=100000,INDEX($AB$1005:$AQ$1005,1,MATCH(COLUMNS($AB$1006:AJ1006),$AB$1006:$AQ$1006,0))&gt;=100000), " ",IF(INDEX($AB$2:$AQ$1001,MATCH(ROWS($U$2:U692),$U$2:$U$1001,0),MATCH(COLUMNS($AB$1006:AJ1006),$AB$1006:$AQ$1006,0)), HYPERLINK("#",""), HYPERLINK(CONCATENATE("#metadata!", ADDRESS(INDEX($W$2:$W$1001,MATCH(ROWS($U$2:U692),$U$2:$U$1001,0),0), INDEX($AB$1004:$AQ$1004,1,MATCH(COLUMNS($AB$1006:AJ1006),$AB$1006:$AQ$1006,0)))),"Fix")))</f>
        <v>0</v>
      </c>
      <c r="K692" s="4">
        <f>IF(OR(INDEX($V$2:$V$1001,MATCH(ROWS($U$2:U692),$U$2:$U$1001,0),1)&gt;=100000,INDEX($AB$1005:$AQ$1005,1,MATCH(COLUMNS($AB$1006:AK1006),$AB$1006:$AQ$1006,0))&gt;=100000), " ",IF(INDEX($AB$2:$AQ$1001,MATCH(ROWS($U$2:U692),$U$2:$U$1001,0),MATCH(COLUMNS($AB$1006:AK1006),$AB$1006:$AQ$1006,0)), HYPERLINK("#",""), HYPERLINK(CONCATENATE("#metadata!", ADDRESS(INDEX($W$2:$W$1001,MATCH(ROWS($U$2:U692),$U$2:$U$1001,0),0), INDEX($AB$1004:$AQ$1004,1,MATCH(COLUMNS($AB$1006:AK1006),$AB$1006:$AQ$1006,0)))),"Fix")))</f>
        <v>0</v>
      </c>
      <c r="L692" s="4">
        <f>IF(OR(INDEX($V$2:$V$1001,MATCH(ROWS($U$2:U692),$U$2:$U$1001,0),1)&gt;=100000,INDEX($AB$1005:$AQ$1005,1,MATCH(COLUMNS($AB$1006:AL1006),$AB$1006:$AQ$1006,0))&gt;=100000), " ",IF(INDEX($AB$2:$AQ$1001,MATCH(ROWS($U$2:U692),$U$2:$U$1001,0),MATCH(COLUMNS($AB$1006:AL1006),$AB$1006:$AQ$1006,0)), HYPERLINK("#",""), HYPERLINK(CONCATENATE("#metadata!", ADDRESS(INDEX($W$2:$W$1001,MATCH(ROWS($U$2:U692),$U$2:$U$1001,0),0), INDEX($AB$1004:$AQ$1004,1,MATCH(COLUMNS($AB$1006:AL1006),$AB$1006:$AQ$1006,0)))),"Fix")))</f>
        <v>0</v>
      </c>
      <c r="M692" s="4">
        <f>IF(OR(INDEX($V$2:$V$1001,MATCH(ROWS($U$2:U692),$U$2:$U$1001,0),1)&gt;=100000,INDEX($AB$1005:$AQ$1005,1,MATCH(COLUMNS($AB$1006:AM1006),$AB$1006:$AQ$1006,0))&gt;=100000), " ",IF(INDEX($AB$2:$AQ$1001,MATCH(ROWS($U$2:U692),$U$2:$U$1001,0),MATCH(COLUMNS($AB$1006:AM1006),$AB$1006:$AQ$1006,0)), HYPERLINK("#",""), HYPERLINK(CONCATENATE("#metadata!", ADDRESS(INDEX($W$2:$W$1001,MATCH(ROWS($U$2:U692),$U$2:$U$1001,0),0), INDEX($AB$1004:$AQ$1004,1,MATCH(COLUMNS($AB$1006:AM1006),$AB$1006:$AQ$1006,0)))),"Fix")))</f>
        <v>0</v>
      </c>
      <c r="N692" s="4">
        <f>IF(OR(INDEX($V$2:$V$1001,MATCH(ROWS($U$2:U692),$U$2:$U$1001,0),1)&gt;=100000,INDEX($AB$1005:$AQ$1005,1,MATCH(COLUMNS($AB$1006:AN1006),$AB$1006:$AQ$1006,0))&gt;=100000), " ",IF(INDEX($AB$2:$AQ$1001,MATCH(ROWS($U$2:U692),$U$2:$U$1001,0),MATCH(COLUMNS($AB$1006:AN1006),$AB$1006:$AQ$1006,0)), HYPERLINK("#",""), HYPERLINK(CONCATENATE("#metadata!", ADDRESS(INDEX($W$2:$W$1001,MATCH(ROWS($U$2:U692),$U$2:$U$1001,0),0), INDEX($AB$1004:$AQ$1004,1,MATCH(COLUMNS($AB$1006:AN1006),$AB$1006:$AQ$1006,0)))),"Fix")))</f>
        <v>0</v>
      </c>
      <c r="O692" s="4">
        <f>IF(OR(INDEX($V$2:$V$1001,MATCH(ROWS($U$2:U692),$U$2:$U$1001,0),1)&gt;=100000,INDEX($AB$1005:$AQ$1005,1,MATCH(COLUMNS($AB$1006:AO1006),$AB$1006:$AQ$1006,0))&gt;=100000), " ",IF(INDEX($AB$2:$AQ$1001,MATCH(ROWS($U$2:U692),$U$2:$U$1001,0),MATCH(COLUMNS($AB$1006:AO1006),$AB$1006:$AQ$1006,0)), HYPERLINK("#",""), HYPERLINK(CONCATENATE("#metadata!", ADDRESS(INDEX($W$2:$W$1001,MATCH(ROWS($U$2:U692),$U$2:$U$1001,0),0), INDEX($AB$1004:$AQ$1004,1,MATCH(COLUMNS($AB$1006:AO1006),$AB$1006:$AQ$1006,0)))),"Fix")))</f>
        <v>0</v>
      </c>
      <c r="P692" s="4">
        <f>IF(OR(INDEX($V$2:$V$1001,MATCH(ROWS($U$2:U692),$U$2:$U$1001,0),1)&gt;=100000,INDEX($AB$1005:$AQ$1005,1,MATCH(COLUMNS($AB$1006:AP1006),$AB$1006:$AQ$1006,0))&gt;=100000), " ",IF(INDEX($AB$2:$AQ$1001,MATCH(ROWS($U$2:U692),$U$2:$U$1001,0),MATCH(COLUMNS($AB$1006:AP1006),$AB$1006:$AQ$1006,0)), HYPERLINK("#",""), HYPERLINK(CONCATENATE("#metadata!", ADDRESS(INDEX($W$2:$W$1001,MATCH(ROWS($U$2:U692),$U$2:$U$1001,0),0), INDEX($AB$1004:$AQ$1004,1,MATCH(COLUMNS($AB$1006:AP1006),$AB$1006:$AQ$1006,0)))),"Fix")))</f>
        <v>0</v>
      </c>
      <c r="Q692" s="4">
        <f>IF(OR(INDEX($V$2:$V$1001,MATCH(ROWS($U$2:U692),$U$2:$U$1001,0),1)&gt;=100000,INDEX($AB$1005:$AQ$1005,1,MATCH(COLUMNS($AB$1006:AQ1006),$AB$1006:$AQ$1006,0))&gt;=100000), " ",IF(INDEX($AB$2:$AQ$1001,MATCH(ROWS($U$2:U692),$U$2:$U$1001,0),MATCH(COLUMNS($AB$1006:AQ1006),$AB$1006:$AQ$1006,0)), HYPERLINK("#",""), HYPERLINK(CONCATENATE("#metadata!", ADDRESS(INDEX($W$2:$W$1001,MATCH(ROWS($U$2:U692),$U$2:$U$1001,0),0), INDEX($AB$1004:$AQ$1004,1,MATCH(COLUMNS($AB$1006:AQ1006),$AB$1006:$AQ$1006,0)))),"Fix")))</f>
        <v>0</v>
      </c>
      <c r="U692">
        <v>0</v>
      </c>
      <c r="V692">
        <v>0</v>
      </c>
      <c r="W692">
        <v>0</v>
      </c>
      <c r="X692">
        <f>IF(Y692,TRUE,AND(AB692:AQ692))</f>
        <v>0</v>
      </c>
      <c r="Y692">
        <f>COUNTBLANK(metadata!B692:Q692)=COLUMNS(metadata!B692:Q692)</f>
        <v>0</v>
      </c>
      <c r="Z692">
        <v>0</v>
      </c>
      <c r="AB692">
        <f>AND(IF(metadata!B692="",FALSE,TRUE),COUNTIF(metadata!B:B, metadata!B692) = 1,NOT(ISERROR(SUMPRODUCT(SEARCH(MID(metadata!B692,ROW(INDIRECT("1:"&amp;LEN(metadata!B692))), 1),"0123456789abcdefghijklmnopqrstuvwxyzABCDEFGHIJKLMNOPQRSTUVWXYZ.")))))</f>
        <v>0</v>
      </c>
      <c r="AC692">
        <f>OR(AND(IF(metadata!C692="",FALSE,TRUE),OR(exact(metadata!C692,"missing: not collected"),exact(metadata!C692,"missing: not provided"),exact(metadata!C692,"missing: restricted access"))),AND(IF(metadata!C692="",FALSE,TRUE),AND(AND(IFERROR(INT(LEFT(metadata!C692,4))&gt;1900,FALSE),IFERROR(INT(LEFT(metadata!C692,4))&lt;=YEAR(NOW()),FALSE)), OR(MID(metadata!C692,5,1)="", AND(AND(MID(metadata!C692,5,1)="-",IFERROR(INT(MID(metadata!C692,6,1))&gt;=0,FALSE),IFERROR(INT(MID(metadata!C692,6,1))&lt;=1,FALSE),NOT(MID(metadata!C692,7,1)=""),IFERROR(INT(MID(metadata!C692,6,2))&gt;=1,FALSE),IFERROR(INT(MID(metadata!C692,6,2))&lt;=12,FALSE)), OR(MID(metadata!C692,8,1)="", AND(AND(MID(metadata!C692,8,1)="-",IFERROR(INT(MID(metadata!C692,9,1))&gt;=0,FALSE),IFERROR(INT(MID(metadata!C692,9,1))&lt;=3,FALSE),NOT(MID(metadata!C692,10,1)=""),IFERROR(INT(MID(metadata!C692,9,2))&gt;=1,FALSE),IFERROR(INT(MID(metadata!C692,9,2))&lt;=31,FALSE)), OR(MID(metadata!C692,11,1)="", AND(AND(MID(metadata!C692,11,1)=" ",IFERROR(INT(MID(metadata!C692,12,1))&gt;=0,FALSE),IFERROR(INT(MID(metadata!C692,12,1))&lt;=2,FALSE),NOT(MID(metadata!C692,13,1)=""),IFERROR(INT(MID(metadata!C692,12,2))&gt;=0,FALSE),IFERROR(INT(MID(metadata!C692,12,2))&lt;=23,FALSE)), OR(MID(metadata!C692,14,1)="", AND(AND(MID(metadata!C692,14,1)=":",IFERROR(INT(MID(metadata!C692,15,1))&gt;=0,FALSE),IFERROR(INT(MID(metadata!C692,15,1))&lt;=5,FALSE),NOT(MID(metadata!C692,16,1)=""),IFERROR(INT(MID(metadata!C692,15,2))&gt;=0,FALSE),IFERROR(INT(MID(metadata!C692,15,2))&lt;=59,FALSE)), OR(MID(metadata!C692,17,1)="", AND(AND(MID(metadata!C692,17,1)=":",IFERROR(INT(MID(metadata!C692,18,1))&gt;=0,FALSE),IFERROR(INT(MID(metadata!C692,18,1))&lt;=5,FALSE),NOT(MID(metadata!C692,19,1)=""),IFERROR(INT(MID(metadata!C692,18,2))&gt;=0,FALSE),IFERROR(INT(MID(metadata!C692,18,2))&lt;=59,FALSE)), LEN(metadata!C692)&lt;=19)))))))))))))</f>
        <v>0</v>
      </c>
      <c r="AD692">
        <f>IF(metadata!D692="",FALSE,TRUE)</f>
        <v>0</v>
      </c>
      <c r="AE692">
        <f>OR(AND(IF(metadata!E692="",FALSE,TRUE),OR(exact(metadata!E692,"missing: not collected"),exact(metadata!E692,"missing: not provided"))),AND(IF(metadata!E692="",FALSE,TRUE),OR(exact(metadata!E692,"TRUE"),exact(metadata!E692,"FALSE"))))</f>
        <v>0</v>
      </c>
      <c r="AF692">
        <f>IF(metadata!F692="",FALSE,TRUE)</f>
        <v>0</v>
      </c>
      <c r="AG692">
        <f>IF(metadata!G692="",FALSE,TRUE)</f>
        <v>0</v>
      </c>
      <c r="AH692">
        <f>IF(metadata!H692="",FALSE,TRUE)</f>
        <v>0</v>
      </c>
      <c r="AI692">
        <f>OR(AND(IF(metadata!I692="",FALSE,TRUE),OR(exact(metadata!I692,"missing: not collected"),exact(metadata!I692,"missing: not provided"),exact(metadata!I692,"missing: restricted access"))),AND(IF(metadata!I692="",FALSE,TRUE),OR(exact(metadata!I692,"air"),exact(metadata!I692,"built environment"),exact(metadata!I692,"host-associated"),exact(metadata!I692,"human-associated"),exact(metadata!I692,"human-skin"),exact(metadata!I692,"human-oral"),exact(metadata!I692,"human-gut"),exact(metadata!I692,"human-vaginal"),exact(metadata!I692,"microbial mat/biofilm"),exact(metadata!I692,"misc environment"),exact(metadata!I692,"plant-associated"),exact(metadata!I692,"sediment"),exact(metadata!I692,"soil"),exact(metadata!I692,"wastewater/sludge"),exact(metadata!I692,"water"))))</f>
        <v>0</v>
      </c>
      <c r="AJ692">
        <f>IF(metadata!J692="",FALSE,TRUE)</f>
        <v>0</v>
      </c>
      <c r="AK692">
        <f>OR(AND(IF(metadata!K692="",FALSE,TRUE),OR(exact(metadata!K692,"missing: not collected"),exact(metadata!K692,"missing: not provided"),exact(metadata!K692,"missing: restricted access"))),AND(IF(metadata!K692="",FALSE,ISNUMBER(VALUE(metadata!K692))),metadata!K692&gt;=-90.00,metadata!K692&lt;=90.00))</f>
        <v>0</v>
      </c>
      <c r="AL692">
        <f>OR(AND(IF(metadata!L692="",FALSE,TRUE),OR(exact(metadata!L692,"missing: not collected"),exact(metadata!L692,"missing: not provided"),exact(metadata!L692,"missing: restricted access"))),AND(IF(metadata!L692="",FALSE,ISNUMBER(VALUE(metadata!L692))),metadata!L692&gt;=-180.00,metadata!L692&lt;=180.00))</f>
        <v>0</v>
      </c>
      <c r="AM692">
        <f>IF(metadata!M692="",FALSE,TRUE)</f>
        <v>0</v>
      </c>
      <c r="AN692">
        <f>OR(AND(IF(metadata!N692="",FALSE,TRUE),OR(exact(metadata!N692,"missing: not collected"),exact(metadata!N692,"missing: not provided"),exact(metadata!N692,"missing: restricted access"))),AND(IF(metadata!N692="",FALSE,TRUE),OR(exact(metadata!N692,"TRUE"),exact(metadata!N692,"FALSE"))))</f>
        <v>0</v>
      </c>
      <c r="AO692">
        <f>IF(metadata!O692="",FALSE,TRUE)</f>
        <v>0</v>
      </c>
      <c r="AP692">
        <f>OR(AND(IF(metadata!P692="",FALSE,TRUE),OR(exact(metadata!P692,"missing: not collected"),exact(metadata!P692,"missing: not provided"))),AND(IF(metadata!P692="",FALSE,IF(ISERROR(INT(metadata!P692)),FALSE,INT(metadata!P692)=metadata!P692)),metadata!P692&gt;0))</f>
        <v>0</v>
      </c>
      <c r="AQ692">
        <f>IF(metadata!Q692="",FALSE,TRUE)</f>
        <v>0</v>
      </c>
    </row>
    <row r="693" spans="1:43">
      <c r="A693" s="5">
        <f>IF(B693=" "," ",HYPERLINK(CONCATENATE("#metadata!",ADDRESS(INDEX($W$2:$W$1001,MATCH(ROWS($U$2:U693),$U$2:$U$1001,0),0),1)),INDEX($Z$2:$Z$1001,MATCH(ROWS($U$2:U693),$U$2:$U$1001,0),0)))</f>
        <v>0</v>
      </c>
      <c r="B693" s="4">
        <f>IF(OR(INDEX($V$2:$V$1001,MATCH(ROWS($U$2:U693),$U$2:$U$1001,0),1)&gt;=100000,INDEX($AB$1005:$AQ$1005,1,MATCH(COLUMNS($AB$1006:AB1006),$AB$1006:$AQ$1006,0))&gt;=100000), " ",IF(INDEX($AB$2:$AQ$1001,MATCH(ROWS($U$2:U693),$U$2:$U$1001,0),MATCH(COLUMNS($AB$1006:AB1006),$AB$1006:$AQ$1006,0)), HYPERLINK("#",""), HYPERLINK(CONCATENATE("#metadata!", ADDRESS(INDEX($W$2:$W$1001,MATCH(ROWS($U$2:U693),$U$2:$U$1001,0),0), INDEX($AB$1004:$AQ$1004,1,MATCH(COLUMNS($AB$1006:AB1006),$AB$1006:$AQ$1006,0)))),"Fix")))</f>
        <v>0</v>
      </c>
      <c r="C693" s="4">
        <f>IF(OR(INDEX($V$2:$V$1001,MATCH(ROWS($U$2:U693),$U$2:$U$1001,0),1)&gt;=100000,INDEX($AB$1005:$AQ$1005,1,MATCH(COLUMNS($AB$1006:AC1006),$AB$1006:$AQ$1006,0))&gt;=100000), " ",IF(INDEX($AB$2:$AQ$1001,MATCH(ROWS($U$2:U693),$U$2:$U$1001,0),MATCH(COLUMNS($AB$1006:AC1006),$AB$1006:$AQ$1006,0)), HYPERLINK("#",""), HYPERLINK(CONCATENATE("#metadata!", ADDRESS(INDEX($W$2:$W$1001,MATCH(ROWS($U$2:U693),$U$2:$U$1001,0),0), INDEX($AB$1004:$AQ$1004,1,MATCH(COLUMNS($AB$1006:AC1006),$AB$1006:$AQ$1006,0)))),"Fix")))</f>
        <v>0</v>
      </c>
      <c r="D693" s="4">
        <f>IF(OR(INDEX($V$2:$V$1001,MATCH(ROWS($U$2:U693),$U$2:$U$1001,0),1)&gt;=100000,INDEX($AB$1005:$AQ$1005,1,MATCH(COLUMNS($AB$1006:AD1006),$AB$1006:$AQ$1006,0))&gt;=100000), " ",IF(INDEX($AB$2:$AQ$1001,MATCH(ROWS($U$2:U693),$U$2:$U$1001,0),MATCH(COLUMNS($AB$1006:AD1006),$AB$1006:$AQ$1006,0)), HYPERLINK("#",""), HYPERLINK(CONCATENATE("#metadata!", ADDRESS(INDEX($W$2:$W$1001,MATCH(ROWS($U$2:U693),$U$2:$U$1001,0),0), INDEX($AB$1004:$AQ$1004,1,MATCH(COLUMNS($AB$1006:AD1006),$AB$1006:$AQ$1006,0)))),"Fix")))</f>
        <v>0</v>
      </c>
      <c r="E693" s="4">
        <f>IF(OR(INDEX($V$2:$V$1001,MATCH(ROWS($U$2:U693),$U$2:$U$1001,0),1)&gt;=100000,INDEX($AB$1005:$AQ$1005,1,MATCH(COLUMNS($AB$1006:AE1006),$AB$1006:$AQ$1006,0))&gt;=100000), " ",IF(INDEX($AB$2:$AQ$1001,MATCH(ROWS($U$2:U693),$U$2:$U$1001,0),MATCH(COLUMNS($AB$1006:AE1006),$AB$1006:$AQ$1006,0)), HYPERLINK("#",""), HYPERLINK(CONCATENATE("#metadata!", ADDRESS(INDEX($W$2:$W$1001,MATCH(ROWS($U$2:U693),$U$2:$U$1001,0),0), INDEX($AB$1004:$AQ$1004,1,MATCH(COLUMNS($AB$1006:AE1006),$AB$1006:$AQ$1006,0)))),"Fix")))</f>
        <v>0</v>
      </c>
      <c r="F693" s="4">
        <f>IF(OR(INDEX($V$2:$V$1001,MATCH(ROWS($U$2:U693),$U$2:$U$1001,0),1)&gt;=100000,INDEX($AB$1005:$AQ$1005,1,MATCH(COLUMNS($AB$1006:AF1006),$AB$1006:$AQ$1006,0))&gt;=100000), " ",IF(INDEX($AB$2:$AQ$1001,MATCH(ROWS($U$2:U693),$U$2:$U$1001,0),MATCH(COLUMNS($AB$1006:AF1006),$AB$1006:$AQ$1006,0)), HYPERLINK("#",""), HYPERLINK(CONCATENATE("#metadata!", ADDRESS(INDEX($W$2:$W$1001,MATCH(ROWS($U$2:U693),$U$2:$U$1001,0),0), INDEX($AB$1004:$AQ$1004,1,MATCH(COLUMNS($AB$1006:AF1006),$AB$1006:$AQ$1006,0)))),"Fix")))</f>
        <v>0</v>
      </c>
      <c r="G693" s="4">
        <f>IF(OR(INDEX($V$2:$V$1001,MATCH(ROWS($U$2:U693),$U$2:$U$1001,0),1)&gt;=100000,INDEX($AB$1005:$AQ$1005,1,MATCH(COLUMNS($AB$1006:AG1006),$AB$1006:$AQ$1006,0))&gt;=100000), " ",IF(INDEX($AB$2:$AQ$1001,MATCH(ROWS($U$2:U693),$U$2:$U$1001,0),MATCH(COLUMNS($AB$1006:AG1006),$AB$1006:$AQ$1006,0)), HYPERLINK("#",""), HYPERLINK(CONCATENATE("#metadata!", ADDRESS(INDEX($W$2:$W$1001,MATCH(ROWS($U$2:U693),$U$2:$U$1001,0),0), INDEX($AB$1004:$AQ$1004,1,MATCH(COLUMNS($AB$1006:AG1006),$AB$1006:$AQ$1006,0)))),"Fix")))</f>
        <v>0</v>
      </c>
      <c r="H693" s="4">
        <f>IF(OR(INDEX($V$2:$V$1001,MATCH(ROWS($U$2:U693),$U$2:$U$1001,0),1)&gt;=100000,INDEX($AB$1005:$AQ$1005,1,MATCH(COLUMNS($AB$1006:AH1006),$AB$1006:$AQ$1006,0))&gt;=100000), " ",IF(INDEX($AB$2:$AQ$1001,MATCH(ROWS($U$2:U693),$U$2:$U$1001,0),MATCH(COLUMNS($AB$1006:AH1006),$AB$1006:$AQ$1006,0)), HYPERLINK("#",""), HYPERLINK(CONCATENATE("#metadata!", ADDRESS(INDEX($W$2:$W$1001,MATCH(ROWS($U$2:U693),$U$2:$U$1001,0),0), INDEX($AB$1004:$AQ$1004,1,MATCH(COLUMNS($AB$1006:AH1006),$AB$1006:$AQ$1006,0)))),"Fix")))</f>
        <v>0</v>
      </c>
      <c r="I693" s="4">
        <f>IF(OR(INDEX($V$2:$V$1001,MATCH(ROWS($U$2:U693),$U$2:$U$1001,0),1)&gt;=100000,INDEX($AB$1005:$AQ$1005,1,MATCH(COLUMNS($AB$1006:AI1006),$AB$1006:$AQ$1006,0))&gt;=100000), " ",IF(INDEX($AB$2:$AQ$1001,MATCH(ROWS($U$2:U693),$U$2:$U$1001,0),MATCH(COLUMNS($AB$1006:AI1006),$AB$1006:$AQ$1006,0)), HYPERLINK("#",""), HYPERLINK(CONCATENATE("#metadata!", ADDRESS(INDEX($W$2:$W$1001,MATCH(ROWS($U$2:U693),$U$2:$U$1001,0),0), INDEX($AB$1004:$AQ$1004,1,MATCH(COLUMNS($AB$1006:AI1006),$AB$1006:$AQ$1006,0)))),"Fix")))</f>
        <v>0</v>
      </c>
      <c r="J693" s="4">
        <f>IF(OR(INDEX($V$2:$V$1001,MATCH(ROWS($U$2:U693),$U$2:$U$1001,0),1)&gt;=100000,INDEX($AB$1005:$AQ$1005,1,MATCH(COLUMNS($AB$1006:AJ1006),$AB$1006:$AQ$1006,0))&gt;=100000), " ",IF(INDEX($AB$2:$AQ$1001,MATCH(ROWS($U$2:U693),$U$2:$U$1001,0),MATCH(COLUMNS($AB$1006:AJ1006),$AB$1006:$AQ$1006,0)), HYPERLINK("#",""), HYPERLINK(CONCATENATE("#metadata!", ADDRESS(INDEX($W$2:$W$1001,MATCH(ROWS($U$2:U693),$U$2:$U$1001,0),0), INDEX($AB$1004:$AQ$1004,1,MATCH(COLUMNS($AB$1006:AJ1006),$AB$1006:$AQ$1006,0)))),"Fix")))</f>
        <v>0</v>
      </c>
      <c r="K693" s="4">
        <f>IF(OR(INDEX($V$2:$V$1001,MATCH(ROWS($U$2:U693),$U$2:$U$1001,0),1)&gt;=100000,INDEX($AB$1005:$AQ$1005,1,MATCH(COLUMNS($AB$1006:AK1006),$AB$1006:$AQ$1006,0))&gt;=100000), " ",IF(INDEX($AB$2:$AQ$1001,MATCH(ROWS($U$2:U693),$U$2:$U$1001,0),MATCH(COLUMNS($AB$1006:AK1006),$AB$1006:$AQ$1006,0)), HYPERLINK("#",""), HYPERLINK(CONCATENATE("#metadata!", ADDRESS(INDEX($W$2:$W$1001,MATCH(ROWS($U$2:U693),$U$2:$U$1001,0),0), INDEX($AB$1004:$AQ$1004,1,MATCH(COLUMNS($AB$1006:AK1006),$AB$1006:$AQ$1006,0)))),"Fix")))</f>
        <v>0</v>
      </c>
      <c r="L693" s="4">
        <f>IF(OR(INDEX($V$2:$V$1001,MATCH(ROWS($U$2:U693),$U$2:$U$1001,0),1)&gt;=100000,INDEX($AB$1005:$AQ$1005,1,MATCH(COLUMNS($AB$1006:AL1006),$AB$1006:$AQ$1006,0))&gt;=100000), " ",IF(INDEX($AB$2:$AQ$1001,MATCH(ROWS($U$2:U693),$U$2:$U$1001,0),MATCH(COLUMNS($AB$1006:AL1006),$AB$1006:$AQ$1006,0)), HYPERLINK("#",""), HYPERLINK(CONCATENATE("#metadata!", ADDRESS(INDEX($W$2:$W$1001,MATCH(ROWS($U$2:U693),$U$2:$U$1001,0),0), INDEX($AB$1004:$AQ$1004,1,MATCH(COLUMNS($AB$1006:AL1006),$AB$1006:$AQ$1006,0)))),"Fix")))</f>
        <v>0</v>
      </c>
      <c r="M693" s="4">
        <f>IF(OR(INDEX($V$2:$V$1001,MATCH(ROWS($U$2:U693),$U$2:$U$1001,0),1)&gt;=100000,INDEX($AB$1005:$AQ$1005,1,MATCH(COLUMNS($AB$1006:AM1006),$AB$1006:$AQ$1006,0))&gt;=100000), " ",IF(INDEX($AB$2:$AQ$1001,MATCH(ROWS($U$2:U693),$U$2:$U$1001,0),MATCH(COLUMNS($AB$1006:AM1006),$AB$1006:$AQ$1006,0)), HYPERLINK("#",""), HYPERLINK(CONCATENATE("#metadata!", ADDRESS(INDEX($W$2:$W$1001,MATCH(ROWS($U$2:U693),$U$2:$U$1001,0),0), INDEX($AB$1004:$AQ$1004,1,MATCH(COLUMNS($AB$1006:AM1006),$AB$1006:$AQ$1006,0)))),"Fix")))</f>
        <v>0</v>
      </c>
      <c r="N693" s="4">
        <f>IF(OR(INDEX($V$2:$V$1001,MATCH(ROWS($U$2:U693),$U$2:$U$1001,0),1)&gt;=100000,INDEX($AB$1005:$AQ$1005,1,MATCH(COLUMNS($AB$1006:AN1006),$AB$1006:$AQ$1006,0))&gt;=100000), " ",IF(INDEX($AB$2:$AQ$1001,MATCH(ROWS($U$2:U693),$U$2:$U$1001,0),MATCH(COLUMNS($AB$1006:AN1006),$AB$1006:$AQ$1006,0)), HYPERLINK("#",""), HYPERLINK(CONCATENATE("#metadata!", ADDRESS(INDEX($W$2:$W$1001,MATCH(ROWS($U$2:U693),$U$2:$U$1001,0),0), INDEX($AB$1004:$AQ$1004,1,MATCH(COLUMNS($AB$1006:AN1006),$AB$1006:$AQ$1006,0)))),"Fix")))</f>
        <v>0</v>
      </c>
      <c r="O693" s="4">
        <f>IF(OR(INDEX($V$2:$V$1001,MATCH(ROWS($U$2:U693),$U$2:$U$1001,0),1)&gt;=100000,INDEX($AB$1005:$AQ$1005,1,MATCH(COLUMNS($AB$1006:AO1006),$AB$1006:$AQ$1006,0))&gt;=100000), " ",IF(INDEX($AB$2:$AQ$1001,MATCH(ROWS($U$2:U693),$U$2:$U$1001,0),MATCH(COLUMNS($AB$1006:AO1006),$AB$1006:$AQ$1006,0)), HYPERLINK("#",""), HYPERLINK(CONCATENATE("#metadata!", ADDRESS(INDEX($W$2:$W$1001,MATCH(ROWS($U$2:U693),$U$2:$U$1001,0),0), INDEX($AB$1004:$AQ$1004,1,MATCH(COLUMNS($AB$1006:AO1006),$AB$1006:$AQ$1006,0)))),"Fix")))</f>
        <v>0</v>
      </c>
      <c r="P693" s="4">
        <f>IF(OR(INDEX($V$2:$V$1001,MATCH(ROWS($U$2:U693),$U$2:$U$1001,0),1)&gt;=100000,INDEX($AB$1005:$AQ$1005,1,MATCH(COLUMNS($AB$1006:AP1006),$AB$1006:$AQ$1006,0))&gt;=100000), " ",IF(INDEX($AB$2:$AQ$1001,MATCH(ROWS($U$2:U693),$U$2:$U$1001,0),MATCH(COLUMNS($AB$1006:AP1006),$AB$1006:$AQ$1006,0)), HYPERLINK("#",""), HYPERLINK(CONCATENATE("#metadata!", ADDRESS(INDEX($W$2:$W$1001,MATCH(ROWS($U$2:U693),$U$2:$U$1001,0),0), INDEX($AB$1004:$AQ$1004,1,MATCH(COLUMNS($AB$1006:AP1006),$AB$1006:$AQ$1006,0)))),"Fix")))</f>
        <v>0</v>
      </c>
      <c r="Q693" s="4">
        <f>IF(OR(INDEX($V$2:$V$1001,MATCH(ROWS($U$2:U693),$U$2:$U$1001,0),1)&gt;=100000,INDEX($AB$1005:$AQ$1005,1,MATCH(COLUMNS($AB$1006:AQ1006),$AB$1006:$AQ$1006,0))&gt;=100000), " ",IF(INDEX($AB$2:$AQ$1001,MATCH(ROWS($U$2:U693),$U$2:$U$1001,0),MATCH(COLUMNS($AB$1006:AQ1006),$AB$1006:$AQ$1006,0)), HYPERLINK("#",""), HYPERLINK(CONCATENATE("#metadata!", ADDRESS(INDEX($W$2:$W$1001,MATCH(ROWS($U$2:U693),$U$2:$U$1001,0),0), INDEX($AB$1004:$AQ$1004,1,MATCH(COLUMNS($AB$1006:AQ1006),$AB$1006:$AQ$1006,0)))),"Fix")))</f>
        <v>0</v>
      </c>
      <c r="U693">
        <v>0</v>
      </c>
      <c r="V693">
        <v>0</v>
      </c>
      <c r="W693">
        <v>0</v>
      </c>
      <c r="X693">
        <f>IF(Y693,TRUE,AND(AB693:AQ693))</f>
        <v>0</v>
      </c>
      <c r="Y693">
        <f>COUNTBLANK(metadata!B693:Q693)=COLUMNS(metadata!B693:Q693)</f>
        <v>0</v>
      </c>
      <c r="Z693">
        <v>0</v>
      </c>
      <c r="AB693">
        <f>AND(IF(metadata!B693="",FALSE,TRUE),COUNTIF(metadata!B:B, metadata!B693) = 1,NOT(ISERROR(SUMPRODUCT(SEARCH(MID(metadata!B693,ROW(INDIRECT("1:"&amp;LEN(metadata!B693))), 1),"0123456789abcdefghijklmnopqrstuvwxyzABCDEFGHIJKLMNOPQRSTUVWXYZ.")))))</f>
        <v>0</v>
      </c>
      <c r="AC693">
        <f>OR(AND(IF(metadata!C693="",FALSE,TRUE),OR(exact(metadata!C693,"missing: not collected"),exact(metadata!C693,"missing: not provided"),exact(metadata!C693,"missing: restricted access"))),AND(IF(metadata!C693="",FALSE,TRUE),AND(AND(IFERROR(INT(LEFT(metadata!C693,4))&gt;1900,FALSE),IFERROR(INT(LEFT(metadata!C693,4))&lt;=YEAR(NOW()),FALSE)), OR(MID(metadata!C693,5,1)="", AND(AND(MID(metadata!C693,5,1)="-",IFERROR(INT(MID(metadata!C693,6,1))&gt;=0,FALSE),IFERROR(INT(MID(metadata!C693,6,1))&lt;=1,FALSE),NOT(MID(metadata!C693,7,1)=""),IFERROR(INT(MID(metadata!C693,6,2))&gt;=1,FALSE),IFERROR(INT(MID(metadata!C693,6,2))&lt;=12,FALSE)), OR(MID(metadata!C693,8,1)="", AND(AND(MID(metadata!C693,8,1)="-",IFERROR(INT(MID(metadata!C693,9,1))&gt;=0,FALSE),IFERROR(INT(MID(metadata!C693,9,1))&lt;=3,FALSE),NOT(MID(metadata!C693,10,1)=""),IFERROR(INT(MID(metadata!C693,9,2))&gt;=1,FALSE),IFERROR(INT(MID(metadata!C693,9,2))&lt;=31,FALSE)), OR(MID(metadata!C693,11,1)="", AND(AND(MID(metadata!C693,11,1)=" ",IFERROR(INT(MID(metadata!C693,12,1))&gt;=0,FALSE),IFERROR(INT(MID(metadata!C693,12,1))&lt;=2,FALSE),NOT(MID(metadata!C693,13,1)=""),IFERROR(INT(MID(metadata!C693,12,2))&gt;=0,FALSE),IFERROR(INT(MID(metadata!C693,12,2))&lt;=23,FALSE)), OR(MID(metadata!C693,14,1)="", AND(AND(MID(metadata!C693,14,1)=":",IFERROR(INT(MID(metadata!C693,15,1))&gt;=0,FALSE),IFERROR(INT(MID(metadata!C693,15,1))&lt;=5,FALSE),NOT(MID(metadata!C693,16,1)=""),IFERROR(INT(MID(metadata!C693,15,2))&gt;=0,FALSE),IFERROR(INT(MID(metadata!C693,15,2))&lt;=59,FALSE)), OR(MID(metadata!C693,17,1)="", AND(AND(MID(metadata!C693,17,1)=":",IFERROR(INT(MID(metadata!C693,18,1))&gt;=0,FALSE),IFERROR(INT(MID(metadata!C693,18,1))&lt;=5,FALSE),NOT(MID(metadata!C693,19,1)=""),IFERROR(INT(MID(metadata!C693,18,2))&gt;=0,FALSE),IFERROR(INT(MID(metadata!C693,18,2))&lt;=59,FALSE)), LEN(metadata!C693)&lt;=19)))))))))))))</f>
        <v>0</v>
      </c>
      <c r="AD693">
        <f>IF(metadata!D693="",FALSE,TRUE)</f>
        <v>0</v>
      </c>
      <c r="AE693">
        <f>OR(AND(IF(metadata!E693="",FALSE,TRUE),OR(exact(metadata!E693,"missing: not collected"),exact(metadata!E693,"missing: not provided"))),AND(IF(metadata!E693="",FALSE,TRUE),OR(exact(metadata!E693,"TRUE"),exact(metadata!E693,"FALSE"))))</f>
        <v>0</v>
      </c>
      <c r="AF693">
        <f>IF(metadata!F693="",FALSE,TRUE)</f>
        <v>0</v>
      </c>
      <c r="AG693">
        <f>IF(metadata!G693="",FALSE,TRUE)</f>
        <v>0</v>
      </c>
      <c r="AH693">
        <f>IF(metadata!H693="",FALSE,TRUE)</f>
        <v>0</v>
      </c>
      <c r="AI693">
        <f>OR(AND(IF(metadata!I693="",FALSE,TRUE),OR(exact(metadata!I693,"missing: not collected"),exact(metadata!I693,"missing: not provided"),exact(metadata!I693,"missing: restricted access"))),AND(IF(metadata!I693="",FALSE,TRUE),OR(exact(metadata!I693,"air"),exact(metadata!I693,"built environment"),exact(metadata!I693,"host-associated"),exact(metadata!I693,"human-associated"),exact(metadata!I693,"human-skin"),exact(metadata!I693,"human-oral"),exact(metadata!I693,"human-gut"),exact(metadata!I693,"human-vaginal"),exact(metadata!I693,"microbial mat/biofilm"),exact(metadata!I693,"misc environment"),exact(metadata!I693,"plant-associated"),exact(metadata!I693,"sediment"),exact(metadata!I693,"soil"),exact(metadata!I693,"wastewater/sludge"),exact(metadata!I693,"water"))))</f>
        <v>0</v>
      </c>
      <c r="AJ693">
        <f>IF(metadata!J693="",FALSE,TRUE)</f>
        <v>0</v>
      </c>
      <c r="AK693">
        <f>OR(AND(IF(metadata!K693="",FALSE,TRUE),OR(exact(metadata!K693,"missing: not collected"),exact(metadata!K693,"missing: not provided"),exact(metadata!K693,"missing: restricted access"))),AND(IF(metadata!K693="",FALSE,ISNUMBER(VALUE(metadata!K693))),metadata!K693&gt;=-90.00,metadata!K693&lt;=90.00))</f>
        <v>0</v>
      </c>
      <c r="AL693">
        <f>OR(AND(IF(metadata!L693="",FALSE,TRUE),OR(exact(metadata!L693,"missing: not collected"),exact(metadata!L693,"missing: not provided"),exact(metadata!L693,"missing: restricted access"))),AND(IF(metadata!L693="",FALSE,ISNUMBER(VALUE(metadata!L693))),metadata!L693&gt;=-180.00,metadata!L693&lt;=180.00))</f>
        <v>0</v>
      </c>
      <c r="AM693">
        <f>IF(metadata!M693="",FALSE,TRUE)</f>
        <v>0</v>
      </c>
      <c r="AN693">
        <f>OR(AND(IF(metadata!N693="",FALSE,TRUE),OR(exact(metadata!N693,"missing: not collected"),exact(metadata!N693,"missing: not provided"),exact(metadata!N693,"missing: restricted access"))),AND(IF(metadata!N693="",FALSE,TRUE),OR(exact(metadata!N693,"TRUE"),exact(metadata!N693,"FALSE"))))</f>
        <v>0</v>
      </c>
      <c r="AO693">
        <f>IF(metadata!O693="",FALSE,TRUE)</f>
        <v>0</v>
      </c>
      <c r="AP693">
        <f>OR(AND(IF(metadata!P693="",FALSE,TRUE),OR(exact(metadata!P693,"missing: not collected"),exact(metadata!P693,"missing: not provided"))),AND(IF(metadata!P693="",FALSE,IF(ISERROR(INT(metadata!P693)),FALSE,INT(metadata!P693)=metadata!P693)),metadata!P693&gt;0))</f>
        <v>0</v>
      </c>
      <c r="AQ693">
        <f>IF(metadata!Q693="",FALSE,TRUE)</f>
        <v>0</v>
      </c>
    </row>
    <row r="694" spans="1:43">
      <c r="A694" s="5">
        <f>IF(B694=" "," ",HYPERLINK(CONCATENATE("#metadata!",ADDRESS(INDEX($W$2:$W$1001,MATCH(ROWS($U$2:U694),$U$2:$U$1001,0),0),1)),INDEX($Z$2:$Z$1001,MATCH(ROWS($U$2:U694),$U$2:$U$1001,0),0)))</f>
        <v>0</v>
      </c>
      <c r="B694" s="4">
        <f>IF(OR(INDEX($V$2:$V$1001,MATCH(ROWS($U$2:U694),$U$2:$U$1001,0),1)&gt;=100000,INDEX($AB$1005:$AQ$1005,1,MATCH(COLUMNS($AB$1006:AB1006),$AB$1006:$AQ$1006,0))&gt;=100000), " ",IF(INDEX($AB$2:$AQ$1001,MATCH(ROWS($U$2:U694),$U$2:$U$1001,0),MATCH(COLUMNS($AB$1006:AB1006),$AB$1006:$AQ$1006,0)), HYPERLINK("#",""), HYPERLINK(CONCATENATE("#metadata!", ADDRESS(INDEX($W$2:$W$1001,MATCH(ROWS($U$2:U694),$U$2:$U$1001,0),0), INDEX($AB$1004:$AQ$1004,1,MATCH(COLUMNS($AB$1006:AB1006),$AB$1006:$AQ$1006,0)))),"Fix")))</f>
        <v>0</v>
      </c>
      <c r="C694" s="4">
        <f>IF(OR(INDEX($V$2:$V$1001,MATCH(ROWS($U$2:U694),$U$2:$U$1001,0),1)&gt;=100000,INDEX($AB$1005:$AQ$1005,1,MATCH(COLUMNS($AB$1006:AC1006),$AB$1006:$AQ$1006,0))&gt;=100000), " ",IF(INDEX($AB$2:$AQ$1001,MATCH(ROWS($U$2:U694),$U$2:$U$1001,0),MATCH(COLUMNS($AB$1006:AC1006),$AB$1006:$AQ$1006,0)), HYPERLINK("#",""), HYPERLINK(CONCATENATE("#metadata!", ADDRESS(INDEX($W$2:$W$1001,MATCH(ROWS($U$2:U694),$U$2:$U$1001,0),0), INDEX($AB$1004:$AQ$1004,1,MATCH(COLUMNS($AB$1006:AC1006),$AB$1006:$AQ$1006,0)))),"Fix")))</f>
        <v>0</v>
      </c>
      <c r="D694" s="4">
        <f>IF(OR(INDEX($V$2:$V$1001,MATCH(ROWS($U$2:U694),$U$2:$U$1001,0),1)&gt;=100000,INDEX($AB$1005:$AQ$1005,1,MATCH(COLUMNS($AB$1006:AD1006),$AB$1006:$AQ$1006,0))&gt;=100000), " ",IF(INDEX($AB$2:$AQ$1001,MATCH(ROWS($U$2:U694),$U$2:$U$1001,0),MATCH(COLUMNS($AB$1006:AD1006),$AB$1006:$AQ$1006,0)), HYPERLINK("#",""), HYPERLINK(CONCATENATE("#metadata!", ADDRESS(INDEX($W$2:$W$1001,MATCH(ROWS($U$2:U694),$U$2:$U$1001,0),0), INDEX($AB$1004:$AQ$1004,1,MATCH(COLUMNS($AB$1006:AD1006),$AB$1006:$AQ$1006,0)))),"Fix")))</f>
        <v>0</v>
      </c>
      <c r="E694" s="4">
        <f>IF(OR(INDEX($V$2:$V$1001,MATCH(ROWS($U$2:U694),$U$2:$U$1001,0),1)&gt;=100000,INDEX($AB$1005:$AQ$1005,1,MATCH(COLUMNS($AB$1006:AE1006),$AB$1006:$AQ$1006,0))&gt;=100000), " ",IF(INDEX($AB$2:$AQ$1001,MATCH(ROWS($U$2:U694),$U$2:$U$1001,0),MATCH(COLUMNS($AB$1006:AE1006),$AB$1006:$AQ$1006,0)), HYPERLINK("#",""), HYPERLINK(CONCATENATE("#metadata!", ADDRESS(INDEX($W$2:$W$1001,MATCH(ROWS($U$2:U694),$U$2:$U$1001,0),0), INDEX($AB$1004:$AQ$1004,1,MATCH(COLUMNS($AB$1006:AE1006),$AB$1006:$AQ$1006,0)))),"Fix")))</f>
        <v>0</v>
      </c>
      <c r="F694" s="4">
        <f>IF(OR(INDEX($V$2:$V$1001,MATCH(ROWS($U$2:U694),$U$2:$U$1001,0),1)&gt;=100000,INDEX($AB$1005:$AQ$1005,1,MATCH(COLUMNS($AB$1006:AF1006),$AB$1006:$AQ$1006,0))&gt;=100000), " ",IF(INDEX($AB$2:$AQ$1001,MATCH(ROWS($U$2:U694),$U$2:$U$1001,0),MATCH(COLUMNS($AB$1006:AF1006),$AB$1006:$AQ$1006,0)), HYPERLINK("#",""), HYPERLINK(CONCATENATE("#metadata!", ADDRESS(INDEX($W$2:$W$1001,MATCH(ROWS($U$2:U694),$U$2:$U$1001,0),0), INDEX($AB$1004:$AQ$1004,1,MATCH(COLUMNS($AB$1006:AF1006),$AB$1006:$AQ$1006,0)))),"Fix")))</f>
        <v>0</v>
      </c>
      <c r="G694" s="4">
        <f>IF(OR(INDEX($V$2:$V$1001,MATCH(ROWS($U$2:U694),$U$2:$U$1001,0),1)&gt;=100000,INDEX($AB$1005:$AQ$1005,1,MATCH(COLUMNS($AB$1006:AG1006),$AB$1006:$AQ$1006,0))&gt;=100000), " ",IF(INDEX($AB$2:$AQ$1001,MATCH(ROWS($U$2:U694),$U$2:$U$1001,0),MATCH(COLUMNS($AB$1006:AG1006),$AB$1006:$AQ$1006,0)), HYPERLINK("#",""), HYPERLINK(CONCATENATE("#metadata!", ADDRESS(INDEX($W$2:$W$1001,MATCH(ROWS($U$2:U694),$U$2:$U$1001,0),0), INDEX($AB$1004:$AQ$1004,1,MATCH(COLUMNS($AB$1006:AG1006),$AB$1006:$AQ$1006,0)))),"Fix")))</f>
        <v>0</v>
      </c>
      <c r="H694" s="4">
        <f>IF(OR(INDEX($V$2:$V$1001,MATCH(ROWS($U$2:U694),$U$2:$U$1001,0),1)&gt;=100000,INDEX($AB$1005:$AQ$1005,1,MATCH(COLUMNS($AB$1006:AH1006),$AB$1006:$AQ$1006,0))&gt;=100000), " ",IF(INDEX($AB$2:$AQ$1001,MATCH(ROWS($U$2:U694),$U$2:$U$1001,0),MATCH(COLUMNS($AB$1006:AH1006),$AB$1006:$AQ$1006,0)), HYPERLINK("#",""), HYPERLINK(CONCATENATE("#metadata!", ADDRESS(INDEX($W$2:$W$1001,MATCH(ROWS($U$2:U694),$U$2:$U$1001,0),0), INDEX($AB$1004:$AQ$1004,1,MATCH(COLUMNS($AB$1006:AH1006),$AB$1006:$AQ$1006,0)))),"Fix")))</f>
        <v>0</v>
      </c>
      <c r="I694" s="4">
        <f>IF(OR(INDEX($V$2:$V$1001,MATCH(ROWS($U$2:U694),$U$2:$U$1001,0),1)&gt;=100000,INDEX($AB$1005:$AQ$1005,1,MATCH(COLUMNS($AB$1006:AI1006),$AB$1006:$AQ$1006,0))&gt;=100000), " ",IF(INDEX($AB$2:$AQ$1001,MATCH(ROWS($U$2:U694),$U$2:$U$1001,0),MATCH(COLUMNS($AB$1006:AI1006),$AB$1006:$AQ$1006,0)), HYPERLINK("#",""), HYPERLINK(CONCATENATE("#metadata!", ADDRESS(INDEX($W$2:$W$1001,MATCH(ROWS($U$2:U694),$U$2:$U$1001,0),0), INDEX($AB$1004:$AQ$1004,1,MATCH(COLUMNS($AB$1006:AI1006),$AB$1006:$AQ$1006,0)))),"Fix")))</f>
        <v>0</v>
      </c>
      <c r="J694" s="4">
        <f>IF(OR(INDEX($V$2:$V$1001,MATCH(ROWS($U$2:U694),$U$2:$U$1001,0),1)&gt;=100000,INDEX($AB$1005:$AQ$1005,1,MATCH(COLUMNS($AB$1006:AJ1006),$AB$1006:$AQ$1006,0))&gt;=100000), " ",IF(INDEX($AB$2:$AQ$1001,MATCH(ROWS($U$2:U694),$U$2:$U$1001,0),MATCH(COLUMNS($AB$1006:AJ1006),$AB$1006:$AQ$1006,0)), HYPERLINK("#",""), HYPERLINK(CONCATENATE("#metadata!", ADDRESS(INDEX($W$2:$W$1001,MATCH(ROWS($U$2:U694),$U$2:$U$1001,0),0), INDEX($AB$1004:$AQ$1004,1,MATCH(COLUMNS($AB$1006:AJ1006),$AB$1006:$AQ$1006,0)))),"Fix")))</f>
        <v>0</v>
      </c>
      <c r="K694" s="4">
        <f>IF(OR(INDEX($V$2:$V$1001,MATCH(ROWS($U$2:U694),$U$2:$U$1001,0),1)&gt;=100000,INDEX($AB$1005:$AQ$1005,1,MATCH(COLUMNS($AB$1006:AK1006),$AB$1006:$AQ$1006,0))&gt;=100000), " ",IF(INDEX($AB$2:$AQ$1001,MATCH(ROWS($U$2:U694),$U$2:$U$1001,0),MATCH(COLUMNS($AB$1006:AK1006),$AB$1006:$AQ$1006,0)), HYPERLINK("#",""), HYPERLINK(CONCATENATE("#metadata!", ADDRESS(INDEX($W$2:$W$1001,MATCH(ROWS($U$2:U694),$U$2:$U$1001,0),0), INDEX($AB$1004:$AQ$1004,1,MATCH(COLUMNS($AB$1006:AK1006),$AB$1006:$AQ$1006,0)))),"Fix")))</f>
        <v>0</v>
      </c>
      <c r="L694" s="4">
        <f>IF(OR(INDEX($V$2:$V$1001,MATCH(ROWS($U$2:U694),$U$2:$U$1001,0),1)&gt;=100000,INDEX($AB$1005:$AQ$1005,1,MATCH(COLUMNS($AB$1006:AL1006),$AB$1006:$AQ$1006,0))&gt;=100000), " ",IF(INDEX($AB$2:$AQ$1001,MATCH(ROWS($U$2:U694),$U$2:$U$1001,0),MATCH(COLUMNS($AB$1006:AL1006),$AB$1006:$AQ$1006,0)), HYPERLINK("#",""), HYPERLINK(CONCATENATE("#metadata!", ADDRESS(INDEX($W$2:$W$1001,MATCH(ROWS($U$2:U694),$U$2:$U$1001,0),0), INDEX($AB$1004:$AQ$1004,1,MATCH(COLUMNS($AB$1006:AL1006),$AB$1006:$AQ$1006,0)))),"Fix")))</f>
        <v>0</v>
      </c>
      <c r="M694" s="4">
        <f>IF(OR(INDEX($V$2:$V$1001,MATCH(ROWS($U$2:U694),$U$2:$U$1001,0),1)&gt;=100000,INDEX($AB$1005:$AQ$1005,1,MATCH(COLUMNS($AB$1006:AM1006),$AB$1006:$AQ$1006,0))&gt;=100000), " ",IF(INDEX($AB$2:$AQ$1001,MATCH(ROWS($U$2:U694),$U$2:$U$1001,0),MATCH(COLUMNS($AB$1006:AM1006),$AB$1006:$AQ$1006,0)), HYPERLINK("#",""), HYPERLINK(CONCATENATE("#metadata!", ADDRESS(INDEX($W$2:$W$1001,MATCH(ROWS($U$2:U694),$U$2:$U$1001,0),0), INDEX($AB$1004:$AQ$1004,1,MATCH(COLUMNS($AB$1006:AM1006),$AB$1006:$AQ$1006,0)))),"Fix")))</f>
        <v>0</v>
      </c>
      <c r="N694" s="4">
        <f>IF(OR(INDEX($V$2:$V$1001,MATCH(ROWS($U$2:U694),$U$2:$U$1001,0),1)&gt;=100000,INDEX($AB$1005:$AQ$1005,1,MATCH(COLUMNS($AB$1006:AN1006),$AB$1006:$AQ$1006,0))&gt;=100000), " ",IF(INDEX($AB$2:$AQ$1001,MATCH(ROWS($U$2:U694),$U$2:$U$1001,0),MATCH(COLUMNS($AB$1006:AN1006),$AB$1006:$AQ$1006,0)), HYPERLINK("#",""), HYPERLINK(CONCATENATE("#metadata!", ADDRESS(INDEX($W$2:$W$1001,MATCH(ROWS($U$2:U694),$U$2:$U$1001,0),0), INDEX($AB$1004:$AQ$1004,1,MATCH(COLUMNS($AB$1006:AN1006),$AB$1006:$AQ$1006,0)))),"Fix")))</f>
        <v>0</v>
      </c>
      <c r="O694" s="4">
        <f>IF(OR(INDEX($V$2:$V$1001,MATCH(ROWS($U$2:U694),$U$2:$U$1001,0),1)&gt;=100000,INDEX($AB$1005:$AQ$1005,1,MATCH(COLUMNS($AB$1006:AO1006),$AB$1006:$AQ$1006,0))&gt;=100000), " ",IF(INDEX($AB$2:$AQ$1001,MATCH(ROWS($U$2:U694),$U$2:$U$1001,0),MATCH(COLUMNS($AB$1006:AO1006),$AB$1006:$AQ$1006,0)), HYPERLINK("#",""), HYPERLINK(CONCATENATE("#metadata!", ADDRESS(INDEX($W$2:$W$1001,MATCH(ROWS($U$2:U694),$U$2:$U$1001,0),0), INDEX($AB$1004:$AQ$1004,1,MATCH(COLUMNS($AB$1006:AO1006),$AB$1006:$AQ$1006,0)))),"Fix")))</f>
        <v>0</v>
      </c>
      <c r="P694" s="4">
        <f>IF(OR(INDEX($V$2:$V$1001,MATCH(ROWS($U$2:U694),$U$2:$U$1001,0),1)&gt;=100000,INDEX($AB$1005:$AQ$1005,1,MATCH(COLUMNS($AB$1006:AP1006),$AB$1006:$AQ$1006,0))&gt;=100000), " ",IF(INDEX($AB$2:$AQ$1001,MATCH(ROWS($U$2:U694),$U$2:$U$1001,0),MATCH(COLUMNS($AB$1006:AP1006),$AB$1006:$AQ$1006,0)), HYPERLINK("#",""), HYPERLINK(CONCATENATE("#metadata!", ADDRESS(INDEX($W$2:$W$1001,MATCH(ROWS($U$2:U694),$U$2:$U$1001,0),0), INDEX($AB$1004:$AQ$1004,1,MATCH(COLUMNS($AB$1006:AP1006),$AB$1006:$AQ$1006,0)))),"Fix")))</f>
        <v>0</v>
      </c>
      <c r="Q694" s="4">
        <f>IF(OR(INDEX($V$2:$V$1001,MATCH(ROWS($U$2:U694),$U$2:$U$1001,0),1)&gt;=100000,INDEX($AB$1005:$AQ$1005,1,MATCH(COLUMNS($AB$1006:AQ1006),$AB$1006:$AQ$1006,0))&gt;=100000), " ",IF(INDEX($AB$2:$AQ$1001,MATCH(ROWS($U$2:U694),$U$2:$U$1001,0),MATCH(COLUMNS($AB$1006:AQ1006),$AB$1006:$AQ$1006,0)), HYPERLINK("#",""), HYPERLINK(CONCATENATE("#metadata!", ADDRESS(INDEX($W$2:$W$1001,MATCH(ROWS($U$2:U694),$U$2:$U$1001,0),0), INDEX($AB$1004:$AQ$1004,1,MATCH(COLUMNS($AB$1006:AQ1006),$AB$1006:$AQ$1006,0)))),"Fix")))</f>
        <v>0</v>
      </c>
      <c r="U694">
        <v>0</v>
      </c>
      <c r="V694">
        <v>0</v>
      </c>
      <c r="W694">
        <v>0</v>
      </c>
      <c r="X694">
        <f>IF(Y694,TRUE,AND(AB694:AQ694))</f>
        <v>0</v>
      </c>
      <c r="Y694">
        <f>COUNTBLANK(metadata!B694:Q694)=COLUMNS(metadata!B694:Q694)</f>
        <v>0</v>
      </c>
      <c r="Z694">
        <v>0</v>
      </c>
      <c r="AB694">
        <f>AND(IF(metadata!B694="",FALSE,TRUE),COUNTIF(metadata!B:B, metadata!B694) = 1,NOT(ISERROR(SUMPRODUCT(SEARCH(MID(metadata!B694,ROW(INDIRECT("1:"&amp;LEN(metadata!B694))), 1),"0123456789abcdefghijklmnopqrstuvwxyzABCDEFGHIJKLMNOPQRSTUVWXYZ.")))))</f>
        <v>0</v>
      </c>
      <c r="AC694">
        <f>OR(AND(IF(metadata!C694="",FALSE,TRUE),OR(exact(metadata!C694,"missing: not collected"),exact(metadata!C694,"missing: not provided"),exact(metadata!C694,"missing: restricted access"))),AND(IF(metadata!C694="",FALSE,TRUE),AND(AND(IFERROR(INT(LEFT(metadata!C694,4))&gt;1900,FALSE),IFERROR(INT(LEFT(metadata!C694,4))&lt;=YEAR(NOW()),FALSE)), OR(MID(metadata!C694,5,1)="", AND(AND(MID(metadata!C694,5,1)="-",IFERROR(INT(MID(metadata!C694,6,1))&gt;=0,FALSE),IFERROR(INT(MID(metadata!C694,6,1))&lt;=1,FALSE),NOT(MID(metadata!C694,7,1)=""),IFERROR(INT(MID(metadata!C694,6,2))&gt;=1,FALSE),IFERROR(INT(MID(metadata!C694,6,2))&lt;=12,FALSE)), OR(MID(metadata!C694,8,1)="", AND(AND(MID(metadata!C694,8,1)="-",IFERROR(INT(MID(metadata!C694,9,1))&gt;=0,FALSE),IFERROR(INT(MID(metadata!C694,9,1))&lt;=3,FALSE),NOT(MID(metadata!C694,10,1)=""),IFERROR(INT(MID(metadata!C694,9,2))&gt;=1,FALSE),IFERROR(INT(MID(metadata!C694,9,2))&lt;=31,FALSE)), OR(MID(metadata!C694,11,1)="", AND(AND(MID(metadata!C694,11,1)=" ",IFERROR(INT(MID(metadata!C694,12,1))&gt;=0,FALSE),IFERROR(INT(MID(metadata!C694,12,1))&lt;=2,FALSE),NOT(MID(metadata!C694,13,1)=""),IFERROR(INT(MID(metadata!C694,12,2))&gt;=0,FALSE),IFERROR(INT(MID(metadata!C694,12,2))&lt;=23,FALSE)), OR(MID(metadata!C694,14,1)="", AND(AND(MID(metadata!C694,14,1)=":",IFERROR(INT(MID(metadata!C694,15,1))&gt;=0,FALSE),IFERROR(INT(MID(metadata!C694,15,1))&lt;=5,FALSE),NOT(MID(metadata!C694,16,1)=""),IFERROR(INT(MID(metadata!C694,15,2))&gt;=0,FALSE),IFERROR(INT(MID(metadata!C694,15,2))&lt;=59,FALSE)), OR(MID(metadata!C694,17,1)="", AND(AND(MID(metadata!C694,17,1)=":",IFERROR(INT(MID(metadata!C694,18,1))&gt;=0,FALSE),IFERROR(INT(MID(metadata!C694,18,1))&lt;=5,FALSE),NOT(MID(metadata!C694,19,1)=""),IFERROR(INT(MID(metadata!C694,18,2))&gt;=0,FALSE),IFERROR(INT(MID(metadata!C694,18,2))&lt;=59,FALSE)), LEN(metadata!C694)&lt;=19)))))))))))))</f>
        <v>0</v>
      </c>
      <c r="AD694">
        <f>IF(metadata!D694="",FALSE,TRUE)</f>
        <v>0</v>
      </c>
      <c r="AE694">
        <f>OR(AND(IF(metadata!E694="",FALSE,TRUE),OR(exact(metadata!E694,"missing: not collected"),exact(metadata!E694,"missing: not provided"))),AND(IF(metadata!E694="",FALSE,TRUE),OR(exact(metadata!E694,"TRUE"),exact(metadata!E694,"FALSE"))))</f>
        <v>0</v>
      </c>
      <c r="AF694">
        <f>IF(metadata!F694="",FALSE,TRUE)</f>
        <v>0</v>
      </c>
      <c r="AG694">
        <f>IF(metadata!G694="",FALSE,TRUE)</f>
        <v>0</v>
      </c>
      <c r="AH694">
        <f>IF(metadata!H694="",FALSE,TRUE)</f>
        <v>0</v>
      </c>
      <c r="AI694">
        <f>OR(AND(IF(metadata!I694="",FALSE,TRUE),OR(exact(metadata!I694,"missing: not collected"),exact(metadata!I694,"missing: not provided"),exact(metadata!I694,"missing: restricted access"))),AND(IF(metadata!I694="",FALSE,TRUE),OR(exact(metadata!I694,"air"),exact(metadata!I694,"built environment"),exact(metadata!I694,"host-associated"),exact(metadata!I694,"human-associated"),exact(metadata!I694,"human-skin"),exact(metadata!I694,"human-oral"),exact(metadata!I694,"human-gut"),exact(metadata!I694,"human-vaginal"),exact(metadata!I694,"microbial mat/biofilm"),exact(metadata!I694,"misc environment"),exact(metadata!I694,"plant-associated"),exact(metadata!I694,"sediment"),exact(metadata!I694,"soil"),exact(metadata!I694,"wastewater/sludge"),exact(metadata!I694,"water"))))</f>
        <v>0</v>
      </c>
      <c r="AJ694">
        <f>IF(metadata!J694="",FALSE,TRUE)</f>
        <v>0</v>
      </c>
      <c r="AK694">
        <f>OR(AND(IF(metadata!K694="",FALSE,TRUE),OR(exact(metadata!K694,"missing: not collected"),exact(metadata!K694,"missing: not provided"),exact(metadata!K694,"missing: restricted access"))),AND(IF(metadata!K694="",FALSE,ISNUMBER(VALUE(metadata!K694))),metadata!K694&gt;=-90.00,metadata!K694&lt;=90.00))</f>
        <v>0</v>
      </c>
      <c r="AL694">
        <f>OR(AND(IF(metadata!L694="",FALSE,TRUE),OR(exact(metadata!L694,"missing: not collected"),exact(metadata!L694,"missing: not provided"),exact(metadata!L694,"missing: restricted access"))),AND(IF(metadata!L694="",FALSE,ISNUMBER(VALUE(metadata!L694))),metadata!L694&gt;=-180.00,metadata!L694&lt;=180.00))</f>
        <v>0</v>
      </c>
      <c r="AM694">
        <f>IF(metadata!M694="",FALSE,TRUE)</f>
        <v>0</v>
      </c>
      <c r="AN694">
        <f>OR(AND(IF(metadata!N694="",FALSE,TRUE),OR(exact(metadata!N694,"missing: not collected"),exact(metadata!N694,"missing: not provided"),exact(metadata!N694,"missing: restricted access"))),AND(IF(metadata!N694="",FALSE,TRUE),OR(exact(metadata!N694,"TRUE"),exact(metadata!N694,"FALSE"))))</f>
        <v>0</v>
      </c>
      <c r="AO694">
        <f>IF(metadata!O694="",FALSE,TRUE)</f>
        <v>0</v>
      </c>
      <c r="AP694">
        <f>OR(AND(IF(metadata!P694="",FALSE,TRUE),OR(exact(metadata!P694,"missing: not collected"),exact(metadata!P694,"missing: not provided"))),AND(IF(metadata!P694="",FALSE,IF(ISERROR(INT(metadata!P694)),FALSE,INT(metadata!P694)=metadata!P694)),metadata!P694&gt;0))</f>
        <v>0</v>
      </c>
      <c r="AQ694">
        <f>IF(metadata!Q694="",FALSE,TRUE)</f>
        <v>0</v>
      </c>
    </row>
    <row r="695" spans="1:43">
      <c r="A695" s="5">
        <f>IF(B695=" "," ",HYPERLINK(CONCATENATE("#metadata!",ADDRESS(INDEX($W$2:$W$1001,MATCH(ROWS($U$2:U695),$U$2:$U$1001,0),0),1)),INDEX($Z$2:$Z$1001,MATCH(ROWS($U$2:U695),$U$2:$U$1001,0),0)))</f>
        <v>0</v>
      </c>
      <c r="B695" s="4">
        <f>IF(OR(INDEX($V$2:$V$1001,MATCH(ROWS($U$2:U695),$U$2:$U$1001,0),1)&gt;=100000,INDEX($AB$1005:$AQ$1005,1,MATCH(COLUMNS($AB$1006:AB1006),$AB$1006:$AQ$1006,0))&gt;=100000), " ",IF(INDEX($AB$2:$AQ$1001,MATCH(ROWS($U$2:U695),$U$2:$U$1001,0),MATCH(COLUMNS($AB$1006:AB1006),$AB$1006:$AQ$1006,0)), HYPERLINK("#",""), HYPERLINK(CONCATENATE("#metadata!", ADDRESS(INDEX($W$2:$W$1001,MATCH(ROWS($U$2:U695),$U$2:$U$1001,0),0), INDEX($AB$1004:$AQ$1004,1,MATCH(COLUMNS($AB$1006:AB1006),$AB$1006:$AQ$1006,0)))),"Fix")))</f>
        <v>0</v>
      </c>
      <c r="C695" s="4">
        <f>IF(OR(INDEX($V$2:$V$1001,MATCH(ROWS($U$2:U695),$U$2:$U$1001,0),1)&gt;=100000,INDEX($AB$1005:$AQ$1005,1,MATCH(COLUMNS($AB$1006:AC1006),$AB$1006:$AQ$1006,0))&gt;=100000), " ",IF(INDEX($AB$2:$AQ$1001,MATCH(ROWS($U$2:U695),$U$2:$U$1001,0),MATCH(COLUMNS($AB$1006:AC1006),$AB$1006:$AQ$1006,0)), HYPERLINK("#",""), HYPERLINK(CONCATENATE("#metadata!", ADDRESS(INDEX($W$2:$W$1001,MATCH(ROWS($U$2:U695),$U$2:$U$1001,0),0), INDEX($AB$1004:$AQ$1004,1,MATCH(COLUMNS($AB$1006:AC1006),$AB$1006:$AQ$1006,0)))),"Fix")))</f>
        <v>0</v>
      </c>
      <c r="D695" s="4">
        <f>IF(OR(INDEX($V$2:$V$1001,MATCH(ROWS($U$2:U695),$U$2:$U$1001,0),1)&gt;=100000,INDEX($AB$1005:$AQ$1005,1,MATCH(COLUMNS($AB$1006:AD1006),$AB$1006:$AQ$1006,0))&gt;=100000), " ",IF(INDEX($AB$2:$AQ$1001,MATCH(ROWS($U$2:U695),$U$2:$U$1001,0),MATCH(COLUMNS($AB$1006:AD1006),$AB$1006:$AQ$1006,0)), HYPERLINK("#",""), HYPERLINK(CONCATENATE("#metadata!", ADDRESS(INDEX($W$2:$W$1001,MATCH(ROWS($U$2:U695),$U$2:$U$1001,0),0), INDEX($AB$1004:$AQ$1004,1,MATCH(COLUMNS($AB$1006:AD1006),$AB$1006:$AQ$1006,0)))),"Fix")))</f>
        <v>0</v>
      </c>
      <c r="E695" s="4">
        <f>IF(OR(INDEX($V$2:$V$1001,MATCH(ROWS($U$2:U695),$U$2:$U$1001,0),1)&gt;=100000,INDEX($AB$1005:$AQ$1005,1,MATCH(COLUMNS($AB$1006:AE1006),$AB$1006:$AQ$1006,0))&gt;=100000), " ",IF(INDEX($AB$2:$AQ$1001,MATCH(ROWS($U$2:U695),$U$2:$U$1001,0),MATCH(COLUMNS($AB$1006:AE1006),$AB$1006:$AQ$1006,0)), HYPERLINK("#",""), HYPERLINK(CONCATENATE("#metadata!", ADDRESS(INDEX($W$2:$W$1001,MATCH(ROWS($U$2:U695),$U$2:$U$1001,0),0), INDEX($AB$1004:$AQ$1004,1,MATCH(COLUMNS($AB$1006:AE1006),$AB$1006:$AQ$1006,0)))),"Fix")))</f>
        <v>0</v>
      </c>
      <c r="F695" s="4">
        <f>IF(OR(INDEX($V$2:$V$1001,MATCH(ROWS($U$2:U695),$U$2:$U$1001,0),1)&gt;=100000,INDEX($AB$1005:$AQ$1005,1,MATCH(COLUMNS($AB$1006:AF1006),$AB$1006:$AQ$1006,0))&gt;=100000), " ",IF(INDEX($AB$2:$AQ$1001,MATCH(ROWS($U$2:U695),$U$2:$U$1001,0),MATCH(COLUMNS($AB$1006:AF1006),$AB$1006:$AQ$1006,0)), HYPERLINK("#",""), HYPERLINK(CONCATENATE("#metadata!", ADDRESS(INDEX($W$2:$W$1001,MATCH(ROWS($U$2:U695),$U$2:$U$1001,0),0), INDEX($AB$1004:$AQ$1004,1,MATCH(COLUMNS($AB$1006:AF1006),$AB$1006:$AQ$1006,0)))),"Fix")))</f>
        <v>0</v>
      </c>
      <c r="G695" s="4">
        <f>IF(OR(INDEX($V$2:$V$1001,MATCH(ROWS($U$2:U695),$U$2:$U$1001,0),1)&gt;=100000,INDEX($AB$1005:$AQ$1005,1,MATCH(COLUMNS($AB$1006:AG1006),$AB$1006:$AQ$1006,0))&gt;=100000), " ",IF(INDEX($AB$2:$AQ$1001,MATCH(ROWS($U$2:U695),$U$2:$U$1001,0),MATCH(COLUMNS($AB$1006:AG1006),$AB$1006:$AQ$1006,0)), HYPERLINK("#",""), HYPERLINK(CONCATENATE("#metadata!", ADDRESS(INDEX($W$2:$W$1001,MATCH(ROWS($U$2:U695),$U$2:$U$1001,0),0), INDEX($AB$1004:$AQ$1004,1,MATCH(COLUMNS($AB$1006:AG1006),$AB$1006:$AQ$1006,0)))),"Fix")))</f>
        <v>0</v>
      </c>
      <c r="H695" s="4">
        <f>IF(OR(INDEX($V$2:$V$1001,MATCH(ROWS($U$2:U695),$U$2:$U$1001,0),1)&gt;=100000,INDEX($AB$1005:$AQ$1005,1,MATCH(COLUMNS($AB$1006:AH1006),$AB$1006:$AQ$1006,0))&gt;=100000), " ",IF(INDEX($AB$2:$AQ$1001,MATCH(ROWS($U$2:U695),$U$2:$U$1001,0),MATCH(COLUMNS($AB$1006:AH1006),$AB$1006:$AQ$1006,0)), HYPERLINK("#",""), HYPERLINK(CONCATENATE("#metadata!", ADDRESS(INDEX($W$2:$W$1001,MATCH(ROWS($U$2:U695),$U$2:$U$1001,0),0), INDEX($AB$1004:$AQ$1004,1,MATCH(COLUMNS($AB$1006:AH1006),$AB$1006:$AQ$1006,0)))),"Fix")))</f>
        <v>0</v>
      </c>
      <c r="I695" s="4">
        <f>IF(OR(INDEX($V$2:$V$1001,MATCH(ROWS($U$2:U695),$U$2:$U$1001,0),1)&gt;=100000,INDEX($AB$1005:$AQ$1005,1,MATCH(COLUMNS($AB$1006:AI1006),$AB$1006:$AQ$1006,0))&gt;=100000), " ",IF(INDEX($AB$2:$AQ$1001,MATCH(ROWS($U$2:U695),$U$2:$U$1001,0),MATCH(COLUMNS($AB$1006:AI1006),$AB$1006:$AQ$1006,0)), HYPERLINK("#",""), HYPERLINK(CONCATENATE("#metadata!", ADDRESS(INDEX($W$2:$W$1001,MATCH(ROWS($U$2:U695),$U$2:$U$1001,0),0), INDEX($AB$1004:$AQ$1004,1,MATCH(COLUMNS($AB$1006:AI1006),$AB$1006:$AQ$1006,0)))),"Fix")))</f>
        <v>0</v>
      </c>
      <c r="J695" s="4">
        <f>IF(OR(INDEX($V$2:$V$1001,MATCH(ROWS($U$2:U695),$U$2:$U$1001,0),1)&gt;=100000,INDEX($AB$1005:$AQ$1005,1,MATCH(COLUMNS($AB$1006:AJ1006),$AB$1006:$AQ$1006,0))&gt;=100000), " ",IF(INDEX($AB$2:$AQ$1001,MATCH(ROWS($U$2:U695),$U$2:$U$1001,0),MATCH(COLUMNS($AB$1006:AJ1006),$AB$1006:$AQ$1006,0)), HYPERLINK("#",""), HYPERLINK(CONCATENATE("#metadata!", ADDRESS(INDEX($W$2:$W$1001,MATCH(ROWS($U$2:U695),$U$2:$U$1001,0),0), INDEX($AB$1004:$AQ$1004,1,MATCH(COLUMNS($AB$1006:AJ1006),$AB$1006:$AQ$1006,0)))),"Fix")))</f>
        <v>0</v>
      </c>
      <c r="K695" s="4">
        <f>IF(OR(INDEX($V$2:$V$1001,MATCH(ROWS($U$2:U695),$U$2:$U$1001,0),1)&gt;=100000,INDEX($AB$1005:$AQ$1005,1,MATCH(COLUMNS($AB$1006:AK1006),$AB$1006:$AQ$1006,0))&gt;=100000), " ",IF(INDEX($AB$2:$AQ$1001,MATCH(ROWS($U$2:U695),$U$2:$U$1001,0),MATCH(COLUMNS($AB$1006:AK1006),$AB$1006:$AQ$1006,0)), HYPERLINK("#",""), HYPERLINK(CONCATENATE("#metadata!", ADDRESS(INDEX($W$2:$W$1001,MATCH(ROWS($U$2:U695),$U$2:$U$1001,0),0), INDEX($AB$1004:$AQ$1004,1,MATCH(COLUMNS($AB$1006:AK1006),$AB$1006:$AQ$1006,0)))),"Fix")))</f>
        <v>0</v>
      </c>
      <c r="L695" s="4">
        <f>IF(OR(INDEX($V$2:$V$1001,MATCH(ROWS($U$2:U695),$U$2:$U$1001,0),1)&gt;=100000,INDEX($AB$1005:$AQ$1005,1,MATCH(COLUMNS($AB$1006:AL1006),$AB$1006:$AQ$1006,0))&gt;=100000), " ",IF(INDEX($AB$2:$AQ$1001,MATCH(ROWS($U$2:U695),$U$2:$U$1001,0),MATCH(COLUMNS($AB$1006:AL1006),$AB$1006:$AQ$1006,0)), HYPERLINK("#",""), HYPERLINK(CONCATENATE("#metadata!", ADDRESS(INDEX($W$2:$W$1001,MATCH(ROWS($U$2:U695),$U$2:$U$1001,0),0), INDEX($AB$1004:$AQ$1004,1,MATCH(COLUMNS($AB$1006:AL1006),$AB$1006:$AQ$1006,0)))),"Fix")))</f>
        <v>0</v>
      </c>
      <c r="M695" s="4">
        <f>IF(OR(INDEX($V$2:$V$1001,MATCH(ROWS($U$2:U695),$U$2:$U$1001,0),1)&gt;=100000,INDEX($AB$1005:$AQ$1005,1,MATCH(COLUMNS($AB$1006:AM1006),$AB$1006:$AQ$1006,0))&gt;=100000), " ",IF(INDEX($AB$2:$AQ$1001,MATCH(ROWS($U$2:U695),$U$2:$U$1001,0),MATCH(COLUMNS($AB$1006:AM1006),$AB$1006:$AQ$1006,0)), HYPERLINK("#",""), HYPERLINK(CONCATENATE("#metadata!", ADDRESS(INDEX($W$2:$W$1001,MATCH(ROWS($U$2:U695),$U$2:$U$1001,0),0), INDEX($AB$1004:$AQ$1004,1,MATCH(COLUMNS($AB$1006:AM1006),$AB$1006:$AQ$1006,0)))),"Fix")))</f>
        <v>0</v>
      </c>
      <c r="N695" s="4">
        <f>IF(OR(INDEX($V$2:$V$1001,MATCH(ROWS($U$2:U695),$U$2:$U$1001,0),1)&gt;=100000,INDEX($AB$1005:$AQ$1005,1,MATCH(COLUMNS($AB$1006:AN1006),$AB$1006:$AQ$1006,0))&gt;=100000), " ",IF(INDEX($AB$2:$AQ$1001,MATCH(ROWS($U$2:U695),$U$2:$U$1001,0),MATCH(COLUMNS($AB$1006:AN1006),$AB$1006:$AQ$1006,0)), HYPERLINK("#",""), HYPERLINK(CONCATENATE("#metadata!", ADDRESS(INDEX($W$2:$W$1001,MATCH(ROWS($U$2:U695),$U$2:$U$1001,0),0), INDEX($AB$1004:$AQ$1004,1,MATCH(COLUMNS($AB$1006:AN1006),$AB$1006:$AQ$1006,0)))),"Fix")))</f>
        <v>0</v>
      </c>
      <c r="O695" s="4">
        <f>IF(OR(INDEX($V$2:$V$1001,MATCH(ROWS($U$2:U695),$U$2:$U$1001,0),1)&gt;=100000,INDEX($AB$1005:$AQ$1005,1,MATCH(COLUMNS($AB$1006:AO1006),$AB$1006:$AQ$1006,0))&gt;=100000), " ",IF(INDEX($AB$2:$AQ$1001,MATCH(ROWS($U$2:U695),$U$2:$U$1001,0),MATCH(COLUMNS($AB$1006:AO1006),$AB$1006:$AQ$1006,0)), HYPERLINK("#",""), HYPERLINK(CONCATENATE("#metadata!", ADDRESS(INDEX($W$2:$W$1001,MATCH(ROWS($U$2:U695),$U$2:$U$1001,0),0), INDEX($AB$1004:$AQ$1004,1,MATCH(COLUMNS($AB$1006:AO1006),$AB$1006:$AQ$1006,0)))),"Fix")))</f>
        <v>0</v>
      </c>
      <c r="P695" s="4">
        <f>IF(OR(INDEX($V$2:$V$1001,MATCH(ROWS($U$2:U695),$U$2:$U$1001,0),1)&gt;=100000,INDEX($AB$1005:$AQ$1005,1,MATCH(COLUMNS($AB$1006:AP1006),$AB$1006:$AQ$1006,0))&gt;=100000), " ",IF(INDEX($AB$2:$AQ$1001,MATCH(ROWS($U$2:U695),$U$2:$U$1001,0),MATCH(COLUMNS($AB$1006:AP1006),$AB$1006:$AQ$1006,0)), HYPERLINK("#",""), HYPERLINK(CONCATENATE("#metadata!", ADDRESS(INDEX($W$2:$W$1001,MATCH(ROWS($U$2:U695),$U$2:$U$1001,0),0), INDEX($AB$1004:$AQ$1004,1,MATCH(COLUMNS($AB$1006:AP1006),$AB$1006:$AQ$1006,0)))),"Fix")))</f>
        <v>0</v>
      </c>
      <c r="Q695" s="4">
        <f>IF(OR(INDEX($V$2:$V$1001,MATCH(ROWS($U$2:U695),$U$2:$U$1001,0),1)&gt;=100000,INDEX($AB$1005:$AQ$1005,1,MATCH(COLUMNS($AB$1006:AQ1006),$AB$1006:$AQ$1006,0))&gt;=100000), " ",IF(INDEX($AB$2:$AQ$1001,MATCH(ROWS($U$2:U695),$U$2:$U$1001,0),MATCH(COLUMNS($AB$1006:AQ1006),$AB$1006:$AQ$1006,0)), HYPERLINK("#",""), HYPERLINK(CONCATENATE("#metadata!", ADDRESS(INDEX($W$2:$W$1001,MATCH(ROWS($U$2:U695),$U$2:$U$1001,0),0), INDEX($AB$1004:$AQ$1004,1,MATCH(COLUMNS($AB$1006:AQ1006),$AB$1006:$AQ$1006,0)))),"Fix")))</f>
        <v>0</v>
      </c>
      <c r="U695">
        <v>0</v>
      </c>
      <c r="V695">
        <v>0</v>
      </c>
      <c r="W695">
        <v>0</v>
      </c>
      <c r="X695">
        <f>IF(Y695,TRUE,AND(AB695:AQ695))</f>
        <v>0</v>
      </c>
      <c r="Y695">
        <f>COUNTBLANK(metadata!B695:Q695)=COLUMNS(metadata!B695:Q695)</f>
        <v>0</v>
      </c>
      <c r="Z695">
        <v>0</v>
      </c>
      <c r="AB695">
        <f>AND(IF(metadata!B695="",FALSE,TRUE),COUNTIF(metadata!B:B, metadata!B695) = 1,NOT(ISERROR(SUMPRODUCT(SEARCH(MID(metadata!B695,ROW(INDIRECT("1:"&amp;LEN(metadata!B695))), 1),"0123456789abcdefghijklmnopqrstuvwxyzABCDEFGHIJKLMNOPQRSTUVWXYZ.")))))</f>
        <v>0</v>
      </c>
      <c r="AC695">
        <f>OR(AND(IF(metadata!C695="",FALSE,TRUE),OR(exact(metadata!C695,"missing: not collected"),exact(metadata!C695,"missing: not provided"),exact(metadata!C695,"missing: restricted access"))),AND(IF(metadata!C695="",FALSE,TRUE),AND(AND(IFERROR(INT(LEFT(metadata!C695,4))&gt;1900,FALSE),IFERROR(INT(LEFT(metadata!C695,4))&lt;=YEAR(NOW()),FALSE)), OR(MID(metadata!C695,5,1)="", AND(AND(MID(metadata!C695,5,1)="-",IFERROR(INT(MID(metadata!C695,6,1))&gt;=0,FALSE),IFERROR(INT(MID(metadata!C695,6,1))&lt;=1,FALSE),NOT(MID(metadata!C695,7,1)=""),IFERROR(INT(MID(metadata!C695,6,2))&gt;=1,FALSE),IFERROR(INT(MID(metadata!C695,6,2))&lt;=12,FALSE)), OR(MID(metadata!C695,8,1)="", AND(AND(MID(metadata!C695,8,1)="-",IFERROR(INT(MID(metadata!C695,9,1))&gt;=0,FALSE),IFERROR(INT(MID(metadata!C695,9,1))&lt;=3,FALSE),NOT(MID(metadata!C695,10,1)=""),IFERROR(INT(MID(metadata!C695,9,2))&gt;=1,FALSE),IFERROR(INT(MID(metadata!C695,9,2))&lt;=31,FALSE)), OR(MID(metadata!C695,11,1)="", AND(AND(MID(metadata!C695,11,1)=" ",IFERROR(INT(MID(metadata!C695,12,1))&gt;=0,FALSE),IFERROR(INT(MID(metadata!C695,12,1))&lt;=2,FALSE),NOT(MID(metadata!C695,13,1)=""),IFERROR(INT(MID(metadata!C695,12,2))&gt;=0,FALSE),IFERROR(INT(MID(metadata!C695,12,2))&lt;=23,FALSE)), OR(MID(metadata!C695,14,1)="", AND(AND(MID(metadata!C695,14,1)=":",IFERROR(INT(MID(metadata!C695,15,1))&gt;=0,FALSE),IFERROR(INT(MID(metadata!C695,15,1))&lt;=5,FALSE),NOT(MID(metadata!C695,16,1)=""),IFERROR(INT(MID(metadata!C695,15,2))&gt;=0,FALSE),IFERROR(INT(MID(metadata!C695,15,2))&lt;=59,FALSE)), OR(MID(metadata!C695,17,1)="", AND(AND(MID(metadata!C695,17,1)=":",IFERROR(INT(MID(metadata!C695,18,1))&gt;=0,FALSE),IFERROR(INT(MID(metadata!C695,18,1))&lt;=5,FALSE),NOT(MID(metadata!C695,19,1)=""),IFERROR(INT(MID(metadata!C695,18,2))&gt;=0,FALSE),IFERROR(INT(MID(metadata!C695,18,2))&lt;=59,FALSE)), LEN(metadata!C695)&lt;=19)))))))))))))</f>
        <v>0</v>
      </c>
      <c r="AD695">
        <f>IF(metadata!D695="",FALSE,TRUE)</f>
        <v>0</v>
      </c>
      <c r="AE695">
        <f>OR(AND(IF(metadata!E695="",FALSE,TRUE),OR(exact(metadata!E695,"missing: not collected"),exact(metadata!E695,"missing: not provided"))),AND(IF(metadata!E695="",FALSE,TRUE),OR(exact(metadata!E695,"TRUE"),exact(metadata!E695,"FALSE"))))</f>
        <v>0</v>
      </c>
      <c r="AF695">
        <f>IF(metadata!F695="",FALSE,TRUE)</f>
        <v>0</v>
      </c>
      <c r="AG695">
        <f>IF(metadata!G695="",FALSE,TRUE)</f>
        <v>0</v>
      </c>
      <c r="AH695">
        <f>IF(metadata!H695="",FALSE,TRUE)</f>
        <v>0</v>
      </c>
      <c r="AI695">
        <f>OR(AND(IF(metadata!I695="",FALSE,TRUE),OR(exact(metadata!I695,"missing: not collected"),exact(metadata!I695,"missing: not provided"),exact(metadata!I695,"missing: restricted access"))),AND(IF(metadata!I695="",FALSE,TRUE),OR(exact(metadata!I695,"air"),exact(metadata!I695,"built environment"),exact(metadata!I695,"host-associated"),exact(metadata!I695,"human-associated"),exact(metadata!I695,"human-skin"),exact(metadata!I695,"human-oral"),exact(metadata!I695,"human-gut"),exact(metadata!I695,"human-vaginal"),exact(metadata!I695,"microbial mat/biofilm"),exact(metadata!I695,"misc environment"),exact(metadata!I695,"plant-associated"),exact(metadata!I695,"sediment"),exact(metadata!I695,"soil"),exact(metadata!I695,"wastewater/sludge"),exact(metadata!I695,"water"))))</f>
        <v>0</v>
      </c>
      <c r="AJ695">
        <f>IF(metadata!J695="",FALSE,TRUE)</f>
        <v>0</v>
      </c>
      <c r="AK695">
        <f>OR(AND(IF(metadata!K695="",FALSE,TRUE),OR(exact(metadata!K695,"missing: not collected"),exact(metadata!K695,"missing: not provided"),exact(metadata!K695,"missing: restricted access"))),AND(IF(metadata!K695="",FALSE,ISNUMBER(VALUE(metadata!K695))),metadata!K695&gt;=-90.00,metadata!K695&lt;=90.00))</f>
        <v>0</v>
      </c>
      <c r="AL695">
        <f>OR(AND(IF(metadata!L695="",FALSE,TRUE),OR(exact(metadata!L695,"missing: not collected"),exact(metadata!L695,"missing: not provided"),exact(metadata!L695,"missing: restricted access"))),AND(IF(metadata!L695="",FALSE,ISNUMBER(VALUE(metadata!L695))),metadata!L695&gt;=-180.00,metadata!L695&lt;=180.00))</f>
        <v>0</v>
      </c>
      <c r="AM695">
        <f>IF(metadata!M695="",FALSE,TRUE)</f>
        <v>0</v>
      </c>
      <c r="AN695">
        <f>OR(AND(IF(metadata!N695="",FALSE,TRUE),OR(exact(metadata!N695,"missing: not collected"),exact(metadata!N695,"missing: not provided"),exact(metadata!N695,"missing: restricted access"))),AND(IF(metadata!N695="",FALSE,TRUE),OR(exact(metadata!N695,"TRUE"),exact(metadata!N695,"FALSE"))))</f>
        <v>0</v>
      </c>
      <c r="AO695">
        <f>IF(metadata!O695="",FALSE,TRUE)</f>
        <v>0</v>
      </c>
      <c r="AP695">
        <f>OR(AND(IF(metadata!P695="",FALSE,TRUE),OR(exact(metadata!P695,"missing: not collected"),exact(metadata!P695,"missing: not provided"))),AND(IF(metadata!P695="",FALSE,IF(ISERROR(INT(metadata!P695)),FALSE,INT(metadata!P695)=metadata!P695)),metadata!P695&gt;0))</f>
        <v>0</v>
      </c>
      <c r="AQ695">
        <f>IF(metadata!Q695="",FALSE,TRUE)</f>
        <v>0</v>
      </c>
    </row>
    <row r="696" spans="1:43">
      <c r="A696" s="5">
        <f>IF(B696=" "," ",HYPERLINK(CONCATENATE("#metadata!",ADDRESS(INDEX($W$2:$W$1001,MATCH(ROWS($U$2:U696),$U$2:$U$1001,0),0),1)),INDEX($Z$2:$Z$1001,MATCH(ROWS($U$2:U696),$U$2:$U$1001,0),0)))</f>
        <v>0</v>
      </c>
      <c r="B696" s="4">
        <f>IF(OR(INDEX($V$2:$V$1001,MATCH(ROWS($U$2:U696),$U$2:$U$1001,0),1)&gt;=100000,INDEX($AB$1005:$AQ$1005,1,MATCH(COLUMNS($AB$1006:AB1006),$AB$1006:$AQ$1006,0))&gt;=100000), " ",IF(INDEX($AB$2:$AQ$1001,MATCH(ROWS($U$2:U696),$U$2:$U$1001,0),MATCH(COLUMNS($AB$1006:AB1006),$AB$1006:$AQ$1006,0)), HYPERLINK("#",""), HYPERLINK(CONCATENATE("#metadata!", ADDRESS(INDEX($W$2:$W$1001,MATCH(ROWS($U$2:U696),$U$2:$U$1001,0),0), INDEX($AB$1004:$AQ$1004,1,MATCH(COLUMNS($AB$1006:AB1006),$AB$1006:$AQ$1006,0)))),"Fix")))</f>
        <v>0</v>
      </c>
      <c r="C696" s="4">
        <f>IF(OR(INDEX($V$2:$V$1001,MATCH(ROWS($U$2:U696),$U$2:$U$1001,0),1)&gt;=100000,INDEX($AB$1005:$AQ$1005,1,MATCH(COLUMNS($AB$1006:AC1006),$AB$1006:$AQ$1006,0))&gt;=100000), " ",IF(INDEX($AB$2:$AQ$1001,MATCH(ROWS($U$2:U696),$U$2:$U$1001,0),MATCH(COLUMNS($AB$1006:AC1006),$AB$1006:$AQ$1006,0)), HYPERLINK("#",""), HYPERLINK(CONCATENATE("#metadata!", ADDRESS(INDEX($W$2:$W$1001,MATCH(ROWS($U$2:U696),$U$2:$U$1001,0),0), INDEX($AB$1004:$AQ$1004,1,MATCH(COLUMNS($AB$1006:AC1006),$AB$1006:$AQ$1006,0)))),"Fix")))</f>
        <v>0</v>
      </c>
      <c r="D696" s="4">
        <f>IF(OR(INDEX($V$2:$V$1001,MATCH(ROWS($U$2:U696),$U$2:$U$1001,0),1)&gt;=100000,INDEX($AB$1005:$AQ$1005,1,MATCH(COLUMNS($AB$1006:AD1006),$AB$1006:$AQ$1006,0))&gt;=100000), " ",IF(INDEX($AB$2:$AQ$1001,MATCH(ROWS($U$2:U696),$U$2:$U$1001,0),MATCH(COLUMNS($AB$1006:AD1006),$AB$1006:$AQ$1006,0)), HYPERLINK("#",""), HYPERLINK(CONCATENATE("#metadata!", ADDRESS(INDEX($W$2:$W$1001,MATCH(ROWS($U$2:U696),$U$2:$U$1001,0),0), INDEX($AB$1004:$AQ$1004,1,MATCH(COLUMNS($AB$1006:AD1006),$AB$1006:$AQ$1006,0)))),"Fix")))</f>
        <v>0</v>
      </c>
      <c r="E696" s="4">
        <f>IF(OR(INDEX($V$2:$V$1001,MATCH(ROWS($U$2:U696),$U$2:$U$1001,0),1)&gt;=100000,INDEX($AB$1005:$AQ$1005,1,MATCH(COLUMNS($AB$1006:AE1006),$AB$1006:$AQ$1006,0))&gt;=100000), " ",IF(INDEX($AB$2:$AQ$1001,MATCH(ROWS($U$2:U696),$U$2:$U$1001,0),MATCH(COLUMNS($AB$1006:AE1006),$AB$1006:$AQ$1006,0)), HYPERLINK("#",""), HYPERLINK(CONCATENATE("#metadata!", ADDRESS(INDEX($W$2:$W$1001,MATCH(ROWS($U$2:U696),$U$2:$U$1001,0),0), INDEX($AB$1004:$AQ$1004,1,MATCH(COLUMNS($AB$1006:AE1006),$AB$1006:$AQ$1006,0)))),"Fix")))</f>
        <v>0</v>
      </c>
      <c r="F696" s="4">
        <f>IF(OR(INDEX($V$2:$V$1001,MATCH(ROWS($U$2:U696),$U$2:$U$1001,0),1)&gt;=100000,INDEX($AB$1005:$AQ$1005,1,MATCH(COLUMNS($AB$1006:AF1006),$AB$1006:$AQ$1006,0))&gt;=100000), " ",IF(INDEX($AB$2:$AQ$1001,MATCH(ROWS($U$2:U696),$U$2:$U$1001,0),MATCH(COLUMNS($AB$1006:AF1006),$AB$1006:$AQ$1006,0)), HYPERLINK("#",""), HYPERLINK(CONCATENATE("#metadata!", ADDRESS(INDEX($W$2:$W$1001,MATCH(ROWS($U$2:U696),$U$2:$U$1001,0),0), INDEX($AB$1004:$AQ$1004,1,MATCH(COLUMNS($AB$1006:AF1006),$AB$1006:$AQ$1006,0)))),"Fix")))</f>
        <v>0</v>
      </c>
      <c r="G696" s="4">
        <f>IF(OR(INDEX($V$2:$V$1001,MATCH(ROWS($U$2:U696),$U$2:$U$1001,0),1)&gt;=100000,INDEX($AB$1005:$AQ$1005,1,MATCH(COLUMNS($AB$1006:AG1006),$AB$1006:$AQ$1006,0))&gt;=100000), " ",IF(INDEX($AB$2:$AQ$1001,MATCH(ROWS($U$2:U696),$U$2:$U$1001,0),MATCH(COLUMNS($AB$1006:AG1006),$AB$1006:$AQ$1006,0)), HYPERLINK("#",""), HYPERLINK(CONCATENATE("#metadata!", ADDRESS(INDEX($W$2:$W$1001,MATCH(ROWS($U$2:U696),$U$2:$U$1001,0),0), INDEX($AB$1004:$AQ$1004,1,MATCH(COLUMNS($AB$1006:AG1006),$AB$1006:$AQ$1006,0)))),"Fix")))</f>
        <v>0</v>
      </c>
      <c r="H696" s="4">
        <f>IF(OR(INDEX($V$2:$V$1001,MATCH(ROWS($U$2:U696),$U$2:$U$1001,0),1)&gt;=100000,INDEX($AB$1005:$AQ$1005,1,MATCH(COLUMNS($AB$1006:AH1006),$AB$1006:$AQ$1006,0))&gt;=100000), " ",IF(INDEX($AB$2:$AQ$1001,MATCH(ROWS($U$2:U696),$U$2:$U$1001,0),MATCH(COLUMNS($AB$1006:AH1006),$AB$1006:$AQ$1006,0)), HYPERLINK("#",""), HYPERLINK(CONCATENATE("#metadata!", ADDRESS(INDEX($W$2:$W$1001,MATCH(ROWS($U$2:U696),$U$2:$U$1001,0),0), INDEX($AB$1004:$AQ$1004,1,MATCH(COLUMNS($AB$1006:AH1006),$AB$1006:$AQ$1006,0)))),"Fix")))</f>
        <v>0</v>
      </c>
      <c r="I696" s="4">
        <f>IF(OR(INDEX($V$2:$V$1001,MATCH(ROWS($U$2:U696),$U$2:$U$1001,0),1)&gt;=100000,INDEX($AB$1005:$AQ$1005,1,MATCH(COLUMNS($AB$1006:AI1006),$AB$1006:$AQ$1006,0))&gt;=100000), " ",IF(INDEX($AB$2:$AQ$1001,MATCH(ROWS($U$2:U696),$U$2:$U$1001,0),MATCH(COLUMNS($AB$1006:AI1006),$AB$1006:$AQ$1006,0)), HYPERLINK("#",""), HYPERLINK(CONCATENATE("#metadata!", ADDRESS(INDEX($W$2:$W$1001,MATCH(ROWS($U$2:U696),$U$2:$U$1001,0),0), INDEX($AB$1004:$AQ$1004,1,MATCH(COLUMNS($AB$1006:AI1006),$AB$1006:$AQ$1006,0)))),"Fix")))</f>
        <v>0</v>
      </c>
      <c r="J696" s="4">
        <f>IF(OR(INDEX($V$2:$V$1001,MATCH(ROWS($U$2:U696),$U$2:$U$1001,0),1)&gt;=100000,INDEX($AB$1005:$AQ$1005,1,MATCH(COLUMNS($AB$1006:AJ1006),$AB$1006:$AQ$1006,0))&gt;=100000), " ",IF(INDEX($AB$2:$AQ$1001,MATCH(ROWS($U$2:U696),$U$2:$U$1001,0),MATCH(COLUMNS($AB$1006:AJ1006),$AB$1006:$AQ$1006,0)), HYPERLINK("#",""), HYPERLINK(CONCATENATE("#metadata!", ADDRESS(INDEX($W$2:$W$1001,MATCH(ROWS($U$2:U696),$U$2:$U$1001,0),0), INDEX($AB$1004:$AQ$1004,1,MATCH(COLUMNS($AB$1006:AJ1006),$AB$1006:$AQ$1006,0)))),"Fix")))</f>
        <v>0</v>
      </c>
      <c r="K696" s="4">
        <f>IF(OR(INDEX($V$2:$V$1001,MATCH(ROWS($U$2:U696),$U$2:$U$1001,0),1)&gt;=100000,INDEX($AB$1005:$AQ$1005,1,MATCH(COLUMNS($AB$1006:AK1006),$AB$1006:$AQ$1006,0))&gt;=100000), " ",IF(INDEX($AB$2:$AQ$1001,MATCH(ROWS($U$2:U696),$U$2:$U$1001,0),MATCH(COLUMNS($AB$1006:AK1006),$AB$1006:$AQ$1006,0)), HYPERLINK("#",""), HYPERLINK(CONCATENATE("#metadata!", ADDRESS(INDEX($W$2:$W$1001,MATCH(ROWS($U$2:U696),$U$2:$U$1001,0),0), INDEX($AB$1004:$AQ$1004,1,MATCH(COLUMNS($AB$1006:AK1006),$AB$1006:$AQ$1006,0)))),"Fix")))</f>
        <v>0</v>
      </c>
      <c r="L696" s="4">
        <f>IF(OR(INDEX($V$2:$V$1001,MATCH(ROWS($U$2:U696),$U$2:$U$1001,0),1)&gt;=100000,INDEX($AB$1005:$AQ$1005,1,MATCH(COLUMNS($AB$1006:AL1006),$AB$1006:$AQ$1006,0))&gt;=100000), " ",IF(INDEX($AB$2:$AQ$1001,MATCH(ROWS($U$2:U696),$U$2:$U$1001,0),MATCH(COLUMNS($AB$1006:AL1006),$AB$1006:$AQ$1006,0)), HYPERLINK("#",""), HYPERLINK(CONCATENATE("#metadata!", ADDRESS(INDEX($W$2:$W$1001,MATCH(ROWS($U$2:U696),$U$2:$U$1001,0),0), INDEX($AB$1004:$AQ$1004,1,MATCH(COLUMNS($AB$1006:AL1006),$AB$1006:$AQ$1006,0)))),"Fix")))</f>
        <v>0</v>
      </c>
      <c r="M696" s="4">
        <f>IF(OR(INDEX($V$2:$V$1001,MATCH(ROWS($U$2:U696),$U$2:$U$1001,0),1)&gt;=100000,INDEX($AB$1005:$AQ$1005,1,MATCH(COLUMNS($AB$1006:AM1006),$AB$1006:$AQ$1006,0))&gt;=100000), " ",IF(INDEX($AB$2:$AQ$1001,MATCH(ROWS($U$2:U696),$U$2:$U$1001,0),MATCH(COLUMNS($AB$1006:AM1006),$AB$1006:$AQ$1006,0)), HYPERLINK("#",""), HYPERLINK(CONCATENATE("#metadata!", ADDRESS(INDEX($W$2:$W$1001,MATCH(ROWS($U$2:U696),$U$2:$U$1001,0),0), INDEX($AB$1004:$AQ$1004,1,MATCH(COLUMNS($AB$1006:AM1006),$AB$1006:$AQ$1006,0)))),"Fix")))</f>
        <v>0</v>
      </c>
      <c r="N696" s="4">
        <f>IF(OR(INDEX($V$2:$V$1001,MATCH(ROWS($U$2:U696),$U$2:$U$1001,0),1)&gt;=100000,INDEX($AB$1005:$AQ$1005,1,MATCH(COLUMNS($AB$1006:AN1006),$AB$1006:$AQ$1006,0))&gt;=100000), " ",IF(INDEX($AB$2:$AQ$1001,MATCH(ROWS($U$2:U696),$U$2:$U$1001,0),MATCH(COLUMNS($AB$1006:AN1006),$AB$1006:$AQ$1006,0)), HYPERLINK("#",""), HYPERLINK(CONCATENATE("#metadata!", ADDRESS(INDEX($W$2:$W$1001,MATCH(ROWS($U$2:U696),$U$2:$U$1001,0),0), INDEX($AB$1004:$AQ$1004,1,MATCH(COLUMNS($AB$1006:AN1006),$AB$1006:$AQ$1006,0)))),"Fix")))</f>
        <v>0</v>
      </c>
      <c r="O696" s="4">
        <f>IF(OR(INDEX($V$2:$V$1001,MATCH(ROWS($U$2:U696),$U$2:$U$1001,0),1)&gt;=100000,INDEX($AB$1005:$AQ$1005,1,MATCH(COLUMNS($AB$1006:AO1006),$AB$1006:$AQ$1006,0))&gt;=100000), " ",IF(INDEX($AB$2:$AQ$1001,MATCH(ROWS($U$2:U696),$U$2:$U$1001,0),MATCH(COLUMNS($AB$1006:AO1006),$AB$1006:$AQ$1006,0)), HYPERLINK("#",""), HYPERLINK(CONCATENATE("#metadata!", ADDRESS(INDEX($W$2:$W$1001,MATCH(ROWS($U$2:U696),$U$2:$U$1001,0),0), INDEX($AB$1004:$AQ$1004,1,MATCH(COLUMNS($AB$1006:AO1006),$AB$1006:$AQ$1006,0)))),"Fix")))</f>
        <v>0</v>
      </c>
      <c r="P696" s="4">
        <f>IF(OR(INDEX($V$2:$V$1001,MATCH(ROWS($U$2:U696),$U$2:$U$1001,0),1)&gt;=100000,INDEX($AB$1005:$AQ$1005,1,MATCH(COLUMNS($AB$1006:AP1006),$AB$1006:$AQ$1006,0))&gt;=100000), " ",IF(INDEX($AB$2:$AQ$1001,MATCH(ROWS($U$2:U696),$U$2:$U$1001,0),MATCH(COLUMNS($AB$1006:AP1006),$AB$1006:$AQ$1006,0)), HYPERLINK("#",""), HYPERLINK(CONCATENATE("#metadata!", ADDRESS(INDEX($W$2:$W$1001,MATCH(ROWS($U$2:U696),$U$2:$U$1001,0),0), INDEX($AB$1004:$AQ$1004,1,MATCH(COLUMNS($AB$1006:AP1006),$AB$1006:$AQ$1006,0)))),"Fix")))</f>
        <v>0</v>
      </c>
      <c r="Q696" s="4">
        <f>IF(OR(INDEX($V$2:$V$1001,MATCH(ROWS($U$2:U696),$U$2:$U$1001,0),1)&gt;=100000,INDEX($AB$1005:$AQ$1005,1,MATCH(COLUMNS($AB$1006:AQ1006),$AB$1006:$AQ$1006,0))&gt;=100000), " ",IF(INDEX($AB$2:$AQ$1001,MATCH(ROWS($U$2:U696),$U$2:$U$1001,0),MATCH(COLUMNS($AB$1006:AQ1006),$AB$1006:$AQ$1006,0)), HYPERLINK("#",""), HYPERLINK(CONCATENATE("#metadata!", ADDRESS(INDEX($W$2:$W$1001,MATCH(ROWS($U$2:U696),$U$2:$U$1001,0),0), INDEX($AB$1004:$AQ$1004,1,MATCH(COLUMNS($AB$1006:AQ1006),$AB$1006:$AQ$1006,0)))),"Fix")))</f>
        <v>0</v>
      </c>
      <c r="U696">
        <v>0</v>
      </c>
      <c r="V696">
        <v>0</v>
      </c>
      <c r="W696">
        <v>0</v>
      </c>
      <c r="X696">
        <f>IF(Y696,TRUE,AND(AB696:AQ696))</f>
        <v>0</v>
      </c>
      <c r="Y696">
        <f>COUNTBLANK(metadata!B696:Q696)=COLUMNS(metadata!B696:Q696)</f>
        <v>0</v>
      </c>
      <c r="Z696">
        <v>0</v>
      </c>
      <c r="AB696">
        <f>AND(IF(metadata!B696="",FALSE,TRUE),COUNTIF(metadata!B:B, metadata!B696) = 1,NOT(ISERROR(SUMPRODUCT(SEARCH(MID(metadata!B696,ROW(INDIRECT("1:"&amp;LEN(metadata!B696))), 1),"0123456789abcdefghijklmnopqrstuvwxyzABCDEFGHIJKLMNOPQRSTUVWXYZ.")))))</f>
        <v>0</v>
      </c>
      <c r="AC696">
        <f>OR(AND(IF(metadata!C696="",FALSE,TRUE),OR(exact(metadata!C696,"missing: not collected"),exact(metadata!C696,"missing: not provided"),exact(metadata!C696,"missing: restricted access"))),AND(IF(metadata!C696="",FALSE,TRUE),AND(AND(IFERROR(INT(LEFT(metadata!C696,4))&gt;1900,FALSE),IFERROR(INT(LEFT(metadata!C696,4))&lt;=YEAR(NOW()),FALSE)), OR(MID(metadata!C696,5,1)="", AND(AND(MID(metadata!C696,5,1)="-",IFERROR(INT(MID(metadata!C696,6,1))&gt;=0,FALSE),IFERROR(INT(MID(metadata!C696,6,1))&lt;=1,FALSE),NOT(MID(metadata!C696,7,1)=""),IFERROR(INT(MID(metadata!C696,6,2))&gt;=1,FALSE),IFERROR(INT(MID(metadata!C696,6,2))&lt;=12,FALSE)), OR(MID(metadata!C696,8,1)="", AND(AND(MID(metadata!C696,8,1)="-",IFERROR(INT(MID(metadata!C696,9,1))&gt;=0,FALSE),IFERROR(INT(MID(metadata!C696,9,1))&lt;=3,FALSE),NOT(MID(metadata!C696,10,1)=""),IFERROR(INT(MID(metadata!C696,9,2))&gt;=1,FALSE),IFERROR(INT(MID(metadata!C696,9,2))&lt;=31,FALSE)), OR(MID(metadata!C696,11,1)="", AND(AND(MID(metadata!C696,11,1)=" ",IFERROR(INT(MID(metadata!C696,12,1))&gt;=0,FALSE),IFERROR(INT(MID(metadata!C696,12,1))&lt;=2,FALSE),NOT(MID(metadata!C696,13,1)=""),IFERROR(INT(MID(metadata!C696,12,2))&gt;=0,FALSE),IFERROR(INT(MID(metadata!C696,12,2))&lt;=23,FALSE)), OR(MID(metadata!C696,14,1)="", AND(AND(MID(metadata!C696,14,1)=":",IFERROR(INT(MID(metadata!C696,15,1))&gt;=0,FALSE),IFERROR(INT(MID(metadata!C696,15,1))&lt;=5,FALSE),NOT(MID(metadata!C696,16,1)=""),IFERROR(INT(MID(metadata!C696,15,2))&gt;=0,FALSE),IFERROR(INT(MID(metadata!C696,15,2))&lt;=59,FALSE)), OR(MID(metadata!C696,17,1)="", AND(AND(MID(metadata!C696,17,1)=":",IFERROR(INT(MID(metadata!C696,18,1))&gt;=0,FALSE),IFERROR(INT(MID(metadata!C696,18,1))&lt;=5,FALSE),NOT(MID(metadata!C696,19,1)=""),IFERROR(INT(MID(metadata!C696,18,2))&gt;=0,FALSE),IFERROR(INT(MID(metadata!C696,18,2))&lt;=59,FALSE)), LEN(metadata!C696)&lt;=19)))))))))))))</f>
        <v>0</v>
      </c>
      <c r="AD696">
        <f>IF(metadata!D696="",FALSE,TRUE)</f>
        <v>0</v>
      </c>
      <c r="AE696">
        <f>OR(AND(IF(metadata!E696="",FALSE,TRUE),OR(exact(metadata!E696,"missing: not collected"),exact(metadata!E696,"missing: not provided"))),AND(IF(metadata!E696="",FALSE,TRUE),OR(exact(metadata!E696,"TRUE"),exact(metadata!E696,"FALSE"))))</f>
        <v>0</v>
      </c>
      <c r="AF696">
        <f>IF(metadata!F696="",FALSE,TRUE)</f>
        <v>0</v>
      </c>
      <c r="AG696">
        <f>IF(metadata!G696="",FALSE,TRUE)</f>
        <v>0</v>
      </c>
      <c r="AH696">
        <f>IF(metadata!H696="",FALSE,TRUE)</f>
        <v>0</v>
      </c>
      <c r="AI696">
        <f>OR(AND(IF(metadata!I696="",FALSE,TRUE),OR(exact(metadata!I696,"missing: not collected"),exact(metadata!I696,"missing: not provided"),exact(metadata!I696,"missing: restricted access"))),AND(IF(metadata!I696="",FALSE,TRUE),OR(exact(metadata!I696,"air"),exact(metadata!I696,"built environment"),exact(metadata!I696,"host-associated"),exact(metadata!I696,"human-associated"),exact(metadata!I696,"human-skin"),exact(metadata!I696,"human-oral"),exact(metadata!I696,"human-gut"),exact(metadata!I696,"human-vaginal"),exact(metadata!I696,"microbial mat/biofilm"),exact(metadata!I696,"misc environment"),exact(metadata!I696,"plant-associated"),exact(metadata!I696,"sediment"),exact(metadata!I696,"soil"),exact(metadata!I696,"wastewater/sludge"),exact(metadata!I696,"water"))))</f>
        <v>0</v>
      </c>
      <c r="AJ696">
        <f>IF(metadata!J696="",FALSE,TRUE)</f>
        <v>0</v>
      </c>
      <c r="AK696">
        <f>OR(AND(IF(metadata!K696="",FALSE,TRUE),OR(exact(metadata!K696,"missing: not collected"),exact(metadata!K696,"missing: not provided"),exact(metadata!K696,"missing: restricted access"))),AND(IF(metadata!K696="",FALSE,ISNUMBER(VALUE(metadata!K696))),metadata!K696&gt;=-90.00,metadata!K696&lt;=90.00))</f>
        <v>0</v>
      </c>
      <c r="AL696">
        <f>OR(AND(IF(metadata!L696="",FALSE,TRUE),OR(exact(metadata!L696,"missing: not collected"),exact(metadata!L696,"missing: not provided"),exact(metadata!L696,"missing: restricted access"))),AND(IF(metadata!L696="",FALSE,ISNUMBER(VALUE(metadata!L696))),metadata!L696&gt;=-180.00,metadata!L696&lt;=180.00))</f>
        <v>0</v>
      </c>
      <c r="AM696">
        <f>IF(metadata!M696="",FALSE,TRUE)</f>
        <v>0</v>
      </c>
      <c r="AN696">
        <f>OR(AND(IF(metadata!N696="",FALSE,TRUE),OR(exact(metadata!N696,"missing: not collected"),exact(metadata!N696,"missing: not provided"),exact(metadata!N696,"missing: restricted access"))),AND(IF(metadata!N696="",FALSE,TRUE),OR(exact(metadata!N696,"TRUE"),exact(metadata!N696,"FALSE"))))</f>
        <v>0</v>
      </c>
      <c r="AO696">
        <f>IF(metadata!O696="",FALSE,TRUE)</f>
        <v>0</v>
      </c>
      <c r="AP696">
        <f>OR(AND(IF(metadata!P696="",FALSE,TRUE),OR(exact(metadata!P696,"missing: not collected"),exact(metadata!P696,"missing: not provided"))),AND(IF(metadata!P696="",FALSE,IF(ISERROR(INT(metadata!P696)),FALSE,INT(metadata!P696)=metadata!P696)),metadata!P696&gt;0))</f>
        <v>0</v>
      </c>
      <c r="AQ696">
        <f>IF(metadata!Q696="",FALSE,TRUE)</f>
        <v>0</v>
      </c>
    </row>
    <row r="697" spans="1:43">
      <c r="A697" s="5">
        <f>IF(B697=" "," ",HYPERLINK(CONCATENATE("#metadata!",ADDRESS(INDEX($W$2:$W$1001,MATCH(ROWS($U$2:U697),$U$2:$U$1001,0),0),1)),INDEX($Z$2:$Z$1001,MATCH(ROWS($U$2:U697),$U$2:$U$1001,0),0)))</f>
        <v>0</v>
      </c>
      <c r="B697" s="4">
        <f>IF(OR(INDEX($V$2:$V$1001,MATCH(ROWS($U$2:U697),$U$2:$U$1001,0),1)&gt;=100000,INDEX($AB$1005:$AQ$1005,1,MATCH(COLUMNS($AB$1006:AB1006),$AB$1006:$AQ$1006,0))&gt;=100000), " ",IF(INDEX($AB$2:$AQ$1001,MATCH(ROWS($U$2:U697),$U$2:$U$1001,0),MATCH(COLUMNS($AB$1006:AB1006),$AB$1006:$AQ$1006,0)), HYPERLINK("#",""), HYPERLINK(CONCATENATE("#metadata!", ADDRESS(INDEX($W$2:$W$1001,MATCH(ROWS($U$2:U697),$U$2:$U$1001,0),0), INDEX($AB$1004:$AQ$1004,1,MATCH(COLUMNS($AB$1006:AB1006),$AB$1006:$AQ$1006,0)))),"Fix")))</f>
        <v>0</v>
      </c>
      <c r="C697" s="4">
        <f>IF(OR(INDEX($V$2:$V$1001,MATCH(ROWS($U$2:U697),$U$2:$U$1001,0),1)&gt;=100000,INDEX($AB$1005:$AQ$1005,1,MATCH(COLUMNS($AB$1006:AC1006),$AB$1006:$AQ$1006,0))&gt;=100000), " ",IF(INDEX($AB$2:$AQ$1001,MATCH(ROWS($U$2:U697),$U$2:$U$1001,0),MATCH(COLUMNS($AB$1006:AC1006),$AB$1006:$AQ$1006,0)), HYPERLINK("#",""), HYPERLINK(CONCATENATE("#metadata!", ADDRESS(INDEX($W$2:$W$1001,MATCH(ROWS($U$2:U697),$U$2:$U$1001,0),0), INDEX($AB$1004:$AQ$1004,1,MATCH(COLUMNS($AB$1006:AC1006),$AB$1006:$AQ$1006,0)))),"Fix")))</f>
        <v>0</v>
      </c>
      <c r="D697" s="4">
        <f>IF(OR(INDEX($V$2:$V$1001,MATCH(ROWS($U$2:U697),$U$2:$U$1001,0),1)&gt;=100000,INDEX($AB$1005:$AQ$1005,1,MATCH(COLUMNS($AB$1006:AD1006),$AB$1006:$AQ$1006,0))&gt;=100000), " ",IF(INDEX($AB$2:$AQ$1001,MATCH(ROWS($U$2:U697),$U$2:$U$1001,0),MATCH(COLUMNS($AB$1006:AD1006),$AB$1006:$AQ$1006,0)), HYPERLINK("#",""), HYPERLINK(CONCATENATE("#metadata!", ADDRESS(INDEX($W$2:$W$1001,MATCH(ROWS($U$2:U697),$U$2:$U$1001,0),0), INDEX($AB$1004:$AQ$1004,1,MATCH(COLUMNS($AB$1006:AD1006),$AB$1006:$AQ$1006,0)))),"Fix")))</f>
        <v>0</v>
      </c>
      <c r="E697" s="4">
        <f>IF(OR(INDEX($V$2:$V$1001,MATCH(ROWS($U$2:U697),$U$2:$U$1001,0),1)&gt;=100000,INDEX($AB$1005:$AQ$1005,1,MATCH(COLUMNS($AB$1006:AE1006),$AB$1006:$AQ$1006,0))&gt;=100000), " ",IF(INDEX($AB$2:$AQ$1001,MATCH(ROWS($U$2:U697),$U$2:$U$1001,0),MATCH(COLUMNS($AB$1006:AE1006),$AB$1006:$AQ$1006,0)), HYPERLINK("#",""), HYPERLINK(CONCATENATE("#metadata!", ADDRESS(INDEX($W$2:$W$1001,MATCH(ROWS($U$2:U697),$U$2:$U$1001,0),0), INDEX($AB$1004:$AQ$1004,1,MATCH(COLUMNS($AB$1006:AE1006),$AB$1006:$AQ$1006,0)))),"Fix")))</f>
        <v>0</v>
      </c>
      <c r="F697" s="4">
        <f>IF(OR(INDEX($V$2:$V$1001,MATCH(ROWS($U$2:U697),$U$2:$U$1001,0),1)&gt;=100000,INDEX($AB$1005:$AQ$1005,1,MATCH(COLUMNS($AB$1006:AF1006),$AB$1006:$AQ$1006,0))&gt;=100000), " ",IF(INDEX($AB$2:$AQ$1001,MATCH(ROWS($U$2:U697),$U$2:$U$1001,0),MATCH(COLUMNS($AB$1006:AF1006),$AB$1006:$AQ$1006,0)), HYPERLINK("#",""), HYPERLINK(CONCATENATE("#metadata!", ADDRESS(INDEX($W$2:$W$1001,MATCH(ROWS($U$2:U697),$U$2:$U$1001,0),0), INDEX($AB$1004:$AQ$1004,1,MATCH(COLUMNS($AB$1006:AF1006),$AB$1006:$AQ$1006,0)))),"Fix")))</f>
        <v>0</v>
      </c>
      <c r="G697" s="4">
        <f>IF(OR(INDEX($V$2:$V$1001,MATCH(ROWS($U$2:U697),$U$2:$U$1001,0),1)&gt;=100000,INDEX($AB$1005:$AQ$1005,1,MATCH(COLUMNS($AB$1006:AG1006),$AB$1006:$AQ$1006,0))&gt;=100000), " ",IF(INDEX($AB$2:$AQ$1001,MATCH(ROWS($U$2:U697),$U$2:$U$1001,0),MATCH(COLUMNS($AB$1006:AG1006),$AB$1006:$AQ$1006,0)), HYPERLINK("#",""), HYPERLINK(CONCATENATE("#metadata!", ADDRESS(INDEX($W$2:$W$1001,MATCH(ROWS($U$2:U697),$U$2:$U$1001,0),0), INDEX($AB$1004:$AQ$1004,1,MATCH(COLUMNS($AB$1006:AG1006),$AB$1006:$AQ$1006,0)))),"Fix")))</f>
        <v>0</v>
      </c>
      <c r="H697" s="4">
        <f>IF(OR(INDEX($V$2:$V$1001,MATCH(ROWS($U$2:U697),$U$2:$U$1001,0),1)&gt;=100000,INDEX($AB$1005:$AQ$1005,1,MATCH(COLUMNS($AB$1006:AH1006),$AB$1006:$AQ$1006,0))&gt;=100000), " ",IF(INDEX($AB$2:$AQ$1001,MATCH(ROWS($U$2:U697),$U$2:$U$1001,0),MATCH(COLUMNS($AB$1006:AH1006),$AB$1006:$AQ$1006,0)), HYPERLINK("#",""), HYPERLINK(CONCATENATE("#metadata!", ADDRESS(INDEX($W$2:$W$1001,MATCH(ROWS($U$2:U697),$U$2:$U$1001,0),0), INDEX($AB$1004:$AQ$1004,1,MATCH(COLUMNS($AB$1006:AH1006),$AB$1006:$AQ$1006,0)))),"Fix")))</f>
        <v>0</v>
      </c>
      <c r="I697" s="4">
        <f>IF(OR(INDEX($V$2:$V$1001,MATCH(ROWS($U$2:U697),$U$2:$U$1001,0),1)&gt;=100000,INDEX($AB$1005:$AQ$1005,1,MATCH(COLUMNS($AB$1006:AI1006),$AB$1006:$AQ$1006,0))&gt;=100000), " ",IF(INDEX($AB$2:$AQ$1001,MATCH(ROWS($U$2:U697),$U$2:$U$1001,0),MATCH(COLUMNS($AB$1006:AI1006),$AB$1006:$AQ$1006,0)), HYPERLINK("#",""), HYPERLINK(CONCATENATE("#metadata!", ADDRESS(INDEX($W$2:$W$1001,MATCH(ROWS($U$2:U697),$U$2:$U$1001,0),0), INDEX($AB$1004:$AQ$1004,1,MATCH(COLUMNS($AB$1006:AI1006),$AB$1006:$AQ$1006,0)))),"Fix")))</f>
        <v>0</v>
      </c>
      <c r="J697" s="4">
        <f>IF(OR(INDEX($V$2:$V$1001,MATCH(ROWS($U$2:U697),$U$2:$U$1001,0),1)&gt;=100000,INDEX($AB$1005:$AQ$1005,1,MATCH(COLUMNS($AB$1006:AJ1006),$AB$1006:$AQ$1006,0))&gt;=100000), " ",IF(INDEX($AB$2:$AQ$1001,MATCH(ROWS($U$2:U697),$U$2:$U$1001,0),MATCH(COLUMNS($AB$1006:AJ1006),$AB$1006:$AQ$1006,0)), HYPERLINK("#",""), HYPERLINK(CONCATENATE("#metadata!", ADDRESS(INDEX($W$2:$W$1001,MATCH(ROWS($U$2:U697),$U$2:$U$1001,0),0), INDEX($AB$1004:$AQ$1004,1,MATCH(COLUMNS($AB$1006:AJ1006),$AB$1006:$AQ$1006,0)))),"Fix")))</f>
        <v>0</v>
      </c>
      <c r="K697" s="4">
        <f>IF(OR(INDEX($V$2:$V$1001,MATCH(ROWS($U$2:U697),$U$2:$U$1001,0),1)&gt;=100000,INDEX($AB$1005:$AQ$1005,1,MATCH(COLUMNS($AB$1006:AK1006),$AB$1006:$AQ$1006,0))&gt;=100000), " ",IF(INDEX($AB$2:$AQ$1001,MATCH(ROWS($U$2:U697),$U$2:$U$1001,0),MATCH(COLUMNS($AB$1006:AK1006),$AB$1006:$AQ$1006,0)), HYPERLINK("#",""), HYPERLINK(CONCATENATE("#metadata!", ADDRESS(INDEX($W$2:$W$1001,MATCH(ROWS($U$2:U697),$U$2:$U$1001,0),0), INDEX($AB$1004:$AQ$1004,1,MATCH(COLUMNS($AB$1006:AK1006),$AB$1006:$AQ$1006,0)))),"Fix")))</f>
        <v>0</v>
      </c>
      <c r="L697" s="4">
        <f>IF(OR(INDEX($V$2:$V$1001,MATCH(ROWS($U$2:U697),$U$2:$U$1001,0),1)&gt;=100000,INDEX($AB$1005:$AQ$1005,1,MATCH(COLUMNS($AB$1006:AL1006),$AB$1006:$AQ$1006,0))&gt;=100000), " ",IF(INDEX($AB$2:$AQ$1001,MATCH(ROWS($U$2:U697),$U$2:$U$1001,0),MATCH(COLUMNS($AB$1006:AL1006),$AB$1006:$AQ$1006,0)), HYPERLINK("#",""), HYPERLINK(CONCATENATE("#metadata!", ADDRESS(INDEX($W$2:$W$1001,MATCH(ROWS($U$2:U697),$U$2:$U$1001,0),0), INDEX($AB$1004:$AQ$1004,1,MATCH(COLUMNS($AB$1006:AL1006),$AB$1006:$AQ$1006,0)))),"Fix")))</f>
        <v>0</v>
      </c>
      <c r="M697" s="4">
        <f>IF(OR(INDEX($V$2:$V$1001,MATCH(ROWS($U$2:U697),$U$2:$U$1001,0),1)&gt;=100000,INDEX($AB$1005:$AQ$1005,1,MATCH(COLUMNS($AB$1006:AM1006),$AB$1006:$AQ$1006,0))&gt;=100000), " ",IF(INDEX($AB$2:$AQ$1001,MATCH(ROWS($U$2:U697),$U$2:$U$1001,0),MATCH(COLUMNS($AB$1006:AM1006),$AB$1006:$AQ$1006,0)), HYPERLINK("#",""), HYPERLINK(CONCATENATE("#metadata!", ADDRESS(INDEX($W$2:$W$1001,MATCH(ROWS($U$2:U697),$U$2:$U$1001,0),0), INDEX($AB$1004:$AQ$1004,1,MATCH(COLUMNS($AB$1006:AM1006),$AB$1006:$AQ$1006,0)))),"Fix")))</f>
        <v>0</v>
      </c>
      <c r="N697" s="4">
        <f>IF(OR(INDEX($V$2:$V$1001,MATCH(ROWS($U$2:U697),$U$2:$U$1001,0),1)&gt;=100000,INDEX($AB$1005:$AQ$1005,1,MATCH(COLUMNS($AB$1006:AN1006),$AB$1006:$AQ$1006,0))&gt;=100000), " ",IF(INDEX($AB$2:$AQ$1001,MATCH(ROWS($U$2:U697),$U$2:$U$1001,0),MATCH(COLUMNS($AB$1006:AN1006),$AB$1006:$AQ$1006,0)), HYPERLINK("#",""), HYPERLINK(CONCATENATE("#metadata!", ADDRESS(INDEX($W$2:$W$1001,MATCH(ROWS($U$2:U697),$U$2:$U$1001,0),0), INDEX($AB$1004:$AQ$1004,1,MATCH(COLUMNS($AB$1006:AN1006),$AB$1006:$AQ$1006,0)))),"Fix")))</f>
        <v>0</v>
      </c>
      <c r="O697" s="4">
        <f>IF(OR(INDEX($V$2:$V$1001,MATCH(ROWS($U$2:U697),$U$2:$U$1001,0),1)&gt;=100000,INDEX($AB$1005:$AQ$1005,1,MATCH(COLUMNS($AB$1006:AO1006),$AB$1006:$AQ$1006,0))&gt;=100000), " ",IF(INDEX($AB$2:$AQ$1001,MATCH(ROWS($U$2:U697),$U$2:$U$1001,0),MATCH(COLUMNS($AB$1006:AO1006),$AB$1006:$AQ$1006,0)), HYPERLINK("#",""), HYPERLINK(CONCATENATE("#metadata!", ADDRESS(INDEX($W$2:$W$1001,MATCH(ROWS($U$2:U697),$U$2:$U$1001,0),0), INDEX($AB$1004:$AQ$1004,1,MATCH(COLUMNS($AB$1006:AO1006),$AB$1006:$AQ$1006,0)))),"Fix")))</f>
        <v>0</v>
      </c>
      <c r="P697" s="4">
        <f>IF(OR(INDEX($V$2:$V$1001,MATCH(ROWS($U$2:U697),$U$2:$U$1001,0),1)&gt;=100000,INDEX($AB$1005:$AQ$1005,1,MATCH(COLUMNS($AB$1006:AP1006),$AB$1006:$AQ$1006,0))&gt;=100000), " ",IF(INDEX($AB$2:$AQ$1001,MATCH(ROWS($U$2:U697),$U$2:$U$1001,0),MATCH(COLUMNS($AB$1006:AP1006),$AB$1006:$AQ$1006,0)), HYPERLINK("#",""), HYPERLINK(CONCATENATE("#metadata!", ADDRESS(INDEX($W$2:$W$1001,MATCH(ROWS($U$2:U697),$U$2:$U$1001,0),0), INDEX($AB$1004:$AQ$1004,1,MATCH(COLUMNS($AB$1006:AP1006),$AB$1006:$AQ$1006,0)))),"Fix")))</f>
        <v>0</v>
      </c>
      <c r="Q697" s="4">
        <f>IF(OR(INDEX($V$2:$V$1001,MATCH(ROWS($U$2:U697),$U$2:$U$1001,0),1)&gt;=100000,INDEX($AB$1005:$AQ$1005,1,MATCH(COLUMNS($AB$1006:AQ1006),$AB$1006:$AQ$1006,0))&gt;=100000), " ",IF(INDEX($AB$2:$AQ$1001,MATCH(ROWS($U$2:U697),$U$2:$U$1001,0),MATCH(COLUMNS($AB$1006:AQ1006),$AB$1006:$AQ$1006,0)), HYPERLINK("#",""), HYPERLINK(CONCATENATE("#metadata!", ADDRESS(INDEX($W$2:$W$1001,MATCH(ROWS($U$2:U697),$U$2:$U$1001,0),0), INDEX($AB$1004:$AQ$1004,1,MATCH(COLUMNS($AB$1006:AQ1006),$AB$1006:$AQ$1006,0)))),"Fix")))</f>
        <v>0</v>
      </c>
      <c r="U697">
        <v>0</v>
      </c>
      <c r="V697">
        <v>0</v>
      </c>
      <c r="W697">
        <v>0</v>
      </c>
      <c r="X697">
        <f>IF(Y697,TRUE,AND(AB697:AQ697))</f>
        <v>0</v>
      </c>
      <c r="Y697">
        <f>COUNTBLANK(metadata!B697:Q697)=COLUMNS(metadata!B697:Q697)</f>
        <v>0</v>
      </c>
      <c r="Z697">
        <v>0</v>
      </c>
      <c r="AB697">
        <f>AND(IF(metadata!B697="",FALSE,TRUE),COUNTIF(metadata!B:B, metadata!B697) = 1,NOT(ISERROR(SUMPRODUCT(SEARCH(MID(metadata!B697,ROW(INDIRECT("1:"&amp;LEN(metadata!B697))), 1),"0123456789abcdefghijklmnopqrstuvwxyzABCDEFGHIJKLMNOPQRSTUVWXYZ.")))))</f>
        <v>0</v>
      </c>
      <c r="AC697">
        <f>OR(AND(IF(metadata!C697="",FALSE,TRUE),OR(exact(metadata!C697,"missing: not collected"),exact(metadata!C697,"missing: not provided"),exact(metadata!C697,"missing: restricted access"))),AND(IF(metadata!C697="",FALSE,TRUE),AND(AND(IFERROR(INT(LEFT(metadata!C697,4))&gt;1900,FALSE),IFERROR(INT(LEFT(metadata!C697,4))&lt;=YEAR(NOW()),FALSE)), OR(MID(metadata!C697,5,1)="", AND(AND(MID(metadata!C697,5,1)="-",IFERROR(INT(MID(metadata!C697,6,1))&gt;=0,FALSE),IFERROR(INT(MID(metadata!C697,6,1))&lt;=1,FALSE),NOT(MID(metadata!C697,7,1)=""),IFERROR(INT(MID(metadata!C697,6,2))&gt;=1,FALSE),IFERROR(INT(MID(metadata!C697,6,2))&lt;=12,FALSE)), OR(MID(metadata!C697,8,1)="", AND(AND(MID(metadata!C697,8,1)="-",IFERROR(INT(MID(metadata!C697,9,1))&gt;=0,FALSE),IFERROR(INT(MID(metadata!C697,9,1))&lt;=3,FALSE),NOT(MID(metadata!C697,10,1)=""),IFERROR(INT(MID(metadata!C697,9,2))&gt;=1,FALSE),IFERROR(INT(MID(metadata!C697,9,2))&lt;=31,FALSE)), OR(MID(metadata!C697,11,1)="", AND(AND(MID(metadata!C697,11,1)=" ",IFERROR(INT(MID(metadata!C697,12,1))&gt;=0,FALSE),IFERROR(INT(MID(metadata!C697,12,1))&lt;=2,FALSE),NOT(MID(metadata!C697,13,1)=""),IFERROR(INT(MID(metadata!C697,12,2))&gt;=0,FALSE),IFERROR(INT(MID(metadata!C697,12,2))&lt;=23,FALSE)), OR(MID(metadata!C697,14,1)="", AND(AND(MID(metadata!C697,14,1)=":",IFERROR(INT(MID(metadata!C697,15,1))&gt;=0,FALSE),IFERROR(INT(MID(metadata!C697,15,1))&lt;=5,FALSE),NOT(MID(metadata!C697,16,1)=""),IFERROR(INT(MID(metadata!C697,15,2))&gt;=0,FALSE),IFERROR(INT(MID(metadata!C697,15,2))&lt;=59,FALSE)), OR(MID(metadata!C697,17,1)="", AND(AND(MID(metadata!C697,17,1)=":",IFERROR(INT(MID(metadata!C697,18,1))&gt;=0,FALSE),IFERROR(INT(MID(metadata!C697,18,1))&lt;=5,FALSE),NOT(MID(metadata!C697,19,1)=""),IFERROR(INT(MID(metadata!C697,18,2))&gt;=0,FALSE),IFERROR(INT(MID(metadata!C697,18,2))&lt;=59,FALSE)), LEN(metadata!C697)&lt;=19)))))))))))))</f>
        <v>0</v>
      </c>
      <c r="AD697">
        <f>IF(metadata!D697="",FALSE,TRUE)</f>
        <v>0</v>
      </c>
      <c r="AE697">
        <f>OR(AND(IF(metadata!E697="",FALSE,TRUE),OR(exact(metadata!E697,"missing: not collected"),exact(metadata!E697,"missing: not provided"))),AND(IF(metadata!E697="",FALSE,TRUE),OR(exact(metadata!E697,"TRUE"),exact(metadata!E697,"FALSE"))))</f>
        <v>0</v>
      </c>
      <c r="AF697">
        <f>IF(metadata!F697="",FALSE,TRUE)</f>
        <v>0</v>
      </c>
      <c r="AG697">
        <f>IF(metadata!G697="",FALSE,TRUE)</f>
        <v>0</v>
      </c>
      <c r="AH697">
        <f>IF(metadata!H697="",FALSE,TRUE)</f>
        <v>0</v>
      </c>
      <c r="AI697">
        <f>OR(AND(IF(metadata!I697="",FALSE,TRUE),OR(exact(metadata!I697,"missing: not collected"),exact(metadata!I697,"missing: not provided"),exact(metadata!I697,"missing: restricted access"))),AND(IF(metadata!I697="",FALSE,TRUE),OR(exact(metadata!I697,"air"),exact(metadata!I697,"built environment"),exact(metadata!I697,"host-associated"),exact(metadata!I697,"human-associated"),exact(metadata!I697,"human-skin"),exact(metadata!I697,"human-oral"),exact(metadata!I697,"human-gut"),exact(metadata!I697,"human-vaginal"),exact(metadata!I697,"microbial mat/biofilm"),exact(metadata!I697,"misc environment"),exact(metadata!I697,"plant-associated"),exact(metadata!I697,"sediment"),exact(metadata!I697,"soil"),exact(metadata!I697,"wastewater/sludge"),exact(metadata!I697,"water"))))</f>
        <v>0</v>
      </c>
      <c r="AJ697">
        <f>IF(metadata!J697="",FALSE,TRUE)</f>
        <v>0</v>
      </c>
      <c r="AK697">
        <f>OR(AND(IF(metadata!K697="",FALSE,TRUE),OR(exact(metadata!K697,"missing: not collected"),exact(metadata!K697,"missing: not provided"),exact(metadata!K697,"missing: restricted access"))),AND(IF(metadata!K697="",FALSE,ISNUMBER(VALUE(metadata!K697))),metadata!K697&gt;=-90.00,metadata!K697&lt;=90.00))</f>
        <v>0</v>
      </c>
      <c r="AL697">
        <f>OR(AND(IF(metadata!L697="",FALSE,TRUE),OR(exact(metadata!L697,"missing: not collected"),exact(metadata!L697,"missing: not provided"),exact(metadata!L697,"missing: restricted access"))),AND(IF(metadata!L697="",FALSE,ISNUMBER(VALUE(metadata!L697))),metadata!L697&gt;=-180.00,metadata!L697&lt;=180.00))</f>
        <v>0</v>
      </c>
      <c r="AM697">
        <f>IF(metadata!M697="",FALSE,TRUE)</f>
        <v>0</v>
      </c>
      <c r="AN697">
        <f>OR(AND(IF(metadata!N697="",FALSE,TRUE),OR(exact(metadata!N697,"missing: not collected"),exact(metadata!N697,"missing: not provided"),exact(metadata!N697,"missing: restricted access"))),AND(IF(metadata!N697="",FALSE,TRUE),OR(exact(metadata!N697,"TRUE"),exact(metadata!N697,"FALSE"))))</f>
        <v>0</v>
      </c>
      <c r="AO697">
        <f>IF(metadata!O697="",FALSE,TRUE)</f>
        <v>0</v>
      </c>
      <c r="AP697">
        <f>OR(AND(IF(metadata!P697="",FALSE,TRUE),OR(exact(metadata!P697,"missing: not collected"),exact(metadata!P697,"missing: not provided"))),AND(IF(metadata!P697="",FALSE,IF(ISERROR(INT(metadata!P697)),FALSE,INT(metadata!P697)=metadata!P697)),metadata!P697&gt;0))</f>
        <v>0</v>
      </c>
      <c r="AQ697">
        <f>IF(metadata!Q697="",FALSE,TRUE)</f>
        <v>0</v>
      </c>
    </row>
    <row r="698" spans="1:43">
      <c r="A698" s="5">
        <f>IF(B698=" "," ",HYPERLINK(CONCATENATE("#metadata!",ADDRESS(INDEX($W$2:$W$1001,MATCH(ROWS($U$2:U698),$U$2:$U$1001,0),0),1)),INDEX($Z$2:$Z$1001,MATCH(ROWS($U$2:U698),$U$2:$U$1001,0),0)))</f>
        <v>0</v>
      </c>
      <c r="B698" s="4">
        <f>IF(OR(INDEX($V$2:$V$1001,MATCH(ROWS($U$2:U698),$U$2:$U$1001,0),1)&gt;=100000,INDEX($AB$1005:$AQ$1005,1,MATCH(COLUMNS($AB$1006:AB1006),$AB$1006:$AQ$1006,0))&gt;=100000), " ",IF(INDEX($AB$2:$AQ$1001,MATCH(ROWS($U$2:U698),$U$2:$U$1001,0),MATCH(COLUMNS($AB$1006:AB1006),$AB$1006:$AQ$1006,0)), HYPERLINK("#",""), HYPERLINK(CONCATENATE("#metadata!", ADDRESS(INDEX($W$2:$W$1001,MATCH(ROWS($U$2:U698),$U$2:$U$1001,0),0), INDEX($AB$1004:$AQ$1004,1,MATCH(COLUMNS($AB$1006:AB1006),$AB$1006:$AQ$1006,0)))),"Fix")))</f>
        <v>0</v>
      </c>
      <c r="C698" s="4">
        <f>IF(OR(INDEX($V$2:$V$1001,MATCH(ROWS($U$2:U698),$U$2:$U$1001,0),1)&gt;=100000,INDEX($AB$1005:$AQ$1005,1,MATCH(COLUMNS($AB$1006:AC1006),$AB$1006:$AQ$1006,0))&gt;=100000), " ",IF(INDEX($AB$2:$AQ$1001,MATCH(ROWS($U$2:U698),$U$2:$U$1001,0),MATCH(COLUMNS($AB$1006:AC1006),$AB$1006:$AQ$1006,0)), HYPERLINK("#",""), HYPERLINK(CONCATENATE("#metadata!", ADDRESS(INDEX($W$2:$W$1001,MATCH(ROWS($U$2:U698),$U$2:$U$1001,0),0), INDEX($AB$1004:$AQ$1004,1,MATCH(COLUMNS($AB$1006:AC1006),$AB$1006:$AQ$1006,0)))),"Fix")))</f>
        <v>0</v>
      </c>
      <c r="D698" s="4">
        <f>IF(OR(INDEX($V$2:$V$1001,MATCH(ROWS($U$2:U698),$U$2:$U$1001,0),1)&gt;=100000,INDEX($AB$1005:$AQ$1005,1,MATCH(COLUMNS($AB$1006:AD1006),$AB$1006:$AQ$1006,0))&gt;=100000), " ",IF(INDEX($AB$2:$AQ$1001,MATCH(ROWS($U$2:U698),$U$2:$U$1001,0),MATCH(COLUMNS($AB$1006:AD1006),$AB$1006:$AQ$1006,0)), HYPERLINK("#",""), HYPERLINK(CONCATENATE("#metadata!", ADDRESS(INDEX($W$2:$W$1001,MATCH(ROWS($U$2:U698),$U$2:$U$1001,0),0), INDEX($AB$1004:$AQ$1004,1,MATCH(COLUMNS($AB$1006:AD1006),$AB$1006:$AQ$1006,0)))),"Fix")))</f>
        <v>0</v>
      </c>
      <c r="E698" s="4">
        <f>IF(OR(INDEX($V$2:$V$1001,MATCH(ROWS($U$2:U698),$U$2:$U$1001,0),1)&gt;=100000,INDEX($AB$1005:$AQ$1005,1,MATCH(COLUMNS($AB$1006:AE1006),$AB$1006:$AQ$1006,0))&gt;=100000), " ",IF(INDEX($AB$2:$AQ$1001,MATCH(ROWS($U$2:U698),$U$2:$U$1001,0),MATCH(COLUMNS($AB$1006:AE1006),$AB$1006:$AQ$1006,0)), HYPERLINK("#",""), HYPERLINK(CONCATENATE("#metadata!", ADDRESS(INDEX($W$2:$W$1001,MATCH(ROWS($U$2:U698),$U$2:$U$1001,0),0), INDEX($AB$1004:$AQ$1004,1,MATCH(COLUMNS($AB$1006:AE1006),$AB$1006:$AQ$1006,0)))),"Fix")))</f>
        <v>0</v>
      </c>
      <c r="F698" s="4">
        <f>IF(OR(INDEX($V$2:$V$1001,MATCH(ROWS($U$2:U698),$U$2:$U$1001,0),1)&gt;=100000,INDEX($AB$1005:$AQ$1005,1,MATCH(COLUMNS($AB$1006:AF1006),$AB$1006:$AQ$1006,0))&gt;=100000), " ",IF(INDEX($AB$2:$AQ$1001,MATCH(ROWS($U$2:U698),$U$2:$U$1001,0),MATCH(COLUMNS($AB$1006:AF1006),$AB$1006:$AQ$1006,0)), HYPERLINK("#",""), HYPERLINK(CONCATENATE("#metadata!", ADDRESS(INDEX($W$2:$W$1001,MATCH(ROWS($U$2:U698),$U$2:$U$1001,0),0), INDEX($AB$1004:$AQ$1004,1,MATCH(COLUMNS($AB$1006:AF1006),$AB$1006:$AQ$1006,0)))),"Fix")))</f>
        <v>0</v>
      </c>
      <c r="G698" s="4">
        <f>IF(OR(INDEX($V$2:$V$1001,MATCH(ROWS($U$2:U698),$U$2:$U$1001,0),1)&gt;=100000,INDEX($AB$1005:$AQ$1005,1,MATCH(COLUMNS($AB$1006:AG1006),$AB$1006:$AQ$1006,0))&gt;=100000), " ",IF(INDEX($AB$2:$AQ$1001,MATCH(ROWS($U$2:U698),$U$2:$U$1001,0),MATCH(COLUMNS($AB$1006:AG1006),$AB$1006:$AQ$1006,0)), HYPERLINK("#",""), HYPERLINK(CONCATENATE("#metadata!", ADDRESS(INDEX($W$2:$W$1001,MATCH(ROWS($U$2:U698),$U$2:$U$1001,0),0), INDEX($AB$1004:$AQ$1004,1,MATCH(COLUMNS($AB$1006:AG1006),$AB$1006:$AQ$1006,0)))),"Fix")))</f>
        <v>0</v>
      </c>
      <c r="H698" s="4">
        <f>IF(OR(INDEX($V$2:$V$1001,MATCH(ROWS($U$2:U698),$U$2:$U$1001,0),1)&gt;=100000,INDEX($AB$1005:$AQ$1005,1,MATCH(COLUMNS($AB$1006:AH1006),$AB$1006:$AQ$1006,0))&gt;=100000), " ",IF(INDEX($AB$2:$AQ$1001,MATCH(ROWS($U$2:U698),$U$2:$U$1001,0),MATCH(COLUMNS($AB$1006:AH1006),$AB$1006:$AQ$1006,0)), HYPERLINK("#",""), HYPERLINK(CONCATENATE("#metadata!", ADDRESS(INDEX($W$2:$W$1001,MATCH(ROWS($U$2:U698),$U$2:$U$1001,0),0), INDEX($AB$1004:$AQ$1004,1,MATCH(COLUMNS($AB$1006:AH1006),$AB$1006:$AQ$1006,0)))),"Fix")))</f>
        <v>0</v>
      </c>
      <c r="I698" s="4">
        <f>IF(OR(INDEX($V$2:$V$1001,MATCH(ROWS($U$2:U698),$U$2:$U$1001,0),1)&gt;=100000,INDEX($AB$1005:$AQ$1005,1,MATCH(COLUMNS($AB$1006:AI1006),$AB$1006:$AQ$1006,0))&gt;=100000), " ",IF(INDEX($AB$2:$AQ$1001,MATCH(ROWS($U$2:U698),$U$2:$U$1001,0),MATCH(COLUMNS($AB$1006:AI1006),$AB$1006:$AQ$1006,0)), HYPERLINK("#",""), HYPERLINK(CONCATENATE("#metadata!", ADDRESS(INDEX($W$2:$W$1001,MATCH(ROWS($U$2:U698),$U$2:$U$1001,0),0), INDEX($AB$1004:$AQ$1004,1,MATCH(COLUMNS($AB$1006:AI1006),$AB$1006:$AQ$1006,0)))),"Fix")))</f>
        <v>0</v>
      </c>
      <c r="J698" s="4">
        <f>IF(OR(INDEX($V$2:$V$1001,MATCH(ROWS($U$2:U698),$U$2:$U$1001,0),1)&gt;=100000,INDEX($AB$1005:$AQ$1005,1,MATCH(COLUMNS($AB$1006:AJ1006),$AB$1006:$AQ$1006,0))&gt;=100000), " ",IF(INDEX($AB$2:$AQ$1001,MATCH(ROWS($U$2:U698),$U$2:$U$1001,0),MATCH(COLUMNS($AB$1006:AJ1006),$AB$1006:$AQ$1006,0)), HYPERLINK("#",""), HYPERLINK(CONCATENATE("#metadata!", ADDRESS(INDEX($W$2:$W$1001,MATCH(ROWS($U$2:U698),$U$2:$U$1001,0),0), INDEX($AB$1004:$AQ$1004,1,MATCH(COLUMNS($AB$1006:AJ1006),$AB$1006:$AQ$1006,0)))),"Fix")))</f>
        <v>0</v>
      </c>
      <c r="K698" s="4">
        <f>IF(OR(INDEX($V$2:$V$1001,MATCH(ROWS($U$2:U698),$U$2:$U$1001,0),1)&gt;=100000,INDEX($AB$1005:$AQ$1005,1,MATCH(COLUMNS($AB$1006:AK1006),$AB$1006:$AQ$1006,0))&gt;=100000), " ",IF(INDEX($AB$2:$AQ$1001,MATCH(ROWS($U$2:U698),$U$2:$U$1001,0),MATCH(COLUMNS($AB$1006:AK1006),$AB$1006:$AQ$1006,0)), HYPERLINK("#",""), HYPERLINK(CONCATENATE("#metadata!", ADDRESS(INDEX($W$2:$W$1001,MATCH(ROWS($U$2:U698),$U$2:$U$1001,0),0), INDEX($AB$1004:$AQ$1004,1,MATCH(COLUMNS($AB$1006:AK1006),$AB$1006:$AQ$1006,0)))),"Fix")))</f>
        <v>0</v>
      </c>
      <c r="L698" s="4">
        <f>IF(OR(INDEX($V$2:$V$1001,MATCH(ROWS($U$2:U698),$U$2:$U$1001,0),1)&gt;=100000,INDEX($AB$1005:$AQ$1005,1,MATCH(COLUMNS($AB$1006:AL1006),$AB$1006:$AQ$1006,0))&gt;=100000), " ",IF(INDEX($AB$2:$AQ$1001,MATCH(ROWS($U$2:U698),$U$2:$U$1001,0),MATCH(COLUMNS($AB$1006:AL1006),$AB$1006:$AQ$1006,0)), HYPERLINK("#",""), HYPERLINK(CONCATENATE("#metadata!", ADDRESS(INDEX($W$2:$W$1001,MATCH(ROWS($U$2:U698),$U$2:$U$1001,0),0), INDEX($AB$1004:$AQ$1004,1,MATCH(COLUMNS($AB$1006:AL1006),$AB$1006:$AQ$1006,0)))),"Fix")))</f>
        <v>0</v>
      </c>
      <c r="M698" s="4">
        <f>IF(OR(INDEX($V$2:$V$1001,MATCH(ROWS($U$2:U698),$U$2:$U$1001,0),1)&gt;=100000,INDEX($AB$1005:$AQ$1005,1,MATCH(COLUMNS($AB$1006:AM1006),$AB$1006:$AQ$1006,0))&gt;=100000), " ",IF(INDEX($AB$2:$AQ$1001,MATCH(ROWS($U$2:U698),$U$2:$U$1001,0),MATCH(COLUMNS($AB$1006:AM1006),$AB$1006:$AQ$1006,0)), HYPERLINK("#",""), HYPERLINK(CONCATENATE("#metadata!", ADDRESS(INDEX($W$2:$W$1001,MATCH(ROWS($U$2:U698),$U$2:$U$1001,0),0), INDEX($AB$1004:$AQ$1004,1,MATCH(COLUMNS($AB$1006:AM1006),$AB$1006:$AQ$1006,0)))),"Fix")))</f>
        <v>0</v>
      </c>
      <c r="N698" s="4">
        <f>IF(OR(INDEX($V$2:$V$1001,MATCH(ROWS($U$2:U698),$U$2:$U$1001,0),1)&gt;=100000,INDEX($AB$1005:$AQ$1005,1,MATCH(COLUMNS($AB$1006:AN1006),$AB$1006:$AQ$1006,0))&gt;=100000), " ",IF(INDEX($AB$2:$AQ$1001,MATCH(ROWS($U$2:U698),$U$2:$U$1001,0),MATCH(COLUMNS($AB$1006:AN1006),$AB$1006:$AQ$1006,0)), HYPERLINK("#",""), HYPERLINK(CONCATENATE("#metadata!", ADDRESS(INDEX($W$2:$W$1001,MATCH(ROWS($U$2:U698),$U$2:$U$1001,0),0), INDEX($AB$1004:$AQ$1004,1,MATCH(COLUMNS($AB$1006:AN1006),$AB$1006:$AQ$1006,0)))),"Fix")))</f>
        <v>0</v>
      </c>
      <c r="O698" s="4">
        <f>IF(OR(INDEX($V$2:$V$1001,MATCH(ROWS($U$2:U698),$U$2:$U$1001,0),1)&gt;=100000,INDEX($AB$1005:$AQ$1005,1,MATCH(COLUMNS($AB$1006:AO1006),$AB$1006:$AQ$1006,0))&gt;=100000), " ",IF(INDEX($AB$2:$AQ$1001,MATCH(ROWS($U$2:U698),$U$2:$U$1001,0),MATCH(COLUMNS($AB$1006:AO1006),$AB$1006:$AQ$1006,0)), HYPERLINK("#",""), HYPERLINK(CONCATENATE("#metadata!", ADDRESS(INDEX($W$2:$W$1001,MATCH(ROWS($U$2:U698),$U$2:$U$1001,0),0), INDEX($AB$1004:$AQ$1004,1,MATCH(COLUMNS($AB$1006:AO1006),$AB$1006:$AQ$1006,0)))),"Fix")))</f>
        <v>0</v>
      </c>
      <c r="P698" s="4">
        <f>IF(OR(INDEX($V$2:$V$1001,MATCH(ROWS($U$2:U698),$U$2:$U$1001,0),1)&gt;=100000,INDEX($AB$1005:$AQ$1005,1,MATCH(COLUMNS($AB$1006:AP1006),$AB$1006:$AQ$1006,0))&gt;=100000), " ",IF(INDEX($AB$2:$AQ$1001,MATCH(ROWS($U$2:U698),$U$2:$U$1001,0),MATCH(COLUMNS($AB$1006:AP1006),$AB$1006:$AQ$1006,0)), HYPERLINK("#",""), HYPERLINK(CONCATENATE("#metadata!", ADDRESS(INDEX($W$2:$W$1001,MATCH(ROWS($U$2:U698),$U$2:$U$1001,0),0), INDEX($AB$1004:$AQ$1004,1,MATCH(COLUMNS($AB$1006:AP1006),$AB$1006:$AQ$1006,0)))),"Fix")))</f>
        <v>0</v>
      </c>
      <c r="Q698" s="4">
        <f>IF(OR(INDEX($V$2:$V$1001,MATCH(ROWS($U$2:U698),$U$2:$U$1001,0),1)&gt;=100000,INDEX($AB$1005:$AQ$1005,1,MATCH(COLUMNS($AB$1006:AQ1006),$AB$1006:$AQ$1006,0))&gt;=100000), " ",IF(INDEX($AB$2:$AQ$1001,MATCH(ROWS($U$2:U698),$U$2:$U$1001,0),MATCH(COLUMNS($AB$1006:AQ1006),$AB$1006:$AQ$1006,0)), HYPERLINK("#",""), HYPERLINK(CONCATENATE("#metadata!", ADDRESS(INDEX($W$2:$W$1001,MATCH(ROWS($U$2:U698),$U$2:$U$1001,0),0), INDEX($AB$1004:$AQ$1004,1,MATCH(COLUMNS($AB$1006:AQ1006),$AB$1006:$AQ$1006,0)))),"Fix")))</f>
        <v>0</v>
      </c>
      <c r="U698">
        <v>0</v>
      </c>
      <c r="V698">
        <v>0</v>
      </c>
      <c r="W698">
        <v>0</v>
      </c>
      <c r="X698">
        <f>IF(Y698,TRUE,AND(AB698:AQ698))</f>
        <v>0</v>
      </c>
      <c r="Y698">
        <f>COUNTBLANK(metadata!B698:Q698)=COLUMNS(metadata!B698:Q698)</f>
        <v>0</v>
      </c>
      <c r="Z698">
        <v>0</v>
      </c>
      <c r="AB698">
        <f>AND(IF(metadata!B698="",FALSE,TRUE),COUNTIF(metadata!B:B, metadata!B698) = 1,NOT(ISERROR(SUMPRODUCT(SEARCH(MID(metadata!B698,ROW(INDIRECT("1:"&amp;LEN(metadata!B698))), 1),"0123456789abcdefghijklmnopqrstuvwxyzABCDEFGHIJKLMNOPQRSTUVWXYZ.")))))</f>
        <v>0</v>
      </c>
      <c r="AC698">
        <f>OR(AND(IF(metadata!C698="",FALSE,TRUE),OR(exact(metadata!C698,"missing: not collected"),exact(metadata!C698,"missing: not provided"),exact(metadata!C698,"missing: restricted access"))),AND(IF(metadata!C698="",FALSE,TRUE),AND(AND(IFERROR(INT(LEFT(metadata!C698,4))&gt;1900,FALSE),IFERROR(INT(LEFT(metadata!C698,4))&lt;=YEAR(NOW()),FALSE)), OR(MID(metadata!C698,5,1)="", AND(AND(MID(metadata!C698,5,1)="-",IFERROR(INT(MID(metadata!C698,6,1))&gt;=0,FALSE),IFERROR(INT(MID(metadata!C698,6,1))&lt;=1,FALSE),NOT(MID(metadata!C698,7,1)=""),IFERROR(INT(MID(metadata!C698,6,2))&gt;=1,FALSE),IFERROR(INT(MID(metadata!C698,6,2))&lt;=12,FALSE)), OR(MID(metadata!C698,8,1)="", AND(AND(MID(metadata!C698,8,1)="-",IFERROR(INT(MID(metadata!C698,9,1))&gt;=0,FALSE),IFERROR(INT(MID(metadata!C698,9,1))&lt;=3,FALSE),NOT(MID(metadata!C698,10,1)=""),IFERROR(INT(MID(metadata!C698,9,2))&gt;=1,FALSE),IFERROR(INT(MID(metadata!C698,9,2))&lt;=31,FALSE)), OR(MID(metadata!C698,11,1)="", AND(AND(MID(metadata!C698,11,1)=" ",IFERROR(INT(MID(metadata!C698,12,1))&gt;=0,FALSE),IFERROR(INT(MID(metadata!C698,12,1))&lt;=2,FALSE),NOT(MID(metadata!C698,13,1)=""),IFERROR(INT(MID(metadata!C698,12,2))&gt;=0,FALSE),IFERROR(INT(MID(metadata!C698,12,2))&lt;=23,FALSE)), OR(MID(metadata!C698,14,1)="", AND(AND(MID(metadata!C698,14,1)=":",IFERROR(INT(MID(metadata!C698,15,1))&gt;=0,FALSE),IFERROR(INT(MID(metadata!C698,15,1))&lt;=5,FALSE),NOT(MID(metadata!C698,16,1)=""),IFERROR(INT(MID(metadata!C698,15,2))&gt;=0,FALSE),IFERROR(INT(MID(metadata!C698,15,2))&lt;=59,FALSE)), OR(MID(metadata!C698,17,1)="", AND(AND(MID(metadata!C698,17,1)=":",IFERROR(INT(MID(metadata!C698,18,1))&gt;=0,FALSE),IFERROR(INT(MID(metadata!C698,18,1))&lt;=5,FALSE),NOT(MID(metadata!C698,19,1)=""),IFERROR(INT(MID(metadata!C698,18,2))&gt;=0,FALSE),IFERROR(INT(MID(metadata!C698,18,2))&lt;=59,FALSE)), LEN(metadata!C698)&lt;=19)))))))))))))</f>
        <v>0</v>
      </c>
      <c r="AD698">
        <f>IF(metadata!D698="",FALSE,TRUE)</f>
        <v>0</v>
      </c>
      <c r="AE698">
        <f>OR(AND(IF(metadata!E698="",FALSE,TRUE),OR(exact(metadata!E698,"missing: not collected"),exact(metadata!E698,"missing: not provided"))),AND(IF(metadata!E698="",FALSE,TRUE),OR(exact(metadata!E698,"TRUE"),exact(metadata!E698,"FALSE"))))</f>
        <v>0</v>
      </c>
      <c r="AF698">
        <f>IF(metadata!F698="",FALSE,TRUE)</f>
        <v>0</v>
      </c>
      <c r="AG698">
        <f>IF(metadata!G698="",FALSE,TRUE)</f>
        <v>0</v>
      </c>
      <c r="AH698">
        <f>IF(metadata!H698="",FALSE,TRUE)</f>
        <v>0</v>
      </c>
      <c r="AI698">
        <f>OR(AND(IF(metadata!I698="",FALSE,TRUE),OR(exact(metadata!I698,"missing: not collected"),exact(metadata!I698,"missing: not provided"),exact(metadata!I698,"missing: restricted access"))),AND(IF(metadata!I698="",FALSE,TRUE),OR(exact(metadata!I698,"air"),exact(metadata!I698,"built environment"),exact(metadata!I698,"host-associated"),exact(metadata!I698,"human-associated"),exact(metadata!I698,"human-skin"),exact(metadata!I698,"human-oral"),exact(metadata!I698,"human-gut"),exact(metadata!I698,"human-vaginal"),exact(metadata!I698,"microbial mat/biofilm"),exact(metadata!I698,"misc environment"),exact(metadata!I698,"plant-associated"),exact(metadata!I698,"sediment"),exact(metadata!I698,"soil"),exact(metadata!I698,"wastewater/sludge"),exact(metadata!I698,"water"))))</f>
        <v>0</v>
      </c>
      <c r="AJ698">
        <f>IF(metadata!J698="",FALSE,TRUE)</f>
        <v>0</v>
      </c>
      <c r="AK698">
        <f>OR(AND(IF(metadata!K698="",FALSE,TRUE),OR(exact(metadata!K698,"missing: not collected"),exact(metadata!K698,"missing: not provided"),exact(metadata!K698,"missing: restricted access"))),AND(IF(metadata!K698="",FALSE,ISNUMBER(VALUE(metadata!K698))),metadata!K698&gt;=-90.00,metadata!K698&lt;=90.00))</f>
        <v>0</v>
      </c>
      <c r="AL698">
        <f>OR(AND(IF(metadata!L698="",FALSE,TRUE),OR(exact(metadata!L698,"missing: not collected"),exact(metadata!L698,"missing: not provided"),exact(metadata!L698,"missing: restricted access"))),AND(IF(metadata!L698="",FALSE,ISNUMBER(VALUE(metadata!L698))),metadata!L698&gt;=-180.00,metadata!L698&lt;=180.00))</f>
        <v>0</v>
      </c>
      <c r="AM698">
        <f>IF(metadata!M698="",FALSE,TRUE)</f>
        <v>0</v>
      </c>
      <c r="AN698">
        <f>OR(AND(IF(metadata!N698="",FALSE,TRUE),OR(exact(metadata!N698,"missing: not collected"),exact(metadata!N698,"missing: not provided"),exact(metadata!N698,"missing: restricted access"))),AND(IF(metadata!N698="",FALSE,TRUE),OR(exact(metadata!N698,"TRUE"),exact(metadata!N698,"FALSE"))))</f>
        <v>0</v>
      </c>
      <c r="AO698">
        <f>IF(metadata!O698="",FALSE,TRUE)</f>
        <v>0</v>
      </c>
      <c r="AP698">
        <f>OR(AND(IF(metadata!P698="",FALSE,TRUE),OR(exact(metadata!P698,"missing: not collected"),exact(metadata!P698,"missing: not provided"))),AND(IF(metadata!P698="",FALSE,IF(ISERROR(INT(metadata!P698)),FALSE,INT(metadata!P698)=metadata!P698)),metadata!P698&gt;0))</f>
        <v>0</v>
      </c>
      <c r="AQ698">
        <f>IF(metadata!Q698="",FALSE,TRUE)</f>
        <v>0</v>
      </c>
    </row>
    <row r="699" spans="1:43">
      <c r="A699" s="5">
        <f>IF(B699=" "," ",HYPERLINK(CONCATENATE("#metadata!",ADDRESS(INDEX($W$2:$W$1001,MATCH(ROWS($U$2:U699),$U$2:$U$1001,0),0),1)),INDEX($Z$2:$Z$1001,MATCH(ROWS($U$2:U699),$U$2:$U$1001,0),0)))</f>
        <v>0</v>
      </c>
      <c r="B699" s="4">
        <f>IF(OR(INDEX($V$2:$V$1001,MATCH(ROWS($U$2:U699),$U$2:$U$1001,0),1)&gt;=100000,INDEX($AB$1005:$AQ$1005,1,MATCH(COLUMNS($AB$1006:AB1006),$AB$1006:$AQ$1006,0))&gt;=100000), " ",IF(INDEX($AB$2:$AQ$1001,MATCH(ROWS($U$2:U699),$U$2:$U$1001,0),MATCH(COLUMNS($AB$1006:AB1006),$AB$1006:$AQ$1006,0)), HYPERLINK("#",""), HYPERLINK(CONCATENATE("#metadata!", ADDRESS(INDEX($W$2:$W$1001,MATCH(ROWS($U$2:U699),$U$2:$U$1001,0),0), INDEX($AB$1004:$AQ$1004,1,MATCH(COLUMNS($AB$1006:AB1006),$AB$1006:$AQ$1006,0)))),"Fix")))</f>
        <v>0</v>
      </c>
      <c r="C699" s="4">
        <f>IF(OR(INDEX($V$2:$V$1001,MATCH(ROWS($U$2:U699),$U$2:$U$1001,0),1)&gt;=100000,INDEX($AB$1005:$AQ$1005,1,MATCH(COLUMNS($AB$1006:AC1006),$AB$1006:$AQ$1006,0))&gt;=100000), " ",IF(INDEX($AB$2:$AQ$1001,MATCH(ROWS($U$2:U699),$U$2:$U$1001,0),MATCH(COLUMNS($AB$1006:AC1006),$AB$1006:$AQ$1006,0)), HYPERLINK("#",""), HYPERLINK(CONCATENATE("#metadata!", ADDRESS(INDEX($W$2:$W$1001,MATCH(ROWS($U$2:U699),$U$2:$U$1001,0),0), INDEX($AB$1004:$AQ$1004,1,MATCH(COLUMNS($AB$1006:AC1006),$AB$1006:$AQ$1006,0)))),"Fix")))</f>
        <v>0</v>
      </c>
      <c r="D699" s="4">
        <f>IF(OR(INDEX($V$2:$V$1001,MATCH(ROWS($U$2:U699),$U$2:$U$1001,0),1)&gt;=100000,INDEX($AB$1005:$AQ$1005,1,MATCH(COLUMNS($AB$1006:AD1006),$AB$1006:$AQ$1006,0))&gt;=100000), " ",IF(INDEX($AB$2:$AQ$1001,MATCH(ROWS($U$2:U699),$U$2:$U$1001,0),MATCH(COLUMNS($AB$1006:AD1006),$AB$1006:$AQ$1006,0)), HYPERLINK("#",""), HYPERLINK(CONCATENATE("#metadata!", ADDRESS(INDEX($W$2:$W$1001,MATCH(ROWS($U$2:U699),$U$2:$U$1001,0),0), INDEX($AB$1004:$AQ$1004,1,MATCH(COLUMNS($AB$1006:AD1006),$AB$1006:$AQ$1006,0)))),"Fix")))</f>
        <v>0</v>
      </c>
      <c r="E699" s="4">
        <f>IF(OR(INDEX($V$2:$V$1001,MATCH(ROWS($U$2:U699),$U$2:$U$1001,0),1)&gt;=100000,INDEX($AB$1005:$AQ$1005,1,MATCH(COLUMNS($AB$1006:AE1006),$AB$1006:$AQ$1006,0))&gt;=100000), " ",IF(INDEX($AB$2:$AQ$1001,MATCH(ROWS($U$2:U699),$U$2:$U$1001,0),MATCH(COLUMNS($AB$1006:AE1006),$AB$1006:$AQ$1006,0)), HYPERLINK("#",""), HYPERLINK(CONCATENATE("#metadata!", ADDRESS(INDEX($W$2:$W$1001,MATCH(ROWS($U$2:U699),$U$2:$U$1001,0),0), INDEX($AB$1004:$AQ$1004,1,MATCH(COLUMNS($AB$1006:AE1006),$AB$1006:$AQ$1006,0)))),"Fix")))</f>
        <v>0</v>
      </c>
      <c r="F699" s="4">
        <f>IF(OR(INDEX($V$2:$V$1001,MATCH(ROWS($U$2:U699),$U$2:$U$1001,0),1)&gt;=100000,INDEX($AB$1005:$AQ$1005,1,MATCH(COLUMNS($AB$1006:AF1006),$AB$1006:$AQ$1006,0))&gt;=100000), " ",IF(INDEX($AB$2:$AQ$1001,MATCH(ROWS($U$2:U699),$U$2:$U$1001,0),MATCH(COLUMNS($AB$1006:AF1006),$AB$1006:$AQ$1006,0)), HYPERLINK("#",""), HYPERLINK(CONCATENATE("#metadata!", ADDRESS(INDEX($W$2:$W$1001,MATCH(ROWS($U$2:U699),$U$2:$U$1001,0),0), INDEX($AB$1004:$AQ$1004,1,MATCH(COLUMNS($AB$1006:AF1006),$AB$1006:$AQ$1006,0)))),"Fix")))</f>
        <v>0</v>
      </c>
      <c r="G699" s="4">
        <f>IF(OR(INDEX($V$2:$V$1001,MATCH(ROWS($U$2:U699),$U$2:$U$1001,0),1)&gt;=100000,INDEX($AB$1005:$AQ$1005,1,MATCH(COLUMNS($AB$1006:AG1006),$AB$1006:$AQ$1006,0))&gt;=100000), " ",IF(INDEX($AB$2:$AQ$1001,MATCH(ROWS($U$2:U699),$U$2:$U$1001,0),MATCH(COLUMNS($AB$1006:AG1006),$AB$1006:$AQ$1006,0)), HYPERLINK("#",""), HYPERLINK(CONCATENATE("#metadata!", ADDRESS(INDEX($W$2:$W$1001,MATCH(ROWS($U$2:U699),$U$2:$U$1001,0),0), INDEX($AB$1004:$AQ$1004,1,MATCH(COLUMNS($AB$1006:AG1006),$AB$1006:$AQ$1006,0)))),"Fix")))</f>
        <v>0</v>
      </c>
      <c r="H699" s="4">
        <f>IF(OR(INDEX($V$2:$V$1001,MATCH(ROWS($U$2:U699),$U$2:$U$1001,0),1)&gt;=100000,INDEX($AB$1005:$AQ$1005,1,MATCH(COLUMNS($AB$1006:AH1006),$AB$1006:$AQ$1006,0))&gt;=100000), " ",IF(INDEX($AB$2:$AQ$1001,MATCH(ROWS($U$2:U699),$U$2:$U$1001,0),MATCH(COLUMNS($AB$1006:AH1006),$AB$1006:$AQ$1006,0)), HYPERLINK("#",""), HYPERLINK(CONCATENATE("#metadata!", ADDRESS(INDEX($W$2:$W$1001,MATCH(ROWS($U$2:U699),$U$2:$U$1001,0),0), INDEX($AB$1004:$AQ$1004,1,MATCH(COLUMNS($AB$1006:AH1006),$AB$1006:$AQ$1006,0)))),"Fix")))</f>
        <v>0</v>
      </c>
      <c r="I699" s="4">
        <f>IF(OR(INDEX($V$2:$V$1001,MATCH(ROWS($U$2:U699),$U$2:$U$1001,0),1)&gt;=100000,INDEX($AB$1005:$AQ$1005,1,MATCH(COLUMNS($AB$1006:AI1006),$AB$1006:$AQ$1006,0))&gt;=100000), " ",IF(INDEX($AB$2:$AQ$1001,MATCH(ROWS($U$2:U699),$U$2:$U$1001,0),MATCH(COLUMNS($AB$1006:AI1006),$AB$1006:$AQ$1006,0)), HYPERLINK("#",""), HYPERLINK(CONCATENATE("#metadata!", ADDRESS(INDEX($W$2:$W$1001,MATCH(ROWS($U$2:U699),$U$2:$U$1001,0),0), INDEX($AB$1004:$AQ$1004,1,MATCH(COLUMNS($AB$1006:AI1006),$AB$1006:$AQ$1006,0)))),"Fix")))</f>
        <v>0</v>
      </c>
      <c r="J699" s="4">
        <f>IF(OR(INDEX($V$2:$V$1001,MATCH(ROWS($U$2:U699),$U$2:$U$1001,0),1)&gt;=100000,INDEX($AB$1005:$AQ$1005,1,MATCH(COLUMNS($AB$1006:AJ1006),$AB$1006:$AQ$1006,0))&gt;=100000), " ",IF(INDEX($AB$2:$AQ$1001,MATCH(ROWS($U$2:U699),$U$2:$U$1001,0),MATCH(COLUMNS($AB$1006:AJ1006),$AB$1006:$AQ$1006,0)), HYPERLINK("#",""), HYPERLINK(CONCATENATE("#metadata!", ADDRESS(INDEX($W$2:$W$1001,MATCH(ROWS($U$2:U699),$U$2:$U$1001,0),0), INDEX($AB$1004:$AQ$1004,1,MATCH(COLUMNS($AB$1006:AJ1006),$AB$1006:$AQ$1006,0)))),"Fix")))</f>
        <v>0</v>
      </c>
      <c r="K699" s="4">
        <f>IF(OR(INDEX($V$2:$V$1001,MATCH(ROWS($U$2:U699),$U$2:$U$1001,0),1)&gt;=100000,INDEX($AB$1005:$AQ$1005,1,MATCH(COLUMNS($AB$1006:AK1006),$AB$1006:$AQ$1006,0))&gt;=100000), " ",IF(INDEX($AB$2:$AQ$1001,MATCH(ROWS($U$2:U699),$U$2:$U$1001,0),MATCH(COLUMNS($AB$1006:AK1006),$AB$1006:$AQ$1006,0)), HYPERLINK("#",""), HYPERLINK(CONCATENATE("#metadata!", ADDRESS(INDEX($W$2:$W$1001,MATCH(ROWS($U$2:U699),$U$2:$U$1001,0),0), INDEX($AB$1004:$AQ$1004,1,MATCH(COLUMNS($AB$1006:AK1006),$AB$1006:$AQ$1006,0)))),"Fix")))</f>
        <v>0</v>
      </c>
      <c r="L699" s="4">
        <f>IF(OR(INDEX($V$2:$V$1001,MATCH(ROWS($U$2:U699),$U$2:$U$1001,0),1)&gt;=100000,INDEX($AB$1005:$AQ$1005,1,MATCH(COLUMNS($AB$1006:AL1006),$AB$1006:$AQ$1006,0))&gt;=100000), " ",IF(INDEX($AB$2:$AQ$1001,MATCH(ROWS($U$2:U699),$U$2:$U$1001,0),MATCH(COLUMNS($AB$1006:AL1006),$AB$1006:$AQ$1006,0)), HYPERLINK("#",""), HYPERLINK(CONCATENATE("#metadata!", ADDRESS(INDEX($W$2:$W$1001,MATCH(ROWS($U$2:U699),$U$2:$U$1001,0),0), INDEX($AB$1004:$AQ$1004,1,MATCH(COLUMNS($AB$1006:AL1006),$AB$1006:$AQ$1006,0)))),"Fix")))</f>
        <v>0</v>
      </c>
      <c r="M699" s="4">
        <f>IF(OR(INDEX($V$2:$V$1001,MATCH(ROWS($U$2:U699),$U$2:$U$1001,0),1)&gt;=100000,INDEX($AB$1005:$AQ$1005,1,MATCH(COLUMNS($AB$1006:AM1006),$AB$1006:$AQ$1006,0))&gt;=100000), " ",IF(INDEX($AB$2:$AQ$1001,MATCH(ROWS($U$2:U699),$U$2:$U$1001,0),MATCH(COLUMNS($AB$1006:AM1006),$AB$1006:$AQ$1006,0)), HYPERLINK("#",""), HYPERLINK(CONCATENATE("#metadata!", ADDRESS(INDEX($W$2:$W$1001,MATCH(ROWS($U$2:U699),$U$2:$U$1001,0),0), INDEX($AB$1004:$AQ$1004,1,MATCH(COLUMNS($AB$1006:AM1006),$AB$1006:$AQ$1006,0)))),"Fix")))</f>
        <v>0</v>
      </c>
      <c r="N699" s="4">
        <f>IF(OR(INDEX($V$2:$V$1001,MATCH(ROWS($U$2:U699),$U$2:$U$1001,0),1)&gt;=100000,INDEX($AB$1005:$AQ$1005,1,MATCH(COLUMNS($AB$1006:AN1006),$AB$1006:$AQ$1006,0))&gt;=100000), " ",IF(INDEX($AB$2:$AQ$1001,MATCH(ROWS($U$2:U699),$U$2:$U$1001,0),MATCH(COLUMNS($AB$1006:AN1006),$AB$1006:$AQ$1006,0)), HYPERLINK("#",""), HYPERLINK(CONCATENATE("#metadata!", ADDRESS(INDEX($W$2:$W$1001,MATCH(ROWS($U$2:U699),$U$2:$U$1001,0),0), INDEX($AB$1004:$AQ$1004,1,MATCH(COLUMNS($AB$1006:AN1006),$AB$1006:$AQ$1006,0)))),"Fix")))</f>
        <v>0</v>
      </c>
      <c r="O699" s="4">
        <f>IF(OR(INDEX($V$2:$V$1001,MATCH(ROWS($U$2:U699),$U$2:$U$1001,0),1)&gt;=100000,INDEX($AB$1005:$AQ$1005,1,MATCH(COLUMNS($AB$1006:AO1006),$AB$1006:$AQ$1006,0))&gt;=100000), " ",IF(INDEX($AB$2:$AQ$1001,MATCH(ROWS($U$2:U699),$U$2:$U$1001,0),MATCH(COLUMNS($AB$1006:AO1006),$AB$1006:$AQ$1006,0)), HYPERLINK("#",""), HYPERLINK(CONCATENATE("#metadata!", ADDRESS(INDEX($W$2:$W$1001,MATCH(ROWS($U$2:U699),$U$2:$U$1001,0),0), INDEX($AB$1004:$AQ$1004,1,MATCH(COLUMNS($AB$1006:AO1006),$AB$1006:$AQ$1006,0)))),"Fix")))</f>
        <v>0</v>
      </c>
      <c r="P699" s="4">
        <f>IF(OR(INDEX($V$2:$V$1001,MATCH(ROWS($U$2:U699),$U$2:$U$1001,0),1)&gt;=100000,INDEX($AB$1005:$AQ$1005,1,MATCH(COLUMNS($AB$1006:AP1006),$AB$1006:$AQ$1006,0))&gt;=100000), " ",IF(INDEX($AB$2:$AQ$1001,MATCH(ROWS($U$2:U699),$U$2:$U$1001,0),MATCH(COLUMNS($AB$1006:AP1006),$AB$1006:$AQ$1006,0)), HYPERLINK("#",""), HYPERLINK(CONCATENATE("#metadata!", ADDRESS(INDEX($W$2:$W$1001,MATCH(ROWS($U$2:U699),$U$2:$U$1001,0),0), INDEX($AB$1004:$AQ$1004,1,MATCH(COLUMNS($AB$1006:AP1006),$AB$1006:$AQ$1006,0)))),"Fix")))</f>
        <v>0</v>
      </c>
      <c r="Q699" s="4">
        <f>IF(OR(INDEX($V$2:$V$1001,MATCH(ROWS($U$2:U699),$U$2:$U$1001,0),1)&gt;=100000,INDEX($AB$1005:$AQ$1005,1,MATCH(COLUMNS($AB$1006:AQ1006),$AB$1006:$AQ$1006,0))&gt;=100000), " ",IF(INDEX($AB$2:$AQ$1001,MATCH(ROWS($U$2:U699),$U$2:$U$1001,0),MATCH(COLUMNS($AB$1006:AQ1006),$AB$1006:$AQ$1006,0)), HYPERLINK("#",""), HYPERLINK(CONCATENATE("#metadata!", ADDRESS(INDEX($W$2:$W$1001,MATCH(ROWS($U$2:U699),$U$2:$U$1001,0),0), INDEX($AB$1004:$AQ$1004,1,MATCH(COLUMNS($AB$1006:AQ1006),$AB$1006:$AQ$1006,0)))),"Fix")))</f>
        <v>0</v>
      </c>
      <c r="U699">
        <v>0</v>
      </c>
      <c r="V699">
        <v>0</v>
      </c>
      <c r="W699">
        <v>0</v>
      </c>
      <c r="X699">
        <f>IF(Y699,TRUE,AND(AB699:AQ699))</f>
        <v>0</v>
      </c>
      <c r="Y699">
        <f>COUNTBLANK(metadata!B699:Q699)=COLUMNS(metadata!B699:Q699)</f>
        <v>0</v>
      </c>
      <c r="Z699">
        <v>0</v>
      </c>
      <c r="AB699">
        <f>AND(IF(metadata!B699="",FALSE,TRUE),COUNTIF(metadata!B:B, metadata!B699) = 1,NOT(ISERROR(SUMPRODUCT(SEARCH(MID(metadata!B699,ROW(INDIRECT("1:"&amp;LEN(metadata!B699))), 1),"0123456789abcdefghijklmnopqrstuvwxyzABCDEFGHIJKLMNOPQRSTUVWXYZ.")))))</f>
        <v>0</v>
      </c>
      <c r="AC699">
        <f>OR(AND(IF(metadata!C699="",FALSE,TRUE),OR(exact(metadata!C699,"missing: not collected"),exact(metadata!C699,"missing: not provided"),exact(metadata!C699,"missing: restricted access"))),AND(IF(metadata!C699="",FALSE,TRUE),AND(AND(IFERROR(INT(LEFT(metadata!C699,4))&gt;1900,FALSE),IFERROR(INT(LEFT(metadata!C699,4))&lt;=YEAR(NOW()),FALSE)), OR(MID(metadata!C699,5,1)="", AND(AND(MID(metadata!C699,5,1)="-",IFERROR(INT(MID(metadata!C699,6,1))&gt;=0,FALSE),IFERROR(INT(MID(metadata!C699,6,1))&lt;=1,FALSE),NOT(MID(metadata!C699,7,1)=""),IFERROR(INT(MID(metadata!C699,6,2))&gt;=1,FALSE),IFERROR(INT(MID(metadata!C699,6,2))&lt;=12,FALSE)), OR(MID(metadata!C699,8,1)="", AND(AND(MID(metadata!C699,8,1)="-",IFERROR(INT(MID(metadata!C699,9,1))&gt;=0,FALSE),IFERROR(INT(MID(metadata!C699,9,1))&lt;=3,FALSE),NOT(MID(metadata!C699,10,1)=""),IFERROR(INT(MID(metadata!C699,9,2))&gt;=1,FALSE),IFERROR(INT(MID(metadata!C699,9,2))&lt;=31,FALSE)), OR(MID(metadata!C699,11,1)="", AND(AND(MID(metadata!C699,11,1)=" ",IFERROR(INT(MID(metadata!C699,12,1))&gt;=0,FALSE),IFERROR(INT(MID(metadata!C699,12,1))&lt;=2,FALSE),NOT(MID(metadata!C699,13,1)=""),IFERROR(INT(MID(metadata!C699,12,2))&gt;=0,FALSE),IFERROR(INT(MID(metadata!C699,12,2))&lt;=23,FALSE)), OR(MID(metadata!C699,14,1)="", AND(AND(MID(metadata!C699,14,1)=":",IFERROR(INT(MID(metadata!C699,15,1))&gt;=0,FALSE),IFERROR(INT(MID(metadata!C699,15,1))&lt;=5,FALSE),NOT(MID(metadata!C699,16,1)=""),IFERROR(INT(MID(metadata!C699,15,2))&gt;=0,FALSE),IFERROR(INT(MID(metadata!C699,15,2))&lt;=59,FALSE)), OR(MID(metadata!C699,17,1)="", AND(AND(MID(metadata!C699,17,1)=":",IFERROR(INT(MID(metadata!C699,18,1))&gt;=0,FALSE),IFERROR(INT(MID(metadata!C699,18,1))&lt;=5,FALSE),NOT(MID(metadata!C699,19,1)=""),IFERROR(INT(MID(metadata!C699,18,2))&gt;=0,FALSE),IFERROR(INT(MID(metadata!C699,18,2))&lt;=59,FALSE)), LEN(metadata!C699)&lt;=19)))))))))))))</f>
        <v>0</v>
      </c>
      <c r="AD699">
        <f>IF(metadata!D699="",FALSE,TRUE)</f>
        <v>0</v>
      </c>
      <c r="AE699">
        <f>OR(AND(IF(metadata!E699="",FALSE,TRUE),OR(exact(metadata!E699,"missing: not collected"),exact(metadata!E699,"missing: not provided"))),AND(IF(metadata!E699="",FALSE,TRUE),OR(exact(metadata!E699,"TRUE"),exact(metadata!E699,"FALSE"))))</f>
        <v>0</v>
      </c>
      <c r="AF699">
        <f>IF(metadata!F699="",FALSE,TRUE)</f>
        <v>0</v>
      </c>
      <c r="AG699">
        <f>IF(metadata!G699="",FALSE,TRUE)</f>
        <v>0</v>
      </c>
      <c r="AH699">
        <f>IF(metadata!H699="",FALSE,TRUE)</f>
        <v>0</v>
      </c>
      <c r="AI699">
        <f>OR(AND(IF(metadata!I699="",FALSE,TRUE),OR(exact(metadata!I699,"missing: not collected"),exact(metadata!I699,"missing: not provided"),exact(metadata!I699,"missing: restricted access"))),AND(IF(metadata!I699="",FALSE,TRUE),OR(exact(metadata!I699,"air"),exact(metadata!I699,"built environment"),exact(metadata!I699,"host-associated"),exact(metadata!I699,"human-associated"),exact(metadata!I699,"human-skin"),exact(metadata!I699,"human-oral"),exact(metadata!I699,"human-gut"),exact(metadata!I699,"human-vaginal"),exact(metadata!I699,"microbial mat/biofilm"),exact(metadata!I699,"misc environment"),exact(metadata!I699,"plant-associated"),exact(metadata!I699,"sediment"),exact(metadata!I699,"soil"),exact(metadata!I699,"wastewater/sludge"),exact(metadata!I699,"water"))))</f>
        <v>0</v>
      </c>
      <c r="AJ699">
        <f>IF(metadata!J699="",FALSE,TRUE)</f>
        <v>0</v>
      </c>
      <c r="AK699">
        <f>OR(AND(IF(metadata!K699="",FALSE,TRUE),OR(exact(metadata!K699,"missing: not collected"),exact(metadata!K699,"missing: not provided"),exact(metadata!K699,"missing: restricted access"))),AND(IF(metadata!K699="",FALSE,ISNUMBER(VALUE(metadata!K699))),metadata!K699&gt;=-90.00,metadata!K699&lt;=90.00))</f>
        <v>0</v>
      </c>
      <c r="AL699">
        <f>OR(AND(IF(metadata!L699="",FALSE,TRUE),OR(exact(metadata!L699,"missing: not collected"),exact(metadata!L699,"missing: not provided"),exact(metadata!L699,"missing: restricted access"))),AND(IF(metadata!L699="",FALSE,ISNUMBER(VALUE(metadata!L699))),metadata!L699&gt;=-180.00,metadata!L699&lt;=180.00))</f>
        <v>0</v>
      </c>
      <c r="AM699">
        <f>IF(metadata!M699="",FALSE,TRUE)</f>
        <v>0</v>
      </c>
      <c r="AN699">
        <f>OR(AND(IF(metadata!N699="",FALSE,TRUE),OR(exact(metadata!N699,"missing: not collected"),exact(metadata!N699,"missing: not provided"),exact(metadata!N699,"missing: restricted access"))),AND(IF(metadata!N699="",FALSE,TRUE),OR(exact(metadata!N699,"TRUE"),exact(metadata!N699,"FALSE"))))</f>
        <v>0</v>
      </c>
      <c r="AO699">
        <f>IF(metadata!O699="",FALSE,TRUE)</f>
        <v>0</v>
      </c>
      <c r="AP699">
        <f>OR(AND(IF(metadata!P699="",FALSE,TRUE),OR(exact(metadata!P699,"missing: not collected"),exact(metadata!P699,"missing: not provided"))),AND(IF(metadata!P699="",FALSE,IF(ISERROR(INT(metadata!P699)),FALSE,INT(metadata!P699)=metadata!P699)),metadata!P699&gt;0))</f>
        <v>0</v>
      </c>
      <c r="AQ699">
        <f>IF(metadata!Q699="",FALSE,TRUE)</f>
        <v>0</v>
      </c>
    </row>
    <row r="700" spans="1:43">
      <c r="A700" s="5">
        <f>IF(B700=" "," ",HYPERLINK(CONCATENATE("#metadata!",ADDRESS(INDEX($W$2:$W$1001,MATCH(ROWS($U$2:U700),$U$2:$U$1001,0),0),1)),INDEX($Z$2:$Z$1001,MATCH(ROWS($U$2:U700),$U$2:$U$1001,0),0)))</f>
        <v>0</v>
      </c>
      <c r="B700" s="4">
        <f>IF(OR(INDEX($V$2:$V$1001,MATCH(ROWS($U$2:U700),$U$2:$U$1001,0),1)&gt;=100000,INDEX($AB$1005:$AQ$1005,1,MATCH(COLUMNS($AB$1006:AB1006),$AB$1006:$AQ$1006,0))&gt;=100000), " ",IF(INDEX($AB$2:$AQ$1001,MATCH(ROWS($U$2:U700),$U$2:$U$1001,0),MATCH(COLUMNS($AB$1006:AB1006),$AB$1006:$AQ$1006,0)), HYPERLINK("#",""), HYPERLINK(CONCATENATE("#metadata!", ADDRESS(INDEX($W$2:$W$1001,MATCH(ROWS($U$2:U700),$U$2:$U$1001,0),0), INDEX($AB$1004:$AQ$1004,1,MATCH(COLUMNS($AB$1006:AB1006),$AB$1006:$AQ$1006,0)))),"Fix")))</f>
        <v>0</v>
      </c>
      <c r="C700" s="4">
        <f>IF(OR(INDEX($V$2:$V$1001,MATCH(ROWS($U$2:U700),$U$2:$U$1001,0),1)&gt;=100000,INDEX($AB$1005:$AQ$1005,1,MATCH(COLUMNS($AB$1006:AC1006),$AB$1006:$AQ$1006,0))&gt;=100000), " ",IF(INDEX($AB$2:$AQ$1001,MATCH(ROWS($U$2:U700),$U$2:$U$1001,0),MATCH(COLUMNS($AB$1006:AC1006),$AB$1006:$AQ$1006,0)), HYPERLINK("#",""), HYPERLINK(CONCATENATE("#metadata!", ADDRESS(INDEX($W$2:$W$1001,MATCH(ROWS($U$2:U700),$U$2:$U$1001,0),0), INDEX($AB$1004:$AQ$1004,1,MATCH(COLUMNS($AB$1006:AC1006),$AB$1006:$AQ$1006,0)))),"Fix")))</f>
        <v>0</v>
      </c>
      <c r="D700" s="4">
        <f>IF(OR(INDEX($V$2:$V$1001,MATCH(ROWS($U$2:U700),$U$2:$U$1001,0),1)&gt;=100000,INDEX($AB$1005:$AQ$1005,1,MATCH(COLUMNS($AB$1006:AD1006),$AB$1006:$AQ$1006,0))&gt;=100000), " ",IF(INDEX($AB$2:$AQ$1001,MATCH(ROWS($U$2:U700),$U$2:$U$1001,0),MATCH(COLUMNS($AB$1006:AD1006),$AB$1006:$AQ$1006,0)), HYPERLINK("#",""), HYPERLINK(CONCATENATE("#metadata!", ADDRESS(INDEX($W$2:$W$1001,MATCH(ROWS($U$2:U700),$U$2:$U$1001,0),0), INDEX($AB$1004:$AQ$1004,1,MATCH(COLUMNS($AB$1006:AD1006),$AB$1006:$AQ$1006,0)))),"Fix")))</f>
        <v>0</v>
      </c>
      <c r="E700" s="4">
        <f>IF(OR(INDEX($V$2:$V$1001,MATCH(ROWS($U$2:U700),$U$2:$U$1001,0),1)&gt;=100000,INDEX($AB$1005:$AQ$1005,1,MATCH(COLUMNS($AB$1006:AE1006),$AB$1006:$AQ$1006,0))&gt;=100000), " ",IF(INDEX($AB$2:$AQ$1001,MATCH(ROWS($U$2:U700),$U$2:$U$1001,0),MATCH(COLUMNS($AB$1006:AE1006),$AB$1006:$AQ$1006,0)), HYPERLINK("#",""), HYPERLINK(CONCATENATE("#metadata!", ADDRESS(INDEX($W$2:$W$1001,MATCH(ROWS($U$2:U700),$U$2:$U$1001,0),0), INDEX($AB$1004:$AQ$1004,1,MATCH(COLUMNS($AB$1006:AE1006),$AB$1006:$AQ$1006,0)))),"Fix")))</f>
        <v>0</v>
      </c>
      <c r="F700" s="4">
        <f>IF(OR(INDEX($V$2:$V$1001,MATCH(ROWS($U$2:U700),$U$2:$U$1001,0),1)&gt;=100000,INDEX($AB$1005:$AQ$1005,1,MATCH(COLUMNS($AB$1006:AF1006),$AB$1006:$AQ$1006,0))&gt;=100000), " ",IF(INDEX($AB$2:$AQ$1001,MATCH(ROWS($U$2:U700),$U$2:$U$1001,0),MATCH(COLUMNS($AB$1006:AF1006),$AB$1006:$AQ$1006,0)), HYPERLINK("#",""), HYPERLINK(CONCATENATE("#metadata!", ADDRESS(INDEX($W$2:$W$1001,MATCH(ROWS($U$2:U700),$U$2:$U$1001,0),0), INDEX($AB$1004:$AQ$1004,1,MATCH(COLUMNS($AB$1006:AF1006),$AB$1006:$AQ$1006,0)))),"Fix")))</f>
        <v>0</v>
      </c>
      <c r="G700" s="4">
        <f>IF(OR(INDEX($V$2:$V$1001,MATCH(ROWS($U$2:U700),$U$2:$U$1001,0),1)&gt;=100000,INDEX($AB$1005:$AQ$1005,1,MATCH(COLUMNS($AB$1006:AG1006),$AB$1006:$AQ$1006,0))&gt;=100000), " ",IF(INDEX($AB$2:$AQ$1001,MATCH(ROWS($U$2:U700),$U$2:$U$1001,0),MATCH(COLUMNS($AB$1006:AG1006),$AB$1006:$AQ$1006,0)), HYPERLINK("#",""), HYPERLINK(CONCATENATE("#metadata!", ADDRESS(INDEX($W$2:$W$1001,MATCH(ROWS($U$2:U700),$U$2:$U$1001,0),0), INDEX($AB$1004:$AQ$1004,1,MATCH(COLUMNS($AB$1006:AG1006),$AB$1006:$AQ$1006,0)))),"Fix")))</f>
        <v>0</v>
      </c>
      <c r="H700" s="4">
        <f>IF(OR(INDEX($V$2:$V$1001,MATCH(ROWS($U$2:U700),$U$2:$U$1001,0),1)&gt;=100000,INDEX($AB$1005:$AQ$1005,1,MATCH(COLUMNS($AB$1006:AH1006),$AB$1006:$AQ$1006,0))&gt;=100000), " ",IF(INDEX($AB$2:$AQ$1001,MATCH(ROWS($U$2:U700),$U$2:$U$1001,0),MATCH(COLUMNS($AB$1006:AH1006),$AB$1006:$AQ$1006,0)), HYPERLINK("#",""), HYPERLINK(CONCATENATE("#metadata!", ADDRESS(INDEX($W$2:$W$1001,MATCH(ROWS($U$2:U700),$U$2:$U$1001,0),0), INDEX($AB$1004:$AQ$1004,1,MATCH(COLUMNS($AB$1006:AH1006),$AB$1006:$AQ$1006,0)))),"Fix")))</f>
        <v>0</v>
      </c>
      <c r="I700" s="4">
        <f>IF(OR(INDEX($V$2:$V$1001,MATCH(ROWS($U$2:U700),$U$2:$U$1001,0),1)&gt;=100000,INDEX($AB$1005:$AQ$1005,1,MATCH(COLUMNS($AB$1006:AI1006),$AB$1006:$AQ$1006,0))&gt;=100000), " ",IF(INDEX($AB$2:$AQ$1001,MATCH(ROWS($U$2:U700),$U$2:$U$1001,0),MATCH(COLUMNS($AB$1006:AI1006),$AB$1006:$AQ$1006,0)), HYPERLINK("#",""), HYPERLINK(CONCATENATE("#metadata!", ADDRESS(INDEX($W$2:$W$1001,MATCH(ROWS($U$2:U700),$U$2:$U$1001,0),0), INDEX($AB$1004:$AQ$1004,1,MATCH(COLUMNS($AB$1006:AI1006),$AB$1006:$AQ$1006,0)))),"Fix")))</f>
        <v>0</v>
      </c>
      <c r="J700" s="4">
        <f>IF(OR(INDEX($V$2:$V$1001,MATCH(ROWS($U$2:U700),$U$2:$U$1001,0),1)&gt;=100000,INDEX($AB$1005:$AQ$1005,1,MATCH(COLUMNS($AB$1006:AJ1006),$AB$1006:$AQ$1006,0))&gt;=100000), " ",IF(INDEX($AB$2:$AQ$1001,MATCH(ROWS($U$2:U700),$U$2:$U$1001,0),MATCH(COLUMNS($AB$1006:AJ1006),$AB$1006:$AQ$1006,0)), HYPERLINK("#",""), HYPERLINK(CONCATENATE("#metadata!", ADDRESS(INDEX($W$2:$W$1001,MATCH(ROWS($U$2:U700),$U$2:$U$1001,0),0), INDEX($AB$1004:$AQ$1004,1,MATCH(COLUMNS($AB$1006:AJ1006),$AB$1006:$AQ$1006,0)))),"Fix")))</f>
        <v>0</v>
      </c>
      <c r="K700" s="4">
        <f>IF(OR(INDEX($V$2:$V$1001,MATCH(ROWS($U$2:U700),$U$2:$U$1001,0),1)&gt;=100000,INDEX($AB$1005:$AQ$1005,1,MATCH(COLUMNS($AB$1006:AK1006),$AB$1006:$AQ$1006,0))&gt;=100000), " ",IF(INDEX($AB$2:$AQ$1001,MATCH(ROWS($U$2:U700),$U$2:$U$1001,0),MATCH(COLUMNS($AB$1006:AK1006),$AB$1006:$AQ$1006,0)), HYPERLINK("#",""), HYPERLINK(CONCATENATE("#metadata!", ADDRESS(INDEX($W$2:$W$1001,MATCH(ROWS($U$2:U700),$U$2:$U$1001,0),0), INDEX($AB$1004:$AQ$1004,1,MATCH(COLUMNS($AB$1006:AK1006),$AB$1006:$AQ$1006,0)))),"Fix")))</f>
        <v>0</v>
      </c>
      <c r="L700" s="4">
        <f>IF(OR(INDEX($V$2:$V$1001,MATCH(ROWS($U$2:U700),$U$2:$U$1001,0),1)&gt;=100000,INDEX($AB$1005:$AQ$1005,1,MATCH(COLUMNS($AB$1006:AL1006),$AB$1006:$AQ$1006,0))&gt;=100000), " ",IF(INDEX($AB$2:$AQ$1001,MATCH(ROWS($U$2:U700),$U$2:$U$1001,0),MATCH(COLUMNS($AB$1006:AL1006),$AB$1006:$AQ$1006,0)), HYPERLINK("#",""), HYPERLINK(CONCATENATE("#metadata!", ADDRESS(INDEX($W$2:$W$1001,MATCH(ROWS($U$2:U700),$U$2:$U$1001,0),0), INDEX($AB$1004:$AQ$1004,1,MATCH(COLUMNS($AB$1006:AL1006),$AB$1006:$AQ$1006,0)))),"Fix")))</f>
        <v>0</v>
      </c>
      <c r="M700" s="4">
        <f>IF(OR(INDEX($V$2:$V$1001,MATCH(ROWS($U$2:U700),$U$2:$U$1001,0),1)&gt;=100000,INDEX($AB$1005:$AQ$1005,1,MATCH(COLUMNS($AB$1006:AM1006),$AB$1006:$AQ$1006,0))&gt;=100000), " ",IF(INDEX($AB$2:$AQ$1001,MATCH(ROWS($U$2:U700),$U$2:$U$1001,0),MATCH(COLUMNS($AB$1006:AM1006),$AB$1006:$AQ$1006,0)), HYPERLINK("#",""), HYPERLINK(CONCATENATE("#metadata!", ADDRESS(INDEX($W$2:$W$1001,MATCH(ROWS($U$2:U700),$U$2:$U$1001,0),0), INDEX($AB$1004:$AQ$1004,1,MATCH(COLUMNS($AB$1006:AM1006),$AB$1006:$AQ$1006,0)))),"Fix")))</f>
        <v>0</v>
      </c>
      <c r="N700" s="4">
        <f>IF(OR(INDEX($V$2:$V$1001,MATCH(ROWS($U$2:U700),$U$2:$U$1001,0),1)&gt;=100000,INDEX($AB$1005:$AQ$1005,1,MATCH(COLUMNS($AB$1006:AN1006),$AB$1006:$AQ$1006,0))&gt;=100000), " ",IF(INDEX($AB$2:$AQ$1001,MATCH(ROWS($U$2:U700),$U$2:$U$1001,0),MATCH(COLUMNS($AB$1006:AN1006),$AB$1006:$AQ$1006,0)), HYPERLINK("#",""), HYPERLINK(CONCATENATE("#metadata!", ADDRESS(INDEX($W$2:$W$1001,MATCH(ROWS($U$2:U700),$U$2:$U$1001,0),0), INDEX($AB$1004:$AQ$1004,1,MATCH(COLUMNS($AB$1006:AN1006),$AB$1006:$AQ$1006,0)))),"Fix")))</f>
        <v>0</v>
      </c>
      <c r="O700" s="4">
        <f>IF(OR(INDEX($V$2:$V$1001,MATCH(ROWS($U$2:U700),$U$2:$U$1001,0),1)&gt;=100000,INDEX($AB$1005:$AQ$1005,1,MATCH(COLUMNS($AB$1006:AO1006),$AB$1006:$AQ$1006,0))&gt;=100000), " ",IF(INDEX($AB$2:$AQ$1001,MATCH(ROWS($U$2:U700),$U$2:$U$1001,0),MATCH(COLUMNS($AB$1006:AO1006),$AB$1006:$AQ$1006,0)), HYPERLINK("#",""), HYPERLINK(CONCATENATE("#metadata!", ADDRESS(INDEX($W$2:$W$1001,MATCH(ROWS($U$2:U700),$U$2:$U$1001,0),0), INDEX($AB$1004:$AQ$1004,1,MATCH(COLUMNS($AB$1006:AO1006),$AB$1006:$AQ$1006,0)))),"Fix")))</f>
        <v>0</v>
      </c>
      <c r="P700" s="4">
        <f>IF(OR(INDEX($V$2:$V$1001,MATCH(ROWS($U$2:U700),$U$2:$U$1001,0),1)&gt;=100000,INDEX($AB$1005:$AQ$1005,1,MATCH(COLUMNS($AB$1006:AP1006),$AB$1006:$AQ$1006,0))&gt;=100000), " ",IF(INDEX($AB$2:$AQ$1001,MATCH(ROWS($U$2:U700),$U$2:$U$1001,0),MATCH(COLUMNS($AB$1006:AP1006),$AB$1006:$AQ$1006,0)), HYPERLINK("#",""), HYPERLINK(CONCATENATE("#metadata!", ADDRESS(INDEX($W$2:$W$1001,MATCH(ROWS($U$2:U700),$U$2:$U$1001,0),0), INDEX($AB$1004:$AQ$1004,1,MATCH(COLUMNS($AB$1006:AP1006),$AB$1006:$AQ$1006,0)))),"Fix")))</f>
        <v>0</v>
      </c>
      <c r="Q700" s="4">
        <f>IF(OR(INDEX($V$2:$V$1001,MATCH(ROWS($U$2:U700),$U$2:$U$1001,0),1)&gt;=100000,INDEX($AB$1005:$AQ$1005,1,MATCH(COLUMNS($AB$1006:AQ1006),$AB$1006:$AQ$1006,0))&gt;=100000), " ",IF(INDEX($AB$2:$AQ$1001,MATCH(ROWS($U$2:U700),$U$2:$U$1001,0),MATCH(COLUMNS($AB$1006:AQ1006),$AB$1006:$AQ$1006,0)), HYPERLINK("#",""), HYPERLINK(CONCATENATE("#metadata!", ADDRESS(INDEX($W$2:$W$1001,MATCH(ROWS($U$2:U700),$U$2:$U$1001,0),0), INDEX($AB$1004:$AQ$1004,1,MATCH(COLUMNS($AB$1006:AQ1006),$AB$1006:$AQ$1006,0)))),"Fix")))</f>
        <v>0</v>
      </c>
      <c r="U700">
        <v>0</v>
      </c>
      <c r="V700">
        <v>0</v>
      </c>
      <c r="W700">
        <v>0</v>
      </c>
      <c r="X700">
        <f>IF(Y700,TRUE,AND(AB700:AQ700))</f>
        <v>0</v>
      </c>
      <c r="Y700">
        <f>COUNTBLANK(metadata!B700:Q700)=COLUMNS(metadata!B700:Q700)</f>
        <v>0</v>
      </c>
      <c r="Z700">
        <v>0</v>
      </c>
      <c r="AB700">
        <f>AND(IF(metadata!B700="",FALSE,TRUE),COUNTIF(metadata!B:B, metadata!B700) = 1,NOT(ISERROR(SUMPRODUCT(SEARCH(MID(metadata!B700,ROW(INDIRECT("1:"&amp;LEN(metadata!B700))), 1),"0123456789abcdefghijklmnopqrstuvwxyzABCDEFGHIJKLMNOPQRSTUVWXYZ.")))))</f>
        <v>0</v>
      </c>
      <c r="AC700">
        <f>OR(AND(IF(metadata!C700="",FALSE,TRUE),OR(exact(metadata!C700,"missing: not collected"),exact(metadata!C700,"missing: not provided"),exact(metadata!C700,"missing: restricted access"))),AND(IF(metadata!C700="",FALSE,TRUE),AND(AND(IFERROR(INT(LEFT(metadata!C700,4))&gt;1900,FALSE),IFERROR(INT(LEFT(metadata!C700,4))&lt;=YEAR(NOW()),FALSE)), OR(MID(metadata!C700,5,1)="", AND(AND(MID(metadata!C700,5,1)="-",IFERROR(INT(MID(metadata!C700,6,1))&gt;=0,FALSE),IFERROR(INT(MID(metadata!C700,6,1))&lt;=1,FALSE),NOT(MID(metadata!C700,7,1)=""),IFERROR(INT(MID(metadata!C700,6,2))&gt;=1,FALSE),IFERROR(INT(MID(metadata!C700,6,2))&lt;=12,FALSE)), OR(MID(metadata!C700,8,1)="", AND(AND(MID(metadata!C700,8,1)="-",IFERROR(INT(MID(metadata!C700,9,1))&gt;=0,FALSE),IFERROR(INT(MID(metadata!C700,9,1))&lt;=3,FALSE),NOT(MID(metadata!C700,10,1)=""),IFERROR(INT(MID(metadata!C700,9,2))&gt;=1,FALSE),IFERROR(INT(MID(metadata!C700,9,2))&lt;=31,FALSE)), OR(MID(metadata!C700,11,1)="", AND(AND(MID(metadata!C700,11,1)=" ",IFERROR(INT(MID(metadata!C700,12,1))&gt;=0,FALSE),IFERROR(INT(MID(metadata!C700,12,1))&lt;=2,FALSE),NOT(MID(metadata!C700,13,1)=""),IFERROR(INT(MID(metadata!C700,12,2))&gt;=0,FALSE),IFERROR(INT(MID(metadata!C700,12,2))&lt;=23,FALSE)), OR(MID(metadata!C700,14,1)="", AND(AND(MID(metadata!C700,14,1)=":",IFERROR(INT(MID(metadata!C700,15,1))&gt;=0,FALSE),IFERROR(INT(MID(metadata!C700,15,1))&lt;=5,FALSE),NOT(MID(metadata!C700,16,1)=""),IFERROR(INT(MID(metadata!C700,15,2))&gt;=0,FALSE),IFERROR(INT(MID(metadata!C700,15,2))&lt;=59,FALSE)), OR(MID(metadata!C700,17,1)="", AND(AND(MID(metadata!C700,17,1)=":",IFERROR(INT(MID(metadata!C700,18,1))&gt;=0,FALSE),IFERROR(INT(MID(metadata!C700,18,1))&lt;=5,FALSE),NOT(MID(metadata!C700,19,1)=""),IFERROR(INT(MID(metadata!C700,18,2))&gt;=0,FALSE),IFERROR(INT(MID(metadata!C700,18,2))&lt;=59,FALSE)), LEN(metadata!C700)&lt;=19)))))))))))))</f>
        <v>0</v>
      </c>
      <c r="AD700">
        <f>IF(metadata!D700="",FALSE,TRUE)</f>
        <v>0</v>
      </c>
      <c r="AE700">
        <f>OR(AND(IF(metadata!E700="",FALSE,TRUE),OR(exact(metadata!E700,"missing: not collected"),exact(metadata!E700,"missing: not provided"))),AND(IF(metadata!E700="",FALSE,TRUE),OR(exact(metadata!E700,"TRUE"),exact(metadata!E700,"FALSE"))))</f>
        <v>0</v>
      </c>
      <c r="AF700">
        <f>IF(metadata!F700="",FALSE,TRUE)</f>
        <v>0</v>
      </c>
      <c r="AG700">
        <f>IF(metadata!G700="",FALSE,TRUE)</f>
        <v>0</v>
      </c>
      <c r="AH700">
        <f>IF(metadata!H700="",FALSE,TRUE)</f>
        <v>0</v>
      </c>
      <c r="AI700">
        <f>OR(AND(IF(metadata!I700="",FALSE,TRUE),OR(exact(metadata!I700,"missing: not collected"),exact(metadata!I700,"missing: not provided"),exact(metadata!I700,"missing: restricted access"))),AND(IF(metadata!I700="",FALSE,TRUE),OR(exact(metadata!I700,"air"),exact(metadata!I700,"built environment"),exact(metadata!I700,"host-associated"),exact(metadata!I700,"human-associated"),exact(metadata!I700,"human-skin"),exact(metadata!I700,"human-oral"),exact(metadata!I700,"human-gut"),exact(metadata!I700,"human-vaginal"),exact(metadata!I700,"microbial mat/biofilm"),exact(metadata!I700,"misc environment"),exact(metadata!I700,"plant-associated"),exact(metadata!I700,"sediment"),exact(metadata!I700,"soil"),exact(metadata!I700,"wastewater/sludge"),exact(metadata!I700,"water"))))</f>
        <v>0</v>
      </c>
      <c r="AJ700">
        <f>IF(metadata!J700="",FALSE,TRUE)</f>
        <v>0</v>
      </c>
      <c r="AK700">
        <f>OR(AND(IF(metadata!K700="",FALSE,TRUE),OR(exact(metadata!K700,"missing: not collected"),exact(metadata!K700,"missing: not provided"),exact(metadata!K700,"missing: restricted access"))),AND(IF(metadata!K700="",FALSE,ISNUMBER(VALUE(metadata!K700))),metadata!K700&gt;=-90.00,metadata!K700&lt;=90.00))</f>
        <v>0</v>
      </c>
      <c r="AL700">
        <f>OR(AND(IF(metadata!L700="",FALSE,TRUE),OR(exact(metadata!L700,"missing: not collected"),exact(metadata!L700,"missing: not provided"),exact(metadata!L700,"missing: restricted access"))),AND(IF(metadata!L700="",FALSE,ISNUMBER(VALUE(metadata!L700))),metadata!L700&gt;=-180.00,metadata!L700&lt;=180.00))</f>
        <v>0</v>
      </c>
      <c r="AM700">
        <f>IF(metadata!M700="",FALSE,TRUE)</f>
        <v>0</v>
      </c>
      <c r="AN700">
        <f>OR(AND(IF(metadata!N700="",FALSE,TRUE),OR(exact(metadata!N700,"missing: not collected"),exact(metadata!N700,"missing: not provided"),exact(metadata!N700,"missing: restricted access"))),AND(IF(metadata!N700="",FALSE,TRUE),OR(exact(metadata!N700,"TRUE"),exact(metadata!N700,"FALSE"))))</f>
        <v>0</v>
      </c>
      <c r="AO700">
        <f>IF(metadata!O700="",FALSE,TRUE)</f>
        <v>0</v>
      </c>
      <c r="AP700">
        <f>OR(AND(IF(metadata!P700="",FALSE,TRUE),OR(exact(metadata!P700,"missing: not collected"),exact(metadata!P700,"missing: not provided"))),AND(IF(metadata!P700="",FALSE,IF(ISERROR(INT(metadata!P700)),FALSE,INT(metadata!P700)=metadata!P700)),metadata!P700&gt;0))</f>
        <v>0</v>
      </c>
      <c r="AQ700">
        <f>IF(metadata!Q700="",FALSE,TRUE)</f>
        <v>0</v>
      </c>
    </row>
    <row r="701" spans="1:43">
      <c r="A701" s="5">
        <f>IF(B701=" "," ",HYPERLINK(CONCATENATE("#metadata!",ADDRESS(INDEX($W$2:$W$1001,MATCH(ROWS($U$2:U701),$U$2:$U$1001,0),0),1)),INDEX($Z$2:$Z$1001,MATCH(ROWS($U$2:U701),$U$2:$U$1001,0),0)))</f>
        <v>0</v>
      </c>
      <c r="B701" s="4">
        <f>IF(OR(INDEX($V$2:$V$1001,MATCH(ROWS($U$2:U701),$U$2:$U$1001,0),1)&gt;=100000,INDEX($AB$1005:$AQ$1005,1,MATCH(COLUMNS($AB$1006:AB1006),$AB$1006:$AQ$1006,0))&gt;=100000), " ",IF(INDEX($AB$2:$AQ$1001,MATCH(ROWS($U$2:U701),$U$2:$U$1001,0),MATCH(COLUMNS($AB$1006:AB1006),$AB$1006:$AQ$1006,0)), HYPERLINK("#",""), HYPERLINK(CONCATENATE("#metadata!", ADDRESS(INDEX($W$2:$W$1001,MATCH(ROWS($U$2:U701),$U$2:$U$1001,0),0), INDEX($AB$1004:$AQ$1004,1,MATCH(COLUMNS($AB$1006:AB1006),$AB$1006:$AQ$1006,0)))),"Fix")))</f>
        <v>0</v>
      </c>
      <c r="C701" s="4">
        <f>IF(OR(INDEX($V$2:$V$1001,MATCH(ROWS($U$2:U701),$U$2:$U$1001,0),1)&gt;=100000,INDEX($AB$1005:$AQ$1005,1,MATCH(COLUMNS($AB$1006:AC1006),$AB$1006:$AQ$1006,0))&gt;=100000), " ",IF(INDEX($AB$2:$AQ$1001,MATCH(ROWS($U$2:U701),$U$2:$U$1001,0),MATCH(COLUMNS($AB$1006:AC1006),$AB$1006:$AQ$1006,0)), HYPERLINK("#",""), HYPERLINK(CONCATENATE("#metadata!", ADDRESS(INDEX($W$2:$W$1001,MATCH(ROWS($U$2:U701),$U$2:$U$1001,0),0), INDEX($AB$1004:$AQ$1004,1,MATCH(COLUMNS($AB$1006:AC1006),$AB$1006:$AQ$1006,0)))),"Fix")))</f>
        <v>0</v>
      </c>
      <c r="D701" s="4">
        <f>IF(OR(INDEX($V$2:$V$1001,MATCH(ROWS($U$2:U701),$U$2:$U$1001,0),1)&gt;=100000,INDEX($AB$1005:$AQ$1005,1,MATCH(COLUMNS($AB$1006:AD1006),$AB$1006:$AQ$1006,0))&gt;=100000), " ",IF(INDEX($AB$2:$AQ$1001,MATCH(ROWS($U$2:U701),$U$2:$U$1001,0),MATCH(COLUMNS($AB$1006:AD1006),$AB$1006:$AQ$1006,0)), HYPERLINK("#",""), HYPERLINK(CONCATENATE("#metadata!", ADDRESS(INDEX($W$2:$W$1001,MATCH(ROWS($U$2:U701),$U$2:$U$1001,0),0), INDEX($AB$1004:$AQ$1004,1,MATCH(COLUMNS($AB$1006:AD1006),$AB$1006:$AQ$1006,0)))),"Fix")))</f>
        <v>0</v>
      </c>
      <c r="E701" s="4">
        <f>IF(OR(INDEX($V$2:$V$1001,MATCH(ROWS($U$2:U701),$U$2:$U$1001,0),1)&gt;=100000,INDEX($AB$1005:$AQ$1005,1,MATCH(COLUMNS($AB$1006:AE1006),$AB$1006:$AQ$1006,0))&gt;=100000), " ",IF(INDEX($AB$2:$AQ$1001,MATCH(ROWS($U$2:U701),$U$2:$U$1001,0),MATCH(COLUMNS($AB$1006:AE1006),$AB$1006:$AQ$1006,0)), HYPERLINK("#",""), HYPERLINK(CONCATENATE("#metadata!", ADDRESS(INDEX($W$2:$W$1001,MATCH(ROWS($U$2:U701),$U$2:$U$1001,0),0), INDEX($AB$1004:$AQ$1004,1,MATCH(COLUMNS($AB$1006:AE1006),$AB$1006:$AQ$1006,0)))),"Fix")))</f>
        <v>0</v>
      </c>
      <c r="F701" s="4">
        <f>IF(OR(INDEX($V$2:$V$1001,MATCH(ROWS($U$2:U701),$U$2:$U$1001,0),1)&gt;=100000,INDEX($AB$1005:$AQ$1005,1,MATCH(COLUMNS($AB$1006:AF1006),$AB$1006:$AQ$1006,0))&gt;=100000), " ",IF(INDEX($AB$2:$AQ$1001,MATCH(ROWS($U$2:U701),$U$2:$U$1001,0),MATCH(COLUMNS($AB$1006:AF1006),$AB$1006:$AQ$1006,0)), HYPERLINK("#",""), HYPERLINK(CONCATENATE("#metadata!", ADDRESS(INDEX($W$2:$W$1001,MATCH(ROWS($U$2:U701),$U$2:$U$1001,0),0), INDEX($AB$1004:$AQ$1004,1,MATCH(COLUMNS($AB$1006:AF1006),$AB$1006:$AQ$1006,0)))),"Fix")))</f>
        <v>0</v>
      </c>
      <c r="G701" s="4">
        <f>IF(OR(INDEX($V$2:$V$1001,MATCH(ROWS($U$2:U701),$U$2:$U$1001,0),1)&gt;=100000,INDEX($AB$1005:$AQ$1005,1,MATCH(COLUMNS($AB$1006:AG1006),$AB$1006:$AQ$1006,0))&gt;=100000), " ",IF(INDEX($AB$2:$AQ$1001,MATCH(ROWS($U$2:U701),$U$2:$U$1001,0),MATCH(COLUMNS($AB$1006:AG1006),$AB$1006:$AQ$1006,0)), HYPERLINK("#",""), HYPERLINK(CONCATENATE("#metadata!", ADDRESS(INDEX($W$2:$W$1001,MATCH(ROWS($U$2:U701),$U$2:$U$1001,0),0), INDEX($AB$1004:$AQ$1004,1,MATCH(COLUMNS($AB$1006:AG1006),$AB$1006:$AQ$1006,0)))),"Fix")))</f>
        <v>0</v>
      </c>
      <c r="H701" s="4">
        <f>IF(OR(INDEX($V$2:$V$1001,MATCH(ROWS($U$2:U701),$U$2:$U$1001,0),1)&gt;=100000,INDEX($AB$1005:$AQ$1005,1,MATCH(COLUMNS($AB$1006:AH1006),$AB$1006:$AQ$1006,0))&gt;=100000), " ",IF(INDEX($AB$2:$AQ$1001,MATCH(ROWS($U$2:U701),$U$2:$U$1001,0),MATCH(COLUMNS($AB$1006:AH1006),$AB$1006:$AQ$1006,0)), HYPERLINK("#",""), HYPERLINK(CONCATENATE("#metadata!", ADDRESS(INDEX($W$2:$W$1001,MATCH(ROWS($U$2:U701),$U$2:$U$1001,0),0), INDEX($AB$1004:$AQ$1004,1,MATCH(COLUMNS($AB$1006:AH1006),$AB$1006:$AQ$1006,0)))),"Fix")))</f>
        <v>0</v>
      </c>
      <c r="I701" s="4">
        <f>IF(OR(INDEX($V$2:$V$1001,MATCH(ROWS($U$2:U701),$U$2:$U$1001,0),1)&gt;=100000,INDEX($AB$1005:$AQ$1005,1,MATCH(COLUMNS($AB$1006:AI1006),$AB$1006:$AQ$1006,0))&gt;=100000), " ",IF(INDEX($AB$2:$AQ$1001,MATCH(ROWS($U$2:U701),$U$2:$U$1001,0),MATCH(COLUMNS($AB$1006:AI1006),$AB$1006:$AQ$1006,0)), HYPERLINK("#",""), HYPERLINK(CONCATENATE("#metadata!", ADDRESS(INDEX($W$2:$W$1001,MATCH(ROWS($U$2:U701),$U$2:$U$1001,0),0), INDEX($AB$1004:$AQ$1004,1,MATCH(COLUMNS($AB$1006:AI1006),$AB$1006:$AQ$1006,0)))),"Fix")))</f>
        <v>0</v>
      </c>
      <c r="J701" s="4">
        <f>IF(OR(INDEX($V$2:$V$1001,MATCH(ROWS($U$2:U701),$U$2:$U$1001,0),1)&gt;=100000,INDEX($AB$1005:$AQ$1005,1,MATCH(COLUMNS($AB$1006:AJ1006),$AB$1006:$AQ$1006,0))&gt;=100000), " ",IF(INDEX($AB$2:$AQ$1001,MATCH(ROWS($U$2:U701),$U$2:$U$1001,0),MATCH(COLUMNS($AB$1006:AJ1006),$AB$1006:$AQ$1006,0)), HYPERLINK("#",""), HYPERLINK(CONCATENATE("#metadata!", ADDRESS(INDEX($W$2:$W$1001,MATCH(ROWS($U$2:U701),$U$2:$U$1001,0),0), INDEX($AB$1004:$AQ$1004,1,MATCH(COLUMNS($AB$1006:AJ1006),$AB$1006:$AQ$1006,0)))),"Fix")))</f>
        <v>0</v>
      </c>
      <c r="K701" s="4">
        <f>IF(OR(INDEX($V$2:$V$1001,MATCH(ROWS($U$2:U701),$U$2:$U$1001,0),1)&gt;=100000,INDEX($AB$1005:$AQ$1005,1,MATCH(COLUMNS($AB$1006:AK1006),$AB$1006:$AQ$1006,0))&gt;=100000), " ",IF(INDEX($AB$2:$AQ$1001,MATCH(ROWS($U$2:U701),$U$2:$U$1001,0),MATCH(COLUMNS($AB$1006:AK1006),$AB$1006:$AQ$1006,0)), HYPERLINK("#",""), HYPERLINK(CONCATENATE("#metadata!", ADDRESS(INDEX($W$2:$W$1001,MATCH(ROWS($U$2:U701),$U$2:$U$1001,0),0), INDEX($AB$1004:$AQ$1004,1,MATCH(COLUMNS($AB$1006:AK1006),$AB$1006:$AQ$1006,0)))),"Fix")))</f>
        <v>0</v>
      </c>
      <c r="L701" s="4">
        <f>IF(OR(INDEX($V$2:$V$1001,MATCH(ROWS($U$2:U701),$U$2:$U$1001,0),1)&gt;=100000,INDEX($AB$1005:$AQ$1005,1,MATCH(COLUMNS($AB$1006:AL1006),$AB$1006:$AQ$1006,0))&gt;=100000), " ",IF(INDEX($AB$2:$AQ$1001,MATCH(ROWS($U$2:U701),$U$2:$U$1001,0),MATCH(COLUMNS($AB$1006:AL1006),$AB$1006:$AQ$1006,0)), HYPERLINK("#",""), HYPERLINK(CONCATENATE("#metadata!", ADDRESS(INDEX($W$2:$W$1001,MATCH(ROWS($U$2:U701),$U$2:$U$1001,0),0), INDEX($AB$1004:$AQ$1004,1,MATCH(COLUMNS($AB$1006:AL1006),$AB$1006:$AQ$1006,0)))),"Fix")))</f>
        <v>0</v>
      </c>
      <c r="M701" s="4">
        <f>IF(OR(INDEX($V$2:$V$1001,MATCH(ROWS($U$2:U701),$U$2:$U$1001,0),1)&gt;=100000,INDEX($AB$1005:$AQ$1005,1,MATCH(COLUMNS($AB$1006:AM1006),$AB$1006:$AQ$1006,0))&gt;=100000), " ",IF(INDEX($AB$2:$AQ$1001,MATCH(ROWS($U$2:U701),$U$2:$U$1001,0),MATCH(COLUMNS($AB$1006:AM1006),$AB$1006:$AQ$1006,0)), HYPERLINK("#",""), HYPERLINK(CONCATENATE("#metadata!", ADDRESS(INDEX($W$2:$W$1001,MATCH(ROWS($U$2:U701),$U$2:$U$1001,0),0), INDEX($AB$1004:$AQ$1004,1,MATCH(COLUMNS($AB$1006:AM1006),$AB$1006:$AQ$1006,0)))),"Fix")))</f>
        <v>0</v>
      </c>
      <c r="N701" s="4">
        <f>IF(OR(INDEX($V$2:$V$1001,MATCH(ROWS($U$2:U701),$U$2:$U$1001,0),1)&gt;=100000,INDEX($AB$1005:$AQ$1005,1,MATCH(COLUMNS($AB$1006:AN1006),$AB$1006:$AQ$1006,0))&gt;=100000), " ",IF(INDEX($AB$2:$AQ$1001,MATCH(ROWS($U$2:U701),$U$2:$U$1001,0),MATCH(COLUMNS($AB$1006:AN1006),$AB$1006:$AQ$1006,0)), HYPERLINK("#",""), HYPERLINK(CONCATENATE("#metadata!", ADDRESS(INDEX($W$2:$W$1001,MATCH(ROWS($U$2:U701),$U$2:$U$1001,0),0), INDEX($AB$1004:$AQ$1004,1,MATCH(COLUMNS($AB$1006:AN1006),$AB$1006:$AQ$1006,0)))),"Fix")))</f>
        <v>0</v>
      </c>
      <c r="O701" s="4">
        <f>IF(OR(INDEX($V$2:$V$1001,MATCH(ROWS($U$2:U701),$U$2:$U$1001,0),1)&gt;=100000,INDEX($AB$1005:$AQ$1005,1,MATCH(COLUMNS($AB$1006:AO1006),$AB$1006:$AQ$1006,0))&gt;=100000), " ",IF(INDEX($AB$2:$AQ$1001,MATCH(ROWS($U$2:U701),$U$2:$U$1001,0),MATCH(COLUMNS($AB$1006:AO1006),$AB$1006:$AQ$1006,0)), HYPERLINK("#",""), HYPERLINK(CONCATENATE("#metadata!", ADDRESS(INDEX($W$2:$W$1001,MATCH(ROWS($U$2:U701),$U$2:$U$1001,0),0), INDEX($AB$1004:$AQ$1004,1,MATCH(COLUMNS($AB$1006:AO1006),$AB$1006:$AQ$1006,0)))),"Fix")))</f>
        <v>0</v>
      </c>
      <c r="P701" s="4">
        <f>IF(OR(INDEX($V$2:$V$1001,MATCH(ROWS($U$2:U701),$U$2:$U$1001,0),1)&gt;=100000,INDEX($AB$1005:$AQ$1005,1,MATCH(COLUMNS($AB$1006:AP1006),$AB$1006:$AQ$1006,0))&gt;=100000), " ",IF(INDEX($AB$2:$AQ$1001,MATCH(ROWS($U$2:U701),$U$2:$U$1001,0),MATCH(COLUMNS($AB$1006:AP1006),$AB$1006:$AQ$1006,0)), HYPERLINK("#",""), HYPERLINK(CONCATENATE("#metadata!", ADDRESS(INDEX($W$2:$W$1001,MATCH(ROWS($U$2:U701),$U$2:$U$1001,0),0), INDEX($AB$1004:$AQ$1004,1,MATCH(COLUMNS($AB$1006:AP1006),$AB$1006:$AQ$1006,0)))),"Fix")))</f>
        <v>0</v>
      </c>
      <c r="Q701" s="4">
        <f>IF(OR(INDEX($V$2:$V$1001,MATCH(ROWS($U$2:U701),$U$2:$U$1001,0),1)&gt;=100000,INDEX($AB$1005:$AQ$1005,1,MATCH(COLUMNS($AB$1006:AQ1006),$AB$1006:$AQ$1006,0))&gt;=100000), " ",IF(INDEX($AB$2:$AQ$1001,MATCH(ROWS($U$2:U701),$U$2:$U$1001,0),MATCH(COLUMNS($AB$1006:AQ1006),$AB$1006:$AQ$1006,0)), HYPERLINK("#",""), HYPERLINK(CONCATENATE("#metadata!", ADDRESS(INDEX($W$2:$W$1001,MATCH(ROWS($U$2:U701),$U$2:$U$1001,0),0), INDEX($AB$1004:$AQ$1004,1,MATCH(COLUMNS($AB$1006:AQ1006),$AB$1006:$AQ$1006,0)))),"Fix")))</f>
        <v>0</v>
      </c>
      <c r="U701">
        <v>0</v>
      </c>
      <c r="V701">
        <v>0</v>
      </c>
      <c r="W701">
        <v>0</v>
      </c>
      <c r="X701">
        <f>IF(Y701,TRUE,AND(AB701:AQ701))</f>
        <v>0</v>
      </c>
      <c r="Y701">
        <f>COUNTBLANK(metadata!B701:Q701)=COLUMNS(metadata!B701:Q701)</f>
        <v>0</v>
      </c>
      <c r="Z701">
        <v>0</v>
      </c>
      <c r="AB701">
        <f>AND(IF(metadata!B701="",FALSE,TRUE),COUNTIF(metadata!B:B, metadata!B701) = 1,NOT(ISERROR(SUMPRODUCT(SEARCH(MID(metadata!B701,ROW(INDIRECT("1:"&amp;LEN(metadata!B701))), 1),"0123456789abcdefghijklmnopqrstuvwxyzABCDEFGHIJKLMNOPQRSTUVWXYZ.")))))</f>
        <v>0</v>
      </c>
      <c r="AC701">
        <f>OR(AND(IF(metadata!C701="",FALSE,TRUE),OR(exact(metadata!C701,"missing: not collected"),exact(metadata!C701,"missing: not provided"),exact(metadata!C701,"missing: restricted access"))),AND(IF(metadata!C701="",FALSE,TRUE),AND(AND(IFERROR(INT(LEFT(metadata!C701,4))&gt;1900,FALSE),IFERROR(INT(LEFT(metadata!C701,4))&lt;=YEAR(NOW()),FALSE)), OR(MID(metadata!C701,5,1)="", AND(AND(MID(metadata!C701,5,1)="-",IFERROR(INT(MID(metadata!C701,6,1))&gt;=0,FALSE),IFERROR(INT(MID(metadata!C701,6,1))&lt;=1,FALSE),NOT(MID(metadata!C701,7,1)=""),IFERROR(INT(MID(metadata!C701,6,2))&gt;=1,FALSE),IFERROR(INT(MID(metadata!C701,6,2))&lt;=12,FALSE)), OR(MID(metadata!C701,8,1)="", AND(AND(MID(metadata!C701,8,1)="-",IFERROR(INT(MID(metadata!C701,9,1))&gt;=0,FALSE),IFERROR(INT(MID(metadata!C701,9,1))&lt;=3,FALSE),NOT(MID(metadata!C701,10,1)=""),IFERROR(INT(MID(metadata!C701,9,2))&gt;=1,FALSE),IFERROR(INT(MID(metadata!C701,9,2))&lt;=31,FALSE)), OR(MID(metadata!C701,11,1)="", AND(AND(MID(metadata!C701,11,1)=" ",IFERROR(INT(MID(metadata!C701,12,1))&gt;=0,FALSE),IFERROR(INT(MID(metadata!C701,12,1))&lt;=2,FALSE),NOT(MID(metadata!C701,13,1)=""),IFERROR(INT(MID(metadata!C701,12,2))&gt;=0,FALSE),IFERROR(INT(MID(metadata!C701,12,2))&lt;=23,FALSE)), OR(MID(metadata!C701,14,1)="", AND(AND(MID(metadata!C701,14,1)=":",IFERROR(INT(MID(metadata!C701,15,1))&gt;=0,FALSE),IFERROR(INT(MID(metadata!C701,15,1))&lt;=5,FALSE),NOT(MID(metadata!C701,16,1)=""),IFERROR(INT(MID(metadata!C701,15,2))&gt;=0,FALSE),IFERROR(INT(MID(metadata!C701,15,2))&lt;=59,FALSE)), OR(MID(metadata!C701,17,1)="", AND(AND(MID(metadata!C701,17,1)=":",IFERROR(INT(MID(metadata!C701,18,1))&gt;=0,FALSE),IFERROR(INT(MID(metadata!C701,18,1))&lt;=5,FALSE),NOT(MID(metadata!C701,19,1)=""),IFERROR(INT(MID(metadata!C701,18,2))&gt;=0,FALSE),IFERROR(INT(MID(metadata!C701,18,2))&lt;=59,FALSE)), LEN(metadata!C701)&lt;=19)))))))))))))</f>
        <v>0</v>
      </c>
      <c r="AD701">
        <f>IF(metadata!D701="",FALSE,TRUE)</f>
        <v>0</v>
      </c>
      <c r="AE701">
        <f>OR(AND(IF(metadata!E701="",FALSE,TRUE),OR(exact(metadata!E701,"missing: not collected"),exact(metadata!E701,"missing: not provided"))),AND(IF(metadata!E701="",FALSE,TRUE),OR(exact(metadata!E701,"TRUE"),exact(metadata!E701,"FALSE"))))</f>
        <v>0</v>
      </c>
      <c r="AF701">
        <f>IF(metadata!F701="",FALSE,TRUE)</f>
        <v>0</v>
      </c>
      <c r="AG701">
        <f>IF(metadata!G701="",FALSE,TRUE)</f>
        <v>0</v>
      </c>
      <c r="AH701">
        <f>IF(metadata!H701="",FALSE,TRUE)</f>
        <v>0</v>
      </c>
      <c r="AI701">
        <f>OR(AND(IF(metadata!I701="",FALSE,TRUE),OR(exact(metadata!I701,"missing: not collected"),exact(metadata!I701,"missing: not provided"),exact(metadata!I701,"missing: restricted access"))),AND(IF(metadata!I701="",FALSE,TRUE),OR(exact(metadata!I701,"air"),exact(metadata!I701,"built environment"),exact(metadata!I701,"host-associated"),exact(metadata!I701,"human-associated"),exact(metadata!I701,"human-skin"),exact(metadata!I701,"human-oral"),exact(metadata!I701,"human-gut"),exact(metadata!I701,"human-vaginal"),exact(metadata!I701,"microbial mat/biofilm"),exact(metadata!I701,"misc environment"),exact(metadata!I701,"plant-associated"),exact(metadata!I701,"sediment"),exact(metadata!I701,"soil"),exact(metadata!I701,"wastewater/sludge"),exact(metadata!I701,"water"))))</f>
        <v>0</v>
      </c>
      <c r="AJ701">
        <f>IF(metadata!J701="",FALSE,TRUE)</f>
        <v>0</v>
      </c>
      <c r="AK701">
        <f>OR(AND(IF(metadata!K701="",FALSE,TRUE),OR(exact(metadata!K701,"missing: not collected"),exact(metadata!K701,"missing: not provided"),exact(metadata!K701,"missing: restricted access"))),AND(IF(metadata!K701="",FALSE,ISNUMBER(VALUE(metadata!K701))),metadata!K701&gt;=-90.00,metadata!K701&lt;=90.00))</f>
        <v>0</v>
      </c>
      <c r="AL701">
        <f>OR(AND(IF(metadata!L701="",FALSE,TRUE),OR(exact(metadata!L701,"missing: not collected"),exact(metadata!L701,"missing: not provided"),exact(metadata!L701,"missing: restricted access"))),AND(IF(metadata!L701="",FALSE,ISNUMBER(VALUE(metadata!L701))),metadata!L701&gt;=-180.00,metadata!L701&lt;=180.00))</f>
        <v>0</v>
      </c>
      <c r="AM701">
        <f>IF(metadata!M701="",FALSE,TRUE)</f>
        <v>0</v>
      </c>
      <c r="AN701">
        <f>OR(AND(IF(metadata!N701="",FALSE,TRUE),OR(exact(metadata!N701,"missing: not collected"),exact(metadata!N701,"missing: not provided"),exact(metadata!N701,"missing: restricted access"))),AND(IF(metadata!N701="",FALSE,TRUE),OR(exact(metadata!N701,"TRUE"),exact(metadata!N701,"FALSE"))))</f>
        <v>0</v>
      </c>
      <c r="AO701">
        <f>IF(metadata!O701="",FALSE,TRUE)</f>
        <v>0</v>
      </c>
      <c r="AP701">
        <f>OR(AND(IF(metadata!P701="",FALSE,TRUE),OR(exact(metadata!P701,"missing: not collected"),exact(metadata!P701,"missing: not provided"))),AND(IF(metadata!P701="",FALSE,IF(ISERROR(INT(metadata!P701)),FALSE,INT(metadata!P701)=metadata!P701)),metadata!P701&gt;0))</f>
        <v>0</v>
      </c>
      <c r="AQ701">
        <f>IF(metadata!Q701="",FALSE,TRUE)</f>
        <v>0</v>
      </c>
    </row>
    <row r="702" spans="1:43">
      <c r="A702" s="5">
        <f>IF(B702=" "," ",HYPERLINK(CONCATENATE("#metadata!",ADDRESS(INDEX($W$2:$W$1001,MATCH(ROWS($U$2:U702),$U$2:$U$1001,0),0),1)),INDEX($Z$2:$Z$1001,MATCH(ROWS($U$2:U702),$U$2:$U$1001,0),0)))</f>
        <v>0</v>
      </c>
      <c r="B702" s="4">
        <f>IF(OR(INDEX($V$2:$V$1001,MATCH(ROWS($U$2:U702),$U$2:$U$1001,0),1)&gt;=100000,INDEX($AB$1005:$AQ$1005,1,MATCH(COLUMNS($AB$1006:AB1006),$AB$1006:$AQ$1006,0))&gt;=100000), " ",IF(INDEX($AB$2:$AQ$1001,MATCH(ROWS($U$2:U702),$U$2:$U$1001,0),MATCH(COLUMNS($AB$1006:AB1006),$AB$1006:$AQ$1006,0)), HYPERLINK("#",""), HYPERLINK(CONCATENATE("#metadata!", ADDRESS(INDEX($W$2:$W$1001,MATCH(ROWS($U$2:U702),$U$2:$U$1001,0),0), INDEX($AB$1004:$AQ$1004,1,MATCH(COLUMNS($AB$1006:AB1006),$AB$1006:$AQ$1006,0)))),"Fix")))</f>
        <v>0</v>
      </c>
      <c r="C702" s="4">
        <f>IF(OR(INDEX($V$2:$V$1001,MATCH(ROWS($U$2:U702),$U$2:$U$1001,0),1)&gt;=100000,INDEX($AB$1005:$AQ$1005,1,MATCH(COLUMNS($AB$1006:AC1006),$AB$1006:$AQ$1006,0))&gt;=100000), " ",IF(INDEX($AB$2:$AQ$1001,MATCH(ROWS($U$2:U702),$U$2:$U$1001,0),MATCH(COLUMNS($AB$1006:AC1006),$AB$1006:$AQ$1006,0)), HYPERLINK("#",""), HYPERLINK(CONCATENATE("#metadata!", ADDRESS(INDEX($W$2:$W$1001,MATCH(ROWS($U$2:U702),$U$2:$U$1001,0),0), INDEX($AB$1004:$AQ$1004,1,MATCH(COLUMNS($AB$1006:AC1006),$AB$1006:$AQ$1006,0)))),"Fix")))</f>
        <v>0</v>
      </c>
      <c r="D702" s="4">
        <f>IF(OR(INDEX($V$2:$V$1001,MATCH(ROWS($U$2:U702),$U$2:$U$1001,0),1)&gt;=100000,INDEX($AB$1005:$AQ$1005,1,MATCH(COLUMNS($AB$1006:AD1006),$AB$1006:$AQ$1006,0))&gt;=100000), " ",IF(INDEX($AB$2:$AQ$1001,MATCH(ROWS($U$2:U702),$U$2:$U$1001,0),MATCH(COLUMNS($AB$1006:AD1006),$AB$1006:$AQ$1006,0)), HYPERLINK("#",""), HYPERLINK(CONCATENATE("#metadata!", ADDRESS(INDEX($W$2:$W$1001,MATCH(ROWS($U$2:U702),$U$2:$U$1001,0),0), INDEX($AB$1004:$AQ$1004,1,MATCH(COLUMNS($AB$1006:AD1006),$AB$1006:$AQ$1006,0)))),"Fix")))</f>
        <v>0</v>
      </c>
      <c r="E702" s="4">
        <f>IF(OR(INDEX($V$2:$V$1001,MATCH(ROWS($U$2:U702),$U$2:$U$1001,0),1)&gt;=100000,INDEX($AB$1005:$AQ$1005,1,MATCH(COLUMNS($AB$1006:AE1006),$AB$1006:$AQ$1006,0))&gt;=100000), " ",IF(INDEX($AB$2:$AQ$1001,MATCH(ROWS($U$2:U702),$U$2:$U$1001,0),MATCH(COLUMNS($AB$1006:AE1006),$AB$1006:$AQ$1006,0)), HYPERLINK("#",""), HYPERLINK(CONCATENATE("#metadata!", ADDRESS(INDEX($W$2:$W$1001,MATCH(ROWS($U$2:U702),$U$2:$U$1001,0),0), INDEX($AB$1004:$AQ$1004,1,MATCH(COLUMNS($AB$1006:AE1006),$AB$1006:$AQ$1006,0)))),"Fix")))</f>
        <v>0</v>
      </c>
      <c r="F702" s="4">
        <f>IF(OR(INDEX($V$2:$V$1001,MATCH(ROWS($U$2:U702),$U$2:$U$1001,0),1)&gt;=100000,INDEX($AB$1005:$AQ$1005,1,MATCH(COLUMNS($AB$1006:AF1006),$AB$1006:$AQ$1006,0))&gt;=100000), " ",IF(INDEX($AB$2:$AQ$1001,MATCH(ROWS($U$2:U702),$U$2:$U$1001,0),MATCH(COLUMNS($AB$1006:AF1006),$AB$1006:$AQ$1006,0)), HYPERLINK("#",""), HYPERLINK(CONCATENATE("#metadata!", ADDRESS(INDEX($W$2:$W$1001,MATCH(ROWS($U$2:U702),$U$2:$U$1001,0),0), INDEX($AB$1004:$AQ$1004,1,MATCH(COLUMNS($AB$1006:AF1006),$AB$1006:$AQ$1006,0)))),"Fix")))</f>
        <v>0</v>
      </c>
      <c r="G702" s="4">
        <f>IF(OR(INDEX($V$2:$V$1001,MATCH(ROWS($U$2:U702),$U$2:$U$1001,0),1)&gt;=100000,INDEX($AB$1005:$AQ$1005,1,MATCH(COLUMNS($AB$1006:AG1006),$AB$1006:$AQ$1006,0))&gt;=100000), " ",IF(INDEX($AB$2:$AQ$1001,MATCH(ROWS($U$2:U702),$U$2:$U$1001,0),MATCH(COLUMNS($AB$1006:AG1006),$AB$1006:$AQ$1006,0)), HYPERLINK("#",""), HYPERLINK(CONCATENATE("#metadata!", ADDRESS(INDEX($W$2:$W$1001,MATCH(ROWS($U$2:U702),$U$2:$U$1001,0),0), INDEX($AB$1004:$AQ$1004,1,MATCH(COLUMNS($AB$1006:AG1006),$AB$1006:$AQ$1006,0)))),"Fix")))</f>
        <v>0</v>
      </c>
      <c r="H702" s="4">
        <f>IF(OR(INDEX($V$2:$V$1001,MATCH(ROWS($U$2:U702),$U$2:$U$1001,0),1)&gt;=100000,INDEX($AB$1005:$AQ$1005,1,MATCH(COLUMNS($AB$1006:AH1006),$AB$1006:$AQ$1006,0))&gt;=100000), " ",IF(INDEX($AB$2:$AQ$1001,MATCH(ROWS($U$2:U702),$U$2:$U$1001,0),MATCH(COLUMNS($AB$1006:AH1006),$AB$1006:$AQ$1006,0)), HYPERLINK("#",""), HYPERLINK(CONCATENATE("#metadata!", ADDRESS(INDEX($W$2:$W$1001,MATCH(ROWS($U$2:U702),$U$2:$U$1001,0),0), INDEX($AB$1004:$AQ$1004,1,MATCH(COLUMNS($AB$1006:AH1006),$AB$1006:$AQ$1006,0)))),"Fix")))</f>
        <v>0</v>
      </c>
      <c r="I702" s="4">
        <f>IF(OR(INDEX($V$2:$V$1001,MATCH(ROWS($U$2:U702),$U$2:$U$1001,0),1)&gt;=100000,INDEX($AB$1005:$AQ$1005,1,MATCH(COLUMNS($AB$1006:AI1006),$AB$1006:$AQ$1006,0))&gt;=100000), " ",IF(INDEX($AB$2:$AQ$1001,MATCH(ROWS($U$2:U702),$U$2:$U$1001,0),MATCH(COLUMNS($AB$1006:AI1006),$AB$1006:$AQ$1006,0)), HYPERLINK("#",""), HYPERLINK(CONCATENATE("#metadata!", ADDRESS(INDEX($W$2:$W$1001,MATCH(ROWS($U$2:U702),$U$2:$U$1001,0),0), INDEX($AB$1004:$AQ$1004,1,MATCH(COLUMNS($AB$1006:AI1006),$AB$1006:$AQ$1006,0)))),"Fix")))</f>
        <v>0</v>
      </c>
      <c r="J702" s="4">
        <f>IF(OR(INDEX($V$2:$V$1001,MATCH(ROWS($U$2:U702),$U$2:$U$1001,0),1)&gt;=100000,INDEX($AB$1005:$AQ$1005,1,MATCH(COLUMNS($AB$1006:AJ1006),$AB$1006:$AQ$1006,0))&gt;=100000), " ",IF(INDEX($AB$2:$AQ$1001,MATCH(ROWS($U$2:U702),$U$2:$U$1001,0),MATCH(COLUMNS($AB$1006:AJ1006),$AB$1006:$AQ$1006,0)), HYPERLINK("#",""), HYPERLINK(CONCATENATE("#metadata!", ADDRESS(INDEX($W$2:$W$1001,MATCH(ROWS($U$2:U702),$U$2:$U$1001,0),0), INDEX($AB$1004:$AQ$1004,1,MATCH(COLUMNS($AB$1006:AJ1006),$AB$1006:$AQ$1006,0)))),"Fix")))</f>
        <v>0</v>
      </c>
      <c r="K702" s="4">
        <f>IF(OR(INDEX($V$2:$V$1001,MATCH(ROWS($U$2:U702),$U$2:$U$1001,0),1)&gt;=100000,INDEX($AB$1005:$AQ$1005,1,MATCH(COLUMNS($AB$1006:AK1006),$AB$1006:$AQ$1006,0))&gt;=100000), " ",IF(INDEX($AB$2:$AQ$1001,MATCH(ROWS($U$2:U702),$U$2:$U$1001,0),MATCH(COLUMNS($AB$1006:AK1006),$AB$1006:$AQ$1006,0)), HYPERLINK("#",""), HYPERLINK(CONCATENATE("#metadata!", ADDRESS(INDEX($W$2:$W$1001,MATCH(ROWS($U$2:U702),$U$2:$U$1001,0),0), INDEX($AB$1004:$AQ$1004,1,MATCH(COLUMNS($AB$1006:AK1006),$AB$1006:$AQ$1006,0)))),"Fix")))</f>
        <v>0</v>
      </c>
      <c r="L702" s="4">
        <f>IF(OR(INDEX($V$2:$V$1001,MATCH(ROWS($U$2:U702),$U$2:$U$1001,0),1)&gt;=100000,INDEX($AB$1005:$AQ$1005,1,MATCH(COLUMNS($AB$1006:AL1006),$AB$1006:$AQ$1006,0))&gt;=100000), " ",IF(INDEX($AB$2:$AQ$1001,MATCH(ROWS($U$2:U702),$U$2:$U$1001,0),MATCH(COLUMNS($AB$1006:AL1006),$AB$1006:$AQ$1006,0)), HYPERLINK("#",""), HYPERLINK(CONCATENATE("#metadata!", ADDRESS(INDEX($W$2:$W$1001,MATCH(ROWS($U$2:U702),$U$2:$U$1001,0),0), INDEX($AB$1004:$AQ$1004,1,MATCH(COLUMNS($AB$1006:AL1006),$AB$1006:$AQ$1006,0)))),"Fix")))</f>
        <v>0</v>
      </c>
      <c r="M702" s="4">
        <f>IF(OR(INDEX($V$2:$V$1001,MATCH(ROWS($U$2:U702),$U$2:$U$1001,0),1)&gt;=100000,INDEX($AB$1005:$AQ$1005,1,MATCH(COLUMNS($AB$1006:AM1006),$AB$1006:$AQ$1006,0))&gt;=100000), " ",IF(INDEX($AB$2:$AQ$1001,MATCH(ROWS($U$2:U702),$U$2:$U$1001,0),MATCH(COLUMNS($AB$1006:AM1006),$AB$1006:$AQ$1006,0)), HYPERLINK("#",""), HYPERLINK(CONCATENATE("#metadata!", ADDRESS(INDEX($W$2:$W$1001,MATCH(ROWS($U$2:U702),$U$2:$U$1001,0),0), INDEX($AB$1004:$AQ$1004,1,MATCH(COLUMNS($AB$1006:AM1006),$AB$1006:$AQ$1006,0)))),"Fix")))</f>
        <v>0</v>
      </c>
      <c r="N702" s="4">
        <f>IF(OR(INDEX($V$2:$V$1001,MATCH(ROWS($U$2:U702),$U$2:$U$1001,0),1)&gt;=100000,INDEX($AB$1005:$AQ$1005,1,MATCH(COLUMNS($AB$1006:AN1006),$AB$1006:$AQ$1006,0))&gt;=100000), " ",IF(INDEX($AB$2:$AQ$1001,MATCH(ROWS($U$2:U702),$U$2:$U$1001,0),MATCH(COLUMNS($AB$1006:AN1006),$AB$1006:$AQ$1006,0)), HYPERLINK("#",""), HYPERLINK(CONCATENATE("#metadata!", ADDRESS(INDEX($W$2:$W$1001,MATCH(ROWS($U$2:U702),$U$2:$U$1001,0),0), INDEX($AB$1004:$AQ$1004,1,MATCH(COLUMNS($AB$1006:AN1006),$AB$1006:$AQ$1006,0)))),"Fix")))</f>
        <v>0</v>
      </c>
      <c r="O702" s="4">
        <f>IF(OR(INDEX($V$2:$V$1001,MATCH(ROWS($U$2:U702),$U$2:$U$1001,0),1)&gt;=100000,INDEX($AB$1005:$AQ$1005,1,MATCH(COLUMNS($AB$1006:AO1006),$AB$1006:$AQ$1006,0))&gt;=100000), " ",IF(INDEX($AB$2:$AQ$1001,MATCH(ROWS($U$2:U702),$U$2:$U$1001,0),MATCH(COLUMNS($AB$1006:AO1006),$AB$1006:$AQ$1006,0)), HYPERLINK("#",""), HYPERLINK(CONCATENATE("#metadata!", ADDRESS(INDEX($W$2:$W$1001,MATCH(ROWS($U$2:U702),$U$2:$U$1001,0),0), INDEX($AB$1004:$AQ$1004,1,MATCH(COLUMNS($AB$1006:AO1006),$AB$1006:$AQ$1006,0)))),"Fix")))</f>
        <v>0</v>
      </c>
      <c r="P702" s="4">
        <f>IF(OR(INDEX($V$2:$V$1001,MATCH(ROWS($U$2:U702),$U$2:$U$1001,0),1)&gt;=100000,INDEX($AB$1005:$AQ$1005,1,MATCH(COLUMNS($AB$1006:AP1006),$AB$1006:$AQ$1006,0))&gt;=100000), " ",IF(INDEX($AB$2:$AQ$1001,MATCH(ROWS($U$2:U702),$U$2:$U$1001,0),MATCH(COLUMNS($AB$1006:AP1006),$AB$1006:$AQ$1006,0)), HYPERLINK("#",""), HYPERLINK(CONCATENATE("#metadata!", ADDRESS(INDEX($W$2:$W$1001,MATCH(ROWS($U$2:U702),$U$2:$U$1001,0),0), INDEX($AB$1004:$AQ$1004,1,MATCH(COLUMNS($AB$1006:AP1006),$AB$1006:$AQ$1006,0)))),"Fix")))</f>
        <v>0</v>
      </c>
      <c r="Q702" s="4">
        <f>IF(OR(INDEX($V$2:$V$1001,MATCH(ROWS($U$2:U702),$U$2:$U$1001,0),1)&gt;=100000,INDEX($AB$1005:$AQ$1005,1,MATCH(COLUMNS($AB$1006:AQ1006),$AB$1006:$AQ$1006,0))&gt;=100000), " ",IF(INDEX($AB$2:$AQ$1001,MATCH(ROWS($U$2:U702),$U$2:$U$1001,0),MATCH(COLUMNS($AB$1006:AQ1006),$AB$1006:$AQ$1006,0)), HYPERLINK("#",""), HYPERLINK(CONCATENATE("#metadata!", ADDRESS(INDEX($W$2:$W$1001,MATCH(ROWS($U$2:U702),$U$2:$U$1001,0),0), INDEX($AB$1004:$AQ$1004,1,MATCH(COLUMNS($AB$1006:AQ1006),$AB$1006:$AQ$1006,0)))),"Fix")))</f>
        <v>0</v>
      </c>
      <c r="U702">
        <v>0</v>
      </c>
      <c r="V702">
        <v>0</v>
      </c>
      <c r="W702">
        <v>0</v>
      </c>
      <c r="X702">
        <f>IF(Y702,TRUE,AND(AB702:AQ702))</f>
        <v>0</v>
      </c>
      <c r="Y702">
        <f>COUNTBLANK(metadata!B702:Q702)=COLUMNS(metadata!B702:Q702)</f>
        <v>0</v>
      </c>
      <c r="Z702">
        <v>0</v>
      </c>
      <c r="AB702">
        <f>AND(IF(metadata!B702="",FALSE,TRUE),COUNTIF(metadata!B:B, metadata!B702) = 1,NOT(ISERROR(SUMPRODUCT(SEARCH(MID(metadata!B702,ROW(INDIRECT("1:"&amp;LEN(metadata!B702))), 1),"0123456789abcdefghijklmnopqrstuvwxyzABCDEFGHIJKLMNOPQRSTUVWXYZ.")))))</f>
        <v>0</v>
      </c>
      <c r="AC702">
        <f>OR(AND(IF(metadata!C702="",FALSE,TRUE),OR(exact(metadata!C702,"missing: not collected"),exact(metadata!C702,"missing: not provided"),exact(metadata!C702,"missing: restricted access"))),AND(IF(metadata!C702="",FALSE,TRUE),AND(AND(IFERROR(INT(LEFT(metadata!C702,4))&gt;1900,FALSE),IFERROR(INT(LEFT(metadata!C702,4))&lt;=YEAR(NOW()),FALSE)), OR(MID(metadata!C702,5,1)="", AND(AND(MID(metadata!C702,5,1)="-",IFERROR(INT(MID(metadata!C702,6,1))&gt;=0,FALSE),IFERROR(INT(MID(metadata!C702,6,1))&lt;=1,FALSE),NOT(MID(metadata!C702,7,1)=""),IFERROR(INT(MID(metadata!C702,6,2))&gt;=1,FALSE),IFERROR(INT(MID(metadata!C702,6,2))&lt;=12,FALSE)), OR(MID(metadata!C702,8,1)="", AND(AND(MID(metadata!C702,8,1)="-",IFERROR(INT(MID(metadata!C702,9,1))&gt;=0,FALSE),IFERROR(INT(MID(metadata!C702,9,1))&lt;=3,FALSE),NOT(MID(metadata!C702,10,1)=""),IFERROR(INT(MID(metadata!C702,9,2))&gt;=1,FALSE),IFERROR(INT(MID(metadata!C702,9,2))&lt;=31,FALSE)), OR(MID(metadata!C702,11,1)="", AND(AND(MID(metadata!C702,11,1)=" ",IFERROR(INT(MID(metadata!C702,12,1))&gt;=0,FALSE),IFERROR(INT(MID(metadata!C702,12,1))&lt;=2,FALSE),NOT(MID(metadata!C702,13,1)=""),IFERROR(INT(MID(metadata!C702,12,2))&gt;=0,FALSE),IFERROR(INT(MID(metadata!C702,12,2))&lt;=23,FALSE)), OR(MID(metadata!C702,14,1)="", AND(AND(MID(metadata!C702,14,1)=":",IFERROR(INT(MID(metadata!C702,15,1))&gt;=0,FALSE),IFERROR(INT(MID(metadata!C702,15,1))&lt;=5,FALSE),NOT(MID(metadata!C702,16,1)=""),IFERROR(INT(MID(metadata!C702,15,2))&gt;=0,FALSE),IFERROR(INT(MID(metadata!C702,15,2))&lt;=59,FALSE)), OR(MID(metadata!C702,17,1)="", AND(AND(MID(metadata!C702,17,1)=":",IFERROR(INT(MID(metadata!C702,18,1))&gt;=0,FALSE),IFERROR(INT(MID(metadata!C702,18,1))&lt;=5,FALSE),NOT(MID(metadata!C702,19,1)=""),IFERROR(INT(MID(metadata!C702,18,2))&gt;=0,FALSE),IFERROR(INT(MID(metadata!C702,18,2))&lt;=59,FALSE)), LEN(metadata!C702)&lt;=19)))))))))))))</f>
        <v>0</v>
      </c>
      <c r="AD702">
        <f>IF(metadata!D702="",FALSE,TRUE)</f>
        <v>0</v>
      </c>
      <c r="AE702">
        <f>OR(AND(IF(metadata!E702="",FALSE,TRUE),OR(exact(metadata!E702,"missing: not collected"),exact(metadata!E702,"missing: not provided"))),AND(IF(metadata!E702="",FALSE,TRUE),OR(exact(metadata!E702,"TRUE"),exact(metadata!E702,"FALSE"))))</f>
        <v>0</v>
      </c>
      <c r="AF702">
        <f>IF(metadata!F702="",FALSE,TRUE)</f>
        <v>0</v>
      </c>
      <c r="AG702">
        <f>IF(metadata!G702="",FALSE,TRUE)</f>
        <v>0</v>
      </c>
      <c r="AH702">
        <f>IF(metadata!H702="",FALSE,TRUE)</f>
        <v>0</v>
      </c>
      <c r="AI702">
        <f>OR(AND(IF(metadata!I702="",FALSE,TRUE),OR(exact(metadata!I702,"missing: not collected"),exact(metadata!I702,"missing: not provided"),exact(metadata!I702,"missing: restricted access"))),AND(IF(metadata!I702="",FALSE,TRUE),OR(exact(metadata!I702,"air"),exact(metadata!I702,"built environment"),exact(metadata!I702,"host-associated"),exact(metadata!I702,"human-associated"),exact(metadata!I702,"human-skin"),exact(metadata!I702,"human-oral"),exact(metadata!I702,"human-gut"),exact(metadata!I702,"human-vaginal"),exact(metadata!I702,"microbial mat/biofilm"),exact(metadata!I702,"misc environment"),exact(metadata!I702,"plant-associated"),exact(metadata!I702,"sediment"),exact(metadata!I702,"soil"),exact(metadata!I702,"wastewater/sludge"),exact(metadata!I702,"water"))))</f>
        <v>0</v>
      </c>
      <c r="AJ702">
        <f>IF(metadata!J702="",FALSE,TRUE)</f>
        <v>0</v>
      </c>
      <c r="AK702">
        <f>OR(AND(IF(metadata!K702="",FALSE,TRUE),OR(exact(metadata!K702,"missing: not collected"),exact(metadata!K702,"missing: not provided"),exact(metadata!K702,"missing: restricted access"))),AND(IF(metadata!K702="",FALSE,ISNUMBER(VALUE(metadata!K702))),metadata!K702&gt;=-90.00,metadata!K702&lt;=90.00))</f>
        <v>0</v>
      </c>
      <c r="AL702">
        <f>OR(AND(IF(metadata!L702="",FALSE,TRUE),OR(exact(metadata!L702,"missing: not collected"),exact(metadata!L702,"missing: not provided"),exact(metadata!L702,"missing: restricted access"))),AND(IF(metadata!L702="",FALSE,ISNUMBER(VALUE(metadata!L702))),metadata!L702&gt;=-180.00,metadata!L702&lt;=180.00))</f>
        <v>0</v>
      </c>
      <c r="AM702">
        <f>IF(metadata!M702="",FALSE,TRUE)</f>
        <v>0</v>
      </c>
      <c r="AN702">
        <f>OR(AND(IF(metadata!N702="",FALSE,TRUE),OR(exact(metadata!N702,"missing: not collected"),exact(metadata!N702,"missing: not provided"),exact(metadata!N702,"missing: restricted access"))),AND(IF(metadata!N702="",FALSE,TRUE),OR(exact(metadata!N702,"TRUE"),exact(metadata!N702,"FALSE"))))</f>
        <v>0</v>
      </c>
      <c r="AO702">
        <f>IF(metadata!O702="",FALSE,TRUE)</f>
        <v>0</v>
      </c>
      <c r="AP702">
        <f>OR(AND(IF(metadata!P702="",FALSE,TRUE),OR(exact(metadata!P702,"missing: not collected"),exact(metadata!P702,"missing: not provided"))),AND(IF(metadata!P702="",FALSE,IF(ISERROR(INT(metadata!P702)),FALSE,INT(metadata!P702)=metadata!P702)),metadata!P702&gt;0))</f>
        <v>0</v>
      </c>
      <c r="AQ702">
        <f>IF(metadata!Q702="",FALSE,TRUE)</f>
        <v>0</v>
      </c>
    </row>
    <row r="703" spans="1:43">
      <c r="A703" s="5">
        <f>IF(B703=" "," ",HYPERLINK(CONCATENATE("#metadata!",ADDRESS(INDEX($W$2:$W$1001,MATCH(ROWS($U$2:U703),$U$2:$U$1001,0),0),1)),INDEX($Z$2:$Z$1001,MATCH(ROWS($U$2:U703),$U$2:$U$1001,0),0)))</f>
        <v>0</v>
      </c>
      <c r="B703" s="4">
        <f>IF(OR(INDEX($V$2:$V$1001,MATCH(ROWS($U$2:U703),$U$2:$U$1001,0),1)&gt;=100000,INDEX($AB$1005:$AQ$1005,1,MATCH(COLUMNS($AB$1006:AB1006),$AB$1006:$AQ$1006,0))&gt;=100000), " ",IF(INDEX($AB$2:$AQ$1001,MATCH(ROWS($U$2:U703),$U$2:$U$1001,0),MATCH(COLUMNS($AB$1006:AB1006),$AB$1006:$AQ$1006,0)), HYPERLINK("#",""), HYPERLINK(CONCATENATE("#metadata!", ADDRESS(INDEX($W$2:$W$1001,MATCH(ROWS($U$2:U703),$U$2:$U$1001,0),0), INDEX($AB$1004:$AQ$1004,1,MATCH(COLUMNS($AB$1006:AB1006),$AB$1006:$AQ$1006,0)))),"Fix")))</f>
        <v>0</v>
      </c>
      <c r="C703" s="4">
        <f>IF(OR(INDEX($V$2:$V$1001,MATCH(ROWS($U$2:U703),$U$2:$U$1001,0),1)&gt;=100000,INDEX($AB$1005:$AQ$1005,1,MATCH(COLUMNS($AB$1006:AC1006),$AB$1006:$AQ$1006,0))&gt;=100000), " ",IF(INDEX($AB$2:$AQ$1001,MATCH(ROWS($U$2:U703),$U$2:$U$1001,0),MATCH(COLUMNS($AB$1006:AC1006),$AB$1006:$AQ$1006,0)), HYPERLINK("#",""), HYPERLINK(CONCATENATE("#metadata!", ADDRESS(INDEX($W$2:$W$1001,MATCH(ROWS($U$2:U703),$U$2:$U$1001,0),0), INDEX($AB$1004:$AQ$1004,1,MATCH(COLUMNS($AB$1006:AC1006),$AB$1006:$AQ$1006,0)))),"Fix")))</f>
        <v>0</v>
      </c>
      <c r="D703" s="4">
        <f>IF(OR(INDEX($V$2:$V$1001,MATCH(ROWS($U$2:U703),$U$2:$U$1001,0),1)&gt;=100000,INDEX($AB$1005:$AQ$1005,1,MATCH(COLUMNS($AB$1006:AD1006),$AB$1006:$AQ$1006,0))&gt;=100000), " ",IF(INDEX($AB$2:$AQ$1001,MATCH(ROWS($U$2:U703),$U$2:$U$1001,0),MATCH(COLUMNS($AB$1006:AD1006),$AB$1006:$AQ$1006,0)), HYPERLINK("#",""), HYPERLINK(CONCATENATE("#metadata!", ADDRESS(INDEX($W$2:$W$1001,MATCH(ROWS($U$2:U703),$U$2:$U$1001,0),0), INDEX($AB$1004:$AQ$1004,1,MATCH(COLUMNS($AB$1006:AD1006),$AB$1006:$AQ$1006,0)))),"Fix")))</f>
        <v>0</v>
      </c>
      <c r="E703" s="4">
        <f>IF(OR(INDEX($V$2:$V$1001,MATCH(ROWS($U$2:U703),$U$2:$U$1001,0),1)&gt;=100000,INDEX($AB$1005:$AQ$1005,1,MATCH(COLUMNS($AB$1006:AE1006),$AB$1006:$AQ$1006,0))&gt;=100000), " ",IF(INDEX($AB$2:$AQ$1001,MATCH(ROWS($U$2:U703),$U$2:$U$1001,0),MATCH(COLUMNS($AB$1006:AE1006),$AB$1006:$AQ$1006,0)), HYPERLINK("#",""), HYPERLINK(CONCATENATE("#metadata!", ADDRESS(INDEX($W$2:$W$1001,MATCH(ROWS($U$2:U703),$U$2:$U$1001,0),0), INDEX($AB$1004:$AQ$1004,1,MATCH(COLUMNS($AB$1006:AE1006),$AB$1006:$AQ$1006,0)))),"Fix")))</f>
        <v>0</v>
      </c>
      <c r="F703" s="4">
        <f>IF(OR(INDEX($V$2:$V$1001,MATCH(ROWS($U$2:U703),$U$2:$U$1001,0),1)&gt;=100000,INDEX($AB$1005:$AQ$1005,1,MATCH(COLUMNS($AB$1006:AF1006),$AB$1006:$AQ$1006,0))&gt;=100000), " ",IF(INDEX($AB$2:$AQ$1001,MATCH(ROWS($U$2:U703),$U$2:$U$1001,0),MATCH(COLUMNS($AB$1006:AF1006),$AB$1006:$AQ$1006,0)), HYPERLINK("#",""), HYPERLINK(CONCATENATE("#metadata!", ADDRESS(INDEX($W$2:$W$1001,MATCH(ROWS($U$2:U703),$U$2:$U$1001,0),0), INDEX($AB$1004:$AQ$1004,1,MATCH(COLUMNS($AB$1006:AF1006),$AB$1006:$AQ$1006,0)))),"Fix")))</f>
        <v>0</v>
      </c>
      <c r="G703" s="4">
        <f>IF(OR(INDEX($V$2:$V$1001,MATCH(ROWS($U$2:U703),$U$2:$U$1001,0),1)&gt;=100000,INDEX($AB$1005:$AQ$1005,1,MATCH(COLUMNS($AB$1006:AG1006),$AB$1006:$AQ$1006,0))&gt;=100000), " ",IF(INDEX($AB$2:$AQ$1001,MATCH(ROWS($U$2:U703),$U$2:$U$1001,0),MATCH(COLUMNS($AB$1006:AG1006),$AB$1006:$AQ$1006,0)), HYPERLINK("#",""), HYPERLINK(CONCATENATE("#metadata!", ADDRESS(INDEX($W$2:$W$1001,MATCH(ROWS($U$2:U703),$U$2:$U$1001,0),0), INDEX($AB$1004:$AQ$1004,1,MATCH(COLUMNS($AB$1006:AG1006),$AB$1006:$AQ$1006,0)))),"Fix")))</f>
        <v>0</v>
      </c>
      <c r="H703" s="4">
        <f>IF(OR(INDEX($V$2:$V$1001,MATCH(ROWS($U$2:U703),$U$2:$U$1001,0),1)&gt;=100000,INDEX($AB$1005:$AQ$1005,1,MATCH(COLUMNS($AB$1006:AH1006),$AB$1006:$AQ$1006,0))&gt;=100000), " ",IF(INDEX($AB$2:$AQ$1001,MATCH(ROWS($U$2:U703),$U$2:$U$1001,0),MATCH(COLUMNS($AB$1006:AH1006),$AB$1006:$AQ$1006,0)), HYPERLINK("#",""), HYPERLINK(CONCATENATE("#metadata!", ADDRESS(INDEX($W$2:$W$1001,MATCH(ROWS($U$2:U703),$U$2:$U$1001,0),0), INDEX($AB$1004:$AQ$1004,1,MATCH(COLUMNS($AB$1006:AH1006),$AB$1006:$AQ$1006,0)))),"Fix")))</f>
        <v>0</v>
      </c>
      <c r="I703" s="4">
        <f>IF(OR(INDEX($V$2:$V$1001,MATCH(ROWS($U$2:U703),$U$2:$U$1001,0),1)&gt;=100000,INDEX($AB$1005:$AQ$1005,1,MATCH(COLUMNS($AB$1006:AI1006),$AB$1006:$AQ$1006,0))&gt;=100000), " ",IF(INDEX($AB$2:$AQ$1001,MATCH(ROWS($U$2:U703),$U$2:$U$1001,0),MATCH(COLUMNS($AB$1006:AI1006),$AB$1006:$AQ$1006,0)), HYPERLINK("#",""), HYPERLINK(CONCATENATE("#metadata!", ADDRESS(INDEX($W$2:$W$1001,MATCH(ROWS($U$2:U703),$U$2:$U$1001,0),0), INDEX($AB$1004:$AQ$1004,1,MATCH(COLUMNS($AB$1006:AI1006),$AB$1006:$AQ$1006,0)))),"Fix")))</f>
        <v>0</v>
      </c>
      <c r="J703" s="4">
        <f>IF(OR(INDEX($V$2:$V$1001,MATCH(ROWS($U$2:U703),$U$2:$U$1001,0),1)&gt;=100000,INDEX($AB$1005:$AQ$1005,1,MATCH(COLUMNS($AB$1006:AJ1006),$AB$1006:$AQ$1006,0))&gt;=100000), " ",IF(INDEX($AB$2:$AQ$1001,MATCH(ROWS($U$2:U703),$U$2:$U$1001,0),MATCH(COLUMNS($AB$1006:AJ1006),$AB$1006:$AQ$1006,0)), HYPERLINK("#",""), HYPERLINK(CONCATENATE("#metadata!", ADDRESS(INDEX($W$2:$W$1001,MATCH(ROWS($U$2:U703),$U$2:$U$1001,0),0), INDEX($AB$1004:$AQ$1004,1,MATCH(COLUMNS($AB$1006:AJ1006),$AB$1006:$AQ$1006,0)))),"Fix")))</f>
        <v>0</v>
      </c>
      <c r="K703" s="4">
        <f>IF(OR(INDEX($V$2:$V$1001,MATCH(ROWS($U$2:U703),$U$2:$U$1001,0),1)&gt;=100000,INDEX($AB$1005:$AQ$1005,1,MATCH(COLUMNS($AB$1006:AK1006),$AB$1006:$AQ$1006,0))&gt;=100000), " ",IF(INDEX($AB$2:$AQ$1001,MATCH(ROWS($U$2:U703),$U$2:$U$1001,0),MATCH(COLUMNS($AB$1006:AK1006),$AB$1006:$AQ$1006,0)), HYPERLINK("#",""), HYPERLINK(CONCATENATE("#metadata!", ADDRESS(INDEX($W$2:$W$1001,MATCH(ROWS($U$2:U703),$U$2:$U$1001,0),0), INDEX($AB$1004:$AQ$1004,1,MATCH(COLUMNS($AB$1006:AK1006),$AB$1006:$AQ$1006,0)))),"Fix")))</f>
        <v>0</v>
      </c>
      <c r="L703" s="4">
        <f>IF(OR(INDEX($V$2:$V$1001,MATCH(ROWS($U$2:U703),$U$2:$U$1001,0),1)&gt;=100000,INDEX($AB$1005:$AQ$1005,1,MATCH(COLUMNS($AB$1006:AL1006),$AB$1006:$AQ$1006,0))&gt;=100000), " ",IF(INDEX($AB$2:$AQ$1001,MATCH(ROWS($U$2:U703),$U$2:$U$1001,0),MATCH(COLUMNS($AB$1006:AL1006),$AB$1006:$AQ$1006,0)), HYPERLINK("#",""), HYPERLINK(CONCATENATE("#metadata!", ADDRESS(INDEX($W$2:$W$1001,MATCH(ROWS($U$2:U703),$U$2:$U$1001,0),0), INDEX($AB$1004:$AQ$1004,1,MATCH(COLUMNS($AB$1006:AL1006),$AB$1006:$AQ$1006,0)))),"Fix")))</f>
        <v>0</v>
      </c>
      <c r="M703" s="4">
        <f>IF(OR(INDEX($V$2:$V$1001,MATCH(ROWS($U$2:U703),$U$2:$U$1001,0),1)&gt;=100000,INDEX($AB$1005:$AQ$1005,1,MATCH(COLUMNS($AB$1006:AM1006),$AB$1006:$AQ$1006,0))&gt;=100000), " ",IF(INDEX($AB$2:$AQ$1001,MATCH(ROWS($U$2:U703),$U$2:$U$1001,0),MATCH(COLUMNS($AB$1006:AM1006),$AB$1006:$AQ$1006,0)), HYPERLINK("#",""), HYPERLINK(CONCATENATE("#metadata!", ADDRESS(INDEX($W$2:$W$1001,MATCH(ROWS($U$2:U703),$U$2:$U$1001,0),0), INDEX($AB$1004:$AQ$1004,1,MATCH(COLUMNS($AB$1006:AM1006),$AB$1006:$AQ$1006,0)))),"Fix")))</f>
        <v>0</v>
      </c>
      <c r="N703" s="4">
        <f>IF(OR(INDEX($V$2:$V$1001,MATCH(ROWS($U$2:U703),$U$2:$U$1001,0),1)&gt;=100000,INDEX($AB$1005:$AQ$1005,1,MATCH(COLUMNS($AB$1006:AN1006),$AB$1006:$AQ$1006,0))&gt;=100000), " ",IF(INDEX($AB$2:$AQ$1001,MATCH(ROWS($U$2:U703),$U$2:$U$1001,0),MATCH(COLUMNS($AB$1006:AN1006),$AB$1006:$AQ$1006,0)), HYPERLINK("#",""), HYPERLINK(CONCATENATE("#metadata!", ADDRESS(INDEX($W$2:$W$1001,MATCH(ROWS($U$2:U703),$U$2:$U$1001,0),0), INDEX($AB$1004:$AQ$1004,1,MATCH(COLUMNS($AB$1006:AN1006),$AB$1006:$AQ$1006,0)))),"Fix")))</f>
        <v>0</v>
      </c>
      <c r="O703" s="4">
        <f>IF(OR(INDEX($V$2:$V$1001,MATCH(ROWS($U$2:U703),$U$2:$U$1001,0),1)&gt;=100000,INDEX($AB$1005:$AQ$1005,1,MATCH(COLUMNS($AB$1006:AO1006),$AB$1006:$AQ$1006,0))&gt;=100000), " ",IF(INDEX($AB$2:$AQ$1001,MATCH(ROWS($U$2:U703),$U$2:$U$1001,0),MATCH(COLUMNS($AB$1006:AO1006),$AB$1006:$AQ$1006,0)), HYPERLINK("#",""), HYPERLINK(CONCATENATE("#metadata!", ADDRESS(INDEX($W$2:$W$1001,MATCH(ROWS($U$2:U703),$U$2:$U$1001,0),0), INDEX($AB$1004:$AQ$1004,1,MATCH(COLUMNS($AB$1006:AO1006),$AB$1006:$AQ$1006,0)))),"Fix")))</f>
        <v>0</v>
      </c>
      <c r="P703" s="4">
        <f>IF(OR(INDEX($V$2:$V$1001,MATCH(ROWS($U$2:U703),$U$2:$U$1001,0),1)&gt;=100000,INDEX($AB$1005:$AQ$1005,1,MATCH(COLUMNS($AB$1006:AP1006),$AB$1006:$AQ$1006,0))&gt;=100000), " ",IF(INDEX($AB$2:$AQ$1001,MATCH(ROWS($U$2:U703),$U$2:$U$1001,0),MATCH(COLUMNS($AB$1006:AP1006),$AB$1006:$AQ$1006,0)), HYPERLINK("#",""), HYPERLINK(CONCATENATE("#metadata!", ADDRESS(INDEX($W$2:$W$1001,MATCH(ROWS($U$2:U703),$U$2:$U$1001,0),0), INDEX($AB$1004:$AQ$1004,1,MATCH(COLUMNS($AB$1006:AP1006),$AB$1006:$AQ$1006,0)))),"Fix")))</f>
        <v>0</v>
      </c>
      <c r="Q703" s="4">
        <f>IF(OR(INDEX($V$2:$V$1001,MATCH(ROWS($U$2:U703),$U$2:$U$1001,0),1)&gt;=100000,INDEX($AB$1005:$AQ$1005,1,MATCH(COLUMNS($AB$1006:AQ1006),$AB$1006:$AQ$1006,0))&gt;=100000), " ",IF(INDEX($AB$2:$AQ$1001,MATCH(ROWS($U$2:U703),$U$2:$U$1001,0),MATCH(COLUMNS($AB$1006:AQ1006),$AB$1006:$AQ$1006,0)), HYPERLINK("#",""), HYPERLINK(CONCATENATE("#metadata!", ADDRESS(INDEX($W$2:$W$1001,MATCH(ROWS($U$2:U703),$U$2:$U$1001,0),0), INDEX($AB$1004:$AQ$1004,1,MATCH(COLUMNS($AB$1006:AQ1006),$AB$1006:$AQ$1006,0)))),"Fix")))</f>
        <v>0</v>
      </c>
      <c r="U703">
        <v>0</v>
      </c>
      <c r="V703">
        <v>0</v>
      </c>
      <c r="W703">
        <v>0</v>
      </c>
      <c r="X703">
        <f>IF(Y703,TRUE,AND(AB703:AQ703))</f>
        <v>0</v>
      </c>
      <c r="Y703">
        <f>COUNTBLANK(metadata!B703:Q703)=COLUMNS(metadata!B703:Q703)</f>
        <v>0</v>
      </c>
      <c r="Z703">
        <v>0</v>
      </c>
      <c r="AB703">
        <f>AND(IF(metadata!B703="",FALSE,TRUE),COUNTIF(metadata!B:B, metadata!B703) = 1,NOT(ISERROR(SUMPRODUCT(SEARCH(MID(metadata!B703,ROW(INDIRECT("1:"&amp;LEN(metadata!B703))), 1),"0123456789abcdefghijklmnopqrstuvwxyzABCDEFGHIJKLMNOPQRSTUVWXYZ.")))))</f>
        <v>0</v>
      </c>
      <c r="AC703">
        <f>OR(AND(IF(metadata!C703="",FALSE,TRUE),OR(exact(metadata!C703,"missing: not collected"),exact(metadata!C703,"missing: not provided"),exact(metadata!C703,"missing: restricted access"))),AND(IF(metadata!C703="",FALSE,TRUE),AND(AND(IFERROR(INT(LEFT(metadata!C703,4))&gt;1900,FALSE),IFERROR(INT(LEFT(metadata!C703,4))&lt;=YEAR(NOW()),FALSE)), OR(MID(metadata!C703,5,1)="", AND(AND(MID(metadata!C703,5,1)="-",IFERROR(INT(MID(metadata!C703,6,1))&gt;=0,FALSE),IFERROR(INT(MID(metadata!C703,6,1))&lt;=1,FALSE),NOT(MID(metadata!C703,7,1)=""),IFERROR(INT(MID(metadata!C703,6,2))&gt;=1,FALSE),IFERROR(INT(MID(metadata!C703,6,2))&lt;=12,FALSE)), OR(MID(metadata!C703,8,1)="", AND(AND(MID(metadata!C703,8,1)="-",IFERROR(INT(MID(metadata!C703,9,1))&gt;=0,FALSE),IFERROR(INT(MID(metadata!C703,9,1))&lt;=3,FALSE),NOT(MID(metadata!C703,10,1)=""),IFERROR(INT(MID(metadata!C703,9,2))&gt;=1,FALSE),IFERROR(INT(MID(metadata!C703,9,2))&lt;=31,FALSE)), OR(MID(metadata!C703,11,1)="", AND(AND(MID(metadata!C703,11,1)=" ",IFERROR(INT(MID(metadata!C703,12,1))&gt;=0,FALSE),IFERROR(INT(MID(metadata!C703,12,1))&lt;=2,FALSE),NOT(MID(metadata!C703,13,1)=""),IFERROR(INT(MID(metadata!C703,12,2))&gt;=0,FALSE),IFERROR(INT(MID(metadata!C703,12,2))&lt;=23,FALSE)), OR(MID(metadata!C703,14,1)="", AND(AND(MID(metadata!C703,14,1)=":",IFERROR(INT(MID(metadata!C703,15,1))&gt;=0,FALSE),IFERROR(INT(MID(metadata!C703,15,1))&lt;=5,FALSE),NOT(MID(metadata!C703,16,1)=""),IFERROR(INT(MID(metadata!C703,15,2))&gt;=0,FALSE),IFERROR(INT(MID(metadata!C703,15,2))&lt;=59,FALSE)), OR(MID(metadata!C703,17,1)="", AND(AND(MID(metadata!C703,17,1)=":",IFERROR(INT(MID(metadata!C703,18,1))&gt;=0,FALSE),IFERROR(INT(MID(metadata!C703,18,1))&lt;=5,FALSE),NOT(MID(metadata!C703,19,1)=""),IFERROR(INT(MID(metadata!C703,18,2))&gt;=0,FALSE),IFERROR(INT(MID(metadata!C703,18,2))&lt;=59,FALSE)), LEN(metadata!C703)&lt;=19)))))))))))))</f>
        <v>0</v>
      </c>
      <c r="AD703">
        <f>IF(metadata!D703="",FALSE,TRUE)</f>
        <v>0</v>
      </c>
      <c r="AE703">
        <f>OR(AND(IF(metadata!E703="",FALSE,TRUE),OR(exact(metadata!E703,"missing: not collected"),exact(metadata!E703,"missing: not provided"))),AND(IF(metadata!E703="",FALSE,TRUE),OR(exact(metadata!E703,"TRUE"),exact(metadata!E703,"FALSE"))))</f>
        <v>0</v>
      </c>
      <c r="AF703">
        <f>IF(metadata!F703="",FALSE,TRUE)</f>
        <v>0</v>
      </c>
      <c r="AG703">
        <f>IF(metadata!G703="",FALSE,TRUE)</f>
        <v>0</v>
      </c>
      <c r="AH703">
        <f>IF(metadata!H703="",FALSE,TRUE)</f>
        <v>0</v>
      </c>
      <c r="AI703">
        <f>OR(AND(IF(metadata!I703="",FALSE,TRUE),OR(exact(metadata!I703,"missing: not collected"),exact(metadata!I703,"missing: not provided"),exact(metadata!I703,"missing: restricted access"))),AND(IF(metadata!I703="",FALSE,TRUE),OR(exact(metadata!I703,"air"),exact(metadata!I703,"built environment"),exact(metadata!I703,"host-associated"),exact(metadata!I703,"human-associated"),exact(metadata!I703,"human-skin"),exact(metadata!I703,"human-oral"),exact(metadata!I703,"human-gut"),exact(metadata!I703,"human-vaginal"),exact(metadata!I703,"microbial mat/biofilm"),exact(metadata!I703,"misc environment"),exact(metadata!I703,"plant-associated"),exact(metadata!I703,"sediment"),exact(metadata!I703,"soil"),exact(metadata!I703,"wastewater/sludge"),exact(metadata!I703,"water"))))</f>
        <v>0</v>
      </c>
      <c r="AJ703">
        <f>IF(metadata!J703="",FALSE,TRUE)</f>
        <v>0</v>
      </c>
      <c r="AK703">
        <f>OR(AND(IF(metadata!K703="",FALSE,TRUE),OR(exact(metadata!K703,"missing: not collected"),exact(metadata!K703,"missing: not provided"),exact(metadata!K703,"missing: restricted access"))),AND(IF(metadata!K703="",FALSE,ISNUMBER(VALUE(metadata!K703))),metadata!K703&gt;=-90.00,metadata!K703&lt;=90.00))</f>
        <v>0</v>
      </c>
      <c r="AL703">
        <f>OR(AND(IF(metadata!L703="",FALSE,TRUE),OR(exact(metadata!L703,"missing: not collected"),exact(metadata!L703,"missing: not provided"),exact(metadata!L703,"missing: restricted access"))),AND(IF(metadata!L703="",FALSE,ISNUMBER(VALUE(metadata!L703))),metadata!L703&gt;=-180.00,metadata!L703&lt;=180.00))</f>
        <v>0</v>
      </c>
      <c r="AM703">
        <f>IF(metadata!M703="",FALSE,TRUE)</f>
        <v>0</v>
      </c>
      <c r="AN703">
        <f>OR(AND(IF(metadata!N703="",FALSE,TRUE),OR(exact(metadata!N703,"missing: not collected"),exact(metadata!N703,"missing: not provided"),exact(metadata!N703,"missing: restricted access"))),AND(IF(metadata!N703="",FALSE,TRUE),OR(exact(metadata!N703,"TRUE"),exact(metadata!N703,"FALSE"))))</f>
        <v>0</v>
      </c>
      <c r="AO703">
        <f>IF(metadata!O703="",FALSE,TRUE)</f>
        <v>0</v>
      </c>
      <c r="AP703">
        <f>OR(AND(IF(metadata!P703="",FALSE,TRUE),OR(exact(metadata!P703,"missing: not collected"),exact(metadata!P703,"missing: not provided"))),AND(IF(metadata!P703="",FALSE,IF(ISERROR(INT(metadata!P703)),FALSE,INT(metadata!P703)=metadata!P703)),metadata!P703&gt;0))</f>
        <v>0</v>
      </c>
      <c r="AQ703">
        <f>IF(metadata!Q703="",FALSE,TRUE)</f>
        <v>0</v>
      </c>
    </row>
    <row r="704" spans="1:43">
      <c r="A704" s="5">
        <f>IF(B704=" "," ",HYPERLINK(CONCATENATE("#metadata!",ADDRESS(INDEX($W$2:$W$1001,MATCH(ROWS($U$2:U704),$U$2:$U$1001,0),0),1)),INDEX($Z$2:$Z$1001,MATCH(ROWS($U$2:U704),$U$2:$U$1001,0),0)))</f>
        <v>0</v>
      </c>
      <c r="B704" s="4">
        <f>IF(OR(INDEX($V$2:$V$1001,MATCH(ROWS($U$2:U704),$U$2:$U$1001,0),1)&gt;=100000,INDEX($AB$1005:$AQ$1005,1,MATCH(COLUMNS($AB$1006:AB1006),$AB$1006:$AQ$1006,0))&gt;=100000), " ",IF(INDEX($AB$2:$AQ$1001,MATCH(ROWS($U$2:U704),$U$2:$U$1001,0),MATCH(COLUMNS($AB$1006:AB1006),$AB$1006:$AQ$1006,0)), HYPERLINK("#",""), HYPERLINK(CONCATENATE("#metadata!", ADDRESS(INDEX($W$2:$W$1001,MATCH(ROWS($U$2:U704),$U$2:$U$1001,0),0), INDEX($AB$1004:$AQ$1004,1,MATCH(COLUMNS($AB$1006:AB1006),$AB$1006:$AQ$1006,0)))),"Fix")))</f>
        <v>0</v>
      </c>
      <c r="C704" s="4">
        <f>IF(OR(INDEX($V$2:$V$1001,MATCH(ROWS($U$2:U704),$U$2:$U$1001,0),1)&gt;=100000,INDEX($AB$1005:$AQ$1005,1,MATCH(COLUMNS($AB$1006:AC1006),$AB$1006:$AQ$1006,0))&gt;=100000), " ",IF(INDEX($AB$2:$AQ$1001,MATCH(ROWS($U$2:U704),$U$2:$U$1001,0),MATCH(COLUMNS($AB$1006:AC1006),$AB$1006:$AQ$1006,0)), HYPERLINK("#",""), HYPERLINK(CONCATENATE("#metadata!", ADDRESS(INDEX($W$2:$W$1001,MATCH(ROWS($U$2:U704),$U$2:$U$1001,0),0), INDEX($AB$1004:$AQ$1004,1,MATCH(COLUMNS($AB$1006:AC1006),$AB$1006:$AQ$1006,0)))),"Fix")))</f>
        <v>0</v>
      </c>
      <c r="D704" s="4">
        <f>IF(OR(INDEX($V$2:$V$1001,MATCH(ROWS($U$2:U704),$U$2:$U$1001,0),1)&gt;=100000,INDEX($AB$1005:$AQ$1005,1,MATCH(COLUMNS($AB$1006:AD1006),$AB$1006:$AQ$1006,0))&gt;=100000), " ",IF(INDEX($AB$2:$AQ$1001,MATCH(ROWS($U$2:U704),$U$2:$U$1001,0),MATCH(COLUMNS($AB$1006:AD1006),$AB$1006:$AQ$1006,0)), HYPERLINK("#",""), HYPERLINK(CONCATENATE("#metadata!", ADDRESS(INDEX($W$2:$W$1001,MATCH(ROWS($U$2:U704),$U$2:$U$1001,0),0), INDEX($AB$1004:$AQ$1004,1,MATCH(COLUMNS($AB$1006:AD1006),$AB$1006:$AQ$1006,0)))),"Fix")))</f>
        <v>0</v>
      </c>
      <c r="E704" s="4">
        <f>IF(OR(INDEX($V$2:$V$1001,MATCH(ROWS($U$2:U704),$U$2:$U$1001,0),1)&gt;=100000,INDEX($AB$1005:$AQ$1005,1,MATCH(COLUMNS($AB$1006:AE1006),$AB$1006:$AQ$1006,0))&gt;=100000), " ",IF(INDEX($AB$2:$AQ$1001,MATCH(ROWS($U$2:U704),$U$2:$U$1001,0),MATCH(COLUMNS($AB$1006:AE1006),$AB$1006:$AQ$1006,0)), HYPERLINK("#",""), HYPERLINK(CONCATENATE("#metadata!", ADDRESS(INDEX($W$2:$W$1001,MATCH(ROWS($U$2:U704),$U$2:$U$1001,0),0), INDEX($AB$1004:$AQ$1004,1,MATCH(COLUMNS($AB$1006:AE1006),$AB$1006:$AQ$1006,0)))),"Fix")))</f>
        <v>0</v>
      </c>
      <c r="F704" s="4">
        <f>IF(OR(INDEX($V$2:$V$1001,MATCH(ROWS($U$2:U704),$U$2:$U$1001,0),1)&gt;=100000,INDEX($AB$1005:$AQ$1005,1,MATCH(COLUMNS($AB$1006:AF1006),$AB$1006:$AQ$1006,0))&gt;=100000), " ",IF(INDEX($AB$2:$AQ$1001,MATCH(ROWS($U$2:U704),$U$2:$U$1001,0),MATCH(COLUMNS($AB$1006:AF1006),$AB$1006:$AQ$1006,0)), HYPERLINK("#",""), HYPERLINK(CONCATENATE("#metadata!", ADDRESS(INDEX($W$2:$W$1001,MATCH(ROWS($U$2:U704),$U$2:$U$1001,0),0), INDEX($AB$1004:$AQ$1004,1,MATCH(COLUMNS($AB$1006:AF1006),$AB$1006:$AQ$1006,0)))),"Fix")))</f>
        <v>0</v>
      </c>
      <c r="G704" s="4">
        <f>IF(OR(INDEX($V$2:$V$1001,MATCH(ROWS($U$2:U704),$U$2:$U$1001,0),1)&gt;=100000,INDEX($AB$1005:$AQ$1005,1,MATCH(COLUMNS($AB$1006:AG1006),$AB$1006:$AQ$1006,0))&gt;=100000), " ",IF(INDEX($AB$2:$AQ$1001,MATCH(ROWS($U$2:U704),$U$2:$U$1001,0),MATCH(COLUMNS($AB$1006:AG1006),$AB$1006:$AQ$1006,0)), HYPERLINK("#",""), HYPERLINK(CONCATENATE("#metadata!", ADDRESS(INDEX($W$2:$W$1001,MATCH(ROWS($U$2:U704),$U$2:$U$1001,0),0), INDEX($AB$1004:$AQ$1004,1,MATCH(COLUMNS($AB$1006:AG1006),$AB$1006:$AQ$1006,0)))),"Fix")))</f>
        <v>0</v>
      </c>
      <c r="H704" s="4">
        <f>IF(OR(INDEX($V$2:$V$1001,MATCH(ROWS($U$2:U704),$U$2:$U$1001,0),1)&gt;=100000,INDEX($AB$1005:$AQ$1005,1,MATCH(COLUMNS($AB$1006:AH1006),$AB$1006:$AQ$1006,0))&gt;=100000), " ",IF(INDEX($AB$2:$AQ$1001,MATCH(ROWS($U$2:U704),$U$2:$U$1001,0),MATCH(COLUMNS($AB$1006:AH1006),$AB$1006:$AQ$1006,0)), HYPERLINK("#",""), HYPERLINK(CONCATENATE("#metadata!", ADDRESS(INDEX($W$2:$W$1001,MATCH(ROWS($U$2:U704),$U$2:$U$1001,0),0), INDEX($AB$1004:$AQ$1004,1,MATCH(COLUMNS($AB$1006:AH1006),$AB$1006:$AQ$1006,0)))),"Fix")))</f>
        <v>0</v>
      </c>
      <c r="I704" s="4">
        <f>IF(OR(INDEX($V$2:$V$1001,MATCH(ROWS($U$2:U704),$U$2:$U$1001,0),1)&gt;=100000,INDEX($AB$1005:$AQ$1005,1,MATCH(COLUMNS($AB$1006:AI1006),$AB$1006:$AQ$1006,0))&gt;=100000), " ",IF(INDEX($AB$2:$AQ$1001,MATCH(ROWS($U$2:U704),$U$2:$U$1001,0),MATCH(COLUMNS($AB$1006:AI1006),$AB$1006:$AQ$1006,0)), HYPERLINK("#",""), HYPERLINK(CONCATENATE("#metadata!", ADDRESS(INDEX($W$2:$W$1001,MATCH(ROWS($U$2:U704),$U$2:$U$1001,0),0), INDEX($AB$1004:$AQ$1004,1,MATCH(COLUMNS($AB$1006:AI1006),$AB$1006:$AQ$1006,0)))),"Fix")))</f>
        <v>0</v>
      </c>
      <c r="J704" s="4">
        <f>IF(OR(INDEX($V$2:$V$1001,MATCH(ROWS($U$2:U704),$U$2:$U$1001,0),1)&gt;=100000,INDEX($AB$1005:$AQ$1005,1,MATCH(COLUMNS($AB$1006:AJ1006),$AB$1006:$AQ$1006,0))&gt;=100000), " ",IF(INDEX($AB$2:$AQ$1001,MATCH(ROWS($U$2:U704),$U$2:$U$1001,0),MATCH(COLUMNS($AB$1006:AJ1006),$AB$1006:$AQ$1006,0)), HYPERLINK("#",""), HYPERLINK(CONCATENATE("#metadata!", ADDRESS(INDEX($W$2:$W$1001,MATCH(ROWS($U$2:U704),$U$2:$U$1001,0),0), INDEX($AB$1004:$AQ$1004,1,MATCH(COLUMNS($AB$1006:AJ1006),$AB$1006:$AQ$1006,0)))),"Fix")))</f>
        <v>0</v>
      </c>
      <c r="K704" s="4">
        <f>IF(OR(INDEX($V$2:$V$1001,MATCH(ROWS($U$2:U704),$U$2:$U$1001,0),1)&gt;=100000,INDEX($AB$1005:$AQ$1005,1,MATCH(COLUMNS($AB$1006:AK1006),$AB$1006:$AQ$1006,0))&gt;=100000), " ",IF(INDEX($AB$2:$AQ$1001,MATCH(ROWS($U$2:U704),$U$2:$U$1001,0),MATCH(COLUMNS($AB$1006:AK1006),$AB$1006:$AQ$1006,0)), HYPERLINK("#",""), HYPERLINK(CONCATENATE("#metadata!", ADDRESS(INDEX($W$2:$W$1001,MATCH(ROWS($U$2:U704),$U$2:$U$1001,0),0), INDEX($AB$1004:$AQ$1004,1,MATCH(COLUMNS($AB$1006:AK1006),$AB$1006:$AQ$1006,0)))),"Fix")))</f>
        <v>0</v>
      </c>
      <c r="L704" s="4">
        <f>IF(OR(INDEX($V$2:$V$1001,MATCH(ROWS($U$2:U704),$U$2:$U$1001,0),1)&gt;=100000,INDEX($AB$1005:$AQ$1005,1,MATCH(COLUMNS($AB$1006:AL1006),$AB$1006:$AQ$1006,0))&gt;=100000), " ",IF(INDEX($AB$2:$AQ$1001,MATCH(ROWS($U$2:U704),$U$2:$U$1001,0),MATCH(COLUMNS($AB$1006:AL1006),$AB$1006:$AQ$1006,0)), HYPERLINK("#",""), HYPERLINK(CONCATENATE("#metadata!", ADDRESS(INDEX($W$2:$W$1001,MATCH(ROWS($U$2:U704),$U$2:$U$1001,0),0), INDEX($AB$1004:$AQ$1004,1,MATCH(COLUMNS($AB$1006:AL1006),$AB$1006:$AQ$1006,0)))),"Fix")))</f>
        <v>0</v>
      </c>
      <c r="M704" s="4">
        <f>IF(OR(INDEX($V$2:$V$1001,MATCH(ROWS($U$2:U704),$U$2:$U$1001,0),1)&gt;=100000,INDEX($AB$1005:$AQ$1005,1,MATCH(COLUMNS($AB$1006:AM1006),$AB$1006:$AQ$1006,0))&gt;=100000), " ",IF(INDEX($AB$2:$AQ$1001,MATCH(ROWS($U$2:U704),$U$2:$U$1001,0),MATCH(COLUMNS($AB$1006:AM1006),$AB$1006:$AQ$1006,0)), HYPERLINK("#",""), HYPERLINK(CONCATENATE("#metadata!", ADDRESS(INDEX($W$2:$W$1001,MATCH(ROWS($U$2:U704),$U$2:$U$1001,0),0), INDEX($AB$1004:$AQ$1004,1,MATCH(COLUMNS($AB$1006:AM1006),$AB$1006:$AQ$1006,0)))),"Fix")))</f>
        <v>0</v>
      </c>
      <c r="N704" s="4">
        <f>IF(OR(INDEX($V$2:$V$1001,MATCH(ROWS($U$2:U704),$U$2:$U$1001,0),1)&gt;=100000,INDEX($AB$1005:$AQ$1005,1,MATCH(COLUMNS($AB$1006:AN1006),$AB$1006:$AQ$1006,0))&gt;=100000), " ",IF(INDEX($AB$2:$AQ$1001,MATCH(ROWS($U$2:U704),$U$2:$U$1001,0),MATCH(COLUMNS($AB$1006:AN1006),$AB$1006:$AQ$1006,0)), HYPERLINK("#",""), HYPERLINK(CONCATENATE("#metadata!", ADDRESS(INDEX($W$2:$W$1001,MATCH(ROWS($U$2:U704),$U$2:$U$1001,0),0), INDEX($AB$1004:$AQ$1004,1,MATCH(COLUMNS($AB$1006:AN1006),$AB$1006:$AQ$1006,0)))),"Fix")))</f>
        <v>0</v>
      </c>
      <c r="O704" s="4">
        <f>IF(OR(INDEX($V$2:$V$1001,MATCH(ROWS($U$2:U704),$U$2:$U$1001,0),1)&gt;=100000,INDEX($AB$1005:$AQ$1005,1,MATCH(COLUMNS($AB$1006:AO1006),$AB$1006:$AQ$1006,0))&gt;=100000), " ",IF(INDEX($AB$2:$AQ$1001,MATCH(ROWS($U$2:U704),$U$2:$U$1001,0),MATCH(COLUMNS($AB$1006:AO1006),$AB$1006:$AQ$1006,0)), HYPERLINK("#",""), HYPERLINK(CONCATENATE("#metadata!", ADDRESS(INDEX($W$2:$W$1001,MATCH(ROWS($U$2:U704),$U$2:$U$1001,0),0), INDEX($AB$1004:$AQ$1004,1,MATCH(COLUMNS($AB$1006:AO1006),$AB$1006:$AQ$1006,0)))),"Fix")))</f>
        <v>0</v>
      </c>
      <c r="P704" s="4">
        <f>IF(OR(INDEX($V$2:$V$1001,MATCH(ROWS($U$2:U704),$U$2:$U$1001,0),1)&gt;=100000,INDEX($AB$1005:$AQ$1005,1,MATCH(COLUMNS($AB$1006:AP1006),$AB$1006:$AQ$1006,0))&gt;=100000), " ",IF(INDEX($AB$2:$AQ$1001,MATCH(ROWS($U$2:U704),$U$2:$U$1001,0),MATCH(COLUMNS($AB$1006:AP1006),$AB$1006:$AQ$1006,0)), HYPERLINK("#",""), HYPERLINK(CONCATENATE("#metadata!", ADDRESS(INDEX($W$2:$W$1001,MATCH(ROWS($U$2:U704),$U$2:$U$1001,0),0), INDEX($AB$1004:$AQ$1004,1,MATCH(COLUMNS($AB$1006:AP1006),$AB$1006:$AQ$1006,0)))),"Fix")))</f>
        <v>0</v>
      </c>
      <c r="Q704" s="4">
        <f>IF(OR(INDEX($V$2:$V$1001,MATCH(ROWS($U$2:U704),$U$2:$U$1001,0),1)&gt;=100000,INDEX($AB$1005:$AQ$1005,1,MATCH(COLUMNS($AB$1006:AQ1006),$AB$1006:$AQ$1006,0))&gt;=100000), " ",IF(INDEX($AB$2:$AQ$1001,MATCH(ROWS($U$2:U704),$U$2:$U$1001,0),MATCH(COLUMNS($AB$1006:AQ1006),$AB$1006:$AQ$1006,0)), HYPERLINK("#",""), HYPERLINK(CONCATENATE("#metadata!", ADDRESS(INDEX($W$2:$W$1001,MATCH(ROWS($U$2:U704),$U$2:$U$1001,0),0), INDEX($AB$1004:$AQ$1004,1,MATCH(COLUMNS($AB$1006:AQ1006),$AB$1006:$AQ$1006,0)))),"Fix")))</f>
        <v>0</v>
      </c>
      <c r="U704">
        <v>0</v>
      </c>
      <c r="V704">
        <v>0</v>
      </c>
      <c r="W704">
        <v>0</v>
      </c>
      <c r="X704">
        <f>IF(Y704,TRUE,AND(AB704:AQ704))</f>
        <v>0</v>
      </c>
      <c r="Y704">
        <f>COUNTBLANK(metadata!B704:Q704)=COLUMNS(metadata!B704:Q704)</f>
        <v>0</v>
      </c>
      <c r="Z704">
        <v>0</v>
      </c>
      <c r="AB704">
        <f>AND(IF(metadata!B704="",FALSE,TRUE),COUNTIF(metadata!B:B, metadata!B704) = 1,NOT(ISERROR(SUMPRODUCT(SEARCH(MID(metadata!B704,ROW(INDIRECT("1:"&amp;LEN(metadata!B704))), 1),"0123456789abcdefghijklmnopqrstuvwxyzABCDEFGHIJKLMNOPQRSTUVWXYZ.")))))</f>
        <v>0</v>
      </c>
      <c r="AC704">
        <f>OR(AND(IF(metadata!C704="",FALSE,TRUE),OR(exact(metadata!C704,"missing: not collected"),exact(metadata!C704,"missing: not provided"),exact(metadata!C704,"missing: restricted access"))),AND(IF(metadata!C704="",FALSE,TRUE),AND(AND(IFERROR(INT(LEFT(metadata!C704,4))&gt;1900,FALSE),IFERROR(INT(LEFT(metadata!C704,4))&lt;=YEAR(NOW()),FALSE)), OR(MID(metadata!C704,5,1)="", AND(AND(MID(metadata!C704,5,1)="-",IFERROR(INT(MID(metadata!C704,6,1))&gt;=0,FALSE),IFERROR(INT(MID(metadata!C704,6,1))&lt;=1,FALSE),NOT(MID(metadata!C704,7,1)=""),IFERROR(INT(MID(metadata!C704,6,2))&gt;=1,FALSE),IFERROR(INT(MID(metadata!C704,6,2))&lt;=12,FALSE)), OR(MID(metadata!C704,8,1)="", AND(AND(MID(metadata!C704,8,1)="-",IFERROR(INT(MID(metadata!C704,9,1))&gt;=0,FALSE),IFERROR(INT(MID(metadata!C704,9,1))&lt;=3,FALSE),NOT(MID(metadata!C704,10,1)=""),IFERROR(INT(MID(metadata!C704,9,2))&gt;=1,FALSE),IFERROR(INT(MID(metadata!C704,9,2))&lt;=31,FALSE)), OR(MID(metadata!C704,11,1)="", AND(AND(MID(metadata!C704,11,1)=" ",IFERROR(INT(MID(metadata!C704,12,1))&gt;=0,FALSE),IFERROR(INT(MID(metadata!C704,12,1))&lt;=2,FALSE),NOT(MID(metadata!C704,13,1)=""),IFERROR(INT(MID(metadata!C704,12,2))&gt;=0,FALSE),IFERROR(INT(MID(metadata!C704,12,2))&lt;=23,FALSE)), OR(MID(metadata!C704,14,1)="", AND(AND(MID(metadata!C704,14,1)=":",IFERROR(INT(MID(metadata!C704,15,1))&gt;=0,FALSE),IFERROR(INT(MID(metadata!C704,15,1))&lt;=5,FALSE),NOT(MID(metadata!C704,16,1)=""),IFERROR(INT(MID(metadata!C704,15,2))&gt;=0,FALSE),IFERROR(INT(MID(metadata!C704,15,2))&lt;=59,FALSE)), OR(MID(metadata!C704,17,1)="", AND(AND(MID(metadata!C704,17,1)=":",IFERROR(INT(MID(metadata!C704,18,1))&gt;=0,FALSE),IFERROR(INT(MID(metadata!C704,18,1))&lt;=5,FALSE),NOT(MID(metadata!C704,19,1)=""),IFERROR(INT(MID(metadata!C704,18,2))&gt;=0,FALSE),IFERROR(INT(MID(metadata!C704,18,2))&lt;=59,FALSE)), LEN(metadata!C704)&lt;=19)))))))))))))</f>
        <v>0</v>
      </c>
      <c r="AD704">
        <f>IF(metadata!D704="",FALSE,TRUE)</f>
        <v>0</v>
      </c>
      <c r="AE704">
        <f>OR(AND(IF(metadata!E704="",FALSE,TRUE),OR(exact(metadata!E704,"missing: not collected"),exact(metadata!E704,"missing: not provided"))),AND(IF(metadata!E704="",FALSE,TRUE),OR(exact(metadata!E704,"TRUE"),exact(metadata!E704,"FALSE"))))</f>
        <v>0</v>
      </c>
      <c r="AF704">
        <f>IF(metadata!F704="",FALSE,TRUE)</f>
        <v>0</v>
      </c>
      <c r="AG704">
        <f>IF(metadata!G704="",FALSE,TRUE)</f>
        <v>0</v>
      </c>
      <c r="AH704">
        <f>IF(metadata!H704="",FALSE,TRUE)</f>
        <v>0</v>
      </c>
      <c r="AI704">
        <f>OR(AND(IF(metadata!I704="",FALSE,TRUE),OR(exact(metadata!I704,"missing: not collected"),exact(metadata!I704,"missing: not provided"),exact(metadata!I704,"missing: restricted access"))),AND(IF(metadata!I704="",FALSE,TRUE),OR(exact(metadata!I704,"air"),exact(metadata!I704,"built environment"),exact(metadata!I704,"host-associated"),exact(metadata!I704,"human-associated"),exact(metadata!I704,"human-skin"),exact(metadata!I704,"human-oral"),exact(metadata!I704,"human-gut"),exact(metadata!I704,"human-vaginal"),exact(metadata!I704,"microbial mat/biofilm"),exact(metadata!I704,"misc environment"),exact(metadata!I704,"plant-associated"),exact(metadata!I704,"sediment"),exact(metadata!I704,"soil"),exact(metadata!I704,"wastewater/sludge"),exact(metadata!I704,"water"))))</f>
        <v>0</v>
      </c>
      <c r="AJ704">
        <f>IF(metadata!J704="",FALSE,TRUE)</f>
        <v>0</v>
      </c>
      <c r="AK704">
        <f>OR(AND(IF(metadata!K704="",FALSE,TRUE),OR(exact(metadata!K704,"missing: not collected"),exact(metadata!K704,"missing: not provided"),exact(metadata!K704,"missing: restricted access"))),AND(IF(metadata!K704="",FALSE,ISNUMBER(VALUE(metadata!K704))),metadata!K704&gt;=-90.00,metadata!K704&lt;=90.00))</f>
        <v>0</v>
      </c>
      <c r="AL704">
        <f>OR(AND(IF(metadata!L704="",FALSE,TRUE),OR(exact(metadata!L704,"missing: not collected"),exact(metadata!L704,"missing: not provided"),exact(metadata!L704,"missing: restricted access"))),AND(IF(metadata!L704="",FALSE,ISNUMBER(VALUE(metadata!L704))),metadata!L704&gt;=-180.00,metadata!L704&lt;=180.00))</f>
        <v>0</v>
      </c>
      <c r="AM704">
        <f>IF(metadata!M704="",FALSE,TRUE)</f>
        <v>0</v>
      </c>
      <c r="AN704">
        <f>OR(AND(IF(metadata!N704="",FALSE,TRUE),OR(exact(metadata!N704,"missing: not collected"),exact(metadata!N704,"missing: not provided"),exact(metadata!N704,"missing: restricted access"))),AND(IF(metadata!N704="",FALSE,TRUE),OR(exact(metadata!N704,"TRUE"),exact(metadata!N704,"FALSE"))))</f>
        <v>0</v>
      </c>
      <c r="AO704">
        <f>IF(metadata!O704="",FALSE,TRUE)</f>
        <v>0</v>
      </c>
      <c r="AP704">
        <f>OR(AND(IF(metadata!P704="",FALSE,TRUE),OR(exact(metadata!P704,"missing: not collected"),exact(metadata!P704,"missing: not provided"))),AND(IF(metadata!P704="",FALSE,IF(ISERROR(INT(metadata!P704)),FALSE,INT(metadata!P704)=metadata!P704)),metadata!P704&gt;0))</f>
        <v>0</v>
      </c>
      <c r="AQ704">
        <f>IF(metadata!Q704="",FALSE,TRUE)</f>
        <v>0</v>
      </c>
    </row>
    <row r="705" spans="1:43">
      <c r="A705" s="5">
        <f>IF(B705=" "," ",HYPERLINK(CONCATENATE("#metadata!",ADDRESS(INDEX($W$2:$W$1001,MATCH(ROWS($U$2:U705),$U$2:$U$1001,0),0),1)),INDEX($Z$2:$Z$1001,MATCH(ROWS($U$2:U705),$U$2:$U$1001,0),0)))</f>
        <v>0</v>
      </c>
      <c r="B705" s="4">
        <f>IF(OR(INDEX($V$2:$V$1001,MATCH(ROWS($U$2:U705),$U$2:$U$1001,0),1)&gt;=100000,INDEX($AB$1005:$AQ$1005,1,MATCH(COLUMNS($AB$1006:AB1006),$AB$1006:$AQ$1006,0))&gt;=100000), " ",IF(INDEX($AB$2:$AQ$1001,MATCH(ROWS($U$2:U705),$U$2:$U$1001,0),MATCH(COLUMNS($AB$1006:AB1006),$AB$1006:$AQ$1006,0)), HYPERLINK("#",""), HYPERLINK(CONCATENATE("#metadata!", ADDRESS(INDEX($W$2:$W$1001,MATCH(ROWS($U$2:U705),$U$2:$U$1001,0),0), INDEX($AB$1004:$AQ$1004,1,MATCH(COLUMNS($AB$1006:AB1006),$AB$1006:$AQ$1006,0)))),"Fix")))</f>
        <v>0</v>
      </c>
      <c r="C705" s="4">
        <f>IF(OR(INDEX($V$2:$V$1001,MATCH(ROWS($U$2:U705),$U$2:$U$1001,0),1)&gt;=100000,INDEX($AB$1005:$AQ$1005,1,MATCH(COLUMNS($AB$1006:AC1006),$AB$1006:$AQ$1006,0))&gt;=100000), " ",IF(INDEX($AB$2:$AQ$1001,MATCH(ROWS($U$2:U705),$U$2:$U$1001,0),MATCH(COLUMNS($AB$1006:AC1006),$AB$1006:$AQ$1006,0)), HYPERLINK("#",""), HYPERLINK(CONCATENATE("#metadata!", ADDRESS(INDEX($W$2:$W$1001,MATCH(ROWS($U$2:U705),$U$2:$U$1001,0),0), INDEX($AB$1004:$AQ$1004,1,MATCH(COLUMNS($AB$1006:AC1006),$AB$1006:$AQ$1006,0)))),"Fix")))</f>
        <v>0</v>
      </c>
      <c r="D705" s="4">
        <f>IF(OR(INDEX($V$2:$V$1001,MATCH(ROWS($U$2:U705),$U$2:$U$1001,0),1)&gt;=100000,INDEX($AB$1005:$AQ$1005,1,MATCH(COLUMNS($AB$1006:AD1006),$AB$1006:$AQ$1006,0))&gt;=100000), " ",IF(INDEX($AB$2:$AQ$1001,MATCH(ROWS($U$2:U705),$U$2:$U$1001,0),MATCH(COLUMNS($AB$1006:AD1006),$AB$1006:$AQ$1006,0)), HYPERLINK("#",""), HYPERLINK(CONCATENATE("#metadata!", ADDRESS(INDEX($W$2:$W$1001,MATCH(ROWS($U$2:U705),$U$2:$U$1001,0),0), INDEX($AB$1004:$AQ$1004,1,MATCH(COLUMNS($AB$1006:AD1006),$AB$1006:$AQ$1006,0)))),"Fix")))</f>
        <v>0</v>
      </c>
      <c r="E705" s="4">
        <f>IF(OR(INDEX($V$2:$V$1001,MATCH(ROWS($U$2:U705),$U$2:$U$1001,0),1)&gt;=100000,INDEX($AB$1005:$AQ$1005,1,MATCH(COLUMNS($AB$1006:AE1006),$AB$1006:$AQ$1006,0))&gt;=100000), " ",IF(INDEX($AB$2:$AQ$1001,MATCH(ROWS($U$2:U705),$U$2:$U$1001,0),MATCH(COLUMNS($AB$1006:AE1006),$AB$1006:$AQ$1006,0)), HYPERLINK("#",""), HYPERLINK(CONCATENATE("#metadata!", ADDRESS(INDEX($W$2:$W$1001,MATCH(ROWS($U$2:U705),$U$2:$U$1001,0),0), INDEX($AB$1004:$AQ$1004,1,MATCH(COLUMNS($AB$1006:AE1006),$AB$1006:$AQ$1006,0)))),"Fix")))</f>
        <v>0</v>
      </c>
      <c r="F705" s="4">
        <f>IF(OR(INDEX($V$2:$V$1001,MATCH(ROWS($U$2:U705),$U$2:$U$1001,0),1)&gt;=100000,INDEX($AB$1005:$AQ$1005,1,MATCH(COLUMNS($AB$1006:AF1006),$AB$1006:$AQ$1006,0))&gt;=100000), " ",IF(INDEX($AB$2:$AQ$1001,MATCH(ROWS($U$2:U705),$U$2:$U$1001,0),MATCH(COLUMNS($AB$1006:AF1006),$AB$1006:$AQ$1006,0)), HYPERLINK("#",""), HYPERLINK(CONCATENATE("#metadata!", ADDRESS(INDEX($W$2:$W$1001,MATCH(ROWS($U$2:U705),$U$2:$U$1001,0),0), INDEX($AB$1004:$AQ$1004,1,MATCH(COLUMNS($AB$1006:AF1006),$AB$1006:$AQ$1006,0)))),"Fix")))</f>
        <v>0</v>
      </c>
      <c r="G705" s="4">
        <f>IF(OR(INDEX($V$2:$V$1001,MATCH(ROWS($U$2:U705),$U$2:$U$1001,0),1)&gt;=100000,INDEX($AB$1005:$AQ$1005,1,MATCH(COLUMNS($AB$1006:AG1006),$AB$1006:$AQ$1006,0))&gt;=100000), " ",IF(INDEX($AB$2:$AQ$1001,MATCH(ROWS($U$2:U705),$U$2:$U$1001,0),MATCH(COLUMNS($AB$1006:AG1006),$AB$1006:$AQ$1006,0)), HYPERLINK("#",""), HYPERLINK(CONCATENATE("#metadata!", ADDRESS(INDEX($W$2:$W$1001,MATCH(ROWS($U$2:U705),$U$2:$U$1001,0),0), INDEX($AB$1004:$AQ$1004,1,MATCH(COLUMNS($AB$1006:AG1006),$AB$1006:$AQ$1006,0)))),"Fix")))</f>
        <v>0</v>
      </c>
      <c r="H705" s="4">
        <f>IF(OR(INDEX($V$2:$V$1001,MATCH(ROWS($U$2:U705),$U$2:$U$1001,0),1)&gt;=100000,INDEX($AB$1005:$AQ$1005,1,MATCH(COLUMNS($AB$1006:AH1006),$AB$1006:$AQ$1006,0))&gt;=100000), " ",IF(INDEX($AB$2:$AQ$1001,MATCH(ROWS($U$2:U705),$U$2:$U$1001,0),MATCH(COLUMNS($AB$1006:AH1006),$AB$1006:$AQ$1006,0)), HYPERLINK("#",""), HYPERLINK(CONCATENATE("#metadata!", ADDRESS(INDEX($W$2:$W$1001,MATCH(ROWS($U$2:U705),$U$2:$U$1001,0),0), INDEX($AB$1004:$AQ$1004,1,MATCH(COLUMNS($AB$1006:AH1006),$AB$1006:$AQ$1006,0)))),"Fix")))</f>
        <v>0</v>
      </c>
      <c r="I705" s="4">
        <f>IF(OR(INDEX($V$2:$V$1001,MATCH(ROWS($U$2:U705),$U$2:$U$1001,0),1)&gt;=100000,INDEX($AB$1005:$AQ$1005,1,MATCH(COLUMNS($AB$1006:AI1006),$AB$1006:$AQ$1006,0))&gt;=100000), " ",IF(INDEX($AB$2:$AQ$1001,MATCH(ROWS($U$2:U705),$U$2:$U$1001,0),MATCH(COLUMNS($AB$1006:AI1006),$AB$1006:$AQ$1006,0)), HYPERLINK("#",""), HYPERLINK(CONCATENATE("#metadata!", ADDRESS(INDEX($W$2:$W$1001,MATCH(ROWS($U$2:U705),$U$2:$U$1001,0),0), INDEX($AB$1004:$AQ$1004,1,MATCH(COLUMNS($AB$1006:AI1006),$AB$1006:$AQ$1006,0)))),"Fix")))</f>
        <v>0</v>
      </c>
      <c r="J705" s="4">
        <f>IF(OR(INDEX($V$2:$V$1001,MATCH(ROWS($U$2:U705),$U$2:$U$1001,0),1)&gt;=100000,INDEX($AB$1005:$AQ$1005,1,MATCH(COLUMNS($AB$1006:AJ1006),$AB$1006:$AQ$1006,0))&gt;=100000), " ",IF(INDEX($AB$2:$AQ$1001,MATCH(ROWS($U$2:U705),$U$2:$U$1001,0),MATCH(COLUMNS($AB$1006:AJ1006),$AB$1006:$AQ$1006,0)), HYPERLINK("#",""), HYPERLINK(CONCATENATE("#metadata!", ADDRESS(INDEX($W$2:$W$1001,MATCH(ROWS($U$2:U705),$U$2:$U$1001,0),0), INDEX($AB$1004:$AQ$1004,1,MATCH(COLUMNS($AB$1006:AJ1006),$AB$1006:$AQ$1006,0)))),"Fix")))</f>
        <v>0</v>
      </c>
      <c r="K705" s="4">
        <f>IF(OR(INDEX($V$2:$V$1001,MATCH(ROWS($U$2:U705),$U$2:$U$1001,0),1)&gt;=100000,INDEX($AB$1005:$AQ$1005,1,MATCH(COLUMNS($AB$1006:AK1006),$AB$1006:$AQ$1006,0))&gt;=100000), " ",IF(INDEX($AB$2:$AQ$1001,MATCH(ROWS($U$2:U705),$U$2:$U$1001,0),MATCH(COLUMNS($AB$1006:AK1006),$AB$1006:$AQ$1006,0)), HYPERLINK("#",""), HYPERLINK(CONCATENATE("#metadata!", ADDRESS(INDEX($W$2:$W$1001,MATCH(ROWS($U$2:U705),$U$2:$U$1001,0),0), INDEX($AB$1004:$AQ$1004,1,MATCH(COLUMNS($AB$1006:AK1006),$AB$1006:$AQ$1006,0)))),"Fix")))</f>
        <v>0</v>
      </c>
      <c r="L705" s="4">
        <f>IF(OR(INDEX($V$2:$V$1001,MATCH(ROWS($U$2:U705),$U$2:$U$1001,0),1)&gt;=100000,INDEX($AB$1005:$AQ$1005,1,MATCH(COLUMNS($AB$1006:AL1006),$AB$1006:$AQ$1006,0))&gt;=100000), " ",IF(INDEX($AB$2:$AQ$1001,MATCH(ROWS($U$2:U705),$U$2:$U$1001,0),MATCH(COLUMNS($AB$1006:AL1006),$AB$1006:$AQ$1006,0)), HYPERLINK("#",""), HYPERLINK(CONCATENATE("#metadata!", ADDRESS(INDEX($W$2:$W$1001,MATCH(ROWS($U$2:U705),$U$2:$U$1001,0),0), INDEX($AB$1004:$AQ$1004,1,MATCH(COLUMNS($AB$1006:AL1006),$AB$1006:$AQ$1006,0)))),"Fix")))</f>
        <v>0</v>
      </c>
      <c r="M705" s="4">
        <f>IF(OR(INDEX($V$2:$V$1001,MATCH(ROWS($U$2:U705),$U$2:$U$1001,0),1)&gt;=100000,INDEX($AB$1005:$AQ$1005,1,MATCH(COLUMNS($AB$1006:AM1006),$AB$1006:$AQ$1006,0))&gt;=100000), " ",IF(INDEX($AB$2:$AQ$1001,MATCH(ROWS($U$2:U705),$U$2:$U$1001,0),MATCH(COLUMNS($AB$1006:AM1006),$AB$1006:$AQ$1006,0)), HYPERLINK("#",""), HYPERLINK(CONCATENATE("#metadata!", ADDRESS(INDEX($W$2:$W$1001,MATCH(ROWS($U$2:U705),$U$2:$U$1001,0),0), INDEX($AB$1004:$AQ$1004,1,MATCH(COLUMNS($AB$1006:AM1006),$AB$1006:$AQ$1006,0)))),"Fix")))</f>
        <v>0</v>
      </c>
      <c r="N705" s="4">
        <f>IF(OR(INDEX($V$2:$V$1001,MATCH(ROWS($U$2:U705),$U$2:$U$1001,0),1)&gt;=100000,INDEX($AB$1005:$AQ$1005,1,MATCH(COLUMNS($AB$1006:AN1006),$AB$1006:$AQ$1006,0))&gt;=100000), " ",IF(INDEX($AB$2:$AQ$1001,MATCH(ROWS($U$2:U705),$U$2:$U$1001,0),MATCH(COLUMNS($AB$1006:AN1006),$AB$1006:$AQ$1006,0)), HYPERLINK("#",""), HYPERLINK(CONCATENATE("#metadata!", ADDRESS(INDEX($W$2:$W$1001,MATCH(ROWS($U$2:U705),$U$2:$U$1001,0),0), INDEX($AB$1004:$AQ$1004,1,MATCH(COLUMNS($AB$1006:AN1006),$AB$1006:$AQ$1006,0)))),"Fix")))</f>
        <v>0</v>
      </c>
      <c r="O705" s="4">
        <f>IF(OR(INDEX($V$2:$V$1001,MATCH(ROWS($U$2:U705),$U$2:$U$1001,0),1)&gt;=100000,INDEX($AB$1005:$AQ$1005,1,MATCH(COLUMNS($AB$1006:AO1006),$AB$1006:$AQ$1006,0))&gt;=100000), " ",IF(INDEX($AB$2:$AQ$1001,MATCH(ROWS($U$2:U705),$U$2:$U$1001,0),MATCH(COLUMNS($AB$1006:AO1006),$AB$1006:$AQ$1006,0)), HYPERLINK("#",""), HYPERLINK(CONCATENATE("#metadata!", ADDRESS(INDEX($W$2:$W$1001,MATCH(ROWS($U$2:U705),$U$2:$U$1001,0),0), INDEX($AB$1004:$AQ$1004,1,MATCH(COLUMNS($AB$1006:AO1006),$AB$1006:$AQ$1006,0)))),"Fix")))</f>
        <v>0</v>
      </c>
      <c r="P705" s="4">
        <f>IF(OR(INDEX($V$2:$V$1001,MATCH(ROWS($U$2:U705),$U$2:$U$1001,0),1)&gt;=100000,INDEX($AB$1005:$AQ$1005,1,MATCH(COLUMNS($AB$1006:AP1006),$AB$1006:$AQ$1006,0))&gt;=100000), " ",IF(INDEX($AB$2:$AQ$1001,MATCH(ROWS($U$2:U705),$U$2:$U$1001,0),MATCH(COLUMNS($AB$1006:AP1006),$AB$1006:$AQ$1006,0)), HYPERLINK("#",""), HYPERLINK(CONCATENATE("#metadata!", ADDRESS(INDEX($W$2:$W$1001,MATCH(ROWS($U$2:U705),$U$2:$U$1001,0),0), INDEX($AB$1004:$AQ$1004,1,MATCH(COLUMNS($AB$1006:AP1006),$AB$1006:$AQ$1006,0)))),"Fix")))</f>
        <v>0</v>
      </c>
      <c r="Q705" s="4">
        <f>IF(OR(INDEX($V$2:$V$1001,MATCH(ROWS($U$2:U705),$U$2:$U$1001,0),1)&gt;=100000,INDEX($AB$1005:$AQ$1005,1,MATCH(COLUMNS($AB$1006:AQ1006),$AB$1006:$AQ$1006,0))&gt;=100000), " ",IF(INDEX($AB$2:$AQ$1001,MATCH(ROWS($U$2:U705),$U$2:$U$1001,0),MATCH(COLUMNS($AB$1006:AQ1006),$AB$1006:$AQ$1006,0)), HYPERLINK("#",""), HYPERLINK(CONCATENATE("#metadata!", ADDRESS(INDEX($W$2:$W$1001,MATCH(ROWS($U$2:U705),$U$2:$U$1001,0),0), INDEX($AB$1004:$AQ$1004,1,MATCH(COLUMNS($AB$1006:AQ1006),$AB$1006:$AQ$1006,0)))),"Fix")))</f>
        <v>0</v>
      </c>
      <c r="U705">
        <v>0</v>
      </c>
      <c r="V705">
        <v>0</v>
      </c>
      <c r="W705">
        <v>0</v>
      </c>
      <c r="X705">
        <f>IF(Y705,TRUE,AND(AB705:AQ705))</f>
        <v>0</v>
      </c>
      <c r="Y705">
        <f>COUNTBLANK(metadata!B705:Q705)=COLUMNS(metadata!B705:Q705)</f>
        <v>0</v>
      </c>
      <c r="Z705">
        <v>0</v>
      </c>
      <c r="AB705">
        <f>AND(IF(metadata!B705="",FALSE,TRUE),COUNTIF(metadata!B:B, metadata!B705) = 1,NOT(ISERROR(SUMPRODUCT(SEARCH(MID(metadata!B705,ROW(INDIRECT("1:"&amp;LEN(metadata!B705))), 1),"0123456789abcdefghijklmnopqrstuvwxyzABCDEFGHIJKLMNOPQRSTUVWXYZ.")))))</f>
        <v>0</v>
      </c>
      <c r="AC705">
        <f>OR(AND(IF(metadata!C705="",FALSE,TRUE),OR(exact(metadata!C705,"missing: not collected"),exact(metadata!C705,"missing: not provided"),exact(metadata!C705,"missing: restricted access"))),AND(IF(metadata!C705="",FALSE,TRUE),AND(AND(IFERROR(INT(LEFT(metadata!C705,4))&gt;1900,FALSE),IFERROR(INT(LEFT(metadata!C705,4))&lt;=YEAR(NOW()),FALSE)), OR(MID(metadata!C705,5,1)="", AND(AND(MID(metadata!C705,5,1)="-",IFERROR(INT(MID(metadata!C705,6,1))&gt;=0,FALSE),IFERROR(INT(MID(metadata!C705,6,1))&lt;=1,FALSE),NOT(MID(metadata!C705,7,1)=""),IFERROR(INT(MID(metadata!C705,6,2))&gt;=1,FALSE),IFERROR(INT(MID(metadata!C705,6,2))&lt;=12,FALSE)), OR(MID(metadata!C705,8,1)="", AND(AND(MID(metadata!C705,8,1)="-",IFERROR(INT(MID(metadata!C705,9,1))&gt;=0,FALSE),IFERROR(INT(MID(metadata!C705,9,1))&lt;=3,FALSE),NOT(MID(metadata!C705,10,1)=""),IFERROR(INT(MID(metadata!C705,9,2))&gt;=1,FALSE),IFERROR(INT(MID(metadata!C705,9,2))&lt;=31,FALSE)), OR(MID(metadata!C705,11,1)="", AND(AND(MID(metadata!C705,11,1)=" ",IFERROR(INT(MID(metadata!C705,12,1))&gt;=0,FALSE),IFERROR(INT(MID(metadata!C705,12,1))&lt;=2,FALSE),NOT(MID(metadata!C705,13,1)=""),IFERROR(INT(MID(metadata!C705,12,2))&gt;=0,FALSE),IFERROR(INT(MID(metadata!C705,12,2))&lt;=23,FALSE)), OR(MID(metadata!C705,14,1)="", AND(AND(MID(metadata!C705,14,1)=":",IFERROR(INT(MID(metadata!C705,15,1))&gt;=0,FALSE),IFERROR(INT(MID(metadata!C705,15,1))&lt;=5,FALSE),NOT(MID(metadata!C705,16,1)=""),IFERROR(INT(MID(metadata!C705,15,2))&gt;=0,FALSE),IFERROR(INT(MID(metadata!C705,15,2))&lt;=59,FALSE)), OR(MID(metadata!C705,17,1)="", AND(AND(MID(metadata!C705,17,1)=":",IFERROR(INT(MID(metadata!C705,18,1))&gt;=0,FALSE),IFERROR(INT(MID(metadata!C705,18,1))&lt;=5,FALSE),NOT(MID(metadata!C705,19,1)=""),IFERROR(INT(MID(metadata!C705,18,2))&gt;=0,FALSE),IFERROR(INT(MID(metadata!C705,18,2))&lt;=59,FALSE)), LEN(metadata!C705)&lt;=19)))))))))))))</f>
        <v>0</v>
      </c>
      <c r="AD705">
        <f>IF(metadata!D705="",FALSE,TRUE)</f>
        <v>0</v>
      </c>
      <c r="AE705">
        <f>OR(AND(IF(metadata!E705="",FALSE,TRUE),OR(exact(metadata!E705,"missing: not collected"),exact(metadata!E705,"missing: not provided"))),AND(IF(metadata!E705="",FALSE,TRUE),OR(exact(metadata!E705,"TRUE"),exact(metadata!E705,"FALSE"))))</f>
        <v>0</v>
      </c>
      <c r="AF705">
        <f>IF(metadata!F705="",FALSE,TRUE)</f>
        <v>0</v>
      </c>
      <c r="AG705">
        <f>IF(metadata!G705="",FALSE,TRUE)</f>
        <v>0</v>
      </c>
      <c r="AH705">
        <f>IF(metadata!H705="",FALSE,TRUE)</f>
        <v>0</v>
      </c>
      <c r="AI705">
        <f>OR(AND(IF(metadata!I705="",FALSE,TRUE),OR(exact(metadata!I705,"missing: not collected"),exact(metadata!I705,"missing: not provided"),exact(metadata!I705,"missing: restricted access"))),AND(IF(metadata!I705="",FALSE,TRUE),OR(exact(metadata!I705,"air"),exact(metadata!I705,"built environment"),exact(metadata!I705,"host-associated"),exact(metadata!I705,"human-associated"),exact(metadata!I705,"human-skin"),exact(metadata!I705,"human-oral"),exact(metadata!I705,"human-gut"),exact(metadata!I705,"human-vaginal"),exact(metadata!I705,"microbial mat/biofilm"),exact(metadata!I705,"misc environment"),exact(metadata!I705,"plant-associated"),exact(metadata!I705,"sediment"),exact(metadata!I705,"soil"),exact(metadata!I705,"wastewater/sludge"),exact(metadata!I705,"water"))))</f>
        <v>0</v>
      </c>
      <c r="AJ705">
        <f>IF(metadata!J705="",FALSE,TRUE)</f>
        <v>0</v>
      </c>
      <c r="AK705">
        <f>OR(AND(IF(metadata!K705="",FALSE,TRUE),OR(exact(metadata!K705,"missing: not collected"),exact(metadata!K705,"missing: not provided"),exact(metadata!K705,"missing: restricted access"))),AND(IF(metadata!K705="",FALSE,ISNUMBER(VALUE(metadata!K705))),metadata!K705&gt;=-90.00,metadata!K705&lt;=90.00))</f>
        <v>0</v>
      </c>
      <c r="AL705">
        <f>OR(AND(IF(metadata!L705="",FALSE,TRUE),OR(exact(metadata!L705,"missing: not collected"),exact(metadata!L705,"missing: not provided"),exact(metadata!L705,"missing: restricted access"))),AND(IF(metadata!L705="",FALSE,ISNUMBER(VALUE(metadata!L705))),metadata!L705&gt;=-180.00,metadata!L705&lt;=180.00))</f>
        <v>0</v>
      </c>
      <c r="AM705">
        <f>IF(metadata!M705="",FALSE,TRUE)</f>
        <v>0</v>
      </c>
      <c r="AN705">
        <f>OR(AND(IF(metadata!N705="",FALSE,TRUE),OR(exact(metadata!N705,"missing: not collected"),exact(metadata!N705,"missing: not provided"),exact(metadata!N705,"missing: restricted access"))),AND(IF(metadata!N705="",FALSE,TRUE),OR(exact(metadata!N705,"TRUE"),exact(metadata!N705,"FALSE"))))</f>
        <v>0</v>
      </c>
      <c r="AO705">
        <f>IF(metadata!O705="",FALSE,TRUE)</f>
        <v>0</v>
      </c>
      <c r="AP705">
        <f>OR(AND(IF(metadata!P705="",FALSE,TRUE),OR(exact(metadata!P705,"missing: not collected"),exact(metadata!P705,"missing: not provided"))),AND(IF(metadata!P705="",FALSE,IF(ISERROR(INT(metadata!P705)),FALSE,INT(metadata!P705)=metadata!P705)),metadata!P705&gt;0))</f>
        <v>0</v>
      </c>
      <c r="AQ705">
        <f>IF(metadata!Q705="",FALSE,TRUE)</f>
        <v>0</v>
      </c>
    </row>
    <row r="706" spans="1:43">
      <c r="A706" s="5">
        <f>IF(B706=" "," ",HYPERLINK(CONCATENATE("#metadata!",ADDRESS(INDEX($W$2:$W$1001,MATCH(ROWS($U$2:U706),$U$2:$U$1001,0),0),1)),INDEX($Z$2:$Z$1001,MATCH(ROWS($U$2:U706),$U$2:$U$1001,0),0)))</f>
        <v>0</v>
      </c>
      <c r="B706" s="4">
        <f>IF(OR(INDEX($V$2:$V$1001,MATCH(ROWS($U$2:U706),$U$2:$U$1001,0),1)&gt;=100000,INDEX($AB$1005:$AQ$1005,1,MATCH(COLUMNS($AB$1006:AB1006),$AB$1006:$AQ$1006,0))&gt;=100000), " ",IF(INDEX($AB$2:$AQ$1001,MATCH(ROWS($U$2:U706),$U$2:$U$1001,0),MATCH(COLUMNS($AB$1006:AB1006),$AB$1006:$AQ$1006,0)), HYPERLINK("#",""), HYPERLINK(CONCATENATE("#metadata!", ADDRESS(INDEX($W$2:$W$1001,MATCH(ROWS($U$2:U706),$U$2:$U$1001,0),0), INDEX($AB$1004:$AQ$1004,1,MATCH(COLUMNS($AB$1006:AB1006),$AB$1006:$AQ$1006,0)))),"Fix")))</f>
        <v>0</v>
      </c>
      <c r="C706" s="4">
        <f>IF(OR(INDEX($V$2:$V$1001,MATCH(ROWS($U$2:U706),$U$2:$U$1001,0),1)&gt;=100000,INDEX($AB$1005:$AQ$1005,1,MATCH(COLUMNS($AB$1006:AC1006),$AB$1006:$AQ$1006,0))&gt;=100000), " ",IF(INDEX($AB$2:$AQ$1001,MATCH(ROWS($U$2:U706),$U$2:$U$1001,0),MATCH(COLUMNS($AB$1006:AC1006),$AB$1006:$AQ$1006,0)), HYPERLINK("#",""), HYPERLINK(CONCATENATE("#metadata!", ADDRESS(INDEX($W$2:$W$1001,MATCH(ROWS($U$2:U706),$U$2:$U$1001,0),0), INDEX($AB$1004:$AQ$1004,1,MATCH(COLUMNS($AB$1006:AC1006),$AB$1006:$AQ$1006,0)))),"Fix")))</f>
        <v>0</v>
      </c>
      <c r="D706" s="4">
        <f>IF(OR(INDEX($V$2:$V$1001,MATCH(ROWS($U$2:U706),$U$2:$U$1001,0),1)&gt;=100000,INDEX($AB$1005:$AQ$1005,1,MATCH(COLUMNS($AB$1006:AD1006),$AB$1006:$AQ$1006,0))&gt;=100000), " ",IF(INDEX($AB$2:$AQ$1001,MATCH(ROWS($U$2:U706),$U$2:$U$1001,0),MATCH(COLUMNS($AB$1006:AD1006),$AB$1006:$AQ$1006,0)), HYPERLINK("#",""), HYPERLINK(CONCATENATE("#metadata!", ADDRESS(INDEX($W$2:$W$1001,MATCH(ROWS($U$2:U706),$U$2:$U$1001,0),0), INDEX($AB$1004:$AQ$1004,1,MATCH(COLUMNS($AB$1006:AD1006),$AB$1006:$AQ$1006,0)))),"Fix")))</f>
        <v>0</v>
      </c>
      <c r="E706" s="4">
        <f>IF(OR(INDEX($V$2:$V$1001,MATCH(ROWS($U$2:U706),$U$2:$U$1001,0),1)&gt;=100000,INDEX($AB$1005:$AQ$1005,1,MATCH(COLUMNS($AB$1006:AE1006),$AB$1006:$AQ$1006,0))&gt;=100000), " ",IF(INDEX($AB$2:$AQ$1001,MATCH(ROWS($U$2:U706),$U$2:$U$1001,0),MATCH(COLUMNS($AB$1006:AE1006),$AB$1006:$AQ$1006,0)), HYPERLINK("#",""), HYPERLINK(CONCATENATE("#metadata!", ADDRESS(INDEX($W$2:$W$1001,MATCH(ROWS($U$2:U706),$U$2:$U$1001,0),0), INDEX($AB$1004:$AQ$1004,1,MATCH(COLUMNS($AB$1006:AE1006),$AB$1006:$AQ$1006,0)))),"Fix")))</f>
        <v>0</v>
      </c>
      <c r="F706" s="4">
        <f>IF(OR(INDEX($V$2:$V$1001,MATCH(ROWS($U$2:U706),$U$2:$U$1001,0),1)&gt;=100000,INDEX($AB$1005:$AQ$1005,1,MATCH(COLUMNS($AB$1006:AF1006),$AB$1006:$AQ$1006,0))&gt;=100000), " ",IF(INDEX($AB$2:$AQ$1001,MATCH(ROWS($U$2:U706),$U$2:$U$1001,0),MATCH(COLUMNS($AB$1006:AF1006),$AB$1006:$AQ$1006,0)), HYPERLINK("#",""), HYPERLINK(CONCATENATE("#metadata!", ADDRESS(INDEX($W$2:$W$1001,MATCH(ROWS($U$2:U706),$U$2:$U$1001,0),0), INDEX($AB$1004:$AQ$1004,1,MATCH(COLUMNS($AB$1006:AF1006),$AB$1006:$AQ$1006,0)))),"Fix")))</f>
        <v>0</v>
      </c>
      <c r="G706" s="4">
        <f>IF(OR(INDEX($V$2:$V$1001,MATCH(ROWS($U$2:U706),$U$2:$U$1001,0),1)&gt;=100000,INDEX($AB$1005:$AQ$1005,1,MATCH(COLUMNS($AB$1006:AG1006),$AB$1006:$AQ$1006,0))&gt;=100000), " ",IF(INDEX($AB$2:$AQ$1001,MATCH(ROWS($U$2:U706),$U$2:$U$1001,0),MATCH(COLUMNS($AB$1006:AG1006),$AB$1006:$AQ$1006,0)), HYPERLINK("#",""), HYPERLINK(CONCATENATE("#metadata!", ADDRESS(INDEX($W$2:$W$1001,MATCH(ROWS($U$2:U706),$U$2:$U$1001,0),0), INDEX($AB$1004:$AQ$1004,1,MATCH(COLUMNS($AB$1006:AG1006),$AB$1006:$AQ$1006,0)))),"Fix")))</f>
        <v>0</v>
      </c>
      <c r="H706" s="4">
        <f>IF(OR(INDEX($V$2:$V$1001,MATCH(ROWS($U$2:U706),$U$2:$U$1001,0),1)&gt;=100000,INDEX($AB$1005:$AQ$1005,1,MATCH(COLUMNS($AB$1006:AH1006),$AB$1006:$AQ$1006,0))&gt;=100000), " ",IF(INDEX($AB$2:$AQ$1001,MATCH(ROWS($U$2:U706),$U$2:$U$1001,0),MATCH(COLUMNS($AB$1006:AH1006),$AB$1006:$AQ$1006,0)), HYPERLINK("#",""), HYPERLINK(CONCATENATE("#metadata!", ADDRESS(INDEX($W$2:$W$1001,MATCH(ROWS($U$2:U706),$U$2:$U$1001,0),0), INDEX($AB$1004:$AQ$1004,1,MATCH(COLUMNS($AB$1006:AH1006),$AB$1006:$AQ$1006,0)))),"Fix")))</f>
        <v>0</v>
      </c>
      <c r="I706" s="4">
        <f>IF(OR(INDEX($V$2:$V$1001,MATCH(ROWS($U$2:U706),$U$2:$U$1001,0),1)&gt;=100000,INDEX($AB$1005:$AQ$1005,1,MATCH(COLUMNS($AB$1006:AI1006),$AB$1006:$AQ$1006,0))&gt;=100000), " ",IF(INDEX($AB$2:$AQ$1001,MATCH(ROWS($U$2:U706),$U$2:$U$1001,0),MATCH(COLUMNS($AB$1006:AI1006),$AB$1006:$AQ$1006,0)), HYPERLINK("#",""), HYPERLINK(CONCATENATE("#metadata!", ADDRESS(INDEX($W$2:$W$1001,MATCH(ROWS($U$2:U706),$U$2:$U$1001,0),0), INDEX($AB$1004:$AQ$1004,1,MATCH(COLUMNS($AB$1006:AI1006),$AB$1006:$AQ$1006,0)))),"Fix")))</f>
        <v>0</v>
      </c>
      <c r="J706" s="4">
        <f>IF(OR(INDEX($V$2:$V$1001,MATCH(ROWS($U$2:U706),$U$2:$U$1001,0),1)&gt;=100000,INDEX($AB$1005:$AQ$1005,1,MATCH(COLUMNS($AB$1006:AJ1006),$AB$1006:$AQ$1006,0))&gt;=100000), " ",IF(INDEX($AB$2:$AQ$1001,MATCH(ROWS($U$2:U706),$U$2:$U$1001,0),MATCH(COLUMNS($AB$1006:AJ1006),$AB$1006:$AQ$1006,0)), HYPERLINK("#",""), HYPERLINK(CONCATENATE("#metadata!", ADDRESS(INDEX($W$2:$W$1001,MATCH(ROWS($U$2:U706),$U$2:$U$1001,0),0), INDEX($AB$1004:$AQ$1004,1,MATCH(COLUMNS($AB$1006:AJ1006),$AB$1006:$AQ$1006,0)))),"Fix")))</f>
        <v>0</v>
      </c>
      <c r="K706" s="4">
        <f>IF(OR(INDEX($V$2:$V$1001,MATCH(ROWS($U$2:U706),$U$2:$U$1001,0),1)&gt;=100000,INDEX($AB$1005:$AQ$1005,1,MATCH(COLUMNS($AB$1006:AK1006),$AB$1006:$AQ$1006,0))&gt;=100000), " ",IF(INDEX($AB$2:$AQ$1001,MATCH(ROWS($U$2:U706),$U$2:$U$1001,0),MATCH(COLUMNS($AB$1006:AK1006),$AB$1006:$AQ$1006,0)), HYPERLINK("#",""), HYPERLINK(CONCATENATE("#metadata!", ADDRESS(INDEX($W$2:$W$1001,MATCH(ROWS($U$2:U706),$U$2:$U$1001,0),0), INDEX($AB$1004:$AQ$1004,1,MATCH(COLUMNS($AB$1006:AK1006),$AB$1006:$AQ$1006,0)))),"Fix")))</f>
        <v>0</v>
      </c>
      <c r="L706" s="4">
        <f>IF(OR(INDEX($V$2:$V$1001,MATCH(ROWS($U$2:U706),$U$2:$U$1001,0),1)&gt;=100000,INDEX($AB$1005:$AQ$1005,1,MATCH(COLUMNS($AB$1006:AL1006),$AB$1006:$AQ$1006,0))&gt;=100000), " ",IF(INDEX($AB$2:$AQ$1001,MATCH(ROWS($U$2:U706),$U$2:$U$1001,0),MATCH(COLUMNS($AB$1006:AL1006),$AB$1006:$AQ$1006,0)), HYPERLINK("#",""), HYPERLINK(CONCATENATE("#metadata!", ADDRESS(INDEX($W$2:$W$1001,MATCH(ROWS($U$2:U706),$U$2:$U$1001,0),0), INDEX($AB$1004:$AQ$1004,1,MATCH(COLUMNS($AB$1006:AL1006),$AB$1006:$AQ$1006,0)))),"Fix")))</f>
        <v>0</v>
      </c>
      <c r="M706" s="4">
        <f>IF(OR(INDEX($V$2:$V$1001,MATCH(ROWS($U$2:U706),$U$2:$U$1001,0),1)&gt;=100000,INDEX($AB$1005:$AQ$1005,1,MATCH(COLUMNS($AB$1006:AM1006),$AB$1006:$AQ$1006,0))&gt;=100000), " ",IF(INDEX($AB$2:$AQ$1001,MATCH(ROWS($U$2:U706),$U$2:$U$1001,0),MATCH(COLUMNS($AB$1006:AM1006),$AB$1006:$AQ$1006,0)), HYPERLINK("#",""), HYPERLINK(CONCATENATE("#metadata!", ADDRESS(INDEX($W$2:$W$1001,MATCH(ROWS($U$2:U706),$U$2:$U$1001,0),0), INDEX($AB$1004:$AQ$1004,1,MATCH(COLUMNS($AB$1006:AM1006),$AB$1006:$AQ$1006,0)))),"Fix")))</f>
        <v>0</v>
      </c>
      <c r="N706" s="4">
        <f>IF(OR(INDEX($V$2:$V$1001,MATCH(ROWS($U$2:U706),$U$2:$U$1001,0),1)&gt;=100000,INDEX($AB$1005:$AQ$1005,1,MATCH(COLUMNS($AB$1006:AN1006),$AB$1006:$AQ$1006,0))&gt;=100000), " ",IF(INDEX($AB$2:$AQ$1001,MATCH(ROWS($U$2:U706),$U$2:$U$1001,0),MATCH(COLUMNS($AB$1006:AN1006),$AB$1006:$AQ$1006,0)), HYPERLINK("#",""), HYPERLINK(CONCATENATE("#metadata!", ADDRESS(INDEX($W$2:$W$1001,MATCH(ROWS($U$2:U706),$U$2:$U$1001,0),0), INDEX($AB$1004:$AQ$1004,1,MATCH(COLUMNS($AB$1006:AN1006),$AB$1006:$AQ$1006,0)))),"Fix")))</f>
        <v>0</v>
      </c>
      <c r="O706" s="4">
        <f>IF(OR(INDEX($V$2:$V$1001,MATCH(ROWS($U$2:U706),$U$2:$U$1001,0),1)&gt;=100000,INDEX($AB$1005:$AQ$1005,1,MATCH(COLUMNS($AB$1006:AO1006),$AB$1006:$AQ$1006,0))&gt;=100000), " ",IF(INDEX($AB$2:$AQ$1001,MATCH(ROWS($U$2:U706),$U$2:$U$1001,0),MATCH(COLUMNS($AB$1006:AO1006),$AB$1006:$AQ$1006,0)), HYPERLINK("#",""), HYPERLINK(CONCATENATE("#metadata!", ADDRESS(INDEX($W$2:$W$1001,MATCH(ROWS($U$2:U706),$U$2:$U$1001,0),0), INDEX($AB$1004:$AQ$1004,1,MATCH(COLUMNS($AB$1006:AO1006),$AB$1006:$AQ$1006,0)))),"Fix")))</f>
        <v>0</v>
      </c>
      <c r="P706" s="4">
        <f>IF(OR(INDEX($V$2:$V$1001,MATCH(ROWS($U$2:U706),$U$2:$U$1001,0),1)&gt;=100000,INDEX($AB$1005:$AQ$1005,1,MATCH(COLUMNS($AB$1006:AP1006),$AB$1006:$AQ$1006,0))&gt;=100000), " ",IF(INDEX($AB$2:$AQ$1001,MATCH(ROWS($U$2:U706),$U$2:$U$1001,0),MATCH(COLUMNS($AB$1006:AP1006),$AB$1006:$AQ$1006,0)), HYPERLINK("#",""), HYPERLINK(CONCATENATE("#metadata!", ADDRESS(INDEX($W$2:$W$1001,MATCH(ROWS($U$2:U706),$U$2:$U$1001,0),0), INDEX($AB$1004:$AQ$1004,1,MATCH(COLUMNS($AB$1006:AP1006),$AB$1006:$AQ$1006,0)))),"Fix")))</f>
        <v>0</v>
      </c>
      <c r="Q706" s="4">
        <f>IF(OR(INDEX($V$2:$V$1001,MATCH(ROWS($U$2:U706),$U$2:$U$1001,0),1)&gt;=100000,INDEX($AB$1005:$AQ$1005,1,MATCH(COLUMNS($AB$1006:AQ1006),$AB$1006:$AQ$1006,0))&gt;=100000), " ",IF(INDEX($AB$2:$AQ$1001,MATCH(ROWS($U$2:U706),$U$2:$U$1001,0),MATCH(COLUMNS($AB$1006:AQ1006),$AB$1006:$AQ$1006,0)), HYPERLINK("#",""), HYPERLINK(CONCATENATE("#metadata!", ADDRESS(INDEX($W$2:$W$1001,MATCH(ROWS($U$2:U706),$U$2:$U$1001,0),0), INDEX($AB$1004:$AQ$1004,1,MATCH(COLUMNS($AB$1006:AQ1006),$AB$1006:$AQ$1006,0)))),"Fix")))</f>
        <v>0</v>
      </c>
      <c r="U706">
        <v>0</v>
      </c>
      <c r="V706">
        <v>0</v>
      </c>
      <c r="W706">
        <v>0</v>
      </c>
      <c r="X706">
        <f>IF(Y706,TRUE,AND(AB706:AQ706))</f>
        <v>0</v>
      </c>
      <c r="Y706">
        <f>COUNTBLANK(metadata!B706:Q706)=COLUMNS(metadata!B706:Q706)</f>
        <v>0</v>
      </c>
      <c r="Z706">
        <v>0</v>
      </c>
      <c r="AB706">
        <f>AND(IF(metadata!B706="",FALSE,TRUE),COUNTIF(metadata!B:B, metadata!B706) = 1,NOT(ISERROR(SUMPRODUCT(SEARCH(MID(metadata!B706,ROW(INDIRECT("1:"&amp;LEN(metadata!B706))), 1),"0123456789abcdefghijklmnopqrstuvwxyzABCDEFGHIJKLMNOPQRSTUVWXYZ.")))))</f>
        <v>0</v>
      </c>
      <c r="AC706">
        <f>OR(AND(IF(metadata!C706="",FALSE,TRUE),OR(exact(metadata!C706,"missing: not collected"),exact(metadata!C706,"missing: not provided"),exact(metadata!C706,"missing: restricted access"))),AND(IF(metadata!C706="",FALSE,TRUE),AND(AND(IFERROR(INT(LEFT(metadata!C706,4))&gt;1900,FALSE),IFERROR(INT(LEFT(metadata!C706,4))&lt;=YEAR(NOW()),FALSE)), OR(MID(metadata!C706,5,1)="", AND(AND(MID(metadata!C706,5,1)="-",IFERROR(INT(MID(metadata!C706,6,1))&gt;=0,FALSE),IFERROR(INT(MID(metadata!C706,6,1))&lt;=1,FALSE),NOT(MID(metadata!C706,7,1)=""),IFERROR(INT(MID(metadata!C706,6,2))&gt;=1,FALSE),IFERROR(INT(MID(metadata!C706,6,2))&lt;=12,FALSE)), OR(MID(metadata!C706,8,1)="", AND(AND(MID(metadata!C706,8,1)="-",IFERROR(INT(MID(metadata!C706,9,1))&gt;=0,FALSE),IFERROR(INT(MID(metadata!C706,9,1))&lt;=3,FALSE),NOT(MID(metadata!C706,10,1)=""),IFERROR(INT(MID(metadata!C706,9,2))&gt;=1,FALSE),IFERROR(INT(MID(metadata!C706,9,2))&lt;=31,FALSE)), OR(MID(metadata!C706,11,1)="", AND(AND(MID(metadata!C706,11,1)=" ",IFERROR(INT(MID(metadata!C706,12,1))&gt;=0,FALSE),IFERROR(INT(MID(metadata!C706,12,1))&lt;=2,FALSE),NOT(MID(metadata!C706,13,1)=""),IFERROR(INT(MID(metadata!C706,12,2))&gt;=0,FALSE),IFERROR(INT(MID(metadata!C706,12,2))&lt;=23,FALSE)), OR(MID(metadata!C706,14,1)="", AND(AND(MID(metadata!C706,14,1)=":",IFERROR(INT(MID(metadata!C706,15,1))&gt;=0,FALSE),IFERROR(INT(MID(metadata!C706,15,1))&lt;=5,FALSE),NOT(MID(metadata!C706,16,1)=""),IFERROR(INT(MID(metadata!C706,15,2))&gt;=0,FALSE),IFERROR(INT(MID(metadata!C706,15,2))&lt;=59,FALSE)), OR(MID(metadata!C706,17,1)="", AND(AND(MID(metadata!C706,17,1)=":",IFERROR(INT(MID(metadata!C706,18,1))&gt;=0,FALSE),IFERROR(INT(MID(metadata!C706,18,1))&lt;=5,FALSE),NOT(MID(metadata!C706,19,1)=""),IFERROR(INT(MID(metadata!C706,18,2))&gt;=0,FALSE),IFERROR(INT(MID(metadata!C706,18,2))&lt;=59,FALSE)), LEN(metadata!C706)&lt;=19)))))))))))))</f>
        <v>0</v>
      </c>
      <c r="AD706">
        <f>IF(metadata!D706="",FALSE,TRUE)</f>
        <v>0</v>
      </c>
      <c r="AE706">
        <f>OR(AND(IF(metadata!E706="",FALSE,TRUE),OR(exact(metadata!E706,"missing: not collected"),exact(metadata!E706,"missing: not provided"))),AND(IF(metadata!E706="",FALSE,TRUE),OR(exact(metadata!E706,"TRUE"),exact(metadata!E706,"FALSE"))))</f>
        <v>0</v>
      </c>
      <c r="AF706">
        <f>IF(metadata!F706="",FALSE,TRUE)</f>
        <v>0</v>
      </c>
      <c r="AG706">
        <f>IF(metadata!G706="",FALSE,TRUE)</f>
        <v>0</v>
      </c>
      <c r="AH706">
        <f>IF(metadata!H706="",FALSE,TRUE)</f>
        <v>0</v>
      </c>
      <c r="AI706">
        <f>OR(AND(IF(metadata!I706="",FALSE,TRUE),OR(exact(metadata!I706,"missing: not collected"),exact(metadata!I706,"missing: not provided"),exact(metadata!I706,"missing: restricted access"))),AND(IF(metadata!I706="",FALSE,TRUE),OR(exact(metadata!I706,"air"),exact(metadata!I706,"built environment"),exact(metadata!I706,"host-associated"),exact(metadata!I706,"human-associated"),exact(metadata!I706,"human-skin"),exact(metadata!I706,"human-oral"),exact(metadata!I706,"human-gut"),exact(metadata!I706,"human-vaginal"),exact(metadata!I706,"microbial mat/biofilm"),exact(metadata!I706,"misc environment"),exact(metadata!I706,"plant-associated"),exact(metadata!I706,"sediment"),exact(metadata!I706,"soil"),exact(metadata!I706,"wastewater/sludge"),exact(metadata!I706,"water"))))</f>
        <v>0</v>
      </c>
      <c r="AJ706">
        <f>IF(metadata!J706="",FALSE,TRUE)</f>
        <v>0</v>
      </c>
      <c r="AK706">
        <f>OR(AND(IF(metadata!K706="",FALSE,TRUE),OR(exact(metadata!K706,"missing: not collected"),exact(metadata!K706,"missing: not provided"),exact(metadata!K706,"missing: restricted access"))),AND(IF(metadata!K706="",FALSE,ISNUMBER(VALUE(metadata!K706))),metadata!K706&gt;=-90.00,metadata!K706&lt;=90.00))</f>
        <v>0</v>
      </c>
      <c r="AL706">
        <f>OR(AND(IF(metadata!L706="",FALSE,TRUE),OR(exact(metadata!L706,"missing: not collected"),exact(metadata!L706,"missing: not provided"),exact(metadata!L706,"missing: restricted access"))),AND(IF(metadata!L706="",FALSE,ISNUMBER(VALUE(metadata!L706))),metadata!L706&gt;=-180.00,metadata!L706&lt;=180.00))</f>
        <v>0</v>
      </c>
      <c r="AM706">
        <f>IF(metadata!M706="",FALSE,TRUE)</f>
        <v>0</v>
      </c>
      <c r="AN706">
        <f>OR(AND(IF(metadata!N706="",FALSE,TRUE),OR(exact(metadata!N706,"missing: not collected"),exact(metadata!N706,"missing: not provided"),exact(metadata!N706,"missing: restricted access"))),AND(IF(metadata!N706="",FALSE,TRUE),OR(exact(metadata!N706,"TRUE"),exact(metadata!N706,"FALSE"))))</f>
        <v>0</v>
      </c>
      <c r="AO706">
        <f>IF(metadata!O706="",FALSE,TRUE)</f>
        <v>0</v>
      </c>
      <c r="AP706">
        <f>OR(AND(IF(metadata!P706="",FALSE,TRUE),OR(exact(metadata!P706,"missing: not collected"),exact(metadata!P706,"missing: not provided"))),AND(IF(metadata!P706="",FALSE,IF(ISERROR(INT(metadata!P706)),FALSE,INT(metadata!P706)=metadata!P706)),metadata!P706&gt;0))</f>
        <v>0</v>
      </c>
      <c r="AQ706">
        <f>IF(metadata!Q706="",FALSE,TRUE)</f>
        <v>0</v>
      </c>
    </row>
    <row r="707" spans="1:43">
      <c r="A707" s="5">
        <f>IF(B707=" "," ",HYPERLINK(CONCATENATE("#metadata!",ADDRESS(INDEX($W$2:$W$1001,MATCH(ROWS($U$2:U707),$U$2:$U$1001,0),0),1)),INDEX($Z$2:$Z$1001,MATCH(ROWS($U$2:U707),$U$2:$U$1001,0),0)))</f>
        <v>0</v>
      </c>
      <c r="B707" s="4">
        <f>IF(OR(INDEX($V$2:$V$1001,MATCH(ROWS($U$2:U707),$U$2:$U$1001,0),1)&gt;=100000,INDEX($AB$1005:$AQ$1005,1,MATCH(COLUMNS($AB$1006:AB1006),$AB$1006:$AQ$1006,0))&gt;=100000), " ",IF(INDEX($AB$2:$AQ$1001,MATCH(ROWS($U$2:U707),$U$2:$U$1001,0),MATCH(COLUMNS($AB$1006:AB1006),$AB$1006:$AQ$1006,0)), HYPERLINK("#",""), HYPERLINK(CONCATENATE("#metadata!", ADDRESS(INDEX($W$2:$W$1001,MATCH(ROWS($U$2:U707),$U$2:$U$1001,0),0), INDEX($AB$1004:$AQ$1004,1,MATCH(COLUMNS($AB$1006:AB1006),$AB$1006:$AQ$1006,0)))),"Fix")))</f>
        <v>0</v>
      </c>
      <c r="C707" s="4">
        <f>IF(OR(INDEX($V$2:$V$1001,MATCH(ROWS($U$2:U707),$U$2:$U$1001,0),1)&gt;=100000,INDEX($AB$1005:$AQ$1005,1,MATCH(COLUMNS($AB$1006:AC1006),$AB$1006:$AQ$1006,0))&gt;=100000), " ",IF(INDEX($AB$2:$AQ$1001,MATCH(ROWS($U$2:U707),$U$2:$U$1001,0),MATCH(COLUMNS($AB$1006:AC1006),$AB$1006:$AQ$1006,0)), HYPERLINK("#",""), HYPERLINK(CONCATENATE("#metadata!", ADDRESS(INDEX($W$2:$W$1001,MATCH(ROWS($U$2:U707),$U$2:$U$1001,0),0), INDEX($AB$1004:$AQ$1004,1,MATCH(COLUMNS($AB$1006:AC1006),$AB$1006:$AQ$1006,0)))),"Fix")))</f>
        <v>0</v>
      </c>
      <c r="D707" s="4">
        <f>IF(OR(INDEX($V$2:$V$1001,MATCH(ROWS($U$2:U707),$U$2:$U$1001,0),1)&gt;=100000,INDEX($AB$1005:$AQ$1005,1,MATCH(COLUMNS($AB$1006:AD1006),$AB$1006:$AQ$1006,0))&gt;=100000), " ",IF(INDEX($AB$2:$AQ$1001,MATCH(ROWS($U$2:U707),$U$2:$U$1001,0),MATCH(COLUMNS($AB$1006:AD1006),$AB$1006:$AQ$1006,0)), HYPERLINK("#",""), HYPERLINK(CONCATENATE("#metadata!", ADDRESS(INDEX($W$2:$W$1001,MATCH(ROWS($U$2:U707),$U$2:$U$1001,0),0), INDEX($AB$1004:$AQ$1004,1,MATCH(COLUMNS($AB$1006:AD1006),$AB$1006:$AQ$1006,0)))),"Fix")))</f>
        <v>0</v>
      </c>
      <c r="E707" s="4">
        <f>IF(OR(INDEX($V$2:$V$1001,MATCH(ROWS($U$2:U707),$U$2:$U$1001,0),1)&gt;=100000,INDEX($AB$1005:$AQ$1005,1,MATCH(COLUMNS($AB$1006:AE1006),$AB$1006:$AQ$1006,0))&gt;=100000), " ",IF(INDEX($AB$2:$AQ$1001,MATCH(ROWS($U$2:U707),$U$2:$U$1001,0),MATCH(COLUMNS($AB$1006:AE1006),$AB$1006:$AQ$1006,0)), HYPERLINK("#",""), HYPERLINK(CONCATENATE("#metadata!", ADDRESS(INDEX($W$2:$W$1001,MATCH(ROWS($U$2:U707),$U$2:$U$1001,0),0), INDEX($AB$1004:$AQ$1004,1,MATCH(COLUMNS($AB$1006:AE1006),$AB$1006:$AQ$1006,0)))),"Fix")))</f>
        <v>0</v>
      </c>
      <c r="F707" s="4">
        <f>IF(OR(INDEX($V$2:$V$1001,MATCH(ROWS($U$2:U707),$U$2:$U$1001,0),1)&gt;=100000,INDEX($AB$1005:$AQ$1005,1,MATCH(COLUMNS($AB$1006:AF1006),$AB$1006:$AQ$1006,0))&gt;=100000), " ",IF(INDEX($AB$2:$AQ$1001,MATCH(ROWS($U$2:U707),$U$2:$U$1001,0),MATCH(COLUMNS($AB$1006:AF1006),$AB$1006:$AQ$1006,0)), HYPERLINK("#",""), HYPERLINK(CONCATENATE("#metadata!", ADDRESS(INDEX($W$2:$W$1001,MATCH(ROWS($U$2:U707),$U$2:$U$1001,0),0), INDEX($AB$1004:$AQ$1004,1,MATCH(COLUMNS($AB$1006:AF1006),$AB$1006:$AQ$1006,0)))),"Fix")))</f>
        <v>0</v>
      </c>
      <c r="G707" s="4">
        <f>IF(OR(INDEX($V$2:$V$1001,MATCH(ROWS($U$2:U707),$U$2:$U$1001,0),1)&gt;=100000,INDEX($AB$1005:$AQ$1005,1,MATCH(COLUMNS($AB$1006:AG1006),$AB$1006:$AQ$1006,0))&gt;=100000), " ",IF(INDEX($AB$2:$AQ$1001,MATCH(ROWS($U$2:U707),$U$2:$U$1001,0),MATCH(COLUMNS($AB$1006:AG1006),$AB$1006:$AQ$1006,0)), HYPERLINK("#",""), HYPERLINK(CONCATENATE("#metadata!", ADDRESS(INDEX($W$2:$W$1001,MATCH(ROWS($U$2:U707),$U$2:$U$1001,0),0), INDEX($AB$1004:$AQ$1004,1,MATCH(COLUMNS($AB$1006:AG1006),$AB$1006:$AQ$1006,0)))),"Fix")))</f>
        <v>0</v>
      </c>
      <c r="H707" s="4">
        <f>IF(OR(INDEX($V$2:$V$1001,MATCH(ROWS($U$2:U707),$U$2:$U$1001,0),1)&gt;=100000,INDEX($AB$1005:$AQ$1005,1,MATCH(COLUMNS($AB$1006:AH1006),$AB$1006:$AQ$1006,0))&gt;=100000), " ",IF(INDEX($AB$2:$AQ$1001,MATCH(ROWS($U$2:U707),$U$2:$U$1001,0),MATCH(COLUMNS($AB$1006:AH1006),$AB$1006:$AQ$1006,0)), HYPERLINK("#",""), HYPERLINK(CONCATENATE("#metadata!", ADDRESS(INDEX($W$2:$W$1001,MATCH(ROWS($U$2:U707),$U$2:$U$1001,0),0), INDEX($AB$1004:$AQ$1004,1,MATCH(COLUMNS($AB$1006:AH1006),$AB$1006:$AQ$1006,0)))),"Fix")))</f>
        <v>0</v>
      </c>
      <c r="I707" s="4">
        <f>IF(OR(INDEX($V$2:$V$1001,MATCH(ROWS($U$2:U707),$U$2:$U$1001,0),1)&gt;=100000,INDEX($AB$1005:$AQ$1005,1,MATCH(COLUMNS($AB$1006:AI1006),$AB$1006:$AQ$1006,0))&gt;=100000), " ",IF(INDEX($AB$2:$AQ$1001,MATCH(ROWS($U$2:U707),$U$2:$U$1001,0),MATCH(COLUMNS($AB$1006:AI1006),$AB$1006:$AQ$1006,0)), HYPERLINK("#",""), HYPERLINK(CONCATENATE("#metadata!", ADDRESS(INDEX($W$2:$W$1001,MATCH(ROWS($U$2:U707),$U$2:$U$1001,0),0), INDEX($AB$1004:$AQ$1004,1,MATCH(COLUMNS($AB$1006:AI1006),$AB$1006:$AQ$1006,0)))),"Fix")))</f>
        <v>0</v>
      </c>
      <c r="J707" s="4">
        <f>IF(OR(INDEX($V$2:$V$1001,MATCH(ROWS($U$2:U707),$U$2:$U$1001,0),1)&gt;=100000,INDEX($AB$1005:$AQ$1005,1,MATCH(COLUMNS($AB$1006:AJ1006),$AB$1006:$AQ$1006,0))&gt;=100000), " ",IF(INDEX($AB$2:$AQ$1001,MATCH(ROWS($U$2:U707),$U$2:$U$1001,0),MATCH(COLUMNS($AB$1006:AJ1006),$AB$1006:$AQ$1006,0)), HYPERLINK("#",""), HYPERLINK(CONCATENATE("#metadata!", ADDRESS(INDEX($W$2:$W$1001,MATCH(ROWS($U$2:U707),$U$2:$U$1001,0),0), INDEX($AB$1004:$AQ$1004,1,MATCH(COLUMNS($AB$1006:AJ1006),$AB$1006:$AQ$1006,0)))),"Fix")))</f>
        <v>0</v>
      </c>
      <c r="K707" s="4">
        <f>IF(OR(INDEX($V$2:$V$1001,MATCH(ROWS($U$2:U707),$U$2:$U$1001,0),1)&gt;=100000,INDEX($AB$1005:$AQ$1005,1,MATCH(COLUMNS($AB$1006:AK1006),$AB$1006:$AQ$1006,0))&gt;=100000), " ",IF(INDEX($AB$2:$AQ$1001,MATCH(ROWS($U$2:U707),$U$2:$U$1001,0),MATCH(COLUMNS($AB$1006:AK1006),$AB$1006:$AQ$1006,0)), HYPERLINK("#",""), HYPERLINK(CONCATENATE("#metadata!", ADDRESS(INDEX($W$2:$W$1001,MATCH(ROWS($U$2:U707),$U$2:$U$1001,0),0), INDEX($AB$1004:$AQ$1004,1,MATCH(COLUMNS($AB$1006:AK1006),$AB$1006:$AQ$1006,0)))),"Fix")))</f>
        <v>0</v>
      </c>
      <c r="L707" s="4">
        <f>IF(OR(INDEX($V$2:$V$1001,MATCH(ROWS($U$2:U707),$U$2:$U$1001,0),1)&gt;=100000,INDEX($AB$1005:$AQ$1005,1,MATCH(COLUMNS($AB$1006:AL1006),$AB$1006:$AQ$1006,0))&gt;=100000), " ",IF(INDEX($AB$2:$AQ$1001,MATCH(ROWS($U$2:U707),$U$2:$U$1001,0),MATCH(COLUMNS($AB$1006:AL1006),$AB$1006:$AQ$1006,0)), HYPERLINK("#",""), HYPERLINK(CONCATENATE("#metadata!", ADDRESS(INDEX($W$2:$W$1001,MATCH(ROWS($U$2:U707),$U$2:$U$1001,0),0), INDEX($AB$1004:$AQ$1004,1,MATCH(COLUMNS($AB$1006:AL1006),$AB$1006:$AQ$1006,0)))),"Fix")))</f>
        <v>0</v>
      </c>
      <c r="M707" s="4">
        <f>IF(OR(INDEX($V$2:$V$1001,MATCH(ROWS($U$2:U707),$U$2:$U$1001,0),1)&gt;=100000,INDEX($AB$1005:$AQ$1005,1,MATCH(COLUMNS($AB$1006:AM1006),$AB$1006:$AQ$1006,0))&gt;=100000), " ",IF(INDEX($AB$2:$AQ$1001,MATCH(ROWS($U$2:U707),$U$2:$U$1001,0),MATCH(COLUMNS($AB$1006:AM1006),$AB$1006:$AQ$1006,0)), HYPERLINK("#",""), HYPERLINK(CONCATENATE("#metadata!", ADDRESS(INDEX($W$2:$W$1001,MATCH(ROWS($U$2:U707),$U$2:$U$1001,0),0), INDEX($AB$1004:$AQ$1004,1,MATCH(COLUMNS($AB$1006:AM1006),$AB$1006:$AQ$1006,0)))),"Fix")))</f>
        <v>0</v>
      </c>
      <c r="N707" s="4">
        <f>IF(OR(INDEX($V$2:$V$1001,MATCH(ROWS($U$2:U707),$U$2:$U$1001,0),1)&gt;=100000,INDEX($AB$1005:$AQ$1005,1,MATCH(COLUMNS($AB$1006:AN1006),$AB$1006:$AQ$1006,0))&gt;=100000), " ",IF(INDEX($AB$2:$AQ$1001,MATCH(ROWS($U$2:U707),$U$2:$U$1001,0),MATCH(COLUMNS($AB$1006:AN1006),$AB$1006:$AQ$1006,0)), HYPERLINK("#",""), HYPERLINK(CONCATENATE("#metadata!", ADDRESS(INDEX($W$2:$W$1001,MATCH(ROWS($U$2:U707),$U$2:$U$1001,0),0), INDEX($AB$1004:$AQ$1004,1,MATCH(COLUMNS($AB$1006:AN1006),$AB$1006:$AQ$1006,0)))),"Fix")))</f>
        <v>0</v>
      </c>
      <c r="O707" s="4">
        <f>IF(OR(INDEX($V$2:$V$1001,MATCH(ROWS($U$2:U707),$U$2:$U$1001,0),1)&gt;=100000,INDEX($AB$1005:$AQ$1005,1,MATCH(COLUMNS($AB$1006:AO1006),$AB$1006:$AQ$1006,0))&gt;=100000), " ",IF(INDEX($AB$2:$AQ$1001,MATCH(ROWS($U$2:U707),$U$2:$U$1001,0),MATCH(COLUMNS($AB$1006:AO1006),$AB$1006:$AQ$1006,0)), HYPERLINK("#",""), HYPERLINK(CONCATENATE("#metadata!", ADDRESS(INDEX($W$2:$W$1001,MATCH(ROWS($U$2:U707),$U$2:$U$1001,0),0), INDEX($AB$1004:$AQ$1004,1,MATCH(COLUMNS($AB$1006:AO1006),$AB$1006:$AQ$1006,0)))),"Fix")))</f>
        <v>0</v>
      </c>
      <c r="P707" s="4">
        <f>IF(OR(INDEX($V$2:$V$1001,MATCH(ROWS($U$2:U707),$U$2:$U$1001,0),1)&gt;=100000,INDEX($AB$1005:$AQ$1005,1,MATCH(COLUMNS($AB$1006:AP1006),$AB$1006:$AQ$1006,0))&gt;=100000), " ",IF(INDEX($AB$2:$AQ$1001,MATCH(ROWS($U$2:U707),$U$2:$U$1001,0),MATCH(COLUMNS($AB$1006:AP1006),$AB$1006:$AQ$1006,0)), HYPERLINK("#",""), HYPERLINK(CONCATENATE("#metadata!", ADDRESS(INDEX($W$2:$W$1001,MATCH(ROWS($U$2:U707),$U$2:$U$1001,0),0), INDEX($AB$1004:$AQ$1004,1,MATCH(COLUMNS($AB$1006:AP1006),$AB$1006:$AQ$1006,0)))),"Fix")))</f>
        <v>0</v>
      </c>
      <c r="Q707" s="4">
        <f>IF(OR(INDEX($V$2:$V$1001,MATCH(ROWS($U$2:U707),$U$2:$U$1001,0),1)&gt;=100000,INDEX($AB$1005:$AQ$1005,1,MATCH(COLUMNS($AB$1006:AQ1006),$AB$1006:$AQ$1006,0))&gt;=100000), " ",IF(INDEX($AB$2:$AQ$1001,MATCH(ROWS($U$2:U707),$U$2:$U$1001,0),MATCH(COLUMNS($AB$1006:AQ1006),$AB$1006:$AQ$1006,0)), HYPERLINK("#",""), HYPERLINK(CONCATENATE("#metadata!", ADDRESS(INDEX($W$2:$W$1001,MATCH(ROWS($U$2:U707),$U$2:$U$1001,0),0), INDEX($AB$1004:$AQ$1004,1,MATCH(COLUMNS($AB$1006:AQ1006),$AB$1006:$AQ$1006,0)))),"Fix")))</f>
        <v>0</v>
      </c>
      <c r="U707">
        <v>0</v>
      </c>
      <c r="V707">
        <v>0</v>
      </c>
      <c r="W707">
        <v>0</v>
      </c>
      <c r="X707">
        <f>IF(Y707,TRUE,AND(AB707:AQ707))</f>
        <v>0</v>
      </c>
      <c r="Y707">
        <f>COUNTBLANK(metadata!B707:Q707)=COLUMNS(metadata!B707:Q707)</f>
        <v>0</v>
      </c>
      <c r="Z707">
        <v>0</v>
      </c>
      <c r="AB707">
        <f>AND(IF(metadata!B707="",FALSE,TRUE),COUNTIF(metadata!B:B, metadata!B707) = 1,NOT(ISERROR(SUMPRODUCT(SEARCH(MID(metadata!B707,ROW(INDIRECT("1:"&amp;LEN(metadata!B707))), 1),"0123456789abcdefghijklmnopqrstuvwxyzABCDEFGHIJKLMNOPQRSTUVWXYZ.")))))</f>
        <v>0</v>
      </c>
      <c r="AC707">
        <f>OR(AND(IF(metadata!C707="",FALSE,TRUE),OR(exact(metadata!C707,"missing: not collected"),exact(metadata!C707,"missing: not provided"),exact(metadata!C707,"missing: restricted access"))),AND(IF(metadata!C707="",FALSE,TRUE),AND(AND(IFERROR(INT(LEFT(metadata!C707,4))&gt;1900,FALSE),IFERROR(INT(LEFT(metadata!C707,4))&lt;=YEAR(NOW()),FALSE)), OR(MID(metadata!C707,5,1)="", AND(AND(MID(metadata!C707,5,1)="-",IFERROR(INT(MID(metadata!C707,6,1))&gt;=0,FALSE),IFERROR(INT(MID(metadata!C707,6,1))&lt;=1,FALSE),NOT(MID(metadata!C707,7,1)=""),IFERROR(INT(MID(metadata!C707,6,2))&gt;=1,FALSE),IFERROR(INT(MID(metadata!C707,6,2))&lt;=12,FALSE)), OR(MID(metadata!C707,8,1)="", AND(AND(MID(metadata!C707,8,1)="-",IFERROR(INT(MID(metadata!C707,9,1))&gt;=0,FALSE),IFERROR(INT(MID(metadata!C707,9,1))&lt;=3,FALSE),NOT(MID(metadata!C707,10,1)=""),IFERROR(INT(MID(metadata!C707,9,2))&gt;=1,FALSE),IFERROR(INT(MID(metadata!C707,9,2))&lt;=31,FALSE)), OR(MID(metadata!C707,11,1)="", AND(AND(MID(metadata!C707,11,1)=" ",IFERROR(INT(MID(metadata!C707,12,1))&gt;=0,FALSE),IFERROR(INT(MID(metadata!C707,12,1))&lt;=2,FALSE),NOT(MID(metadata!C707,13,1)=""),IFERROR(INT(MID(metadata!C707,12,2))&gt;=0,FALSE),IFERROR(INT(MID(metadata!C707,12,2))&lt;=23,FALSE)), OR(MID(metadata!C707,14,1)="", AND(AND(MID(metadata!C707,14,1)=":",IFERROR(INT(MID(metadata!C707,15,1))&gt;=0,FALSE),IFERROR(INT(MID(metadata!C707,15,1))&lt;=5,FALSE),NOT(MID(metadata!C707,16,1)=""),IFERROR(INT(MID(metadata!C707,15,2))&gt;=0,FALSE),IFERROR(INT(MID(metadata!C707,15,2))&lt;=59,FALSE)), OR(MID(metadata!C707,17,1)="", AND(AND(MID(metadata!C707,17,1)=":",IFERROR(INT(MID(metadata!C707,18,1))&gt;=0,FALSE),IFERROR(INT(MID(metadata!C707,18,1))&lt;=5,FALSE),NOT(MID(metadata!C707,19,1)=""),IFERROR(INT(MID(metadata!C707,18,2))&gt;=0,FALSE),IFERROR(INT(MID(metadata!C707,18,2))&lt;=59,FALSE)), LEN(metadata!C707)&lt;=19)))))))))))))</f>
        <v>0</v>
      </c>
      <c r="AD707">
        <f>IF(metadata!D707="",FALSE,TRUE)</f>
        <v>0</v>
      </c>
      <c r="AE707">
        <f>OR(AND(IF(metadata!E707="",FALSE,TRUE),OR(exact(metadata!E707,"missing: not collected"),exact(metadata!E707,"missing: not provided"))),AND(IF(metadata!E707="",FALSE,TRUE),OR(exact(metadata!E707,"TRUE"),exact(metadata!E707,"FALSE"))))</f>
        <v>0</v>
      </c>
      <c r="AF707">
        <f>IF(metadata!F707="",FALSE,TRUE)</f>
        <v>0</v>
      </c>
      <c r="AG707">
        <f>IF(metadata!G707="",FALSE,TRUE)</f>
        <v>0</v>
      </c>
      <c r="AH707">
        <f>IF(metadata!H707="",FALSE,TRUE)</f>
        <v>0</v>
      </c>
      <c r="AI707">
        <f>OR(AND(IF(metadata!I707="",FALSE,TRUE),OR(exact(metadata!I707,"missing: not collected"),exact(metadata!I707,"missing: not provided"),exact(metadata!I707,"missing: restricted access"))),AND(IF(metadata!I707="",FALSE,TRUE),OR(exact(metadata!I707,"air"),exact(metadata!I707,"built environment"),exact(metadata!I707,"host-associated"),exact(metadata!I707,"human-associated"),exact(metadata!I707,"human-skin"),exact(metadata!I707,"human-oral"),exact(metadata!I707,"human-gut"),exact(metadata!I707,"human-vaginal"),exact(metadata!I707,"microbial mat/biofilm"),exact(metadata!I707,"misc environment"),exact(metadata!I707,"plant-associated"),exact(metadata!I707,"sediment"),exact(metadata!I707,"soil"),exact(metadata!I707,"wastewater/sludge"),exact(metadata!I707,"water"))))</f>
        <v>0</v>
      </c>
      <c r="AJ707">
        <f>IF(metadata!J707="",FALSE,TRUE)</f>
        <v>0</v>
      </c>
      <c r="AK707">
        <f>OR(AND(IF(metadata!K707="",FALSE,TRUE),OR(exact(metadata!K707,"missing: not collected"),exact(metadata!K707,"missing: not provided"),exact(metadata!K707,"missing: restricted access"))),AND(IF(metadata!K707="",FALSE,ISNUMBER(VALUE(metadata!K707))),metadata!K707&gt;=-90.00,metadata!K707&lt;=90.00))</f>
        <v>0</v>
      </c>
      <c r="AL707">
        <f>OR(AND(IF(metadata!L707="",FALSE,TRUE),OR(exact(metadata!L707,"missing: not collected"),exact(metadata!L707,"missing: not provided"),exact(metadata!L707,"missing: restricted access"))),AND(IF(metadata!L707="",FALSE,ISNUMBER(VALUE(metadata!L707))),metadata!L707&gt;=-180.00,metadata!L707&lt;=180.00))</f>
        <v>0</v>
      </c>
      <c r="AM707">
        <f>IF(metadata!M707="",FALSE,TRUE)</f>
        <v>0</v>
      </c>
      <c r="AN707">
        <f>OR(AND(IF(metadata!N707="",FALSE,TRUE),OR(exact(metadata!N707,"missing: not collected"),exact(metadata!N707,"missing: not provided"),exact(metadata!N707,"missing: restricted access"))),AND(IF(metadata!N707="",FALSE,TRUE),OR(exact(metadata!N707,"TRUE"),exact(metadata!N707,"FALSE"))))</f>
        <v>0</v>
      </c>
      <c r="AO707">
        <f>IF(metadata!O707="",FALSE,TRUE)</f>
        <v>0</v>
      </c>
      <c r="AP707">
        <f>OR(AND(IF(metadata!P707="",FALSE,TRUE),OR(exact(metadata!P707,"missing: not collected"),exact(metadata!P707,"missing: not provided"))),AND(IF(metadata!P707="",FALSE,IF(ISERROR(INT(metadata!P707)),FALSE,INT(metadata!P707)=metadata!P707)),metadata!P707&gt;0))</f>
        <v>0</v>
      </c>
      <c r="AQ707">
        <f>IF(metadata!Q707="",FALSE,TRUE)</f>
        <v>0</v>
      </c>
    </row>
    <row r="708" spans="1:43">
      <c r="A708" s="5">
        <f>IF(B708=" "," ",HYPERLINK(CONCATENATE("#metadata!",ADDRESS(INDEX($W$2:$W$1001,MATCH(ROWS($U$2:U708),$U$2:$U$1001,0),0),1)),INDEX($Z$2:$Z$1001,MATCH(ROWS($U$2:U708),$U$2:$U$1001,0),0)))</f>
        <v>0</v>
      </c>
      <c r="B708" s="4">
        <f>IF(OR(INDEX($V$2:$V$1001,MATCH(ROWS($U$2:U708),$U$2:$U$1001,0),1)&gt;=100000,INDEX($AB$1005:$AQ$1005,1,MATCH(COLUMNS($AB$1006:AB1006),$AB$1006:$AQ$1006,0))&gt;=100000), " ",IF(INDEX($AB$2:$AQ$1001,MATCH(ROWS($U$2:U708),$U$2:$U$1001,0),MATCH(COLUMNS($AB$1006:AB1006),$AB$1006:$AQ$1006,0)), HYPERLINK("#",""), HYPERLINK(CONCATENATE("#metadata!", ADDRESS(INDEX($W$2:$W$1001,MATCH(ROWS($U$2:U708),$U$2:$U$1001,0),0), INDEX($AB$1004:$AQ$1004,1,MATCH(COLUMNS($AB$1006:AB1006),$AB$1006:$AQ$1006,0)))),"Fix")))</f>
        <v>0</v>
      </c>
      <c r="C708" s="4">
        <f>IF(OR(INDEX($V$2:$V$1001,MATCH(ROWS($U$2:U708),$U$2:$U$1001,0),1)&gt;=100000,INDEX($AB$1005:$AQ$1005,1,MATCH(COLUMNS($AB$1006:AC1006),$AB$1006:$AQ$1006,0))&gt;=100000), " ",IF(INDEX($AB$2:$AQ$1001,MATCH(ROWS($U$2:U708),$U$2:$U$1001,0),MATCH(COLUMNS($AB$1006:AC1006),$AB$1006:$AQ$1006,0)), HYPERLINK("#",""), HYPERLINK(CONCATENATE("#metadata!", ADDRESS(INDEX($W$2:$W$1001,MATCH(ROWS($U$2:U708),$U$2:$U$1001,0),0), INDEX($AB$1004:$AQ$1004,1,MATCH(COLUMNS($AB$1006:AC1006),$AB$1006:$AQ$1006,0)))),"Fix")))</f>
        <v>0</v>
      </c>
      <c r="D708" s="4">
        <f>IF(OR(INDEX($V$2:$V$1001,MATCH(ROWS($U$2:U708),$U$2:$U$1001,0),1)&gt;=100000,INDEX($AB$1005:$AQ$1005,1,MATCH(COLUMNS($AB$1006:AD1006),$AB$1006:$AQ$1006,0))&gt;=100000), " ",IF(INDEX($AB$2:$AQ$1001,MATCH(ROWS($U$2:U708),$U$2:$U$1001,0),MATCH(COLUMNS($AB$1006:AD1006),$AB$1006:$AQ$1006,0)), HYPERLINK("#",""), HYPERLINK(CONCATENATE("#metadata!", ADDRESS(INDEX($W$2:$W$1001,MATCH(ROWS($U$2:U708),$U$2:$U$1001,0),0), INDEX($AB$1004:$AQ$1004,1,MATCH(COLUMNS($AB$1006:AD1006),$AB$1006:$AQ$1006,0)))),"Fix")))</f>
        <v>0</v>
      </c>
      <c r="E708" s="4">
        <f>IF(OR(INDEX($V$2:$V$1001,MATCH(ROWS($U$2:U708),$U$2:$U$1001,0),1)&gt;=100000,INDEX($AB$1005:$AQ$1005,1,MATCH(COLUMNS($AB$1006:AE1006),$AB$1006:$AQ$1006,0))&gt;=100000), " ",IF(INDEX($AB$2:$AQ$1001,MATCH(ROWS($U$2:U708),$U$2:$U$1001,0),MATCH(COLUMNS($AB$1006:AE1006),$AB$1006:$AQ$1006,0)), HYPERLINK("#",""), HYPERLINK(CONCATENATE("#metadata!", ADDRESS(INDEX($W$2:$W$1001,MATCH(ROWS($U$2:U708),$U$2:$U$1001,0),0), INDEX($AB$1004:$AQ$1004,1,MATCH(COLUMNS($AB$1006:AE1006),$AB$1006:$AQ$1006,0)))),"Fix")))</f>
        <v>0</v>
      </c>
      <c r="F708" s="4">
        <f>IF(OR(INDEX($V$2:$V$1001,MATCH(ROWS($U$2:U708),$U$2:$U$1001,0),1)&gt;=100000,INDEX($AB$1005:$AQ$1005,1,MATCH(COLUMNS($AB$1006:AF1006),$AB$1006:$AQ$1006,0))&gt;=100000), " ",IF(INDEX($AB$2:$AQ$1001,MATCH(ROWS($U$2:U708),$U$2:$U$1001,0),MATCH(COLUMNS($AB$1006:AF1006),$AB$1006:$AQ$1006,0)), HYPERLINK("#",""), HYPERLINK(CONCATENATE("#metadata!", ADDRESS(INDEX($W$2:$W$1001,MATCH(ROWS($U$2:U708),$U$2:$U$1001,0),0), INDEX($AB$1004:$AQ$1004,1,MATCH(COLUMNS($AB$1006:AF1006),$AB$1006:$AQ$1006,0)))),"Fix")))</f>
        <v>0</v>
      </c>
      <c r="G708" s="4">
        <f>IF(OR(INDEX($V$2:$V$1001,MATCH(ROWS($U$2:U708),$U$2:$U$1001,0),1)&gt;=100000,INDEX($AB$1005:$AQ$1005,1,MATCH(COLUMNS($AB$1006:AG1006),$AB$1006:$AQ$1006,0))&gt;=100000), " ",IF(INDEX($AB$2:$AQ$1001,MATCH(ROWS($U$2:U708),$U$2:$U$1001,0),MATCH(COLUMNS($AB$1006:AG1006),$AB$1006:$AQ$1006,0)), HYPERLINK("#",""), HYPERLINK(CONCATENATE("#metadata!", ADDRESS(INDEX($W$2:$W$1001,MATCH(ROWS($U$2:U708),$U$2:$U$1001,0),0), INDEX($AB$1004:$AQ$1004,1,MATCH(COLUMNS($AB$1006:AG1006),$AB$1006:$AQ$1006,0)))),"Fix")))</f>
        <v>0</v>
      </c>
      <c r="H708" s="4">
        <f>IF(OR(INDEX($V$2:$V$1001,MATCH(ROWS($U$2:U708),$U$2:$U$1001,0),1)&gt;=100000,INDEX($AB$1005:$AQ$1005,1,MATCH(COLUMNS($AB$1006:AH1006),$AB$1006:$AQ$1006,0))&gt;=100000), " ",IF(INDEX($AB$2:$AQ$1001,MATCH(ROWS($U$2:U708),$U$2:$U$1001,0),MATCH(COLUMNS($AB$1006:AH1006),$AB$1006:$AQ$1006,0)), HYPERLINK("#",""), HYPERLINK(CONCATENATE("#metadata!", ADDRESS(INDEX($W$2:$W$1001,MATCH(ROWS($U$2:U708),$U$2:$U$1001,0),0), INDEX($AB$1004:$AQ$1004,1,MATCH(COLUMNS($AB$1006:AH1006),$AB$1006:$AQ$1006,0)))),"Fix")))</f>
        <v>0</v>
      </c>
      <c r="I708" s="4">
        <f>IF(OR(INDEX($V$2:$V$1001,MATCH(ROWS($U$2:U708),$U$2:$U$1001,0),1)&gt;=100000,INDEX($AB$1005:$AQ$1005,1,MATCH(COLUMNS($AB$1006:AI1006),$AB$1006:$AQ$1006,0))&gt;=100000), " ",IF(INDEX($AB$2:$AQ$1001,MATCH(ROWS($U$2:U708),$U$2:$U$1001,0),MATCH(COLUMNS($AB$1006:AI1006),$AB$1006:$AQ$1006,0)), HYPERLINK("#",""), HYPERLINK(CONCATENATE("#metadata!", ADDRESS(INDEX($W$2:$W$1001,MATCH(ROWS($U$2:U708),$U$2:$U$1001,0),0), INDEX($AB$1004:$AQ$1004,1,MATCH(COLUMNS($AB$1006:AI1006),$AB$1006:$AQ$1006,0)))),"Fix")))</f>
        <v>0</v>
      </c>
      <c r="J708" s="4">
        <f>IF(OR(INDEX($V$2:$V$1001,MATCH(ROWS($U$2:U708),$U$2:$U$1001,0),1)&gt;=100000,INDEX($AB$1005:$AQ$1005,1,MATCH(COLUMNS($AB$1006:AJ1006),$AB$1006:$AQ$1006,0))&gt;=100000), " ",IF(INDEX($AB$2:$AQ$1001,MATCH(ROWS($U$2:U708),$U$2:$U$1001,0),MATCH(COLUMNS($AB$1006:AJ1006),$AB$1006:$AQ$1006,0)), HYPERLINK("#",""), HYPERLINK(CONCATENATE("#metadata!", ADDRESS(INDEX($W$2:$W$1001,MATCH(ROWS($U$2:U708),$U$2:$U$1001,0),0), INDEX($AB$1004:$AQ$1004,1,MATCH(COLUMNS($AB$1006:AJ1006),$AB$1006:$AQ$1006,0)))),"Fix")))</f>
        <v>0</v>
      </c>
      <c r="K708" s="4">
        <f>IF(OR(INDEX($V$2:$V$1001,MATCH(ROWS($U$2:U708),$U$2:$U$1001,0),1)&gt;=100000,INDEX($AB$1005:$AQ$1005,1,MATCH(COLUMNS($AB$1006:AK1006),$AB$1006:$AQ$1006,0))&gt;=100000), " ",IF(INDEX($AB$2:$AQ$1001,MATCH(ROWS($U$2:U708),$U$2:$U$1001,0),MATCH(COLUMNS($AB$1006:AK1006),$AB$1006:$AQ$1006,0)), HYPERLINK("#",""), HYPERLINK(CONCATENATE("#metadata!", ADDRESS(INDEX($W$2:$W$1001,MATCH(ROWS($U$2:U708),$U$2:$U$1001,0),0), INDEX($AB$1004:$AQ$1004,1,MATCH(COLUMNS($AB$1006:AK1006),$AB$1006:$AQ$1006,0)))),"Fix")))</f>
        <v>0</v>
      </c>
      <c r="L708" s="4">
        <f>IF(OR(INDEX($V$2:$V$1001,MATCH(ROWS($U$2:U708),$U$2:$U$1001,0),1)&gt;=100000,INDEX($AB$1005:$AQ$1005,1,MATCH(COLUMNS($AB$1006:AL1006),$AB$1006:$AQ$1006,0))&gt;=100000), " ",IF(INDEX($AB$2:$AQ$1001,MATCH(ROWS($U$2:U708),$U$2:$U$1001,0),MATCH(COLUMNS($AB$1006:AL1006),$AB$1006:$AQ$1006,0)), HYPERLINK("#",""), HYPERLINK(CONCATENATE("#metadata!", ADDRESS(INDEX($W$2:$W$1001,MATCH(ROWS($U$2:U708),$U$2:$U$1001,0),0), INDEX($AB$1004:$AQ$1004,1,MATCH(COLUMNS($AB$1006:AL1006),$AB$1006:$AQ$1006,0)))),"Fix")))</f>
        <v>0</v>
      </c>
      <c r="M708" s="4">
        <f>IF(OR(INDEX($V$2:$V$1001,MATCH(ROWS($U$2:U708),$U$2:$U$1001,0),1)&gt;=100000,INDEX($AB$1005:$AQ$1005,1,MATCH(COLUMNS($AB$1006:AM1006),$AB$1006:$AQ$1006,0))&gt;=100000), " ",IF(INDEX($AB$2:$AQ$1001,MATCH(ROWS($U$2:U708),$U$2:$U$1001,0),MATCH(COLUMNS($AB$1006:AM1006),$AB$1006:$AQ$1006,0)), HYPERLINK("#",""), HYPERLINK(CONCATENATE("#metadata!", ADDRESS(INDEX($W$2:$W$1001,MATCH(ROWS($U$2:U708),$U$2:$U$1001,0),0), INDEX($AB$1004:$AQ$1004,1,MATCH(COLUMNS($AB$1006:AM1006),$AB$1006:$AQ$1006,0)))),"Fix")))</f>
        <v>0</v>
      </c>
      <c r="N708" s="4">
        <f>IF(OR(INDEX($V$2:$V$1001,MATCH(ROWS($U$2:U708),$U$2:$U$1001,0),1)&gt;=100000,INDEX($AB$1005:$AQ$1005,1,MATCH(COLUMNS($AB$1006:AN1006),$AB$1006:$AQ$1006,0))&gt;=100000), " ",IF(INDEX($AB$2:$AQ$1001,MATCH(ROWS($U$2:U708),$U$2:$U$1001,0),MATCH(COLUMNS($AB$1006:AN1006),$AB$1006:$AQ$1006,0)), HYPERLINK("#",""), HYPERLINK(CONCATENATE("#metadata!", ADDRESS(INDEX($W$2:$W$1001,MATCH(ROWS($U$2:U708),$U$2:$U$1001,0),0), INDEX($AB$1004:$AQ$1004,1,MATCH(COLUMNS($AB$1006:AN1006),$AB$1006:$AQ$1006,0)))),"Fix")))</f>
        <v>0</v>
      </c>
      <c r="O708" s="4">
        <f>IF(OR(INDEX($V$2:$V$1001,MATCH(ROWS($U$2:U708),$U$2:$U$1001,0),1)&gt;=100000,INDEX($AB$1005:$AQ$1005,1,MATCH(COLUMNS($AB$1006:AO1006),$AB$1006:$AQ$1006,0))&gt;=100000), " ",IF(INDEX($AB$2:$AQ$1001,MATCH(ROWS($U$2:U708),$U$2:$U$1001,0),MATCH(COLUMNS($AB$1006:AO1006),$AB$1006:$AQ$1006,0)), HYPERLINK("#",""), HYPERLINK(CONCATENATE("#metadata!", ADDRESS(INDEX($W$2:$W$1001,MATCH(ROWS($U$2:U708),$U$2:$U$1001,0),0), INDEX($AB$1004:$AQ$1004,1,MATCH(COLUMNS($AB$1006:AO1006),$AB$1006:$AQ$1006,0)))),"Fix")))</f>
        <v>0</v>
      </c>
      <c r="P708" s="4">
        <f>IF(OR(INDEX($V$2:$V$1001,MATCH(ROWS($U$2:U708),$U$2:$U$1001,0),1)&gt;=100000,INDEX($AB$1005:$AQ$1005,1,MATCH(COLUMNS($AB$1006:AP1006),$AB$1006:$AQ$1006,0))&gt;=100000), " ",IF(INDEX($AB$2:$AQ$1001,MATCH(ROWS($U$2:U708),$U$2:$U$1001,0),MATCH(COLUMNS($AB$1006:AP1006),$AB$1006:$AQ$1006,0)), HYPERLINK("#",""), HYPERLINK(CONCATENATE("#metadata!", ADDRESS(INDEX($W$2:$W$1001,MATCH(ROWS($U$2:U708),$U$2:$U$1001,0),0), INDEX($AB$1004:$AQ$1004,1,MATCH(COLUMNS($AB$1006:AP1006),$AB$1006:$AQ$1006,0)))),"Fix")))</f>
        <v>0</v>
      </c>
      <c r="Q708" s="4">
        <f>IF(OR(INDEX($V$2:$V$1001,MATCH(ROWS($U$2:U708),$U$2:$U$1001,0),1)&gt;=100000,INDEX($AB$1005:$AQ$1005,1,MATCH(COLUMNS($AB$1006:AQ1006),$AB$1006:$AQ$1006,0))&gt;=100000), " ",IF(INDEX($AB$2:$AQ$1001,MATCH(ROWS($U$2:U708),$U$2:$U$1001,0),MATCH(COLUMNS($AB$1006:AQ1006),$AB$1006:$AQ$1006,0)), HYPERLINK("#",""), HYPERLINK(CONCATENATE("#metadata!", ADDRESS(INDEX($W$2:$W$1001,MATCH(ROWS($U$2:U708),$U$2:$U$1001,0),0), INDEX($AB$1004:$AQ$1004,1,MATCH(COLUMNS($AB$1006:AQ1006),$AB$1006:$AQ$1006,0)))),"Fix")))</f>
        <v>0</v>
      </c>
      <c r="U708">
        <v>0</v>
      </c>
      <c r="V708">
        <v>0</v>
      </c>
      <c r="W708">
        <v>0</v>
      </c>
      <c r="X708">
        <f>IF(Y708,TRUE,AND(AB708:AQ708))</f>
        <v>0</v>
      </c>
      <c r="Y708">
        <f>COUNTBLANK(metadata!B708:Q708)=COLUMNS(metadata!B708:Q708)</f>
        <v>0</v>
      </c>
      <c r="Z708">
        <v>0</v>
      </c>
      <c r="AB708">
        <f>AND(IF(metadata!B708="",FALSE,TRUE),COUNTIF(metadata!B:B, metadata!B708) = 1,NOT(ISERROR(SUMPRODUCT(SEARCH(MID(metadata!B708,ROW(INDIRECT("1:"&amp;LEN(metadata!B708))), 1),"0123456789abcdefghijklmnopqrstuvwxyzABCDEFGHIJKLMNOPQRSTUVWXYZ.")))))</f>
        <v>0</v>
      </c>
      <c r="AC708">
        <f>OR(AND(IF(metadata!C708="",FALSE,TRUE),OR(exact(metadata!C708,"missing: not collected"),exact(metadata!C708,"missing: not provided"),exact(metadata!C708,"missing: restricted access"))),AND(IF(metadata!C708="",FALSE,TRUE),AND(AND(IFERROR(INT(LEFT(metadata!C708,4))&gt;1900,FALSE),IFERROR(INT(LEFT(metadata!C708,4))&lt;=YEAR(NOW()),FALSE)), OR(MID(metadata!C708,5,1)="", AND(AND(MID(metadata!C708,5,1)="-",IFERROR(INT(MID(metadata!C708,6,1))&gt;=0,FALSE),IFERROR(INT(MID(metadata!C708,6,1))&lt;=1,FALSE),NOT(MID(metadata!C708,7,1)=""),IFERROR(INT(MID(metadata!C708,6,2))&gt;=1,FALSE),IFERROR(INT(MID(metadata!C708,6,2))&lt;=12,FALSE)), OR(MID(metadata!C708,8,1)="", AND(AND(MID(metadata!C708,8,1)="-",IFERROR(INT(MID(metadata!C708,9,1))&gt;=0,FALSE),IFERROR(INT(MID(metadata!C708,9,1))&lt;=3,FALSE),NOT(MID(metadata!C708,10,1)=""),IFERROR(INT(MID(metadata!C708,9,2))&gt;=1,FALSE),IFERROR(INT(MID(metadata!C708,9,2))&lt;=31,FALSE)), OR(MID(metadata!C708,11,1)="", AND(AND(MID(metadata!C708,11,1)=" ",IFERROR(INT(MID(metadata!C708,12,1))&gt;=0,FALSE),IFERROR(INT(MID(metadata!C708,12,1))&lt;=2,FALSE),NOT(MID(metadata!C708,13,1)=""),IFERROR(INT(MID(metadata!C708,12,2))&gt;=0,FALSE),IFERROR(INT(MID(metadata!C708,12,2))&lt;=23,FALSE)), OR(MID(metadata!C708,14,1)="", AND(AND(MID(metadata!C708,14,1)=":",IFERROR(INT(MID(metadata!C708,15,1))&gt;=0,FALSE),IFERROR(INT(MID(metadata!C708,15,1))&lt;=5,FALSE),NOT(MID(metadata!C708,16,1)=""),IFERROR(INT(MID(metadata!C708,15,2))&gt;=0,FALSE),IFERROR(INT(MID(metadata!C708,15,2))&lt;=59,FALSE)), OR(MID(metadata!C708,17,1)="", AND(AND(MID(metadata!C708,17,1)=":",IFERROR(INT(MID(metadata!C708,18,1))&gt;=0,FALSE),IFERROR(INT(MID(metadata!C708,18,1))&lt;=5,FALSE),NOT(MID(metadata!C708,19,1)=""),IFERROR(INT(MID(metadata!C708,18,2))&gt;=0,FALSE),IFERROR(INT(MID(metadata!C708,18,2))&lt;=59,FALSE)), LEN(metadata!C708)&lt;=19)))))))))))))</f>
        <v>0</v>
      </c>
      <c r="AD708">
        <f>IF(metadata!D708="",FALSE,TRUE)</f>
        <v>0</v>
      </c>
      <c r="AE708">
        <f>OR(AND(IF(metadata!E708="",FALSE,TRUE),OR(exact(metadata!E708,"missing: not collected"),exact(metadata!E708,"missing: not provided"))),AND(IF(metadata!E708="",FALSE,TRUE),OR(exact(metadata!E708,"TRUE"),exact(metadata!E708,"FALSE"))))</f>
        <v>0</v>
      </c>
      <c r="AF708">
        <f>IF(metadata!F708="",FALSE,TRUE)</f>
        <v>0</v>
      </c>
      <c r="AG708">
        <f>IF(metadata!G708="",FALSE,TRUE)</f>
        <v>0</v>
      </c>
      <c r="AH708">
        <f>IF(metadata!H708="",FALSE,TRUE)</f>
        <v>0</v>
      </c>
      <c r="AI708">
        <f>OR(AND(IF(metadata!I708="",FALSE,TRUE),OR(exact(metadata!I708,"missing: not collected"),exact(metadata!I708,"missing: not provided"),exact(metadata!I708,"missing: restricted access"))),AND(IF(metadata!I708="",FALSE,TRUE),OR(exact(metadata!I708,"air"),exact(metadata!I708,"built environment"),exact(metadata!I708,"host-associated"),exact(metadata!I708,"human-associated"),exact(metadata!I708,"human-skin"),exact(metadata!I708,"human-oral"),exact(metadata!I708,"human-gut"),exact(metadata!I708,"human-vaginal"),exact(metadata!I708,"microbial mat/biofilm"),exact(metadata!I708,"misc environment"),exact(metadata!I708,"plant-associated"),exact(metadata!I708,"sediment"),exact(metadata!I708,"soil"),exact(metadata!I708,"wastewater/sludge"),exact(metadata!I708,"water"))))</f>
        <v>0</v>
      </c>
      <c r="AJ708">
        <f>IF(metadata!J708="",FALSE,TRUE)</f>
        <v>0</v>
      </c>
      <c r="AK708">
        <f>OR(AND(IF(metadata!K708="",FALSE,TRUE),OR(exact(metadata!K708,"missing: not collected"),exact(metadata!K708,"missing: not provided"),exact(metadata!K708,"missing: restricted access"))),AND(IF(metadata!K708="",FALSE,ISNUMBER(VALUE(metadata!K708))),metadata!K708&gt;=-90.00,metadata!K708&lt;=90.00))</f>
        <v>0</v>
      </c>
      <c r="AL708">
        <f>OR(AND(IF(metadata!L708="",FALSE,TRUE),OR(exact(metadata!L708,"missing: not collected"),exact(metadata!L708,"missing: not provided"),exact(metadata!L708,"missing: restricted access"))),AND(IF(metadata!L708="",FALSE,ISNUMBER(VALUE(metadata!L708))),metadata!L708&gt;=-180.00,metadata!L708&lt;=180.00))</f>
        <v>0</v>
      </c>
      <c r="AM708">
        <f>IF(metadata!M708="",FALSE,TRUE)</f>
        <v>0</v>
      </c>
      <c r="AN708">
        <f>OR(AND(IF(metadata!N708="",FALSE,TRUE),OR(exact(metadata!N708,"missing: not collected"),exact(metadata!N708,"missing: not provided"),exact(metadata!N708,"missing: restricted access"))),AND(IF(metadata!N708="",FALSE,TRUE),OR(exact(metadata!N708,"TRUE"),exact(metadata!N708,"FALSE"))))</f>
        <v>0</v>
      </c>
      <c r="AO708">
        <f>IF(metadata!O708="",FALSE,TRUE)</f>
        <v>0</v>
      </c>
      <c r="AP708">
        <f>OR(AND(IF(metadata!P708="",FALSE,TRUE),OR(exact(metadata!P708,"missing: not collected"),exact(metadata!P708,"missing: not provided"))),AND(IF(metadata!P708="",FALSE,IF(ISERROR(INT(metadata!P708)),FALSE,INT(metadata!P708)=metadata!P708)),metadata!P708&gt;0))</f>
        <v>0</v>
      </c>
      <c r="AQ708">
        <f>IF(metadata!Q708="",FALSE,TRUE)</f>
        <v>0</v>
      </c>
    </row>
    <row r="709" spans="1:43">
      <c r="A709" s="5">
        <f>IF(B709=" "," ",HYPERLINK(CONCATENATE("#metadata!",ADDRESS(INDEX($W$2:$W$1001,MATCH(ROWS($U$2:U709),$U$2:$U$1001,0),0),1)),INDEX($Z$2:$Z$1001,MATCH(ROWS($U$2:U709),$U$2:$U$1001,0),0)))</f>
        <v>0</v>
      </c>
      <c r="B709" s="4">
        <f>IF(OR(INDEX($V$2:$V$1001,MATCH(ROWS($U$2:U709),$U$2:$U$1001,0),1)&gt;=100000,INDEX($AB$1005:$AQ$1005,1,MATCH(COLUMNS($AB$1006:AB1006),$AB$1006:$AQ$1006,0))&gt;=100000), " ",IF(INDEX($AB$2:$AQ$1001,MATCH(ROWS($U$2:U709),$U$2:$U$1001,0),MATCH(COLUMNS($AB$1006:AB1006),$AB$1006:$AQ$1006,0)), HYPERLINK("#",""), HYPERLINK(CONCATENATE("#metadata!", ADDRESS(INDEX($W$2:$W$1001,MATCH(ROWS($U$2:U709),$U$2:$U$1001,0),0), INDEX($AB$1004:$AQ$1004,1,MATCH(COLUMNS($AB$1006:AB1006),$AB$1006:$AQ$1006,0)))),"Fix")))</f>
        <v>0</v>
      </c>
      <c r="C709" s="4">
        <f>IF(OR(INDEX($V$2:$V$1001,MATCH(ROWS($U$2:U709),$U$2:$U$1001,0),1)&gt;=100000,INDEX($AB$1005:$AQ$1005,1,MATCH(COLUMNS($AB$1006:AC1006),$AB$1006:$AQ$1006,0))&gt;=100000), " ",IF(INDEX($AB$2:$AQ$1001,MATCH(ROWS($U$2:U709),$U$2:$U$1001,0),MATCH(COLUMNS($AB$1006:AC1006),$AB$1006:$AQ$1006,0)), HYPERLINK("#",""), HYPERLINK(CONCATENATE("#metadata!", ADDRESS(INDEX($W$2:$W$1001,MATCH(ROWS($U$2:U709),$U$2:$U$1001,0),0), INDEX($AB$1004:$AQ$1004,1,MATCH(COLUMNS($AB$1006:AC1006),$AB$1006:$AQ$1006,0)))),"Fix")))</f>
        <v>0</v>
      </c>
      <c r="D709" s="4">
        <f>IF(OR(INDEX($V$2:$V$1001,MATCH(ROWS($U$2:U709),$U$2:$U$1001,0),1)&gt;=100000,INDEX($AB$1005:$AQ$1005,1,MATCH(COLUMNS($AB$1006:AD1006),$AB$1006:$AQ$1006,0))&gt;=100000), " ",IF(INDEX($AB$2:$AQ$1001,MATCH(ROWS($U$2:U709),$U$2:$U$1001,0),MATCH(COLUMNS($AB$1006:AD1006),$AB$1006:$AQ$1006,0)), HYPERLINK("#",""), HYPERLINK(CONCATENATE("#metadata!", ADDRESS(INDEX($W$2:$W$1001,MATCH(ROWS($U$2:U709),$U$2:$U$1001,0),0), INDEX($AB$1004:$AQ$1004,1,MATCH(COLUMNS($AB$1006:AD1006),$AB$1006:$AQ$1006,0)))),"Fix")))</f>
        <v>0</v>
      </c>
      <c r="E709" s="4">
        <f>IF(OR(INDEX($V$2:$V$1001,MATCH(ROWS($U$2:U709),$U$2:$U$1001,0),1)&gt;=100000,INDEX($AB$1005:$AQ$1005,1,MATCH(COLUMNS($AB$1006:AE1006),$AB$1006:$AQ$1006,0))&gt;=100000), " ",IF(INDEX($AB$2:$AQ$1001,MATCH(ROWS($U$2:U709),$U$2:$U$1001,0),MATCH(COLUMNS($AB$1006:AE1006),$AB$1006:$AQ$1006,0)), HYPERLINK("#",""), HYPERLINK(CONCATENATE("#metadata!", ADDRESS(INDEX($W$2:$W$1001,MATCH(ROWS($U$2:U709),$U$2:$U$1001,0),0), INDEX($AB$1004:$AQ$1004,1,MATCH(COLUMNS($AB$1006:AE1006),$AB$1006:$AQ$1006,0)))),"Fix")))</f>
        <v>0</v>
      </c>
      <c r="F709" s="4">
        <f>IF(OR(INDEX($V$2:$V$1001,MATCH(ROWS($U$2:U709),$U$2:$U$1001,0),1)&gt;=100000,INDEX($AB$1005:$AQ$1005,1,MATCH(COLUMNS($AB$1006:AF1006),$AB$1006:$AQ$1006,0))&gt;=100000), " ",IF(INDEX($AB$2:$AQ$1001,MATCH(ROWS($U$2:U709),$U$2:$U$1001,0),MATCH(COLUMNS($AB$1006:AF1006),$AB$1006:$AQ$1006,0)), HYPERLINK("#",""), HYPERLINK(CONCATENATE("#metadata!", ADDRESS(INDEX($W$2:$W$1001,MATCH(ROWS($U$2:U709),$U$2:$U$1001,0),0), INDEX($AB$1004:$AQ$1004,1,MATCH(COLUMNS($AB$1006:AF1006),$AB$1006:$AQ$1006,0)))),"Fix")))</f>
        <v>0</v>
      </c>
      <c r="G709" s="4">
        <f>IF(OR(INDEX($V$2:$V$1001,MATCH(ROWS($U$2:U709),$U$2:$U$1001,0),1)&gt;=100000,INDEX($AB$1005:$AQ$1005,1,MATCH(COLUMNS($AB$1006:AG1006),$AB$1006:$AQ$1006,0))&gt;=100000), " ",IF(INDEX($AB$2:$AQ$1001,MATCH(ROWS($U$2:U709),$U$2:$U$1001,0),MATCH(COLUMNS($AB$1006:AG1006),$AB$1006:$AQ$1006,0)), HYPERLINK("#",""), HYPERLINK(CONCATENATE("#metadata!", ADDRESS(INDEX($W$2:$W$1001,MATCH(ROWS($U$2:U709),$U$2:$U$1001,0),0), INDEX($AB$1004:$AQ$1004,1,MATCH(COLUMNS($AB$1006:AG1006),$AB$1006:$AQ$1006,0)))),"Fix")))</f>
        <v>0</v>
      </c>
      <c r="H709" s="4">
        <f>IF(OR(INDEX($V$2:$V$1001,MATCH(ROWS($U$2:U709),$U$2:$U$1001,0),1)&gt;=100000,INDEX($AB$1005:$AQ$1005,1,MATCH(COLUMNS($AB$1006:AH1006),$AB$1006:$AQ$1006,0))&gt;=100000), " ",IF(INDEX($AB$2:$AQ$1001,MATCH(ROWS($U$2:U709),$U$2:$U$1001,0),MATCH(COLUMNS($AB$1006:AH1006),$AB$1006:$AQ$1006,0)), HYPERLINK("#",""), HYPERLINK(CONCATENATE("#metadata!", ADDRESS(INDEX($W$2:$W$1001,MATCH(ROWS($U$2:U709),$U$2:$U$1001,0),0), INDEX($AB$1004:$AQ$1004,1,MATCH(COLUMNS($AB$1006:AH1006),$AB$1006:$AQ$1006,0)))),"Fix")))</f>
        <v>0</v>
      </c>
      <c r="I709" s="4">
        <f>IF(OR(INDEX($V$2:$V$1001,MATCH(ROWS($U$2:U709),$U$2:$U$1001,0),1)&gt;=100000,INDEX($AB$1005:$AQ$1005,1,MATCH(COLUMNS($AB$1006:AI1006),$AB$1006:$AQ$1006,0))&gt;=100000), " ",IF(INDEX($AB$2:$AQ$1001,MATCH(ROWS($U$2:U709),$U$2:$U$1001,0),MATCH(COLUMNS($AB$1006:AI1006),$AB$1006:$AQ$1006,0)), HYPERLINK("#",""), HYPERLINK(CONCATENATE("#metadata!", ADDRESS(INDEX($W$2:$W$1001,MATCH(ROWS($U$2:U709),$U$2:$U$1001,0),0), INDEX($AB$1004:$AQ$1004,1,MATCH(COLUMNS($AB$1006:AI1006),$AB$1006:$AQ$1006,0)))),"Fix")))</f>
        <v>0</v>
      </c>
      <c r="J709" s="4">
        <f>IF(OR(INDEX($V$2:$V$1001,MATCH(ROWS($U$2:U709),$U$2:$U$1001,0),1)&gt;=100000,INDEX($AB$1005:$AQ$1005,1,MATCH(COLUMNS($AB$1006:AJ1006),$AB$1006:$AQ$1006,0))&gt;=100000), " ",IF(INDEX($AB$2:$AQ$1001,MATCH(ROWS($U$2:U709),$U$2:$U$1001,0),MATCH(COLUMNS($AB$1006:AJ1006),$AB$1006:$AQ$1006,0)), HYPERLINK("#",""), HYPERLINK(CONCATENATE("#metadata!", ADDRESS(INDEX($W$2:$W$1001,MATCH(ROWS($U$2:U709),$U$2:$U$1001,0),0), INDEX($AB$1004:$AQ$1004,1,MATCH(COLUMNS($AB$1006:AJ1006),$AB$1006:$AQ$1006,0)))),"Fix")))</f>
        <v>0</v>
      </c>
      <c r="K709" s="4">
        <f>IF(OR(INDEX($V$2:$V$1001,MATCH(ROWS($U$2:U709),$U$2:$U$1001,0),1)&gt;=100000,INDEX($AB$1005:$AQ$1005,1,MATCH(COLUMNS($AB$1006:AK1006),$AB$1006:$AQ$1006,0))&gt;=100000), " ",IF(INDEX($AB$2:$AQ$1001,MATCH(ROWS($U$2:U709),$U$2:$U$1001,0),MATCH(COLUMNS($AB$1006:AK1006),$AB$1006:$AQ$1006,0)), HYPERLINK("#",""), HYPERLINK(CONCATENATE("#metadata!", ADDRESS(INDEX($W$2:$W$1001,MATCH(ROWS($U$2:U709),$U$2:$U$1001,0),0), INDEX($AB$1004:$AQ$1004,1,MATCH(COLUMNS($AB$1006:AK1006),$AB$1006:$AQ$1006,0)))),"Fix")))</f>
        <v>0</v>
      </c>
      <c r="L709" s="4">
        <f>IF(OR(INDEX($V$2:$V$1001,MATCH(ROWS($U$2:U709),$U$2:$U$1001,0),1)&gt;=100000,INDEX($AB$1005:$AQ$1005,1,MATCH(COLUMNS($AB$1006:AL1006),$AB$1006:$AQ$1006,0))&gt;=100000), " ",IF(INDEX($AB$2:$AQ$1001,MATCH(ROWS($U$2:U709),$U$2:$U$1001,0),MATCH(COLUMNS($AB$1006:AL1006),$AB$1006:$AQ$1006,0)), HYPERLINK("#",""), HYPERLINK(CONCATENATE("#metadata!", ADDRESS(INDEX($W$2:$W$1001,MATCH(ROWS($U$2:U709),$U$2:$U$1001,0),0), INDEX($AB$1004:$AQ$1004,1,MATCH(COLUMNS($AB$1006:AL1006),$AB$1006:$AQ$1006,0)))),"Fix")))</f>
        <v>0</v>
      </c>
      <c r="M709" s="4">
        <f>IF(OR(INDEX($V$2:$V$1001,MATCH(ROWS($U$2:U709),$U$2:$U$1001,0),1)&gt;=100000,INDEX($AB$1005:$AQ$1005,1,MATCH(COLUMNS($AB$1006:AM1006),$AB$1006:$AQ$1006,0))&gt;=100000), " ",IF(INDEX($AB$2:$AQ$1001,MATCH(ROWS($U$2:U709),$U$2:$U$1001,0),MATCH(COLUMNS($AB$1006:AM1006),$AB$1006:$AQ$1006,0)), HYPERLINK("#",""), HYPERLINK(CONCATENATE("#metadata!", ADDRESS(INDEX($W$2:$W$1001,MATCH(ROWS($U$2:U709),$U$2:$U$1001,0),0), INDEX($AB$1004:$AQ$1004,1,MATCH(COLUMNS($AB$1006:AM1006),$AB$1006:$AQ$1006,0)))),"Fix")))</f>
        <v>0</v>
      </c>
      <c r="N709" s="4">
        <f>IF(OR(INDEX($V$2:$V$1001,MATCH(ROWS($U$2:U709),$U$2:$U$1001,0),1)&gt;=100000,INDEX($AB$1005:$AQ$1005,1,MATCH(COLUMNS($AB$1006:AN1006),$AB$1006:$AQ$1006,0))&gt;=100000), " ",IF(INDEX($AB$2:$AQ$1001,MATCH(ROWS($U$2:U709),$U$2:$U$1001,0),MATCH(COLUMNS($AB$1006:AN1006),$AB$1006:$AQ$1006,0)), HYPERLINK("#",""), HYPERLINK(CONCATENATE("#metadata!", ADDRESS(INDEX($W$2:$W$1001,MATCH(ROWS($U$2:U709),$U$2:$U$1001,0),0), INDEX($AB$1004:$AQ$1004,1,MATCH(COLUMNS($AB$1006:AN1006),$AB$1006:$AQ$1006,0)))),"Fix")))</f>
        <v>0</v>
      </c>
      <c r="O709" s="4">
        <f>IF(OR(INDEX($V$2:$V$1001,MATCH(ROWS($U$2:U709),$U$2:$U$1001,0),1)&gt;=100000,INDEX($AB$1005:$AQ$1005,1,MATCH(COLUMNS($AB$1006:AO1006),$AB$1006:$AQ$1006,0))&gt;=100000), " ",IF(INDEX($AB$2:$AQ$1001,MATCH(ROWS($U$2:U709),$U$2:$U$1001,0),MATCH(COLUMNS($AB$1006:AO1006),$AB$1006:$AQ$1006,0)), HYPERLINK("#",""), HYPERLINK(CONCATENATE("#metadata!", ADDRESS(INDEX($W$2:$W$1001,MATCH(ROWS($U$2:U709),$U$2:$U$1001,0),0), INDEX($AB$1004:$AQ$1004,1,MATCH(COLUMNS($AB$1006:AO1006),$AB$1006:$AQ$1006,0)))),"Fix")))</f>
        <v>0</v>
      </c>
      <c r="P709" s="4">
        <f>IF(OR(INDEX($V$2:$V$1001,MATCH(ROWS($U$2:U709),$U$2:$U$1001,0),1)&gt;=100000,INDEX($AB$1005:$AQ$1005,1,MATCH(COLUMNS($AB$1006:AP1006),$AB$1006:$AQ$1006,0))&gt;=100000), " ",IF(INDEX($AB$2:$AQ$1001,MATCH(ROWS($U$2:U709),$U$2:$U$1001,0),MATCH(COLUMNS($AB$1006:AP1006),$AB$1006:$AQ$1006,0)), HYPERLINK("#",""), HYPERLINK(CONCATENATE("#metadata!", ADDRESS(INDEX($W$2:$W$1001,MATCH(ROWS($U$2:U709),$U$2:$U$1001,0),0), INDEX($AB$1004:$AQ$1004,1,MATCH(COLUMNS($AB$1006:AP1006),$AB$1006:$AQ$1006,0)))),"Fix")))</f>
        <v>0</v>
      </c>
      <c r="Q709" s="4">
        <f>IF(OR(INDEX($V$2:$V$1001,MATCH(ROWS($U$2:U709),$U$2:$U$1001,0),1)&gt;=100000,INDEX($AB$1005:$AQ$1005,1,MATCH(COLUMNS($AB$1006:AQ1006),$AB$1006:$AQ$1006,0))&gt;=100000), " ",IF(INDEX($AB$2:$AQ$1001,MATCH(ROWS($U$2:U709),$U$2:$U$1001,0),MATCH(COLUMNS($AB$1006:AQ1006),$AB$1006:$AQ$1006,0)), HYPERLINK("#",""), HYPERLINK(CONCATENATE("#metadata!", ADDRESS(INDEX($W$2:$W$1001,MATCH(ROWS($U$2:U709),$U$2:$U$1001,0),0), INDEX($AB$1004:$AQ$1004,1,MATCH(COLUMNS($AB$1006:AQ1006),$AB$1006:$AQ$1006,0)))),"Fix")))</f>
        <v>0</v>
      </c>
      <c r="U709">
        <v>0</v>
      </c>
      <c r="V709">
        <v>0</v>
      </c>
      <c r="W709">
        <v>0</v>
      </c>
      <c r="X709">
        <f>IF(Y709,TRUE,AND(AB709:AQ709))</f>
        <v>0</v>
      </c>
      <c r="Y709">
        <f>COUNTBLANK(metadata!B709:Q709)=COLUMNS(metadata!B709:Q709)</f>
        <v>0</v>
      </c>
      <c r="Z709">
        <v>0</v>
      </c>
      <c r="AB709">
        <f>AND(IF(metadata!B709="",FALSE,TRUE),COUNTIF(metadata!B:B, metadata!B709) = 1,NOT(ISERROR(SUMPRODUCT(SEARCH(MID(metadata!B709,ROW(INDIRECT("1:"&amp;LEN(metadata!B709))), 1),"0123456789abcdefghijklmnopqrstuvwxyzABCDEFGHIJKLMNOPQRSTUVWXYZ.")))))</f>
        <v>0</v>
      </c>
      <c r="AC709">
        <f>OR(AND(IF(metadata!C709="",FALSE,TRUE),OR(exact(metadata!C709,"missing: not collected"),exact(metadata!C709,"missing: not provided"),exact(metadata!C709,"missing: restricted access"))),AND(IF(metadata!C709="",FALSE,TRUE),AND(AND(IFERROR(INT(LEFT(metadata!C709,4))&gt;1900,FALSE),IFERROR(INT(LEFT(metadata!C709,4))&lt;=YEAR(NOW()),FALSE)), OR(MID(metadata!C709,5,1)="", AND(AND(MID(metadata!C709,5,1)="-",IFERROR(INT(MID(metadata!C709,6,1))&gt;=0,FALSE),IFERROR(INT(MID(metadata!C709,6,1))&lt;=1,FALSE),NOT(MID(metadata!C709,7,1)=""),IFERROR(INT(MID(metadata!C709,6,2))&gt;=1,FALSE),IFERROR(INT(MID(metadata!C709,6,2))&lt;=12,FALSE)), OR(MID(metadata!C709,8,1)="", AND(AND(MID(metadata!C709,8,1)="-",IFERROR(INT(MID(metadata!C709,9,1))&gt;=0,FALSE),IFERROR(INT(MID(metadata!C709,9,1))&lt;=3,FALSE),NOT(MID(metadata!C709,10,1)=""),IFERROR(INT(MID(metadata!C709,9,2))&gt;=1,FALSE),IFERROR(INT(MID(metadata!C709,9,2))&lt;=31,FALSE)), OR(MID(metadata!C709,11,1)="", AND(AND(MID(metadata!C709,11,1)=" ",IFERROR(INT(MID(metadata!C709,12,1))&gt;=0,FALSE),IFERROR(INT(MID(metadata!C709,12,1))&lt;=2,FALSE),NOT(MID(metadata!C709,13,1)=""),IFERROR(INT(MID(metadata!C709,12,2))&gt;=0,FALSE),IFERROR(INT(MID(metadata!C709,12,2))&lt;=23,FALSE)), OR(MID(metadata!C709,14,1)="", AND(AND(MID(metadata!C709,14,1)=":",IFERROR(INT(MID(metadata!C709,15,1))&gt;=0,FALSE),IFERROR(INT(MID(metadata!C709,15,1))&lt;=5,FALSE),NOT(MID(metadata!C709,16,1)=""),IFERROR(INT(MID(metadata!C709,15,2))&gt;=0,FALSE),IFERROR(INT(MID(metadata!C709,15,2))&lt;=59,FALSE)), OR(MID(metadata!C709,17,1)="", AND(AND(MID(metadata!C709,17,1)=":",IFERROR(INT(MID(metadata!C709,18,1))&gt;=0,FALSE),IFERROR(INT(MID(metadata!C709,18,1))&lt;=5,FALSE),NOT(MID(metadata!C709,19,1)=""),IFERROR(INT(MID(metadata!C709,18,2))&gt;=0,FALSE),IFERROR(INT(MID(metadata!C709,18,2))&lt;=59,FALSE)), LEN(metadata!C709)&lt;=19)))))))))))))</f>
        <v>0</v>
      </c>
      <c r="AD709">
        <f>IF(metadata!D709="",FALSE,TRUE)</f>
        <v>0</v>
      </c>
      <c r="AE709">
        <f>OR(AND(IF(metadata!E709="",FALSE,TRUE),OR(exact(metadata!E709,"missing: not collected"),exact(metadata!E709,"missing: not provided"))),AND(IF(metadata!E709="",FALSE,TRUE),OR(exact(metadata!E709,"TRUE"),exact(metadata!E709,"FALSE"))))</f>
        <v>0</v>
      </c>
      <c r="AF709">
        <f>IF(metadata!F709="",FALSE,TRUE)</f>
        <v>0</v>
      </c>
      <c r="AG709">
        <f>IF(metadata!G709="",FALSE,TRUE)</f>
        <v>0</v>
      </c>
      <c r="AH709">
        <f>IF(metadata!H709="",FALSE,TRUE)</f>
        <v>0</v>
      </c>
      <c r="AI709">
        <f>OR(AND(IF(metadata!I709="",FALSE,TRUE),OR(exact(metadata!I709,"missing: not collected"),exact(metadata!I709,"missing: not provided"),exact(metadata!I709,"missing: restricted access"))),AND(IF(metadata!I709="",FALSE,TRUE),OR(exact(metadata!I709,"air"),exact(metadata!I709,"built environment"),exact(metadata!I709,"host-associated"),exact(metadata!I709,"human-associated"),exact(metadata!I709,"human-skin"),exact(metadata!I709,"human-oral"),exact(metadata!I709,"human-gut"),exact(metadata!I709,"human-vaginal"),exact(metadata!I709,"microbial mat/biofilm"),exact(metadata!I709,"misc environment"),exact(metadata!I709,"plant-associated"),exact(metadata!I709,"sediment"),exact(metadata!I709,"soil"),exact(metadata!I709,"wastewater/sludge"),exact(metadata!I709,"water"))))</f>
        <v>0</v>
      </c>
      <c r="AJ709">
        <f>IF(metadata!J709="",FALSE,TRUE)</f>
        <v>0</v>
      </c>
      <c r="AK709">
        <f>OR(AND(IF(metadata!K709="",FALSE,TRUE),OR(exact(metadata!K709,"missing: not collected"),exact(metadata!K709,"missing: not provided"),exact(metadata!K709,"missing: restricted access"))),AND(IF(metadata!K709="",FALSE,ISNUMBER(VALUE(metadata!K709))),metadata!K709&gt;=-90.00,metadata!K709&lt;=90.00))</f>
        <v>0</v>
      </c>
      <c r="AL709">
        <f>OR(AND(IF(metadata!L709="",FALSE,TRUE),OR(exact(metadata!L709,"missing: not collected"),exact(metadata!L709,"missing: not provided"),exact(metadata!L709,"missing: restricted access"))),AND(IF(metadata!L709="",FALSE,ISNUMBER(VALUE(metadata!L709))),metadata!L709&gt;=-180.00,metadata!L709&lt;=180.00))</f>
        <v>0</v>
      </c>
      <c r="AM709">
        <f>IF(metadata!M709="",FALSE,TRUE)</f>
        <v>0</v>
      </c>
      <c r="AN709">
        <f>OR(AND(IF(metadata!N709="",FALSE,TRUE),OR(exact(metadata!N709,"missing: not collected"),exact(metadata!N709,"missing: not provided"),exact(metadata!N709,"missing: restricted access"))),AND(IF(metadata!N709="",FALSE,TRUE),OR(exact(metadata!N709,"TRUE"),exact(metadata!N709,"FALSE"))))</f>
        <v>0</v>
      </c>
      <c r="AO709">
        <f>IF(metadata!O709="",FALSE,TRUE)</f>
        <v>0</v>
      </c>
      <c r="AP709">
        <f>OR(AND(IF(metadata!P709="",FALSE,TRUE),OR(exact(metadata!P709,"missing: not collected"),exact(metadata!P709,"missing: not provided"))),AND(IF(metadata!P709="",FALSE,IF(ISERROR(INT(metadata!P709)),FALSE,INT(metadata!P709)=metadata!P709)),metadata!P709&gt;0))</f>
        <v>0</v>
      </c>
      <c r="AQ709">
        <f>IF(metadata!Q709="",FALSE,TRUE)</f>
        <v>0</v>
      </c>
    </row>
    <row r="710" spans="1:43">
      <c r="A710" s="5">
        <f>IF(B710=" "," ",HYPERLINK(CONCATENATE("#metadata!",ADDRESS(INDEX($W$2:$W$1001,MATCH(ROWS($U$2:U710),$U$2:$U$1001,0),0),1)),INDEX($Z$2:$Z$1001,MATCH(ROWS($U$2:U710),$U$2:$U$1001,0),0)))</f>
        <v>0</v>
      </c>
      <c r="B710" s="4">
        <f>IF(OR(INDEX($V$2:$V$1001,MATCH(ROWS($U$2:U710),$U$2:$U$1001,0),1)&gt;=100000,INDEX($AB$1005:$AQ$1005,1,MATCH(COLUMNS($AB$1006:AB1006),$AB$1006:$AQ$1006,0))&gt;=100000), " ",IF(INDEX($AB$2:$AQ$1001,MATCH(ROWS($U$2:U710),$U$2:$U$1001,0),MATCH(COLUMNS($AB$1006:AB1006),$AB$1006:$AQ$1006,0)), HYPERLINK("#",""), HYPERLINK(CONCATENATE("#metadata!", ADDRESS(INDEX($W$2:$W$1001,MATCH(ROWS($U$2:U710),$U$2:$U$1001,0),0), INDEX($AB$1004:$AQ$1004,1,MATCH(COLUMNS($AB$1006:AB1006),$AB$1006:$AQ$1006,0)))),"Fix")))</f>
        <v>0</v>
      </c>
      <c r="C710" s="4">
        <f>IF(OR(INDEX($V$2:$V$1001,MATCH(ROWS($U$2:U710),$U$2:$U$1001,0),1)&gt;=100000,INDEX($AB$1005:$AQ$1005,1,MATCH(COLUMNS($AB$1006:AC1006),$AB$1006:$AQ$1006,0))&gt;=100000), " ",IF(INDEX($AB$2:$AQ$1001,MATCH(ROWS($U$2:U710),$U$2:$U$1001,0),MATCH(COLUMNS($AB$1006:AC1006),$AB$1006:$AQ$1006,0)), HYPERLINK("#",""), HYPERLINK(CONCATENATE("#metadata!", ADDRESS(INDEX($W$2:$W$1001,MATCH(ROWS($U$2:U710),$U$2:$U$1001,0),0), INDEX($AB$1004:$AQ$1004,1,MATCH(COLUMNS($AB$1006:AC1006),$AB$1006:$AQ$1006,0)))),"Fix")))</f>
        <v>0</v>
      </c>
      <c r="D710" s="4">
        <f>IF(OR(INDEX($V$2:$V$1001,MATCH(ROWS($U$2:U710),$U$2:$U$1001,0),1)&gt;=100000,INDEX($AB$1005:$AQ$1005,1,MATCH(COLUMNS($AB$1006:AD1006),$AB$1006:$AQ$1006,0))&gt;=100000), " ",IF(INDEX($AB$2:$AQ$1001,MATCH(ROWS($U$2:U710),$U$2:$U$1001,0),MATCH(COLUMNS($AB$1006:AD1006),$AB$1006:$AQ$1006,0)), HYPERLINK("#",""), HYPERLINK(CONCATENATE("#metadata!", ADDRESS(INDEX($W$2:$W$1001,MATCH(ROWS($U$2:U710),$U$2:$U$1001,0),0), INDEX($AB$1004:$AQ$1004,1,MATCH(COLUMNS($AB$1006:AD1006),$AB$1006:$AQ$1006,0)))),"Fix")))</f>
        <v>0</v>
      </c>
      <c r="E710" s="4">
        <f>IF(OR(INDEX($V$2:$V$1001,MATCH(ROWS($U$2:U710),$U$2:$U$1001,0),1)&gt;=100000,INDEX($AB$1005:$AQ$1005,1,MATCH(COLUMNS($AB$1006:AE1006),$AB$1006:$AQ$1006,0))&gt;=100000), " ",IF(INDEX($AB$2:$AQ$1001,MATCH(ROWS($U$2:U710),$U$2:$U$1001,0),MATCH(COLUMNS($AB$1006:AE1006),$AB$1006:$AQ$1006,0)), HYPERLINK("#",""), HYPERLINK(CONCATENATE("#metadata!", ADDRESS(INDEX($W$2:$W$1001,MATCH(ROWS($U$2:U710),$U$2:$U$1001,0),0), INDEX($AB$1004:$AQ$1004,1,MATCH(COLUMNS($AB$1006:AE1006),$AB$1006:$AQ$1006,0)))),"Fix")))</f>
        <v>0</v>
      </c>
      <c r="F710" s="4">
        <f>IF(OR(INDEX($V$2:$V$1001,MATCH(ROWS($U$2:U710),$U$2:$U$1001,0),1)&gt;=100000,INDEX($AB$1005:$AQ$1005,1,MATCH(COLUMNS($AB$1006:AF1006),$AB$1006:$AQ$1006,0))&gt;=100000), " ",IF(INDEX($AB$2:$AQ$1001,MATCH(ROWS($U$2:U710),$U$2:$U$1001,0),MATCH(COLUMNS($AB$1006:AF1006),$AB$1006:$AQ$1006,0)), HYPERLINK("#",""), HYPERLINK(CONCATENATE("#metadata!", ADDRESS(INDEX($W$2:$W$1001,MATCH(ROWS($U$2:U710),$U$2:$U$1001,0),0), INDEX($AB$1004:$AQ$1004,1,MATCH(COLUMNS($AB$1006:AF1006),$AB$1006:$AQ$1006,0)))),"Fix")))</f>
        <v>0</v>
      </c>
      <c r="G710" s="4">
        <f>IF(OR(INDEX($V$2:$V$1001,MATCH(ROWS($U$2:U710),$U$2:$U$1001,0),1)&gt;=100000,INDEX($AB$1005:$AQ$1005,1,MATCH(COLUMNS($AB$1006:AG1006),$AB$1006:$AQ$1006,0))&gt;=100000), " ",IF(INDEX($AB$2:$AQ$1001,MATCH(ROWS($U$2:U710),$U$2:$U$1001,0),MATCH(COLUMNS($AB$1006:AG1006),$AB$1006:$AQ$1006,0)), HYPERLINK("#",""), HYPERLINK(CONCATENATE("#metadata!", ADDRESS(INDEX($W$2:$W$1001,MATCH(ROWS($U$2:U710),$U$2:$U$1001,0),0), INDEX($AB$1004:$AQ$1004,1,MATCH(COLUMNS($AB$1006:AG1006),$AB$1006:$AQ$1006,0)))),"Fix")))</f>
        <v>0</v>
      </c>
      <c r="H710" s="4">
        <f>IF(OR(INDEX($V$2:$V$1001,MATCH(ROWS($U$2:U710),$U$2:$U$1001,0),1)&gt;=100000,INDEX($AB$1005:$AQ$1005,1,MATCH(COLUMNS($AB$1006:AH1006),$AB$1006:$AQ$1006,0))&gt;=100000), " ",IF(INDEX($AB$2:$AQ$1001,MATCH(ROWS($U$2:U710),$U$2:$U$1001,0),MATCH(COLUMNS($AB$1006:AH1006),$AB$1006:$AQ$1006,0)), HYPERLINK("#",""), HYPERLINK(CONCATENATE("#metadata!", ADDRESS(INDEX($W$2:$W$1001,MATCH(ROWS($U$2:U710),$U$2:$U$1001,0),0), INDEX($AB$1004:$AQ$1004,1,MATCH(COLUMNS($AB$1006:AH1006),$AB$1006:$AQ$1006,0)))),"Fix")))</f>
        <v>0</v>
      </c>
      <c r="I710" s="4">
        <f>IF(OR(INDEX($V$2:$V$1001,MATCH(ROWS($U$2:U710),$U$2:$U$1001,0),1)&gt;=100000,INDEX($AB$1005:$AQ$1005,1,MATCH(COLUMNS($AB$1006:AI1006),$AB$1006:$AQ$1006,0))&gt;=100000), " ",IF(INDEX($AB$2:$AQ$1001,MATCH(ROWS($U$2:U710),$U$2:$U$1001,0),MATCH(COLUMNS($AB$1006:AI1006),$AB$1006:$AQ$1006,0)), HYPERLINK("#",""), HYPERLINK(CONCATENATE("#metadata!", ADDRESS(INDEX($W$2:$W$1001,MATCH(ROWS($U$2:U710),$U$2:$U$1001,0),0), INDEX($AB$1004:$AQ$1004,1,MATCH(COLUMNS($AB$1006:AI1006),$AB$1006:$AQ$1006,0)))),"Fix")))</f>
        <v>0</v>
      </c>
      <c r="J710" s="4">
        <f>IF(OR(INDEX($V$2:$V$1001,MATCH(ROWS($U$2:U710),$U$2:$U$1001,0),1)&gt;=100000,INDEX($AB$1005:$AQ$1005,1,MATCH(COLUMNS($AB$1006:AJ1006),$AB$1006:$AQ$1006,0))&gt;=100000), " ",IF(INDEX($AB$2:$AQ$1001,MATCH(ROWS($U$2:U710),$U$2:$U$1001,0),MATCH(COLUMNS($AB$1006:AJ1006),$AB$1006:$AQ$1006,0)), HYPERLINK("#",""), HYPERLINK(CONCATENATE("#metadata!", ADDRESS(INDEX($W$2:$W$1001,MATCH(ROWS($U$2:U710),$U$2:$U$1001,0),0), INDEX($AB$1004:$AQ$1004,1,MATCH(COLUMNS($AB$1006:AJ1006),$AB$1006:$AQ$1006,0)))),"Fix")))</f>
        <v>0</v>
      </c>
      <c r="K710" s="4">
        <f>IF(OR(INDEX($V$2:$V$1001,MATCH(ROWS($U$2:U710),$U$2:$U$1001,0),1)&gt;=100000,INDEX($AB$1005:$AQ$1005,1,MATCH(COLUMNS($AB$1006:AK1006),$AB$1006:$AQ$1006,0))&gt;=100000), " ",IF(INDEX($AB$2:$AQ$1001,MATCH(ROWS($U$2:U710),$U$2:$U$1001,0),MATCH(COLUMNS($AB$1006:AK1006),$AB$1006:$AQ$1006,0)), HYPERLINK("#",""), HYPERLINK(CONCATENATE("#metadata!", ADDRESS(INDEX($W$2:$W$1001,MATCH(ROWS($U$2:U710),$U$2:$U$1001,0),0), INDEX($AB$1004:$AQ$1004,1,MATCH(COLUMNS($AB$1006:AK1006),$AB$1006:$AQ$1006,0)))),"Fix")))</f>
        <v>0</v>
      </c>
      <c r="L710" s="4">
        <f>IF(OR(INDEX($V$2:$V$1001,MATCH(ROWS($U$2:U710),$U$2:$U$1001,0),1)&gt;=100000,INDEX($AB$1005:$AQ$1005,1,MATCH(COLUMNS($AB$1006:AL1006),$AB$1006:$AQ$1006,0))&gt;=100000), " ",IF(INDEX($AB$2:$AQ$1001,MATCH(ROWS($U$2:U710),$U$2:$U$1001,0),MATCH(COLUMNS($AB$1006:AL1006),$AB$1006:$AQ$1006,0)), HYPERLINK("#",""), HYPERLINK(CONCATENATE("#metadata!", ADDRESS(INDEX($W$2:$W$1001,MATCH(ROWS($U$2:U710),$U$2:$U$1001,0),0), INDEX($AB$1004:$AQ$1004,1,MATCH(COLUMNS($AB$1006:AL1006),$AB$1006:$AQ$1006,0)))),"Fix")))</f>
        <v>0</v>
      </c>
      <c r="M710" s="4">
        <f>IF(OR(INDEX($V$2:$V$1001,MATCH(ROWS($U$2:U710),$U$2:$U$1001,0),1)&gt;=100000,INDEX($AB$1005:$AQ$1005,1,MATCH(COLUMNS($AB$1006:AM1006),$AB$1006:$AQ$1006,0))&gt;=100000), " ",IF(INDEX($AB$2:$AQ$1001,MATCH(ROWS($U$2:U710),$U$2:$U$1001,0),MATCH(COLUMNS($AB$1006:AM1006),$AB$1006:$AQ$1006,0)), HYPERLINK("#",""), HYPERLINK(CONCATENATE("#metadata!", ADDRESS(INDEX($W$2:$W$1001,MATCH(ROWS($U$2:U710),$U$2:$U$1001,0),0), INDEX($AB$1004:$AQ$1004,1,MATCH(COLUMNS($AB$1006:AM1006),$AB$1006:$AQ$1006,0)))),"Fix")))</f>
        <v>0</v>
      </c>
      <c r="N710" s="4">
        <f>IF(OR(INDEX($V$2:$V$1001,MATCH(ROWS($U$2:U710),$U$2:$U$1001,0),1)&gt;=100000,INDEX($AB$1005:$AQ$1005,1,MATCH(COLUMNS($AB$1006:AN1006),$AB$1006:$AQ$1006,0))&gt;=100000), " ",IF(INDEX($AB$2:$AQ$1001,MATCH(ROWS($U$2:U710),$U$2:$U$1001,0),MATCH(COLUMNS($AB$1006:AN1006),$AB$1006:$AQ$1006,0)), HYPERLINK("#",""), HYPERLINK(CONCATENATE("#metadata!", ADDRESS(INDEX($W$2:$W$1001,MATCH(ROWS($U$2:U710),$U$2:$U$1001,0),0), INDEX($AB$1004:$AQ$1004,1,MATCH(COLUMNS($AB$1006:AN1006),$AB$1006:$AQ$1006,0)))),"Fix")))</f>
        <v>0</v>
      </c>
      <c r="O710" s="4">
        <f>IF(OR(INDEX($V$2:$V$1001,MATCH(ROWS($U$2:U710),$U$2:$U$1001,0),1)&gt;=100000,INDEX($AB$1005:$AQ$1005,1,MATCH(COLUMNS($AB$1006:AO1006),$AB$1006:$AQ$1006,0))&gt;=100000), " ",IF(INDEX($AB$2:$AQ$1001,MATCH(ROWS($U$2:U710),$U$2:$U$1001,0),MATCH(COLUMNS($AB$1006:AO1006),$AB$1006:$AQ$1006,0)), HYPERLINK("#",""), HYPERLINK(CONCATENATE("#metadata!", ADDRESS(INDEX($W$2:$W$1001,MATCH(ROWS($U$2:U710),$U$2:$U$1001,0),0), INDEX($AB$1004:$AQ$1004,1,MATCH(COLUMNS($AB$1006:AO1006),$AB$1006:$AQ$1006,0)))),"Fix")))</f>
        <v>0</v>
      </c>
      <c r="P710" s="4">
        <f>IF(OR(INDEX($V$2:$V$1001,MATCH(ROWS($U$2:U710),$U$2:$U$1001,0),1)&gt;=100000,INDEX($AB$1005:$AQ$1005,1,MATCH(COLUMNS($AB$1006:AP1006),$AB$1006:$AQ$1006,0))&gt;=100000), " ",IF(INDEX($AB$2:$AQ$1001,MATCH(ROWS($U$2:U710),$U$2:$U$1001,0),MATCH(COLUMNS($AB$1006:AP1006),$AB$1006:$AQ$1006,0)), HYPERLINK("#",""), HYPERLINK(CONCATENATE("#metadata!", ADDRESS(INDEX($W$2:$W$1001,MATCH(ROWS($U$2:U710),$U$2:$U$1001,0),0), INDEX($AB$1004:$AQ$1004,1,MATCH(COLUMNS($AB$1006:AP1006),$AB$1006:$AQ$1006,0)))),"Fix")))</f>
        <v>0</v>
      </c>
      <c r="Q710" s="4">
        <f>IF(OR(INDEX($V$2:$V$1001,MATCH(ROWS($U$2:U710),$U$2:$U$1001,0),1)&gt;=100000,INDEX($AB$1005:$AQ$1005,1,MATCH(COLUMNS($AB$1006:AQ1006),$AB$1006:$AQ$1006,0))&gt;=100000), " ",IF(INDEX($AB$2:$AQ$1001,MATCH(ROWS($U$2:U710),$U$2:$U$1001,0),MATCH(COLUMNS($AB$1006:AQ1006),$AB$1006:$AQ$1006,0)), HYPERLINK("#",""), HYPERLINK(CONCATENATE("#metadata!", ADDRESS(INDEX($W$2:$W$1001,MATCH(ROWS($U$2:U710),$U$2:$U$1001,0),0), INDEX($AB$1004:$AQ$1004,1,MATCH(COLUMNS($AB$1006:AQ1006),$AB$1006:$AQ$1006,0)))),"Fix")))</f>
        <v>0</v>
      </c>
      <c r="U710">
        <v>0</v>
      </c>
      <c r="V710">
        <v>0</v>
      </c>
      <c r="W710">
        <v>0</v>
      </c>
      <c r="X710">
        <f>IF(Y710,TRUE,AND(AB710:AQ710))</f>
        <v>0</v>
      </c>
      <c r="Y710">
        <f>COUNTBLANK(metadata!B710:Q710)=COLUMNS(metadata!B710:Q710)</f>
        <v>0</v>
      </c>
      <c r="Z710">
        <v>0</v>
      </c>
      <c r="AB710">
        <f>AND(IF(metadata!B710="",FALSE,TRUE),COUNTIF(metadata!B:B, metadata!B710) = 1,NOT(ISERROR(SUMPRODUCT(SEARCH(MID(metadata!B710,ROW(INDIRECT("1:"&amp;LEN(metadata!B710))), 1),"0123456789abcdefghijklmnopqrstuvwxyzABCDEFGHIJKLMNOPQRSTUVWXYZ.")))))</f>
        <v>0</v>
      </c>
      <c r="AC710">
        <f>OR(AND(IF(metadata!C710="",FALSE,TRUE),OR(exact(metadata!C710,"missing: not collected"),exact(metadata!C710,"missing: not provided"),exact(metadata!C710,"missing: restricted access"))),AND(IF(metadata!C710="",FALSE,TRUE),AND(AND(IFERROR(INT(LEFT(metadata!C710,4))&gt;1900,FALSE),IFERROR(INT(LEFT(metadata!C710,4))&lt;=YEAR(NOW()),FALSE)), OR(MID(metadata!C710,5,1)="", AND(AND(MID(metadata!C710,5,1)="-",IFERROR(INT(MID(metadata!C710,6,1))&gt;=0,FALSE),IFERROR(INT(MID(metadata!C710,6,1))&lt;=1,FALSE),NOT(MID(metadata!C710,7,1)=""),IFERROR(INT(MID(metadata!C710,6,2))&gt;=1,FALSE),IFERROR(INT(MID(metadata!C710,6,2))&lt;=12,FALSE)), OR(MID(metadata!C710,8,1)="", AND(AND(MID(metadata!C710,8,1)="-",IFERROR(INT(MID(metadata!C710,9,1))&gt;=0,FALSE),IFERROR(INT(MID(metadata!C710,9,1))&lt;=3,FALSE),NOT(MID(metadata!C710,10,1)=""),IFERROR(INT(MID(metadata!C710,9,2))&gt;=1,FALSE),IFERROR(INT(MID(metadata!C710,9,2))&lt;=31,FALSE)), OR(MID(metadata!C710,11,1)="", AND(AND(MID(metadata!C710,11,1)=" ",IFERROR(INT(MID(metadata!C710,12,1))&gt;=0,FALSE),IFERROR(INT(MID(metadata!C710,12,1))&lt;=2,FALSE),NOT(MID(metadata!C710,13,1)=""),IFERROR(INT(MID(metadata!C710,12,2))&gt;=0,FALSE),IFERROR(INT(MID(metadata!C710,12,2))&lt;=23,FALSE)), OR(MID(metadata!C710,14,1)="", AND(AND(MID(metadata!C710,14,1)=":",IFERROR(INT(MID(metadata!C710,15,1))&gt;=0,FALSE),IFERROR(INT(MID(metadata!C710,15,1))&lt;=5,FALSE),NOT(MID(metadata!C710,16,1)=""),IFERROR(INT(MID(metadata!C710,15,2))&gt;=0,FALSE),IFERROR(INT(MID(metadata!C710,15,2))&lt;=59,FALSE)), OR(MID(metadata!C710,17,1)="", AND(AND(MID(metadata!C710,17,1)=":",IFERROR(INT(MID(metadata!C710,18,1))&gt;=0,FALSE),IFERROR(INT(MID(metadata!C710,18,1))&lt;=5,FALSE),NOT(MID(metadata!C710,19,1)=""),IFERROR(INT(MID(metadata!C710,18,2))&gt;=0,FALSE),IFERROR(INT(MID(metadata!C710,18,2))&lt;=59,FALSE)), LEN(metadata!C710)&lt;=19)))))))))))))</f>
        <v>0</v>
      </c>
      <c r="AD710">
        <f>IF(metadata!D710="",FALSE,TRUE)</f>
        <v>0</v>
      </c>
      <c r="AE710">
        <f>OR(AND(IF(metadata!E710="",FALSE,TRUE),OR(exact(metadata!E710,"missing: not collected"),exact(metadata!E710,"missing: not provided"))),AND(IF(metadata!E710="",FALSE,TRUE),OR(exact(metadata!E710,"TRUE"),exact(metadata!E710,"FALSE"))))</f>
        <v>0</v>
      </c>
      <c r="AF710">
        <f>IF(metadata!F710="",FALSE,TRUE)</f>
        <v>0</v>
      </c>
      <c r="AG710">
        <f>IF(metadata!G710="",FALSE,TRUE)</f>
        <v>0</v>
      </c>
      <c r="AH710">
        <f>IF(metadata!H710="",FALSE,TRUE)</f>
        <v>0</v>
      </c>
      <c r="AI710">
        <f>OR(AND(IF(metadata!I710="",FALSE,TRUE),OR(exact(metadata!I710,"missing: not collected"),exact(metadata!I710,"missing: not provided"),exact(metadata!I710,"missing: restricted access"))),AND(IF(metadata!I710="",FALSE,TRUE),OR(exact(metadata!I710,"air"),exact(metadata!I710,"built environment"),exact(metadata!I710,"host-associated"),exact(metadata!I710,"human-associated"),exact(metadata!I710,"human-skin"),exact(metadata!I710,"human-oral"),exact(metadata!I710,"human-gut"),exact(metadata!I710,"human-vaginal"),exact(metadata!I710,"microbial mat/biofilm"),exact(metadata!I710,"misc environment"),exact(metadata!I710,"plant-associated"),exact(metadata!I710,"sediment"),exact(metadata!I710,"soil"),exact(metadata!I710,"wastewater/sludge"),exact(metadata!I710,"water"))))</f>
        <v>0</v>
      </c>
      <c r="AJ710">
        <f>IF(metadata!J710="",FALSE,TRUE)</f>
        <v>0</v>
      </c>
      <c r="AK710">
        <f>OR(AND(IF(metadata!K710="",FALSE,TRUE),OR(exact(metadata!K710,"missing: not collected"),exact(metadata!K710,"missing: not provided"),exact(metadata!K710,"missing: restricted access"))),AND(IF(metadata!K710="",FALSE,ISNUMBER(VALUE(metadata!K710))),metadata!K710&gt;=-90.00,metadata!K710&lt;=90.00))</f>
        <v>0</v>
      </c>
      <c r="AL710">
        <f>OR(AND(IF(metadata!L710="",FALSE,TRUE),OR(exact(metadata!L710,"missing: not collected"),exact(metadata!L710,"missing: not provided"),exact(metadata!L710,"missing: restricted access"))),AND(IF(metadata!L710="",FALSE,ISNUMBER(VALUE(metadata!L710))),metadata!L710&gt;=-180.00,metadata!L710&lt;=180.00))</f>
        <v>0</v>
      </c>
      <c r="AM710">
        <f>IF(metadata!M710="",FALSE,TRUE)</f>
        <v>0</v>
      </c>
      <c r="AN710">
        <f>OR(AND(IF(metadata!N710="",FALSE,TRUE),OR(exact(metadata!N710,"missing: not collected"),exact(metadata!N710,"missing: not provided"),exact(metadata!N710,"missing: restricted access"))),AND(IF(metadata!N710="",FALSE,TRUE),OR(exact(metadata!N710,"TRUE"),exact(metadata!N710,"FALSE"))))</f>
        <v>0</v>
      </c>
      <c r="AO710">
        <f>IF(metadata!O710="",FALSE,TRUE)</f>
        <v>0</v>
      </c>
      <c r="AP710">
        <f>OR(AND(IF(metadata!P710="",FALSE,TRUE),OR(exact(metadata!P710,"missing: not collected"),exact(metadata!P710,"missing: not provided"))),AND(IF(metadata!P710="",FALSE,IF(ISERROR(INT(metadata!P710)),FALSE,INT(metadata!P710)=metadata!P710)),metadata!P710&gt;0))</f>
        <v>0</v>
      </c>
      <c r="AQ710">
        <f>IF(metadata!Q710="",FALSE,TRUE)</f>
        <v>0</v>
      </c>
    </row>
    <row r="711" spans="1:43">
      <c r="A711" s="5">
        <f>IF(B711=" "," ",HYPERLINK(CONCATENATE("#metadata!",ADDRESS(INDEX($W$2:$W$1001,MATCH(ROWS($U$2:U711),$U$2:$U$1001,0),0),1)),INDEX($Z$2:$Z$1001,MATCH(ROWS($U$2:U711),$U$2:$U$1001,0),0)))</f>
        <v>0</v>
      </c>
      <c r="B711" s="4">
        <f>IF(OR(INDEX($V$2:$V$1001,MATCH(ROWS($U$2:U711),$U$2:$U$1001,0),1)&gt;=100000,INDEX($AB$1005:$AQ$1005,1,MATCH(COLUMNS($AB$1006:AB1006),$AB$1006:$AQ$1006,0))&gt;=100000), " ",IF(INDEX($AB$2:$AQ$1001,MATCH(ROWS($U$2:U711),$U$2:$U$1001,0),MATCH(COLUMNS($AB$1006:AB1006),$AB$1006:$AQ$1006,0)), HYPERLINK("#",""), HYPERLINK(CONCATENATE("#metadata!", ADDRESS(INDEX($W$2:$W$1001,MATCH(ROWS($U$2:U711),$U$2:$U$1001,0),0), INDEX($AB$1004:$AQ$1004,1,MATCH(COLUMNS($AB$1006:AB1006),$AB$1006:$AQ$1006,0)))),"Fix")))</f>
        <v>0</v>
      </c>
      <c r="C711" s="4">
        <f>IF(OR(INDEX($V$2:$V$1001,MATCH(ROWS($U$2:U711),$U$2:$U$1001,0),1)&gt;=100000,INDEX($AB$1005:$AQ$1005,1,MATCH(COLUMNS($AB$1006:AC1006),$AB$1006:$AQ$1006,0))&gt;=100000), " ",IF(INDEX($AB$2:$AQ$1001,MATCH(ROWS($U$2:U711),$U$2:$U$1001,0),MATCH(COLUMNS($AB$1006:AC1006),$AB$1006:$AQ$1006,0)), HYPERLINK("#",""), HYPERLINK(CONCATENATE("#metadata!", ADDRESS(INDEX($W$2:$W$1001,MATCH(ROWS($U$2:U711),$U$2:$U$1001,0),0), INDEX($AB$1004:$AQ$1004,1,MATCH(COLUMNS($AB$1006:AC1006),$AB$1006:$AQ$1006,0)))),"Fix")))</f>
        <v>0</v>
      </c>
      <c r="D711" s="4">
        <f>IF(OR(INDEX($V$2:$V$1001,MATCH(ROWS($U$2:U711),$U$2:$U$1001,0),1)&gt;=100000,INDEX($AB$1005:$AQ$1005,1,MATCH(COLUMNS($AB$1006:AD1006),$AB$1006:$AQ$1006,0))&gt;=100000), " ",IF(INDEX($AB$2:$AQ$1001,MATCH(ROWS($U$2:U711),$U$2:$U$1001,0),MATCH(COLUMNS($AB$1006:AD1006),$AB$1006:$AQ$1006,0)), HYPERLINK("#",""), HYPERLINK(CONCATENATE("#metadata!", ADDRESS(INDEX($W$2:$W$1001,MATCH(ROWS($U$2:U711),$U$2:$U$1001,0),0), INDEX($AB$1004:$AQ$1004,1,MATCH(COLUMNS($AB$1006:AD1006),$AB$1006:$AQ$1006,0)))),"Fix")))</f>
        <v>0</v>
      </c>
      <c r="E711" s="4">
        <f>IF(OR(INDEX($V$2:$V$1001,MATCH(ROWS($U$2:U711),$U$2:$U$1001,0),1)&gt;=100000,INDEX($AB$1005:$AQ$1005,1,MATCH(COLUMNS($AB$1006:AE1006),$AB$1006:$AQ$1006,0))&gt;=100000), " ",IF(INDEX($AB$2:$AQ$1001,MATCH(ROWS($U$2:U711),$U$2:$U$1001,0),MATCH(COLUMNS($AB$1006:AE1006),$AB$1006:$AQ$1006,0)), HYPERLINK("#",""), HYPERLINK(CONCATENATE("#metadata!", ADDRESS(INDEX($W$2:$W$1001,MATCH(ROWS($U$2:U711),$U$2:$U$1001,0),0), INDEX($AB$1004:$AQ$1004,1,MATCH(COLUMNS($AB$1006:AE1006),$AB$1006:$AQ$1006,0)))),"Fix")))</f>
        <v>0</v>
      </c>
      <c r="F711" s="4">
        <f>IF(OR(INDEX($V$2:$V$1001,MATCH(ROWS($U$2:U711),$U$2:$U$1001,0),1)&gt;=100000,INDEX($AB$1005:$AQ$1005,1,MATCH(COLUMNS($AB$1006:AF1006),$AB$1006:$AQ$1006,0))&gt;=100000), " ",IF(INDEX($AB$2:$AQ$1001,MATCH(ROWS($U$2:U711),$U$2:$U$1001,0),MATCH(COLUMNS($AB$1006:AF1006),$AB$1006:$AQ$1006,0)), HYPERLINK("#",""), HYPERLINK(CONCATENATE("#metadata!", ADDRESS(INDEX($W$2:$W$1001,MATCH(ROWS($U$2:U711),$U$2:$U$1001,0),0), INDEX($AB$1004:$AQ$1004,1,MATCH(COLUMNS($AB$1006:AF1006),$AB$1006:$AQ$1006,0)))),"Fix")))</f>
        <v>0</v>
      </c>
      <c r="G711" s="4">
        <f>IF(OR(INDEX($V$2:$V$1001,MATCH(ROWS($U$2:U711),$U$2:$U$1001,0),1)&gt;=100000,INDEX($AB$1005:$AQ$1005,1,MATCH(COLUMNS($AB$1006:AG1006),$AB$1006:$AQ$1006,0))&gt;=100000), " ",IF(INDEX($AB$2:$AQ$1001,MATCH(ROWS($U$2:U711),$U$2:$U$1001,0),MATCH(COLUMNS($AB$1006:AG1006),$AB$1006:$AQ$1006,0)), HYPERLINK("#",""), HYPERLINK(CONCATENATE("#metadata!", ADDRESS(INDEX($W$2:$W$1001,MATCH(ROWS($U$2:U711),$U$2:$U$1001,0),0), INDEX($AB$1004:$AQ$1004,1,MATCH(COLUMNS($AB$1006:AG1006),$AB$1006:$AQ$1006,0)))),"Fix")))</f>
        <v>0</v>
      </c>
      <c r="H711" s="4">
        <f>IF(OR(INDEX($V$2:$V$1001,MATCH(ROWS($U$2:U711),$U$2:$U$1001,0),1)&gt;=100000,INDEX($AB$1005:$AQ$1005,1,MATCH(COLUMNS($AB$1006:AH1006),$AB$1006:$AQ$1006,0))&gt;=100000), " ",IF(INDEX($AB$2:$AQ$1001,MATCH(ROWS($U$2:U711),$U$2:$U$1001,0),MATCH(COLUMNS($AB$1006:AH1006),$AB$1006:$AQ$1006,0)), HYPERLINK("#",""), HYPERLINK(CONCATENATE("#metadata!", ADDRESS(INDEX($W$2:$W$1001,MATCH(ROWS($U$2:U711),$U$2:$U$1001,0),0), INDEX($AB$1004:$AQ$1004,1,MATCH(COLUMNS($AB$1006:AH1006),$AB$1006:$AQ$1006,0)))),"Fix")))</f>
        <v>0</v>
      </c>
      <c r="I711" s="4">
        <f>IF(OR(INDEX($V$2:$V$1001,MATCH(ROWS($U$2:U711),$U$2:$U$1001,0),1)&gt;=100000,INDEX($AB$1005:$AQ$1005,1,MATCH(COLUMNS($AB$1006:AI1006),$AB$1006:$AQ$1006,0))&gt;=100000), " ",IF(INDEX($AB$2:$AQ$1001,MATCH(ROWS($U$2:U711),$U$2:$U$1001,0),MATCH(COLUMNS($AB$1006:AI1006),$AB$1006:$AQ$1006,0)), HYPERLINK("#",""), HYPERLINK(CONCATENATE("#metadata!", ADDRESS(INDEX($W$2:$W$1001,MATCH(ROWS($U$2:U711),$U$2:$U$1001,0),0), INDEX($AB$1004:$AQ$1004,1,MATCH(COLUMNS($AB$1006:AI1006),$AB$1006:$AQ$1006,0)))),"Fix")))</f>
        <v>0</v>
      </c>
      <c r="J711" s="4">
        <f>IF(OR(INDEX($V$2:$V$1001,MATCH(ROWS($U$2:U711),$U$2:$U$1001,0),1)&gt;=100000,INDEX($AB$1005:$AQ$1005,1,MATCH(COLUMNS($AB$1006:AJ1006),$AB$1006:$AQ$1006,0))&gt;=100000), " ",IF(INDEX($AB$2:$AQ$1001,MATCH(ROWS($U$2:U711),$U$2:$U$1001,0),MATCH(COLUMNS($AB$1006:AJ1006),$AB$1006:$AQ$1006,0)), HYPERLINK("#",""), HYPERLINK(CONCATENATE("#metadata!", ADDRESS(INDEX($W$2:$W$1001,MATCH(ROWS($U$2:U711),$U$2:$U$1001,0),0), INDEX($AB$1004:$AQ$1004,1,MATCH(COLUMNS($AB$1006:AJ1006),$AB$1006:$AQ$1006,0)))),"Fix")))</f>
        <v>0</v>
      </c>
      <c r="K711" s="4">
        <f>IF(OR(INDEX($V$2:$V$1001,MATCH(ROWS($U$2:U711),$U$2:$U$1001,0),1)&gt;=100000,INDEX($AB$1005:$AQ$1005,1,MATCH(COLUMNS($AB$1006:AK1006),$AB$1006:$AQ$1006,0))&gt;=100000), " ",IF(INDEX($AB$2:$AQ$1001,MATCH(ROWS($U$2:U711),$U$2:$U$1001,0),MATCH(COLUMNS($AB$1006:AK1006),$AB$1006:$AQ$1006,0)), HYPERLINK("#",""), HYPERLINK(CONCATENATE("#metadata!", ADDRESS(INDEX($W$2:$W$1001,MATCH(ROWS($U$2:U711),$U$2:$U$1001,0),0), INDEX($AB$1004:$AQ$1004,1,MATCH(COLUMNS($AB$1006:AK1006),$AB$1006:$AQ$1006,0)))),"Fix")))</f>
        <v>0</v>
      </c>
      <c r="L711" s="4">
        <f>IF(OR(INDEX($V$2:$V$1001,MATCH(ROWS($U$2:U711),$U$2:$U$1001,0),1)&gt;=100000,INDEX($AB$1005:$AQ$1005,1,MATCH(COLUMNS($AB$1006:AL1006),$AB$1006:$AQ$1006,0))&gt;=100000), " ",IF(INDEX($AB$2:$AQ$1001,MATCH(ROWS($U$2:U711),$U$2:$U$1001,0),MATCH(COLUMNS($AB$1006:AL1006),$AB$1006:$AQ$1006,0)), HYPERLINK("#",""), HYPERLINK(CONCATENATE("#metadata!", ADDRESS(INDEX($W$2:$W$1001,MATCH(ROWS($U$2:U711),$U$2:$U$1001,0),0), INDEX($AB$1004:$AQ$1004,1,MATCH(COLUMNS($AB$1006:AL1006),$AB$1006:$AQ$1006,0)))),"Fix")))</f>
        <v>0</v>
      </c>
      <c r="M711" s="4">
        <f>IF(OR(INDEX($V$2:$V$1001,MATCH(ROWS($U$2:U711),$U$2:$U$1001,0),1)&gt;=100000,INDEX($AB$1005:$AQ$1005,1,MATCH(COLUMNS($AB$1006:AM1006),$AB$1006:$AQ$1006,0))&gt;=100000), " ",IF(INDEX($AB$2:$AQ$1001,MATCH(ROWS($U$2:U711),$U$2:$U$1001,0),MATCH(COLUMNS($AB$1006:AM1006),$AB$1006:$AQ$1006,0)), HYPERLINK("#",""), HYPERLINK(CONCATENATE("#metadata!", ADDRESS(INDEX($W$2:$W$1001,MATCH(ROWS($U$2:U711),$U$2:$U$1001,0),0), INDEX($AB$1004:$AQ$1004,1,MATCH(COLUMNS($AB$1006:AM1006),$AB$1006:$AQ$1006,0)))),"Fix")))</f>
        <v>0</v>
      </c>
      <c r="N711" s="4">
        <f>IF(OR(INDEX($V$2:$V$1001,MATCH(ROWS($U$2:U711),$U$2:$U$1001,0),1)&gt;=100000,INDEX($AB$1005:$AQ$1005,1,MATCH(COLUMNS($AB$1006:AN1006),$AB$1006:$AQ$1006,0))&gt;=100000), " ",IF(INDEX($AB$2:$AQ$1001,MATCH(ROWS($U$2:U711),$U$2:$U$1001,0),MATCH(COLUMNS($AB$1006:AN1006),$AB$1006:$AQ$1006,0)), HYPERLINK("#",""), HYPERLINK(CONCATENATE("#metadata!", ADDRESS(INDEX($W$2:$W$1001,MATCH(ROWS($U$2:U711),$U$2:$U$1001,0),0), INDEX($AB$1004:$AQ$1004,1,MATCH(COLUMNS($AB$1006:AN1006),$AB$1006:$AQ$1006,0)))),"Fix")))</f>
        <v>0</v>
      </c>
      <c r="O711" s="4">
        <f>IF(OR(INDEX($V$2:$V$1001,MATCH(ROWS($U$2:U711),$U$2:$U$1001,0),1)&gt;=100000,INDEX($AB$1005:$AQ$1005,1,MATCH(COLUMNS($AB$1006:AO1006),$AB$1006:$AQ$1006,0))&gt;=100000), " ",IF(INDEX($AB$2:$AQ$1001,MATCH(ROWS($U$2:U711),$U$2:$U$1001,0),MATCH(COLUMNS($AB$1006:AO1006),$AB$1006:$AQ$1006,0)), HYPERLINK("#",""), HYPERLINK(CONCATENATE("#metadata!", ADDRESS(INDEX($W$2:$W$1001,MATCH(ROWS($U$2:U711),$U$2:$U$1001,0),0), INDEX($AB$1004:$AQ$1004,1,MATCH(COLUMNS($AB$1006:AO1006),$AB$1006:$AQ$1006,0)))),"Fix")))</f>
        <v>0</v>
      </c>
      <c r="P711" s="4">
        <f>IF(OR(INDEX($V$2:$V$1001,MATCH(ROWS($U$2:U711),$U$2:$U$1001,0),1)&gt;=100000,INDEX($AB$1005:$AQ$1005,1,MATCH(COLUMNS($AB$1006:AP1006),$AB$1006:$AQ$1006,0))&gt;=100000), " ",IF(INDEX($AB$2:$AQ$1001,MATCH(ROWS($U$2:U711),$U$2:$U$1001,0),MATCH(COLUMNS($AB$1006:AP1006),$AB$1006:$AQ$1006,0)), HYPERLINK("#",""), HYPERLINK(CONCATENATE("#metadata!", ADDRESS(INDEX($W$2:$W$1001,MATCH(ROWS($U$2:U711),$U$2:$U$1001,0),0), INDEX($AB$1004:$AQ$1004,1,MATCH(COLUMNS($AB$1006:AP1006),$AB$1006:$AQ$1006,0)))),"Fix")))</f>
        <v>0</v>
      </c>
      <c r="Q711" s="4">
        <f>IF(OR(INDEX($V$2:$V$1001,MATCH(ROWS($U$2:U711),$U$2:$U$1001,0),1)&gt;=100000,INDEX($AB$1005:$AQ$1005,1,MATCH(COLUMNS($AB$1006:AQ1006),$AB$1006:$AQ$1006,0))&gt;=100000), " ",IF(INDEX($AB$2:$AQ$1001,MATCH(ROWS($U$2:U711),$U$2:$U$1001,0),MATCH(COLUMNS($AB$1006:AQ1006),$AB$1006:$AQ$1006,0)), HYPERLINK("#",""), HYPERLINK(CONCATENATE("#metadata!", ADDRESS(INDEX($W$2:$W$1001,MATCH(ROWS($U$2:U711),$U$2:$U$1001,0),0), INDEX($AB$1004:$AQ$1004,1,MATCH(COLUMNS($AB$1006:AQ1006),$AB$1006:$AQ$1006,0)))),"Fix")))</f>
        <v>0</v>
      </c>
      <c r="U711">
        <v>0</v>
      </c>
      <c r="V711">
        <v>0</v>
      </c>
      <c r="W711">
        <v>0</v>
      </c>
      <c r="X711">
        <f>IF(Y711,TRUE,AND(AB711:AQ711))</f>
        <v>0</v>
      </c>
      <c r="Y711">
        <f>COUNTBLANK(metadata!B711:Q711)=COLUMNS(metadata!B711:Q711)</f>
        <v>0</v>
      </c>
      <c r="Z711">
        <v>0</v>
      </c>
      <c r="AB711">
        <f>AND(IF(metadata!B711="",FALSE,TRUE),COUNTIF(metadata!B:B, metadata!B711) = 1,NOT(ISERROR(SUMPRODUCT(SEARCH(MID(metadata!B711,ROW(INDIRECT("1:"&amp;LEN(metadata!B711))), 1),"0123456789abcdefghijklmnopqrstuvwxyzABCDEFGHIJKLMNOPQRSTUVWXYZ.")))))</f>
        <v>0</v>
      </c>
      <c r="AC711">
        <f>OR(AND(IF(metadata!C711="",FALSE,TRUE),OR(exact(metadata!C711,"missing: not collected"),exact(metadata!C711,"missing: not provided"),exact(metadata!C711,"missing: restricted access"))),AND(IF(metadata!C711="",FALSE,TRUE),AND(AND(IFERROR(INT(LEFT(metadata!C711,4))&gt;1900,FALSE),IFERROR(INT(LEFT(metadata!C711,4))&lt;=YEAR(NOW()),FALSE)), OR(MID(metadata!C711,5,1)="", AND(AND(MID(metadata!C711,5,1)="-",IFERROR(INT(MID(metadata!C711,6,1))&gt;=0,FALSE),IFERROR(INT(MID(metadata!C711,6,1))&lt;=1,FALSE),NOT(MID(metadata!C711,7,1)=""),IFERROR(INT(MID(metadata!C711,6,2))&gt;=1,FALSE),IFERROR(INT(MID(metadata!C711,6,2))&lt;=12,FALSE)), OR(MID(metadata!C711,8,1)="", AND(AND(MID(metadata!C711,8,1)="-",IFERROR(INT(MID(metadata!C711,9,1))&gt;=0,FALSE),IFERROR(INT(MID(metadata!C711,9,1))&lt;=3,FALSE),NOT(MID(metadata!C711,10,1)=""),IFERROR(INT(MID(metadata!C711,9,2))&gt;=1,FALSE),IFERROR(INT(MID(metadata!C711,9,2))&lt;=31,FALSE)), OR(MID(metadata!C711,11,1)="", AND(AND(MID(metadata!C711,11,1)=" ",IFERROR(INT(MID(metadata!C711,12,1))&gt;=0,FALSE),IFERROR(INT(MID(metadata!C711,12,1))&lt;=2,FALSE),NOT(MID(metadata!C711,13,1)=""),IFERROR(INT(MID(metadata!C711,12,2))&gt;=0,FALSE),IFERROR(INT(MID(metadata!C711,12,2))&lt;=23,FALSE)), OR(MID(metadata!C711,14,1)="", AND(AND(MID(metadata!C711,14,1)=":",IFERROR(INT(MID(metadata!C711,15,1))&gt;=0,FALSE),IFERROR(INT(MID(metadata!C711,15,1))&lt;=5,FALSE),NOT(MID(metadata!C711,16,1)=""),IFERROR(INT(MID(metadata!C711,15,2))&gt;=0,FALSE),IFERROR(INT(MID(metadata!C711,15,2))&lt;=59,FALSE)), OR(MID(metadata!C711,17,1)="", AND(AND(MID(metadata!C711,17,1)=":",IFERROR(INT(MID(metadata!C711,18,1))&gt;=0,FALSE),IFERROR(INT(MID(metadata!C711,18,1))&lt;=5,FALSE),NOT(MID(metadata!C711,19,1)=""),IFERROR(INT(MID(metadata!C711,18,2))&gt;=0,FALSE),IFERROR(INT(MID(metadata!C711,18,2))&lt;=59,FALSE)), LEN(metadata!C711)&lt;=19)))))))))))))</f>
        <v>0</v>
      </c>
      <c r="AD711">
        <f>IF(metadata!D711="",FALSE,TRUE)</f>
        <v>0</v>
      </c>
      <c r="AE711">
        <f>OR(AND(IF(metadata!E711="",FALSE,TRUE),OR(exact(metadata!E711,"missing: not collected"),exact(metadata!E711,"missing: not provided"))),AND(IF(metadata!E711="",FALSE,TRUE),OR(exact(metadata!E711,"TRUE"),exact(metadata!E711,"FALSE"))))</f>
        <v>0</v>
      </c>
      <c r="AF711">
        <f>IF(metadata!F711="",FALSE,TRUE)</f>
        <v>0</v>
      </c>
      <c r="AG711">
        <f>IF(metadata!G711="",FALSE,TRUE)</f>
        <v>0</v>
      </c>
      <c r="AH711">
        <f>IF(metadata!H711="",FALSE,TRUE)</f>
        <v>0</v>
      </c>
      <c r="AI711">
        <f>OR(AND(IF(metadata!I711="",FALSE,TRUE),OR(exact(metadata!I711,"missing: not collected"),exact(metadata!I711,"missing: not provided"),exact(metadata!I711,"missing: restricted access"))),AND(IF(metadata!I711="",FALSE,TRUE),OR(exact(metadata!I711,"air"),exact(metadata!I711,"built environment"),exact(metadata!I711,"host-associated"),exact(metadata!I711,"human-associated"),exact(metadata!I711,"human-skin"),exact(metadata!I711,"human-oral"),exact(metadata!I711,"human-gut"),exact(metadata!I711,"human-vaginal"),exact(metadata!I711,"microbial mat/biofilm"),exact(metadata!I711,"misc environment"),exact(metadata!I711,"plant-associated"),exact(metadata!I711,"sediment"),exact(metadata!I711,"soil"),exact(metadata!I711,"wastewater/sludge"),exact(metadata!I711,"water"))))</f>
        <v>0</v>
      </c>
      <c r="AJ711">
        <f>IF(metadata!J711="",FALSE,TRUE)</f>
        <v>0</v>
      </c>
      <c r="AK711">
        <f>OR(AND(IF(metadata!K711="",FALSE,TRUE),OR(exact(metadata!K711,"missing: not collected"),exact(metadata!K711,"missing: not provided"),exact(metadata!K711,"missing: restricted access"))),AND(IF(metadata!K711="",FALSE,ISNUMBER(VALUE(metadata!K711))),metadata!K711&gt;=-90.00,metadata!K711&lt;=90.00))</f>
        <v>0</v>
      </c>
      <c r="AL711">
        <f>OR(AND(IF(metadata!L711="",FALSE,TRUE),OR(exact(metadata!L711,"missing: not collected"),exact(metadata!L711,"missing: not provided"),exact(metadata!L711,"missing: restricted access"))),AND(IF(metadata!L711="",FALSE,ISNUMBER(VALUE(metadata!L711))),metadata!L711&gt;=-180.00,metadata!L711&lt;=180.00))</f>
        <v>0</v>
      </c>
      <c r="AM711">
        <f>IF(metadata!M711="",FALSE,TRUE)</f>
        <v>0</v>
      </c>
      <c r="AN711">
        <f>OR(AND(IF(metadata!N711="",FALSE,TRUE),OR(exact(metadata!N711,"missing: not collected"),exact(metadata!N711,"missing: not provided"),exact(metadata!N711,"missing: restricted access"))),AND(IF(metadata!N711="",FALSE,TRUE),OR(exact(metadata!N711,"TRUE"),exact(metadata!N711,"FALSE"))))</f>
        <v>0</v>
      </c>
      <c r="AO711">
        <f>IF(metadata!O711="",FALSE,TRUE)</f>
        <v>0</v>
      </c>
      <c r="AP711">
        <f>OR(AND(IF(metadata!P711="",FALSE,TRUE),OR(exact(metadata!P711,"missing: not collected"),exact(metadata!P711,"missing: not provided"))),AND(IF(metadata!P711="",FALSE,IF(ISERROR(INT(metadata!P711)),FALSE,INT(metadata!P711)=metadata!P711)),metadata!P711&gt;0))</f>
        <v>0</v>
      </c>
      <c r="AQ711">
        <f>IF(metadata!Q711="",FALSE,TRUE)</f>
        <v>0</v>
      </c>
    </row>
    <row r="712" spans="1:43">
      <c r="A712" s="5">
        <f>IF(B712=" "," ",HYPERLINK(CONCATENATE("#metadata!",ADDRESS(INDEX($W$2:$W$1001,MATCH(ROWS($U$2:U712),$U$2:$U$1001,0),0),1)),INDEX($Z$2:$Z$1001,MATCH(ROWS($U$2:U712),$U$2:$U$1001,0),0)))</f>
        <v>0</v>
      </c>
      <c r="B712" s="4">
        <f>IF(OR(INDEX($V$2:$V$1001,MATCH(ROWS($U$2:U712),$U$2:$U$1001,0),1)&gt;=100000,INDEX($AB$1005:$AQ$1005,1,MATCH(COLUMNS($AB$1006:AB1006),$AB$1006:$AQ$1006,0))&gt;=100000), " ",IF(INDEX($AB$2:$AQ$1001,MATCH(ROWS($U$2:U712),$U$2:$U$1001,0),MATCH(COLUMNS($AB$1006:AB1006),$AB$1006:$AQ$1006,0)), HYPERLINK("#",""), HYPERLINK(CONCATENATE("#metadata!", ADDRESS(INDEX($W$2:$W$1001,MATCH(ROWS($U$2:U712),$U$2:$U$1001,0),0), INDEX($AB$1004:$AQ$1004,1,MATCH(COLUMNS($AB$1006:AB1006),$AB$1006:$AQ$1006,0)))),"Fix")))</f>
        <v>0</v>
      </c>
      <c r="C712" s="4">
        <f>IF(OR(INDEX($V$2:$V$1001,MATCH(ROWS($U$2:U712),$U$2:$U$1001,0),1)&gt;=100000,INDEX($AB$1005:$AQ$1005,1,MATCH(COLUMNS($AB$1006:AC1006),$AB$1006:$AQ$1006,0))&gt;=100000), " ",IF(INDEX($AB$2:$AQ$1001,MATCH(ROWS($U$2:U712),$U$2:$U$1001,0),MATCH(COLUMNS($AB$1006:AC1006),$AB$1006:$AQ$1006,0)), HYPERLINK("#",""), HYPERLINK(CONCATENATE("#metadata!", ADDRESS(INDEX($W$2:$W$1001,MATCH(ROWS($U$2:U712),$U$2:$U$1001,0),0), INDEX($AB$1004:$AQ$1004,1,MATCH(COLUMNS($AB$1006:AC1006),$AB$1006:$AQ$1006,0)))),"Fix")))</f>
        <v>0</v>
      </c>
      <c r="D712" s="4">
        <f>IF(OR(INDEX($V$2:$V$1001,MATCH(ROWS($U$2:U712),$U$2:$U$1001,0),1)&gt;=100000,INDEX($AB$1005:$AQ$1005,1,MATCH(COLUMNS($AB$1006:AD1006),$AB$1006:$AQ$1006,0))&gt;=100000), " ",IF(INDEX($AB$2:$AQ$1001,MATCH(ROWS($U$2:U712),$U$2:$U$1001,0),MATCH(COLUMNS($AB$1006:AD1006),$AB$1006:$AQ$1006,0)), HYPERLINK("#",""), HYPERLINK(CONCATENATE("#metadata!", ADDRESS(INDEX($W$2:$W$1001,MATCH(ROWS($U$2:U712),$U$2:$U$1001,0),0), INDEX($AB$1004:$AQ$1004,1,MATCH(COLUMNS($AB$1006:AD1006),$AB$1006:$AQ$1006,0)))),"Fix")))</f>
        <v>0</v>
      </c>
      <c r="E712" s="4">
        <f>IF(OR(INDEX($V$2:$V$1001,MATCH(ROWS($U$2:U712),$U$2:$U$1001,0),1)&gt;=100000,INDEX($AB$1005:$AQ$1005,1,MATCH(COLUMNS($AB$1006:AE1006),$AB$1006:$AQ$1006,0))&gt;=100000), " ",IF(INDEX($AB$2:$AQ$1001,MATCH(ROWS($U$2:U712),$U$2:$U$1001,0),MATCH(COLUMNS($AB$1006:AE1006),$AB$1006:$AQ$1006,0)), HYPERLINK("#",""), HYPERLINK(CONCATENATE("#metadata!", ADDRESS(INDEX($W$2:$W$1001,MATCH(ROWS($U$2:U712),$U$2:$U$1001,0),0), INDEX($AB$1004:$AQ$1004,1,MATCH(COLUMNS($AB$1006:AE1006),$AB$1006:$AQ$1006,0)))),"Fix")))</f>
        <v>0</v>
      </c>
      <c r="F712" s="4">
        <f>IF(OR(INDEX($V$2:$V$1001,MATCH(ROWS($U$2:U712),$U$2:$U$1001,0),1)&gt;=100000,INDEX($AB$1005:$AQ$1005,1,MATCH(COLUMNS($AB$1006:AF1006),$AB$1006:$AQ$1006,0))&gt;=100000), " ",IF(INDEX($AB$2:$AQ$1001,MATCH(ROWS($U$2:U712),$U$2:$U$1001,0),MATCH(COLUMNS($AB$1006:AF1006),$AB$1006:$AQ$1006,0)), HYPERLINK("#",""), HYPERLINK(CONCATENATE("#metadata!", ADDRESS(INDEX($W$2:$W$1001,MATCH(ROWS($U$2:U712),$U$2:$U$1001,0),0), INDEX($AB$1004:$AQ$1004,1,MATCH(COLUMNS($AB$1006:AF1006),$AB$1006:$AQ$1006,0)))),"Fix")))</f>
        <v>0</v>
      </c>
      <c r="G712" s="4">
        <f>IF(OR(INDEX($V$2:$V$1001,MATCH(ROWS($U$2:U712),$U$2:$U$1001,0),1)&gt;=100000,INDEX($AB$1005:$AQ$1005,1,MATCH(COLUMNS($AB$1006:AG1006),$AB$1006:$AQ$1006,0))&gt;=100000), " ",IF(INDEX($AB$2:$AQ$1001,MATCH(ROWS($U$2:U712),$U$2:$U$1001,0),MATCH(COLUMNS($AB$1006:AG1006),$AB$1006:$AQ$1006,0)), HYPERLINK("#",""), HYPERLINK(CONCATENATE("#metadata!", ADDRESS(INDEX($W$2:$W$1001,MATCH(ROWS($U$2:U712),$U$2:$U$1001,0),0), INDEX($AB$1004:$AQ$1004,1,MATCH(COLUMNS($AB$1006:AG1006),$AB$1006:$AQ$1006,0)))),"Fix")))</f>
        <v>0</v>
      </c>
      <c r="H712" s="4">
        <f>IF(OR(INDEX($V$2:$V$1001,MATCH(ROWS($U$2:U712),$U$2:$U$1001,0),1)&gt;=100000,INDEX($AB$1005:$AQ$1005,1,MATCH(COLUMNS($AB$1006:AH1006),$AB$1006:$AQ$1006,0))&gt;=100000), " ",IF(INDEX($AB$2:$AQ$1001,MATCH(ROWS($U$2:U712),$U$2:$U$1001,0),MATCH(COLUMNS($AB$1006:AH1006),$AB$1006:$AQ$1006,0)), HYPERLINK("#",""), HYPERLINK(CONCATENATE("#metadata!", ADDRESS(INDEX($W$2:$W$1001,MATCH(ROWS($U$2:U712),$U$2:$U$1001,0),0), INDEX($AB$1004:$AQ$1004,1,MATCH(COLUMNS($AB$1006:AH1006),$AB$1006:$AQ$1006,0)))),"Fix")))</f>
        <v>0</v>
      </c>
      <c r="I712" s="4">
        <f>IF(OR(INDEX($V$2:$V$1001,MATCH(ROWS($U$2:U712),$U$2:$U$1001,0),1)&gt;=100000,INDEX($AB$1005:$AQ$1005,1,MATCH(COLUMNS($AB$1006:AI1006),$AB$1006:$AQ$1006,0))&gt;=100000), " ",IF(INDEX($AB$2:$AQ$1001,MATCH(ROWS($U$2:U712),$U$2:$U$1001,0),MATCH(COLUMNS($AB$1006:AI1006),$AB$1006:$AQ$1006,0)), HYPERLINK("#",""), HYPERLINK(CONCATENATE("#metadata!", ADDRESS(INDEX($W$2:$W$1001,MATCH(ROWS($U$2:U712),$U$2:$U$1001,0),0), INDEX($AB$1004:$AQ$1004,1,MATCH(COLUMNS($AB$1006:AI1006),$AB$1006:$AQ$1006,0)))),"Fix")))</f>
        <v>0</v>
      </c>
      <c r="J712" s="4">
        <f>IF(OR(INDEX($V$2:$V$1001,MATCH(ROWS($U$2:U712),$U$2:$U$1001,0),1)&gt;=100000,INDEX($AB$1005:$AQ$1005,1,MATCH(COLUMNS($AB$1006:AJ1006),$AB$1006:$AQ$1006,0))&gt;=100000), " ",IF(INDEX($AB$2:$AQ$1001,MATCH(ROWS($U$2:U712),$U$2:$U$1001,0),MATCH(COLUMNS($AB$1006:AJ1006),$AB$1006:$AQ$1006,0)), HYPERLINK("#",""), HYPERLINK(CONCATENATE("#metadata!", ADDRESS(INDEX($W$2:$W$1001,MATCH(ROWS($U$2:U712),$U$2:$U$1001,0),0), INDEX($AB$1004:$AQ$1004,1,MATCH(COLUMNS($AB$1006:AJ1006),$AB$1006:$AQ$1006,0)))),"Fix")))</f>
        <v>0</v>
      </c>
      <c r="K712" s="4">
        <f>IF(OR(INDEX($V$2:$V$1001,MATCH(ROWS($U$2:U712),$U$2:$U$1001,0),1)&gt;=100000,INDEX($AB$1005:$AQ$1005,1,MATCH(COLUMNS($AB$1006:AK1006),$AB$1006:$AQ$1006,0))&gt;=100000), " ",IF(INDEX($AB$2:$AQ$1001,MATCH(ROWS($U$2:U712),$U$2:$U$1001,0),MATCH(COLUMNS($AB$1006:AK1006),$AB$1006:$AQ$1006,0)), HYPERLINK("#",""), HYPERLINK(CONCATENATE("#metadata!", ADDRESS(INDEX($W$2:$W$1001,MATCH(ROWS($U$2:U712),$U$2:$U$1001,0),0), INDEX($AB$1004:$AQ$1004,1,MATCH(COLUMNS($AB$1006:AK1006),$AB$1006:$AQ$1006,0)))),"Fix")))</f>
        <v>0</v>
      </c>
      <c r="L712" s="4">
        <f>IF(OR(INDEX($V$2:$V$1001,MATCH(ROWS($U$2:U712),$U$2:$U$1001,0),1)&gt;=100000,INDEX($AB$1005:$AQ$1005,1,MATCH(COLUMNS($AB$1006:AL1006),$AB$1006:$AQ$1006,0))&gt;=100000), " ",IF(INDEX($AB$2:$AQ$1001,MATCH(ROWS($U$2:U712),$U$2:$U$1001,0),MATCH(COLUMNS($AB$1006:AL1006),$AB$1006:$AQ$1006,0)), HYPERLINK("#",""), HYPERLINK(CONCATENATE("#metadata!", ADDRESS(INDEX($W$2:$W$1001,MATCH(ROWS($U$2:U712),$U$2:$U$1001,0),0), INDEX($AB$1004:$AQ$1004,1,MATCH(COLUMNS($AB$1006:AL1006),$AB$1006:$AQ$1006,0)))),"Fix")))</f>
        <v>0</v>
      </c>
      <c r="M712" s="4">
        <f>IF(OR(INDEX($V$2:$V$1001,MATCH(ROWS($U$2:U712),$U$2:$U$1001,0),1)&gt;=100000,INDEX($AB$1005:$AQ$1005,1,MATCH(COLUMNS($AB$1006:AM1006),$AB$1006:$AQ$1006,0))&gt;=100000), " ",IF(INDEX($AB$2:$AQ$1001,MATCH(ROWS($U$2:U712),$U$2:$U$1001,0),MATCH(COLUMNS($AB$1006:AM1006),$AB$1006:$AQ$1006,0)), HYPERLINK("#",""), HYPERLINK(CONCATENATE("#metadata!", ADDRESS(INDEX($W$2:$W$1001,MATCH(ROWS($U$2:U712),$U$2:$U$1001,0),0), INDEX($AB$1004:$AQ$1004,1,MATCH(COLUMNS($AB$1006:AM1006),$AB$1006:$AQ$1006,0)))),"Fix")))</f>
        <v>0</v>
      </c>
      <c r="N712" s="4">
        <f>IF(OR(INDEX($V$2:$V$1001,MATCH(ROWS($U$2:U712),$U$2:$U$1001,0),1)&gt;=100000,INDEX($AB$1005:$AQ$1005,1,MATCH(COLUMNS($AB$1006:AN1006),$AB$1006:$AQ$1006,0))&gt;=100000), " ",IF(INDEX($AB$2:$AQ$1001,MATCH(ROWS($U$2:U712),$U$2:$U$1001,0),MATCH(COLUMNS($AB$1006:AN1006),$AB$1006:$AQ$1006,0)), HYPERLINK("#",""), HYPERLINK(CONCATENATE("#metadata!", ADDRESS(INDEX($W$2:$W$1001,MATCH(ROWS($U$2:U712),$U$2:$U$1001,0),0), INDEX($AB$1004:$AQ$1004,1,MATCH(COLUMNS($AB$1006:AN1006),$AB$1006:$AQ$1006,0)))),"Fix")))</f>
        <v>0</v>
      </c>
      <c r="O712" s="4">
        <f>IF(OR(INDEX($V$2:$V$1001,MATCH(ROWS($U$2:U712),$U$2:$U$1001,0),1)&gt;=100000,INDEX($AB$1005:$AQ$1005,1,MATCH(COLUMNS($AB$1006:AO1006),$AB$1006:$AQ$1006,0))&gt;=100000), " ",IF(INDEX($AB$2:$AQ$1001,MATCH(ROWS($U$2:U712),$U$2:$U$1001,0),MATCH(COLUMNS($AB$1006:AO1006),$AB$1006:$AQ$1006,0)), HYPERLINK("#",""), HYPERLINK(CONCATENATE("#metadata!", ADDRESS(INDEX($W$2:$W$1001,MATCH(ROWS($U$2:U712),$U$2:$U$1001,0),0), INDEX($AB$1004:$AQ$1004,1,MATCH(COLUMNS($AB$1006:AO1006),$AB$1006:$AQ$1006,0)))),"Fix")))</f>
        <v>0</v>
      </c>
      <c r="P712" s="4">
        <f>IF(OR(INDEX($V$2:$V$1001,MATCH(ROWS($U$2:U712),$U$2:$U$1001,0),1)&gt;=100000,INDEX($AB$1005:$AQ$1005,1,MATCH(COLUMNS($AB$1006:AP1006),$AB$1006:$AQ$1006,0))&gt;=100000), " ",IF(INDEX($AB$2:$AQ$1001,MATCH(ROWS($U$2:U712),$U$2:$U$1001,0),MATCH(COLUMNS($AB$1006:AP1006),$AB$1006:$AQ$1006,0)), HYPERLINK("#",""), HYPERLINK(CONCATENATE("#metadata!", ADDRESS(INDEX($W$2:$W$1001,MATCH(ROWS($U$2:U712),$U$2:$U$1001,0),0), INDEX($AB$1004:$AQ$1004,1,MATCH(COLUMNS($AB$1006:AP1006),$AB$1006:$AQ$1006,0)))),"Fix")))</f>
        <v>0</v>
      </c>
      <c r="Q712" s="4">
        <f>IF(OR(INDEX($V$2:$V$1001,MATCH(ROWS($U$2:U712),$U$2:$U$1001,0),1)&gt;=100000,INDEX($AB$1005:$AQ$1005,1,MATCH(COLUMNS($AB$1006:AQ1006),$AB$1006:$AQ$1006,0))&gt;=100000), " ",IF(INDEX($AB$2:$AQ$1001,MATCH(ROWS($U$2:U712),$U$2:$U$1001,0),MATCH(COLUMNS($AB$1006:AQ1006),$AB$1006:$AQ$1006,0)), HYPERLINK("#",""), HYPERLINK(CONCATENATE("#metadata!", ADDRESS(INDEX($W$2:$W$1001,MATCH(ROWS($U$2:U712),$U$2:$U$1001,0),0), INDEX($AB$1004:$AQ$1004,1,MATCH(COLUMNS($AB$1006:AQ1006),$AB$1006:$AQ$1006,0)))),"Fix")))</f>
        <v>0</v>
      </c>
      <c r="U712">
        <v>0</v>
      </c>
      <c r="V712">
        <v>0</v>
      </c>
      <c r="W712">
        <v>0</v>
      </c>
      <c r="X712">
        <f>IF(Y712,TRUE,AND(AB712:AQ712))</f>
        <v>0</v>
      </c>
      <c r="Y712">
        <f>COUNTBLANK(metadata!B712:Q712)=COLUMNS(metadata!B712:Q712)</f>
        <v>0</v>
      </c>
      <c r="Z712">
        <v>0</v>
      </c>
      <c r="AB712">
        <f>AND(IF(metadata!B712="",FALSE,TRUE),COUNTIF(metadata!B:B, metadata!B712) = 1,NOT(ISERROR(SUMPRODUCT(SEARCH(MID(metadata!B712,ROW(INDIRECT("1:"&amp;LEN(metadata!B712))), 1),"0123456789abcdefghijklmnopqrstuvwxyzABCDEFGHIJKLMNOPQRSTUVWXYZ.")))))</f>
        <v>0</v>
      </c>
      <c r="AC712">
        <f>OR(AND(IF(metadata!C712="",FALSE,TRUE),OR(exact(metadata!C712,"missing: not collected"),exact(metadata!C712,"missing: not provided"),exact(metadata!C712,"missing: restricted access"))),AND(IF(metadata!C712="",FALSE,TRUE),AND(AND(IFERROR(INT(LEFT(metadata!C712,4))&gt;1900,FALSE),IFERROR(INT(LEFT(metadata!C712,4))&lt;=YEAR(NOW()),FALSE)), OR(MID(metadata!C712,5,1)="", AND(AND(MID(metadata!C712,5,1)="-",IFERROR(INT(MID(metadata!C712,6,1))&gt;=0,FALSE),IFERROR(INT(MID(metadata!C712,6,1))&lt;=1,FALSE),NOT(MID(metadata!C712,7,1)=""),IFERROR(INT(MID(metadata!C712,6,2))&gt;=1,FALSE),IFERROR(INT(MID(metadata!C712,6,2))&lt;=12,FALSE)), OR(MID(metadata!C712,8,1)="", AND(AND(MID(metadata!C712,8,1)="-",IFERROR(INT(MID(metadata!C712,9,1))&gt;=0,FALSE),IFERROR(INT(MID(metadata!C712,9,1))&lt;=3,FALSE),NOT(MID(metadata!C712,10,1)=""),IFERROR(INT(MID(metadata!C712,9,2))&gt;=1,FALSE),IFERROR(INT(MID(metadata!C712,9,2))&lt;=31,FALSE)), OR(MID(metadata!C712,11,1)="", AND(AND(MID(metadata!C712,11,1)=" ",IFERROR(INT(MID(metadata!C712,12,1))&gt;=0,FALSE),IFERROR(INT(MID(metadata!C712,12,1))&lt;=2,FALSE),NOT(MID(metadata!C712,13,1)=""),IFERROR(INT(MID(metadata!C712,12,2))&gt;=0,FALSE),IFERROR(INT(MID(metadata!C712,12,2))&lt;=23,FALSE)), OR(MID(metadata!C712,14,1)="", AND(AND(MID(metadata!C712,14,1)=":",IFERROR(INT(MID(metadata!C712,15,1))&gt;=0,FALSE),IFERROR(INT(MID(metadata!C712,15,1))&lt;=5,FALSE),NOT(MID(metadata!C712,16,1)=""),IFERROR(INT(MID(metadata!C712,15,2))&gt;=0,FALSE),IFERROR(INT(MID(metadata!C712,15,2))&lt;=59,FALSE)), OR(MID(metadata!C712,17,1)="", AND(AND(MID(metadata!C712,17,1)=":",IFERROR(INT(MID(metadata!C712,18,1))&gt;=0,FALSE),IFERROR(INT(MID(metadata!C712,18,1))&lt;=5,FALSE),NOT(MID(metadata!C712,19,1)=""),IFERROR(INT(MID(metadata!C712,18,2))&gt;=0,FALSE),IFERROR(INT(MID(metadata!C712,18,2))&lt;=59,FALSE)), LEN(metadata!C712)&lt;=19)))))))))))))</f>
        <v>0</v>
      </c>
      <c r="AD712">
        <f>IF(metadata!D712="",FALSE,TRUE)</f>
        <v>0</v>
      </c>
      <c r="AE712">
        <f>OR(AND(IF(metadata!E712="",FALSE,TRUE),OR(exact(metadata!E712,"missing: not collected"),exact(metadata!E712,"missing: not provided"))),AND(IF(metadata!E712="",FALSE,TRUE),OR(exact(metadata!E712,"TRUE"),exact(metadata!E712,"FALSE"))))</f>
        <v>0</v>
      </c>
      <c r="AF712">
        <f>IF(metadata!F712="",FALSE,TRUE)</f>
        <v>0</v>
      </c>
      <c r="AG712">
        <f>IF(metadata!G712="",FALSE,TRUE)</f>
        <v>0</v>
      </c>
      <c r="AH712">
        <f>IF(metadata!H712="",FALSE,TRUE)</f>
        <v>0</v>
      </c>
      <c r="AI712">
        <f>OR(AND(IF(metadata!I712="",FALSE,TRUE),OR(exact(metadata!I712,"missing: not collected"),exact(metadata!I712,"missing: not provided"),exact(metadata!I712,"missing: restricted access"))),AND(IF(metadata!I712="",FALSE,TRUE),OR(exact(metadata!I712,"air"),exact(metadata!I712,"built environment"),exact(metadata!I712,"host-associated"),exact(metadata!I712,"human-associated"),exact(metadata!I712,"human-skin"),exact(metadata!I712,"human-oral"),exact(metadata!I712,"human-gut"),exact(metadata!I712,"human-vaginal"),exact(metadata!I712,"microbial mat/biofilm"),exact(metadata!I712,"misc environment"),exact(metadata!I712,"plant-associated"),exact(metadata!I712,"sediment"),exact(metadata!I712,"soil"),exact(metadata!I712,"wastewater/sludge"),exact(metadata!I712,"water"))))</f>
        <v>0</v>
      </c>
      <c r="AJ712">
        <f>IF(metadata!J712="",FALSE,TRUE)</f>
        <v>0</v>
      </c>
      <c r="AK712">
        <f>OR(AND(IF(metadata!K712="",FALSE,TRUE),OR(exact(metadata!K712,"missing: not collected"),exact(metadata!K712,"missing: not provided"),exact(metadata!K712,"missing: restricted access"))),AND(IF(metadata!K712="",FALSE,ISNUMBER(VALUE(metadata!K712))),metadata!K712&gt;=-90.00,metadata!K712&lt;=90.00))</f>
        <v>0</v>
      </c>
      <c r="AL712">
        <f>OR(AND(IF(metadata!L712="",FALSE,TRUE),OR(exact(metadata!L712,"missing: not collected"),exact(metadata!L712,"missing: not provided"),exact(metadata!L712,"missing: restricted access"))),AND(IF(metadata!L712="",FALSE,ISNUMBER(VALUE(metadata!L712))),metadata!L712&gt;=-180.00,metadata!L712&lt;=180.00))</f>
        <v>0</v>
      </c>
      <c r="AM712">
        <f>IF(metadata!M712="",FALSE,TRUE)</f>
        <v>0</v>
      </c>
      <c r="AN712">
        <f>OR(AND(IF(metadata!N712="",FALSE,TRUE),OR(exact(metadata!N712,"missing: not collected"),exact(metadata!N712,"missing: not provided"),exact(metadata!N712,"missing: restricted access"))),AND(IF(metadata!N712="",FALSE,TRUE),OR(exact(metadata!N712,"TRUE"),exact(metadata!N712,"FALSE"))))</f>
        <v>0</v>
      </c>
      <c r="AO712">
        <f>IF(metadata!O712="",FALSE,TRUE)</f>
        <v>0</v>
      </c>
      <c r="AP712">
        <f>OR(AND(IF(metadata!P712="",FALSE,TRUE),OR(exact(metadata!P712,"missing: not collected"),exact(metadata!P712,"missing: not provided"))),AND(IF(metadata!P712="",FALSE,IF(ISERROR(INT(metadata!P712)),FALSE,INT(metadata!P712)=metadata!P712)),metadata!P712&gt;0))</f>
        <v>0</v>
      </c>
      <c r="AQ712">
        <f>IF(metadata!Q712="",FALSE,TRUE)</f>
        <v>0</v>
      </c>
    </row>
    <row r="713" spans="1:43">
      <c r="A713" s="5">
        <f>IF(B713=" "," ",HYPERLINK(CONCATENATE("#metadata!",ADDRESS(INDEX($W$2:$W$1001,MATCH(ROWS($U$2:U713),$U$2:$U$1001,0),0),1)),INDEX($Z$2:$Z$1001,MATCH(ROWS($U$2:U713),$U$2:$U$1001,0),0)))</f>
        <v>0</v>
      </c>
      <c r="B713" s="4">
        <f>IF(OR(INDEX($V$2:$V$1001,MATCH(ROWS($U$2:U713),$U$2:$U$1001,0),1)&gt;=100000,INDEX($AB$1005:$AQ$1005,1,MATCH(COLUMNS($AB$1006:AB1006),$AB$1006:$AQ$1006,0))&gt;=100000), " ",IF(INDEX($AB$2:$AQ$1001,MATCH(ROWS($U$2:U713),$U$2:$U$1001,0),MATCH(COLUMNS($AB$1006:AB1006),$AB$1006:$AQ$1006,0)), HYPERLINK("#",""), HYPERLINK(CONCATENATE("#metadata!", ADDRESS(INDEX($W$2:$W$1001,MATCH(ROWS($U$2:U713),$U$2:$U$1001,0),0), INDEX($AB$1004:$AQ$1004,1,MATCH(COLUMNS($AB$1006:AB1006),$AB$1006:$AQ$1006,0)))),"Fix")))</f>
        <v>0</v>
      </c>
      <c r="C713" s="4">
        <f>IF(OR(INDEX($V$2:$V$1001,MATCH(ROWS($U$2:U713),$U$2:$U$1001,0),1)&gt;=100000,INDEX($AB$1005:$AQ$1005,1,MATCH(COLUMNS($AB$1006:AC1006),$AB$1006:$AQ$1006,0))&gt;=100000), " ",IF(INDEX($AB$2:$AQ$1001,MATCH(ROWS($U$2:U713),$U$2:$U$1001,0),MATCH(COLUMNS($AB$1006:AC1006),$AB$1006:$AQ$1006,0)), HYPERLINK("#",""), HYPERLINK(CONCATENATE("#metadata!", ADDRESS(INDEX($W$2:$W$1001,MATCH(ROWS($U$2:U713),$U$2:$U$1001,0),0), INDEX($AB$1004:$AQ$1004,1,MATCH(COLUMNS($AB$1006:AC1006),$AB$1006:$AQ$1006,0)))),"Fix")))</f>
        <v>0</v>
      </c>
      <c r="D713" s="4">
        <f>IF(OR(INDEX($V$2:$V$1001,MATCH(ROWS($U$2:U713),$U$2:$U$1001,0),1)&gt;=100000,INDEX($AB$1005:$AQ$1005,1,MATCH(COLUMNS($AB$1006:AD1006),$AB$1006:$AQ$1006,0))&gt;=100000), " ",IF(INDEX($AB$2:$AQ$1001,MATCH(ROWS($U$2:U713),$U$2:$U$1001,0),MATCH(COLUMNS($AB$1006:AD1006),$AB$1006:$AQ$1006,0)), HYPERLINK("#",""), HYPERLINK(CONCATENATE("#metadata!", ADDRESS(INDEX($W$2:$W$1001,MATCH(ROWS($U$2:U713),$U$2:$U$1001,0),0), INDEX($AB$1004:$AQ$1004,1,MATCH(COLUMNS($AB$1006:AD1006),$AB$1006:$AQ$1006,0)))),"Fix")))</f>
        <v>0</v>
      </c>
      <c r="E713" s="4">
        <f>IF(OR(INDEX($V$2:$V$1001,MATCH(ROWS($U$2:U713),$U$2:$U$1001,0),1)&gt;=100000,INDEX($AB$1005:$AQ$1005,1,MATCH(COLUMNS($AB$1006:AE1006),$AB$1006:$AQ$1006,0))&gt;=100000), " ",IF(INDEX($AB$2:$AQ$1001,MATCH(ROWS($U$2:U713),$U$2:$U$1001,0),MATCH(COLUMNS($AB$1006:AE1006),$AB$1006:$AQ$1006,0)), HYPERLINK("#",""), HYPERLINK(CONCATENATE("#metadata!", ADDRESS(INDEX($W$2:$W$1001,MATCH(ROWS($U$2:U713),$U$2:$U$1001,0),0), INDEX($AB$1004:$AQ$1004,1,MATCH(COLUMNS($AB$1006:AE1006),$AB$1006:$AQ$1006,0)))),"Fix")))</f>
        <v>0</v>
      </c>
      <c r="F713" s="4">
        <f>IF(OR(INDEX($V$2:$V$1001,MATCH(ROWS($U$2:U713),$U$2:$U$1001,0),1)&gt;=100000,INDEX($AB$1005:$AQ$1005,1,MATCH(COLUMNS($AB$1006:AF1006),$AB$1006:$AQ$1006,0))&gt;=100000), " ",IF(INDEX($AB$2:$AQ$1001,MATCH(ROWS($U$2:U713),$U$2:$U$1001,0),MATCH(COLUMNS($AB$1006:AF1006),$AB$1006:$AQ$1006,0)), HYPERLINK("#",""), HYPERLINK(CONCATENATE("#metadata!", ADDRESS(INDEX($W$2:$W$1001,MATCH(ROWS($U$2:U713),$U$2:$U$1001,0),0), INDEX($AB$1004:$AQ$1004,1,MATCH(COLUMNS($AB$1006:AF1006),$AB$1006:$AQ$1006,0)))),"Fix")))</f>
        <v>0</v>
      </c>
      <c r="G713" s="4">
        <f>IF(OR(INDEX($V$2:$V$1001,MATCH(ROWS($U$2:U713),$U$2:$U$1001,0),1)&gt;=100000,INDEX($AB$1005:$AQ$1005,1,MATCH(COLUMNS($AB$1006:AG1006),$AB$1006:$AQ$1006,0))&gt;=100000), " ",IF(INDEX($AB$2:$AQ$1001,MATCH(ROWS($U$2:U713),$U$2:$U$1001,0),MATCH(COLUMNS($AB$1006:AG1006),$AB$1006:$AQ$1006,0)), HYPERLINK("#",""), HYPERLINK(CONCATENATE("#metadata!", ADDRESS(INDEX($W$2:$W$1001,MATCH(ROWS($U$2:U713),$U$2:$U$1001,0),0), INDEX($AB$1004:$AQ$1004,1,MATCH(COLUMNS($AB$1006:AG1006),$AB$1006:$AQ$1006,0)))),"Fix")))</f>
        <v>0</v>
      </c>
      <c r="H713" s="4">
        <f>IF(OR(INDEX($V$2:$V$1001,MATCH(ROWS($U$2:U713),$U$2:$U$1001,0),1)&gt;=100000,INDEX($AB$1005:$AQ$1005,1,MATCH(COLUMNS($AB$1006:AH1006),$AB$1006:$AQ$1006,0))&gt;=100000), " ",IF(INDEX($AB$2:$AQ$1001,MATCH(ROWS($U$2:U713),$U$2:$U$1001,0),MATCH(COLUMNS($AB$1006:AH1006),$AB$1006:$AQ$1006,0)), HYPERLINK("#",""), HYPERLINK(CONCATENATE("#metadata!", ADDRESS(INDEX($W$2:$W$1001,MATCH(ROWS($U$2:U713),$U$2:$U$1001,0),0), INDEX($AB$1004:$AQ$1004,1,MATCH(COLUMNS($AB$1006:AH1006),$AB$1006:$AQ$1006,0)))),"Fix")))</f>
        <v>0</v>
      </c>
      <c r="I713" s="4">
        <f>IF(OR(INDEX($V$2:$V$1001,MATCH(ROWS($U$2:U713),$U$2:$U$1001,0),1)&gt;=100000,INDEX($AB$1005:$AQ$1005,1,MATCH(COLUMNS($AB$1006:AI1006),$AB$1006:$AQ$1006,0))&gt;=100000), " ",IF(INDEX($AB$2:$AQ$1001,MATCH(ROWS($U$2:U713),$U$2:$U$1001,0),MATCH(COLUMNS($AB$1006:AI1006),$AB$1006:$AQ$1006,0)), HYPERLINK("#",""), HYPERLINK(CONCATENATE("#metadata!", ADDRESS(INDEX($W$2:$W$1001,MATCH(ROWS($U$2:U713),$U$2:$U$1001,0),0), INDEX($AB$1004:$AQ$1004,1,MATCH(COLUMNS($AB$1006:AI1006),$AB$1006:$AQ$1006,0)))),"Fix")))</f>
        <v>0</v>
      </c>
      <c r="J713" s="4">
        <f>IF(OR(INDEX($V$2:$V$1001,MATCH(ROWS($U$2:U713),$U$2:$U$1001,0),1)&gt;=100000,INDEX($AB$1005:$AQ$1005,1,MATCH(COLUMNS($AB$1006:AJ1006),$AB$1006:$AQ$1006,0))&gt;=100000), " ",IF(INDEX($AB$2:$AQ$1001,MATCH(ROWS($U$2:U713),$U$2:$U$1001,0),MATCH(COLUMNS($AB$1006:AJ1006),$AB$1006:$AQ$1006,0)), HYPERLINK("#",""), HYPERLINK(CONCATENATE("#metadata!", ADDRESS(INDEX($W$2:$W$1001,MATCH(ROWS($U$2:U713),$U$2:$U$1001,0),0), INDEX($AB$1004:$AQ$1004,1,MATCH(COLUMNS($AB$1006:AJ1006),$AB$1006:$AQ$1006,0)))),"Fix")))</f>
        <v>0</v>
      </c>
      <c r="K713" s="4">
        <f>IF(OR(INDEX($V$2:$V$1001,MATCH(ROWS($U$2:U713),$U$2:$U$1001,0),1)&gt;=100000,INDEX($AB$1005:$AQ$1005,1,MATCH(COLUMNS($AB$1006:AK1006),$AB$1006:$AQ$1006,0))&gt;=100000), " ",IF(INDEX($AB$2:$AQ$1001,MATCH(ROWS($U$2:U713),$U$2:$U$1001,0),MATCH(COLUMNS($AB$1006:AK1006),$AB$1006:$AQ$1006,0)), HYPERLINK("#",""), HYPERLINK(CONCATENATE("#metadata!", ADDRESS(INDEX($W$2:$W$1001,MATCH(ROWS($U$2:U713),$U$2:$U$1001,0),0), INDEX($AB$1004:$AQ$1004,1,MATCH(COLUMNS($AB$1006:AK1006),$AB$1006:$AQ$1006,0)))),"Fix")))</f>
        <v>0</v>
      </c>
      <c r="L713" s="4">
        <f>IF(OR(INDEX($V$2:$V$1001,MATCH(ROWS($U$2:U713),$U$2:$U$1001,0),1)&gt;=100000,INDEX($AB$1005:$AQ$1005,1,MATCH(COLUMNS($AB$1006:AL1006),$AB$1006:$AQ$1006,0))&gt;=100000), " ",IF(INDEX($AB$2:$AQ$1001,MATCH(ROWS($U$2:U713),$U$2:$U$1001,0),MATCH(COLUMNS($AB$1006:AL1006),$AB$1006:$AQ$1006,0)), HYPERLINK("#",""), HYPERLINK(CONCATENATE("#metadata!", ADDRESS(INDEX($W$2:$W$1001,MATCH(ROWS($U$2:U713),$U$2:$U$1001,0),0), INDEX($AB$1004:$AQ$1004,1,MATCH(COLUMNS($AB$1006:AL1006),$AB$1006:$AQ$1006,0)))),"Fix")))</f>
        <v>0</v>
      </c>
      <c r="M713" s="4">
        <f>IF(OR(INDEX($V$2:$V$1001,MATCH(ROWS($U$2:U713),$U$2:$U$1001,0),1)&gt;=100000,INDEX($AB$1005:$AQ$1005,1,MATCH(COLUMNS($AB$1006:AM1006),$AB$1006:$AQ$1006,0))&gt;=100000), " ",IF(INDEX($AB$2:$AQ$1001,MATCH(ROWS($U$2:U713),$U$2:$U$1001,0),MATCH(COLUMNS($AB$1006:AM1006),$AB$1006:$AQ$1006,0)), HYPERLINK("#",""), HYPERLINK(CONCATENATE("#metadata!", ADDRESS(INDEX($W$2:$W$1001,MATCH(ROWS($U$2:U713),$U$2:$U$1001,0),0), INDEX($AB$1004:$AQ$1004,1,MATCH(COLUMNS($AB$1006:AM1006),$AB$1006:$AQ$1006,0)))),"Fix")))</f>
        <v>0</v>
      </c>
      <c r="N713" s="4">
        <f>IF(OR(INDEX($V$2:$V$1001,MATCH(ROWS($U$2:U713),$U$2:$U$1001,0),1)&gt;=100000,INDEX($AB$1005:$AQ$1005,1,MATCH(COLUMNS($AB$1006:AN1006),$AB$1006:$AQ$1006,0))&gt;=100000), " ",IF(INDEX($AB$2:$AQ$1001,MATCH(ROWS($U$2:U713),$U$2:$U$1001,0),MATCH(COLUMNS($AB$1006:AN1006),$AB$1006:$AQ$1006,0)), HYPERLINK("#",""), HYPERLINK(CONCATENATE("#metadata!", ADDRESS(INDEX($W$2:$W$1001,MATCH(ROWS($U$2:U713),$U$2:$U$1001,0),0), INDEX($AB$1004:$AQ$1004,1,MATCH(COLUMNS($AB$1006:AN1006),$AB$1006:$AQ$1006,0)))),"Fix")))</f>
        <v>0</v>
      </c>
      <c r="O713" s="4">
        <f>IF(OR(INDEX($V$2:$V$1001,MATCH(ROWS($U$2:U713),$U$2:$U$1001,0),1)&gt;=100000,INDEX($AB$1005:$AQ$1005,1,MATCH(COLUMNS($AB$1006:AO1006),$AB$1006:$AQ$1006,0))&gt;=100000), " ",IF(INDEX($AB$2:$AQ$1001,MATCH(ROWS($U$2:U713),$U$2:$U$1001,0),MATCH(COLUMNS($AB$1006:AO1006),$AB$1006:$AQ$1006,0)), HYPERLINK("#",""), HYPERLINK(CONCATENATE("#metadata!", ADDRESS(INDEX($W$2:$W$1001,MATCH(ROWS($U$2:U713),$U$2:$U$1001,0),0), INDEX($AB$1004:$AQ$1004,1,MATCH(COLUMNS($AB$1006:AO1006),$AB$1006:$AQ$1006,0)))),"Fix")))</f>
        <v>0</v>
      </c>
      <c r="P713" s="4">
        <f>IF(OR(INDEX($V$2:$V$1001,MATCH(ROWS($U$2:U713),$U$2:$U$1001,0),1)&gt;=100000,INDEX($AB$1005:$AQ$1005,1,MATCH(COLUMNS($AB$1006:AP1006),$AB$1006:$AQ$1006,0))&gt;=100000), " ",IF(INDEX($AB$2:$AQ$1001,MATCH(ROWS($U$2:U713),$U$2:$U$1001,0),MATCH(COLUMNS($AB$1006:AP1006),$AB$1006:$AQ$1006,0)), HYPERLINK("#",""), HYPERLINK(CONCATENATE("#metadata!", ADDRESS(INDEX($W$2:$W$1001,MATCH(ROWS($U$2:U713),$U$2:$U$1001,0),0), INDEX($AB$1004:$AQ$1004,1,MATCH(COLUMNS($AB$1006:AP1006),$AB$1006:$AQ$1006,0)))),"Fix")))</f>
        <v>0</v>
      </c>
      <c r="Q713" s="4">
        <f>IF(OR(INDEX($V$2:$V$1001,MATCH(ROWS($U$2:U713),$U$2:$U$1001,0),1)&gt;=100000,INDEX($AB$1005:$AQ$1005,1,MATCH(COLUMNS($AB$1006:AQ1006),$AB$1006:$AQ$1006,0))&gt;=100000), " ",IF(INDEX($AB$2:$AQ$1001,MATCH(ROWS($U$2:U713),$U$2:$U$1001,0),MATCH(COLUMNS($AB$1006:AQ1006),$AB$1006:$AQ$1006,0)), HYPERLINK("#",""), HYPERLINK(CONCATENATE("#metadata!", ADDRESS(INDEX($W$2:$W$1001,MATCH(ROWS($U$2:U713),$U$2:$U$1001,0),0), INDEX($AB$1004:$AQ$1004,1,MATCH(COLUMNS($AB$1006:AQ1006),$AB$1006:$AQ$1006,0)))),"Fix")))</f>
        <v>0</v>
      </c>
      <c r="U713">
        <v>0</v>
      </c>
      <c r="V713">
        <v>0</v>
      </c>
      <c r="W713">
        <v>0</v>
      </c>
      <c r="X713">
        <f>IF(Y713,TRUE,AND(AB713:AQ713))</f>
        <v>0</v>
      </c>
      <c r="Y713">
        <f>COUNTBLANK(metadata!B713:Q713)=COLUMNS(metadata!B713:Q713)</f>
        <v>0</v>
      </c>
      <c r="Z713">
        <v>0</v>
      </c>
      <c r="AB713">
        <f>AND(IF(metadata!B713="",FALSE,TRUE),COUNTIF(metadata!B:B, metadata!B713) = 1,NOT(ISERROR(SUMPRODUCT(SEARCH(MID(metadata!B713,ROW(INDIRECT("1:"&amp;LEN(metadata!B713))), 1),"0123456789abcdefghijklmnopqrstuvwxyzABCDEFGHIJKLMNOPQRSTUVWXYZ.")))))</f>
        <v>0</v>
      </c>
      <c r="AC713">
        <f>OR(AND(IF(metadata!C713="",FALSE,TRUE),OR(exact(metadata!C713,"missing: not collected"),exact(metadata!C713,"missing: not provided"),exact(metadata!C713,"missing: restricted access"))),AND(IF(metadata!C713="",FALSE,TRUE),AND(AND(IFERROR(INT(LEFT(metadata!C713,4))&gt;1900,FALSE),IFERROR(INT(LEFT(metadata!C713,4))&lt;=YEAR(NOW()),FALSE)), OR(MID(metadata!C713,5,1)="", AND(AND(MID(metadata!C713,5,1)="-",IFERROR(INT(MID(metadata!C713,6,1))&gt;=0,FALSE),IFERROR(INT(MID(metadata!C713,6,1))&lt;=1,FALSE),NOT(MID(metadata!C713,7,1)=""),IFERROR(INT(MID(metadata!C713,6,2))&gt;=1,FALSE),IFERROR(INT(MID(metadata!C713,6,2))&lt;=12,FALSE)), OR(MID(metadata!C713,8,1)="", AND(AND(MID(metadata!C713,8,1)="-",IFERROR(INT(MID(metadata!C713,9,1))&gt;=0,FALSE),IFERROR(INT(MID(metadata!C713,9,1))&lt;=3,FALSE),NOT(MID(metadata!C713,10,1)=""),IFERROR(INT(MID(metadata!C713,9,2))&gt;=1,FALSE),IFERROR(INT(MID(metadata!C713,9,2))&lt;=31,FALSE)), OR(MID(metadata!C713,11,1)="", AND(AND(MID(metadata!C713,11,1)=" ",IFERROR(INT(MID(metadata!C713,12,1))&gt;=0,FALSE),IFERROR(INT(MID(metadata!C713,12,1))&lt;=2,FALSE),NOT(MID(metadata!C713,13,1)=""),IFERROR(INT(MID(metadata!C713,12,2))&gt;=0,FALSE),IFERROR(INT(MID(metadata!C713,12,2))&lt;=23,FALSE)), OR(MID(metadata!C713,14,1)="", AND(AND(MID(metadata!C713,14,1)=":",IFERROR(INT(MID(metadata!C713,15,1))&gt;=0,FALSE),IFERROR(INT(MID(metadata!C713,15,1))&lt;=5,FALSE),NOT(MID(metadata!C713,16,1)=""),IFERROR(INT(MID(metadata!C713,15,2))&gt;=0,FALSE),IFERROR(INT(MID(metadata!C713,15,2))&lt;=59,FALSE)), OR(MID(metadata!C713,17,1)="", AND(AND(MID(metadata!C713,17,1)=":",IFERROR(INT(MID(metadata!C713,18,1))&gt;=0,FALSE),IFERROR(INT(MID(metadata!C713,18,1))&lt;=5,FALSE),NOT(MID(metadata!C713,19,1)=""),IFERROR(INT(MID(metadata!C713,18,2))&gt;=0,FALSE),IFERROR(INT(MID(metadata!C713,18,2))&lt;=59,FALSE)), LEN(metadata!C713)&lt;=19)))))))))))))</f>
        <v>0</v>
      </c>
      <c r="AD713">
        <f>IF(metadata!D713="",FALSE,TRUE)</f>
        <v>0</v>
      </c>
      <c r="AE713">
        <f>OR(AND(IF(metadata!E713="",FALSE,TRUE),OR(exact(metadata!E713,"missing: not collected"),exact(metadata!E713,"missing: not provided"))),AND(IF(metadata!E713="",FALSE,TRUE),OR(exact(metadata!E713,"TRUE"),exact(metadata!E713,"FALSE"))))</f>
        <v>0</v>
      </c>
      <c r="AF713">
        <f>IF(metadata!F713="",FALSE,TRUE)</f>
        <v>0</v>
      </c>
      <c r="AG713">
        <f>IF(metadata!G713="",FALSE,TRUE)</f>
        <v>0</v>
      </c>
      <c r="AH713">
        <f>IF(metadata!H713="",FALSE,TRUE)</f>
        <v>0</v>
      </c>
      <c r="AI713">
        <f>OR(AND(IF(metadata!I713="",FALSE,TRUE),OR(exact(metadata!I713,"missing: not collected"),exact(metadata!I713,"missing: not provided"),exact(metadata!I713,"missing: restricted access"))),AND(IF(metadata!I713="",FALSE,TRUE),OR(exact(metadata!I713,"air"),exact(metadata!I713,"built environment"),exact(metadata!I713,"host-associated"),exact(metadata!I713,"human-associated"),exact(metadata!I713,"human-skin"),exact(metadata!I713,"human-oral"),exact(metadata!I713,"human-gut"),exact(metadata!I713,"human-vaginal"),exact(metadata!I713,"microbial mat/biofilm"),exact(metadata!I713,"misc environment"),exact(metadata!I713,"plant-associated"),exact(metadata!I713,"sediment"),exact(metadata!I713,"soil"),exact(metadata!I713,"wastewater/sludge"),exact(metadata!I713,"water"))))</f>
        <v>0</v>
      </c>
      <c r="AJ713">
        <f>IF(metadata!J713="",FALSE,TRUE)</f>
        <v>0</v>
      </c>
      <c r="AK713">
        <f>OR(AND(IF(metadata!K713="",FALSE,TRUE),OR(exact(metadata!K713,"missing: not collected"),exact(metadata!K713,"missing: not provided"),exact(metadata!K713,"missing: restricted access"))),AND(IF(metadata!K713="",FALSE,ISNUMBER(VALUE(metadata!K713))),metadata!K713&gt;=-90.00,metadata!K713&lt;=90.00))</f>
        <v>0</v>
      </c>
      <c r="AL713">
        <f>OR(AND(IF(metadata!L713="",FALSE,TRUE),OR(exact(metadata!L713,"missing: not collected"),exact(metadata!L713,"missing: not provided"),exact(metadata!L713,"missing: restricted access"))),AND(IF(metadata!L713="",FALSE,ISNUMBER(VALUE(metadata!L713))),metadata!L713&gt;=-180.00,metadata!L713&lt;=180.00))</f>
        <v>0</v>
      </c>
      <c r="AM713">
        <f>IF(metadata!M713="",FALSE,TRUE)</f>
        <v>0</v>
      </c>
      <c r="AN713">
        <f>OR(AND(IF(metadata!N713="",FALSE,TRUE),OR(exact(metadata!N713,"missing: not collected"),exact(metadata!N713,"missing: not provided"),exact(metadata!N713,"missing: restricted access"))),AND(IF(metadata!N713="",FALSE,TRUE),OR(exact(metadata!N713,"TRUE"),exact(metadata!N713,"FALSE"))))</f>
        <v>0</v>
      </c>
      <c r="AO713">
        <f>IF(metadata!O713="",FALSE,TRUE)</f>
        <v>0</v>
      </c>
      <c r="AP713">
        <f>OR(AND(IF(metadata!P713="",FALSE,TRUE),OR(exact(metadata!P713,"missing: not collected"),exact(metadata!P713,"missing: not provided"))),AND(IF(metadata!P713="",FALSE,IF(ISERROR(INT(metadata!P713)),FALSE,INT(metadata!P713)=metadata!P713)),metadata!P713&gt;0))</f>
        <v>0</v>
      </c>
      <c r="AQ713">
        <f>IF(metadata!Q713="",FALSE,TRUE)</f>
        <v>0</v>
      </c>
    </row>
    <row r="714" spans="1:43">
      <c r="A714" s="5">
        <f>IF(B714=" "," ",HYPERLINK(CONCATENATE("#metadata!",ADDRESS(INDEX($W$2:$W$1001,MATCH(ROWS($U$2:U714),$U$2:$U$1001,0),0),1)),INDEX($Z$2:$Z$1001,MATCH(ROWS($U$2:U714),$U$2:$U$1001,0),0)))</f>
        <v>0</v>
      </c>
      <c r="B714" s="4">
        <f>IF(OR(INDEX($V$2:$V$1001,MATCH(ROWS($U$2:U714),$U$2:$U$1001,0),1)&gt;=100000,INDEX($AB$1005:$AQ$1005,1,MATCH(COLUMNS($AB$1006:AB1006),$AB$1006:$AQ$1006,0))&gt;=100000), " ",IF(INDEX($AB$2:$AQ$1001,MATCH(ROWS($U$2:U714),$U$2:$U$1001,0),MATCH(COLUMNS($AB$1006:AB1006),$AB$1006:$AQ$1006,0)), HYPERLINK("#",""), HYPERLINK(CONCATENATE("#metadata!", ADDRESS(INDEX($W$2:$W$1001,MATCH(ROWS($U$2:U714),$U$2:$U$1001,0),0), INDEX($AB$1004:$AQ$1004,1,MATCH(COLUMNS($AB$1006:AB1006),$AB$1006:$AQ$1006,0)))),"Fix")))</f>
        <v>0</v>
      </c>
      <c r="C714" s="4">
        <f>IF(OR(INDEX($V$2:$V$1001,MATCH(ROWS($U$2:U714),$U$2:$U$1001,0),1)&gt;=100000,INDEX($AB$1005:$AQ$1005,1,MATCH(COLUMNS($AB$1006:AC1006),$AB$1006:$AQ$1006,0))&gt;=100000), " ",IF(INDEX($AB$2:$AQ$1001,MATCH(ROWS($U$2:U714),$U$2:$U$1001,0),MATCH(COLUMNS($AB$1006:AC1006),$AB$1006:$AQ$1006,0)), HYPERLINK("#",""), HYPERLINK(CONCATENATE("#metadata!", ADDRESS(INDEX($W$2:$W$1001,MATCH(ROWS($U$2:U714),$U$2:$U$1001,0),0), INDEX($AB$1004:$AQ$1004,1,MATCH(COLUMNS($AB$1006:AC1006),$AB$1006:$AQ$1006,0)))),"Fix")))</f>
        <v>0</v>
      </c>
      <c r="D714" s="4">
        <f>IF(OR(INDEX($V$2:$V$1001,MATCH(ROWS($U$2:U714),$U$2:$U$1001,0),1)&gt;=100000,INDEX($AB$1005:$AQ$1005,1,MATCH(COLUMNS($AB$1006:AD1006),$AB$1006:$AQ$1006,0))&gt;=100000), " ",IF(INDEX($AB$2:$AQ$1001,MATCH(ROWS($U$2:U714),$U$2:$U$1001,0),MATCH(COLUMNS($AB$1006:AD1006),$AB$1006:$AQ$1006,0)), HYPERLINK("#",""), HYPERLINK(CONCATENATE("#metadata!", ADDRESS(INDEX($W$2:$W$1001,MATCH(ROWS($U$2:U714),$U$2:$U$1001,0),0), INDEX($AB$1004:$AQ$1004,1,MATCH(COLUMNS($AB$1006:AD1006),$AB$1006:$AQ$1006,0)))),"Fix")))</f>
        <v>0</v>
      </c>
      <c r="E714" s="4">
        <f>IF(OR(INDEX($V$2:$V$1001,MATCH(ROWS($U$2:U714),$U$2:$U$1001,0),1)&gt;=100000,INDEX($AB$1005:$AQ$1005,1,MATCH(COLUMNS($AB$1006:AE1006),$AB$1006:$AQ$1006,0))&gt;=100000), " ",IF(INDEX($AB$2:$AQ$1001,MATCH(ROWS($U$2:U714),$U$2:$U$1001,0),MATCH(COLUMNS($AB$1006:AE1006),$AB$1006:$AQ$1006,0)), HYPERLINK("#",""), HYPERLINK(CONCATENATE("#metadata!", ADDRESS(INDEX($W$2:$W$1001,MATCH(ROWS($U$2:U714),$U$2:$U$1001,0),0), INDEX($AB$1004:$AQ$1004,1,MATCH(COLUMNS($AB$1006:AE1006),$AB$1006:$AQ$1006,0)))),"Fix")))</f>
        <v>0</v>
      </c>
      <c r="F714" s="4">
        <f>IF(OR(INDEX($V$2:$V$1001,MATCH(ROWS($U$2:U714),$U$2:$U$1001,0),1)&gt;=100000,INDEX($AB$1005:$AQ$1005,1,MATCH(COLUMNS($AB$1006:AF1006),$AB$1006:$AQ$1006,0))&gt;=100000), " ",IF(INDEX($AB$2:$AQ$1001,MATCH(ROWS($U$2:U714),$U$2:$U$1001,0),MATCH(COLUMNS($AB$1006:AF1006),$AB$1006:$AQ$1006,0)), HYPERLINK("#",""), HYPERLINK(CONCATENATE("#metadata!", ADDRESS(INDEX($W$2:$W$1001,MATCH(ROWS($U$2:U714),$U$2:$U$1001,0),0), INDEX($AB$1004:$AQ$1004,1,MATCH(COLUMNS($AB$1006:AF1006),$AB$1006:$AQ$1006,0)))),"Fix")))</f>
        <v>0</v>
      </c>
      <c r="G714" s="4">
        <f>IF(OR(INDEX($V$2:$V$1001,MATCH(ROWS($U$2:U714),$U$2:$U$1001,0),1)&gt;=100000,INDEX($AB$1005:$AQ$1005,1,MATCH(COLUMNS($AB$1006:AG1006),$AB$1006:$AQ$1006,0))&gt;=100000), " ",IF(INDEX($AB$2:$AQ$1001,MATCH(ROWS($U$2:U714),$U$2:$U$1001,0),MATCH(COLUMNS($AB$1006:AG1006),$AB$1006:$AQ$1006,0)), HYPERLINK("#",""), HYPERLINK(CONCATENATE("#metadata!", ADDRESS(INDEX($W$2:$W$1001,MATCH(ROWS($U$2:U714),$U$2:$U$1001,0),0), INDEX($AB$1004:$AQ$1004,1,MATCH(COLUMNS($AB$1006:AG1006),$AB$1006:$AQ$1006,0)))),"Fix")))</f>
        <v>0</v>
      </c>
      <c r="H714" s="4">
        <f>IF(OR(INDEX($V$2:$V$1001,MATCH(ROWS($U$2:U714),$U$2:$U$1001,0),1)&gt;=100000,INDEX($AB$1005:$AQ$1005,1,MATCH(COLUMNS($AB$1006:AH1006),$AB$1006:$AQ$1006,0))&gt;=100000), " ",IF(INDEX($AB$2:$AQ$1001,MATCH(ROWS($U$2:U714),$U$2:$U$1001,0),MATCH(COLUMNS($AB$1006:AH1006),$AB$1006:$AQ$1006,0)), HYPERLINK("#",""), HYPERLINK(CONCATENATE("#metadata!", ADDRESS(INDEX($W$2:$W$1001,MATCH(ROWS($U$2:U714),$U$2:$U$1001,0),0), INDEX($AB$1004:$AQ$1004,1,MATCH(COLUMNS($AB$1006:AH1006),$AB$1006:$AQ$1006,0)))),"Fix")))</f>
        <v>0</v>
      </c>
      <c r="I714" s="4">
        <f>IF(OR(INDEX($V$2:$V$1001,MATCH(ROWS($U$2:U714),$U$2:$U$1001,0),1)&gt;=100000,INDEX($AB$1005:$AQ$1005,1,MATCH(COLUMNS($AB$1006:AI1006),$AB$1006:$AQ$1006,0))&gt;=100000), " ",IF(INDEX($AB$2:$AQ$1001,MATCH(ROWS($U$2:U714),$U$2:$U$1001,0),MATCH(COLUMNS($AB$1006:AI1006),$AB$1006:$AQ$1006,0)), HYPERLINK("#",""), HYPERLINK(CONCATENATE("#metadata!", ADDRESS(INDEX($W$2:$W$1001,MATCH(ROWS($U$2:U714),$U$2:$U$1001,0),0), INDEX($AB$1004:$AQ$1004,1,MATCH(COLUMNS($AB$1006:AI1006),$AB$1006:$AQ$1006,0)))),"Fix")))</f>
        <v>0</v>
      </c>
      <c r="J714" s="4">
        <f>IF(OR(INDEX($V$2:$V$1001,MATCH(ROWS($U$2:U714),$U$2:$U$1001,0),1)&gt;=100000,INDEX($AB$1005:$AQ$1005,1,MATCH(COLUMNS($AB$1006:AJ1006),$AB$1006:$AQ$1006,0))&gt;=100000), " ",IF(INDEX($AB$2:$AQ$1001,MATCH(ROWS($U$2:U714),$U$2:$U$1001,0),MATCH(COLUMNS($AB$1006:AJ1006),$AB$1006:$AQ$1006,0)), HYPERLINK("#",""), HYPERLINK(CONCATENATE("#metadata!", ADDRESS(INDEX($W$2:$W$1001,MATCH(ROWS($U$2:U714),$U$2:$U$1001,0),0), INDEX($AB$1004:$AQ$1004,1,MATCH(COLUMNS($AB$1006:AJ1006),$AB$1006:$AQ$1006,0)))),"Fix")))</f>
        <v>0</v>
      </c>
      <c r="K714" s="4">
        <f>IF(OR(INDEX($V$2:$V$1001,MATCH(ROWS($U$2:U714),$U$2:$U$1001,0),1)&gt;=100000,INDEX($AB$1005:$AQ$1005,1,MATCH(COLUMNS($AB$1006:AK1006),$AB$1006:$AQ$1006,0))&gt;=100000), " ",IF(INDEX($AB$2:$AQ$1001,MATCH(ROWS($U$2:U714),$U$2:$U$1001,0),MATCH(COLUMNS($AB$1006:AK1006),$AB$1006:$AQ$1006,0)), HYPERLINK("#",""), HYPERLINK(CONCATENATE("#metadata!", ADDRESS(INDEX($W$2:$W$1001,MATCH(ROWS($U$2:U714),$U$2:$U$1001,0),0), INDEX($AB$1004:$AQ$1004,1,MATCH(COLUMNS($AB$1006:AK1006),$AB$1006:$AQ$1006,0)))),"Fix")))</f>
        <v>0</v>
      </c>
      <c r="L714" s="4">
        <f>IF(OR(INDEX($V$2:$V$1001,MATCH(ROWS($U$2:U714),$U$2:$U$1001,0),1)&gt;=100000,INDEX($AB$1005:$AQ$1005,1,MATCH(COLUMNS($AB$1006:AL1006),$AB$1006:$AQ$1006,0))&gt;=100000), " ",IF(INDEX($AB$2:$AQ$1001,MATCH(ROWS($U$2:U714),$U$2:$U$1001,0),MATCH(COLUMNS($AB$1006:AL1006),$AB$1006:$AQ$1006,0)), HYPERLINK("#",""), HYPERLINK(CONCATENATE("#metadata!", ADDRESS(INDEX($W$2:$W$1001,MATCH(ROWS($U$2:U714),$U$2:$U$1001,0),0), INDEX($AB$1004:$AQ$1004,1,MATCH(COLUMNS($AB$1006:AL1006),$AB$1006:$AQ$1006,0)))),"Fix")))</f>
        <v>0</v>
      </c>
      <c r="M714" s="4">
        <f>IF(OR(INDEX($V$2:$V$1001,MATCH(ROWS($U$2:U714),$U$2:$U$1001,0),1)&gt;=100000,INDEX($AB$1005:$AQ$1005,1,MATCH(COLUMNS($AB$1006:AM1006),$AB$1006:$AQ$1006,0))&gt;=100000), " ",IF(INDEX($AB$2:$AQ$1001,MATCH(ROWS($U$2:U714),$U$2:$U$1001,0),MATCH(COLUMNS($AB$1006:AM1006),$AB$1006:$AQ$1006,0)), HYPERLINK("#",""), HYPERLINK(CONCATENATE("#metadata!", ADDRESS(INDEX($W$2:$W$1001,MATCH(ROWS($U$2:U714),$U$2:$U$1001,0),0), INDEX($AB$1004:$AQ$1004,1,MATCH(COLUMNS($AB$1006:AM1006),$AB$1006:$AQ$1006,0)))),"Fix")))</f>
        <v>0</v>
      </c>
      <c r="N714" s="4">
        <f>IF(OR(INDEX($V$2:$V$1001,MATCH(ROWS($U$2:U714),$U$2:$U$1001,0),1)&gt;=100000,INDEX($AB$1005:$AQ$1005,1,MATCH(COLUMNS($AB$1006:AN1006),$AB$1006:$AQ$1006,0))&gt;=100000), " ",IF(INDEX($AB$2:$AQ$1001,MATCH(ROWS($U$2:U714),$U$2:$U$1001,0),MATCH(COLUMNS($AB$1006:AN1006),$AB$1006:$AQ$1006,0)), HYPERLINK("#",""), HYPERLINK(CONCATENATE("#metadata!", ADDRESS(INDEX($W$2:$W$1001,MATCH(ROWS($U$2:U714),$U$2:$U$1001,0),0), INDEX($AB$1004:$AQ$1004,1,MATCH(COLUMNS($AB$1006:AN1006),$AB$1006:$AQ$1006,0)))),"Fix")))</f>
        <v>0</v>
      </c>
      <c r="O714" s="4">
        <f>IF(OR(INDEX($V$2:$V$1001,MATCH(ROWS($U$2:U714),$U$2:$U$1001,0),1)&gt;=100000,INDEX($AB$1005:$AQ$1005,1,MATCH(COLUMNS($AB$1006:AO1006),$AB$1006:$AQ$1006,0))&gt;=100000), " ",IF(INDEX($AB$2:$AQ$1001,MATCH(ROWS($U$2:U714),$U$2:$U$1001,0),MATCH(COLUMNS($AB$1006:AO1006),$AB$1006:$AQ$1006,0)), HYPERLINK("#",""), HYPERLINK(CONCATENATE("#metadata!", ADDRESS(INDEX($W$2:$W$1001,MATCH(ROWS($U$2:U714),$U$2:$U$1001,0),0), INDEX($AB$1004:$AQ$1004,1,MATCH(COLUMNS($AB$1006:AO1006),$AB$1006:$AQ$1006,0)))),"Fix")))</f>
        <v>0</v>
      </c>
      <c r="P714" s="4">
        <f>IF(OR(INDEX($V$2:$V$1001,MATCH(ROWS($U$2:U714),$U$2:$U$1001,0),1)&gt;=100000,INDEX($AB$1005:$AQ$1005,1,MATCH(COLUMNS($AB$1006:AP1006),$AB$1006:$AQ$1006,0))&gt;=100000), " ",IF(INDEX($AB$2:$AQ$1001,MATCH(ROWS($U$2:U714),$U$2:$U$1001,0),MATCH(COLUMNS($AB$1006:AP1006),$AB$1006:$AQ$1006,0)), HYPERLINK("#",""), HYPERLINK(CONCATENATE("#metadata!", ADDRESS(INDEX($W$2:$W$1001,MATCH(ROWS($U$2:U714),$U$2:$U$1001,0),0), INDEX($AB$1004:$AQ$1004,1,MATCH(COLUMNS($AB$1006:AP1006),$AB$1006:$AQ$1006,0)))),"Fix")))</f>
        <v>0</v>
      </c>
      <c r="Q714" s="4">
        <f>IF(OR(INDEX($V$2:$V$1001,MATCH(ROWS($U$2:U714),$U$2:$U$1001,0),1)&gt;=100000,INDEX($AB$1005:$AQ$1005,1,MATCH(COLUMNS($AB$1006:AQ1006),$AB$1006:$AQ$1006,0))&gt;=100000), " ",IF(INDEX($AB$2:$AQ$1001,MATCH(ROWS($U$2:U714),$U$2:$U$1001,0),MATCH(COLUMNS($AB$1006:AQ1006),$AB$1006:$AQ$1006,0)), HYPERLINK("#",""), HYPERLINK(CONCATENATE("#metadata!", ADDRESS(INDEX($W$2:$W$1001,MATCH(ROWS($U$2:U714),$U$2:$U$1001,0),0), INDEX($AB$1004:$AQ$1004,1,MATCH(COLUMNS($AB$1006:AQ1006),$AB$1006:$AQ$1006,0)))),"Fix")))</f>
        <v>0</v>
      </c>
      <c r="U714">
        <v>0</v>
      </c>
      <c r="V714">
        <v>0</v>
      </c>
      <c r="W714">
        <v>0</v>
      </c>
      <c r="X714">
        <f>IF(Y714,TRUE,AND(AB714:AQ714))</f>
        <v>0</v>
      </c>
      <c r="Y714">
        <f>COUNTBLANK(metadata!B714:Q714)=COLUMNS(metadata!B714:Q714)</f>
        <v>0</v>
      </c>
      <c r="Z714">
        <v>0</v>
      </c>
      <c r="AB714">
        <f>AND(IF(metadata!B714="",FALSE,TRUE),COUNTIF(metadata!B:B, metadata!B714) = 1,NOT(ISERROR(SUMPRODUCT(SEARCH(MID(metadata!B714,ROW(INDIRECT("1:"&amp;LEN(metadata!B714))), 1),"0123456789abcdefghijklmnopqrstuvwxyzABCDEFGHIJKLMNOPQRSTUVWXYZ.")))))</f>
        <v>0</v>
      </c>
      <c r="AC714">
        <f>OR(AND(IF(metadata!C714="",FALSE,TRUE),OR(exact(metadata!C714,"missing: not collected"),exact(metadata!C714,"missing: not provided"),exact(metadata!C714,"missing: restricted access"))),AND(IF(metadata!C714="",FALSE,TRUE),AND(AND(IFERROR(INT(LEFT(metadata!C714,4))&gt;1900,FALSE),IFERROR(INT(LEFT(metadata!C714,4))&lt;=YEAR(NOW()),FALSE)), OR(MID(metadata!C714,5,1)="", AND(AND(MID(metadata!C714,5,1)="-",IFERROR(INT(MID(metadata!C714,6,1))&gt;=0,FALSE),IFERROR(INT(MID(metadata!C714,6,1))&lt;=1,FALSE),NOT(MID(metadata!C714,7,1)=""),IFERROR(INT(MID(metadata!C714,6,2))&gt;=1,FALSE),IFERROR(INT(MID(metadata!C714,6,2))&lt;=12,FALSE)), OR(MID(metadata!C714,8,1)="", AND(AND(MID(metadata!C714,8,1)="-",IFERROR(INT(MID(metadata!C714,9,1))&gt;=0,FALSE),IFERROR(INT(MID(metadata!C714,9,1))&lt;=3,FALSE),NOT(MID(metadata!C714,10,1)=""),IFERROR(INT(MID(metadata!C714,9,2))&gt;=1,FALSE),IFERROR(INT(MID(metadata!C714,9,2))&lt;=31,FALSE)), OR(MID(metadata!C714,11,1)="", AND(AND(MID(metadata!C714,11,1)=" ",IFERROR(INT(MID(metadata!C714,12,1))&gt;=0,FALSE),IFERROR(INT(MID(metadata!C714,12,1))&lt;=2,FALSE),NOT(MID(metadata!C714,13,1)=""),IFERROR(INT(MID(metadata!C714,12,2))&gt;=0,FALSE),IFERROR(INT(MID(metadata!C714,12,2))&lt;=23,FALSE)), OR(MID(metadata!C714,14,1)="", AND(AND(MID(metadata!C714,14,1)=":",IFERROR(INT(MID(metadata!C714,15,1))&gt;=0,FALSE),IFERROR(INT(MID(metadata!C714,15,1))&lt;=5,FALSE),NOT(MID(metadata!C714,16,1)=""),IFERROR(INT(MID(metadata!C714,15,2))&gt;=0,FALSE),IFERROR(INT(MID(metadata!C714,15,2))&lt;=59,FALSE)), OR(MID(metadata!C714,17,1)="", AND(AND(MID(metadata!C714,17,1)=":",IFERROR(INT(MID(metadata!C714,18,1))&gt;=0,FALSE),IFERROR(INT(MID(metadata!C714,18,1))&lt;=5,FALSE),NOT(MID(metadata!C714,19,1)=""),IFERROR(INT(MID(metadata!C714,18,2))&gt;=0,FALSE),IFERROR(INT(MID(metadata!C714,18,2))&lt;=59,FALSE)), LEN(metadata!C714)&lt;=19)))))))))))))</f>
        <v>0</v>
      </c>
      <c r="AD714">
        <f>IF(metadata!D714="",FALSE,TRUE)</f>
        <v>0</v>
      </c>
      <c r="AE714">
        <f>OR(AND(IF(metadata!E714="",FALSE,TRUE),OR(exact(metadata!E714,"missing: not collected"),exact(metadata!E714,"missing: not provided"))),AND(IF(metadata!E714="",FALSE,TRUE),OR(exact(metadata!E714,"TRUE"),exact(metadata!E714,"FALSE"))))</f>
        <v>0</v>
      </c>
      <c r="AF714">
        <f>IF(metadata!F714="",FALSE,TRUE)</f>
        <v>0</v>
      </c>
      <c r="AG714">
        <f>IF(metadata!G714="",FALSE,TRUE)</f>
        <v>0</v>
      </c>
      <c r="AH714">
        <f>IF(metadata!H714="",FALSE,TRUE)</f>
        <v>0</v>
      </c>
      <c r="AI714">
        <f>OR(AND(IF(metadata!I714="",FALSE,TRUE),OR(exact(metadata!I714,"missing: not collected"),exact(metadata!I714,"missing: not provided"),exact(metadata!I714,"missing: restricted access"))),AND(IF(metadata!I714="",FALSE,TRUE),OR(exact(metadata!I714,"air"),exact(metadata!I714,"built environment"),exact(metadata!I714,"host-associated"),exact(metadata!I714,"human-associated"),exact(metadata!I714,"human-skin"),exact(metadata!I714,"human-oral"),exact(metadata!I714,"human-gut"),exact(metadata!I714,"human-vaginal"),exact(metadata!I714,"microbial mat/biofilm"),exact(metadata!I714,"misc environment"),exact(metadata!I714,"plant-associated"),exact(metadata!I714,"sediment"),exact(metadata!I714,"soil"),exact(metadata!I714,"wastewater/sludge"),exact(metadata!I714,"water"))))</f>
        <v>0</v>
      </c>
      <c r="AJ714">
        <f>IF(metadata!J714="",FALSE,TRUE)</f>
        <v>0</v>
      </c>
      <c r="AK714">
        <f>OR(AND(IF(metadata!K714="",FALSE,TRUE),OR(exact(metadata!K714,"missing: not collected"),exact(metadata!K714,"missing: not provided"),exact(metadata!K714,"missing: restricted access"))),AND(IF(metadata!K714="",FALSE,ISNUMBER(VALUE(metadata!K714))),metadata!K714&gt;=-90.00,metadata!K714&lt;=90.00))</f>
        <v>0</v>
      </c>
      <c r="AL714">
        <f>OR(AND(IF(metadata!L714="",FALSE,TRUE),OR(exact(metadata!L714,"missing: not collected"),exact(metadata!L714,"missing: not provided"),exact(metadata!L714,"missing: restricted access"))),AND(IF(metadata!L714="",FALSE,ISNUMBER(VALUE(metadata!L714))),metadata!L714&gt;=-180.00,metadata!L714&lt;=180.00))</f>
        <v>0</v>
      </c>
      <c r="AM714">
        <f>IF(metadata!M714="",FALSE,TRUE)</f>
        <v>0</v>
      </c>
      <c r="AN714">
        <f>OR(AND(IF(metadata!N714="",FALSE,TRUE),OR(exact(metadata!N714,"missing: not collected"),exact(metadata!N714,"missing: not provided"),exact(metadata!N714,"missing: restricted access"))),AND(IF(metadata!N714="",FALSE,TRUE),OR(exact(metadata!N714,"TRUE"),exact(metadata!N714,"FALSE"))))</f>
        <v>0</v>
      </c>
      <c r="AO714">
        <f>IF(metadata!O714="",FALSE,TRUE)</f>
        <v>0</v>
      </c>
      <c r="AP714">
        <f>OR(AND(IF(metadata!P714="",FALSE,TRUE),OR(exact(metadata!P714,"missing: not collected"),exact(metadata!P714,"missing: not provided"))),AND(IF(metadata!P714="",FALSE,IF(ISERROR(INT(metadata!P714)),FALSE,INT(metadata!P714)=metadata!P714)),metadata!P714&gt;0))</f>
        <v>0</v>
      </c>
      <c r="AQ714">
        <f>IF(metadata!Q714="",FALSE,TRUE)</f>
        <v>0</v>
      </c>
    </row>
    <row r="715" spans="1:43">
      <c r="A715" s="5">
        <f>IF(B715=" "," ",HYPERLINK(CONCATENATE("#metadata!",ADDRESS(INDEX($W$2:$W$1001,MATCH(ROWS($U$2:U715),$U$2:$U$1001,0),0),1)),INDEX($Z$2:$Z$1001,MATCH(ROWS($U$2:U715),$U$2:$U$1001,0),0)))</f>
        <v>0</v>
      </c>
      <c r="B715" s="4">
        <f>IF(OR(INDEX($V$2:$V$1001,MATCH(ROWS($U$2:U715),$U$2:$U$1001,0),1)&gt;=100000,INDEX($AB$1005:$AQ$1005,1,MATCH(COLUMNS($AB$1006:AB1006),$AB$1006:$AQ$1006,0))&gt;=100000), " ",IF(INDEX($AB$2:$AQ$1001,MATCH(ROWS($U$2:U715),$U$2:$U$1001,0),MATCH(COLUMNS($AB$1006:AB1006),$AB$1006:$AQ$1006,0)), HYPERLINK("#",""), HYPERLINK(CONCATENATE("#metadata!", ADDRESS(INDEX($W$2:$W$1001,MATCH(ROWS($U$2:U715),$U$2:$U$1001,0),0), INDEX($AB$1004:$AQ$1004,1,MATCH(COLUMNS($AB$1006:AB1006),$AB$1006:$AQ$1006,0)))),"Fix")))</f>
        <v>0</v>
      </c>
      <c r="C715" s="4">
        <f>IF(OR(INDEX($V$2:$V$1001,MATCH(ROWS($U$2:U715),$U$2:$U$1001,0),1)&gt;=100000,INDEX($AB$1005:$AQ$1005,1,MATCH(COLUMNS($AB$1006:AC1006),$AB$1006:$AQ$1006,0))&gt;=100000), " ",IF(INDEX($AB$2:$AQ$1001,MATCH(ROWS($U$2:U715),$U$2:$U$1001,0),MATCH(COLUMNS($AB$1006:AC1006),$AB$1006:$AQ$1006,0)), HYPERLINK("#",""), HYPERLINK(CONCATENATE("#metadata!", ADDRESS(INDEX($W$2:$W$1001,MATCH(ROWS($U$2:U715),$U$2:$U$1001,0),0), INDEX($AB$1004:$AQ$1004,1,MATCH(COLUMNS($AB$1006:AC1006),$AB$1006:$AQ$1006,0)))),"Fix")))</f>
        <v>0</v>
      </c>
      <c r="D715" s="4">
        <f>IF(OR(INDEX($V$2:$V$1001,MATCH(ROWS($U$2:U715),$U$2:$U$1001,0),1)&gt;=100000,INDEX($AB$1005:$AQ$1005,1,MATCH(COLUMNS($AB$1006:AD1006),$AB$1006:$AQ$1006,0))&gt;=100000), " ",IF(INDEX($AB$2:$AQ$1001,MATCH(ROWS($U$2:U715),$U$2:$U$1001,0),MATCH(COLUMNS($AB$1006:AD1006),$AB$1006:$AQ$1006,0)), HYPERLINK("#",""), HYPERLINK(CONCATENATE("#metadata!", ADDRESS(INDEX($W$2:$W$1001,MATCH(ROWS($U$2:U715),$U$2:$U$1001,0),0), INDEX($AB$1004:$AQ$1004,1,MATCH(COLUMNS($AB$1006:AD1006),$AB$1006:$AQ$1006,0)))),"Fix")))</f>
        <v>0</v>
      </c>
      <c r="E715" s="4">
        <f>IF(OR(INDEX($V$2:$V$1001,MATCH(ROWS($U$2:U715),$U$2:$U$1001,0),1)&gt;=100000,INDEX($AB$1005:$AQ$1005,1,MATCH(COLUMNS($AB$1006:AE1006),$AB$1006:$AQ$1006,0))&gt;=100000), " ",IF(INDEX($AB$2:$AQ$1001,MATCH(ROWS($U$2:U715),$U$2:$U$1001,0),MATCH(COLUMNS($AB$1006:AE1006),$AB$1006:$AQ$1006,0)), HYPERLINK("#",""), HYPERLINK(CONCATENATE("#metadata!", ADDRESS(INDEX($W$2:$W$1001,MATCH(ROWS($U$2:U715),$U$2:$U$1001,0),0), INDEX($AB$1004:$AQ$1004,1,MATCH(COLUMNS($AB$1006:AE1006),$AB$1006:$AQ$1006,0)))),"Fix")))</f>
        <v>0</v>
      </c>
      <c r="F715" s="4">
        <f>IF(OR(INDEX($V$2:$V$1001,MATCH(ROWS($U$2:U715),$U$2:$U$1001,0),1)&gt;=100000,INDEX($AB$1005:$AQ$1005,1,MATCH(COLUMNS($AB$1006:AF1006),$AB$1006:$AQ$1006,0))&gt;=100000), " ",IF(INDEX($AB$2:$AQ$1001,MATCH(ROWS($U$2:U715),$U$2:$U$1001,0),MATCH(COLUMNS($AB$1006:AF1006),$AB$1006:$AQ$1006,0)), HYPERLINK("#",""), HYPERLINK(CONCATENATE("#metadata!", ADDRESS(INDEX($W$2:$W$1001,MATCH(ROWS($U$2:U715),$U$2:$U$1001,0),0), INDEX($AB$1004:$AQ$1004,1,MATCH(COLUMNS($AB$1006:AF1006),$AB$1006:$AQ$1006,0)))),"Fix")))</f>
        <v>0</v>
      </c>
      <c r="G715" s="4">
        <f>IF(OR(INDEX($V$2:$V$1001,MATCH(ROWS($U$2:U715),$U$2:$U$1001,0),1)&gt;=100000,INDEX($AB$1005:$AQ$1005,1,MATCH(COLUMNS($AB$1006:AG1006),$AB$1006:$AQ$1006,0))&gt;=100000), " ",IF(INDEX($AB$2:$AQ$1001,MATCH(ROWS($U$2:U715),$U$2:$U$1001,0),MATCH(COLUMNS($AB$1006:AG1006),$AB$1006:$AQ$1006,0)), HYPERLINK("#",""), HYPERLINK(CONCATENATE("#metadata!", ADDRESS(INDEX($W$2:$W$1001,MATCH(ROWS($U$2:U715),$U$2:$U$1001,0),0), INDEX($AB$1004:$AQ$1004,1,MATCH(COLUMNS($AB$1006:AG1006),$AB$1006:$AQ$1006,0)))),"Fix")))</f>
        <v>0</v>
      </c>
      <c r="H715" s="4">
        <f>IF(OR(INDEX($V$2:$V$1001,MATCH(ROWS($U$2:U715),$U$2:$U$1001,0),1)&gt;=100000,INDEX($AB$1005:$AQ$1005,1,MATCH(COLUMNS($AB$1006:AH1006),$AB$1006:$AQ$1006,0))&gt;=100000), " ",IF(INDEX($AB$2:$AQ$1001,MATCH(ROWS($U$2:U715),$U$2:$U$1001,0),MATCH(COLUMNS($AB$1006:AH1006),$AB$1006:$AQ$1006,0)), HYPERLINK("#",""), HYPERLINK(CONCATENATE("#metadata!", ADDRESS(INDEX($W$2:$W$1001,MATCH(ROWS($U$2:U715),$U$2:$U$1001,0),0), INDEX($AB$1004:$AQ$1004,1,MATCH(COLUMNS($AB$1006:AH1006),$AB$1006:$AQ$1006,0)))),"Fix")))</f>
        <v>0</v>
      </c>
      <c r="I715" s="4">
        <f>IF(OR(INDEX($V$2:$V$1001,MATCH(ROWS($U$2:U715),$U$2:$U$1001,0),1)&gt;=100000,INDEX($AB$1005:$AQ$1005,1,MATCH(COLUMNS($AB$1006:AI1006),$AB$1006:$AQ$1006,0))&gt;=100000), " ",IF(INDEX($AB$2:$AQ$1001,MATCH(ROWS($U$2:U715),$U$2:$U$1001,0),MATCH(COLUMNS($AB$1006:AI1006),$AB$1006:$AQ$1006,0)), HYPERLINK("#",""), HYPERLINK(CONCATENATE("#metadata!", ADDRESS(INDEX($W$2:$W$1001,MATCH(ROWS($U$2:U715),$U$2:$U$1001,0),0), INDEX($AB$1004:$AQ$1004,1,MATCH(COLUMNS($AB$1006:AI1006),$AB$1006:$AQ$1006,0)))),"Fix")))</f>
        <v>0</v>
      </c>
      <c r="J715" s="4">
        <f>IF(OR(INDEX($V$2:$V$1001,MATCH(ROWS($U$2:U715),$U$2:$U$1001,0),1)&gt;=100000,INDEX($AB$1005:$AQ$1005,1,MATCH(COLUMNS($AB$1006:AJ1006),$AB$1006:$AQ$1006,0))&gt;=100000), " ",IF(INDEX($AB$2:$AQ$1001,MATCH(ROWS($U$2:U715),$U$2:$U$1001,0),MATCH(COLUMNS($AB$1006:AJ1006),$AB$1006:$AQ$1006,0)), HYPERLINK("#",""), HYPERLINK(CONCATENATE("#metadata!", ADDRESS(INDEX($W$2:$W$1001,MATCH(ROWS($U$2:U715),$U$2:$U$1001,0),0), INDEX($AB$1004:$AQ$1004,1,MATCH(COLUMNS($AB$1006:AJ1006),$AB$1006:$AQ$1006,0)))),"Fix")))</f>
        <v>0</v>
      </c>
      <c r="K715" s="4">
        <f>IF(OR(INDEX($V$2:$V$1001,MATCH(ROWS($U$2:U715),$U$2:$U$1001,0),1)&gt;=100000,INDEX($AB$1005:$AQ$1005,1,MATCH(COLUMNS($AB$1006:AK1006),$AB$1006:$AQ$1006,0))&gt;=100000), " ",IF(INDEX($AB$2:$AQ$1001,MATCH(ROWS($U$2:U715),$U$2:$U$1001,0),MATCH(COLUMNS($AB$1006:AK1006),$AB$1006:$AQ$1006,0)), HYPERLINK("#",""), HYPERLINK(CONCATENATE("#metadata!", ADDRESS(INDEX($W$2:$W$1001,MATCH(ROWS($U$2:U715),$U$2:$U$1001,0),0), INDEX($AB$1004:$AQ$1004,1,MATCH(COLUMNS($AB$1006:AK1006),$AB$1006:$AQ$1006,0)))),"Fix")))</f>
        <v>0</v>
      </c>
      <c r="L715" s="4">
        <f>IF(OR(INDEX($V$2:$V$1001,MATCH(ROWS($U$2:U715),$U$2:$U$1001,0),1)&gt;=100000,INDEX($AB$1005:$AQ$1005,1,MATCH(COLUMNS($AB$1006:AL1006),$AB$1006:$AQ$1006,0))&gt;=100000), " ",IF(INDEX($AB$2:$AQ$1001,MATCH(ROWS($U$2:U715),$U$2:$U$1001,0),MATCH(COLUMNS($AB$1006:AL1006),$AB$1006:$AQ$1006,0)), HYPERLINK("#",""), HYPERLINK(CONCATENATE("#metadata!", ADDRESS(INDEX($W$2:$W$1001,MATCH(ROWS($U$2:U715),$U$2:$U$1001,0),0), INDEX($AB$1004:$AQ$1004,1,MATCH(COLUMNS($AB$1006:AL1006),$AB$1006:$AQ$1006,0)))),"Fix")))</f>
        <v>0</v>
      </c>
      <c r="M715" s="4">
        <f>IF(OR(INDEX($V$2:$V$1001,MATCH(ROWS($U$2:U715),$U$2:$U$1001,0),1)&gt;=100000,INDEX($AB$1005:$AQ$1005,1,MATCH(COLUMNS($AB$1006:AM1006),$AB$1006:$AQ$1006,0))&gt;=100000), " ",IF(INDEX($AB$2:$AQ$1001,MATCH(ROWS($U$2:U715),$U$2:$U$1001,0),MATCH(COLUMNS($AB$1006:AM1006),$AB$1006:$AQ$1006,0)), HYPERLINK("#",""), HYPERLINK(CONCATENATE("#metadata!", ADDRESS(INDEX($W$2:$W$1001,MATCH(ROWS($U$2:U715),$U$2:$U$1001,0),0), INDEX($AB$1004:$AQ$1004,1,MATCH(COLUMNS($AB$1006:AM1006),$AB$1006:$AQ$1006,0)))),"Fix")))</f>
        <v>0</v>
      </c>
      <c r="N715" s="4">
        <f>IF(OR(INDEX($V$2:$V$1001,MATCH(ROWS($U$2:U715),$U$2:$U$1001,0),1)&gt;=100000,INDEX($AB$1005:$AQ$1005,1,MATCH(COLUMNS($AB$1006:AN1006),$AB$1006:$AQ$1006,0))&gt;=100000), " ",IF(INDEX($AB$2:$AQ$1001,MATCH(ROWS($U$2:U715),$U$2:$U$1001,0),MATCH(COLUMNS($AB$1006:AN1006),$AB$1006:$AQ$1006,0)), HYPERLINK("#",""), HYPERLINK(CONCATENATE("#metadata!", ADDRESS(INDEX($W$2:$W$1001,MATCH(ROWS($U$2:U715),$U$2:$U$1001,0),0), INDEX($AB$1004:$AQ$1004,1,MATCH(COLUMNS($AB$1006:AN1006),$AB$1006:$AQ$1006,0)))),"Fix")))</f>
        <v>0</v>
      </c>
      <c r="O715" s="4">
        <f>IF(OR(INDEX($V$2:$V$1001,MATCH(ROWS($U$2:U715),$U$2:$U$1001,0),1)&gt;=100000,INDEX($AB$1005:$AQ$1005,1,MATCH(COLUMNS($AB$1006:AO1006),$AB$1006:$AQ$1006,0))&gt;=100000), " ",IF(INDEX($AB$2:$AQ$1001,MATCH(ROWS($U$2:U715),$U$2:$U$1001,0),MATCH(COLUMNS($AB$1006:AO1006),$AB$1006:$AQ$1006,0)), HYPERLINK("#",""), HYPERLINK(CONCATENATE("#metadata!", ADDRESS(INDEX($W$2:$W$1001,MATCH(ROWS($U$2:U715),$U$2:$U$1001,0),0), INDEX($AB$1004:$AQ$1004,1,MATCH(COLUMNS($AB$1006:AO1006),$AB$1006:$AQ$1006,0)))),"Fix")))</f>
        <v>0</v>
      </c>
      <c r="P715" s="4">
        <f>IF(OR(INDEX($V$2:$V$1001,MATCH(ROWS($U$2:U715),$U$2:$U$1001,0),1)&gt;=100000,INDEX($AB$1005:$AQ$1005,1,MATCH(COLUMNS($AB$1006:AP1006),$AB$1006:$AQ$1006,0))&gt;=100000), " ",IF(INDEX($AB$2:$AQ$1001,MATCH(ROWS($U$2:U715),$U$2:$U$1001,0),MATCH(COLUMNS($AB$1006:AP1006),$AB$1006:$AQ$1006,0)), HYPERLINK("#",""), HYPERLINK(CONCATENATE("#metadata!", ADDRESS(INDEX($W$2:$W$1001,MATCH(ROWS($U$2:U715),$U$2:$U$1001,0),0), INDEX($AB$1004:$AQ$1004,1,MATCH(COLUMNS($AB$1006:AP1006),$AB$1006:$AQ$1006,0)))),"Fix")))</f>
        <v>0</v>
      </c>
      <c r="Q715" s="4">
        <f>IF(OR(INDEX($V$2:$V$1001,MATCH(ROWS($U$2:U715),$U$2:$U$1001,0),1)&gt;=100000,INDEX($AB$1005:$AQ$1005,1,MATCH(COLUMNS($AB$1006:AQ1006),$AB$1006:$AQ$1006,0))&gt;=100000), " ",IF(INDEX($AB$2:$AQ$1001,MATCH(ROWS($U$2:U715),$U$2:$U$1001,0),MATCH(COLUMNS($AB$1006:AQ1006),$AB$1006:$AQ$1006,0)), HYPERLINK("#",""), HYPERLINK(CONCATENATE("#metadata!", ADDRESS(INDEX($W$2:$W$1001,MATCH(ROWS($U$2:U715),$U$2:$U$1001,0),0), INDEX($AB$1004:$AQ$1004,1,MATCH(COLUMNS($AB$1006:AQ1006),$AB$1006:$AQ$1006,0)))),"Fix")))</f>
        <v>0</v>
      </c>
      <c r="U715">
        <v>0</v>
      </c>
      <c r="V715">
        <v>0</v>
      </c>
      <c r="W715">
        <v>0</v>
      </c>
      <c r="X715">
        <f>IF(Y715,TRUE,AND(AB715:AQ715))</f>
        <v>0</v>
      </c>
      <c r="Y715">
        <f>COUNTBLANK(metadata!B715:Q715)=COLUMNS(metadata!B715:Q715)</f>
        <v>0</v>
      </c>
      <c r="Z715">
        <v>0</v>
      </c>
      <c r="AB715">
        <f>AND(IF(metadata!B715="",FALSE,TRUE),COUNTIF(metadata!B:B, metadata!B715) = 1,NOT(ISERROR(SUMPRODUCT(SEARCH(MID(metadata!B715,ROW(INDIRECT("1:"&amp;LEN(metadata!B715))), 1),"0123456789abcdefghijklmnopqrstuvwxyzABCDEFGHIJKLMNOPQRSTUVWXYZ.")))))</f>
        <v>0</v>
      </c>
      <c r="AC715">
        <f>OR(AND(IF(metadata!C715="",FALSE,TRUE),OR(exact(metadata!C715,"missing: not collected"),exact(metadata!C715,"missing: not provided"),exact(metadata!C715,"missing: restricted access"))),AND(IF(metadata!C715="",FALSE,TRUE),AND(AND(IFERROR(INT(LEFT(metadata!C715,4))&gt;1900,FALSE),IFERROR(INT(LEFT(metadata!C715,4))&lt;=YEAR(NOW()),FALSE)), OR(MID(metadata!C715,5,1)="", AND(AND(MID(metadata!C715,5,1)="-",IFERROR(INT(MID(metadata!C715,6,1))&gt;=0,FALSE),IFERROR(INT(MID(metadata!C715,6,1))&lt;=1,FALSE),NOT(MID(metadata!C715,7,1)=""),IFERROR(INT(MID(metadata!C715,6,2))&gt;=1,FALSE),IFERROR(INT(MID(metadata!C715,6,2))&lt;=12,FALSE)), OR(MID(metadata!C715,8,1)="", AND(AND(MID(metadata!C715,8,1)="-",IFERROR(INT(MID(metadata!C715,9,1))&gt;=0,FALSE),IFERROR(INT(MID(metadata!C715,9,1))&lt;=3,FALSE),NOT(MID(metadata!C715,10,1)=""),IFERROR(INT(MID(metadata!C715,9,2))&gt;=1,FALSE),IFERROR(INT(MID(metadata!C715,9,2))&lt;=31,FALSE)), OR(MID(metadata!C715,11,1)="", AND(AND(MID(metadata!C715,11,1)=" ",IFERROR(INT(MID(metadata!C715,12,1))&gt;=0,FALSE),IFERROR(INT(MID(metadata!C715,12,1))&lt;=2,FALSE),NOT(MID(metadata!C715,13,1)=""),IFERROR(INT(MID(metadata!C715,12,2))&gt;=0,FALSE),IFERROR(INT(MID(metadata!C715,12,2))&lt;=23,FALSE)), OR(MID(metadata!C715,14,1)="", AND(AND(MID(metadata!C715,14,1)=":",IFERROR(INT(MID(metadata!C715,15,1))&gt;=0,FALSE),IFERROR(INT(MID(metadata!C715,15,1))&lt;=5,FALSE),NOT(MID(metadata!C715,16,1)=""),IFERROR(INT(MID(metadata!C715,15,2))&gt;=0,FALSE),IFERROR(INT(MID(metadata!C715,15,2))&lt;=59,FALSE)), OR(MID(metadata!C715,17,1)="", AND(AND(MID(metadata!C715,17,1)=":",IFERROR(INT(MID(metadata!C715,18,1))&gt;=0,FALSE),IFERROR(INT(MID(metadata!C715,18,1))&lt;=5,FALSE),NOT(MID(metadata!C715,19,1)=""),IFERROR(INT(MID(metadata!C715,18,2))&gt;=0,FALSE),IFERROR(INT(MID(metadata!C715,18,2))&lt;=59,FALSE)), LEN(metadata!C715)&lt;=19)))))))))))))</f>
        <v>0</v>
      </c>
      <c r="AD715">
        <f>IF(metadata!D715="",FALSE,TRUE)</f>
        <v>0</v>
      </c>
      <c r="AE715">
        <f>OR(AND(IF(metadata!E715="",FALSE,TRUE),OR(exact(metadata!E715,"missing: not collected"),exact(metadata!E715,"missing: not provided"))),AND(IF(metadata!E715="",FALSE,TRUE),OR(exact(metadata!E715,"TRUE"),exact(metadata!E715,"FALSE"))))</f>
        <v>0</v>
      </c>
      <c r="AF715">
        <f>IF(metadata!F715="",FALSE,TRUE)</f>
        <v>0</v>
      </c>
      <c r="AG715">
        <f>IF(metadata!G715="",FALSE,TRUE)</f>
        <v>0</v>
      </c>
      <c r="AH715">
        <f>IF(metadata!H715="",FALSE,TRUE)</f>
        <v>0</v>
      </c>
      <c r="AI715">
        <f>OR(AND(IF(metadata!I715="",FALSE,TRUE),OR(exact(metadata!I715,"missing: not collected"),exact(metadata!I715,"missing: not provided"),exact(metadata!I715,"missing: restricted access"))),AND(IF(metadata!I715="",FALSE,TRUE),OR(exact(metadata!I715,"air"),exact(metadata!I715,"built environment"),exact(metadata!I715,"host-associated"),exact(metadata!I715,"human-associated"),exact(metadata!I715,"human-skin"),exact(metadata!I715,"human-oral"),exact(metadata!I715,"human-gut"),exact(metadata!I715,"human-vaginal"),exact(metadata!I715,"microbial mat/biofilm"),exact(metadata!I715,"misc environment"),exact(metadata!I715,"plant-associated"),exact(metadata!I715,"sediment"),exact(metadata!I715,"soil"),exact(metadata!I715,"wastewater/sludge"),exact(metadata!I715,"water"))))</f>
        <v>0</v>
      </c>
      <c r="AJ715">
        <f>IF(metadata!J715="",FALSE,TRUE)</f>
        <v>0</v>
      </c>
      <c r="AK715">
        <f>OR(AND(IF(metadata!K715="",FALSE,TRUE),OR(exact(metadata!K715,"missing: not collected"),exact(metadata!K715,"missing: not provided"),exact(metadata!K715,"missing: restricted access"))),AND(IF(metadata!K715="",FALSE,ISNUMBER(VALUE(metadata!K715))),metadata!K715&gt;=-90.00,metadata!K715&lt;=90.00))</f>
        <v>0</v>
      </c>
      <c r="AL715">
        <f>OR(AND(IF(metadata!L715="",FALSE,TRUE),OR(exact(metadata!L715,"missing: not collected"),exact(metadata!L715,"missing: not provided"),exact(metadata!L715,"missing: restricted access"))),AND(IF(metadata!L715="",FALSE,ISNUMBER(VALUE(metadata!L715))),metadata!L715&gt;=-180.00,metadata!L715&lt;=180.00))</f>
        <v>0</v>
      </c>
      <c r="AM715">
        <f>IF(metadata!M715="",FALSE,TRUE)</f>
        <v>0</v>
      </c>
      <c r="AN715">
        <f>OR(AND(IF(metadata!N715="",FALSE,TRUE),OR(exact(metadata!N715,"missing: not collected"),exact(metadata!N715,"missing: not provided"),exact(metadata!N715,"missing: restricted access"))),AND(IF(metadata!N715="",FALSE,TRUE),OR(exact(metadata!N715,"TRUE"),exact(metadata!N715,"FALSE"))))</f>
        <v>0</v>
      </c>
      <c r="AO715">
        <f>IF(metadata!O715="",FALSE,TRUE)</f>
        <v>0</v>
      </c>
      <c r="AP715">
        <f>OR(AND(IF(metadata!P715="",FALSE,TRUE),OR(exact(metadata!P715,"missing: not collected"),exact(metadata!P715,"missing: not provided"))),AND(IF(metadata!P715="",FALSE,IF(ISERROR(INT(metadata!P715)),FALSE,INT(metadata!P715)=metadata!P715)),metadata!P715&gt;0))</f>
        <v>0</v>
      </c>
      <c r="AQ715">
        <f>IF(metadata!Q715="",FALSE,TRUE)</f>
        <v>0</v>
      </c>
    </row>
    <row r="716" spans="1:43">
      <c r="A716" s="5">
        <f>IF(B716=" "," ",HYPERLINK(CONCATENATE("#metadata!",ADDRESS(INDEX($W$2:$W$1001,MATCH(ROWS($U$2:U716),$U$2:$U$1001,0),0),1)),INDEX($Z$2:$Z$1001,MATCH(ROWS($U$2:U716),$U$2:$U$1001,0),0)))</f>
        <v>0</v>
      </c>
      <c r="B716" s="4">
        <f>IF(OR(INDEX($V$2:$V$1001,MATCH(ROWS($U$2:U716),$U$2:$U$1001,0),1)&gt;=100000,INDEX($AB$1005:$AQ$1005,1,MATCH(COLUMNS($AB$1006:AB1006),$AB$1006:$AQ$1006,0))&gt;=100000), " ",IF(INDEX($AB$2:$AQ$1001,MATCH(ROWS($U$2:U716),$U$2:$U$1001,0),MATCH(COLUMNS($AB$1006:AB1006),$AB$1006:$AQ$1006,0)), HYPERLINK("#",""), HYPERLINK(CONCATENATE("#metadata!", ADDRESS(INDEX($W$2:$W$1001,MATCH(ROWS($U$2:U716),$U$2:$U$1001,0),0), INDEX($AB$1004:$AQ$1004,1,MATCH(COLUMNS($AB$1006:AB1006),$AB$1006:$AQ$1006,0)))),"Fix")))</f>
        <v>0</v>
      </c>
      <c r="C716" s="4">
        <f>IF(OR(INDEX($V$2:$V$1001,MATCH(ROWS($U$2:U716),$U$2:$U$1001,0),1)&gt;=100000,INDEX($AB$1005:$AQ$1005,1,MATCH(COLUMNS($AB$1006:AC1006),$AB$1006:$AQ$1006,0))&gt;=100000), " ",IF(INDEX($AB$2:$AQ$1001,MATCH(ROWS($U$2:U716),$U$2:$U$1001,0),MATCH(COLUMNS($AB$1006:AC1006),$AB$1006:$AQ$1006,0)), HYPERLINK("#",""), HYPERLINK(CONCATENATE("#metadata!", ADDRESS(INDEX($W$2:$W$1001,MATCH(ROWS($U$2:U716),$U$2:$U$1001,0),0), INDEX($AB$1004:$AQ$1004,1,MATCH(COLUMNS($AB$1006:AC1006),$AB$1006:$AQ$1006,0)))),"Fix")))</f>
        <v>0</v>
      </c>
      <c r="D716" s="4">
        <f>IF(OR(INDEX($V$2:$V$1001,MATCH(ROWS($U$2:U716),$U$2:$U$1001,0),1)&gt;=100000,INDEX($AB$1005:$AQ$1005,1,MATCH(COLUMNS($AB$1006:AD1006),$AB$1006:$AQ$1006,0))&gt;=100000), " ",IF(INDEX($AB$2:$AQ$1001,MATCH(ROWS($U$2:U716),$U$2:$U$1001,0),MATCH(COLUMNS($AB$1006:AD1006),$AB$1006:$AQ$1006,0)), HYPERLINK("#",""), HYPERLINK(CONCATENATE("#metadata!", ADDRESS(INDEX($W$2:$W$1001,MATCH(ROWS($U$2:U716),$U$2:$U$1001,0),0), INDEX($AB$1004:$AQ$1004,1,MATCH(COLUMNS($AB$1006:AD1006),$AB$1006:$AQ$1006,0)))),"Fix")))</f>
        <v>0</v>
      </c>
      <c r="E716" s="4">
        <f>IF(OR(INDEX($V$2:$V$1001,MATCH(ROWS($U$2:U716),$U$2:$U$1001,0),1)&gt;=100000,INDEX($AB$1005:$AQ$1005,1,MATCH(COLUMNS($AB$1006:AE1006),$AB$1006:$AQ$1006,0))&gt;=100000), " ",IF(INDEX($AB$2:$AQ$1001,MATCH(ROWS($U$2:U716),$U$2:$U$1001,0),MATCH(COLUMNS($AB$1006:AE1006),$AB$1006:$AQ$1006,0)), HYPERLINK("#",""), HYPERLINK(CONCATENATE("#metadata!", ADDRESS(INDEX($W$2:$W$1001,MATCH(ROWS($U$2:U716),$U$2:$U$1001,0),0), INDEX($AB$1004:$AQ$1004,1,MATCH(COLUMNS($AB$1006:AE1006),$AB$1006:$AQ$1006,0)))),"Fix")))</f>
        <v>0</v>
      </c>
      <c r="F716" s="4">
        <f>IF(OR(INDEX($V$2:$V$1001,MATCH(ROWS($U$2:U716),$U$2:$U$1001,0),1)&gt;=100000,INDEX($AB$1005:$AQ$1005,1,MATCH(COLUMNS($AB$1006:AF1006),$AB$1006:$AQ$1006,0))&gt;=100000), " ",IF(INDEX($AB$2:$AQ$1001,MATCH(ROWS($U$2:U716),$U$2:$U$1001,0),MATCH(COLUMNS($AB$1006:AF1006),$AB$1006:$AQ$1006,0)), HYPERLINK("#",""), HYPERLINK(CONCATENATE("#metadata!", ADDRESS(INDEX($W$2:$W$1001,MATCH(ROWS($U$2:U716),$U$2:$U$1001,0),0), INDEX($AB$1004:$AQ$1004,1,MATCH(COLUMNS($AB$1006:AF1006),$AB$1006:$AQ$1006,0)))),"Fix")))</f>
        <v>0</v>
      </c>
      <c r="G716" s="4">
        <f>IF(OR(INDEX($V$2:$V$1001,MATCH(ROWS($U$2:U716),$U$2:$U$1001,0),1)&gt;=100000,INDEX($AB$1005:$AQ$1005,1,MATCH(COLUMNS($AB$1006:AG1006),$AB$1006:$AQ$1006,0))&gt;=100000), " ",IF(INDEX($AB$2:$AQ$1001,MATCH(ROWS($U$2:U716),$U$2:$U$1001,0),MATCH(COLUMNS($AB$1006:AG1006),$AB$1006:$AQ$1006,0)), HYPERLINK("#",""), HYPERLINK(CONCATENATE("#metadata!", ADDRESS(INDEX($W$2:$W$1001,MATCH(ROWS($U$2:U716),$U$2:$U$1001,0),0), INDEX($AB$1004:$AQ$1004,1,MATCH(COLUMNS($AB$1006:AG1006),$AB$1006:$AQ$1006,0)))),"Fix")))</f>
        <v>0</v>
      </c>
      <c r="H716" s="4">
        <f>IF(OR(INDEX($V$2:$V$1001,MATCH(ROWS($U$2:U716),$U$2:$U$1001,0),1)&gt;=100000,INDEX($AB$1005:$AQ$1005,1,MATCH(COLUMNS($AB$1006:AH1006),$AB$1006:$AQ$1006,0))&gt;=100000), " ",IF(INDEX($AB$2:$AQ$1001,MATCH(ROWS($U$2:U716),$U$2:$U$1001,0),MATCH(COLUMNS($AB$1006:AH1006),$AB$1006:$AQ$1006,0)), HYPERLINK("#",""), HYPERLINK(CONCATENATE("#metadata!", ADDRESS(INDEX($W$2:$W$1001,MATCH(ROWS($U$2:U716),$U$2:$U$1001,0),0), INDEX($AB$1004:$AQ$1004,1,MATCH(COLUMNS($AB$1006:AH1006),$AB$1006:$AQ$1006,0)))),"Fix")))</f>
        <v>0</v>
      </c>
      <c r="I716" s="4">
        <f>IF(OR(INDEX($V$2:$V$1001,MATCH(ROWS($U$2:U716),$U$2:$U$1001,0),1)&gt;=100000,INDEX($AB$1005:$AQ$1005,1,MATCH(COLUMNS($AB$1006:AI1006),$AB$1006:$AQ$1006,0))&gt;=100000), " ",IF(INDEX($AB$2:$AQ$1001,MATCH(ROWS($U$2:U716),$U$2:$U$1001,0),MATCH(COLUMNS($AB$1006:AI1006),$AB$1006:$AQ$1006,0)), HYPERLINK("#",""), HYPERLINK(CONCATENATE("#metadata!", ADDRESS(INDEX($W$2:$W$1001,MATCH(ROWS($U$2:U716),$U$2:$U$1001,0),0), INDEX($AB$1004:$AQ$1004,1,MATCH(COLUMNS($AB$1006:AI1006),$AB$1006:$AQ$1006,0)))),"Fix")))</f>
        <v>0</v>
      </c>
      <c r="J716" s="4">
        <f>IF(OR(INDEX($V$2:$V$1001,MATCH(ROWS($U$2:U716),$U$2:$U$1001,0),1)&gt;=100000,INDEX($AB$1005:$AQ$1005,1,MATCH(COLUMNS($AB$1006:AJ1006),$AB$1006:$AQ$1006,0))&gt;=100000), " ",IF(INDEX($AB$2:$AQ$1001,MATCH(ROWS($U$2:U716),$U$2:$U$1001,0),MATCH(COLUMNS($AB$1006:AJ1006),$AB$1006:$AQ$1006,0)), HYPERLINK("#",""), HYPERLINK(CONCATENATE("#metadata!", ADDRESS(INDEX($W$2:$W$1001,MATCH(ROWS($U$2:U716),$U$2:$U$1001,0),0), INDEX($AB$1004:$AQ$1004,1,MATCH(COLUMNS($AB$1006:AJ1006),$AB$1006:$AQ$1006,0)))),"Fix")))</f>
        <v>0</v>
      </c>
      <c r="K716" s="4">
        <f>IF(OR(INDEX($V$2:$V$1001,MATCH(ROWS($U$2:U716),$U$2:$U$1001,0),1)&gt;=100000,INDEX($AB$1005:$AQ$1005,1,MATCH(COLUMNS($AB$1006:AK1006),$AB$1006:$AQ$1006,0))&gt;=100000), " ",IF(INDEX($AB$2:$AQ$1001,MATCH(ROWS($U$2:U716),$U$2:$U$1001,0),MATCH(COLUMNS($AB$1006:AK1006),$AB$1006:$AQ$1006,0)), HYPERLINK("#",""), HYPERLINK(CONCATENATE("#metadata!", ADDRESS(INDEX($W$2:$W$1001,MATCH(ROWS($U$2:U716),$U$2:$U$1001,0),0), INDEX($AB$1004:$AQ$1004,1,MATCH(COLUMNS($AB$1006:AK1006),$AB$1006:$AQ$1006,0)))),"Fix")))</f>
        <v>0</v>
      </c>
      <c r="L716" s="4">
        <f>IF(OR(INDEX($V$2:$V$1001,MATCH(ROWS($U$2:U716),$U$2:$U$1001,0),1)&gt;=100000,INDEX($AB$1005:$AQ$1005,1,MATCH(COLUMNS($AB$1006:AL1006),$AB$1006:$AQ$1006,0))&gt;=100000), " ",IF(INDEX($AB$2:$AQ$1001,MATCH(ROWS($U$2:U716),$U$2:$U$1001,0),MATCH(COLUMNS($AB$1006:AL1006),$AB$1006:$AQ$1006,0)), HYPERLINK("#",""), HYPERLINK(CONCATENATE("#metadata!", ADDRESS(INDEX($W$2:$W$1001,MATCH(ROWS($U$2:U716),$U$2:$U$1001,0),0), INDEX($AB$1004:$AQ$1004,1,MATCH(COLUMNS($AB$1006:AL1006),$AB$1006:$AQ$1006,0)))),"Fix")))</f>
        <v>0</v>
      </c>
      <c r="M716" s="4">
        <f>IF(OR(INDEX($V$2:$V$1001,MATCH(ROWS($U$2:U716),$U$2:$U$1001,0),1)&gt;=100000,INDEX($AB$1005:$AQ$1005,1,MATCH(COLUMNS($AB$1006:AM1006),$AB$1006:$AQ$1006,0))&gt;=100000), " ",IF(INDEX($AB$2:$AQ$1001,MATCH(ROWS($U$2:U716),$U$2:$U$1001,0),MATCH(COLUMNS($AB$1006:AM1006),$AB$1006:$AQ$1006,0)), HYPERLINK("#",""), HYPERLINK(CONCATENATE("#metadata!", ADDRESS(INDEX($W$2:$W$1001,MATCH(ROWS($U$2:U716),$U$2:$U$1001,0),0), INDEX($AB$1004:$AQ$1004,1,MATCH(COLUMNS($AB$1006:AM1006),$AB$1006:$AQ$1006,0)))),"Fix")))</f>
        <v>0</v>
      </c>
      <c r="N716" s="4">
        <f>IF(OR(INDEX($V$2:$V$1001,MATCH(ROWS($U$2:U716),$U$2:$U$1001,0),1)&gt;=100000,INDEX($AB$1005:$AQ$1005,1,MATCH(COLUMNS($AB$1006:AN1006),$AB$1006:$AQ$1006,0))&gt;=100000), " ",IF(INDEX($AB$2:$AQ$1001,MATCH(ROWS($U$2:U716),$U$2:$U$1001,0),MATCH(COLUMNS($AB$1006:AN1006),$AB$1006:$AQ$1006,0)), HYPERLINK("#",""), HYPERLINK(CONCATENATE("#metadata!", ADDRESS(INDEX($W$2:$W$1001,MATCH(ROWS($U$2:U716),$U$2:$U$1001,0),0), INDEX($AB$1004:$AQ$1004,1,MATCH(COLUMNS($AB$1006:AN1006),$AB$1006:$AQ$1006,0)))),"Fix")))</f>
        <v>0</v>
      </c>
      <c r="O716" s="4">
        <f>IF(OR(INDEX($V$2:$V$1001,MATCH(ROWS($U$2:U716),$U$2:$U$1001,0),1)&gt;=100000,INDEX($AB$1005:$AQ$1005,1,MATCH(COLUMNS($AB$1006:AO1006),$AB$1006:$AQ$1006,0))&gt;=100000), " ",IF(INDEX($AB$2:$AQ$1001,MATCH(ROWS($U$2:U716),$U$2:$U$1001,0),MATCH(COLUMNS($AB$1006:AO1006),$AB$1006:$AQ$1006,0)), HYPERLINK("#",""), HYPERLINK(CONCATENATE("#metadata!", ADDRESS(INDEX($W$2:$W$1001,MATCH(ROWS($U$2:U716),$U$2:$U$1001,0),0), INDEX($AB$1004:$AQ$1004,1,MATCH(COLUMNS($AB$1006:AO1006),$AB$1006:$AQ$1006,0)))),"Fix")))</f>
        <v>0</v>
      </c>
      <c r="P716" s="4">
        <f>IF(OR(INDEX($V$2:$V$1001,MATCH(ROWS($U$2:U716),$U$2:$U$1001,0),1)&gt;=100000,INDEX($AB$1005:$AQ$1005,1,MATCH(COLUMNS($AB$1006:AP1006),$AB$1006:$AQ$1006,0))&gt;=100000), " ",IF(INDEX($AB$2:$AQ$1001,MATCH(ROWS($U$2:U716),$U$2:$U$1001,0),MATCH(COLUMNS($AB$1006:AP1006),$AB$1006:$AQ$1006,0)), HYPERLINK("#",""), HYPERLINK(CONCATENATE("#metadata!", ADDRESS(INDEX($W$2:$W$1001,MATCH(ROWS($U$2:U716),$U$2:$U$1001,0),0), INDEX($AB$1004:$AQ$1004,1,MATCH(COLUMNS($AB$1006:AP1006),$AB$1006:$AQ$1006,0)))),"Fix")))</f>
        <v>0</v>
      </c>
      <c r="Q716" s="4">
        <f>IF(OR(INDEX($V$2:$V$1001,MATCH(ROWS($U$2:U716),$U$2:$U$1001,0),1)&gt;=100000,INDEX($AB$1005:$AQ$1005,1,MATCH(COLUMNS($AB$1006:AQ1006),$AB$1006:$AQ$1006,0))&gt;=100000), " ",IF(INDEX($AB$2:$AQ$1001,MATCH(ROWS($U$2:U716),$U$2:$U$1001,0),MATCH(COLUMNS($AB$1006:AQ1006),$AB$1006:$AQ$1006,0)), HYPERLINK("#",""), HYPERLINK(CONCATENATE("#metadata!", ADDRESS(INDEX($W$2:$W$1001,MATCH(ROWS($U$2:U716),$U$2:$U$1001,0),0), INDEX($AB$1004:$AQ$1004,1,MATCH(COLUMNS($AB$1006:AQ1006),$AB$1006:$AQ$1006,0)))),"Fix")))</f>
        <v>0</v>
      </c>
      <c r="U716">
        <v>0</v>
      </c>
      <c r="V716">
        <v>0</v>
      </c>
      <c r="W716">
        <v>0</v>
      </c>
      <c r="X716">
        <f>IF(Y716,TRUE,AND(AB716:AQ716))</f>
        <v>0</v>
      </c>
      <c r="Y716">
        <f>COUNTBLANK(metadata!B716:Q716)=COLUMNS(metadata!B716:Q716)</f>
        <v>0</v>
      </c>
      <c r="Z716">
        <v>0</v>
      </c>
      <c r="AB716">
        <f>AND(IF(metadata!B716="",FALSE,TRUE),COUNTIF(metadata!B:B, metadata!B716) = 1,NOT(ISERROR(SUMPRODUCT(SEARCH(MID(metadata!B716,ROW(INDIRECT("1:"&amp;LEN(metadata!B716))), 1),"0123456789abcdefghijklmnopqrstuvwxyzABCDEFGHIJKLMNOPQRSTUVWXYZ.")))))</f>
        <v>0</v>
      </c>
      <c r="AC716">
        <f>OR(AND(IF(metadata!C716="",FALSE,TRUE),OR(exact(metadata!C716,"missing: not collected"),exact(metadata!C716,"missing: not provided"),exact(metadata!C716,"missing: restricted access"))),AND(IF(metadata!C716="",FALSE,TRUE),AND(AND(IFERROR(INT(LEFT(metadata!C716,4))&gt;1900,FALSE),IFERROR(INT(LEFT(metadata!C716,4))&lt;=YEAR(NOW()),FALSE)), OR(MID(metadata!C716,5,1)="", AND(AND(MID(metadata!C716,5,1)="-",IFERROR(INT(MID(metadata!C716,6,1))&gt;=0,FALSE),IFERROR(INT(MID(metadata!C716,6,1))&lt;=1,FALSE),NOT(MID(metadata!C716,7,1)=""),IFERROR(INT(MID(metadata!C716,6,2))&gt;=1,FALSE),IFERROR(INT(MID(metadata!C716,6,2))&lt;=12,FALSE)), OR(MID(metadata!C716,8,1)="", AND(AND(MID(metadata!C716,8,1)="-",IFERROR(INT(MID(metadata!C716,9,1))&gt;=0,FALSE),IFERROR(INT(MID(metadata!C716,9,1))&lt;=3,FALSE),NOT(MID(metadata!C716,10,1)=""),IFERROR(INT(MID(metadata!C716,9,2))&gt;=1,FALSE),IFERROR(INT(MID(metadata!C716,9,2))&lt;=31,FALSE)), OR(MID(metadata!C716,11,1)="", AND(AND(MID(metadata!C716,11,1)=" ",IFERROR(INT(MID(metadata!C716,12,1))&gt;=0,FALSE),IFERROR(INT(MID(metadata!C716,12,1))&lt;=2,FALSE),NOT(MID(metadata!C716,13,1)=""),IFERROR(INT(MID(metadata!C716,12,2))&gt;=0,FALSE),IFERROR(INT(MID(metadata!C716,12,2))&lt;=23,FALSE)), OR(MID(metadata!C716,14,1)="", AND(AND(MID(metadata!C716,14,1)=":",IFERROR(INT(MID(metadata!C716,15,1))&gt;=0,FALSE),IFERROR(INT(MID(metadata!C716,15,1))&lt;=5,FALSE),NOT(MID(metadata!C716,16,1)=""),IFERROR(INT(MID(metadata!C716,15,2))&gt;=0,FALSE),IFERROR(INT(MID(metadata!C716,15,2))&lt;=59,FALSE)), OR(MID(metadata!C716,17,1)="", AND(AND(MID(metadata!C716,17,1)=":",IFERROR(INT(MID(metadata!C716,18,1))&gt;=0,FALSE),IFERROR(INT(MID(metadata!C716,18,1))&lt;=5,FALSE),NOT(MID(metadata!C716,19,1)=""),IFERROR(INT(MID(metadata!C716,18,2))&gt;=0,FALSE),IFERROR(INT(MID(metadata!C716,18,2))&lt;=59,FALSE)), LEN(metadata!C716)&lt;=19)))))))))))))</f>
        <v>0</v>
      </c>
      <c r="AD716">
        <f>IF(metadata!D716="",FALSE,TRUE)</f>
        <v>0</v>
      </c>
      <c r="AE716">
        <f>OR(AND(IF(metadata!E716="",FALSE,TRUE),OR(exact(metadata!E716,"missing: not collected"),exact(metadata!E716,"missing: not provided"))),AND(IF(metadata!E716="",FALSE,TRUE),OR(exact(metadata!E716,"TRUE"),exact(metadata!E716,"FALSE"))))</f>
        <v>0</v>
      </c>
      <c r="AF716">
        <f>IF(metadata!F716="",FALSE,TRUE)</f>
        <v>0</v>
      </c>
      <c r="AG716">
        <f>IF(metadata!G716="",FALSE,TRUE)</f>
        <v>0</v>
      </c>
      <c r="AH716">
        <f>IF(metadata!H716="",FALSE,TRUE)</f>
        <v>0</v>
      </c>
      <c r="AI716">
        <f>OR(AND(IF(metadata!I716="",FALSE,TRUE),OR(exact(metadata!I716,"missing: not collected"),exact(metadata!I716,"missing: not provided"),exact(metadata!I716,"missing: restricted access"))),AND(IF(metadata!I716="",FALSE,TRUE),OR(exact(metadata!I716,"air"),exact(metadata!I716,"built environment"),exact(metadata!I716,"host-associated"),exact(metadata!I716,"human-associated"),exact(metadata!I716,"human-skin"),exact(metadata!I716,"human-oral"),exact(metadata!I716,"human-gut"),exact(metadata!I716,"human-vaginal"),exact(metadata!I716,"microbial mat/biofilm"),exact(metadata!I716,"misc environment"),exact(metadata!I716,"plant-associated"),exact(metadata!I716,"sediment"),exact(metadata!I716,"soil"),exact(metadata!I716,"wastewater/sludge"),exact(metadata!I716,"water"))))</f>
        <v>0</v>
      </c>
      <c r="AJ716">
        <f>IF(metadata!J716="",FALSE,TRUE)</f>
        <v>0</v>
      </c>
      <c r="AK716">
        <f>OR(AND(IF(metadata!K716="",FALSE,TRUE),OR(exact(metadata!K716,"missing: not collected"),exact(metadata!K716,"missing: not provided"),exact(metadata!K716,"missing: restricted access"))),AND(IF(metadata!K716="",FALSE,ISNUMBER(VALUE(metadata!K716))),metadata!K716&gt;=-90.00,metadata!K716&lt;=90.00))</f>
        <v>0</v>
      </c>
      <c r="AL716">
        <f>OR(AND(IF(metadata!L716="",FALSE,TRUE),OR(exact(metadata!L716,"missing: not collected"),exact(metadata!L716,"missing: not provided"),exact(metadata!L716,"missing: restricted access"))),AND(IF(metadata!L716="",FALSE,ISNUMBER(VALUE(metadata!L716))),metadata!L716&gt;=-180.00,metadata!L716&lt;=180.00))</f>
        <v>0</v>
      </c>
      <c r="AM716">
        <f>IF(metadata!M716="",FALSE,TRUE)</f>
        <v>0</v>
      </c>
      <c r="AN716">
        <f>OR(AND(IF(metadata!N716="",FALSE,TRUE),OR(exact(metadata!N716,"missing: not collected"),exact(metadata!N716,"missing: not provided"),exact(metadata!N716,"missing: restricted access"))),AND(IF(metadata!N716="",FALSE,TRUE),OR(exact(metadata!N716,"TRUE"),exact(metadata!N716,"FALSE"))))</f>
        <v>0</v>
      </c>
      <c r="AO716">
        <f>IF(metadata!O716="",FALSE,TRUE)</f>
        <v>0</v>
      </c>
      <c r="AP716">
        <f>OR(AND(IF(metadata!P716="",FALSE,TRUE),OR(exact(metadata!P716,"missing: not collected"),exact(metadata!P716,"missing: not provided"))),AND(IF(metadata!P716="",FALSE,IF(ISERROR(INT(metadata!P716)),FALSE,INT(metadata!P716)=metadata!P716)),metadata!P716&gt;0))</f>
        <v>0</v>
      </c>
      <c r="AQ716">
        <f>IF(metadata!Q716="",FALSE,TRUE)</f>
        <v>0</v>
      </c>
    </row>
    <row r="717" spans="1:43">
      <c r="A717" s="5">
        <f>IF(B717=" "," ",HYPERLINK(CONCATENATE("#metadata!",ADDRESS(INDEX($W$2:$W$1001,MATCH(ROWS($U$2:U717),$U$2:$U$1001,0),0),1)),INDEX($Z$2:$Z$1001,MATCH(ROWS($U$2:U717),$U$2:$U$1001,0),0)))</f>
        <v>0</v>
      </c>
      <c r="B717" s="4">
        <f>IF(OR(INDEX($V$2:$V$1001,MATCH(ROWS($U$2:U717),$U$2:$U$1001,0),1)&gt;=100000,INDEX($AB$1005:$AQ$1005,1,MATCH(COLUMNS($AB$1006:AB1006),$AB$1006:$AQ$1006,0))&gt;=100000), " ",IF(INDEX($AB$2:$AQ$1001,MATCH(ROWS($U$2:U717),$U$2:$U$1001,0),MATCH(COLUMNS($AB$1006:AB1006),$AB$1006:$AQ$1006,0)), HYPERLINK("#",""), HYPERLINK(CONCATENATE("#metadata!", ADDRESS(INDEX($W$2:$W$1001,MATCH(ROWS($U$2:U717),$U$2:$U$1001,0),0), INDEX($AB$1004:$AQ$1004,1,MATCH(COLUMNS($AB$1006:AB1006),$AB$1006:$AQ$1006,0)))),"Fix")))</f>
        <v>0</v>
      </c>
      <c r="C717" s="4">
        <f>IF(OR(INDEX($V$2:$V$1001,MATCH(ROWS($U$2:U717),$U$2:$U$1001,0),1)&gt;=100000,INDEX($AB$1005:$AQ$1005,1,MATCH(COLUMNS($AB$1006:AC1006),$AB$1006:$AQ$1006,0))&gt;=100000), " ",IF(INDEX($AB$2:$AQ$1001,MATCH(ROWS($U$2:U717),$U$2:$U$1001,0),MATCH(COLUMNS($AB$1006:AC1006),$AB$1006:$AQ$1006,0)), HYPERLINK("#",""), HYPERLINK(CONCATENATE("#metadata!", ADDRESS(INDEX($W$2:$W$1001,MATCH(ROWS($U$2:U717),$U$2:$U$1001,0),0), INDEX($AB$1004:$AQ$1004,1,MATCH(COLUMNS($AB$1006:AC1006),$AB$1006:$AQ$1006,0)))),"Fix")))</f>
        <v>0</v>
      </c>
      <c r="D717" s="4">
        <f>IF(OR(INDEX($V$2:$V$1001,MATCH(ROWS($U$2:U717),$U$2:$U$1001,0),1)&gt;=100000,INDEX($AB$1005:$AQ$1005,1,MATCH(COLUMNS($AB$1006:AD1006),$AB$1006:$AQ$1006,0))&gt;=100000), " ",IF(INDEX($AB$2:$AQ$1001,MATCH(ROWS($U$2:U717),$U$2:$U$1001,0),MATCH(COLUMNS($AB$1006:AD1006),$AB$1006:$AQ$1006,0)), HYPERLINK("#",""), HYPERLINK(CONCATENATE("#metadata!", ADDRESS(INDEX($W$2:$W$1001,MATCH(ROWS($U$2:U717),$U$2:$U$1001,0),0), INDEX($AB$1004:$AQ$1004,1,MATCH(COLUMNS($AB$1006:AD1006),$AB$1006:$AQ$1006,0)))),"Fix")))</f>
        <v>0</v>
      </c>
      <c r="E717" s="4">
        <f>IF(OR(INDEX($V$2:$V$1001,MATCH(ROWS($U$2:U717),$U$2:$U$1001,0),1)&gt;=100000,INDEX($AB$1005:$AQ$1005,1,MATCH(COLUMNS($AB$1006:AE1006),$AB$1006:$AQ$1006,0))&gt;=100000), " ",IF(INDEX($AB$2:$AQ$1001,MATCH(ROWS($U$2:U717),$U$2:$U$1001,0),MATCH(COLUMNS($AB$1006:AE1006),$AB$1006:$AQ$1006,0)), HYPERLINK("#",""), HYPERLINK(CONCATENATE("#metadata!", ADDRESS(INDEX($W$2:$W$1001,MATCH(ROWS($U$2:U717),$U$2:$U$1001,0),0), INDEX($AB$1004:$AQ$1004,1,MATCH(COLUMNS($AB$1006:AE1006),$AB$1006:$AQ$1006,0)))),"Fix")))</f>
        <v>0</v>
      </c>
      <c r="F717" s="4">
        <f>IF(OR(INDEX($V$2:$V$1001,MATCH(ROWS($U$2:U717),$U$2:$U$1001,0),1)&gt;=100000,INDEX($AB$1005:$AQ$1005,1,MATCH(COLUMNS($AB$1006:AF1006),$AB$1006:$AQ$1006,0))&gt;=100000), " ",IF(INDEX($AB$2:$AQ$1001,MATCH(ROWS($U$2:U717),$U$2:$U$1001,0),MATCH(COLUMNS($AB$1006:AF1006),$AB$1006:$AQ$1006,0)), HYPERLINK("#",""), HYPERLINK(CONCATENATE("#metadata!", ADDRESS(INDEX($W$2:$W$1001,MATCH(ROWS($U$2:U717),$U$2:$U$1001,0),0), INDEX($AB$1004:$AQ$1004,1,MATCH(COLUMNS($AB$1006:AF1006),$AB$1006:$AQ$1006,0)))),"Fix")))</f>
        <v>0</v>
      </c>
      <c r="G717" s="4">
        <f>IF(OR(INDEX($V$2:$V$1001,MATCH(ROWS($U$2:U717),$U$2:$U$1001,0),1)&gt;=100000,INDEX($AB$1005:$AQ$1005,1,MATCH(COLUMNS($AB$1006:AG1006),$AB$1006:$AQ$1006,0))&gt;=100000), " ",IF(INDEX($AB$2:$AQ$1001,MATCH(ROWS($U$2:U717),$U$2:$U$1001,0),MATCH(COLUMNS($AB$1006:AG1006),$AB$1006:$AQ$1006,0)), HYPERLINK("#",""), HYPERLINK(CONCATENATE("#metadata!", ADDRESS(INDEX($W$2:$W$1001,MATCH(ROWS($U$2:U717),$U$2:$U$1001,0),0), INDEX($AB$1004:$AQ$1004,1,MATCH(COLUMNS($AB$1006:AG1006),$AB$1006:$AQ$1006,0)))),"Fix")))</f>
        <v>0</v>
      </c>
      <c r="H717" s="4">
        <f>IF(OR(INDEX($V$2:$V$1001,MATCH(ROWS($U$2:U717),$U$2:$U$1001,0),1)&gt;=100000,INDEX($AB$1005:$AQ$1005,1,MATCH(COLUMNS($AB$1006:AH1006),$AB$1006:$AQ$1006,0))&gt;=100000), " ",IF(INDEX($AB$2:$AQ$1001,MATCH(ROWS($U$2:U717),$U$2:$U$1001,0),MATCH(COLUMNS($AB$1006:AH1006),$AB$1006:$AQ$1006,0)), HYPERLINK("#",""), HYPERLINK(CONCATENATE("#metadata!", ADDRESS(INDEX($W$2:$W$1001,MATCH(ROWS($U$2:U717),$U$2:$U$1001,0),0), INDEX($AB$1004:$AQ$1004,1,MATCH(COLUMNS($AB$1006:AH1006),$AB$1006:$AQ$1006,0)))),"Fix")))</f>
        <v>0</v>
      </c>
      <c r="I717" s="4">
        <f>IF(OR(INDEX($V$2:$V$1001,MATCH(ROWS($U$2:U717),$U$2:$U$1001,0),1)&gt;=100000,INDEX($AB$1005:$AQ$1005,1,MATCH(COLUMNS($AB$1006:AI1006),$AB$1006:$AQ$1006,0))&gt;=100000), " ",IF(INDEX($AB$2:$AQ$1001,MATCH(ROWS($U$2:U717),$U$2:$U$1001,0),MATCH(COLUMNS($AB$1006:AI1006),$AB$1006:$AQ$1006,0)), HYPERLINK("#",""), HYPERLINK(CONCATENATE("#metadata!", ADDRESS(INDEX($W$2:$W$1001,MATCH(ROWS($U$2:U717),$U$2:$U$1001,0),0), INDEX($AB$1004:$AQ$1004,1,MATCH(COLUMNS($AB$1006:AI1006),$AB$1006:$AQ$1006,0)))),"Fix")))</f>
        <v>0</v>
      </c>
      <c r="J717" s="4">
        <f>IF(OR(INDEX($V$2:$V$1001,MATCH(ROWS($U$2:U717),$U$2:$U$1001,0),1)&gt;=100000,INDEX($AB$1005:$AQ$1005,1,MATCH(COLUMNS($AB$1006:AJ1006),$AB$1006:$AQ$1006,0))&gt;=100000), " ",IF(INDEX($AB$2:$AQ$1001,MATCH(ROWS($U$2:U717),$U$2:$U$1001,0),MATCH(COLUMNS($AB$1006:AJ1006),$AB$1006:$AQ$1006,0)), HYPERLINK("#",""), HYPERLINK(CONCATENATE("#metadata!", ADDRESS(INDEX($W$2:$W$1001,MATCH(ROWS($U$2:U717),$U$2:$U$1001,0),0), INDEX($AB$1004:$AQ$1004,1,MATCH(COLUMNS($AB$1006:AJ1006),$AB$1006:$AQ$1006,0)))),"Fix")))</f>
        <v>0</v>
      </c>
      <c r="K717" s="4">
        <f>IF(OR(INDEX($V$2:$V$1001,MATCH(ROWS($U$2:U717),$U$2:$U$1001,0),1)&gt;=100000,INDEX($AB$1005:$AQ$1005,1,MATCH(COLUMNS($AB$1006:AK1006),$AB$1006:$AQ$1006,0))&gt;=100000), " ",IF(INDEX($AB$2:$AQ$1001,MATCH(ROWS($U$2:U717),$U$2:$U$1001,0),MATCH(COLUMNS($AB$1006:AK1006),$AB$1006:$AQ$1006,0)), HYPERLINK("#",""), HYPERLINK(CONCATENATE("#metadata!", ADDRESS(INDEX($W$2:$W$1001,MATCH(ROWS($U$2:U717),$U$2:$U$1001,0),0), INDEX($AB$1004:$AQ$1004,1,MATCH(COLUMNS($AB$1006:AK1006),$AB$1006:$AQ$1006,0)))),"Fix")))</f>
        <v>0</v>
      </c>
      <c r="L717" s="4">
        <f>IF(OR(INDEX($V$2:$V$1001,MATCH(ROWS($U$2:U717),$U$2:$U$1001,0),1)&gt;=100000,INDEX($AB$1005:$AQ$1005,1,MATCH(COLUMNS($AB$1006:AL1006),$AB$1006:$AQ$1006,0))&gt;=100000), " ",IF(INDEX($AB$2:$AQ$1001,MATCH(ROWS($U$2:U717),$U$2:$U$1001,0),MATCH(COLUMNS($AB$1006:AL1006),$AB$1006:$AQ$1006,0)), HYPERLINK("#",""), HYPERLINK(CONCATENATE("#metadata!", ADDRESS(INDEX($W$2:$W$1001,MATCH(ROWS($U$2:U717),$U$2:$U$1001,0),0), INDEX($AB$1004:$AQ$1004,1,MATCH(COLUMNS($AB$1006:AL1006),$AB$1006:$AQ$1006,0)))),"Fix")))</f>
        <v>0</v>
      </c>
      <c r="M717" s="4">
        <f>IF(OR(INDEX($V$2:$V$1001,MATCH(ROWS($U$2:U717),$U$2:$U$1001,0),1)&gt;=100000,INDEX($AB$1005:$AQ$1005,1,MATCH(COLUMNS($AB$1006:AM1006),$AB$1006:$AQ$1006,0))&gt;=100000), " ",IF(INDEX($AB$2:$AQ$1001,MATCH(ROWS($U$2:U717),$U$2:$U$1001,0),MATCH(COLUMNS($AB$1006:AM1006),$AB$1006:$AQ$1006,0)), HYPERLINK("#",""), HYPERLINK(CONCATENATE("#metadata!", ADDRESS(INDEX($W$2:$W$1001,MATCH(ROWS($U$2:U717),$U$2:$U$1001,0),0), INDEX($AB$1004:$AQ$1004,1,MATCH(COLUMNS($AB$1006:AM1006),$AB$1006:$AQ$1006,0)))),"Fix")))</f>
        <v>0</v>
      </c>
      <c r="N717" s="4">
        <f>IF(OR(INDEX($V$2:$V$1001,MATCH(ROWS($U$2:U717),$U$2:$U$1001,0),1)&gt;=100000,INDEX($AB$1005:$AQ$1005,1,MATCH(COLUMNS($AB$1006:AN1006),$AB$1006:$AQ$1006,0))&gt;=100000), " ",IF(INDEX($AB$2:$AQ$1001,MATCH(ROWS($U$2:U717),$U$2:$U$1001,0),MATCH(COLUMNS($AB$1006:AN1006),$AB$1006:$AQ$1006,0)), HYPERLINK("#",""), HYPERLINK(CONCATENATE("#metadata!", ADDRESS(INDEX($W$2:$W$1001,MATCH(ROWS($U$2:U717),$U$2:$U$1001,0),0), INDEX($AB$1004:$AQ$1004,1,MATCH(COLUMNS($AB$1006:AN1006),$AB$1006:$AQ$1006,0)))),"Fix")))</f>
        <v>0</v>
      </c>
      <c r="O717" s="4">
        <f>IF(OR(INDEX($V$2:$V$1001,MATCH(ROWS($U$2:U717),$U$2:$U$1001,0),1)&gt;=100000,INDEX($AB$1005:$AQ$1005,1,MATCH(COLUMNS($AB$1006:AO1006),$AB$1006:$AQ$1006,0))&gt;=100000), " ",IF(INDEX($AB$2:$AQ$1001,MATCH(ROWS($U$2:U717),$U$2:$U$1001,0),MATCH(COLUMNS($AB$1006:AO1006),$AB$1006:$AQ$1006,0)), HYPERLINK("#",""), HYPERLINK(CONCATENATE("#metadata!", ADDRESS(INDEX($W$2:$W$1001,MATCH(ROWS($U$2:U717),$U$2:$U$1001,0),0), INDEX($AB$1004:$AQ$1004,1,MATCH(COLUMNS($AB$1006:AO1006),$AB$1006:$AQ$1006,0)))),"Fix")))</f>
        <v>0</v>
      </c>
      <c r="P717" s="4">
        <f>IF(OR(INDEX($V$2:$V$1001,MATCH(ROWS($U$2:U717),$U$2:$U$1001,0),1)&gt;=100000,INDEX($AB$1005:$AQ$1005,1,MATCH(COLUMNS($AB$1006:AP1006),$AB$1006:$AQ$1006,0))&gt;=100000), " ",IF(INDEX($AB$2:$AQ$1001,MATCH(ROWS($U$2:U717),$U$2:$U$1001,0),MATCH(COLUMNS($AB$1006:AP1006),$AB$1006:$AQ$1006,0)), HYPERLINK("#",""), HYPERLINK(CONCATENATE("#metadata!", ADDRESS(INDEX($W$2:$W$1001,MATCH(ROWS($U$2:U717),$U$2:$U$1001,0),0), INDEX($AB$1004:$AQ$1004,1,MATCH(COLUMNS($AB$1006:AP1006),$AB$1006:$AQ$1006,0)))),"Fix")))</f>
        <v>0</v>
      </c>
      <c r="Q717" s="4">
        <f>IF(OR(INDEX($V$2:$V$1001,MATCH(ROWS($U$2:U717),$U$2:$U$1001,0),1)&gt;=100000,INDEX($AB$1005:$AQ$1005,1,MATCH(COLUMNS($AB$1006:AQ1006),$AB$1006:$AQ$1006,0))&gt;=100000), " ",IF(INDEX($AB$2:$AQ$1001,MATCH(ROWS($U$2:U717),$U$2:$U$1001,0),MATCH(COLUMNS($AB$1006:AQ1006),$AB$1006:$AQ$1006,0)), HYPERLINK("#",""), HYPERLINK(CONCATENATE("#metadata!", ADDRESS(INDEX($W$2:$W$1001,MATCH(ROWS($U$2:U717),$U$2:$U$1001,0),0), INDEX($AB$1004:$AQ$1004,1,MATCH(COLUMNS($AB$1006:AQ1006),$AB$1006:$AQ$1006,0)))),"Fix")))</f>
        <v>0</v>
      </c>
      <c r="U717">
        <v>0</v>
      </c>
      <c r="V717">
        <v>0</v>
      </c>
      <c r="W717">
        <v>0</v>
      </c>
      <c r="X717">
        <f>IF(Y717,TRUE,AND(AB717:AQ717))</f>
        <v>0</v>
      </c>
      <c r="Y717">
        <f>COUNTBLANK(metadata!B717:Q717)=COLUMNS(metadata!B717:Q717)</f>
        <v>0</v>
      </c>
      <c r="Z717">
        <v>0</v>
      </c>
      <c r="AB717">
        <f>AND(IF(metadata!B717="",FALSE,TRUE),COUNTIF(metadata!B:B, metadata!B717) = 1,NOT(ISERROR(SUMPRODUCT(SEARCH(MID(metadata!B717,ROW(INDIRECT("1:"&amp;LEN(metadata!B717))), 1),"0123456789abcdefghijklmnopqrstuvwxyzABCDEFGHIJKLMNOPQRSTUVWXYZ.")))))</f>
        <v>0</v>
      </c>
      <c r="AC717">
        <f>OR(AND(IF(metadata!C717="",FALSE,TRUE),OR(exact(metadata!C717,"missing: not collected"),exact(metadata!C717,"missing: not provided"),exact(metadata!C717,"missing: restricted access"))),AND(IF(metadata!C717="",FALSE,TRUE),AND(AND(IFERROR(INT(LEFT(metadata!C717,4))&gt;1900,FALSE),IFERROR(INT(LEFT(metadata!C717,4))&lt;=YEAR(NOW()),FALSE)), OR(MID(metadata!C717,5,1)="", AND(AND(MID(metadata!C717,5,1)="-",IFERROR(INT(MID(metadata!C717,6,1))&gt;=0,FALSE),IFERROR(INT(MID(metadata!C717,6,1))&lt;=1,FALSE),NOT(MID(metadata!C717,7,1)=""),IFERROR(INT(MID(metadata!C717,6,2))&gt;=1,FALSE),IFERROR(INT(MID(metadata!C717,6,2))&lt;=12,FALSE)), OR(MID(metadata!C717,8,1)="", AND(AND(MID(metadata!C717,8,1)="-",IFERROR(INT(MID(metadata!C717,9,1))&gt;=0,FALSE),IFERROR(INT(MID(metadata!C717,9,1))&lt;=3,FALSE),NOT(MID(metadata!C717,10,1)=""),IFERROR(INT(MID(metadata!C717,9,2))&gt;=1,FALSE),IFERROR(INT(MID(metadata!C717,9,2))&lt;=31,FALSE)), OR(MID(metadata!C717,11,1)="", AND(AND(MID(metadata!C717,11,1)=" ",IFERROR(INT(MID(metadata!C717,12,1))&gt;=0,FALSE),IFERROR(INT(MID(metadata!C717,12,1))&lt;=2,FALSE),NOT(MID(metadata!C717,13,1)=""),IFERROR(INT(MID(metadata!C717,12,2))&gt;=0,FALSE),IFERROR(INT(MID(metadata!C717,12,2))&lt;=23,FALSE)), OR(MID(metadata!C717,14,1)="", AND(AND(MID(metadata!C717,14,1)=":",IFERROR(INT(MID(metadata!C717,15,1))&gt;=0,FALSE),IFERROR(INT(MID(metadata!C717,15,1))&lt;=5,FALSE),NOT(MID(metadata!C717,16,1)=""),IFERROR(INT(MID(metadata!C717,15,2))&gt;=0,FALSE),IFERROR(INT(MID(metadata!C717,15,2))&lt;=59,FALSE)), OR(MID(metadata!C717,17,1)="", AND(AND(MID(metadata!C717,17,1)=":",IFERROR(INT(MID(metadata!C717,18,1))&gt;=0,FALSE),IFERROR(INT(MID(metadata!C717,18,1))&lt;=5,FALSE),NOT(MID(metadata!C717,19,1)=""),IFERROR(INT(MID(metadata!C717,18,2))&gt;=0,FALSE),IFERROR(INT(MID(metadata!C717,18,2))&lt;=59,FALSE)), LEN(metadata!C717)&lt;=19)))))))))))))</f>
        <v>0</v>
      </c>
      <c r="AD717">
        <f>IF(metadata!D717="",FALSE,TRUE)</f>
        <v>0</v>
      </c>
      <c r="AE717">
        <f>OR(AND(IF(metadata!E717="",FALSE,TRUE),OR(exact(metadata!E717,"missing: not collected"),exact(metadata!E717,"missing: not provided"))),AND(IF(metadata!E717="",FALSE,TRUE),OR(exact(metadata!E717,"TRUE"),exact(metadata!E717,"FALSE"))))</f>
        <v>0</v>
      </c>
      <c r="AF717">
        <f>IF(metadata!F717="",FALSE,TRUE)</f>
        <v>0</v>
      </c>
      <c r="AG717">
        <f>IF(metadata!G717="",FALSE,TRUE)</f>
        <v>0</v>
      </c>
      <c r="AH717">
        <f>IF(metadata!H717="",FALSE,TRUE)</f>
        <v>0</v>
      </c>
      <c r="AI717">
        <f>OR(AND(IF(metadata!I717="",FALSE,TRUE),OR(exact(metadata!I717,"missing: not collected"),exact(metadata!I717,"missing: not provided"),exact(metadata!I717,"missing: restricted access"))),AND(IF(metadata!I717="",FALSE,TRUE),OR(exact(metadata!I717,"air"),exact(metadata!I717,"built environment"),exact(metadata!I717,"host-associated"),exact(metadata!I717,"human-associated"),exact(metadata!I717,"human-skin"),exact(metadata!I717,"human-oral"),exact(metadata!I717,"human-gut"),exact(metadata!I717,"human-vaginal"),exact(metadata!I717,"microbial mat/biofilm"),exact(metadata!I717,"misc environment"),exact(metadata!I717,"plant-associated"),exact(metadata!I717,"sediment"),exact(metadata!I717,"soil"),exact(metadata!I717,"wastewater/sludge"),exact(metadata!I717,"water"))))</f>
        <v>0</v>
      </c>
      <c r="AJ717">
        <f>IF(metadata!J717="",FALSE,TRUE)</f>
        <v>0</v>
      </c>
      <c r="AK717">
        <f>OR(AND(IF(metadata!K717="",FALSE,TRUE),OR(exact(metadata!K717,"missing: not collected"),exact(metadata!K717,"missing: not provided"),exact(metadata!K717,"missing: restricted access"))),AND(IF(metadata!K717="",FALSE,ISNUMBER(VALUE(metadata!K717))),metadata!K717&gt;=-90.00,metadata!K717&lt;=90.00))</f>
        <v>0</v>
      </c>
      <c r="AL717">
        <f>OR(AND(IF(metadata!L717="",FALSE,TRUE),OR(exact(metadata!L717,"missing: not collected"),exact(metadata!L717,"missing: not provided"),exact(metadata!L717,"missing: restricted access"))),AND(IF(metadata!L717="",FALSE,ISNUMBER(VALUE(metadata!L717))),metadata!L717&gt;=-180.00,metadata!L717&lt;=180.00))</f>
        <v>0</v>
      </c>
      <c r="AM717">
        <f>IF(metadata!M717="",FALSE,TRUE)</f>
        <v>0</v>
      </c>
      <c r="AN717">
        <f>OR(AND(IF(metadata!N717="",FALSE,TRUE),OR(exact(metadata!N717,"missing: not collected"),exact(metadata!N717,"missing: not provided"),exact(metadata!N717,"missing: restricted access"))),AND(IF(metadata!N717="",FALSE,TRUE),OR(exact(metadata!N717,"TRUE"),exact(metadata!N717,"FALSE"))))</f>
        <v>0</v>
      </c>
      <c r="AO717">
        <f>IF(metadata!O717="",FALSE,TRUE)</f>
        <v>0</v>
      </c>
      <c r="AP717">
        <f>OR(AND(IF(metadata!P717="",FALSE,TRUE),OR(exact(metadata!P717,"missing: not collected"),exact(metadata!P717,"missing: not provided"))),AND(IF(metadata!P717="",FALSE,IF(ISERROR(INT(metadata!P717)),FALSE,INT(metadata!P717)=metadata!P717)),metadata!P717&gt;0))</f>
        <v>0</v>
      </c>
      <c r="AQ717">
        <f>IF(metadata!Q717="",FALSE,TRUE)</f>
        <v>0</v>
      </c>
    </row>
    <row r="718" spans="1:43">
      <c r="A718" s="5">
        <f>IF(B718=" "," ",HYPERLINK(CONCATENATE("#metadata!",ADDRESS(INDEX($W$2:$W$1001,MATCH(ROWS($U$2:U718),$U$2:$U$1001,0),0),1)),INDEX($Z$2:$Z$1001,MATCH(ROWS($U$2:U718),$U$2:$U$1001,0),0)))</f>
        <v>0</v>
      </c>
      <c r="B718" s="4">
        <f>IF(OR(INDEX($V$2:$V$1001,MATCH(ROWS($U$2:U718),$U$2:$U$1001,0),1)&gt;=100000,INDEX($AB$1005:$AQ$1005,1,MATCH(COLUMNS($AB$1006:AB1006),$AB$1006:$AQ$1006,0))&gt;=100000), " ",IF(INDEX($AB$2:$AQ$1001,MATCH(ROWS($U$2:U718),$U$2:$U$1001,0),MATCH(COLUMNS($AB$1006:AB1006),$AB$1006:$AQ$1006,0)), HYPERLINK("#",""), HYPERLINK(CONCATENATE("#metadata!", ADDRESS(INDEX($W$2:$W$1001,MATCH(ROWS($U$2:U718),$U$2:$U$1001,0),0), INDEX($AB$1004:$AQ$1004,1,MATCH(COLUMNS($AB$1006:AB1006),$AB$1006:$AQ$1006,0)))),"Fix")))</f>
        <v>0</v>
      </c>
      <c r="C718" s="4">
        <f>IF(OR(INDEX($V$2:$V$1001,MATCH(ROWS($U$2:U718),$U$2:$U$1001,0),1)&gt;=100000,INDEX($AB$1005:$AQ$1005,1,MATCH(COLUMNS($AB$1006:AC1006),$AB$1006:$AQ$1006,0))&gt;=100000), " ",IF(INDEX($AB$2:$AQ$1001,MATCH(ROWS($U$2:U718),$U$2:$U$1001,0),MATCH(COLUMNS($AB$1006:AC1006),$AB$1006:$AQ$1006,0)), HYPERLINK("#",""), HYPERLINK(CONCATENATE("#metadata!", ADDRESS(INDEX($W$2:$W$1001,MATCH(ROWS($U$2:U718),$U$2:$U$1001,0),0), INDEX($AB$1004:$AQ$1004,1,MATCH(COLUMNS($AB$1006:AC1006),$AB$1006:$AQ$1006,0)))),"Fix")))</f>
        <v>0</v>
      </c>
      <c r="D718" s="4">
        <f>IF(OR(INDEX($V$2:$V$1001,MATCH(ROWS($U$2:U718),$U$2:$U$1001,0),1)&gt;=100000,INDEX($AB$1005:$AQ$1005,1,MATCH(COLUMNS($AB$1006:AD1006),$AB$1006:$AQ$1006,0))&gt;=100000), " ",IF(INDEX($AB$2:$AQ$1001,MATCH(ROWS($U$2:U718),$U$2:$U$1001,0),MATCH(COLUMNS($AB$1006:AD1006),$AB$1006:$AQ$1006,0)), HYPERLINK("#",""), HYPERLINK(CONCATENATE("#metadata!", ADDRESS(INDEX($W$2:$W$1001,MATCH(ROWS($U$2:U718),$U$2:$U$1001,0),0), INDEX($AB$1004:$AQ$1004,1,MATCH(COLUMNS($AB$1006:AD1006),$AB$1006:$AQ$1006,0)))),"Fix")))</f>
        <v>0</v>
      </c>
      <c r="E718" s="4">
        <f>IF(OR(INDEX($V$2:$V$1001,MATCH(ROWS($U$2:U718),$U$2:$U$1001,0),1)&gt;=100000,INDEX($AB$1005:$AQ$1005,1,MATCH(COLUMNS($AB$1006:AE1006),$AB$1006:$AQ$1006,0))&gt;=100000), " ",IF(INDEX($AB$2:$AQ$1001,MATCH(ROWS($U$2:U718),$U$2:$U$1001,0),MATCH(COLUMNS($AB$1006:AE1006),$AB$1006:$AQ$1006,0)), HYPERLINK("#",""), HYPERLINK(CONCATENATE("#metadata!", ADDRESS(INDEX($W$2:$W$1001,MATCH(ROWS($U$2:U718),$U$2:$U$1001,0),0), INDEX($AB$1004:$AQ$1004,1,MATCH(COLUMNS($AB$1006:AE1006),$AB$1006:$AQ$1006,0)))),"Fix")))</f>
        <v>0</v>
      </c>
      <c r="F718" s="4">
        <f>IF(OR(INDEX($V$2:$V$1001,MATCH(ROWS($U$2:U718),$U$2:$U$1001,0),1)&gt;=100000,INDEX($AB$1005:$AQ$1005,1,MATCH(COLUMNS($AB$1006:AF1006),$AB$1006:$AQ$1006,0))&gt;=100000), " ",IF(INDEX($AB$2:$AQ$1001,MATCH(ROWS($U$2:U718),$U$2:$U$1001,0),MATCH(COLUMNS($AB$1006:AF1006),$AB$1006:$AQ$1006,0)), HYPERLINK("#",""), HYPERLINK(CONCATENATE("#metadata!", ADDRESS(INDEX($W$2:$W$1001,MATCH(ROWS($U$2:U718),$U$2:$U$1001,0),0), INDEX($AB$1004:$AQ$1004,1,MATCH(COLUMNS($AB$1006:AF1006),$AB$1006:$AQ$1006,0)))),"Fix")))</f>
        <v>0</v>
      </c>
      <c r="G718" s="4">
        <f>IF(OR(INDEX($V$2:$V$1001,MATCH(ROWS($U$2:U718),$U$2:$U$1001,0),1)&gt;=100000,INDEX($AB$1005:$AQ$1005,1,MATCH(COLUMNS($AB$1006:AG1006),$AB$1006:$AQ$1006,0))&gt;=100000), " ",IF(INDEX($AB$2:$AQ$1001,MATCH(ROWS($U$2:U718),$U$2:$U$1001,0),MATCH(COLUMNS($AB$1006:AG1006),$AB$1006:$AQ$1006,0)), HYPERLINK("#",""), HYPERLINK(CONCATENATE("#metadata!", ADDRESS(INDEX($W$2:$W$1001,MATCH(ROWS($U$2:U718),$U$2:$U$1001,0),0), INDEX($AB$1004:$AQ$1004,1,MATCH(COLUMNS($AB$1006:AG1006),$AB$1006:$AQ$1006,0)))),"Fix")))</f>
        <v>0</v>
      </c>
      <c r="H718" s="4">
        <f>IF(OR(INDEX($V$2:$V$1001,MATCH(ROWS($U$2:U718),$U$2:$U$1001,0),1)&gt;=100000,INDEX($AB$1005:$AQ$1005,1,MATCH(COLUMNS($AB$1006:AH1006),$AB$1006:$AQ$1006,0))&gt;=100000), " ",IF(INDEX($AB$2:$AQ$1001,MATCH(ROWS($U$2:U718),$U$2:$U$1001,0),MATCH(COLUMNS($AB$1006:AH1006),$AB$1006:$AQ$1006,0)), HYPERLINK("#",""), HYPERLINK(CONCATENATE("#metadata!", ADDRESS(INDEX($W$2:$W$1001,MATCH(ROWS($U$2:U718),$U$2:$U$1001,0),0), INDEX($AB$1004:$AQ$1004,1,MATCH(COLUMNS($AB$1006:AH1006),$AB$1006:$AQ$1006,0)))),"Fix")))</f>
        <v>0</v>
      </c>
      <c r="I718" s="4">
        <f>IF(OR(INDEX($V$2:$V$1001,MATCH(ROWS($U$2:U718),$U$2:$U$1001,0),1)&gt;=100000,INDEX($AB$1005:$AQ$1005,1,MATCH(COLUMNS($AB$1006:AI1006),$AB$1006:$AQ$1006,0))&gt;=100000), " ",IF(INDEX($AB$2:$AQ$1001,MATCH(ROWS($U$2:U718),$U$2:$U$1001,0),MATCH(COLUMNS($AB$1006:AI1006),$AB$1006:$AQ$1006,0)), HYPERLINK("#",""), HYPERLINK(CONCATENATE("#metadata!", ADDRESS(INDEX($W$2:$W$1001,MATCH(ROWS($U$2:U718),$U$2:$U$1001,0),0), INDEX($AB$1004:$AQ$1004,1,MATCH(COLUMNS($AB$1006:AI1006),$AB$1006:$AQ$1006,0)))),"Fix")))</f>
        <v>0</v>
      </c>
      <c r="J718" s="4">
        <f>IF(OR(INDEX($V$2:$V$1001,MATCH(ROWS($U$2:U718),$U$2:$U$1001,0),1)&gt;=100000,INDEX($AB$1005:$AQ$1005,1,MATCH(COLUMNS($AB$1006:AJ1006),$AB$1006:$AQ$1006,0))&gt;=100000), " ",IF(INDEX($AB$2:$AQ$1001,MATCH(ROWS($U$2:U718),$U$2:$U$1001,0),MATCH(COLUMNS($AB$1006:AJ1006),$AB$1006:$AQ$1006,0)), HYPERLINK("#",""), HYPERLINK(CONCATENATE("#metadata!", ADDRESS(INDEX($W$2:$W$1001,MATCH(ROWS($U$2:U718),$U$2:$U$1001,0),0), INDEX($AB$1004:$AQ$1004,1,MATCH(COLUMNS($AB$1006:AJ1006),$AB$1006:$AQ$1006,0)))),"Fix")))</f>
        <v>0</v>
      </c>
      <c r="K718" s="4">
        <f>IF(OR(INDEX($V$2:$V$1001,MATCH(ROWS($U$2:U718),$U$2:$U$1001,0),1)&gt;=100000,INDEX($AB$1005:$AQ$1005,1,MATCH(COLUMNS($AB$1006:AK1006),$AB$1006:$AQ$1006,0))&gt;=100000), " ",IF(INDEX($AB$2:$AQ$1001,MATCH(ROWS($U$2:U718),$U$2:$U$1001,0),MATCH(COLUMNS($AB$1006:AK1006),$AB$1006:$AQ$1006,0)), HYPERLINK("#",""), HYPERLINK(CONCATENATE("#metadata!", ADDRESS(INDEX($W$2:$W$1001,MATCH(ROWS($U$2:U718),$U$2:$U$1001,0),0), INDEX($AB$1004:$AQ$1004,1,MATCH(COLUMNS($AB$1006:AK1006),$AB$1006:$AQ$1006,0)))),"Fix")))</f>
        <v>0</v>
      </c>
      <c r="L718" s="4">
        <f>IF(OR(INDEX($V$2:$V$1001,MATCH(ROWS($U$2:U718),$U$2:$U$1001,0),1)&gt;=100000,INDEX($AB$1005:$AQ$1005,1,MATCH(COLUMNS($AB$1006:AL1006),$AB$1006:$AQ$1006,0))&gt;=100000), " ",IF(INDEX($AB$2:$AQ$1001,MATCH(ROWS($U$2:U718),$U$2:$U$1001,0),MATCH(COLUMNS($AB$1006:AL1006),$AB$1006:$AQ$1006,0)), HYPERLINK("#",""), HYPERLINK(CONCATENATE("#metadata!", ADDRESS(INDEX($W$2:$W$1001,MATCH(ROWS($U$2:U718),$U$2:$U$1001,0),0), INDEX($AB$1004:$AQ$1004,1,MATCH(COLUMNS($AB$1006:AL1006),$AB$1006:$AQ$1006,0)))),"Fix")))</f>
        <v>0</v>
      </c>
      <c r="M718" s="4">
        <f>IF(OR(INDEX($V$2:$V$1001,MATCH(ROWS($U$2:U718),$U$2:$U$1001,0),1)&gt;=100000,INDEX($AB$1005:$AQ$1005,1,MATCH(COLUMNS($AB$1006:AM1006),$AB$1006:$AQ$1006,0))&gt;=100000), " ",IF(INDEX($AB$2:$AQ$1001,MATCH(ROWS($U$2:U718),$U$2:$U$1001,0),MATCH(COLUMNS($AB$1006:AM1006),$AB$1006:$AQ$1006,0)), HYPERLINK("#",""), HYPERLINK(CONCATENATE("#metadata!", ADDRESS(INDEX($W$2:$W$1001,MATCH(ROWS($U$2:U718),$U$2:$U$1001,0),0), INDEX($AB$1004:$AQ$1004,1,MATCH(COLUMNS($AB$1006:AM1006),$AB$1006:$AQ$1006,0)))),"Fix")))</f>
        <v>0</v>
      </c>
      <c r="N718" s="4">
        <f>IF(OR(INDEX($V$2:$V$1001,MATCH(ROWS($U$2:U718),$U$2:$U$1001,0),1)&gt;=100000,INDEX($AB$1005:$AQ$1005,1,MATCH(COLUMNS($AB$1006:AN1006),$AB$1006:$AQ$1006,0))&gt;=100000), " ",IF(INDEX($AB$2:$AQ$1001,MATCH(ROWS($U$2:U718),$U$2:$U$1001,0),MATCH(COLUMNS($AB$1006:AN1006),$AB$1006:$AQ$1006,0)), HYPERLINK("#",""), HYPERLINK(CONCATENATE("#metadata!", ADDRESS(INDEX($W$2:$W$1001,MATCH(ROWS($U$2:U718),$U$2:$U$1001,0),0), INDEX($AB$1004:$AQ$1004,1,MATCH(COLUMNS($AB$1006:AN1006),$AB$1006:$AQ$1006,0)))),"Fix")))</f>
        <v>0</v>
      </c>
      <c r="O718" s="4">
        <f>IF(OR(INDEX($V$2:$V$1001,MATCH(ROWS($U$2:U718),$U$2:$U$1001,0),1)&gt;=100000,INDEX($AB$1005:$AQ$1005,1,MATCH(COLUMNS($AB$1006:AO1006),$AB$1006:$AQ$1006,0))&gt;=100000), " ",IF(INDEX($AB$2:$AQ$1001,MATCH(ROWS($U$2:U718),$U$2:$U$1001,0),MATCH(COLUMNS($AB$1006:AO1006),$AB$1006:$AQ$1006,0)), HYPERLINK("#",""), HYPERLINK(CONCATENATE("#metadata!", ADDRESS(INDEX($W$2:$W$1001,MATCH(ROWS($U$2:U718),$U$2:$U$1001,0),0), INDEX($AB$1004:$AQ$1004,1,MATCH(COLUMNS($AB$1006:AO1006),$AB$1006:$AQ$1006,0)))),"Fix")))</f>
        <v>0</v>
      </c>
      <c r="P718" s="4">
        <f>IF(OR(INDEX($V$2:$V$1001,MATCH(ROWS($U$2:U718),$U$2:$U$1001,0),1)&gt;=100000,INDEX($AB$1005:$AQ$1005,1,MATCH(COLUMNS($AB$1006:AP1006),$AB$1006:$AQ$1006,0))&gt;=100000), " ",IF(INDEX($AB$2:$AQ$1001,MATCH(ROWS($U$2:U718),$U$2:$U$1001,0),MATCH(COLUMNS($AB$1006:AP1006),$AB$1006:$AQ$1006,0)), HYPERLINK("#",""), HYPERLINK(CONCATENATE("#metadata!", ADDRESS(INDEX($W$2:$W$1001,MATCH(ROWS($U$2:U718),$U$2:$U$1001,0),0), INDEX($AB$1004:$AQ$1004,1,MATCH(COLUMNS($AB$1006:AP1006),$AB$1006:$AQ$1006,0)))),"Fix")))</f>
        <v>0</v>
      </c>
      <c r="Q718" s="4">
        <f>IF(OR(INDEX($V$2:$V$1001,MATCH(ROWS($U$2:U718),$U$2:$U$1001,0),1)&gt;=100000,INDEX($AB$1005:$AQ$1005,1,MATCH(COLUMNS($AB$1006:AQ1006),$AB$1006:$AQ$1006,0))&gt;=100000), " ",IF(INDEX($AB$2:$AQ$1001,MATCH(ROWS($U$2:U718),$U$2:$U$1001,0),MATCH(COLUMNS($AB$1006:AQ1006),$AB$1006:$AQ$1006,0)), HYPERLINK("#",""), HYPERLINK(CONCATENATE("#metadata!", ADDRESS(INDEX($W$2:$W$1001,MATCH(ROWS($U$2:U718),$U$2:$U$1001,0),0), INDEX($AB$1004:$AQ$1004,1,MATCH(COLUMNS($AB$1006:AQ1006),$AB$1006:$AQ$1006,0)))),"Fix")))</f>
        <v>0</v>
      </c>
      <c r="U718">
        <v>0</v>
      </c>
      <c r="V718">
        <v>0</v>
      </c>
      <c r="W718">
        <v>0</v>
      </c>
      <c r="X718">
        <f>IF(Y718,TRUE,AND(AB718:AQ718))</f>
        <v>0</v>
      </c>
      <c r="Y718">
        <f>COUNTBLANK(metadata!B718:Q718)=COLUMNS(metadata!B718:Q718)</f>
        <v>0</v>
      </c>
      <c r="Z718">
        <v>0</v>
      </c>
      <c r="AB718">
        <f>AND(IF(metadata!B718="",FALSE,TRUE),COUNTIF(metadata!B:B, metadata!B718) = 1,NOT(ISERROR(SUMPRODUCT(SEARCH(MID(metadata!B718,ROW(INDIRECT("1:"&amp;LEN(metadata!B718))), 1),"0123456789abcdefghijklmnopqrstuvwxyzABCDEFGHIJKLMNOPQRSTUVWXYZ.")))))</f>
        <v>0</v>
      </c>
      <c r="AC718">
        <f>OR(AND(IF(metadata!C718="",FALSE,TRUE),OR(exact(metadata!C718,"missing: not collected"),exact(metadata!C718,"missing: not provided"),exact(metadata!C718,"missing: restricted access"))),AND(IF(metadata!C718="",FALSE,TRUE),AND(AND(IFERROR(INT(LEFT(metadata!C718,4))&gt;1900,FALSE),IFERROR(INT(LEFT(metadata!C718,4))&lt;=YEAR(NOW()),FALSE)), OR(MID(metadata!C718,5,1)="", AND(AND(MID(metadata!C718,5,1)="-",IFERROR(INT(MID(metadata!C718,6,1))&gt;=0,FALSE),IFERROR(INT(MID(metadata!C718,6,1))&lt;=1,FALSE),NOT(MID(metadata!C718,7,1)=""),IFERROR(INT(MID(metadata!C718,6,2))&gt;=1,FALSE),IFERROR(INT(MID(metadata!C718,6,2))&lt;=12,FALSE)), OR(MID(metadata!C718,8,1)="", AND(AND(MID(metadata!C718,8,1)="-",IFERROR(INT(MID(metadata!C718,9,1))&gt;=0,FALSE),IFERROR(INT(MID(metadata!C718,9,1))&lt;=3,FALSE),NOT(MID(metadata!C718,10,1)=""),IFERROR(INT(MID(metadata!C718,9,2))&gt;=1,FALSE),IFERROR(INT(MID(metadata!C718,9,2))&lt;=31,FALSE)), OR(MID(metadata!C718,11,1)="", AND(AND(MID(metadata!C718,11,1)=" ",IFERROR(INT(MID(metadata!C718,12,1))&gt;=0,FALSE),IFERROR(INT(MID(metadata!C718,12,1))&lt;=2,FALSE),NOT(MID(metadata!C718,13,1)=""),IFERROR(INT(MID(metadata!C718,12,2))&gt;=0,FALSE),IFERROR(INT(MID(metadata!C718,12,2))&lt;=23,FALSE)), OR(MID(metadata!C718,14,1)="", AND(AND(MID(metadata!C718,14,1)=":",IFERROR(INT(MID(metadata!C718,15,1))&gt;=0,FALSE),IFERROR(INT(MID(metadata!C718,15,1))&lt;=5,FALSE),NOT(MID(metadata!C718,16,1)=""),IFERROR(INT(MID(metadata!C718,15,2))&gt;=0,FALSE),IFERROR(INT(MID(metadata!C718,15,2))&lt;=59,FALSE)), OR(MID(metadata!C718,17,1)="", AND(AND(MID(metadata!C718,17,1)=":",IFERROR(INT(MID(metadata!C718,18,1))&gt;=0,FALSE),IFERROR(INT(MID(metadata!C718,18,1))&lt;=5,FALSE),NOT(MID(metadata!C718,19,1)=""),IFERROR(INT(MID(metadata!C718,18,2))&gt;=0,FALSE),IFERROR(INT(MID(metadata!C718,18,2))&lt;=59,FALSE)), LEN(metadata!C718)&lt;=19)))))))))))))</f>
        <v>0</v>
      </c>
      <c r="AD718">
        <f>IF(metadata!D718="",FALSE,TRUE)</f>
        <v>0</v>
      </c>
      <c r="AE718">
        <f>OR(AND(IF(metadata!E718="",FALSE,TRUE),OR(exact(metadata!E718,"missing: not collected"),exact(metadata!E718,"missing: not provided"))),AND(IF(metadata!E718="",FALSE,TRUE),OR(exact(metadata!E718,"TRUE"),exact(metadata!E718,"FALSE"))))</f>
        <v>0</v>
      </c>
      <c r="AF718">
        <f>IF(metadata!F718="",FALSE,TRUE)</f>
        <v>0</v>
      </c>
      <c r="AG718">
        <f>IF(metadata!G718="",FALSE,TRUE)</f>
        <v>0</v>
      </c>
      <c r="AH718">
        <f>IF(metadata!H718="",FALSE,TRUE)</f>
        <v>0</v>
      </c>
      <c r="AI718">
        <f>OR(AND(IF(metadata!I718="",FALSE,TRUE),OR(exact(metadata!I718,"missing: not collected"),exact(metadata!I718,"missing: not provided"),exact(metadata!I718,"missing: restricted access"))),AND(IF(metadata!I718="",FALSE,TRUE),OR(exact(metadata!I718,"air"),exact(metadata!I718,"built environment"),exact(metadata!I718,"host-associated"),exact(metadata!I718,"human-associated"),exact(metadata!I718,"human-skin"),exact(metadata!I718,"human-oral"),exact(metadata!I718,"human-gut"),exact(metadata!I718,"human-vaginal"),exact(metadata!I718,"microbial mat/biofilm"),exact(metadata!I718,"misc environment"),exact(metadata!I718,"plant-associated"),exact(metadata!I718,"sediment"),exact(metadata!I718,"soil"),exact(metadata!I718,"wastewater/sludge"),exact(metadata!I718,"water"))))</f>
        <v>0</v>
      </c>
      <c r="AJ718">
        <f>IF(metadata!J718="",FALSE,TRUE)</f>
        <v>0</v>
      </c>
      <c r="AK718">
        <f>OR(AND(IF(metadata!K718="",FALSE,TRUE),OR(exact(metadata!K718,"missing: not collected"),exact(metadata!K718,"missing: not provided"),exact(metadata!K718,"missing: restricted access"))),AND(IF(metadata!K718="",FALSE,ISNUMBER(VALUE(metadata!K718))),metadata!K718&gt;=-90.00,metadata!K718&lt;=90.00))</f>
        <v>0</v>
      </c>
      <c r="AL718">
        <f>OR(AND(IF(metadata!L718="",FALSE,TRUE),OR(exact(metadata!L718,"missing: not collected"),exact(metadata!L718,"missing: not provided"),exact(metadata!L718,"missing: restricted access"))),AND(IF(metadata!L718="",FALSE,ISNUMBER(VALUE(metadata!L718))),metadata!L718&gt;=-180.00,metadata!L718&lt;=180.00))</f>
        <v>0</v>
      </c>
      <c r="AM718">
        <f>IF(metadata!M718="",FALSE,TRUE)</f>
        <v>0</v>
      </c>
      <c r="AN718">
        <f>OR(AND(IF(metadata!N718="",FALSE,TRUE),OR(exact(metadata!N718,"missing: not collected"),exact(metadata!N718,"missing: not provided"),exact(metadata!N718,"missing: restricted access"))),AND(IF(metadata!N718="",FALSE,TRUE),OR(exact(metadata!N718,"TRUE"),exact(metadata!N718,"FALSE"))))</f>
        <v>0</v>
      </c>
      <c r="AO718">
        <f>IF(metadata!O718="",FALSE,TRUE)</f>
        <v>0</v>
      </c>
      <c r="AP718">
        <f>OR(AND(IF(metadata!P718="",FALSE,TRUE),OR(exact(metadata!P718,"missing: not collected"),exact(metadata!P718,"missing: not provided"))),AND(IF(metadata!P718="",FALSE,IF(ISERROR(INT(metadata!P718)),FALSE,INT(metadata!P718)=metadata!P718)),metadata!P718&gt;0))</f>
        <v>0</v>
      </c>
      <c r="AQ718">
        <f>IF(metadata!Q718="",FALSE,TRUE)</f>
        <v>0</v>
      </c>
    </row>
    <row r="719" spans="1:43">
      <c r="A719" s="5">
        <f>IF(B719=" "," ",HYPERLINK(CONCATENATE("#metadata!",ADDRESS(INDEX($W$2:$W$1001,MATCH(ROWS($U$2:U719),$U$2:$U$1001,0),0),1)),INDEX($Z$2:$Z$1001,MATCH(ROWS($U$2:U719),$U$2:$U$1001,0),0)))</f>
        <v>0</v>
      </c>
      <c r="B719" s="4">
        <f>IF(OR(INDEX($V$2:$V$1001,MATCH(ROWS($U$2:U719),$U$2:$U$1001,0),1)&gt;=100000,INDEX($AB$1005:$AQ$1005,1,MATCH(COLUMNS($AB$1006:AB1006),$AB$1006:$AQ$1006,0))&gt;=100000), " ",IF(INDEX($AB$2:$AQ$1001,MATCH(ROWS($U$2:U719),$U$2:$U$1001,0),MATCH(COLUMNS($AB$1006:AB1006),$AB$1006:$AQ$1006,0)), HYPERLINK("#",""), HYPERLINK(CONCATENATE("#metadata!", ADDRESS(INDEX($W$2:$W$1001,MATCH(ROWS($U$2:U719),$U$2:$U$1001,0),0), INDEX($AB$1004:$AQ$1004,1,MATCH(COLUMNS($AB$1006:AB1006),$AB$1006:$AQ$1006,0)))),"Fix")))</f>
        <v>0</v>
      </c>
      <c r="C719" s="4">
        <f>IF(OR(INDEX($V$2:$V$1001,MATCH(ROWS($U$2:U719),$U$2:$U$1001,0),1)&gt;=100000,INDEX($AB$1005:$AQ$1005,1,MATCH(COLUMNS($AB$1006:AC1006),$AB$1006:$AQ$1006,0))&gt;=100000), " ",IF(INDEX($AB$2:$AQ$1001,MATCH(ROWS($U$2:U719),$U$2:$U$1001,0),MATCH(COLUMNS($AB$1006:AC1006),$AB$1006:$AQ$1006,0)), HYPERLINK("#",""), HYPERLINK(CONCATENATE("#metadata!", ADDRESS(INDEX($W$2:$W$1001,MATCH(ROWS($U$2:U719),$U$2:$U$1001,0),0), INDEX($AB$1004:$AQ$1004,1,MATCH(COLUMNS($AB$1006:AC1006),$AB$1006:$AQ$1006,0)))),"Fix")))</f>
        <v>0</v>
      </c>
      <c r="D719" s="4">
        <f>IF(OR(INDEX($V$2:$V$1001,MATCH(ROWS($U$2:U719),$U$2:$U$1001,0),1)&gt;=100000,INDEX($AB$1005:$AQ$1005,1,MATCH(COLUMNS($AB$1006:AD1006),$AB$1006:$AQ$1006,0))&gt;=100000), " ",IF(INDEX($AB$2:$AQ$1001,MATCH(ROWS($U$2:U719),$U$2:$U$1001,0),MATCH(COLUMNS($AB$1006:AD1006),$AB$1006:$AQ$1006,0)), HYPERLINK("#",""), HYPERLINK(CONCATENATE("#metadata!", ADDRESS(INDEX($W$2:$W$1001,MATCH(ROWS($U$2:U719),$U$2:$U$1001,0),0), INDEX($AB$1004:$AQ$1004,1,MATCH(COLUMNS($AB$1006:AD1006),$AB$1006:$AQ$1006,0)))),"Fix")))</f>
        <v>0</v>
      </c>
      <c r="E719" s="4">
        <f>IF(OR(INDEX($V$2:$V$1001,MATCH(ROWS($U$2:U719),$U$2:$U$1001,0),1)&gt;=100000,INDEX($AB$1005:$AQ$1005,1,MATCH(COLUMNS($AB$1006:AE1006),$AB$1006:$AQ$1006,0))&gt;=100000), " ",IF(INDEX($AB$2:$AQ$1001,MATCH(ROWS($U$2:U719),$U$2:$U$1001,0),MATCH(COLUMNS($AB$1006:AE1006),$AB$1006:$AQ$1006,0)), HYPERLINK("#",""), HYPERLINK(CONCATENATE("#metadata!", ADDRESS(INDEX($W$2:$W$1001,MATCH(ROWS($U$2:U719),$U$2:$U$1001,0),0), INDEX($AB$1004:$AQ$1004,1,MATCH(COLUMNS($AB$1006:AE1006),$AB$1006:$AQ$1006,0)))),"Fix")))</f>
        <v>0</v>
      </c>
      <c r="F719" s="4">
        <f>IF(OR(INDEX($V$2:$V$1001,MATCH(ROWS($U$2:U719),$U$2:$U$1001,0),1)&gt;=100000,INDEX($AB$1005:$AQ$1005,1,MATCH(COLUMNS($AB$1006:AF1006),$AB$1006:$AQ$1006,0))&gt;=100000), " ",IF(INDEX($AB$2:$AQ$1001,MATCH(ROWS($U$2:U719),$U$2:$U$1001,0),MATCH(COLUMNS($AB$1006:AF1006),$AB$1006:$AQ$1006,0)), HYPERLINK("#",""), HYPERLINK(CONCATENATE("#metadata!", ADDRESS(INDEX($W$2:$W$1001,MATCH(ROWS($U$2:U719),$U$2:$U$1001,0),0), INDEX($AB$1004:$AQ$1004,1,MATCH(COLUMNS($AB$1006:AF1006),$AB$1006:$AQ$1006,0)))),"Fix")))</f>
        <v>0</v>
      </c>
      <c r="G719" s="4">
        <f>IF(OR(INDEX($V$2:$V$1001,MATCH(ROWS($U$2:U719),$U$2:$U$1001,0),1)&gt;=100000,INDEX($AB$1005:$AQ$1005,1,MATCH(COLUMNS($AB$1006:AG1006),$AB$1006:$AQ$1006,0))&gt;=100000), " ",IF(INDEX($AB$2:$AQ$1001,MATCH(ROWS($U$2:U719),$U$2:$U$1001,0),MATCH(COLUMNS($AB$1006:AG1006),$AB$1006:$AQ$1006,0)), HYPERLINK("#",""), HYPERLINK(CONCATENATE("#metadata!", ADDRESS(INDEX($W$2:$W$1001,MATCH(ROWS($U$2:U719),$U$2:$U$1001,0),0), INDEX($AB$1004:$AQ$1004,1,MATCH(COLUMNS($AB$1006:AG1006),$AB$1006:$AQ$1006,0)))),"Fix")))</f>
        <v>0</v>
      </c>
      <c r="H719" s="4">
        <f>IF(OR(INDEX($V$2:$V$1001,MATCH(ROWS($U$2:U719),$U$2:$U$1001,0),1)&gt;=100000,INDEX($AB$1005:$AQ$1005,1,MATCH(COLUMNS($AB$1006:AH1006),$AB$1006:$AQ$1006,0))&gt;=100000), " ",IF(INDEX($AB$2:$AQ$1001,MATCH(ROWS($U$2:U719),$U$2:$U$1001,0),MATCH(COLUMNS($AB$1006:AH1006),$AB$1006:$AQ$1006,0)), HYPERLINK("#",""), HYPERLINK(CONCATENATE("#metadata!", ADDRESS(INDEX($W$2:$W$1001,MATCH(ROWS($U$2:U719),$U$2:$U$1001,0),0), INDEX($AB$1004:$AQ$1004,1,MATCH(COLUMNS($AB$1006:AH1006),$AB$1006:$AQ$1006,0)))),"Fix")))</f>
        <v>0</v>
      </c>
      <c r="I719" s="4">
        <f>IF(OR(INDEX($V$2:$V$1001,MATCH(ROWS($U$2:U719),$U$2:$U$1001,0),1)&gt;=100000,INDEX($AB$1005:$AQ$1005,1,MATCH(COLUMNS($AB$1006:AI1006),$AB$1006:$AQ$1006,0))&gt;=100000), " ",IF(INDEX($AB$2:$AQ$1001,MATCH(ROWS($U$2:U719),$U$2:$U$1001,0),MATCH(COLUMNS($AB$1006:AI1006),$AB$1006:$AQ$1006,0)), HYPERLINK("#",""), HYPERLINK(CONCATENATE("#metadata!", ADDRESS(INDEX($W$2:$W$1001,MATCH(ROWS($U$2:U719),$U$2:$U$1001,0),0), INDEX($AB$1004:$AQ$1004,1,MATCH(COLUMNS($AB$1006:AI1006),$AB$1006:$AQ$1006,0)))),"Fix")))</f>
        <v>0</v>
      </c>
      <c r="J719" s="4">
        <f>IF(OR(INDEX($V$2:$V$1001,MATCH(ROWS($U$2:U719),$U$2:$U$1001,0),1)&gt;=100000,INDEX($AB$1005:$AQ$1005,1,MATCH(COLUMNS($AB$1006:AJ1006),$AB$1006:$AQ$1006,0))&gt;=100000), " ",IF(INDEX($AB$2:$AQ$1001,MATCH(ROWS($U$2:U719),$U$2:$U$1001,0),MATCH(COLUMNS($AB$1006:AJ1006),$AB$1006:$AQ$1006,0)), HYPERLINK("#",""), HYPERLINK(CONCATENATE("#metadata!", ADDRESS(INDEX($W$2:$W$1001,MATCH(ROWS($U$2:U719),$U$2:$U$1001,0),0), INDEX($AB$1004:$AQ$1004,1,MATCH(COLUMNS($AB$1006:AJ1006),$AB$1006:$AQ$1006,0)))),"Fix")))</f>
        <v>0</v>
      </c>
      <c r="K719" s="4">
        <f>IF(OR(INDEX($V$2:$V$1001,MATCH(ROWS($U$2:U719),$U$2:$U$1001,0),1)&gt;=100000,INDEX($AB$1005:$AQ$1005,1,MATCH(COLUMNS($AB$1006:AK1006),$AB$1006:$AQ$1006,0))&gt;=100000), " ",IF(INDEX($AB$2:$AQ$1001,MATCH(ROWS($U$2:U719),$U$2:$U$1001,0),MATCH(COLUMNS($AB$1006:AK1006),$AB$1006:$AQ$1006,0)), HYPERLINK("#",""), HYPERLINK(CONCATENATE("#metadata!", ADDRESS(INDEX($W$2:$W$1001,MATCH(ROWS($U$2:U719),$U$2:$U$1001,0),0), INDEX($AB$1004:$AQ$1004,1,MATCH(COLUMNS($AB$1006:AK1006),$AB$1006:$AQ$1006,0)))),"Fix")))</f>
        <v>0</v>
      </c>
      <c r="L719" s="4">
        <f>IF(OR(INDEX($V$2:$V$1001,MATCH(ROWS($U$2:U719),$U$2:$U$1001,0),1)&gt;=100000,INDEX($AB$1005:$AQ$1005,1,MATCH(COLUMNS($AB$1006:AL1006),$AB$1006:$AQ$1006,0))&gt;=100000), " ",IF(INDEX($AB$2:$AQ$1001,MATCH(ROWS($U$2:U719),$U$2:$U$1001,0),MATCH(COLUMNS($AB$1006:AL1006),$AB$1006:$AQ$1006,0)), HYPERLINK("#",""), HYPERLINK(CONCATENATE("#metadata!", ADDRESS(INDEX($W$2:$W$1001,MATCH(ROWS($U$2:U719),$U$2:$U$1001,0),0), INDEX($AB$1004:$AQ$1004,1,MATCH(COLUMNS($AB$1006:AL1006),$AB$1006:$AQ$1006,0)))),"Fix")))</f>
        <v>0</v>
      </c>
      <c r="M719" s="4">
        <f>IF(OR(INDEX($V$2:$V$1001,MATCH(ROWS($U$2:U719),$U$2:$U$1001,0),1)&gt;=100000,INDEX($AB$1005:$AQ$1005,1,MATCH(COLUMNS($AB$1006:AM1006),$AB$1006:$AQ$1006,0))&gt;=100000), " ",IF(INDEX($AB$2:$AQ$1001,MATCH(ROWS($U$2:U719),$U$2:$U$1001,0),MATCH(COLUMNS($AB$1006:AM1006),$AB$1006:$AQ$1006,0)), HYPERLINK("#",""), HYPERLINK(CONCATENATE("#metadata!", ADDRESS(INDEX($W$2:$W$1001,MATCH(ROWS($U$2:U719),$U$2:$U$1001,0),0), INDEX($AB$1004:$AQ$1004,1,MATCH(COLUMNS($AB$1006:AM1006),$AB$1006:$AQ$1006,0)))),"Fix")))</f>
        <v>0</v>
      </c>
      <c r="N719" s="4">
        <f>IF(OR(INDEX($V$2:$V$1001,MATCH(ROWS($U$2:U719),$U$2:$U$1001,0),1)&gt;=100000,INDEX($AB$1005:$AQ$1005,1,MATCH(COLUMNS($AB$1006:AN1006),$AB$1006:$AQ$1006,0))&gt;=100000), " ",IF(INDEX($AB$2:$AQ$1001,MATCH(ROWS($U$2:U719),$U$2:$U$1001,0),MATCH(COLUMNS($AB$1006:AN1006),$AB$1006:$AQ$1006,0)), HYPERLINK("#",""), HYPERLINK(CONCATENATE("#metadata!", ADDRESS(INDEX($W$2:$W$1001,MATCH(ROWS($U$2:U719),$U$2:$U$1001,0),0), INDEX($AB$1004:$AQ$1004,1,MATCH(COLUMNS($AB$1006:AN1006),$AB$1006:$AQ$1006,0)))),"Fix")))</f>
        <v>0</v>
      </c>
      <c r="O719" s="4">
        <f>IF(OR(INDEX($V$2:$V$1001,MATCH(ROWS($U$2:U719),$U$2:$U$1001,0),1)&gt;=100000,INDEX($AB$1005:$AQ$1005,1,MATCH(COLUMNS($AB$1006:AO1006),$AB$1006:$AQ$1006,0))&gt;=100000), " ",IF(INDEX($AB$2:$AQ$1001,MATCH(ROWS($U$2:U719),$U$2:$U$1001,0),MATCH(COLUMNS($AB$1006:AO1006),$AB$1006:$AQ$1006,0)), HYPERLINK("#",""), HYPERLINK(CONCATENATE("#metadata!", ADDRESS(INDEX($W$2:$W$1001,MATCH(ROWS($U$2:U719),$U$2:$U$1001,0),0), INDEX($AB$1004:$AQ$1004,1,MATCH(COLUMNS($AB$1006:AO1006),$AB$1006:$AQ$1006,0)))),"Fix")))</f>
        <v>0</v>
      </c>
      <c r="P719" s="4">
        <f>IF(OR(INDEX($V$2:$V$1001,MATCH(ROWS($U$2:U719),$U$2:$U$1001,0),1)&gt;=100000,INDEX($AB$1005:$AQ$1005,1,MATCH(COLUMNS($AB$1006:AP1006),$AB$1006:$AQ$1006,0))&gt;=100000), " ",IF(INDEX($AB$2:$AQ$1001,MATCH(ROWS($U$2:U719),$U$2:$U$1001,0),MATCH(COLUMNS($AB$1006:AP1006),$AB$1006:$AQ$1006,0)), HYPERLINK("#",""), HYPERLINK(CONCATENATE("#metadata!", ADDRESS(INDEX($W$2:$W$1001,MATCH(ROWS($U$2:U719),$U$2:$U$1001,0),0), INDEX($AB$1004:$AQ$1004,1,MATCH(COLUMNS($AB$1006:AP1006),$AB$1006:$AQ$1006,0)))),"Fix")))</f>
        <v>0</v>
      </c>
      <c r="Q719" s="4">
        <f>IF(OR(INDEX($V$2:$V$1001,MATCH(ROWS($U$2:U719),$U$2:$U$1001,0),1)&gt;=100000,INDEX($AB$1005:$AQ$1005,1,MATCH(COLUMNS($AB$1006:AQ1006),$AB$1006:$AQ$1006,0))&gt;=100000), " ",IF(INDEX($AB$2:$AQ$1001,MATCH(ROWS($U$2:U719),$U$2:$U$1001,0),MATCH(COLUMNS($AB$1006:AQ1006),$AB$1006:$AQ$1006,0)), HYPERLINK("#",""), HYPERLINK(CONCATENATE("#metadata!", ADDRESS(INDEX($W$2:$W$1001,MATCH(ROWS($U$2:U719),$U$2:$U$1001,0),0), INDEX($AB$1004:$AQ$1004,1,MATCH(COLUMNS($AB$1006:AQ1006),$AB$1006:$AQ$1006,0)))),"Fix")))</f>
        <v>0</v>
      </c>
      <c r="U719">
        <v>0</v>
      </c>
      <c r="V719">
        <v>0</v>
      </c>
      <c r="W719">
        <v>0</v>
      </c>
      <c r="X719">
        <f>IF(Y719,TRUE,AND(AB719:AQ719))</f>
        <v>0</v>
      </c>
      <c r="Y719">
        <f>COUNTBLANK(metadata!B719:Q719)=COLUMNS(metadata!B719:Q719)</f>
        <v>0</v>
      </c>
      <c r="Z719">
        <v>0</v>
      </c>
      <c r="AB719">
        <f>AND(IF(metadata!B719="",FALSE,TRUE),COUNTIF(metadata!B:B, metadata!B719) = 1,NOT(ISERROR(SUMPRODUCT(SEARCH(MID(metadata!B719,ROW(INDIRECT("1:"&amp;LEN(metadata!B719))), 1),"0123456789abcdefghijklmnopqrstuvwxyzABCDEFGHIJKLMNOPQRSTUVWXYZ.")))))</f>
        <v>0</v>
      </c>
      <c r="AC719">
        <f>OR(AND(IF(metadata!C719="",FALSE,TRUE),OR(exact(metadata!C719,"missing: not collected"),exact(metadata!C719,"missing: not provided"),exact(metadata!C719,"missing: restricted access"))),AND(IF(metadata!C719="",FALSE,TRUE),AND(AND(IFERROR(INT(LEFT(metadata!C719,4))&gt;1900,FALSE),IFERROR(INT(LEFT(metadata!C719,4))&lt;=YEAR(NOW()),FALSE)), OR(MID(metadata!C719,5,1)="", AND(AND(MID(metadata!C719,5,1)="-",IFERROR(INT(MID(metadata!C719,6,1))&gt;=0,FALSE),IFERROR(INT(MID(metadata!C719,6,1))&lt;=1,FALSE),NOT(MID(metadata!C719,7,1)=""),IFERROR(INT(MID(metadata!C719,6,2))&gt;=1,FALSE),IFERROR(INT(MID(metadata!C719,6,2))&lt;=12,FALSE)), OR(MID(metadata!C719,8,1)="", AND(AND(MID(metadata!C719,8,1)="-",IFERROR(INT(MID(metadata!C719,9,1))&gt;=0,FALSE),IFERROR(INT(MID(metadata!C719,9,1))&lt;=3,FALSE),NOT(MID(metadata!C719,10,1)=""),IFERROR(INT(MID(metadata!C719,9,2))&gt;=1,FALSE),IFERROR(INT(MID(metadata!C719,9,2))&lt;=31,FALSE)), OR(MID(metadata!C719,11,1)="", AND(AND(MID(metadata!C719,11,1)=" ",IFERROR(INT(MID(metadata!C719,12,1))&gt;=0,FALSE),IFERROR(INT(MID(metadata!C719,12,1))&lt;=2,FALSE),NOT(MID(metadata!C719,13,1)=""),IFERROR(INT(MID(metadata!C719,12,2))&gt;=0,FALSE),IFERROR(INT(MID(metadata!C719,12,2))&lt;=23,FALSE)), OR(MID(metadata!C719,14,1)="", AND(AND(MID(metadata!C719,14,1)=":",IFERROR(INT(MID(metadata!C719,15,1))&gt;=0,FALSE),IFERROR(INT(MID(metadata!C719,15,1))&lt;=5,FALSE),NOT(MID(metadata!C719,16,1)=""),IFERROR(INT(MID(metadata!C719,15,2))&gt;=0,FALSE),IFERROR(INT(MID(metadata!C719,15,2))&lt;=59,FALSE)), OR(MID(metadata!C719,17,1)="", AND(AND(MID(metadata!C719,17,1)=":",IFERROR(INT(MID(metadata!C719,18,1))&gt;=0,FALSE),IFERROR(INT(MID(metadata!C719,18,1))&lt;=5,FALSE),NOT(MID(metadata!C719,19,1)=""),IFERROR(INT(MID(metadata!C719,18,2))&gt;=0,FALSE),IFERROR(INT(MID(metadata!C719,18,2))&lt;=59,FALSE)), LEN(metadata!C719)&lt;=19)))))))))))))</f>
        <v>0</v>
      </c>
      <c r="AD719">
        <f>IF(metadata!D719="",FALSE,TRUE)</f>
        <v>0</v>
      </c>
      <c r="AE719">
        <f>OR(AND(IF(metadata!E719="",FALSE,TRUE),OR(exact(metadata!E719,"missing: not collected"),exact(metadata!E719,"missing: not provided"))),AND(IF(metadata!E719="",FALSE,TRUE),OR(exact(metadata!E719,"TRUE"),exact(metadata!E719,"FALSE"))))</f>
        <v>0</v>
      </c>
      <c r="AF719">
        <f>IF(metadata!F719="",FALSE,TRUE)</f>
        <v>0</v>
      </c>
      <c r="AG719">
        <f>IF(metadata!G719="",FALSE,TRUE)</f>
        <v>0</v>
      </c>
      <c r="AH719">
        <f>IF(metadata!H719="",FALSE,TRUE)</f>
        <v>0</v>
      </c>
      <c r="AI719">
        <f>OR(AND(IF(metadata!I719="",FALSE,TRUE),OR(exact(metadata!I719,"missing: not collected"),exact(metadata!I719,"missing: not provided"),exact(metadata!I719,"missing: restricted access"))),AND(IF(metadata!I719="",FALSE,TRUE),OR(exact(metadata!I719,"air"),exact(metadata!I719,"built environment"),exact(metadata!I719,"host-associated"),exact(metadata!I719,"human-associated"),exact(metadata!I719,"human-skin"),exact(metadata!I719,"human-oral"),exact(metadata!I719,"human-gut"),exact(metadata!I719,"human-vaginal"),exact(metadata!I719,"microbial mat/biofilm"),exact(metadata!I719,"misc environment"),exact(metadata!I719,"plant-associated"),exact(metadata!I719,"sediment"),exact(metadata!I719,"soil"),exact(metadata!I719,"wastewater/sludge"),exact(metadata!I719,"water"))))</f>
        <v>0</v>
      </c>
      <c r="AJ719">
        <f>IF(metadata!J719="",FALSE,TRUE)</f>
        <v>0</v>
      </c>
      <c r="AK719">
        <f>OR(AND(IF(metadata!K719="",FALSE,TRUE),OR(exact(metadata!K719,"missing: not collected"),exact(metadata!K719,"missing: not provided"),exact(metadata!K719,"missing: restricted access"))),AND(IF(metadata!K719="",FALSE,ISNUMBER(VALUE(metadata!K719))),metadata!K719&gt;=-90.00,metadata!K719&lt;=90.00))</f>
        <v>0</v>
      </c>
      <c r="AL719">
        <f>OR(AND(IF(metadata!L719="",FALSE,TRUE),OR(exact(metadata!L719,"missing: not collected"),exact(metadata!L719,"missing: not provided"),exact(metadata!L719,"missing: restricted access"))),AND(IF(metadata!L719="",FALSE,ISNUMBER(VALUE(metadata!L719))),metadata!L719&gt;=-180.00,metadata!L719&lt;=180.00))</f>
        <v>0</v>
      </c>
      <c r="AM719">
        <f>IF(metadata!M719="",FALSE,TRUE)</f>
        <v>0</v>
      </c>
      <c r="AN719">
        <f>OR(AND(IF(metadata!N719="",FALSE,TRUE),OR(exact(metadata!N719,"missing: not collected"),exact(metadata!N719,"missing: not provided"),exact(metadata!N719,"missing: restricted access"))),AND(IF(metadata!N719="",FALSE,TRUE),OR(exact(metadata!N719,"TRUE"),exact(metadata!N719,"FALSE"))))</f>
        <v>0</v>
      </c>
      <c r="AO719">
        <f>IF(metadata!O719="",FALSE,TRUE)</f>
        <v>0</v>
      </c>
      <c r="AP719">
        <f>OR(AND(IF(metadata!P719="",FALSE,TRUE),OR(exact(metadata!P719,"missing: not collected"),exact(metadata!P719,"missing: not provided"))),AND(IF(metadata!P719="",FALSE,IF(ISERROR(INT(metadata!P719)),FALSE,INT(metadata!P719)=metadata!P719)),metadata!P719&gt;0))</f>
        <v>0</v>
      </c>
      <c r="AQ719">
        <f>IF(metadata!Q719="",FALSE,TRUE)</f>
        <v>0</v>
      </c>
    </row>
    <row r="720" spans="1:43">
      <c r="A720" s="5">
        <f>IF(B720=" "," ",HYPERLINK(CONCATENATE("#metadata!",ADDRESS(INDEX($W$2:$W$1001,MATCH(ROWS($U$2:U720),$U$2:$U$1001,0),0),1)),INDEX($Z$2:$Z$1001,MATCH(ROWS($U$2:U720),$U$2:$U$1001,0),0)))</f>
        <v>0</v>
      </c>
      <c r="B720" s="4">
        <f>IF(OR(INDEX($V$2:$V$1001,MATCH(ROWS($U$2:U720),$U$2:$U$1001,0),1)&gt;=100000,INDEX($AB$1005:$AQ$1005,1,MATCH(COLUMNS($AB$1006:AB1006),$AB$1006:$AQ$1006,0))&gt;=100000), " ",IF(INDEX($AB$2:$AQ$1001,MATCH(ROWS($U$2:U720),$U$2:$U$1001,0),MATCH(COLUMNS($AB$1006:AB1006),$AB$1006:$AQ$1006,0)), HYPERLINK("#",""), HYPERLINK(CONCATENATE("#metadata!", ADDRESS(INDEX($W$2:$W$1001,MATCH(ROWS($U$2:U720),$U$2:$U$1001,0),0), INDEX($AB$1004:$AQ$1004,1,MATCH(COLUMNS($AB$1006:AB1006),$AB$1006:$AQ$1006,0)))),"Fix")))</f>
        <v>0</v>
      </c>
      <c r="C720" s="4">
        <f>IF(OR(INDEX($V$2:$V$1001,MATCH(ROWS($U$2:U720),$U$2:$U$1001,0),1)&gt;=100000,INDEX($AB$1005:$AQ$1005,1,MATCH(COLUMNS($AB$1006:AC1006),$AB$1006:$AQ$1006,0))&gt;=100000), " ",IF(INDEX($AB$2:$AQ$1001,MATCH(ROWS($U$2:U720),$U$2:$U$1001,0),MATCH(COLUMNS($AB$1006:AC1006),$AB$1006:$AQ$1006,0)), HYPERLINK("#",""), HYPERLINK(CONCATENATE("#metadata!", ADDRESS(INDEX($W$2:$W$1001,MATCH(ROWS($U$2:U720),$U$2:$U$1001,0),0), INDEX($AB$1004:$AQ$1004,1,MATCH(COLUMNS($AB$1006:AC1006),$AB$1006:$AQ$1006,0)))),"Fix")))</f>
        <v>0</v>
      </c>
      <c r="D720" s="4">
        <f>IF(OR(INDEX($V$2:$V$1001,MATCH(ROWS($U$2:U720),$U$2:$U$1001,0),1)&gt;=100000,INDEX($AB$1005:$AQ$1005,1,MATCH(COLUMNS($AB$1006:AD1006),$AB$1006:$AQ$1006,0))&gt;=100000), " ",IF(INDEX($AB$2:$AQ$1001,MATCH(ROWS($U$2:U720),$U$2:$U$1001,0),MATCH(COLUMNS($AB$1006:AD1006),$AB$1006:$AQ$1006,0)), HYPERLINK("#",""), HYPERLINK(CONCATENATE("#metadata!", ADDRESS(INDEX($W$2:$W$1001,MATCH(ROWS($U$2:U720),$U$2:$U$1001,0),0), INDEX($AB$1004:$AQ$1004,1,MATCH(COLUMNS($AB$1006:AD1006),$AB$1006:$AQ$1006,0)))),"Fix")))</f>
        <v>0</v>
      </c>
      <c r="E720" s="4">
        <f>IF(OR(INDEX($V$2:$V$1001,MATCH(ROWS($U$2:U720),$U$2:$U$1001,0),1)&gt;=100000,INDEX($AB$1005:$AQ$1005,1,MATCH(COLUMNS($AB$1006:AE1006),$AB$1006:$AQ$1006,0))&gt;=100000), " ",IF(INDEX($AB$2:$AQ$1001,MATCH(ROWS($U$2:U720),$U$2:$U$1001,0),MATCH(COLUMNS($AB$1006:AE1006),$AB$1006:$AQ$1006,0)), HYPERLINK("#",""), HYPERLINK(CONCATENATE("#metadata!", ADDRESS(INDEX($W$2:$W$1001,MATCH(ROWS($U$2:U720),$U$2:$U$1001,0),0), INDEX($AB$1004:$AQ$1004,1,MATCH(COLUMNS($AB$1006:AE1006),$AB$1006:$AQ$1006,0)))),"Fix")))</f>
        <v>0</v>
      </c>
      <c r="F720" s="4">
        <f>IF(OR(INDEX($V$2:$V$1001,MATCH(ROWS($U$2:U720),$U$2:$U$1001,0),1)&gt;=100000,INDEX($AB$1005:$AQ$1005,1,MATCH(COLUMNS($AB$1006:AF1006),$AB$1006:$AQ$1006,0))&gt;=100000), " ",IF(INDEX($AB$2:$AQ$1001,MATCH(ROWS($U$2:U720),$U$2:$U$1001,0),MATCH(COLUMNS($AB$1006:AF1006),$AB$1006:$AQ$1006,0)), HYPERLINK("#",""), HYPERLINK(CONCATENATE("#metadata!", ADDRESS(INDEX($W$2:$W$1001,MATCH(ROWS($U$2:U720),$U$2:$U$1001,0),0), INDEX($AB$1004:$AQ$1004,1,MATCH(COLUMNS($AB$1006:AF1006),$AB$1006:$AQ$1006,0)))),"Fix")))</f>
        <v>0</v>
      </c>
      <c r="G720" s="4">
        <f>IF(OR(INDEX($V$2:$V$1001,MATCH(ROWS($U$2:U720),$U$2:$U$1001,0),1)&gt;=100000,INDEX($AB$1005:$AQ$1005,1,MATCH(COLUMNS($AB$1006:AG1006),$AB$1006:$AQ$1006,0))&gt;=100000), " ",IF(INDEX($AB$2:$AQ$1001,MATCH(ROWS($U$2:U720),$U$2:$U$1001,0),MATCH(COLUMNS($AB$1006:AG1006),$AB$1006:$AQ$1006,0)), HYPERLINK("#",""), HYPERLINK(CONCATENATE("#metadata!", ADDRESS(INDEX($W$2:$W$1001,MATCH(ROWS($U$2:U720),$U$2:$U$1001,0),0), INDEX($AB$1004:$AQ$1004,1,MATCH(COLUMNS($AB$1006:AG1006),$AB$1006:$AQ$1006,0)))),"Fix")))</f>
        <v>0</v>
      </c>
      <c r="H720" s="4">
        <f>IF(OR(INDEX($V$2:$V$1001,MATCH(ROWS($U$2:U720),$U$2:$U$1001,0),1)&gt;=100000,INDEX($AB$1005:$AQ$1005,1,MATCH(COLUMNS($AB$1006:AH1006),$AB$1006:$AQ$1006,0))&gt;=100000), " ",IF(INDEX($AB$2:$AQ$1001,MATCH(ROWS($U$2:U720),$U$2:$U$1001,0),MATCH(COLUMNS($AB$1006:AH1006),$AB$1006:$AQ$1006,0)), HYPERLINK("#",""), HYPERLINK(CONCATENATE("#metadata!", ADDRESS(INDEX($W$2:$W$1001,MATCH(ROWS($U$2:U720),$U$2:$U$1001,0),0), INDEX($AB$1004:$AQ$1004,1,MATCH(COLUMNS($AB$1006:AH1006),$AB$1006:$AQ$1006,0)))),"Fix")))</f>
        <v>0</v>
      </c>
      <c r="I720" s="4">
        <f>IF(OR(INDEX($V$2:$V$1001,MATCH(ROWS($U$2:U720),$U$2:$U$1001,0),1)&gt;=100000,INDEX($AB$1005:$AQ$1005,1,MATCH(COLUMNS($AB$1006:AI1006),$AB$1006:$AQ$1006,0))&gt;=100000), " ",IF(INDEX($AB$2:$AQ$1001,MATCH(ROWS($U$2:U720),$U$2:$U$1001,0),MATCH(COLUMNS($AB$1006:AI1006),$AB$1006:$AQ$1006,0)), HYPERLINK("#",""), HYPERLINK(CONCATENATE("#metadata!", ADDRESS(INDEX($W$2:$W$1001,MATCH(ROWS($U$2:U720),$U$2:$U$1001,0),0), INDEX($AB$1004:$AQ$1004,1,MATCH(COLUMNS($AB$1006:AI1006),$AB$1006:$AQ$1006,0)))),"Fix")))</f>
        <v>0</v>
      </c>
      <c r="J720" s="4">
        <f>IF(OR(INDEX($V$2:$V$1001,MATCH(ROWS($U$2:U720),$U$2:$U$1001,0),1)&gt;=100000,INDEX($AB$1005:$AQ$1005,1,MATCH(COLUMNS($AB$1006:AJ1006),$AB$1006:$AQ$1006,0))&gt;=100000), " ",IF(INDEX($AB$2:$AQ$1001,MATCH(ROWS($U$2:U720),$U$2:$U$1001,0),MATCH(COLUMNS($AB$1006:AJ1006),$AB$1006:$AQ$1006,0)), HYPERLINK("#",""), HYPERLINK(CONCATENATE("#metadata!", ADDRESS(INDEX($W$2:$W$1001,MATCH(ROWS($U$2:U720),$U$2:$U$1001,0),0), INDEX($AB$1004:$AQ$1004,1,MATCH(COLUMNS($AB$1006:AJ1006),$AB$1006:$AQ$1006,0)))),"Fix")))</f>
        <v>0</v>
      </c>
      <c r="K720" s="4">
        <f>IF(OR(INDEX($V$2:$V$1001,MATCH(ROWS($U$2:U720),$U$2:$U$1001,0),1)&gt;=100000,INDEX($AB$1005:$AQ$1005,1,MATCH(COLUMNS($AB$1006:AK1006),$AB$1006:$AQ$1006,0))&gt;=100000), " ",IF(INDEX($AB$2:$AQ$1001,MATCH(ROWS($U$2:U720),$U$2:$U$1001,0),MATCH(COLUMNS($AB$1006:AK1006),$AB$1006:$AQ$1006,0)), HYPERLINK("#",""), HYPERLINK(CONCATENATE("#metadata!", ADDRESS(INDEX($W$2:$W$1001,MATCH(ROWS($U$2:U720),$U$2:$U$1001,0),0), INDEX($AB$1004:$AQ$1004,1,MATCH(COLUMNS($AB$1006:AK1006),$AB$1006:$AQ$1006,0)))),"Fix")))</f>
        <v>0</v>
      </c>
      <c r="L720" s="4">
        <f>IF(OR(INDEX($V$2:$V$1001,MATCH(ROWS($U$2:U720),$U$2:$U$1001,0),1)&gt;=100000,INDEX($AB$1005:$AQ$1005,1,MATCH(COLUMNS($AB$1006:AL1006),$AB$1006:$AQ$1006,0))&gt;=100000), " ",IF(INDEX($AB$2:$AQ$1001,MATCH(ROWS($U$2:U720),$U$2:$U$1001,0),MATCH(COLUMNS($AB$1006:AL1006),$AB$1006:$AQ$1006,0)), HYPERLINK("#",""), HYPERLINK(CONCATENATE("#metadata!", ADDRESS(INDEX($W$2:$W$1001,MATCH(ROWS($U$2:U720),$U$2:$U$1001,0),0), INDEX($AB$1004:$AQ$1004,1,MATCH(COLUMNS($AB$1006:AL1006),$AB$1006:$AQ$1006,0)))),"Fix")))</f>
        <v>0</v>
      </c>
      <c r="M720" s="4">
        <f>IF(OR(INDEX($V$2:$V$1001,MATCH(ROWS($U$2:U720),$U$2:$U$1001,0),1)&gt;=100000,INDEX($AB$1005:$AQ$1005,1,MATCH(COLUMNS($AB$1006:AM1006),$AB$1006:$AQ$1006,0))&gt;=100000), " ",IF(INDEX($AB$2:$AQ$1001,MATCH(ROWS($U$2:U720),$U$2:$U$1001,0),MATCH(COLUMNS($AB$1006:AM1006),$AB$1006:$AQ$1006,0)), HYPERLINK("#",""), HYPERLINK(CONCATENATE("#metadata!", ADDRESS(INDEX($W$2:$W$1001,MATCH(ROWS($U$2:U720),$U$2:$U$1001,0),0), INDEX($AB$1004:$AQ$1004,1,MATCH(COLUMNS($AB$1006:AM1006),$AB$1006:$AQ$1006,0)))),"Fix")))</f>
        <v>0</v>
      </c>
      <c r="N720" s="4">
        <f>IF(OR(INDEX($V$2:$V$1001,MATCH(ROWS($U$2:U720),$U$2:$U$1001,0),1)&gt;=100000,INDEX($AB$1005:$AQ$1005,1,MATCH(COLUMNS($AB$1006:AN1006),$AB$1006:$AQ$1006,0))&gt;=100000), " ",IF(INDEX($AB$2:$AQ$1001,MATCH(ROWS($U$2:U720),$U$2:$U$1001,0),MATCH(COLUMNS($AB$1006:AN1006),$AB$1006:$AQ$1006,0)), HYPERLINK("#",""), HYPERLINK(CONCATENATE("#metadata!", ADDRESS(INDEX($W$2:$W$1001,MATCH(ROWS($U$2:U720),$U$2:$U$1001,0),0), INDEX($AB$1004:$AQ$1004,1,MATCH(COLUMNS($AB$1006:AN1006),$AB$1006:$AQ$1006,0)))),"Fix")))</f>
        <v>0</v>
      </c>
      <c r="O720" s="4">
        <f>IF(OR(INDEX($V$2:$V$1001,MATCH(ROWS($U$2:U720),$U$2:$U$1001,0),1)&gt;=100000,INDEX($AB$1005:$AQ$1005,1,MATCH(COLUMNS($AB$1006:AO1006),$AB$1006:$AQ$1006,0))&gt;=100000), " ",IF(INDEX($AB$2:$AQ$1001,MATCH(ROWS($U$2:U720),$U$2:$U$1001,0),MATCH(COLUMNS($AB$1006:AO1006),$AB$1006:$AQ$1006,0)), HYPERLINK("#",""), HYPERLINK(CONCATENATE("#metadata!", ADDRESS(INDEX($W$2:$W$1001,MATCH(ROWS($U$2:U720),$U$2:$U$1001,0),0), INDEX($AB$1004:$AQ$1004,1,MATCH(COLUMNS($AB$1006:AO1006),$AB$1006:$AQ$1006,0)))),"Fix")))</f>
        <v>0</v>
      </c>
      <c r="P720" s="4">
        <f>IF(OR(INDEX($V$2:$V$1001,MATCH(ROWS($U$2:U720),$U$2:$U$1001,0),1)&gt;=100000,INDEX($AB$1005:$AQ$1005,1,MATCH(COLUMNS($AB$1006:AP1006),$AB$1006:$AQ$1006,0))&gt;=100000), " ",IF(INDEX($AB$2:$AQ$1001,MATCH(ROWS($U$2:U720),$U$2:$U$1001,0),MATCH(COLUMNS($AB$1006:AP1006),$AB$1006:$AQ$1006,0)), HYPERLINK("#",""), HYPERLINK(CONCATENATE("#metadata!", ADDRESS(INDEX($W$2:$W$1001,MATCH(ROWS($U$2:U720),$U$2:$U$1001,0),0), INDEX($AB$1004:$AQ$1004,1,MATCH(COLUMNS($AB$1006:AP1006),$AB$1006:$AQ$1006,0)))),"Fix")))</f>
        <v>0</v>
      </c>
      <c r="Q720" s="4">
        <f>IF(OR(INDEX($V$2:$V$1001,MATCH(ROWS($U$2:U720),$U$2:$U$1001,0),1)&gt;=100000,INDEX($AB$1005:$AQ$1005,1,MATCH(COLUMNS($AB$1006:AQ1006),$AB$1006:$AQ$1006,0))&gt;=100000), " ",IF(INDEX($AB$2:$AQ$1001,MATCH(ROWS($U$2:U720),$U$2:$U$1001,0),MATCH(COLUMNS($AB$1006:AQ1006),$AB$1006:$AQ$1006,0)), HYPERLINK("#",""), HYPERLINK(CONCATENATE("#metadata!", ADDRESS(INDEX($W$2:$W$1001,MATCH(ROWS($U$2:U720),$U$2:$U$1001,0),0), INDEX($AB$1004:$AQ$1004,1,MATCH(COLUMNS($AB$1006:AQ1006),$AB$1006:$AQ$1006,0)))),"Fix")))</f>
        <v>0</v>
      </c>
      <c r="U720">
        <v>0</v>
      </c>
      <c r="V720">
        <v>0</v>
      </c>
      <c r="W720">
        <v>0</v>
      </c>
      <c r="X720">
        <f>IF(Y720,TRUE,AND(AB720:AQ720))</f>
        <v>0</v>
      </c>
      <c r="Y720">
        <f>COUNTBLANK(metadata!B720:Q720)=COLUMNS(metadata!B720:Q720)</f>
        <v>0</v>
      </c>
      <c r="Z720">
        <v>0</v>
      </c>
      <c r="AB720">
        <f>AND(IF(metadata!B720="",FALSE,TRUE),COUNTIF(metadata!B:B, metadata!B720) = 1,NOT(ISERROR(SUMPRODUCT(SEARCH(MID(metadata!B720,ROW(INDIRECT("1:"&amp;LEN(metadata!B720))), 1),"0123456789abcdefghijklmnopqrstuvwxyzABCDEFGHIJKLMNOPQRSTUVWXYZ.")))))</f>
        <v>0</v>
      </c>
      <c r="AC720">
        <f>OR(AND(IF(metadata!C720="",FALSE,TRUE),OR(exact(metadata!C720,"missing: not collected"),exact(metadata!C720,"missing: not provided"),exact(metadata!C720,"missing: restricted access"))),AND(IF(metadata!C720="",FALSE,TRUE),AND(AND(IFERROR(INT(LEFT(metadata!C720,4))&gt;1900,FALSE),IFERROR(INT(LEFT(metadata!C720,4))&lt;=YEAR(NOW()),FALSE)), OR(MID(metadata!C720,5,1)="", AND(AND(MID(metadata!C720,5,1)="-",IFERROR(INT(MID(metadata!C720,6,1))&gt;=0,FALSE),IFERROR(INT(MID(metadata!C720,6,1))&lt;=1,FALSE),NOT(MID(metadata!C720,7,1)=""),IFERROR(INT(MID(metadata!C720,6,2))&gt;=1,FALSE),IFERROR(INT(MID(metadata!C720,6,2))&lt;=12,FALSE)), OR(MID(metadata!C720,8,1)="", AND(AND(MID(metadata!C720,8,1)="-",IFERROR(INT(MID(metadata!C720,9,1))&gt;=0,FALSE),IFERROR(INT(MID(metadata!C720,9,1))&lt;=3,FALSE),NOT(MID(metadata!C720,10,1)=""),IFERROR(INT(MID(metadata!C720,9,2))&gt;=1,FALSE),IFERROR(INT(MID(metadata!C720,9,2))&lt;=31,FALSE)), OR(MID(metadata!C720,11,1)="", AND(AND(MID(metadata!C720,11,1)=" ",IFERROR(INT(MID(metadata!C720,12,1))&gt;=0,FALSE),IFERROR(INT(MID(metadata!C720,12,1))&lt;=2,FALSE),NOT(MID(metadata!C720,13,1)=""),IFERROR(INT(MID(metadata!C720,12,2))&gt;=0,FALSE),IFERROR(INT(MID(metadata!C720,12,2))&lt;=23,FALSE)), OR(MID(metadata!C720,14,1)="", AND(AND(MID(metadata!C720,14,1)=":",IFERROR(INT(MID(metadata!C720,15,1))&gt;=0,FALSE),IFERROR(INT(MID(metadata!C720,15,1))&lt;=5,FALSE),NOT(MID(metadata!C720,16,1)=""),IFERROR(INT(MID(metadata!C720,15,2))&gt;=0,FALSE),IFERROR(INT(MID(metadata!C720,15,2))&lt;=59,FALSE)), OR(MID(metadata!C720,17,1)="", AND(AND(MID(metadata!C720,17,1)=":",IFERROR(INT(MID(metadata!C720,18,1))&gt;=0,FALSE),IFERROR(INT(MID(metadata!C720,18,1))&lt;=5,FALSE),NOT(MID(metadata!C720,19,1)=""),IFERROR(INT(MID(metadata!C720,18,2))&gt;=0,FALSE),IFERROR(INT(MID(metadata!C720,18,2))&lt;=59,FALSE)), LEN(metadata!C720)&lt;=19)))))))))))))</f>
        <v>0</v>
      </c>
      <c r="AD720">
        <f>IF(metadata!D720="",FALSE,TRUE)</f>
        <v>0</v>
      </c>
      <c r="AE720">
        <f>OR(AND(IF(metadata!E720="",FALSE,TRUE),OR(exact(metadata!E720,"missing: not collected"),exact(metadata!E720,"missing: not provided"))),AND(IF(metadata!E720="",FALSE,TRUE),OR(exact(metadata!E720,"TRUE"),exact(metadata!E720,"FALSE"))))</f>
        <v>0</v>
      </c>
      <c r="AF720">
        <f>IF(metadata!F720="",FALSE,TRUE)</f>
        <v>0</v>
      </c>
      <c r="AG720">
        <f>IF(metadata!G720="",FALSE,TRUE)</f>
        <v>0</v>
      </c>
      <c r="AH720">
        <f>IF(metadata!H720="",FALSE,TRUE)</f>
        <v>0</v>
      </c>
      <c r="AI720">
        <f>OR(AND(IF(metadata!I720="",FALSE,TRUE),OR(exact(metadata!I720,"missing: not collected"),exact(metadata!I720,"missing: not provided"),exact(metadata!I720,"missing: restricted access"))),AND(IF(metadata!I720="",FALSE,TRUE),OR(exact(metadata!I720,"air"),exact(metadata!I720,"built environment"),exact(metadata!I720,"host-associated"),exact(metadata!I720,"human-associated"),exact(metadata!I720,"human-skin"),exact(metadata!I720,"human-oral"),exact(metadata!I720,"human-gut"),exact(metadata!I720,"human-vaginal"),exact(metadata!I720,"microbial mat/biofilm"),exact(metadata!I720,"misc environment"),exact(metadata!I720,"plant-associated"),exact(metadata!I720,"sediment"),exact(metadata!I720,"soil"),exact(metadata!I720,"wastewater/sludge"),exact(metadata!I720,"water"))))</f>
        <v>0</v>
      </c>
      <c r="AJ720">
        <f>IF(metadata!J720="",FALSE,TRUE)</f>
        <v>0</v>
      </c>
      <c r="AK720">
        <f>OR(AND(IF(metadata!K720="",FALSE,TRUE),OR(exact(metadata!K720,"missing: not collected"),exact(metadata!K720,"missing: not provided"),exact(metadata!K720,"missing: restricted access"))),AND(IF(metadata!K720="",FALSE,ISNUMBER(VALUE(metadata!K720))),metadata!K720&gt;=-90.00,metadata!K720&lt;=90.00))</f>
        <v>0</v>
      </c>
      <c r="AL720">
        <f>OR(AND(IF(metadata!L720="",FALSE,TRUE),OR(exact(metadata!L720,"missing: not collected"),exact(metadata!L720,"missing: not provided"),exact(metadata!L720,"missing: restricted access"))),AND(IF(metadata!L720="",FALSE,ISNUMBER(VALUE(metadata!L720))),metadata!L720&gt;=-180.00,metadata!L720&lt;=180.00))</f>
        <v>0</v>
      </c>
      <c r="AM720">
        <f>IF(metadata!M720="",FALSE,TRUE)</f>
        <v>0</v>
      </c>
      <c r="AN720">
        <f>OR(AND(IF(metadata!N720="",FALSE,TRUE),OR(exact(metadata!N720,"missing: not collected"),exact(metadata!N720,"missing: not provided"),exact(metadata!N720,"missing: restricted access"))),AND(IF(metadata!N720="",FALSE,TRUE),OR(exact(metadata!N720,"TRUE"),exact(metadata!N720,"FALSE"))))</f>
        <v>0</v>
      </c>
      <c r="AO720">
        <f>IF(metadata!O720="",FALSE,TRUE)</f>
        <v>0</v>
      </c>
      <c r="AP720">
        <f>OR(AND(IF(metadata!P720="",FALSE,TRUE),OR(exact(metadata!P720,"missing: not collected"),exact(metadata!P720,"missing: not provided"))),AND(IF(metadata!P720="",FALSE,IF(ISERROR(INT(metadata!P720)),FALSE,INT(metadata!P720)=metadata!P720)),metadata!P720&gt;0))</f>
        <v>0</v>
      </c>
      <c r="AQ720">
        <f>IF(metadata!Q720="",FALSE,TRUE)</f>
        <v>0</v>
      </c>
    </row>
    <row r="721" spans="1:43">
      <c r="A721" s="5">
        <f>IF(B721=" "," ",HYPERLINK(CONCATENATE("#metadata!",ADDRESS(INDEX($W$2:$W$1001,MATCH(ROWS($U$2:U721),$U$2:$U$1001,0),0),1)),INDEX($Z$2:$Z$1001,MATCH(ROWS($U$2:U721),$U$2:$U$1001,0),0)))</f>
        <v>0</v>
      </c>
      <c r="B721" s="4">
        <f>IF(OR(INDEX($V$2:$V$1001,MATCH(ROWS($U$2:U721),$U$2:$U$1001,0),1)&gt;=100000,INDEX($AB$1005:$AQ$1005,1,MATCH(COLUMNS($AB$1006:AB1006),$AB$1006:$AQ$1006,0))&gt;=100000), " ",IF(INDEX($AB$2:$AQ$1001,MATCH(ROWS($U$2:U721),$U$2:$U$1001,0),MATCH(COLUMNS($AB$1006:AB1006),$AB$1006:$AQ$1006,0)), HYPERLINK("#",""), HYPERLINK(CONCATENATE("#metadata!", ADDRESS(INDEX($W$2:$W$1001,MATCH(ROWS($U$2:U721),$U$2:$U$1001,0),0), INDEX($AB$1004:$AQ$1004,1,MATCH(COLUMNS($AB$1006:AB1006),$AB$1006:$AQ$1006,0)))),"Fix")))</f>
        <v>0</v>
      </c>
      <c r="C721" s="4">
        <f>IF(OR(INDEX($V$2:$V$1001,MATCH(ROWS($U$2:U721),$U$2:$U$1001,0),1)&gt;=100000,INDEX($AB$1005:$AQ$1005,1,MATCH(COLUMNS($AB$1006:AC1006),$AB$1006:$AQ$1006,0))&gt;=100000), " ",IF(INDEX($AB$2:$AQ$1001,MATCH(ROWS($U$2:U721),$U$2:$U$1001,0),MATCH(COLUMNS($AB$1006:AC1006),$AB$1006:$AQ$1006,0)), HYPERLINK("#",""), HYPERLINK(CONCATENATE("#metadata!", ADDRESS(INDEX($W$2:$W$1001,MATCH(ROWS($U$2:U721),$U$2:$U$1001,0),0), INDEX($AB$1004:$AQ$1004,1,MATCH(COLUMNS($AB$1006:AC1006),$AB$1006:$AQ$1006,0)))),"Fix")))</f>
        <v>0</v>
      </c>
      <c r="D721" s="4">
        <f>IF(OR(INDEX($V$2:$V$1001,MATCH(ROWS($U$2:U721),$U$2:$U$1001,0),1)&gt;=100000,INDEX($AB$1005:$AQ$1005,1,MATCH(COLUMNS($AB$1006:AD1006),$AB$1006:$AQ$1006,0))&gt;=100000), " ",IF(INDEX($AB$2:$AQ$1001,MATCH(ROWS($U$2:U721),$U$2:$U$1001,0),MATCH(COLUMNS($AB$1006:AD1006),$AB$1006:$AQ$1006,0)), HYPERLINK("#",""), HYPERLINK(CONCATENATE("#metadata!", ADDRESS(INDEX($W$2:$W$1001,MATCH(ROWS($U$2:U721),$U$2:$U$1001,0),0), INDEX($AB$1004:$AQ$1004,1,MATCH(COLUMNS($AB$1006:AD1006),$AB$1006:$AQ$1006,0)))),"Fix")))</f>
        <v>0</v>
      </c>
      <c r="E721" s="4">
        <f>IF(OR(INDEX($V$2:$V$1001,MATCH(ROWS($U$2:U721),$U$2:$U$1001,0),1)&gt;=100000,INDEX($AB$1005:$AQ$1005,1,MATCH(COLUMNS($AB$1006:AE1006),$AB$1006:$AQ$1006,0))&gt;=100000), " ",IF(INDEX($AB$2:$AQ$1001,MATCH(ROWS($U$2:U721),$U$2:$U$1001,0),MATCH(COLUMNS($AB$1006:AE1006),$AB$1006:$AQ$1006,0)), HYPERLINK("#",""), HYPERLINK(CONCATENATE("#metadata!", ADDRESS(INDEX($W$2:$W$1001,MATCH(ROWS($U$2:U721),$U$2:$U$1001,0),0), INDEX($AB$1004:$AQ$1004,1,MATCH(COLUMNS($AB$1006:AE1006),$AB$1006:$AQ$1006,0)))),"Fix")))</f>
        <v>0</v>
      </c>
      <c r="F721" s="4">
        <f>IF(OR(INDEX($V$2:$V$1001,MATCH(ROWS($U$2:U721),$U$2:$U$1001,0),1)&gt;=100000,INDEX($AB$1005:$AQ$1005,1,MATCH(COLUMNS($AB$1006:AF1006),$AB$1006:$AQ$1006,0))&gt;=100000), " ",IF(INDEX($AB$2:$AQ$1001,MATCH(ROWS($U$2:U721),$U$2:$U$1001,0),MATCH(COLUMNS($AB$1006:AF1006),$AB$1006:$AQ$1006,0)), HYPERLINK("#",""), HYPERLINK(CONCATENATE("#metadata!", ADDRESS(INDEX($W$2:$W$1001,MATCH(ROWS($U$2:U721),$U$2:$U$1001,0),0), INDEX($AB$1004:$AQ$1004,1,MATCH(COLUMNS($AB$1006:AF1006),$AB$1006:$AQ$1006,0)))),"Fix")))</f>
        <v>0</v>
      </c>
      <c r="G721" s="4">
        <f>IF(OR(INDEX($V$2:$V$1001,MATCH(ROWS($U$2:U721),$U$2:$U$1001,0),1)&gt;=100000,INDEX($AB$1005:$AQ$1005,1,MATCH(COLUMNS($AB$1006:AG1006),$AB$1006:$AQ$1006,0))&gt;=100000), " ",IF(INDEX($AB$2:$AQ$1001,MATCH(ROWS($U$2:U721),$U$2:$U$1001,0),MATCH(COLUMNS($AB$1006:AG1006),$AB$1006:$AQ$1006,0)), HYPERLINK("#",""), HYPERLINK(CONCATENATE("#metadata!", ADDRESS(INDEX($W$2:$W$1001,MATCH(ROWS($U$2:U721),$U$2:$U$1001,0),0), INDEX($AB$1004:$AQ$1004,1,MATCH(COLUMNS($AB$1006:AG1006),$AB$1006:$AQ$1006,0)))),"Fix")))</f>
        <v>0</v>
      </c>
      <c r="H721" s="4">
        <f>IF(OR(INDEX($V$2:$V$1001,MATCH(ROWS($U$2:U721),$U$2:$U$1001,0),1)&gt;=100000,INDEX($AB$1005:$AQ$1005,1,MATCH(COLUMNS($AB$1006:AH1006),$AB$1006:$AQ$1006,0))&gt;=100000), " ",IF(INDEX($AB$2:$AQ$1001,MATCH(ROWS($U$2:U721),$U$2:$U$1001,0),MATCH(COLUMNS($AB$1006:AH1006),$AB$1006:$AQ$1006,0)), HYPERLINK("#",""), HYPERLINK(CONCATENATE("#metadata!", ADDRESS(INDEX($W$2:$W$1001,MATCH(ROWS($U$2:U721),$U$2:$U$1001,0),0), INDEX($AB$1004:$AQ$1004,1,MATCH(COLUMNS($AB$1006:AH1006),$AB$1006:$AQ$1006,0)))),"Fix")))</f>
        <v>0</v>
      </c>
      <c r="I721" s="4">
        <f>IF(OR(INDEX($V$2:$V$1001,MATCH(ROWS($U$2:U721),$U$2:$U$1001,0),1)&gt;=100000,INDEX($AB$1005:$AQ$1005,1,MATCH(COLUMNS($AB$1006:AI1006),$AB$1006:$AQ$1006,0))&gt;=100000), " ",IF(INDEX($AB$2:$AQ$1001,MATCH(ROWS($U$2:U721),$U$2:$U$1001,0),MATCH(COLUMNS($AB$1006:AI1006),$AB$1006:$AQ$1006,0)), HYPERLINK("#",""), HYPERLINK(CONCATENATE("#metadata!", ADDRESS(INDEX($W$2:$W$1001,MATCH(ROWS($U$2:U721),$U$2:$U$1001,0),0), INDEX($AB$1004:$AQ$1004,1,MATCH(COLUMNS($AB$1006:AI1006),$AB$1006:$AQ$1006,0)))),"Fix")))</f>
        <v>0</v>
      </c>
      <c r="J721" s="4">
        <f>IF(OR(INDEX($V$2:$V$1001,MATCH(ROWS($U$2:U721),$U$2:$U$1001,0),1)&gt;=100000,INDEX($AB$1005:$AQ$1005,1,MATCH(COLUMNS($AB$1006:AJ1006),$AB$1006:$AQ$1006,0))&gt;=100000), " ",IF(INDEX($AB$2:$AQ$1001,MATCH(ROWS($U$2:U721),$U$2:$U$1001,0),MATCH(COLUMNS($AB$1006:AJ1006),$AB$1006:$AQ$1006,0)), HYPERLINK("#",""), HYPERLINK(CONCATENATE("#metadata!", ADDRESS(INDEX($W$2:$W$1001,MATCH(ROWS($U$2:U721),$U$2:$U$1001,0),0), INDEX($AB$1004:$AQ$1004,1,MATCH(COLUMNS($AB$1006:AJ1006),$AB$1006:$AQ$1006,0)))),"Fix")))</f>
        <v>0</v>
      </c>
      <c r="K721" s="4">
        <f>IF(OR(INDEX($V$2:$V$1001,MATCH(ROWS($U$2:U721),$U$2:$U$1001,0),1)&gt;=100000,INDEX($AB$1005:$AQ$1005,1,MATCH(COLUMNS($AB$1006:AK1006),$AB$1006:$AQ$1006,0))&gt;=100000), " ",IF(INDEX($AB$2:$AQ$1001,MATCH(ROWS($U$2:U721),$U$2:$U$1001,0),MATCH(COLUMNS($AB$1006:AK1006),$AB$1006:$AQ$1006,0)), HYPERLINK("#",""), HYPERLINK(CONCATENATE("#metadata!", ADDRESS(INDEX($W$2:$W$1001,MATCH(ROWS($U$2:U721),$U$2:$U$1001,0),0), INDEX($AB$1004:$AQ$1004,1,MATCH(COLUMNS($AB$1006:AK1006),$AB$1006:$AQ$1006,0)))),"Fix")))</f>
        <v>0</v>
      </c>
      <c r="L721" s="4">
        <f>IF(OR(INDEX($V$2:$V$1001,MATCH(ROWS($U$2:U721),$U$2:$U$1001,0),1)&gt;=100000,INDEX($AB$1005:$AQ$1005,1,MATCH(COLUMNS($AB$1006:AL1006),$AB$1006:$AQ$1006,0))&gt;=100000), " ",IF(INDEX($AB$2:$AQ$1001,MATCH(ROWS($U$2:U721),$U$2:$U$1001,0),MATCH(COLUMNS($AB$1006:AL1006),$AB$1006:$AQ$1006,0)), HYPERLINK("#",""), HYPERLINK(CONCATENATE("#metadata!", ADDRESS(INDEX($W$2:$W$1001,MATCH(ROWS($U$2:U721),$U$2:$U$1001,0),0), INDEX($AB$1004:$AQ$1004,1,MATCH(COLUMNS($AB$1006:AL1006),$AB$1006:$AQ$1006,0)))),"Fix")))</f>
        <v>0</v>
      </c>
      <c r="M721" s="4">
        <f>IF(OR(INDEX($V$2:$V$1001,MATCH(ROWS($U$2:U721),$U$2:$U$1001,0),1)&gt;=100000,INDEX($AB$1005:$AQ$1005,1,MATCH(COLUMNS($AB$1006:AM1006),$AB$1006:$AQ$1006,0))&gt;=100000), " ",IF(INDEX($AB$2:$AQ$1001,MATCH(ROWS($U$2:U721),$U$2:$U$1001,0),MATCH(COLUMNS($AB$1006:AM1006),$AB$1006:$AQ$1006,0)), HYPERLINK("#",""), HYPERLINK(CONCATENATE("#metadata!", ADDRESS(INDEX($W$2:$W$1001,MATCH(ROWS($U$2:U721),$U$2:$U$1001,0),0), INDEX($AB$1004:$AQ$1004,1,MATCH(COLUMNS($AB$1006:AM1006),$AB$1006:$AQ$1006,0)))),"Fix")))</f>
        <v>0</v>
      </c>
      <c r="N721" s="4">
        <f>IF(OR(INDEX($V$2:$V$1001,MATCH(ROWS($U$2:U721),$U$2:$U$1001,0),1)&gt;=100000,INDEX($AB$1005:$AQ$1005,1,MATCH(COLUMNS($AB$1006:AN1006),$AB$1006:$AQ$1006,0))&gt;=100000), " ",IF(INDEX($AB$2:$AQ$1001,MATCH(ROWS($U$2:U721),$U$2:$U$1001,0),MATCH(COLUMNS($AB$1006:AN1006),$AB$1006:$AQ$1006,0)), HYPERLINK("#",""), HYPERLINK(CONCATENATE("#metadata!", ADDRESS(INDEX($W$2:$W$1001,MATCH(ROWS($U$2:U721),$U$2:$U$1001,0),0), INDEX($AB$1004:$AQ$1004,1,MATCH(COLUMNS($AB$1006:AN1006),$AB$1006:$AQ$1006,0)))),"Fix")))</f>
        <v>0</v>
      </c>
      <c r="O721" s="4">
        <f>IF(OR(INDEX($V$2:$V$1001,MATCH(ROWS($U$2:U721),$U$2:$U$1001,0),1)&gt;=100000,INDEX($AB$1005:$AQ$1005,1,MATCH(COLUMNS($AB$1006:AO1006),$AB$1006:$AQ$1006,0))&gt;=100000), " ",IF(INDEX($AB$2:$AQ$1001,MATCH(ROWS($U$2:U721),$U$2:$U$1001,0),MATCH(COLUMNS($AB$1006:AO1006),$AB$1006:$AQ$1006,0)), HYPERLINK("#",""), HYPERLINK(CONCATENATE("#metadata!", ADDRESS(INDEX($W$2:$W$1001,MATCH(ROWS($U$2:U721),$U$2:$U$1001,0),0), INDEX($AB$1004:$AQ$1004,1,MATCH(COLUMNS($AB$1006:AO1006),$AB$1006:$AQ$1006,0)))),"Fix")))</f>
        <v>0</v>
      </c>
      <c r="P721" s="4">
        <f>IF(OR(INDEX($V$2:$V$1001,MATCH(ROWS($U$2:U721),$U$2:$U$1001,0),1)&gt;=100000,INDEX($AB$1005:$AQ$1005,1,MATCH(COLUMNS($AB$1006:AP1006),$AB$1006:$AQ$1006,0))&gt;=100000), " ",IF(INDEX($AB$2:$AQ$1001,MATCH(ROWS($U$2:U721),$U$2:$U$1001,0),MATCH(COLUMNS($AB$1006:AP1006),$AB$1006:$AQ$1006,0)), HYPERLINK("#",""), HYPERLINK(CONCATENATE("#metadata!", ADDRESS(INDEX($W$2:$W$1001,MATCH(ROWS($U$2:U721),$U$2:$U$1001,0),0), INDEX($AB$1004:$AQ$1004,1,MATCH(COLUMNS($AB$1006:AP1006),$AB$1006:$AQ$1006,0)))),"Fix")))</f>
        <v>0</v>
      </c>
      <c r="Q721" s="4">
        <f>IF(OR(INDEX($V$2:$V$1001,MATCH(ROWS($U$2:U721),$U$2:$U$1001,0),1)&gt;=100000,INDEX($AB$1005:$AQ$1005,1,MATCH(COLUMNS($AB$1006:AQ1006),$AB$1006:$AQ$1006,0))&gt;=100000), " ",IF(INDEX($AB$2:$AQ$1001,MATCH(ROWS($U$2:U721),$U$2:$U$1001,0),MATCH(COLUMNS($AB$1006:AQ1006),$AB$1006:$AQ$1006,0)), HYPERLINK("#",""), HYPERLINK(CONCATENATE("#metadata!", ADDRESS(INDEX($W$2:$W$1001,MATCH(ROWS($U$2:U721),$U$2:$U$1001,0),0), INDEX($AB$1004:$AQ$1004,1,MATCH(COLUMNS($AB$1006:AQ1006),$AB$1006:$AQ$1006,0)))),"Fix")))</f>
        <v>0</v>
      </c>
      <c r="U721">
        <v>0</v>
      </c>
      <c r="V721">
        <v>0</v>
      </c>
      <c r="W721">
        <v>0</v>
      </c>
      <c r="X721">
        <f>IF(Y721,TRUE,AND(AB721:AQ721))</f>
        <v>0</v>
      </c>
      <c r="Y721">
        <f>COUNTBLANK(metadata!B721:Q721)=COLUMNS(metadata!B721:Q721)</f>
        <v>0</v>
      </c>
      <c r="Z721">
        <v>0</v>
      </c>
      <c r="AB721">
        <f>AND(IF(metadata!B721="",FALSE,TRUE),COUNTIF(metadata!B:B, metadata!B721) = 1,NOT(ISERROR(SUMPRODUCT(SEARCH(MID(metadata!B721,ROW(INDIRECT("1:"&amp;LEN(metadata!B721))), 1),"0123456789abcdefghijklmnopqrstuvwxyzABCDEFGHIJKLMNOPQRSTUVWXYZ.")))))</f>
        <v>0</v>
      </c>
      <c r="AC721">
        <f>OR(AND(IF(metadata!C721="",FALSE,TRUE),OR(exact(metadata!C721,"missing: not collected"),exact(metadata!C721,"missing: not provided"),exact(metadata!C721,"missing: restricted access"))),AND(IF(metadata!C721="",FALSE,TRUE),AND(AND(IFERROR(INT(LEFT(metadata!C721,4))&gt;1900,FALSE),IFERROR(INT(LEFT(metadata!C721,4))&lt;=YEAR(NOW()),FALSE)), OR(MID(metadata!C721,5,1)="", AND(AND(MID(metadata!C721,5,1)="-",IFERROR(INT(MID(metadata!C721,6,1))&gt;=0,FALSE),IFERROR(INT(MID(metadata!C721,6,1))&lt;=1,FALSE),NOT(MID(metadata!C721,7,1)=""),IFERROR(INT(MID(metadata!C721,6,2))&gt;=1,FALSE),IFERROR(INT(MID(metadata!C721,6,2))&lt;=12,FALSE)), OR(MID(metadata!C721,8,1)="", AND(AND(MID(metadata!C721,8,1)="-",IFERROR(INT(MID(metadata!C721,9,1))&gt;=0,FALSE),IFERROR(INT(MID(metadata!C721,9,1))&lt;=3,FALSE),NOT(MID(metadata!C721,10,1)=""),IFERROR(INT(MID(metadata!C721,9,2))&gt;=1,FALSE),IFERROR(INT(MID(metadata!C721,9,2))&lt;=31,FALSE)), OR(MID(metadata!C721,11,1)="", AND(AND(MID(metadata!C721,11,1)=" ",IFERROR(INT(MID(metadata!C721,12,1))&gt;=0,FALSE),IFERROR(INT(MID(metadata!C721,12,1))&lt;=2,FALSE),NOT(MID(metadata!C721,13,1)=""),IFERROR(INT(MID(metadata!C721,12,2))&gt;=0,FALSE),IFERROR(INT(MID(metadata!C721,12,2))&lt;=23,FALSE)), OR(MID(metadata!C721,14,1)="", AND(AND(MID(metadata!C721,14,1)=":",IFERROR(INT(MID(metadata!C721,15,1))&gt;=0,FALSE),IFERROR(INT(MID(metadata!C721,15,1))&lt;=5,FALSE),NOT(MID(metadata!C721,16,1)=""),IFERROR(INT(MID(metadata!C721,15,2))&gt;=0,FALSE),IFERROR(INT(MID(metadata!C721,15,2))&lt;=59,FALSE)), OR(MID(metadata!C721,17,1)="", AND(AND(MID(metadata!C721,17,1)=":",IFERROR(INT(MID(metadata!C721,18,1))&gt;=0,FALSE),IFERROR(INT(MID(metadata!C721,18,1))&lt;=5,FALSE),NOT(MID(metadata!C721,19,1)=""),IFERROR(INT(MID(metadata!C721,18,2))&gt;=0,FALSE),IFERROR(INT(MID(metadata!C721,18,2))&lt;=59,FALSE)), LEN(metadata!C721)&lt;=19)))))))))))))</f>
        <v>0</v>
      </c>
      <c r="AD721">
        <f>IF(metadata!D721="",FALSE,TRUE)</f>
        <v>0</v>
      </c>
      <c r="AE721">
        <f>OR(AND(IF(metadata!E721="",FALSE,TRUE),OR(exact(metadata!E721,"missing: not collected"),exact(metadata!E721,"missing: not provided"))),AND(IF(metadata!E721="",FALSE,TRUE),OR(exact(metadata!E721,"TRUE"),exact(metadata!E721,"FALSE"))))</f>
        <v>0</v>
      </c>
      <c r="AF721">
        <f>IF(metadata!F721="",FALSE,TRUE)</f>
        <v>0</v>
      </c>
      <c r="AG721">
        <f>IF(metadata!G721="",FALSE,TRUE)</f>
        <v>0</v>
      </c>
      <c r="AH721">
        <f>IF(metadata!H721="",FALSE,TRUE)</f>
        <v>0</v>
      </c>
      <c r="AI721">
        <f>OR(AND(IF(metadata!I721="",FALSE,TRUE),OR(exact(metadata!I721,"missing: not collected"),exact(metadata!I721,"missing: not provided"),exact(metadata!I721,"missing: restricted access"))),AND(IF(metadata!I721="",FALSE,TRUE),OR(exact(metadata!I721,"air"),exact(metadata!I721,"built environment"),exact(metadata!I721,"host-associated"),exact(metadata!I721,"human-associated"),exact(metadata!I721,"human-skin"),exact(metadata!I721,"human-oral"),exact(metadata!I721,"human-gut"),exact(metadata!I721,"human-vaginal"),exact(metadata!I721,"microbial mat/biofilm"),exact(metadata!I721,"misc environment"),exact(metadata!I721,"plant-associated"),exact(metadata!I721,"sediment"),exact(metadata!I721,"soil"),exact(metadata!I721,"wastewater/sludge"),exact(metadata!I721,"water"))))</f>
        <v>0</v>
      </c>
      <c r="AJ721">
        <f>IF(metadata!J721="",FALSE,TRUE)</f>
        <v>0</v>
      </c>
      <c r="AK721">
        <f>OR(AND(IF(metadata!K721="",FALSE,TRUE),OR(exact(metadata!K721,"missing: not collected"),exact(metadata!K721,"missing: not provided"),exact(metadata!K721,"missing: restricted access"))),AND(IF(metadata!K721="",FALSE,ISNUMBER(VALUE(metadata!K721))),metadata!K721&gt;=-90.00,metadata!K721&lt;=90.00))</f>
        <v>0</v>
      </c>
      <c r="AL721">
        <f>OR(AND(IF(metadata!L721="",FALSE,TRUE),OR(exact(metadata!L721,"missing: not collected"),exact(metadata!L721,"missing: not provided"),exact(metadata!L721,"missing: restricted access"))),AND(IF(metadata!L721="",FALSE,ISNUMBER(VALUE(metadata!L721))),metadata!L721&gt;=-180.00,metadata!L721&lt;=180.00))</f>
        <v>0</v>
      </c>
      <c r="AM721">
        <f>IF(metadata!M721="",FALSE,TRUE)</f>
        <v>0</v>
      </c>
      <c r="AN721">
        <f>OR(AND(IF(metadata!N721="",FALSE,TRUE),OR(exact(metadata!N721,"missing: not collected"),exact(metadata!N721,"missing: not provided"),exact(metadata!N721,"missing: restricted access"))),AND(IF(metadata!N721="",FALSE,TRUE),OR(exact(metadata!N721,"TRUE"),exact(metadata!N721,"FALSE"))))</f>
        <v>0</v>
      </c>
      <c r="AO721">
        <f>IF(metadata!O721="",FALSE,TRUE)</f>
        <v>0</v>
      </c>
      <c r="AP721">
        <f>OR(AND(IF(metadata!P721="",FALSE,TRUE),OR(exact(metadata!P721,"missing: not collected"),exact(metadata!P721,"missing: not provided"))),AND(IF(metadata!P721="",FALSE,IF(ISERROR(INT(metadata!P721)),FALSE,INT(metadata!P721)=metadata!P721)),metadata!P721&gt;0))</f>
        <v>0</v>
      </c>
      <c r="AQ721">
        <f>IF(metadata!Q721="",FALSE,TRUE)</f>
        <v>0</v>
      </c>
    </row>
    <row r="722" spans="1:43">
      <c r="A722" s="5">
        <f>IF(B722=" "," ",HYPERLINK(CONCATENATE("#metadata!",ADDRESS(INDEX($W$2:$W$1001,MATCH(ROWS($U$2:U722),$U$2:$U$1001,0),0),1)),INDEX($Z$2:$Z$1001,MATCH(ROWS($U$2:U722),$U$2:$U$1001,0),0)))</f>
        <v>0</v>
      </c>
      <c r="B722" s="4">
        <f>IF(OR(INDEX($V$2:$V$1001,MATCH(ROWS($U$2:U722),$U$2:$U$1001,0),1)&gt;=100000,INDEX($AB$1005:$AQ$1005,1,MATCH(COLUMNS($AB$1006:AB1006),$AB$1006:$AQ$1006,0))&gt;=100000), " ",IF(INDEX($AB$2:$AQ$1001,MATCH(ROWS($U$2:U722),$U$2:$U$1001,0),MATCH(COLUMNS($AB$1006:AB1006),$AB$1006:$AQ$1006,0)), HYPERLINK("#",""), HYPERLINK(CONCATENATE("#metadata!", ADDRESS(INDEX($W$2:$W$1001,MATCH(ROWS($U$2:U722),$U$2:$U$1001,0),0), INDEX($AB$1004:$AQ$1004,1,MATCH(COLUMNS($AB$1006:AB1006),$AB$1006:$AQ$1006,0)))),"Fix")))</f>
        <v>0</v>
      </c>
      <c r="C722" s="4">
        <f>IF(OR(INDEX($V$2:$V$1001,MATCH(ROWS($U$2:U722),$U$2:$U$1001,0),1)&gt;=100000,INDEX($AB$1005:$AQ$1005,1,MATCH(COLUMNS($AB$1006:AC1006),$AB$1006:$AQ$1006,0))&gt;=100000), " ",IF(INDEX($AB$2:$AQ$1001,MATCH(ROWS($U$2:U722),$U$2:$U$1001,0),MATCH(COLUMNS($AB$1006:AC1006),$AB$1006:$AQ$1006,0)), HYPERLINK("#",""), HYPERLINK(CONCATENATE("#metadata!", ADDRESS(INDEX($W$2:$W$1001,MATCH(ROWS($U$2:U722),$U$2:$U$1001,0),0), INDEX($AB$1004:$AQ$1004,1,MATCH(COLUMNS($AB$1006:AC1006),$AB$1006:$AQ$1006,0)))),"Fix")))</f>
        <v>0</v>
      </c>
      <c r="D722" s="4">
        <f>IF(OR(INDEX($V$2:$V$1001,MATCH(ROWS($U$2:U722),$U$2:$U$1001,0),1)&gt;=100000,INDEX($AB$1005:$AQ$1005,1,MATCH(COLUMNS($AB$1006:AD1006),$AB$1006:$AQ$1006,0))&gt;=100000), " ",IF(INDEX($AB$2:$AQ$1001,MATCH(ROWS($U$2:U722),$U$2:$U$1001,0),MATCH(COLUMNS($AB$1006:AD1006),$AB$1006:$AQ$1006,0)), HYPERLINK("#",""), HYPERLINK(CONCATENATE("#metadata!", ADDRESS(INDEX($W$2:$W$1001,MATCH(ROWS($U$2:U722),$U$2:$U$1001,0),0), INDEX($AB$1004:$AQ$1004,1,MATCH(COLUMNS($AB$1006:AD1006),$AB$1006:$AQ$1006,0)))),"Fix")))</f>
        <v>0</v>
      </c>
      <c r="E722" s="4">
        <f>IF(OR(INDEX($V$2:$V$1001,MATCH(ROWS($U$2:U722),$U$2:$U$1001,0),1)&gt;=100000,INDEX($AB$1005:$AQ$1005,1,MATCH(COLUMNS($AB$1006:AE1006),$AB$1006:$AQ$1006,0))&gt;=100000), " ",IF(INDEX($AB$2:$AQ$1001,MATCH(ROWS($U$2:U722),$U$2:$U$1001,0),MATCH(COLUMNS($AB$1006:AE1006),$AB$1006:$AQ$1006,0)), HYPERLINK("#",""), HYPERLINK(CONCATENATE("#metadata!", ADDRESS(INDEX($W$2:$W$1001,MATCH(ROWS($U$2:U722),$U$2:$U$1001,0),0), INDEX($AB$1004:$AQ$1004,1,MATCH(COLUMNS($AB$1006:AE1006),$AB$1006:$AQ$1006,0)))),"Fix")))</f>
        <v>0</v>
      </c>
      <c r="F722" s="4">
        <f>IF(OR(INDEX($V$2:$V$1001,MATCH(ROWS($U$2:U722),$U$2:$U$1001,0),1)&gt;=100000,INDEX($AB$1005:$AQ$1005,1,MATCH(COLUMNS($AB$1006:AF1006),$AB$1006:$AQ$1006,0))&gt;=100000), " ",IF(INDEX($AB$2:$AQ$1001,MATCH(ROWS($U$2:U722),$U$2:$U$1001,0),MATCH(COLUMNS($AB$1006:AF1006),$AB$1006:$AQ$1006,0)), HYPERLINK("#",""), HYPERLINK(CONCATENATE("#metadata!", ADDRESS(INDEX($W$2:$W$1001,MATCH(ROWS($U$2:U722),$U$2:$U$1001,0),0), INDEX($AB$1004:$AQ$1004,1,MATCH(COLUMNS($AB$1006:AF1006),$AB$1006:$AQ$1006,0)))),"Fix")))</f>
        <v>0</v>
      </c>
      <c r="G722" s="4">
        <f>IF(OR(INDEX($V$2:$V$1001,MATCH(ROWS($U$2:U722),$U$2:$U$1001,0),1)&gt;=100000,INDEX($AB$1005:$AQ$1005,1,MATCH(COLUMNS($AB$1006:AG1006),$AB$1006:$AQ$1006,0))&gt;=100000), " ",IF(INDEX($AB$2:$AQ$1001,MATCH(ROWS($U$2:U722),$U$2:$U$1001,0),MATCH(COLUMNS($AB$1006:AG1006),$AB$1006:$AQ$1006,0)), HYPERLINK("#",""), HYPERLINK(CONCATENATE("#metadata!", ADDRESS(INDEX($W$2:$W$1001,MATCH(ROWS($U$2:U722),$U$2:$U$1001,0),0), INDEX($AB$1004:$AQ$1004,1,MATCH(COLUMNS($AB$1006:AG1006),$AB$1006:$AQ$1006,0)))),"Fix")))</f>
        <v>0</v>
      </c>
      <c r="H722" s="4">
        <f>IF(OR(INDEX($V$2:$V$1001,MATCH(ROWS($U$2:U722),$U$2:$U$1001,0),1)&gt;=100000,INDEX($AB$1005:$AQ$1005,1,MATCH(COLUMNS($AB$1006:AH1006),$AB$1006:$AQ$1006,0))&gt;=100000), " ",IF(INDEX($AB$2:$AQ$1001,MATCH(ROWS($U$2:U722),$U$2:$U$1001,0),MATCH(COLUMNS($AB$1006:AH1006),$AB$1006:$AQ$1006,0)), HYPERLINK("#",""), HYPERLINK(CONCATENATE("#metadata!", ADDRESS(INDEX($W$2:$W$1001,MATCH(ROWS($U$2:U722),$U$2:$U$1001,0),0), INDEX($AB$1004:$AQ$1004,1,MATCH(COLUMNS($AB$1006:AH1006),$AB$1006:$AQ$1006,0)))),"Fix")))</f>
        <v>0</v>
      </c>
      <c r="I722" s="4">
        <f>IF(OR(INDEX($V$2:$V$1001,MATCH(ROWS($U$2:U722),$U$2:$U$1001,0),1)&gt;=100000,INDEX($AB$1005:$AQ$1005,1,MATCH(COLUMNS($AB$1006:AI1006),$AB$1006:$AQ$1006,0))&gt;=100000), " ",IF(INDEX($AB$2:$AQ$1001,MATCH(ROWS($U$2:U722),$U$2:$U$1001,0),MATCH(COLUMNS($AB$1006:AI1006),$AB$1006:$AQ$1006,0)), HYPERLINK("#",""), HYPERLINK(CONCATENATE("#metadata!", ADDRESS(INDEX($W$2:$W$1001,MATCH(ROWS($U$2:U722),$U$2:$U$1001,0),0), INDEX($AB$1004:$AQ$1004,1,MATCH(COLUMNS($AB$1006:AI1006),$AB$1006:$AQ$1006,0)))),"Fix")))</f>
        <v>0</v>
      </c>
      <c r="J722" s="4">
        <f>IF(OR(INDEX($V$2:$V$1001,MATCH(ROWS($U$2:U722),$U$2:$U$1001,0),1)&gt;=100000,INDEX($AB$1005:$AQ$1005,1,MATCH(COLUMNS($AB$1006:AJ1006),$AB$1006:$AQ$1006,0))&gt;=100000), " ",IF(INDEX($AB$2:$AQ$1001,MATCH(ROWS($U$2:U722),$U$2:$U$1001,0),MATCH(COLUMNS($AB$1006:AJ1006),$AB$1006:$AQ$1006,0)), HYPERLINK("#",""), HYPERLINK(CONCATENATE("#metadata!", ADDRESS(INDEX($W$2:$W$1001,MATCH(ROWS($U$2:U722),$U$2:$U$1001,0),0), INDEX($AB$1004:$AQ$1004,1,MATCH(COLUMNS($AB$1006:AJ1006),$AB$1006:$AQ$1006,0)))),"Fix")))</f>
        <v>0</v>
      </c>
      <c r="K722" s="4">
        <f>IF(OR(INDEX($V$2:$V$1001,MATCH(ROWS($U$2:U722),$U$2:$U$1001,0),1)&gt;=100000,INDEX($AB$1005:$AQ$1005,1,MATCH(COLUMNS($AB$1006:AK1006),$AB$1006:$AQ$1006,0))&gt;=100000), " ",IF(INDEX($AB$2:$AQ$1001,MATCH(ROWS($U$2:U722),$U$2:$U$1001,0),MATCH(COLUMNS($AB$1006:AK1006),$AB$1006:$AQ$1006,0)), HYPERLINK("#",""), HYPERLINK(CONCATENATE("#metadata!", ADDRESS(INDEX($W$2:$W$1001,MATCH(ROWS($U$2:U722),$U$2:$U$1001,0),0), INDEX($AB$1004:$AQ$1004,1,MATCH(COLUMNS($AB$1006:AK1006),$AB$1006:$AQ$1006,0)))),"Fix")))</f>
        <v>0</v>
      </c>
      <c r="L722" s="4">
        <f>IF(OR(INDEX($V$2:$V$1001,MATCH(ROWS($U$2:U722),$U$2:$U$1001,0),1)&gt;=100000,INDEX($AB$1005:$AQ$1005,1,MATCH(COLUMNS($AB$1006:AL1006),$AB$1006:$AQ$1006,0))&gt;=100000), " ",IF(INDEX($AB$2:$AQ$1001,MATCH(ROWS($U$2:U722),$U$2:$U$1001,0),MATCH(COLUMNS($AB$1006:AL1006),$AB$1006:$AQ$1006,0)), HYPERLINK("#",""), HYPERLINK(CONCATENATE("#metadata!", ADDRESS(INDEX($W$2:$W$1001,MATCH(ROWS($U$2:U722),$U$2:$U$1001,0),0), INDEX($AB$1004:$AQ$1004,1,MATCH(COLUMNS($AB$1006:AL1006),$AB$1006:$AQ$1006,0)))),"Fix")))</f>
        <v>0</v>
      </c>
      <c r="M722" s="4">
        <f>IF(OR(INDEX($V$2:$V$1001,MATCH(ROWS($U$2:U722),$U$2:$U$1001,0),1)&gt;=100000,INDEX($AB$1005:$AQ$1005,1,MATCH(COLUMNS($AB$1006:AM1006),$AB$1006:$AQ$1006,0))&gt;=100000), " ",IF(INDEX($AB$2:$AQ$1001,MATCH(ROWS($U$2:U722),$U$2:$U$1001,0),MATCH(COLUMNS($AB$1006:AM1006),$AB$1006:$AQ$1006,0)), HYPERLINK("#",""), HYPERLINK(CONCATENATE("#metadata!", ADDRESS(INDEX($W$2:$W$1001,MATCH(ROWS($U$2:U722),$U$2:$U$1001,0),0), INDEX($AB$1004:$AQ$1004,1,MATCH(COLUMNS($AB$1006:AM1006),$AB$1006:$AQ$1006,0)))),"Fix")))</f>
        <v>0</v>
      </c>
      <c r="N722" s="4">
        <f>IF(OR(INDEX($V$2:$V$1001,MATCH(ROWS($U$2:U722),$U$2:$U$1001,0),1)&gt;=100000,INDEX($AB$1005:$AQ$1005,1,MATCH(COLUMNS($AB$1006:AN1006),$AB$1006:$AQ$1006,0))&gt;=100000), " ",IF(INDEX($AB$2:$AQ$1001,MATCH(ROWS($U$2:U722),$U$2:$U$1001,0),MATCH(COLUMNS($AB$1006:AN1006),$AB$1006:$AQ$1006,0)), HYPERLINK("#",""), HYPERLINK(CONCATENATE("#metadata!", ADDRESS(INDEX($W$2:$W$1001,MATCH(ROWS($U$2:U722),$U$2:$U$1001,0),0), INDEX($AB$1004:$AQ$1004,1,MATCH(COLUMNS($AB$1006:AN1006),$AB$1006:$AQ$1006,0)))),"Fix")))</f>
        <v>0</v>
      </c>
      <c r="O722" s="4">
        <f>IF(OR(INDEX($V$2:$V$1001,MATCH(ROWS($U$2:U722),$U$2:$U$1001,0),1)&gt;=100000,INDEX($AB$1005:$AQ$1005,1,MATCH(COLUMNS($AB$1006:AO1006),$AB$1006:$AQ$1006,0))&gt;=100000), " ",IF(INDEX($AB$2:$AQ$1001,MATCH(ROWS($U$2:U722),$U$2:$U$1001,0),MATCH(COLUMNS($AB$1006:AO1006),$AB$1006:$AQ$1006,0)), HYPERLINK("#",""), HYPERLINK(CONCATENATE("#metadata!", ADDRESS(INDEX($W$2:$W$1001,MATCH(ROWS($U$2:U722),$U$2:$U$1001,0),0), INDEX($AB$1004:$AQ$1004,1,MATCH(COLUMNS($AB$1006:AO1006),$AB$1006:$AQ$1006,0)))),"Fix")))</f>
        <v>0</v>
      </c>
      <c r="P722" s="4">
        <f>IF(OR(INDEX($V$2:$V$1001,MATCH(ROWS($U$2:U722),$U$2:$U$1001,0),1)&gt;=100000,INDEX($AB$1005:$AQ$1005,1,MATCH(COLUMNS($AB$1006:AP1006),$AB$1006:$AQ$1006,0))&gt;=100000), " ",IF(INDEX($AB$2:$AQ$1001,MATCH(ROWS($U$2:U722),$U$2:$U$1001,0),MATCH(COLUMNS($AB$1006:AP1006),$AB$1006:$AQ$1006,0)), HYPERLINK("#",""), HYPERLINK(CONCATENATE("#metadata!", ADDRESS(INDEX($W$2:$W$1001,MATCH(ROWS($U$2:U722),$U$2:$U$1001,0),0), INDEX($AB$1004:$AQ$1004,1,MATCH(COLUMNS($AB$1006:AP1006),$AB$1006:$AQ$1006,0)))),"Fix")))</f>
        <v>0</v>
      </c>
      <c r="Q722" s="4">
        <f>IF(OR(INDEX($V$2:$V$1001,MATCH(ROWS($U$2:U722),$U$2:$U$1001,0),1)&gt;=100000,INDEX($AB$1005:$AQ$1005,1,MATCH(COLUMNS($AB$1006:AQ1006),$AB$1006:$AQ$1006,0))&gt;=100000), " ",IF(INDEX($AB$2:$AQ$1001,MATCH(ROWS($U$2:U722),$U$2:$U$1001,0),MATCH(COLUMNS($AB$1006:AQ1006),$AB$1006:$AQ$1006,0)), HYPERLINK("#",""), HYPERLINK(CONCATENATE("#metadata!", ADDRESS(INDEX($W$2:$W$1001,MATCH(ROWS($U$2:U722),$U$2:$U$1001,0),0), INDEX($AB$1004:$AQ$1004,1,MATCH(COLUMNS($AB$1006:AQ1006),$AB$1006:$AQ$1006,0)))),"Fix")))</f>
        <v>0</v>
      </c>
      <c r="U722">
        <v>0</v>
      </c>
      <c r="V722">
        <v>0</v>
      </c>
      <c r="W722">
        <v>0</v>
      </c>
      <c r="X722">
        <f>IF(Y722,TRUE,AND(AB722:AQ722))</f>
        <v>0</v>
      </c>
      <c r="Y722">
        <f>COUNTBLANK(metadata!B722:Q722)=COLUMNS(metadata!B722:Q722)</f>
        <v>0</v>
      </c>
      <c r="Z722">
        <v>0</v>
      </c>
      <c r="AB722">
        <f>AND(IF(metadata!B722="",FALSE,TRUE),COUNTIF(metadata!B:B, metadata!B722) = 1,NOT(ISERROR(SUMPRODUCT(SEARCH(MID(metadata!B722,ROW(INDIRECT("1:"&amp;LEN(metadata!B722))), 1),"0123456789abcdefghijklmnopqrstuvwxyzABCDEFGHIJKLMNOPQRSTUVWXYZ.")))))</f>
        <v>0</v>
      </c>
      <c r="AC722">
        <f>OR(AND(IF(metadata!C722="",FALSE,TRUE),OR(exact(metadata!C722,"missing: not collected"),exact(metadata!C722,"missing: not provided"),exact(metadata!C722,"missing: restricted access"))),AND(IF(metadata!C722="",FALSE,TRUE),AND(AND(IFERROR(INT(LEFT(metadata!C722,4))&gt;1900,FALSE),IFERROR(INT(LEFT(metadata!C722,4))&lt;=YEAR(NOW()),FALSE)), OR(MID(metadata!C722,5,1)="", AND(AND(MID(metadata!C722,5,1)="-",IFERROR(INT(MID(metadata!C722,6,1))&gt;=0,FALSE),IFERROR(INT(MID(metadata!C722,6,1))&lt;=1,FALSE),NOT(MID(metadata!C722,7,1)=""),IFERROR(INT(MID(metadata!C722,6,2))&gt;=1,FALSE),IFERROR(INT(MID(metadata!C722,6,2))&lt;=12,FALSE)), OR(MID(metadata!C722,8,1)="", AND(AND(MID(metadata!C722,8,1)="-",IFERROR(INT(MID(metadata!C722,9,1))&gt;=0,FALSE),IFERROR(INT(MID(metadata!C722,9,1))&lt;=3,FALSE),NOT(MID(metadata!C722,10,1)=""),IFERROR(INT(MID(metadata!C722,9,2))&gt;=1,FALSE),IFERROR(INT(MID(metadata!C722,9,2))&lt;=31,FALSE)), OR(MID(metadata!C722,11,1)="", AND(AND(MID(metadata!C722,11,1)=" ",IFERROR(INT(MID(metadata!C722,12,1))&gt;=0,FALSE),IFERROR(INT(MID(metadata!C722,12,1))&lt;=2,FALSE),NOT(MID(metadata!C722,13,1)=""),IFERROR(INT(MID(metadata!C722,12,2))&gt;=0,FALSE),IFERROR(INT(MID(metadata!C722,12,2))&lt;=23,FALSE)), OR(MID(metadata!C722,14,1)="", AND(AND(MID(metadata!C722,14,1)=":",IFERROR(INT(MID(metadata!C722,15,1))&gt;=0,FALSE),IFERROR(INT(MID(metadata!C722,15,1))&lt;=5,FALSE),NOT(MID(metadata!C722,16,1)=""),IFERROR(INT(MID(metadata!C722,15,2))&gt;=0,FALSE),IFERROR(INT(MID(metadata!C722,15,2))&lt;=59,FALSE)), OR(MID(metadata!C722,17,1)="", AND(AND(MID(metadata!C722,17,1)=":",IFERROR(INT(MID(metadata!C722,18,1))&gt;=0,FALSE),IFERROR(INT(MID(metadata!C722,18,1))&lt;=5,FALSE),NOT(MID(metadata!C722,19,1)=""),IFERROR(INT(MID(metadata!C722,18,2))&gt;=0,FALSE),IFERROR(INT(MID(metadata!C722,18,2))&lt;=59,FALSE)), LEN(metadata!C722)&lt;=19)))))))))))))</f>
        <v>0</v>
      </c>
      <c r="AD722">
        <f>IF(metadata!D722="",FALSE,TRUE)</f>
        <v>0</v>
      </c>
      <c r="AE722">
        <f>OR(AND(IF(metadata!E722="",FALSE,TRUE),OR(exact(metadata!E722,"missing: not collected"),exact(metadata!E722,"missing: not provided"))),AND(IF(metadata!E722="",FALSE,TRUE),OR(exact(metadata!E722,"TRUE"),exact(metadata!E722,"FALSE"))))</f>
        <v>0</v>
      </c>
      <c r="AF722">
        <f>IF(metadata!F722="",FALSE,TRUE)</f>
        <v>0</v>
      </c>
      <c r="AG722">
        <f>IF(metadata!G722="",FALSE,TRUE)</f>
        <v>0</v>
      </c>
      <c r="AH722">
        <f>IF(metadata!H722="",FALSE,TRUE)</f>
        <v>0</v>
      </c>
      <c r="AI722">
        <f>OR(AND(IF(metadata!I722="",FALSE,TRUE),OR(exact(metadata!I722,"missing: not collected"),exact(metadata!I722,"missing: not provided"),exact(metadata!I722,"missing: restricted access"))),AND(IF(metadata!I722="",FALSE,TRUE),OR(exact(metadata!I722,"air"),exact(metadata!I722,"built environment"),exact(metadata!I722,"host-associated"),exact(metadata!I722,"human-associated"),exact(metadata!I722,"human-skin"),exact(metadata!I722,"human-oral"),exact(metadata!I722,"human-gut"),exact(metadata!I722,"human-vaginal"),exact(metadata!I722,"microbial mat/biofilm"),exact(metadata!I722,"misc environment"),exact(metadata!I722,"plant-associated"),exact(metadata!I722,"sediment"),exact(metadata!I722,"soil"),exact(metadata!I722,"wastewater/sludge"),exact(metadata!I722,"water"))))</f>
        <v>0</v>
      </c>
      <c r="AJ722">
        <f>IF(metadata!J722="",FALSE,TRUE)</f>
        <v>0</v>
      </c>
      <c r="AK722">
        <f>OR(AND(IF(metadata!K722="",FALSE,TRUE),OR(exact(metadata!K722,"missing: not collected"),exact(metadata!K722,"missing: not provided"),exact(metadata!K722,"missing: restricted access"))),AND(IF(metadata!K722="",FALSE,ISNUMBER(VALUE(metadata!K722))),metadata!K722&gt;=-90.00,metadata!K722&lt;=90.00))</f>
        <v>0</v>
      </c>
      <c r="AL722">
        <f>OR(AND(IF(metadata!L722="",FALSE,TRUE),OR(exact(metadata!L722,"missing: not collected"),exact(metadata!L722,"missing: not provided"),exact(metadata!L722,"missing: restricted access"))),AND(IF(metadata!L722="",FALSE,ISNUMBER(VALUE(metadata!L722))),metadata!L722&gt;=-180.00,metadata!L722&lt;=180.00))</f>
        <v>0</v>
      </c>
      <c r="AM722">
        <f>IF(metadata!M722="",FALSE,TRUE)</f>
        <v>0</v>
      </c>
      <c r="AN722">
        <f>OR(AND(IF(metadata!N722="",FALSE,TRUE),OR(exact(metadata!N722,"missing: not collected"),exact(metadata!N722,"missing: not provided"),exact(metadata!N722,"missing: restricted access"))),AND(IF(metadata!N722="",FALSE,TRUE),OR(exact(metadata!N722,"TRUE"),exact(metadata!N722,"FALSE"))))</f>
        <v>0</v>
      </c>
      <c r="AO722">
        <f>IF(metadata!O722="",FALSE,TRUE)</f>
        <v>0</v>
      </c>
      <c r="AP722">
        <f>OR(AND(IF(metadata!P722="",FALSE,TRUE),OR(exact(metadata!P722,"missing: not collected"),exact(metadata!P722,"missing: not provided"))),AND(IF(metadata!P722="",FALSE,IF(ISERROR(INT(metadata!P722)),FALSE,INT(metadata!P722)=metadata!P722)),metadata!P722&gt;0))</f>
        <v>0</v>
      </c>
      <c r="AQ722">
        <f>IF(metadata!Q722="",FALSE,TRUE)</f>
        <v>0</v>
      </c>
    </row>
    <row r="723" spans="1:43">
      <c r="A723" s="5">
        <f>IF(B723=" "," ",HYPERLINK(CONCATENATE("#metadata!",ADDRESS(INDEX($W$2:$W$1001,MATCH(ROWS($U$2:U723),$U$2:$U$1001,0),0),1)),INDEX($Z$2:$Z$1001,MATCH(ROWS($U$2:U723),$U$2:$U$1001,0),0)))</f>
        <v>0</v>
      </c>
      <c r="B723" s="4">
        <f>IF(OR(INDEX($V$2:$V$1001,MATCH(ROWS($U$2:U723),$U$2:$U$1001,0),1)&gt;=100000,INDEX($AB$1005:$AQ$1005,1,MATCH(COLUMNS($AB$1006:AB1006),$AB$1006:$AQ$1006,0))&gt;=100000), " ",IF(INDEX($AB$2:$AQ$1001,MATCH(ROWS($U$2:U723),$U$2:$U$1001,0),MATCH(COLUMNS($AB$1006:AB1006),$AB$1006:$AQ$1006,0)), HYPERLINK("#",""), HYPERLINK(CONCATENATE("#metadata!", ADDRESS(INDEX($W$2:$W$1001,MATCH(ROWS($U$2:U723),$U$2:$U$1001,0),0), INDEX($AB$1004:$AQ$1004,1,MATCH(COLUMNS($AB$1006:AB1006),$AB$1006:$AQ$1006,0)))),"Fix")))</f>
        <v>0</v>
      </c>
      <c r="C723" s="4">
        <f>IF(OR(INDEX($V$2:$V$1001,MATCH(ROWS($U$2:U723),$U$2:$U$1001,0),1)&gt;=100000,INDEX($AB$1005:$AQ$1005,1,MATCH(COLUMNS($AB$1006:AC1006),$AB$1006:$AQ$1006,0))&gt;=100000), " ",IF(INDEX($AB$2:$AQ$1001,MATCH(ROWS($U$2:U723),$U$2:$U$1001,0),MATCH(COLUMNS($AB$1006:AC1006),$AB$1006:$AQ$1006,0)), HYPERLINK("#",""), HYPERLINK(CONCATENATE("#metadata!", ADDRESS(INDEX($W$2:$W$1001,MATCH(ROWS($U$2:U723),$U$2:$U$1001,0),0), INDEX($AB$1004:$AQ$1004,1,MATCH(COLUMNS($AB$1006:AC1006),$AB$1006:$AQ$1006,0)))),"Fix")))</f>
        <v>0</v>
      </c>
      <c r="D723" s="4">
        <f>IF(OR(INDEX($V$2:$V$1001,MATCH(ROWS($U$2:U723),$U$2:$U$1001,0),1)&gt;=100000,INDEX($AB$1005:$AQ$1005,1,MATCH(COLUMNS($AB$1006:AD1006),$AB$1006:$AQ$1006,0))&gt;=100000), " ",IF(INDEX($AB$2:$AQ$1001,MATCH(ROWS($U$2:U723),$U$2:$U$1001,0),MATCH(COLUMNS($AB$1006:AD1006),$AB$1006:$AQ$1006,0)), HYPERLINK("#",""), HYPERLINK(CONCATENATE("#metadata!", ADDRESS(INDEX($W$2:$W$1001,MATCH(ROWS($U$2:U723),$U$2:$U$1001,0),0), INDEX($AB$1004:$AQ$1004,1,MATCH(COLUMNS($AB$1006:AD1006),$AB$1006:$AQ$1006,0)))),"Fix")))</f>
        <v>0</v>
      </c>
      <c r="E723" s="4">
        <f>IF(OR(INDEX($V$2:$V$1001,MATCH(ROWS($U$2:U723),$U$2:$U$1001,0),1)&gt;=100000,INDEX($AB$1005:$AQ$1005,1,MATCH(COLUMNS($AB$1006:AE1006),$AB$1006:$AQ$1006,0))&gt;=100000), " ",IF(INDEX($AB$2:$AQ$1001,MATCH(ROWS($U$2:U723),$U$2:$U$1001,0),MATCH(COLUMNS($AB$1006:AE1006),$AB$1006:$AQ$1006,0)), HYPERLINK("#",""), HYPERLINK(CONCATENATE("#metadata!", ADDRESS(INDEX($W$2:$W$1001,MATCH(ROWS($U$2:U723),$U$2:$U$1001,0),0), INDEX($AB$1004:$AQ$1004,1,MATCH(COLUMNS($AB$1006:AE1006),$AB$1006:$AQ$1006,0)))),"Fix")))</f>
        <v>0</v>
      </c>
      <c r="F723" s="4">
        <f>IF(OR(INDEX($V$2:$V$1001,MATCH(ROWS($U$2:U723),$U$2:$U$1001,0),1)&gt;=100000,INDEX($AB$1005:$AQ$1005,1,MATCH(COLUMNS($AB$1006:AF1006),$AB$1006:$AQ$1006,0))&gt;=100000), " ",IF(INDEX($AB$2:$AQ$1001,MATCH(ROWS($U$2:U723),$U$2:$U$1001,0),MATCH(COLUMNS($AB$1006:AF1006),$AB$1006:$AQ$1006,0)), HYPERLINK("#",""), HYPERLINK(CONCATENATE("#metadata!", ADDRESS(INDEX($W$2:$W$1001,MATCH(ROWS($U$2:U723),$U$2:$U$1001,0),0), INDEX($AB$1004:$AQ$1004,1,MATCH(COLUMNS($AB$1006:AF1006),$AB$1006:$AQ$1006,0)))),"Fix")))</f>
        <v>0</v>
      </c>
      <c r="G723" s="4">
        <f>IF(OR(INDEX($V$2:$V$1001,MATCH(ROWS($U$2:U723),$U$2:$U$1001,0),1)&gt;=100000,INDEX($AB$1005:$AQ$1005,1,MATCH(COLUMNS($AB$1006:AG1006),$AB$1006:$AQ$1006,0))&gt;=100000), " ",IF(INDEX($AB$2:$AQ$1001,MATCH(ROWS($U$2:U723),$U$2:$U$1001,0),MATCH(COLUMNS($AB$1006:AG1006),$AB$1006:$AQ$1006,0)), HYPERLINK("#",""), HYPERLINK(CONCATENATE("#metadata!", ADDRESS(INDEX($W$2:$W$1001,MATCH(ROWS($U$2:U723),$U$2:$U$1001,0),0), INDEX($AB$1004:$AQ$1004,1,MATCH(COLUMNS($AB$1006:AG1006),$AB$1006:$AQ$1006,0)))),"Fix")))</f>
        <v>0</v>
      </c>
      <c r="H723" s="4">
        <f>IF(OR(INDEX($V$2:$V$1001,MATCH(ROWS($U$2:U723),$U$2:$U$1001,0),1)&gt;=100000,INDEX($AB$1005:$AQ$1005,1,MATCH(COLUMNS($AB$1006:AH1006),$AB$1006:$AQ$1006,0))&gt;=100000), " ",IF(INDEX($AB$2:$AQ$1001,MATCH(ROWS($U$2:U723),$U$2:$U$1001,0),MATCH(COLUMNS($AB$1006:AH1006),$AB$1006:$AQ$1006,0)), HYPERLINK("#",""), HYPERLINK(CONCATENATE("#metadata!", ADDRESS(INDEX($W$2:$W$1001,MATCH(ROWS($U$2:U723),$U$2:$U$1001,0),0), INDEX($AB$1004:$AQ$1004,1,MATCH(COLUMNS($AB$1006:AH1006),$AB$1006:$AQ$1006,0)))),"Fix")))</f>
        <v>0</v>
      </c>
      <c r="I723" s="4">
        <f>IF(OR(INDEX($V$2:$V$1001,MATCH(ROWS($U$2:U723),$U$2:$U$1001,0),1)&gt;=100000,INDEX($AB$1005:$AQ$1005,1,MATCH(COLUMNS($AB$1006:AI1006),$AB$1006:$AQ$1006,0))&gt;=100000), " ",IF(INDEX($AB$2:$AQ$1001,MATCH(ROWS($U$2:U723),$U$2:$U$1001,0),MATCH(COLUMNS($AB$1006:AI1006),$AB$1006:$AQ$1006,0)), HYPERLINK("#",""), HYPERLINK(CONCATENATE("#metadata!", ADDRESS(INDEX($W$2:$W$1001,MATCH(ROWS($U$2:U723),$U$2:$U$1001,0),0), INDEX($AB$1004:$AQ$1004,1,MATCH(COLUMNS($AB$1006:AI1006),$AB$1006:$AQ$1006,0)))),"Fix")))</f>
        <v>0</v>
      </c>
      <c r="J723" s="4">
        <f>IF(OR(INDEX($V$2:$V$1001,MATCH(ROWS($U$2:U723),$U$2:$U$1001,0),1)&gt;=100000,INDEX($AB$1005:$AQ$1005,1,MATCH(COLUMNS($AB$1006:AJ1006),$AB$1006:$AQ$1006,0))&gt;=100000), " ",IF(INDEX($AB$2:$AQ$1001,MATCH(ROWS($U$2:U723),$U$2:$U$1001,0),MATCH(COLUMNS($AB$1006:AJ1006),$AB$1006:$AQ$1006,0)), HYPERLINK("#",""), HYPERLINK(CONCATENATE("#metadata!", ADDRESS(INDEX($W$2:$W$1001,MATCH(ROWS($U$2:U723),$U$2:$U$1001,0),0), INDEX($AB$1004:$AQ$1004,1,MATCH(COLUMNS($AB$1006:AJ1006),$AB$1006:$AQ$1006,0)))),"Fix")))</f>
        <v>0</v>
      </c>
      <c r="K723" s="4">
        <f>IF(OR(INDEX($V$2:$V$1001,MATCH(ROWS($U$2:U723),$U$2:$U$1001,0),1)&gt;=100000,INDEX($AB$1005:$AQ$1005,1,MATCH(COLUMNS($AB$1006:AK1006),$AB$1006:$AQ$1006,0))&gt;=100000), " ",IF(INDEX($AB$2:$AQ$1001,MATCH(ROWS($U$2:U723),$U$2:$U$1001,0),MATCH(COLUMNS($AB$1006:AK1006),$AB$1006:$AQ$1006,0)), HYPERLINK("#",""), HYPERLINK(CONCATENATE("#metadata!", ADDRESS(INDEX($W$2:$W$1001,MATCH(ROWS($U$2:U723),$U$2:$U$1001,0),0), INDEX($AB$1004:$AQ$1004,1,MATCH(COLUMNS($AB$1006:AK1006),$AB$1006:$AQ$1006,0)))),"Fix")))</f>
        <v>0</v>
      </c>
      <c r="L723" s="4">
        <f>IF(OR(INDEX($V$2:$V$1001,MATCH(ROWS($U$2:U723),$U$2:$U$1001,0),1)&gt;=100000,INDEX($AB$1005:$AQ$1005,1,MATCH(COLUMNS($AB$1006:AL1006),$AB$1006:$AQ$1006,0))&gt;=100000), " ",IF(INDEX($AB$2:$AQ$1001,MATCH(ROWS($U$2:U723),$U$2:$U$1001,0),MATCH(COLUMNS($AB$1006:AL1006),$AB$1006:$AQ$1006,0)), HYPERLINK("#",""), HYPERLINK(CONCATENATE("#metadata!", ADDRESS(INDEX($W$2:$W$1001,MATCH(ROWS($U$2:U723),$U$2:$U$1001,0),0), INDEX($AB$1004:$AQ$1004,1,MATCH(COLUMNS($AB$1006:AL1006),$AB$1006:$AQ$1006,0)))),"Fix")))</f>
        <v>0</v>
      </c>
      <c r="M723" s="4">
        <f>IF(OR(INDEX($V$2:$V$1001,MATCH(ROWS($U$2:U723),$U$2:$U$1001,0),1)&gt;=100000,INDEX($AB$1005:$AQ$1005,1,MATCH(COLUMNS($AB$1006:AM1006),$AB$1006:$AQ$1006,0))&gt;=100000), " ",IF(INDEX($AB$2:$AQ$1001,MATCH(ROWS($U$2:U723),$U$2:$U$1001,0),MATCH(COLUMNS($AB$1006:AM1006),$AB$1006:$AQ$1006,0)), HYPERLINK("#",""), HYPERLINK(CONCATENATE("#metadata!", ADDRESS(INDEX($W$2:$W$1001,MATCH(ROWS($U$2:U723),$U$2:$U$1001,0),0), INDEX($AB$1004:$AQ$1004,1,MATCH(COLUMNS($AB$1006:AM1006),$AB$1006:$AQ$1006,0)))),"Fix")))</f>
        <v>0</v>
      </c>
      <c r="N723" s="4">
        <f>IF(OR(INDEX($V$2:$V$1001,MATCH(ROWS($U$2:U723),$U$2:$U$1001,0),1)&gt;=100000,INDEX($AB$1005:$AQ$1005,1,MATCH(COLUMNS($AB$1006:AN1006),$AB$1006:$AQ$1006,0))&gt;=100000), " ",IF(INDEX($AB$2:$AQ$1001,MATCH(ROWS($U$2:U723),$U$2:$U$1001,0),MATCH(COLUMNS($AB$1006:AN1006),$AB$1006:$AQ$1006,0)), HYPERLINK("#",""), HYPERLINK(CONCATENATE("#metadata!", ADDRESS(INDEX($W$2:$W$1001,MATCH(ROWS($U$2:U723),$U$2:$U$1001,0),0), INDEX($AB$1004:$AQ$1004,1,MATCH(COLUMNS($AB$1006:AN1006),$AB$1006:$AQ$1006,0)))),"Fix")))</f>
        <v>0</v>
      </c>
      <c r="O723" s="4">
        <f>IF(OR(INDEX($V$2:$V$1001,MATCH(ROWS($U$2:U723),$U$2:$U$1001,0),1)&gt;=100000,INDEX($AB$1005:$AQ$1005,1,MATCH(COLUMNS($AB$1006:AO1006),$AB$1006:$AQ$1006,0))&gt;=100000), " ",IF(INDEX($AB$2:$AQ$1001,MATCH(ROWS($U$2:U723),$U$2:$U$1001,0),MATCH(COLUMNS($AB$1006:AO1006),$AB$1006:$AQ$1006,0)), HYPERLINK("#",""), HYPERLINK(CONCATENATE("#metadata!", ADDRESS(INDEX($W$2:$W$1001,MATCH(ROWS($U$2:U723),$U$2:$U$1001,0),0), INDEX($AB$1004:$AQ$1004,1,MATCH(COLUMNS($AB$1006:AO1006),$AB$1006:$AQ$1006,0)))),"Fix")))</f>
        <v>0</v>
      </c>
      <c r="P723" s="4">
        <f>IF(OR(INDEX($V$2:$V$1001,MATCH(ROWS($U$2:U723),$U$2:$U$1001,0),1)&gt;=100000,INDEX($AB$1005:$AQ$1005,1,MATCH(COLUMNS($AB$1006:AP1006),$AB$1006:$AQ$1006,0))&gt;=100000), " ",IF(INDEX($AB$2:$AQ$1001,MATCH(ROWS($U$2:U723),$U$2:$U$1001,0),MATCH(COLUMNS($AB$1006:AP1006),$AB$1006:$AQ$1006,0)), HYPERLINK("#",""), HYPERLINK(CONCATENATE("#metadata!", ADDRESS(INDEX($W$2:$W$1001,MATCH(ROWS($U$2:U723),$U$2:$U$1001,0),0), INDEX($AB$1004:$AQ$1004,1,MATCH(COLUMNS($AB$1006:AP1006),$AB$1006:$AQ$1006,0)))),"Fix")))</f>
        <v>0</v>
      </c>
      <c r="Q723" s="4">
        <f>IF(OR(INDEX($V$2:$V$1001,MATCH(ROWS($U$2:U723),$U$2:$U$1001,0),1)&gt;=100000,INDEX($AB$1005:$AQ$1005,1,MATCH(COLUMNS($AB$1006:AQ1006),$AB$1006:$AQ$1006,0))&gt;=100000), " ",IF(INDEX($AB$2:$AQ$1001,MATCH(ROWS($U$2:U723),$U$2:$U$1001,0),MATCH(COLUMNS($AB$1006:AQ1006),$AB$1006:$AQ$1006,0)), HYPERLINK("#",""), HYPERLINK(CONCATENATE("#metadata!", ADDRESS(INDEX($W$2:$W$1001,MATCH(ROWS($U$2:U723),$U$2:$U$1001,0),0), INDEX($AB$1004:$AQ$1004,1,MATCH(COLUMNS($AB$1006:AQ1006),$AB$1006:$AQ$1006,0)))),"Fix")))</f>
        <v>0</v>
      </c>
      <c r="U723">
        <v>0</v>
      </c>
      <c r="V723">
        <v>0</v>
      </c>
      <c r="W723">
        <v>0</v>
      </c>
      <c r="X723">
        <f>IF(Y723,TRUE,AND(AB723:AQ723))</f>
        <v>0</v>
      </c>
      <c r="Y723">
        <f>COUNTBLANK(metadata!B723:Q723)=COLUMNS(metadata!B723:Q723)</f>
        <v>0</v>
      </c>
      <c r="Z723">
        <v>0</v>
      </c>
      <c r="AB723">
        <f>AND(IF(metadata!B723="",FALSE,TRUE),COUNTIF(metadata!B:B, metadata!B723) = 1,NOT(ISERROR(SUMPRODUCT(SEARCH(MID(metadata!B723,ROW(INDIRECT("1:"&amp;LEN(metadata!B723))), 1),"0123456789abcdefghijklmnopqrstuvwxyzABCDEFGHIJKLMNOPQRSTUVWXYZ.")))))</f>
        <v>0</v>
      </c>
      <c r="AC723">
        <f>OR(AND(IF(metadata!C723="",FALSE,TRUE),OR(exact(metadata!C723,"missing: not collected"),exact(metadata!C723,"missing: not provided"),exact(metadata!C723,"missing: restricted access"))),AND(IF(metadata!C723="",FALSE,TRUE),AND(AND(IFERROR(INT(LEFT(metadata!C723,4))&gt;1900,FALSE),IFERROR(INT(LEFT(metadata!C723,4))&lt;=YEAR(NOW()),FALSE)), OR(MID(metadata!C723,5,1)="", AND(AND(MID(metadata!C723,5,1)="-",IFERROR(INT(MID(metadata!C723,6,1))&gt;=0,FALSE),IFERROR(INT(MID(metadata!C723,6,1))&lt;=1,FALSE),NOT(MID(metadata!C723,7,1)=""),IFERROR(INT(MID(metadata!C723,6,2))&gt;=1,FALSE),IFERROR(INT(MID(metadata!C723,6,2))&lt;=12,FALSE)), OR(MID(metadata!C723,8,1)="", AND(AND(MID(metadata!C723,8,1)="-",IFERROR(INT(MID(metadata!C723,9,1))&gt;=0,FALSE),IFERROR(INT(MID(metadata!C723,9,1))&lt;=3,FALSE),NOT(MID(metadata!C723,10,1)=""),IFERROR(INT(MID(metadata!C723,9,2))&gt;=1,FALSE),IFERROR(INT(MID(metadata!C723,9,2))&lt;=31,FALSE)), OR(MID(metadata!C723,11,1)="", AND(AND(MID(metadata!C723,11,1)=" ",IFERROR(INT(MID(metadata!C723,12,1))&gt;=0,FALSE),IFERROR(INT(MID(metadata!C723,12,1))&lt;=2,FALSE),NOT(MID(metadata!C723,13,1)=""),IFERROR(INT(MID(metadata!C723,12,2))&gt;=0,FALSE),IFERROR(INT(MID(metadata!C723,12,2))&lt;=23,FALSE)), OR(MID(metadata!C723,14,1)="", AND(AND(MID(metadata!C723,14,1)=":",IFERROR(INT(MID(metadata!C723,15,1))&gt;=0,FALSE),IFERROR(INT(MID(metadata!C723,15,1))&lt;=5,FALSE),NOT(MID(metadata!C723,16,1)=""),IFERROR(INT(MID(metadata!C723,15,2))&gt;=0,FALSE),IFERROR(INT(MID(metadata!C723,15,2))&lt;=59,FALSE)), OR(MID(metadata!C723,17,1)="", AND(AND(MID(metadata!C723,17,1)=":",IFERROR(INT(MID(metadata!C723,18,1))&gt;=0,FALSE),IFERROR(INT(MID(metadata!C723,18,1))&lt;=5,FALSE),NOT(MID(metadata!C723,19,1)=""),IFERROR(INT(MID(metadata!C723,18,2))&gt;=0,FALSE),IFERROR(INT(MID(metadata!C723,18,2))&lt;=59,FALSE)), LEN(metadata!C723)&lt;=19)))))))))))))</f>
        <v>0</v>
      </c>
      <c r="AD723">
        <f>IF(metadata!D723="",FALSE,TRUE)</f>
        <v>0</v>
      </c>
      <c r="AE723">
        <f>OR(AND(IF(metadata!E723="",FALSE,TRUE),OR(exact(metadata!E723,"missing: not collected"),exact(metadata!E723,"missing: not provided"))),AND(IF(metadata!E723="",FALSE,TRUE),OR(exact(metadata!E723,"TRUE"),exact(metadata!E723,"FALSE"))))</f>
        <v>0</v>
      </c>
      <c r="AF723">
        <f>IF(metadata!F723="",FALSE,TRUE)</f>
        <v>0</v>
      </c>
      <c r="AG723">
        <f>IF(metadata!G723="",FALSE,TRUE)</f>
        <v>0</v>
      </c>
      <c r="AH723">
        <f>IF(metadata!H723="",FALSE,TRUE)</f>
        <v>0</v>
      </c>
      <c r="AI723">
        <f>OR(AND(IF(metadata!I723="",FALSE,TRUE),OR(exact(metadata!I723,"missing: not collected"),exact(metadata!I723,"missing: not provided"),exact(metadata!I723,"missing: restricted access"))),AND(IF(metadata!I723="",FALSE,TRUE),OR(exact(metadata!I723,"air"),exact(metadata!I723,"built environment"),exact(metadata!I723,"host-associated"),exact(metadata!I723,"human-associated"),exact(metadata!I723,"human-skin"),exact(metadata!I723,"human-oral"),exact(metadata!I723,"human-gut"),exact(metadata!I723,"human-vaginal"),exact(metadata!I723,"microbial mat/biofilm"),exact(metadata!I723,"misc environment"),exact(metadata!I723,"plant-associated"),exact(metadata!I723,"sediment"),exact(metadata!I723,"soil"),exact(metadata!I723,"wastewater/sludge"),exact(metadata!I723,"water"))))</f>
        <v>0</v>
      </c>
      <c r="AJ723">
        <f>IF(metadata!J723="",FALSE,TRUE)</f>
        <v>0</v>
      </c>
      <c r="AK723">
        <f>OR(AND(IF(metadata!K723="",FALSE,TRUE),OR(exact(metadata!K723,"missing: not collected"),exact(metadata!K723,"missing: not provided"),exact(metadata!K723,"missing: restricted access"))),AND(IF(metadata!K723="",FALSE,ISNUMBER(VALUE(metadata!K723))),metadata!K723&gt;=-90.00,metadata!K723&lt;=90.00))</f>
        <v>0</v>
      </c>
      <c r="AL723">
        <f>OR(AND(IF(metadata!L723="",FALSE,TRUE),OR(exact(metadata!L723,"missing: not collected"),exact(metadata!L723,"missing: not provided"),exact(metadata!L723,"missing: restricted access"))),AND(IF(metadata!L723="",FALSE,ISNUMBER(VALUE(metadata!L723))),metadata!L723&gt;=-180.00,metadata!L723&lt;=180.00))</f>
        <v>0</v>
      </c>
      <c r="AM723">
        <f>IF(metadata!M723="",FALSE,TRUE)</f>
        <v>0</v>
      </c>
      <c r="AN723">
        <f>OR(AND(IF(metadata!N723="",FALSE,TRUE),OR(exact(metadata!N723,"missing: not collected"),exact(metadata!N723,"missing: not provided"),exact(metadata!N723,"missing: restricted access"))),AND(IF(metadata!N723="",FALSE,TRUE),OR(exact(metadata!N723,"TRUE"),exact(metadata!N723,"FALSE"))))</f>
        <v>0</v>
      </c>
      <c r="AO723">
        <f>IF(metadata!O723="",FALSE,TRUE)</f>
        <v>0</v>
      </c>
      <c r="AP723">
        <f>OR(AND(IF(metadata!P723="",FALSE,TRUE),OR(exact(metadata!P723,"missing: not collected"),exact(metadata!P723,"missing: not provided"))),AND(IF(metadata!P723="",FALSE,IF(ISERROR(INT(metadata!P723)),FALSE,INT(metadata!P723)=metadata!P723)),metadata!P723&gt;0))</f>
        <v>0</v>
      </c>
      <c r="AQ723">
        <f>IF(metadata!Q723="",FALSE,TRUE)</f>
        <v>0</v>
      </c>
    </row>
    <row r="724" spans="1:43">
      <c r="A724" s="5">
        <f>IF(B724=" "," ",HYPERLINK(CONCATENATE("#metadata!",ADDRESS(INDEX($W$2:$W$1001,MATCH(ROWS($U$2:U724),$U$2:$U$1001,0),0),1)),INDEX($Z$2:$Z$1001,MATCH(ROWS($U$2:U724),$U$2:$U$1001,0),0)))</f>
        <v>0</v>
      </c>
      <c r="B724" s="4">
        <f>IF(OR(INDEX($V$2:$V$1001,MATCH(ROWS($U$2:U724),$U$2:$U$1001,0),1)&gt;=100000,INDEX($AB$1005:$AQ$1005,1,MATCH(COLUMNS($AB$1006:AB1006),$AB$1006:$AQ$1006,0))&gt;=100000), " ",IF(INDEX($AB$2:$AQ$1001,MATCH(ROWS($U$2:U724),$U$2:$U$1001,0),MATCH(COLUMNS($AB$1006:AB1006),$AB$1006:$AQ$1006,0)), HYPERLINK("#",""), HYPERLINK(CONCATENATE("#metadata!", ADDRESS(INDEX($W$2:$W$1001,MATCH(ROWS($U$2:U724),$U$2:$U$1001,0),0), INDEX($AB$1004:$AQ$1004,1,MATCH(COLUMNS($AB$1006:AB1006),$AB$1006:$AQ$1006,0)))),"Fix")))</f>
        <v>0</v>
      </c>
      <c r="C724" s="4">
        <f>IF(OR(INDEX($V$2:$V$1001,MATCH(ROWS($U$2:U724),$U$2:$U$1001,0),1)&gt;=100000,INDEX($AB$1005:$AQ$1005,1,MATCH(COLUMNS($AB$1006:AC1006),$AB$1006:$AQ$1006,0))&gt;=100000), " ",IF(INDEX($AB$2:$AQ$1001,MATCH(ROWS($U$2:U724),$U$2:$U$1001,0),MATCH(COLUMNS($AB$1006:AC1006),$AB$1006:$AQ$1006,0)), HYPERLINK("#",""), HYPERLINK(CONCATENATE("#metadata!", ADDRESS(INDEX($W$2:$W$1001,MATCH(ROWS($U$2:U724),$U$2:$U$1001,0),0), INDEX($AB$1004:$AQ$1004,1,MATCH(COLUMNS($AB$1006:AC1006),$AB$1006:$AQ$1006,0)))),"Fix")))</f>
        <v>0</v>
      </c>
      <c r="D724" s="4">
        <f>IF(OR(INDEX($V$2:$V$1001,MATCH(ROWS($U$2:U724),$U$2:$U$1001,0),1)&gt;=100000,INDEX($AB$1005:$AQ$1005,1,MATCH(COLUMNS($AB$1006:AD1006),$AB$1006:$AQ$1006,0))&gt;=100000), " ",IF(INDEX($AB$2:$AQ$1001,MATCH(ROWS($U$2:U724),$U$2:$U$1001,0),MATCH(COLUMNS($AB$1006:AD1006),$AB$1006:$AQ$1006,0)), HYPERLINK("#",""), HYPERLINK(CONCATENATE("#metadata!", ADDRESS(INDEX($W$2:$W$1001,MATCH(ROWS($U$2:U724),$U$2:$U$1001,0),0), INDEX($AB$1004:$AQ$1004,1,MATCH(COLUMNS($AB$1006:AD1006),$AB$1006:$AQ$1006,0)))),"Fix")))</f>
        <v>0</v>
      </c>
      <c r="E724" s="4">
        <f>IF(OR(INDEX($V$2:$V$1001,MATCH(ROWS($U$2:U724),$U$2:$U$1001,0),1)&gt;=100000,INDEX($AB$1005:$AQ$1005,1,MATCH(COLUMNS($AB$1006:AE1006),$AB$1006:$AQ$1006,0))&gt;=100000), " ",IF(INDEX($AB$2:$AQ$1001,MATCH(ROWS($U$2:U724),$U$2:$U$1001,0),MATCH(COLUMNS($AB$1006:AE1006),$AB$1006:$AQ$1006,0)), HYPERLINK("#",""), HYPERLINK(CONCATENATE("#metadata!", ADDRESS(INDEX($W$2:$W$1001,MATCH(ROWS($U$2:U724),$U$2:$U$1001,0),0), INDEX($AB$1004:$AQ$1004,1,MATCH(COLUMNS($AB$1006:AE1006),$AB$1006:$AQ$1006,0)))),"Fix")))</f>
        <v>0</v>
      </c>
      <c r="F724" s="4">
        <f>IF(OR(INDEX($V$2:$V$1001,MATCH(ROWS($U$2:U724),$U$2:$U$1001,0),1)&gt;=100000,INDEX($AB$1005:$AQ$1005,1,MATCH(COLUMNS($AB$1006:AF1006),$AB$1006:$AQ$1006,0))&gt;=100000), " ",IF(INDEX($AB$2:$AQ$1001,MATCH(ROWS($U$2:U724),$U$2:$U$1001,0),MATCH(COLUMNS($AB$1006:AF1006),$AB$1006:$AQ$1006,0)), HYPERLINK("#",""), HYPERLINK(CONCATENATE("#metadata!", ADDRESS(INDEX($W$2:$W$1001,MATCH(ROWS($U$2:U724),$U$2:$U$1001,0),0), INDEX($AB$1004:$AQ$1004,1,MATCH(COLUMNS($AB$1006:AF1006),$AB$1006:$AQ$1006,0)))),"Fix")))</f>
        <v>0</v>
      </c>
      <c r="G724" s="4">
        <f>IF(OR(INDEX($V$2:$V$1001,MATCH(ROWS($U$2:U724),$U$2:$U$1001,0),1)&gt;=100000,INDEX($AB$1005:$AQ$1005,1,MATCH(COLUMNS($AB$1006:AG1006),$AB$1006:$AQ$1006,0))&gt;=100000), " ",IF(INDEX($AB$2:$AQ$1001,MATCH(ROWS($U$2:U724),$U$2:$U$1001,0),MATCH(COLUMNS($AB$1006:AG1006),$AB$1006:$AQ$1006,0)), HYPERLINK("#",""), HYPERLINK(CONCATENATE("#metadata!", ADDRESS(INDEX($W$2:$W$1001,MATCH(ROWS($U$2:U724),$U$2:$U$1001,0),0), INDEX($AB$1004:$AQ$1004,1,MATCH(COLUMNS($AB$1006:AG1006),$AB$1006:$AQ$1006,0)))),"Fix")))</f>
        <v>0</v>
      </c>
      <c r="H724" s="4">
        <f>IF(OR(INDEX($V$2:$V$1001,MATCH(ROWS($U$2:U724),$U$2:$U$1001,0),1)&gt;=100000,INDEX($AB$1005:$AQ$1005,1,MATCH(COLUMNS($AB$1006:AH1006),$AB$1006:$AQ$1006,0))&gt;=100000), " ",IF(INDEX($AB$2:$AQ$1001,MATCH(ROWS($U$2:U724),$U$2:$U$1001,0),MATCH(COLUMNS($AB$1006:AH1006),$AB$1006:$AQ$1006,0)), HYPERLINK("#",""), HYPERLINK(CONCATENATE("#metadata!", ADDRESS(INDEX($W$2:$W$1001,MATCH(ROWS($U$2:U724),$U$2:$U$1001,0),0), INDEX($AB$1004:$AQ$1004,1,MATCH(COLUMNS($AB$1006:AH1006),$AB$1006:$AQ$1006,0)))),"Fix")))</f>
        <v>0</v>
      </c>
      <c r="I724" s="4">
        <f>IF(OR(INDEX($V$2:$V$1001,MATCH(ROWS($U$2:U724),$U$2:$U$1001,0),1)&gt;=100000,INDEX($AB$1005:$AQ$1005,1,MATCH(COLUMNS($AB$1006:AI1006),$AB$1006:$AQ$1006,0))&gt;=100000), " ",IF(INDEX($AB$2:$AQ$1001,MATCH(ROWS($U$2:U724),$U$2:$U$1001,0),MATCH(COLUMNS($AB$1006:AI1006),$AB$1006:$AQ$1006,0)), HYPERLINK("#",""), HYPERLINK(CONCATENATE("#metadata!", ADDRESS(INDEX($W$2:$W$1001,MATCH(ROWS($U$2:U724),$U$2:$U$1001,0),0), INDEX($AB$1004:$AQ$1004,1,MATCH(COLUMNS($AB$1006:AI1006),$AB$1006:$AQ$1006,0)))),"Fix")))</f>
        <v>0</v>
      </c>
      <c r="J724" s="4">
        <f>IF(OR(INDEX($V$2:$V$1001,MATCH(ROWS($U$2:U724),$U$2:$U$1001,0),1)&gt;=100000,INDEX($AB$1005:$AQ$1005,1,MATCH(COLUMNS($AB$1006:AJ1006),$AB$1006:$AQ$1006,0))&gt;=100000), " ",IF(INDEX($AB$2:$AQ$1001,MATCH(ROWS($U$2:U724),$U$2:$U$1001,0),MATCH(COLUMNS($AB$1006:AJ1006),$AB$1006:$AQ$1006,0)), HYPERLINK("#",""), HYPERLINK(CONCATENATE("#metadata!", ADDRESS(INDEX($W$2:$W$1001,MATCH(ROWS($U$2:U724),$U$2:$U$1001,0),0), INDEX($AB$1004:$AQ$1004,1,MATCH(COLUMNS($AB$1006:AJ1006),$AB$1006:$AQ$1006,0)))),"Fix")))</f>
        <v>0</v>
      </c>
      <c r="K724" s="4">
        <f>IF(OR(INDEX($V$2:$V$1001,MATCH(ROWS($U$2:U724),$U$2:$U$1001,0),1)&gt;=100000,INDEX($AB$1005:$AQ$1005,1,MATCH(COLUMNS($AB$1006:AK1006),$AB$1006:$AQ$1006,0))&gt;=100000), " ",IF(INDEX($AB$2:$AQ$1001,MATCH(ROWS($U$2:U724),$U$2:$U$1001,0),MATCH(COLUMNS($AB$1006:AK1006),$AB$1006:$AQ$1006,0)), HYPERLINK("#",""), HYPERLINK(CONCATENATE("#metadata!", ADDRESS(INDEX($W$2:$W$1001,MATCH(ROWS($U$2:U724),$U$2:$U$1001,0),0), INDEX($AB$1004:$AQ$1004,1,MATCH(COLUMNS($AB$1006:AK1006),$AB$1006:$AQ$1006,0)))),"Fix")))</f>
        <v>0</v>
      </c>
      <c r="L724" s="4">
        <f>IF(OR(INDEX($V$2:$V$1001,MATCH(ROWS($U$2:U724),$U$2:$U$1001,0),1)&gt;=100000,INDEX($AB$1005:$AQ$1005,1,MATCH(COLUMNS($AB$1006:AL1006),$AB$1006:$AQ$1006,0))&gt;=100000), " ",IF(INDEX($AB$2:$AQ$1001,MATCH(ROWS($U$2:U724),$U$2:$U$1001,0),MATCH(COLUMNS($AB$1006:AL1006),$AB$1006:$AQ$1006,0)), HYPERLINK("#",""), HYPERLINK(CONCATENATE("#metadata!", ADDRESS(INDEX($W$2:$W$1001,MATCH(ROWS($U$2:U724),$U$2:$U$1001,0),0), INDEX($AB$1004:$AQ$1004,1,MATCH(COLUMNS($AB$1006:AL1006),$AB$1006:$AQ$1006,0)))),"Fix")))</f>
        <v>0</v>
      </c>
      <c r="M724" s="4">
        <f>IF(OR(INDEX($V$2:$V$1001,MATCH(ROWS($U$2:U724),$U$2:$U$1001,0),1)&gt;=100000,INDEX($AB$1005:$AQ$1005,1,MATCH(COLUMNS($AB$1006:AM1006),$AB$1006:$AQ$1006,0))&gt;=100000), " ",IF(INDEX($AB$2:$AQ$1001,MATCH(ROWS($U$2:U724),$U$2:$U$1001,0),MATCH(COLUMNS($AB$1006:AM1006),$AB$1006:$AQ$1006,0)), HYPERLINK("#",""), HYPERLINK(CONCATENATE("#metadata!", ADDRESS(INDEX($W$2:$W$1001,MATCH(ROWS($U$2:U724),$U$2:$U$1001,0),0), INDEX($AB$1004:$AQ$1004,1,MATCH(COLUMNS($AB$1006:AM1006),$AB$1006:$AQ$1006,0)))),"Fix")))</f>
        <v>0</v>
      </c>
      <c r="N724" s="4">
        <f>IF(OR(INDEX($V$2:$V$1001,MATCH(ROWS($U$2:U724),$U$2:$U$1001,0),1)&gt;=100000,INDEX($AB$1005:$AQ$1005,1,MATCH(COLUMNS($AB$1006:AN1006),$AB$1006:$AQ$1006,0))&gt;=100000), " ",IF(INDEX($AB$2:$AQ$1001,MATCH(ROWS($U$2:U724),$U$2:$U$1001,0),MATCH(COLUMNS($AB$1006:AN1006),$AB$1006:$AQ$1006,0)), HYPERLINK("#",""), HYPERLINK(CONCATENATE("#metadata!", ADDRESS(INDEX($W$2:$W$1001,MATCH(ROWS($U$2:U724),$U$2:$U$1001,0),0), INDEX($AB$1004:$AQ$1004,1,MATCH(COLUMNS($AB$1006:AN1006),$AB$1006:$AQ$1006,0)))),"Fix")))</f>
        <v>0</v>
      </c>
      <c r="O724" s="4">
        <f>IF(OR(INDEX($V$2:$V$1001,MATCH(ROWS($U$2:U724),$U$2:$U$1001,0),1)&gt;=100000,INDEX($AB$1005:$AQ$1005,1,MATCH(COLUMNS($AB$1006:AO1006),$AB$1006:$AQ$1006,0))&gt;=100000), " ",IF(INDEX($AB$2:$AQ$1001,MATCH(ROWS($U$2:U724),$U$2:$U$1001,0),MATCH(COLUMNS($AB$1006:AO1006),$AB$1006:$AQ$1006,0)), HYPERLINK("#",""), HYPERLINK(CONCATENATE("#metadata!", ADDRESS(INDEX($W$2:$W$1001,MATCH(ROWS($U$2:U724),$U$2:$U$1001,0),0), INDEX($AB$1004:$AQ$1004,1,MATCH(COLUMNS($AB$1006:AO1006),$AB$1006:$AQ$1006,0)))),"Fix")))</f>
        <v>0</v>
      </c>
      <c r="P724" s="4">
        <f>IF(OR(INDEX($V$2:$V$1001,MATCH(ROWS($U$2:U724),$U$2:$U$1001,0),1)&gt;=100000,INDEX($AB$1005:$AQ$1005,1,MATCH(COLUMNS($AB$1006:AP1006),$AB$1006:$AQ$1006,0))&gt;=100000), " ",IF(INDEX($AB$2:$AQ$1001,MATCH(ROWS($U$2:U724),$U$2:$U$1001,0),MATCH(COLUMNS($AB$1006:AP1006),$AB$1006:$AQ$1006,0)), HYPERLINK("#",""), HYPERLINK(CONCATENATE("#metadata!", ADDRESS(INDEX($W$2:$W$1001,MATCH(ROWS($U$2:U724),$U$2:$U$1001,0),0), INDEX($AB$1004:$AQ$1004,1,MATCH(COLUMNS($AB$1006:AP1006),$AB$1006:$AQ$1006,0)))),"Fix")))</f>
        <v>0</v>
      </c>
      <c r="Q724" s="4">
        <f>IF(OR(INDEX($V$2:$V$1001,MATCH(ROWS($U$2:U724),$U$2:$U$1001,0),1)&gt;=100000,INDEX($AB$1005:$AQ$1005,1,MATCH(COLUMNS($AB$1006:AQ1006),$AB$1006:$AQ$1006,0))&gt;=100000), " ",IF(INDEX($AB$2:$AQ$1001,MATCH(ROWS($U$2:U724),$U$2:$U$1001,0),MATCH(COLUMNS($AB$1006:AQ1006),$AB$1006:$AQ$1006,0)), HYPERLINK("#",""), HYPERLINK(CONCATENATE("#metadata!", ADDRESS(INDEX($W$2:$W$1001,MATCH(ROWS($U$2:U724),$U$2:$U$1001,0),0), INDEX($AB$1004:$AQ$1004,1,MATCH(COLUMNS($AB$1006:AQ1006),$AB$1006:$AQ$1006,0)))),"Fix")))</f>
        <v>0</v>
      </c>
      <c r="U724">
        <v>0</v>
      </c>
      <c r="V724">
        <v>0</v>
      </c>
      <c r="W724">
        <v>0</v>
      </c>
      <c r="X724">
        <f>IF(Y724,TRUE,AND(AB724:AQ724))</f>
        <v>0</v>
      </c>
      <c r="Y724">
        <f>COUNTBLANK(metadata!B724:Q724)=COLUMNS(metadata!B724:Q724)</f>
        <v>0</v>
      </c>
      <c r="Z724">
        <v>0</v>
      </c>
      <c r="AB724">
        <f>AND(IF(metadata!B724="",FALSE,TRUE),COUNTIF(metadata!B:B, metadata!B724) = 1,NOT(ISERROR(SUMPRODUCT(SEARCH(MID(metadata!B724,ROW(INDIRECT("1:"&amp;LEN(metadata!B724))), 1),"0123456789abcdefghijklmnopqrstuvwxyzABCDEFGHIJKLMNOPQRSTUVWXYZ.")))))</f>
        <v>0</v>
      </c>
      <c r="AC724">
        <f>OR(AND(IF(metadata!C724="",FALSE,TRUE),OR(exact(metadata!C724,"missing: not collected"),exact(metadata!C724,"missing: not provided"),exact(metadata!C724,"missing: restricted access"))),AND(IF(metadata!C724="",FALSE,TRUE),AND(AND(IFERROR(INT(LEFT(metadata!C724,4))&gt;1900,FALSE),IFERROR(INT(LEFT(metadata!C724,4))&lt;=YEAR(NOW()),FALSE)), OR(MID(metadata!C724,5,1)="", AND(AND(MID(metadata!C724,5,1)="-",IFERROR(INT(MID(metadata!C724,6,1))&gt;=0,FALSE),IFERROR(INT(MID(metadata!C724,6,1))&lt;=1,FALSE),NOT(MID(metadata!C724,7,1)=""),IFERROR(INT(MID(metadata!C724,6,2))&gt;=1,FALSE),IFERROR(INT(MID(metadata!C724,6,2))&lt;=12,FALSE)), OR(MID(metadata!C724,8,1)="", AND(AND(MID(metadata!C724,8,1)="-",IFERROR(INT(MID(metadata!C724,9,1))&gt;=0,FALSE),IFERROR(INT(MID(metadata!C724,9,1))&lt;=3,FALSE),NOT(MID(metadata!C724,10,1)=""),IFERROR(INT(MID(metadata!C724,9,2))&gt;=1,FALSE),IFERROR(INT(MID(metadata!C724,9,2))&lt;=31,FALSE)), OR(MID(metadata!C724,11,1)="", AND(AND(MID(metadata!C724,11,1)=" ",IFERROR(INT(MID(metadata!C724,12,1))&gt;=0,FALSE),IFERROR(INT(MID(metadata!C724,12,1))&lt;=2,FALSE),NOT(MID(metadata!C724,13,1)=""),IFERROR(INT(MID(metadata!C724,12,2))&gt;=0,FALSE),IFERROR(INT(MID(metadata!C724,12,2))&lt;=23,FALSE)), OR(MID(metadata!C724,14,1)="", AND(AND(MID(metadata!C724,14,1)=":",IFERROR(INT(MID(metadata!C724,15,1))&gt;=0,FALSE),IFERROR(INT(MID(metadata!C724,15,1))&lt;=5,FALSE),NOT(MID(metadata!C724,16,1)=""),IFERROR(INT(MID(metadata!C724,15,2))&gt;=0,FALSE),IFERROR(INT(MID(metadata!C724,15,2))&lt;=59,FALSE)), OR(MID(metadata!C724,17,1)="", AND(AND(MID(metadata!C724,17,1)=":",IFERROR(INT(MID(metadata!C724,18,1))&gt;=0,FALSE),IFERROR(INT(MID(metadata!C724,18,1))&lt;=5,FALSE),NOT(MID(metadata!C724,19,1)=""),IFERROR(INT(MID(metadata!C724,18,2))&gt;=0,FALSE),IFERROR(INT(MID(metadata!C724,18,2))&lt;=59,FALSE)), LEN(metadata!C724)&lt;=19)))))))))))))</f>
        <v>0</v>
      </c>
      <c r="AD724">
        <f>IF(metadata!D724="",FALSE,TRUE)</f>
        <v>0</v>
      </c>
      <c r="AE724">
        <f>OR(AND(IF(metadata!E724="",FALSE,TRUE),OR(exact(metadata!E724,"missing: not collected"),exact(metadata!E724,"missing: not provided"))),AND(IF(metadata!E724="",FALSE,TRUE),OR(exact(metadata!E724,"TRUE"),exact(metadata!E724,"FALSE"))))</f>
        <v>0</v>
      </c>
      <c r="AF724">
        <f>IF(metadata!F724="",FALSE,TRUE)</f>
        <v>0</v>
      </c>
      <c r="AG724">
        <f>IF(metadata!G724="",FALSE,TRUE)</f>
        <v>0</v>
      </c>
      <c r="AH724">
        <f>IF(metadata!H724="",FALSE,TRUE)</f>
        <v>0</v>
      </c>
      <c r="AI724">
        <f>OR(AND(IF(metadata!I724="",FALSE,TRUE),OR(exact(metadata!I724,"missing: not collected"),exact(metadata!I724,"missing: not provided"),exact(metadata!I724,"missing: restricted access"))),AND(IF(metadata!I724="",FALSE,TRUE),OR(exact(metadata!I724,"air"),exact(metadata!I724,"built environment"),exact(metadata!I724,"host-associated"),exact(metadata!I724,"human-associated"),exact(metadata!I724,"human-skin"),exact(metadata!I724,"human-oral"),exact(metadata!I724,"human-gut"),exact(metadata!I724,"human-vaginal"),exact(metadata!I724,"microbial mat/biofilm"),exact(metadata!I724,"misc environment"),exact(metadata!I724,"plant-associated"),exact(metadata!I724,"sediment"),exact(metadata!I724,"soil"),exact(metadata!I724,"wastewater/sludge"),exact(metadata!I724,"water"))))</f>
        <v>0</v>
      </c>
      <c r="AJ724">
        <f>IF(metadata!J724="",FALSE,TRUE)</f>
        <v>0</v>
      </c>
      <c r="AK724">
        <f>OR(AND(IF(metadata!K724="",FALSE,TRUE),OR(exact(metadata!K724,"missing: not collected"),exact(metadata!K724,"missing: not provided"),exact(metadata!K724,"missing: restricted access"))),AND(IF(metadata!K724="",FALSE,ISNUMBER(VALUE(metadata!K724))),metadata!K724&gt;=-90.00,metadata!K724&lt;=90.00))</f>
        <v>0</v>
      </c>
      <c r="AL724">
        <f>OR(AND(IF(metadata!L724="",FALSE,TRUE),OR(exact(metadata!L724,"missing: not collected"),exact(metadata!L724,"missing: not provided"),exact(metadata!L724,"missing: restricted access"))),AND(IF(metadata!L724="",FALSE,ISNUMBER(VALUE(metadata!L724))),metadata!L724&gt;=-180.00,metadata!L724&lt;=180.00))</f>
        <v>0</v>
      </c>
      <c r="AM724">
        <f>IF(metadata!M724="",FALSE,TRUE)</f>
        <v>0</v>
      </c>
      <c r="AN724">
        <f>OR(AND(IF(metadata!N724="",FALSE,TRUE),OR(exact(metadata!N724,"missing: not collected"),exact(metadata!N724,"missing: not provided"),exact(metadata!N724,"missing: restricted access"))),AND(IF(metadata!N724="",FALSE,TRUE),OR(exact(metadata!N724,"TRUE"),exact(metadata!N724,"FALSE"))))</f>
        <v>0</v>
      </c>
      <c r="AO724">
        <f>IF(metadata!O724="",FALSE,TRUE)</f>
        <v>0</v>
      </c>
      <c r="AP724">
        <f>OR(AND(IF(metadata!P724="",FALSE,TRUE),OR(exact(metadata!P724,"missing: not collected"),exact(metadata!P724,"missing: not provided"))),AND(IF(metadata!P724="",FALSE,IF(ISERROR(INT(metadata!P724)),FALSE,INT(metadata!P724)=metadata!P724)),metadata!P724&gt;0))</f>
        <v>0</v>
      </c>
      <c r="AQ724">
        <f>IF(metadata!Q724="",FALSE,TRUE)</f>
        <v>0</v>
      </c>
    </row>
    <row r="725" spans="1:43">
      <c r="A725" s="5">
        <f>IF(B725=" "," ",HYPERLINK(CONCATENATE("#metadata!",ADDRESS(INDEX($W$2:$W$1001,MATCH(ROWS($U$2:U725),$U$2:$U$1001,0),0),1)),INDEX($Z$2:$Z$1001,MATCH(ROWS($U$2:U725),$U$2:$U$1001,0),0)))</f>
        <v>0</v>
      </c>
      <c r="B725" s="4">
        <f>IF(OR(INDEX($V$2:$V$1001,MATCH(ROWS($U$2:U725),$U$2:$U$1001,0),1)&gt;=100000,INDEX($AB$1005:$AQ$1005,1,MATCH(COLUMNS($AB$1006:AB1006),$AB$1006:$AQ$1006,0))&gt;=100000), " ",IF(INDEX($AB$2:$AQ$1001,MATCH(ROWS($U$2:U725),$U$2:$U$1001,0),MATCH(COLUMNS($AB$1006:AB1006),$AB$1006:$AQ$1006,0)), HYPERLINK("#",""), HYPERLINK(CONCATENATE("#metadata!", ADDRESS(INDEX($W$2:$W$1001,MATCH(ROWS($U$2:U725),$U$2:$U$1001,0),0), INDEX($AB$1004:$AQ$1004,1,MATCH(COLUMNS($AB$1006:AB1006),$AB$1006:$AQ$1006,0)))),"Fix")))</f>
        <v>0</v>
      </c>
      <c r="C725" s="4">
        <f>IF(OR(INDEX($V$2:$V$1001,MATCH(ROWS($U$2:U725),$U$2:$U$1001,0),1)&gt;=100000,INDEX($AB$1005:$AQ$1005,1,MATCH(COLUMNS($AB$1006:AC1006),$AB$1006:$AQ$1006,0))&gt;=100000), " ",IF(INDEX($AB$2:$AQ$1001,MATCH(ROWS($U$2:U725),$U$2:$U$1001,0),MATCH(COLUMNS($AB$1006:AC1006),$AB$1006:$AQ$1006,0)), HYPERLINK("#",""), HYPERLINK(CONCATENATE("#metadata!", ADDRESS(INDEX($W$2:$W$1001,MATCH(ROWS($U$2:U725),$U$2:$U$1001,0),0), INDEX($AB$1004:$AQ$1004,1,MATCH(COLUMNS($AB$1006:AC1006),$AB$1006:$AQ$1006,0)))),"Fix")))</f>
        <v>0</v>
      </c>
      <c r="D725" s="4">
        <f>IF(OR(INDEX($V$2:$V$1001,MATCH(ROWS($U$2:U725),$U$2:$U$1001,0),1)&gt;=100000,INDEX($AB$1005:$AQ$1005,1,MATCH(COLUMNS($AB$1006:AD1006),$AB$1006:$AQ$1006,0))&gt;=100000), " ",IF(INDEX($AB$2:$AQ$1001,MATCH(ROWS($U$2:U725),$U$2:$U$1001,0),MATCH(COLUMNS($AB$1006:AD1006),$AB$1006:$AQ$1006,0)), HYPERLINK("#",""), HYPERLINK(CONCATENATE("#metadata!", ADDRESS(INDEX($W$2:$W$1001,MATCH(ROWS($U$2:U725),$U$2:$U$1001,0),0), INDEX($AB$1004:$AQ$1004,1,MATCH(COLUMNS($AB$1006:AD1006),$AB$1006:$AQ$1006,0)))),"Fix")))</f>
        <v>0</v>
      </c>
      <c r="E725" s="4">
        <f>IF(OR(INDEX($V$2:$V$1001,MATCH(ROWS($U$2:U725),$U$2:$U$1001,0),1)&gt;=100000,INDEX($AB$1005:$AQ$1005,1,MATCH(COLUMNS($AB$1006:AE1006),$AB$1006:$AQ$1006,0))&gt;=100000), " ",IF(INDEX($AB$2:$AQ$1001,MATCH(ROWS($U$2:U725),$U$2:$U$1001,0),MATCH(COLUMNS($AB$1006:AE1006),$AB$1006:$AQ$1006,0)), HYPERLINK("#",""), HYPERLINK(CONCATENATE("#metadata!", ADDRESS(INDEX($W$2:$W$1001,MATCH(ROWS($U$2:U725),$U$2:$U$1001,0),0), INDEX($AB$1004:$AQ$1004,1,MATCH(COLUMNS($AB$1006:AE1006),$AB$1006:$AQ$1006,0)))),"Fix")))</f>
        <v>0</v>
      </c>
      <c r="F725" s="4">
        <f>IF(OR(INDEX($V$2:$V$1001,MATCH(ROWS($U$2:U725),$U$2:$U$1001,0),1)&gt;=100000,INDEX($AB$1005:$AQ$1005,1,MATCH(COLUMNS($AB$1006:AF1006),$AB$1006:$AQ$1006,0))&gt;=100000), " ",IF(INDEX($AB$2:$AQ$1001,MATCH(ROWS($U$2:U725),$U$2:$U$1001,0),MATCH(COLUMNS($AB$1006:AF1006),$AB$1006:$AQ$1006,0)), HYPERLINK("#",""), HYPERLINK(CONCATENATE("#metadata!", ADDRESS(INDEX($W$2:$W$1001,MATCH(ROWS($U$2:U725),$U$2:$U$1001,0),0), INDEX($AB$1004:$AQ$1004,1,MATCH(COLUMNS($AB$1006:AF1006),$AB$1006:$AQ$1006,0)))),"Fix")))</f>
        <v>0</v>
      </c>
      <c r="G725" s="4">
        <f>IF(OR(INDEX($V$2:$V$1001,MATCH(ROWS($U$2:U725),$U$2:$U$1001,0),1)&gt;=100000,INDEX($AB$1005:$AQ$1005,1,MATCH(COLUMNS($AB$1006:AG1006),$AB$1006:$AQ$1006,0))&gt;=100000), " ",IF(INDEX($AB$2:$AQ$1001,MATCH(ROWS($U$2:U725),$U$2:$U$1001,0),MATCH(COLUMNS($AB$1006:AG1006),$AB$1006:$AQ$1006,0)), HYPERLINK("#",""), HYPERLINK(CONCATENATE("#metadata!", ADDRESS(INDEX($W$2:$W$1001,MATCH(ROWS($U$2:U725),$U$2:$U$1001,0),0), INDEX($AB$1004:$AQ$1004,1,MATCH(COLUMNS($AB$1006:AG1006),$AB$1006:$AQ$1006,0)))),"Fix")))</f>
        <v>0</v>
      </c>
      <c r="H725" s="4">
        <f>IF(OR(INDEX($V$2:$V$1001,MATCH(ROWS($U$2:U725),$U$2:$U$1001,0),1)&gt;=100000,INDEX($AB$1005:$AQ$1005,1,MATCH(COLUMNS($AB$1006:AH1006),$AB$1006:$AQ$1006,0))&gt;=100000), " ",IF(INDEX($AB$2:$AQ$1001,MATCH(ROWS($U$2:U725),$U$2:$U$1001,0),MATCH(COLUMNS($AB$1006:AH1006),$AB$1006:$AQ$1006,0)), HYPERLINK("#",""), HYPERLINK(CONCATENATE("#metadata!", ADDRESS(INDEX($W$2:$W$1001,MATCH(ROWS($U$2:U725),$U$2:$U$1001,0),0), INDEX($AB$1004:$AQ$1004,1,MATCH(COLUMNS($AB$1006:AH1006),$AB$1006:$AQ$1006,0)))),"Fix")))</f>
        <v>0</v>
      </c>
      <c r="I725" s="4">
        <f>IF(OR(INDEX($V$2:$V$1001,MATCH(ROWS($U$2:U725),$U$2:$U$1001,0),1)&gt;=100000,INDEX($AB$1005:$AQ$1005,1,MATCH(COLUMNS($AB$1006:AI1006),$AB$1006:$AQ$1006,0))&gt;=100000), " ",IF(INDEX($AB$2:$AQ$1001,MATCH(ROWS($U$2:U725),$U$2:$U$1001,0),MATCH(COLUMNS($AB$1006:AI1006),$AB$1006:$AQ$1006,0)), HYPERLINK("#",""), HYPERLINK(CONCATENATE("#metadata!", ADDRESS(INDEX($W$2:$W$1001,MATCH(ROWS($U$2:U725),$U$2:$U$1001,0),0), INDEX($AB$1004:$AQ$1004,1,MATCH(COLUMNS($AB$1006:AI1006),$AB$1006:$AQ$1006,0)))),"Fix")))</f>
        <v>0</v>
      </c>
      <c r="J725" s="4">
        <f>IF(OR(INDEX($V$2:$V$1001,MATCH(ROWS($U$2:U725),$U$2:$U$1001,0),1)&gt;=100000,INDEX($AB$1005:$AQ$1005,1,MATCH(COLUMNS($AB$1006:AJ1006),$AB$1006:$AQ$1006,0))&gt;=100000), " ",IF(INDEX($AB$2:$AQ$1001,MATCH(ROWS($U$2:U725),$U$2:$U$1001,0),MATCH(COLUMNS($AB$1006:AJ1006),$AB$1006:$AQ$1006,0)), HYPERLINK("#",""), HYPERLINK(CONCATENATE("#metadata!", ADDRESS(INDEX($W$2:$W$1001,MATCH(ROWS($U$2:U725),$U$2:$U$1001,0),0), INDEX($AB$1004:$AQ$1004,1,MATCH(COLUMNS($AB$1006:AJ1006),$AB$1006:$AQ$1006,0)))),"Fix")))</f>
        <v>0</v>
      </c>
      <c r="K725" s="4">
        <f>IF(OR(INDEX($V$2:$V$1001,MATCH(ROWS($U$2:U725),$U$2:$U$1001,0),1)&gt;=100000,INDEX($AB$1005:$AQ$1005,1,MATCH(COLUMNS($AB$1006:AK1006),$AB$1006:$AQ$1006,0))&gt;=100000), " ",IF(INDEX($AB$2:$AQ$1001,MATCH(ROWS($U$2:U725),$U$2:$U$1001,0),MATCH(COLUMNS($AB$1006:AK1006),$AB$1006:$AQ$1006,0)), HYPERLINK("#",""), HYPERLINK(CONCATENATE("#metadata!", ADDRESS(INDEX($W$2:$W$1001,MATCH(ROWS($U$2:U725),$U$2:$U$1001,0),0), INDEX($AB$1004:$AQ$1004,1,MATCH(COLUMNS($AB$1006:AK1006),$AB$1006:$AQ$1006,0)))),"Fix")))</f>
        <v>0</v>
      </c>
      <c r="L725" s="4">
        <f>IF(OR(INDEX($V$2:$V$1001,MATCH(ROWS($U$2:U725),$U$2:$U$1001,0),1)&gt;=100000,INDEX($AB$1005:$AQ$1005,1,MATCH(COLUMNS($AB$1006:AL1006),$AB$1006:$AQ$1006,0))&gt;=100000), " ",IF(INDEX($AB$2:$AQ$1001,MATCH(ROWS($U$2:U725),$U$2:$U$1001,0),MATCH(COLUMNS($AB$1006:AL1006),$AB$1006:$AQ$1006,0)), HYPERLINK("#",""), HYPERLINK(CONCATENATE("#metadata!", ADDRESS(INDEX($W$2:$W$1001,MATCH(ROWS($U$2:U725),$U$2:$U$1001,0),0), INDEX($AB$1004:$AQ$1004,1,MATCH(COLUMNS($AB$1006:AL1006),$AB$1006:$AQ$1006,0)))),"Fix")))</f>
        <v>0</v>
      </c>
      <c r="M725" s="4">
        <f>IF(OR(INDEX($V$2:$V$1001,MATCH(ROWS($U$2:U725),$U$2:$U$1001,0),1)&gt;=100000,INDEX($AB$1005:$AQ$1005,1,MATCH(COLUMNS($AB$1006:AM1006),$AB$1006:$AQ$1006,0))&gt;=100000), " ",IF(INDEX($AB$2:$AQ$1001,MATCH(ROWS($U$2:U725),$U$2:$U$1001,0),MATCH(COLUMNS($AB$1006:AM1006),$AB$1006:$AQ$1006,0)), HYPERLINK("#",""), HYPERLINK(CONCATENATE("#metadata!", ADDRESS(INDEX($W$2:$W$1001,MATCH(ROWS($U$2:U725),$U$2:$U$1001,0),0), INDEX($AB$1004:$AQ$1004,1,MATCH(COLUMNS($AB$1006:AM1006),$AB$1006:$AQ$1006,0)))),"Fix")))</f>
        <v>0</v>
      </c>
      <c r="N725" s="4">
        <f>IF(OR(INDEX($V$2:$V$1001,MATCH(ROWS($U$2:U725),$U$2:$U$1001,0),1)&gt;=100000,INDEX($AB$1005:$AQ$1005,1,MATCH(COLUMNS($AB$1006:AN1006),$AB$1006:$AQ$1006,0))&gt;=100000), " ",IF(INDEX($AB$2:$AQ$1001,MATCH(ROWS($U$2:U725),$U$2:$U$1001,0),MATCH(COLUMNS($AB$1006:AN1006),$AB$1006:$AQ$1006,0)), HYPERLINK("#",""), HYPERLINK(CONCATENATE("#metadata!", ADDRESS(INDEX($W$2:$W$1001,MATCH(ROWS($U$2:U725),$U$2:$U$1001,0),0), INDEX($AB$1004:$AQ$1004,1,MATCH(COLUMNS($AB$1006:AN1006),$AB$1006:$AQ$1006,0)))),"Fix")))</f>
        <v>0</v>
      </c>
      <c r="O725" s="4">
        <f>IF(OR(INDEX($V$2:$V$1001,MATCH(ROWS($U$2:U725),$U$2:$U$1001,0),1)&gt;=100000,INDEX($AB$1005:$AQ$1005,1,MATCH(COLUMNS($AB$1006:AO1006),$AB$1006:$AQ$1006,0))&gt;=100000), " ",IF(INDEX($AB$2:$AQ$1001,MATCH(ROWS($U$2:U725),$U$2:$U$1001,0),MATCH(COLUMNS($AB$1006:AO1006),$AB$1006:$AQ$1006,0)), HYPERLINK("#",""), HYPERLINK(CONCATENATE("#metadata!", ADDRESS(INDEX($W$2:$W$1001,MATCH(ROWS($U$2:U725),$U$2:$U$1001,0),0), INDEX($AB$1004:$AQ$1004,1,MATCH(COLUMNS($AB$1006:AO1006),$AB$1006:$AQ$1006,0)))),"Fix")))</f>
        <v>0</v>
      </c>
      <c r="P725" s="4">
        <f>IF(OR(INDEX($V$2:$V$1001,MATCH(ROWS($U$2:U725),$U$2:$U$1001,0),1)&gt;=100000,INDEX($AB$1005:$AQ$1005,1,MATCH(COLUMNS($AB$1006:AP1006),$AB$1006:$AQ$1006,0))&gt;=100000), " ",IF(INDEX($AB$2:$AQ$1001,MATCH(ROWS($U$2:U725),$U$2:$U$1001,0),MATCH(COLUMNS($AB$1006:AP1006),$AB$1006:$AQ$1006,0)), HYPERLINK("#",""), HYPERLINK(CONCATENATE("#metadata!", ADDRESS(INDEX($W$2:$W$1001,MATCH(ROWS($U$2:U725),$U$2:$U$1001,0),0), INDEX($AB$1004:$AQ$1004,1,MATCH(COLUMNS($AB$1006:AP1006),$AB$1006:$AQ$1006,0)))),"Fix")))</f>
        <v>0</v>
      </c>
      <c r="Q725" s="4">
        <f>IF(OR(INDEX($V$2:$V$1001,MATCH(ROWS($U$2:U725),$U$2:$U$1001,0),1)&gt;=100000,INDEX($AB$1005:$AQ$1005,1,MATCH(COLUMNS($AB$1006:AQ1006),$AB$1006:$AQ$1006,0))&gt;=100000), " ",IF(INDEX($AB$2:$AQ$1001,MATCH(ROWS($U$2:U725),$U$2:$U$1001,0),MATCH(COLUMNS($AB$1006:AQ1006),$AB$1006:$AQ$1006,0)), HYPERLINK("#",""), HYPERLINK(CONCATENATE("#metadata!", ADDRESS(INDEX($W$2:$W$1001,MATCH(ROWS($U$2:U725),$U$2:$U$1001,0),0), INDEX($AB$1004:$AQ$1004,1,MATCH(COLUMNS($AB$1006:AQ1006),$AB$1006:$AQ$1006,0)))),"Fix")))</f>
        <v>0</v>
      </c>
      <c r="U725">
        <v>0</v>
      </c>
      <c r="V725">
        <v>0</v>
      </c>
      <c r="W725">
        <v>0</v>
      </c>
      <c r="X725">
        <f>IF(Y725,TRUE,AND(AB725:AQ725))</f>
        <v>0</v>
      </c>
      <c r="Y725">
        <f>COUNTBLANK(metadata!B725:Q725)=COLUMNS(metadata!B725:Q725)</f>
        <v>0</v>
      </c>
      <c r="Z725">
        <v>0</v>
      </c>
      <c r="AB725">
        <f>AND(IF(metadata!B725="",FALSE,TRUE),COUNTIF(metadata!B:B, metadata!B725) = 1,NOT(ISERROR(SUMPRODUCT(SEARCH(MID(metadata!B725,ROW(INDIRECT("1:"&amp;LEN(metadata!B725))), 1),"0123456789abcdefghijklmnopqrstuvwxyzABCDEFGHIJKLMNOPQRSTUVWXYZ.")))))</f>
        <v>0</v>
      </c>
      <c r="AC725">
        <f>OR(AND(IF(metadata!C725="",FALSE,TRUE),OR(exact(metadata!C725,"missing: not collected"),exact(metadata!C725,"missing: not provided"),exact(metadata!C725,"missing: restricted access"))),AND(IF(metadata!C725="",FALSE,TRUE),AND(AND(IFERROR(INT(LEFT(metadata!C725,4))&gt;1900,FALSE),IFERROR(INT(LEFT(metadata!C725,4))&lt;=YEAR(NOW()),FALSE)), OR(MID(metadata!C725,5,1)="", AND(AND(MID(metadata!C725,5,1)="-",IFERROR(INT(MID(metadata!C725,6,1))&gt;=0,FALSE),IFERROR(INT(MID(metadata!C725,6,1))&lt;=1,FALSE),NOT(MID(metadata!C725,7,1)=""),IFERROR(INT(MID(metadata!C725,6,2))&gt;=1,FALSE),IFERROR(INT(MID(metadata!C725,6,2))&lt;=12,FALSE)), OR(MID(metadata!C725,8,1)="", AND(AND(MID(metadata!C725,8,1)="-",IFERROR(INT(MID(metadata!C725,9,1))&gt;=0,FALSE),IFERROR(INT(MID(metadata!C725,9,1))&lt;=3,FALSE),NOT(MID(metadata!C725,10,1)=""),IFERROR(INT(MID(metadata!C725,9,2))&gt;=1,FALSE),IFERROR(INT(MID(metadata!C725,9,2))&lt;=31,FALSE)), OR(MID(metadata!C725,11,1)="", AND(AND(MID(metadata!C725,11,1)=" ",IFERROR(INT(MID(metadata!C725,12,1))&gt;=0,FALSE),IFERROR(INT(MID(metadata!C725,12,1))&lt;=2,FALSE),NOT(MID(metadata!C725,13,1)=""),IFERROR(INT(MID(metadata!C725,12,2))&gt;=0,FALSE),IFERROR(INT(MID(metadata!C725,12,2))&lt;=23,FALSE)), OR(MID(metadata!C725,14,1)="", AND(AND(MID(metadata!C725,14,1)=":",IFERROR(INT(MID(metadata!C725,15,1))&gt;=0,FALSE),IFERROR(INT(MID(metadata!C725,15,1))&lt;=5,FALSE),NOT(MID(metadata!C725,16,1)=""),IFERROR(INT(MID(metadata!C725,15,2))&gt;=0,FALSE),IFERROR(INT(MID(metadata!C725,15,2))&lt;=59,FALSE)), OR(MID(metadata!C725,17,1)="", AND(AND(MID(metadata!C725,17,1)=":",IFERROR(INT(MID(metadata!C725,18,1))&gt;=0,FALSE),IFERROR(INT(MID(metadata!C725,18,1))&lt;=5,FALSE),NOT(MID(metadata!C725,19,1)=""),IFERROR(INT(MID(metadata!C725,18,2))&gt;=0,FALSE),IFERROR(INT(MID(metadata!C725,18,2))&lt;=59,FALSE)), LEN(metadata!C725)&lt;=19)))))))))))))</f>
        <v>0</v>
      </c>
      <c r="AD725">
        <f>IF(metadata!D725="",FALSE,TRUE)</f>
        <v>0</v>
      </c>
      <c r="AE725">
        <f>OR(AND(IF(metadata!E725="",FALSE,TRUE),OR(exact(metadata!E725,"missing: not collected"),exact(metadata!E725,"missing: not provided"))),AND(IF(metadata!E725="",FALSE,TRUE),OR(exact(metadata!E725,"TRUE"),exact(metadata!E725,"FALSE"))))</f>
        <v>0</v>
      </c>
      <c r="AF725">
        <f>IF(metadata!F725="",FALSE,TRUE)</f>
        <v>0</v>
      </c>
      <c r="AG725">
        <f>IF(metadata!G725="",FALSE,TRUE)</f>
        <v>0</v>
      </c>
      <c r="AH725">
        <f>IF(metadata!H725="",FALSE,TRUE)</f>
        <v>0</v>
      </c>
      <c r="AI725">
        <f>OR(AND(IF(metadata!I725="",FALSE,TRUE),OR(exact(metadata!I725,"missing: not collected"),exact(metadata!I725,"missing: not provided"),exact(metadata!I725,"missing: restricted access"))),AND(IF(metadata!I725="",FALSE,TRUE),OR(exact(metadata!I725,"air"),exact(metadata!I725,"built environment"),exact(metadata!I725,"host-associated"),exact(metadata!I725,"human-associated"),exact(metadata!I725,"human-skin"),exact(metadata!I725,"human-oral"),exact(metadata!I725,"human-gut"),exact(metadata!I725,"human-vaginal"),exact(metadata!I725,"microbial mat/biofilm"),exact(metadata!I725,"misc environment"),exact(metadata!I725,"plant-associated"),exact(metadata!I725,"sediment"),exact(metadata!I725,"soil"),exact(metadata!I725,"wastewater/sludge"),exact(metadata!I725,"water"))))</f>
        <v>0</v>
      </c>
      <c r="AJ725">
        <f>IF(metadata!J725="",FALSE,TRUE)</f>
        <v>0</v>
      </c>
      <c r="AK725">
        <f>OR(AND(IF(metadata!K725="",FALSE,TRUE),OR(exact(metadata!K725,"missing: not collected"),exact(metadata!K725,"missing: not provided"),exact(metadata!K725,"missing: restricted access"))),AND(IF(metadata!K725="",FALSE,ISNUMBER(VALUE(metadata!K725))),metadata!K725&gt;=-90.00,metadata!K725&lt;=90.00))</f>
        <v>0</v>
      </c>
      <c r="AL725">
        <f>OR(AND(IF(metadata!L725="",FALSE,TRUE),OR(exact(metadata!L725,"missing: not collected"),exact(metadata!L725,"missing: not provided"),exact(metadata!L725,"missing: restricted access"))),AND(IF(metadata!L725="",FALSE,ISNUMBER(VALUE(metadata!L725))),metadata!L725&gt;=-180.00,metadata!L725&lt;=180.00))</f>
        <v>0</v>
      </c>
      <c r="AM725">
        <f>IF(metadata!M725="",FALSE,TRUE)</f>
        <v>0</v>
      </c>
      <c r="AN725">
        <f>OR(AND(IF(metadata!N725="",FALSE,TRUE),OR(exact(metadata!N725,"missing: not collected"),exact(metadata!N725,"missing: not provided"),exact(metadata!N725,"missing: restricted access"))),AND(IF(metadata!N725="",FALSE,TRUE),OR(exact(metadata!N725,"TRUE"),exact(metadata!N725,"FALSE"))))</f>
        <v>0</v>
      </c>
      <c r="AO725">
        <f>IF(metadata!O725="",FALSE,TRUE)</f>
        <v>0</v>
      </c>
      <c r="AP725">
        <f>OR(AND(IF(metadata!P725="",FALSE,TRUE),OR(exact(metadata!P725,"missing: not collected"),exact(metadata!P725,"missing: not provided"))),AND(IF(metadata!P725="",FALSE,IF(ISERROR(INT(metadata!P725)),FALSE,INT(metadata!P725)=metadata!P725)),metadata!P725&gt;0))</f>
        <v>0</v>
      </c>
      <c r="AQ725">
        <f>IF(metadata!Q725="",FALSE,TRUE)</f>
        <v>0</v>
      </c>
    </row>
    <row r="726" spans="1:43">
      <c r="A726" s="5">
        <f>IF(B726=" "," ",HYPERLINK(CONCATENATE("#metadata!",ADDRESS(INDEX($W$2:$W$1001,MATCH(ROWS($U$2:U726),$U$2:$U$1001,0),0),1)),INDEX($Z$2:$Z$1001,MATCH(ROWS($U$2:U726),$U$2:$U$1001,0),0)))</f>
        <v>0</v>
      </c>
      <c r="B726" s="4">
        <f>IF(OR(INDEX($V$2:$V$1001,MATCH(ROWS($U$2:U726),$U$2:$U$1001,0),1)&gt;=100000,INDEX($AB$1005:$AQ$1005,1,MATCH(COLUMNS($AB$1006:AB1006),$AB$1006:$AQ$1006,0))&gt;=100000), " ",IF(INDEX($AB$2:$AQ$1001,MATCH(ROWS($U$2:U726),$U$2:$U$1001,0),MATCH(COLUMNS($AB$1006:AB1006),$AB$1006:$AQ$1006,0)), HYPERLINK("#",""), HYPERLINK(CONCATENATE("#metadata!", ADDRESS(INDEX($W$2:$W$1001,MATCH(ROWS($U$2:U726),$U$2:$U$1001,0),0), INDEX($AB$1004:$AQ$1004,1,MATCH(COLUMNS($AB$1006:AB1006),$AB$1006:$AQ$1006,0)))),"Fix")))</f>
        <v>0</v>
      </c>
      <c r="C726" s="4">
        <f>IF(OR(INDEX($V$2:$V$1001,MATCH(ROWS($U$2:U726),$U$2:$U$1001,0),1)&gt;=100000,INDEX($AB$1005:$AQ$1005,1,MATCH(COLUMNS($AB$1006:AC1006),$AB$1006:$AQ$1006,0))&gt;=100000), " ",IF(INDEX($AB$2:$AQ$1001,MATCH(ROWS($U$2:U726),$U$2:$U$1001,0),MATCH(COLUMNS($AB$1006:AC1006),$AB$1006:$AQ$1006,0)), HYPERLINK("#",""), HYPERLINK(CONCATENATE("#metadata!", ADDRESS(INDEX($W$2:$W$1001,MATCH(ROWS($U$2:U726),$U$2:$U$1001,0),0), INDEX($AB$1004:$AQ$1004,1,MATCH(COLUMNS($AB$1006:AC1006),$AB$1006:$AQ$1006,0)))),"Fix")))</f>
        <v>0</v>
      </c>
      <c r="D726" s="4">
        <f>IF(OR(INDEX($V$2:$V$1001,MATCH(ROWS($U$2:U726),$U$2:$U$1001,0),1)&gt;=100000,INDEX($AB$1005:$AQ$1005,1,MATCH(COLUMNS($AB$1006:AD1006),$AB$1006:$AQ$1006,0))&gt;=100000), " ",IF(INDEX($AB$2:$AQ$1001,MATCH(ROWS($U$2:U726),$U$2:$U$1001,0),MATCH(COLUMNS($AB$1006:AD1006),$AB$1006:$AQ$1006,0)), HYPERLINK("#",""), HYPERLINK(CONCATENATE("#metadata!", ADDRESS(INDEX($W$2:$W$1001,MATCH(ROWS($U$2:U726),$U$2:$U$1001,0),0), INDEX($AB$1004:$AQ$1004,1,MATCH(COLUMNS($AB$1006:AD1006),$AB$1006:$AQ$1006,0)))),"Fix")))</f>
        <v>0</v>
      </c>
      <c r="E726" s="4">
        <f>IF(OR(INDEX($V$2:$V$1001,MATCH(ROWS($U$2:U726),$U$2:$U$1001,0),1)&gt;=100000,INDEX($AB$1005:$AQ$1005,1,MATCH(COLUMNS($AB$1006:AE1006),$AB$1006:$AQ$1006,0))&gt;=100000), " ",IF(INDEX($AB$2:$AQ$1001,MATCH(ROWS($U$2:U726),$U$2:$U$1001,0),MATCH(COLUMNS($AB$1006:AE1006),$AB$1006:$AQ$1006,0)), HYPERLINK("#",""), HYPERLINK(CONCATENATE("#metadata!", ADDRESS(INDEX($W$2:$W$1001,MATCH(ROWS($U$2:U726),$U$2:$U$1001,0),0), INDEX($AB$1004:$AQ$1004,1,MATCH(COLUMNS($AB$1006:AE1006),$AB$1006:$AQ$1006,0)))),"Fix")))</f>
        <v>0</v>
      </c>
      <c r="F726" s="4">
        <f>IF(OR(INDEX($V$2:$V$1001,MATCH(ROWS($U$2:U726),$U$2:$U$1001,0),1)&gt;=100000,INDEX($AB$1005:$AQ$1005,1,MATCH(COLUMNS($AB$1006:AF1006),$AB$1006:$AQ$1006,0))&gt;=100000), " ",IF(INDEX($AB$2:$AQ$1001,MATCH(ROWS($U$2:U726),$U$2:$U$1001,0),MATCH(COLUMNS($AB$1006:AF1006),$AB$1006:$AQ$1006,0)), HYPERLINK("#",""), HYPERLINK(CONCATENATE("#metadata!", ADDRESS(INDEX($W$2:$W$1001,MATCH(ROWS($U$2:U726),$U$2:$U$1001,0),0), INDEX($AB$1004:$AQ$1004,1,MATCH(COLUMNS($AB$1006:AF1006),$AB$1006:$AQ$1006,0)))),"Fix")))</f>
        <v>0</v>
      </c>
      <c r="G726" s="4">
        <f>IF(OR(INDEX($V$2:$V$1001,MATCH(ROWS($U$2:U726),$U$2:$U$1001,0),1)&gt;=100000,INDEX($AB$1005:$AQ$1005,1,MATCH(COLUMNS($AB$1006:AG1006),$AB$1006:$AQ$1006,0))&gt;=100000), " ",IF(INDEX($AB$2:$AQ$1001,MATCH(ROWS($U$2:U726),$U$2:$U$1001,0),MATCH(COLUMNS($AB$1006:AG1006),$AB$1006:$AQ$1006,0)), HYPERLINK("#",""), HYPERLINK(CONCATENATE("#metadata!", ADDRESS(INDEX($W$2:$W$1001,MATCH(ROWS($U$2:U726),$U$2:$U$1001,0),0), INDEX($AB$1004:$AQ$1004,1,MATCH(COLUMNS($AB$1006:AG1006),$AB$1006:$AQ$1006,0)))),"Fix")))</f>
        <v>0</v>
      </c>
      <c r="H726" s="4">
        <f>IF(OR(INDEX($V$2:$V$1001,MATCH(ROWS($U$2:U726),$U$2:$U$1001,0),1)&gt;=100000,INDEX($AB$1005:$AQ$1005,1,MATCH(COLUMNS($AB$1006:AH1006),$AB$1006:$AQ$1006,0))&gt;=100000), " ",IF(INDEX($AB$2:$AQ$1001,MATCH(ROWS($U$2:U726),$U$2:$U$1001,0),MATCH(COLUMNS($AB$1006:AH1006),$AB$1006:$AQ$1006,0)), HYPERLINK("#",""), HYPERLINK(CONCATENATE("#metadata!", ADDRESS(INDEX($W$2:$W$1001,MATCH(ROWS($U$2:U726),$U$2:$U$1001,0),0), INDEX($AB$1004:$AQ$1004,1,MATCH(COLUMNS($AB$1006:AH1006),$AB$1006:$AQ$1006,0)))),"Fix")))</f>
        <v>0</v>
      </c>
      <c r="I726" s="4">
        <f>IF(OR(INDEX($V$2:$V$1001,MATCH(ROWS($U$2:U726),$U$2:$U$1001,0),1)&gt;=100000,INDEX($AB$1005:$AQ$1005,1,MATCH(COLUMNS($AB$1006:AI1006),$AB$1006:$AQ$1006,0))&gt;=100000), " ",IF(INDEX($AB$2:$AQ$1001,MATCH(ROWS($U$2:U726),$U$2:$U$1001,0),MATCH(COLUMNS($AB$1006:AI1006),$AB$1006:$AQ$1006,0)), HYPERLINK("#",""), HYPERLINK(CONCATENATE("#metadata!", ADDRESS(INDEX($W$2:$W$1001,MATCH(ROWS($U$2:U726),$U$2:$U$1001,0),0), INDEX($AB$1004:$AQ$1004,1,MATCH(COLUMNS($AB$1006:AI1006),$AB$1006:$AQ$1006,0)))),"Fix")))</f>
        <v>0</v>
      </c>
      <c r="J726" s="4">
        <f>IF(OR(INDEX($V$2:$V$1001,MATCH(ROWS($U$2:U726),$U$2:$U$1001,0),1)&gt;=100000,INDEX($AB$1005:$AQ$1005,1,MATCH(COLUMNS($AB$1006:AJ1006),$AB$1006:$AQ$1006,0))&gt;=100000), " ",IF(INDEX($AB$2:$AQ$1001,MATCH(ROWS($U$2:U726),$U$2:$U$1001,0),MATCH(COLUMNS($AB$1006:AJ1006),$AB$1006:$AQ$1006,0)), HYPERLINK("#",""), HYPERLINK(CONCATENATE("#metadata!", ADDRESS(INDEX($W$2:$W$1001,MATCH(ROWS($U$2:U726),$U$2:$U$1001,0),0), INDEX($AB$1004:$AQ$1004,1,MATCH(COLUMNS($AB$1006:AJ1006),$AB$1006:$AQ$1006,0)))),"Fix")))</f>
        <v>0</v>
      </c>
      <c r="K726" s="4">
        <f>IF(OR(INDEX($V$2:$V$1001,MATCH(ROWS($U$2:U726),$U$2:$U$1001,0),1)&gt;=100000,INDEX($AB$1005:$AQ$1005,1,MATCH(COLUMNS($AB$1006:AK1006),$AB$1006:$AQ$1006,0))&gt;=100000), " ",IF(INDEX($AB$2:$AQ$1001,MATCH(ROWS($U$2:U726),$U$2:$U$1001,0),MATCH(COLUMNS($AB$1006:AK1006),$AB$1006:$AQ$1006,0)), HYPERLINK("#",""), HYPERLINK(CONCATENATE("#metadata!", ADDRESS(INDEX($W$2:$W$1001,MATCH(ROWS($U$2:U726),$U$2:$U$1001,0),0), INDEX($AB$1004:$AQ$1004,1,MATCH(COLUMNS($AB$1006:AK1006),$AB$1006:$AQ$1006,0)))),"Fix")))</f>
        <v>0</v>
      </c>
      <c r="L726" s="4">
        <f>IF(OR(INDEX($V$2:$V$1001,MATCH(ROWS($U$2:U726),$U$2:$U$1001,0),1)&gt;=100000,INDEX($AB$1005:$AQ$1005,1,MATCH(COLUMNS($AB$1006:AL1006),$AB$1006:$AQ$1006,0))&gt;=100000), " ",IF(INDEX($AB$2:$AQ$1001,MATCH(ROWS($U$2:U726),$U$2:$U$1001,0),MATCH(COLUMNS($AB$1006:AL1006),$AB$1006:$AQ$1006,0)), HYPERLINK("#",""), HYPERLINK(CONCATENATE("#metadata!", ADDRESS(INDEX($W$2:$W$1001,MATCH(ROWS($U$2:U726),$U$2:$U$1001,0),0), INDEX($AB$1004:$AQ$1004,1,MATCH(COLUMNS($AB$1006:AL1006),$AB$1006:$AQ$1006,0)))),"Fix")))</f>
        <v>0</v>
      </c>
      <c r="M726" s="4">
        <f>IF(OR(INDEX($V$2:$V$1001,MATCH(ROWS($U$2:U726),$U$2:$U$1001,0),1)&gt;=100000,INDEX($AB$1005:$AQ$1005,1,MATCH(COLUMNS($AB$1006:AM1006),$AB$1006:$AQ$1006,0))&gt;=100000), " ",IF(INDEX($AB$2:$AQ$1001,MATCH(ROWS($U$2:U726),$U$2:$U$1001,0),MATCH(COLUMNS($AB$1006:AM1006),$AB$1006:$AQ$1006,0)), HYPERLINK("#",""), HYPERLINK(CONCATENATE("#metadata!", ADDRESS(INDEX($W$2:$W$1001,MATCH(ROWS($U$2:U726),$U$2:$U$1001,0),0), INDEX($AB$1004:$AQ$1004,1,MATCH(COLUMNS($AB$1006:AM1006),$AB$1006:$AQ$1006,0)))),"Fix")))</f>
        <v>0</v>
      </c>
      <c r="N726" s="4">
        <f>IF(OR(INDEX($V$2:$V$1001,MATCH(ROWS($U$2:U726),$U$2:$U$1001,0),1)&gt;=100000,INDEX($AB$1005:$AQ$1005,1,MATCH(COLUMNS($AB$1006:AN1006),$AB$1006:$AQ$1006,0))&gt;=100000), " ",IF(INDEX($AB$2:$AQ$1001,MATCH(ROWS($U$2:U726),$U$2:$U$1001,0),MATCH(COLUMNS($AB$1006:AN1006),$AB$1006:$AQ$1006,0)), HYPERLINK("#",""), HYPERLINK(CONCATENATE("#metadata!", ADDRESS(INDEX($W$2:$W$1001,MATCH(ROWS($U$2:U726),$U$2:$U$1001,0),0), INDEX($AB$1004:$AQ$1004,1,MATCH(COLUMNS($AB$1006:AN1006),$AB$1006:$AQ$1006,0)))),"Fix")))</f>
        <v>0</v>
      </c>
      <c r="O726" s="4">
        <f>IF(OR(INDEX($V$2:$V$1001,MATCH(ROWS($U$2:U726),$U$2:$U$1001,0),1)&gt;=100000,INDEX($AB$1005:$AQ$1005,1,MATCH(COLUMNS($AB$1006:AO1006),$AB$1006:$AQ$1006,0))&gt;=100000), " ",IF(INDEX($AB$2:$AQ$1001,MATCH(ROWS($U$2:U726),$U$2:$U$1001,0),MATCH(COLUMNS($AB$1006:AO1006),$AB$1006:$AQ$1006,0)), HYPERLINK("#",""), HYPERLINK(CONCATENATE("#metadata!", ADDRESS(INDEX($W$2:$W$1001,MATCH(ROWS($U$2:U726),$U$2:$U$1001,0),0), INDEX($AB$1004:$AQ$1004,1,MATCH(COLUMNS($AB$1006:AO1006),$AB$1006:$AQ$1006,0)))),"Fix")))</f>
        <v>0</v>
      </c>
      <c r="P726" s="4">
        <f>IF(OR(INDEX($V$2:$V$1001,MATCH(ROWS($U$2:U726),$U$2:$U$1001,0),1)&gt;=100000,INDEX($AB$1005:$AQ$1005,1,MATCH(COLUMNS($AB$1006:AP1006),$AB$1006:$AQ$1006,0))&gt;=100000), " ",IF(INDEX($AB$2:$AQ$1001,MATCH(ROWS($U$2:U726),$U$2:$U$1001,0),MATCH(COLUMNS($AB$1006:AP1006),$AB$1006:$AQ$1006,0)), HYPERLINK("#",""), HYPERLINK(CONCATENATE("#metadata!", ADDRESS(INDEX($W$2:$W$1001,MATCH(ROWS($U$2:U726),$U$2:$U$1001,0),0), INDEX($AB$1004:$AQ$1004,1,MATCH(COLUMNS($AB$1006:AP1006),$AB$1006:$AQ$1006,0)))),"Fix")))</f>
        <v>0</v>
      </c>
      <c r="Q726" s="4">
        <f>IF(OR(INDEX($V$2:$V$1001,MATCH(ROWS($U$2:U726),$U$2:$U$1001,0),1)&gt;=100000,INDEX($AB$1005:$AQ$1005,1,MATCH(COLUMNS($AB$1006:AQ1006),$AB$1006:$AQ$1006,0))&gt;=100000), " ",IF(INDEX($AB$2:$AQ$1001,MATCH(ROWS($U$2:U726),$U$2:$U$1001,0),MATCH(COLUMNS($AB$1006:AQ1006),$AB$1006:$AQ$1006,0)), HYPERLINK("#",""), HYPERLINK(CONCATENATE("#metadata!", ADDRESS(INDEX($W$2:$W$1001,MATCH(ROWS($U$2:U726),$U$2:$U$1001,0),0), INDEX($AB$1004:$AQ$1004,1,MATCH(COLUMNS($AB$1006:AQ1006),$AB$1006:$AQ$1006,0)))),"Fix")))</f>
        <v>0</v>
      </c>
      <c r="U726">
        <v>0</v>
      </c>
      <c r="V726">
        <v>0</v>
      </c>
      <c r="W726">
        <v>0</v>
      </c>
      <c r="X726">
        <f>IF(Y726,TRUE,AND(AB726:AQ726))</f>
        <v>0</v>
      </c>
      <c r="Y726">
        <f>COUNTBLANK(metadata!B726:Q726)=COLUMNS(metadata!B726:Q726)</f>
        <v>0</v>
      </c>
      <c r="Z726">
        <v>0</v>
      </c>
      <c r="AB726">
        <f>AND(IF(metadata!B726="",FALSE,TRUE),COUNTIF(metadata!B:B, metadata!B726) = 1,NOT(ISERROR(SUMPRODUCT(SEARCH(MID(metadata!B726,ROW(INDIRECT("1:"&amp;LEN(metadata!B726))), 1),"0123456789abcdefghijklmnopqrstuvwxyzABCDEFGHIJKLMNOPQRSTUVWXYZ.")))))</f>
        <v>0</v>
      </c>
      <c r="AC726">
        <f>OR(AND(IF(metadata!C726="",FALSE,TRUE),OR(exact(metadata!C726,"missing: not collected"),exact(metadata!C726,"missing: not provided"),exact(metadata!C726,"missing: restricted access"))),AND(IF(metadata!C726="",FALSE,TRUE),AND(AND(IFERROR(INT(LEFT(metadata!C726,4))&gt;1900,FALSE),IFERROR(INT(LEFT(metadata!C726,4))&lt;=YEAR(NOW()),FALSE)), OR(MID(metadata!C726,5,1)="", AND(AND(MID(metadata!C726,5,1)="-",IFERROR(INT(MID(metadata!C726,6,1))&gt;=0,FALSE),IFERROR(INT(MID(metadata!C726,6,1))&lt;=1,FALSE),NOT(MID(metadata!C726,7,1)=""),IFERROR(INT(MID(metadata!C726,6,2))&gt;=1,FALSE),IFERROR(INT(MID(metadata!C726,6,2))&lt;=12,FALSE)), OR(MID(metadata!C726,8,1)="", AND(AND(MID(metadata!C726,8,1)="-",IFERROR(INT(MID(metadata!C726,9,1))&gt;=0,FALSE),IFERROR(INT(MID(metadata!C726,9,1))&lt;=3,FALSE),NOT(MID(metadata!C726,10,1)=""),IFERROR(INT(MID(metadata!C726,9,2))&gt;=1,FALSE),IFERROR(INT(MID(metadata!C726,9,2))&lt;=31,FALSE)), OR(MID(metadata!C726,11,1)="", AND(AND(MID(metadata!C726,11,1)=" ",IFERROR(INT(MID(metadata!C726,12,1))&gt;=0,FALSE),IFERROR(INT(MID(metadata!C726,12,1))&lt;=2,FALSE),NOT(MID(metadata!C726,13,1)=""),IFERROR(INT(MID(metadata!C726,12,2))&gt;=0,FALSE),IFERROR(INT(MID(metadata!C726,12,2))&lt;=23,FALSE)), OR(MID(metadata!C726,14,1)="", AND(AND(MID(metadata!C726,14,1)=":",IFERROR(INT(MID(metadata!C726,15,1))&gt;=0,FALSE),IFERROR(INT(MID(metadata!C726,15,1))&lt;=5,FALSE),NOT(MID(metadata!C726,16,1)=""),IFERROR(INT(MID(metadata!C726,15,2))&gt;=0,FALSE),IFERROR(INT(MID(metadata!C726,15,2))&lt;=59,FALSE)), OR(MID(metadata!C726,17,1)="", AND(AND(MID(metadata!C726,17,1)=":",IFERROR(INT(MID(metadata!C726,18,1))&gt;=0,FALSE),IFERROR(INT(MID(metadata!C726,18,1))&lt;=5,FALSE),NOT(MID(metadata!C726,19,1)=""),IFERROR(INT(MID(metadata!C726,18,2))&gt;=0,FALSE),IFERROR(INT(MID(metadata!C726,18,2))&lt;=59,FALSE)), LEN(metadata!C726)&lt;=19)))))))))))))</f>
        <v>0</v>
      </c>
      <c r="AD726">
        <f>IF(metadata!D726="",FALSE,TRUE)</f>
        <v>0</v>
      </c>
      <c r="AE726">
        <f>OR(AND(IF(metadata!E726="",FALSE,TRUE),OR(exact(metadata!E726,"missing: not collected"),exact(metadata!E726,"missing: not provided"))),AND(IF(metadata!E726="",FALSE,TRUE),OR(exact(metadata!E726,"TRUE"),exact(metadata!E726,"FALSE"))))</f>
        <v>0</v>
      </c>
      <c r="AF726">
        <f>IF(metadata!F726="",FALSE,TRUE)</f>
        <v>0</v>
      </c>
      <c r="AG726">
        <f>IF(metadata!G726="",FALSE,TRUE)</f>
        <v>0</v>
      </c>
      <c r="AH726">
        <f>IF(metadata!H726="",FALSE,TRUE)</f>
        <v>0</v>
      </c>
      <c r="AI726">
        <f>OR(AND(IF(metadata!I726="",FALSE,TRUE),OR(exact(metadata!I726,"missing: not collected"),exact(metadata!I726,"missing: not provided"),exact(metadata!I726,"missing: restricted access"))),AND(IF(metadata!I726="",FALSE,TRUE),OR(exact(metadata!I726,"air"),exact(metadata!I726,"built environment"),exact(metadata!I726,"host-associated"),exact(metadata!I726,"human-associated"),exact(metadata!I726,"human-skin"),exact(metadata!I726,"human-oral"),exact(metadata!I726,"human-gut"),exact(metadata!I726,"human-vaginal"),exact(metadata!I726,"microbial mat/biofilm"),exact(metadata!I726,"misc environment"),exact(metadata!I726,"plant-associated"),exact(metadata!I726,"sediment"),exact(metadata!I726,"soil"),exact(metadata!I726,"wastewater/sludge"),exact(metadata!I726,"water"))))</f>
        <v>0</v>
      </c>
      <c r="AJ726">
        <f>IF(metadata!J726="",FALSE,TRUE)</f>
        <v>0</v>
      </c>
      <c r="AK726">
        <f>OR(AND(IF(metadata!K726="",FALSE,TRUE),OR(exact(metadata!K726,"missing: not collected"),exact(metadata!K726,"missing: not provided"),exact(metadata!K726,"missing: restricted access"))),AND(IF(metadata!K726="",FALSE,ISNUMBER(VALUE(metadata!K726))),metadata!K726&gt;=-90.00,metadata!K726&lt;=90.00))</f>
        <v>0</v>
      </c>
      <c r="AL726">
        <f>OR(AND(IF(metadata!L726="",FALSE,TRUE),OR(exact(metadata!L726,"missing: not collected"),exact(metadata!L726,"missing: not provided"),exact(metadata!L726,"missing: restricted access"))),AND(IF(metadata!L726="",FALSE,ISNUMBER(VALUE(metadata!L726))),metadata!L726&gt;=-180.00,metadata!L726&lt;=180.00))</f>
        <v>0</v>
      </c>
      <c r="AM726">
        <f>IF(metadata!M726="",FALSE,TRUE)</f>
        <v>0</v>
      </c>
      <c r="AN726">
        <f>OR(AND(IF(metadata!N726="",FALSE,TRUE),OR(exact(metadata!N726,"missing: not collected"),exact(metadata!N726,"missing: not provided"),exact(metadata!N726,"missing: restricted access"))),AND(IF(metadata!N726="",FALSE,TRUE),OR(exact(metadata!N726,"TRUE"),exact(metadata!N726,"FALSE"))))</f>
        <v>0</v>
      </c>
      <c r="AO726">
        <f>IF(metadata!O726="",FALSE,TRUE)</f>
        <v>0</v>
      </c>
      <c r="AP726">
        <f>OR(AND(IF(metadata!P726="",FALSE,TRUE),OR(exact(metadata!P726,"missing: not collected"),exact(metadata!P726,"missing: not provided"))),AND(IF(metadata!P726="",FALSE,IF(ISERROR(INT(metadata!P726)),FALSE,INT(metadata!P726)=metadata!P726)),metadata!P726&gt;0))</f>
        <v>0</v>
      </c>
      <c r="AQ726">
        <f>IF(metadata!Q726="",FALSE,TRUE)</f>
        <v>0</v>
      </c>
    </row>
    <row r="727" spans="1:43">
      <c r="A727" s="5">
        <f>IF(B727=" "," ",HYPERLINK(CONCATENATE("#metadata!",ADDRESS(INDEX($W$2:$W$1001,MATCH(ROWS($U$2:U727),$U$2:$U$1001,0),0),1)),INDEX($Z$2:$Z$1001,MATCH(ROWS($U$2:U727),$U$2:$U$1001,0),0)))</f>
        <v>0</v>
      </c>
      <c r="B727" s="4">
        <f>IF(OR(INDEX($V$2:$V$1001,MATCH(ROWS($U$2:U727),$U$2:$U$1001,0),1)&gt;=100000,INDEX($AB$1005:$AQ$1005,1,MATCH(COLUMNS($AB$1006:AB1006),$AB$1006:$AQ$1006,0))&gt;=100000), " ",IF(INDEX($AB$2:$AQ$1001,MATCH(ROWS($U$2:U727),$U$2:$U$1001,0),MATCH(COLUMNS($AB$1006:AB1006),$AB$1006:$AQ$1006,0)), HYPERLINK("#",""), HYPERLINK(CONCATENATE("#metadata!", ADDRESS(INDEX($W$2:$W$1001,MATCH(ROWS($U$2:U727),$U$2:$U$1001,0),0), INDEX($AB$1004:$AQ$1004,1,MATCH(COLUMNS($AB$1006:AB1006),$AB$1006:$AQ$1006,0)))),"Fix")))</f>
        <v>0</v>
      </c>
      <c r="C727" s="4">
        <f>IF(OR(INDEX($V$2:$V$1001,MATCH(ROWS($U$2:U727),$U$2:$U$1001,0),1)&gt;=100000,INDEX($AB$1005:$AQ$1005,1,MATCH(COLUMNS($AB$1006:AC1006),$AB$1006:$AQ$1006,0))&gt;=100000), " ",IF(INDEX($AB$2:$AQ$1001,MATCH(ROWS($U$2:U727),$U$2:$U$1001,0),MATCH(COLUMNS($AB$1006:AC1006),$AB$1006:$AQ$1006,0)), HYPERLINK("#",""), HYPERLINK(CONCATENATE("#metadata!", ADDRESS(INDEX($W$2:$W$1001,MATCH(ROWS($U$2:U727),$U$2:$U$1001,0),0), INDEX($AB$1004:$AQ$1004,1,MATCH(COLUMNS($AB$1006:AC1006),$AB$1006:$AQ$1006,0)))),"Fix")))</f>
        <v>0</v>
      </c>
      <c r="D727" s="4">
        <f>IF(OR(INDEX($V$2:$V$1001,MATCH(ROWS($U$2:U727),$U$2:$U$1001,0),1)&gt;=100000,INDEX($AB$1005:$AQ$1005,1,MATCH(COLUMNS($AB$1006:AD1006),$AB$1006:$AQ$1006,0))&gt;=100000), " ",IF(INDEX($AB$2:$AQ$1001,MATCH(ROWS($U$2:U727),$U$2:$U$1001,0),MATCH(COLUMNS($AB$1006:AD1006),$AB$1006:$AQ$1006,0)), HYPERLINK("#",""), HYPERLINK(CONCATENATE("#metadata!", ADDRESS(INDEX($W$2:$W$1001,MATCH(ROWS($U$2:U727),$U$2:$U$1001,0),0), INDEX($AB$1004:$AQ$1004,1,MATCH(COLUMNS($AB$1006:AD1006),$AB$1006:$AQ$1006,0)))),"Fix")))</f>
        <v>0</v>
      </c>
      <c r="E727" s="4">
        <f>IF(OR(INDEX($V$2:$V$1001,MATCH(ROWS($U$2:U727),$U$2:$U$1001,0),1)&gt;=100000,INDEX($AB$1005:$AQ$1005,1,MATCH(COLUMNS($AB$1006:AE1006),$AB$1006:$AQ$1006,0))&gt;=100000), " ",IF(INDEX($AB$2:$AQ$1001,MATCH(ROWS($U$2:U727),$U$2:$U$1001,0),MATCH(COLUMNS($AB$1006:AE1006),$AB$1006:$AQ$1006,0)), HYPERLINK("#",""), HYPERLINK(CONCATENATE("#metadata!", ADDRESS(INDEX($W$2:$W$1001,MATCH(ROWS($U$2:U727),$U$2:$U$1001,0),0), INDEX($AB$1004:$AQ$1004,1,MATCH(COLUMNS($AB$1006:AE1006),$AB$1006:$AQ$1006,0)))),"Fix")))</f>
        <v>0</v>
      </c>
      <c r="F727" s="4">
        <f>IF(OR(INDEX($V$2:$V$1001,MATCH(ROWS($U$2:U727),$U$2:$U$1001,0),1)&gt;=100000,INDEX($AB$1005:$AQ$1005,1,MATCH(COLUMNS($AB$1006:AF1006),$AB$1006:$AQ$1006,0))&gt;=100000), " ",IF(INDEX($AB$2:$AQ$1001,MATCH(ROWS($U$2:U727),$U$2:$U$1001,0),MATCH(COLUMNS($AB$1006:AF1006),$AB$1006:$AQ$1006,0)), HYPERLINK("#",""), HYPERLINK(CONCATENATE("#metadata!", ADDRESS(INDEX($W$2:$W$1001,MATCH(ROWS($U$2:U727),$U$2:$U$1001,0),0), INDEX($AB$1004:$AQ$1004,1,MATCH(COLUMNS($AB$1006:AF1006),$AB$1006:$AQ$1006,0)))),"Fix")))</f>
        <v>0</v>
      </c>
      <c r="G727" s="4">
        <f>IF(OR(INDEX($V$2:$V$1001,MATCH(ROWS($U$2:U727),$U$2:$U$1001,0),1)&gt;=100000,INDEX($AB$1005:$AQ$1005,1,MATCH(COLUMNS($AB$1006:AG1006),$AB$1006:$AQ$1006,0))&gt;=100000), " ",IF(INDEX($AB$2:$AQ$1001,MATCH(ROWS($U$2:U727),$U$2:$U$1001,0),MATCH(COLUMNS($AB$1006:AG1006),$AB$1006:$AQ$1006,0)), HYPERLINK("#",""), HYPERLINK(CONCATENATE("#metadata!", ADDRESS(INDEX($W$2:$W$1001,MATCH(ROWS($U$2:U727),$U$2:$U$1001,0),0), INDEX($AB$1004:$AQ$1004,1,MATCH(COLUMNS($AB$1006:AG1006),$AB$1006:$AQ$1006,0)))),"Fix")))</f>
        <v>0</v>
      </c>
      <c r="H727" s="4">
        <f>IF(OR(INDEX($V$2:$V$1001,MATCH(ROWS($U$2:U727),$U$2:$U$1001,0),1)&gt;=100000,INDEX($AB$1005:$AQ$1005,1,MATCH(COLUMNS($AB$1006:AH1006),$AB$1006:$AQ$1006,0))&gt;=100000), " ",IF(INDEX($AB$2:$AQ$1001,MATCH(ROWS($U$2:U727),$U$2:$U$1001,0),MATCH(COLUMNS($AB$1006:AH1006),$AB$1006:$AQ$1006,0)), HYPERLINK("#",""), HYPERLINK(CONCATENATE("#metadata!", ADDRESS(INDEX($W$2:$W$1001,MATCH(ROWS($U$2:U727),$U$2:$U$1001,0),0), INDEX($AB$1004:$AQ$1004,1,MATCH(COLUMNS($AB$1006:AH1006),$AB$1006:$AQ$1006,0)))),"Fix")))</f>
        <v>0</v>
      </c>
      <c r="I727" s="4">
        <f>IF(OR(INDEX($V$2:$V$1001,MATCH(ROWS($U$2:U727),$U$2:$U$1001,0),1)&gt;=100000,INDEX($AB$1005:$AQ$1005,1,MATCH(COLUMNS($AB$1006:AI1006),$AB$1006:$AQ$1006,0))&gt;=100000), " ",IF(INDEX($AB$2:$AQ$1001,MATCH(ROWS($U$2:U727),$U$2:$U$1001,0),MATCH(COLUMNS($AB$1006:AI1006),$AB$1006:$AQ$1006,0)), HYPERLINK("#",""), HYPERLINK(CONCATENATE("#metadata!", ADDRESS(INDEX($W$2:$W$1001,MATCH(ROWS($U$2:U727),$U$2:$U$1001,0),0), INDEX($AB$1004:$AQ$1004,1,MATCH(COLUMNS($AB$1006:AI1006),$AB$1006:$AQ$1006,0)))),"Fix")))</f>
        <v>0</v>
      </c>
      <c r="J727" s="4">
        <f>IF(OR(INDEX($V$2:$V$1001,MATCH(ROWS($U$2:U727),$U$2:$U$1001,0),1)&gt;=100000,INDEX($AB$1005:$AQ$1005,1,MATCH(COLUMNS($AB$1006:AJ1006),$AB$1006:$AQ$1006,0))&gt;=100000), " ",IF(INDEX($AB$2:$AQ$1001,MATCH(ROWS($U$2:U727),$U$2:$U$1001,0),MATCH(COLUMNS($AB$1006:AJ1006),$AB$1006:$AQ$1006,0)), HYPERLINK("#",""), HYPERLINK(CONCATENATE("#metadata!", ADDRESS(INDEX($W$2:$W$1001,MATCH(ROWS($U$2:U727),$U$2:$U$1001,0),0), INDEX($AB$1004:$AQ$1004,1,MATCH(COLUMNS($AB$1006:AJ1006),$AB$1006:$AQ$1006,0)))),"Fix")))</f>
        <v>0</v>
      </c>
      <c r="K727" s="4">
        <f>IF(OR(INDEX($V$2:$V$1001,MATCH(ROWS($U$2:U727),$U$2:$U$1001,0),1)&gt;=100000,INDEX($AB$1005:$AQ$1005,1,MATCH(COLUMNS($AB$1006:AK1006),$AB$1006:$AQ$1006,0))&gt;=100000), " ",IF(INDEX($AB$2:$AQ$1001,MATCH(ROWS($U$2:U727),$U$2:$U$1001,0),MATCH(COLUMNS($AB$1006:AK1006),$AB$1006:$AQ$1006,0)), HYPERLINK("#",""), HYPERLINK(CONCATENATE("#metadata!", ADDRESS(INDEX($W$2:$W$1001,MATCH(ROWS($U$2:U727),$U$2:$U$1001,0),0), INDEX($AB$1004:$AQ$1004,1,MATCH(COLUMNS($AB$1006:AK1006),$AB$1006:$AQ$1006,0)))),"Fix")))</f>
        <v>0</v>
      </c>
      <c r="L727" s="4">
        <f>IF(OR(INDEX($V$2:$V$1001,MATCH(ROWS($U$2:U727),$U$2:$U$1001,0),1)&gt;=100000,INDEX($AB$1005:$AQ$1005,1,MATCH(COLUMNS($AB$1006:AL1006),$AB$1006:$AQ$1006,0))&gt;=100000), " ",IF(INDEX($AB$2:$AQ$1001,MATCH(ROWS($U$2:U727),$U$2:$U$1001,0),MATCH(COLUMNS($AB$1006:AL1006),$AB$1006:$AQ$1006,0)), HYPERLINK("#",""), HYPERLINK(CONCATENATE("#metadata!", ADDRESS(INDEX($W$2:$W$1001,MATCH(ROWS($U$2:U727),$U$2:$U$1001,0),0), INDEX($AB$1004:$AQ$1004,1,MATCH(COLUMNS($AB$1006:AL1006),$AB$1006:$AQ$1006,0)))),"Fix")))</f>
        <v>0</v>
      </c>
      <c r="M727" s="4">
        <f>IF(OR(INDEX($V$2:$V$1001,MATCH(ROWS($U$2:U727),$U$2:$U$1001,0),1)&gt;=100000,INDEX($AB$1005:$AQ$1005,1,MATCH(COLUMNS($AB$1006:AM1006),$AB$1006:$AQ$1006,0))&gt;=100000), " ",IF(INDEX($AB$2:$AQ$1001,MATCH(ROWS($U$2:U727),$U$2:$U$1001,0),MATCH(COLUMNS($AB$1006:AM1006),$AB$1006:$AQ$1006,0)), HYPERLINK("#",""), HYPERLINK(CONCATENATE("#metadata!", ADDRESS(INDEX($W$2:$W$1001,MATCH(ROWS($U$2:U727),$U$2:$U$1001,0),0), INDEX($AB$1004:$AQ$1004,1,MATCH(COLUMNS($AB$1006:AM1006),$AB$1006:$AQ$1006,0)))),"Fix")))</f>
        <v>0</v>
      </c>
      <c r="N727" s="4">
        <f>IF(OR(INDEX($V$2:$V$1001,MATCH(ROWS($U$2:U727),$U$2:$U$1001,0),1)&gt;=100000,INDEX($AB$1005:$AQ$1005,1,MATCH(COLUMNS($AB$1006:AN1006),$AB$1006:$AQ$1006,0))&gt;=100000), " ",IF(INDEX($AB$2:$AQ$1001,MATCH(ROWS($U$2:U727),$U$2:$U$1001,0),MATCH(COLUMNS($AB$1006:AN1006),$AB$1006:$AQ$1006,0)), HYPERLINK("#",""), HYPERLINK(CONCATENATE("#metadata!", ADDRESS(INDEX($W$2:$W$1001,MATCH(ROWS($U$2:U727),$U$2:$U$1001,0),0), INDEX($AB$1004:$AQ$1004,1,MATCH(COLUMNS($AB$1006:AN1006),$AB$1006:$AQ$1006,0)))),"Fix")))</f>
        <v>0</v>
      </c>
      <c r="O727" s="4">
        <f>IF(OR(INDEX($V$2:$V$1001,MATCH(ROWS($U$2:U727),$U$2:$U$1001,0),1)&gt;=100000,INDEX($AB$1005:$AQ$1005,1,MATCH(COLUMNS($AB$1006:AO1006),$AB$1006:$AQ$1006,0))&gt;=100000), " ",IF(INDEX($AB$2:$AQ$1001,MATCH(ROWS($U$2:U727),$U$2:$U$1001,0),MATCH(COLUMNS($AB$1006:AO1006),$AB$1006:$AQ$1006,0)), HYPERLINK("#",""), HYPERLINK(CONCATENATE("#metadata!", ADDRESS(INDEX($W$2:$W$1001,MATCH(ROWS($U$2:U727),$U$2:$U$1001,0),0), INDEX($AB$1004:$AQ$1004,1,MATCH(COLUMNS($AB$1006:AO1006),$AB$1006:$AQ$1006,0)))),"Fix")))</f>
        <v>0</v>
      </c>
      <c r="P727" s="4">
        <f>IF(OR(INDEX($V$2:$V$1001,MATCH(ROWS($U$2:U727),$U$2:$U$1001,0),1)&gt;=100000,INDEX($AB$1005:$AQ$1005,1,MATCH(COLUMNS($AB$1006:AP1006),$AB$1006:$AQ$1006,0))&gt;=100000), " ",IF(INDEX($AB$2:$AQ$1001,MATCH(ROWS($U$2:U727),$U$2:$U$1001,0),MATCH(COLUMNS($AB$1006:AP1006),$AB$1006:$AQ$1006,0)), HYPERLINK("#",""), HYPERLINK(CONCATENATE("#metadata!", ADDRESS(INDEX($W$2:$W$1001,MATCH(ROWS($U$2:U727),$U$2:$U$1001,0),0), INDEX($AB$1004:$AQ$1004,1,MATCH(COLUMNS($AB$1006:AP1006),$AB$1006:$AQ$1006,0)))),"Fix")))</f>
        <v>0</v>
      </c>
      <c r="Q727" s="4">
        <f>IF(OR(INDEX($V$2:$V$1001,MATCH(ROWS($U$2:U727),$U$2:$U$1001,0),1)&gt;=100000,INDEX($AB$1005:$AQ$1005,1,MATCH(COLUMNS($AB$1006:AQ1006),$AB$1006:$AQ$1006,0))&gt;=100000), " ",IF(INDEX($AB$2:$AQ$1001,MATCH(ROWS($U$2:U727),$U$2:$U$1001,0),MATCH(COLUMNS($AB$1006:AQ1006),$AB$1006:$AQ$1006,0)), HYPERLINK("#",""), HYPERLINK(CONCATENATE("#metadata!", ADDRESS(INDEX($W$2:$W$1001,MATCH(ROWS($U$2:U727),$U$2:$U$1001,0),0), INDEX($AB$1004:$AQ$1004,1,MATCH(COLUMNS($AB$1006:AQ1006),$AB$1006:$AQ$1006,0)))),"Fix")))</f>
        <v>0</v>
      </c>
      <c r="U727">
        <v>0</v>
      </c>
      <c r="V727">
        <v>0</v>
      </c>
      <c r="W727">
        <v>0</v>
      </c>
      <c r="X727">
        <f>IF(Y727,TRUE,AND(AB727:AQ727))</f>
        <v>0</v>
      </c>
      <c r="Y727">
        <f>COUNTBLANK(metadata!B727:Q727)=COLUMNS(metadata!B727:Q727)</f>
        <v>0</v>
      </c>
      <c r="Z727">
        <v>0</v>
      </c>
      <c r="AB727">
        <f>AND(IF(metadata!B727="",FALSE,TRUE),COUNTIF(metadata!B:B, metadata!B727) = 1,NOT(ISERROR(SUMPRODUCT(SEARCH(MID(metadata!B727,ROW(INDIRECT("1:"&amp;LEN(metadata!B727))), 1),"0123456789abcdefghijklmnopqrstuvwxyzABCDEFGHIJKLMNOPQRSTUVWXYZ.")))))</f>
        <v>0</v>
      </c>
      <c r="AC727">
        <f>OR(AND(IF(metadata!C727="",FALSE,TRUE),OR(exact(metadata!C727,"missing: not collected"),exact(metadata!C727,"missing: not provided"),exact(metadata!C727,"missing: restricted access"))),AND(IF(metadata!C727="",FALSE,TRUE),AND(AND(IFERROR(INT(LEFT(metadata!C727,4))&gt;1900,FALSE),IFERROR(INT(LEFT(metadata!C727,4))&lt;=YEAR(NOW()),FALSE)), OR(MID(metadata!C727,5,1)="", AND(AND(MID(metadata!C727,5,1)="-",IFERROR(INT(MID(metadata!C727,6,1))&gt;=0,FALSE),IFERROR(INT(MID(metadata!C727,6,1))&lt;=1,FALSE),NOT(MID(metadata!C727,7,1)=""),IFERROR(INT(MID(metadata!C727,6,2))&gt;=1,FALSE),IFERROR(INT(MID(metadata!C727,6,2))&lt;=12,FALSE)), OR(MID(metadata!C727,8,1)="", AND(AND(MID(metadata!C727,8,1)="-",IFERROR(INT(MID(metadata!C727,9,1))&gt;=0,FALSE),IFERROR(INT(MID(metadata!C727,9,1))&lt;=3,FALSE),NOT(MID(metadata!C727,10,1)=""),IFERROR(INT(MID(metadata!C727,9,2))&gt;=1,FALSE),IFERROR(INT(MID(metadata!C727,9,2))&lt;=31,FALSE)), OR(MID(metadata!C727,11,1)="", AND(AND(MID(metadata!C727,11,1)=" ",IFERROR(INT(MID(metadata!C727,12,1))&gt;=0,FALSE),IFERROR(INT(MID(metadata!C727,12,1))&lt;=2,FALSE),NOT(MID(metadata!C727,13,1)=""),IFERROR(INT(MID(metadata!C727,12,2))&gt;=0,FALSE),IFERROR(INT(MID(metadata!C727,12,2))&lt;=23,FALSE)), OR(MID(metadata!C727,14,1)="", AND(AND(MID(metadata!C727,14,1)=":",IFERROR(INT(MID(metadata!C727,15,1))&gt;=0,FALSE),IFERROR(INT(MID(metadata!C727,15,1))&lt;=5,FALSE),NOT(MID(metadata!C727,16,1)=""),IFERROR(INT(MID(metadata!C727,15,2))&gt;=0,FALSE),IFERROR(INT(MID(metadata!C727,15,2))&lt;=59,FALSE)), OR(MID(metadata!C727,17,1)="", AND(AND(MID(metadata!C727,17,1)=":",IFERROR(INT(MID(metadata!C727,18,1))&gt;=0,FALSE),IFERROR(INT(MID(metadata!C727,18,1))&lt;=5,FALSE),NOT(MID(metadata!C727,19,1)=""),IFERROR(INT(MID(metadata!C727,18,2))&gt;=0,FALSE),IFERROR(INT(MID(metadata!C727,18,2))&lt;=59,FALSE)), LEN(metadata!C727)&lt;=19)))))))))))))</f>
        <v>0</v>
      </c>
      <c r="AD727">
        <f>IF(metadata!D727="",FALSE,TRUE)</f>
        <v>0</v>
      </c>
      <c r="AE727">
        <f>OR(AND(IF(metadata!E727="",FALSE,TRUE),OR(exact(metadata!E727,"missing: not collected"),exact(metadata!E727,"missing: not provided"))),AND(IF(metadata!E727="",FALSE,TRUE),OR(exact(metadata!E727,"TRUE"),exact(metadata!E727,"FALSE"))))</f>
        <v>0</v>
      </c>
      <c r="AF727">
        <f>IF(metadata!F727="",FALSE,TRUE)</f>
        <v>0</v>
      </c>
      <c r="AG727">
        <f>IF(metadata!G727="",FALSE,TRUE)</f>
        <v>0</v>
      </c>
      <c r="AH727">
        <f>IF(metadata!H727="",FALSE,TRUE)</f>
        <v>0</v>
      </c>
      <c r="AI727">
        <f>OR(AND(IF(metadata!I727="",FALSE,TRUE),OR(exact(metadata!I727,"missing: not collected"),exact(metadata!I727,"missing: not provided"),exact(metadata!I727,"missing: restricted access"))),AND(IF(metadata!I727="",FALSE,TRUE),OR(exact(metadata!I727,"air"),exact(metadata!I727,"built environment"),exact(metadata!I727,"host-associated"),exact(metadata!I727,"human-associated"),exact(metadata!I727,"human-skin"),exact(metadata!I727,"human-oral"),exact(metadata!I727,"human-gut"),exact(metadata!I727,"human-vaginal"),exact(metadata!I727,"microbial mat/biofilm"),exact(metadata!I727,"misc environment"),exact(metadata!I727,"plant-associated"),exact(metadata!I727,"sediment"),exact(metadata!I727,"soil"),exact(metadata!I727,"wastewater/sludge"),exact(metadata!I727,"water"))))</f>
        <v>0</v>
      </c>
      <c r="AJ727">
        <f>IF(metadata!J727="",FALSE,TRUE)</f>
        <v>0</v>
      </c>
      <c r="AK727">
        <f>OR(AND(IF(metadata!K727="",FALSE,TRUE),OR(exact(metadata!K727,"missing: not collected"),exact(metadata!K727,"missing: not provided"),exact(metadata!K727,"missing: restricted access"))),AND(IF(metadata!K727="",FALSE,ISNUMBER(VALUE(metadata!K727))),metadata!K727&gt;=-90.00,metadata!K727&lt;=90.00))</f>
        <v>0</v>
      </c>
      <c r="AL727">
        <f>OR(AND(IF(metadata!L727="",FALSE,TRUE),OR(exact(metadata!L727,"missing: not collected"),exact(metadata!L727,"missing: not provided"),exact(metadata!L727,"missing: restricted access"))),AND(IF(metadata!L727="",FALSE,ISNUMBER(VALUE(metadata!L727))),metadata!L727&gt;=-180.00,metadata!L727&lt;=180.00))</f>
        <v>0</v>
      </c>
      <c r="AM727">
        <f>IF(metadata!M727="",FALSE,TRUE)</f>
        <v>0</v>
      </c>
      <c r="AN727">
        <f>OR(AND(IF(metadata!N727="",FALSE,TRUE),OR(exact(metadata!N727,"missing: not collected"),exact(metadata!N727,"missing: not provided"),exact(metadata!N727,"missing: restricted access"))),AND(IF(metadata!N727="",FALSE,TRUE),OR(exact(metadata!N727,"TRUE"),exact(metadata!N727,"FALSE"))))</f>
        <v>0</v>
      </c>
      <c r="AO727">
        <f>IF(metadata!O727="",FALSE,TRUE)</f>
        <v>0</v>
      </c>
      <c r="AP727">
        <f>OR(AND(IF(metadata!P727="",FALSE,TRUE),OR(exact(metadata!P727,"missing: not collected"),exact(metadata!P727,"missing: not provided"))),AND(IF(metadata!P727="",FALSE,IF(ISERROR(INT(metadata!P727)),FALSE,INT(metadata!P727)=metadata!P727)),metadata!P727&gt;0))</f>
        <v>0</v>
      </c>
      <c r="AQ727">
        <f>IF(metadata!Q727="",FALSE,TRUE)</f>
        <v>0</v>
      </c>
    </row>
    <row r="728" spans="1:43">
      <c r="A728" s="5">
        <f>IF(B728=" "," ",HYPERLINK(CONCATENATE("#metadata!",ADDRESS(INDEX($W$2:$W$1001,MATCH(ROWS($U$2:U728),$U$2:$U$1001,0),0),1)),INDEX($Z$2:$Z$1001,MATCH(ROWS($U$2:U728),$U$2:$U$1001,0),0)))</f>
        <v>0</v>
      </c>
      <c r="B728" s="4">
        <f>IF(OR(INDEX($V$2:$V$1001,MATCH(ROWS($U$2:U728),$U$2:$U$1001,0),1)&gt;=100000,INDEX($AB$1005:$AQ$1005,1,MATCH(COLUMNS($AB$1006:AB1006),$AB$1006:$AQ$1006,0))&gt;=100000), " ",IF(INDEX($AB$2:$AQ$1001,MATCH(ROWS($U$2:U728),$U$2:$U$1001,0),MATCH(COLUMNS($AB$1006:AB1006),$AB$1006:$AQ$1006,0)), HYPERLINK("#",""), HYPERLINK(CONCATENATE("#metadata!", ADDRESS(INDEX($W$2:$W$1001,MATCH(ROWS($U$2:U728),$U$2:$U$1001,0),0), INDEX($AB$1004:$AQ$1004,1,MATCH(COLUMNS($AB$1006:AB1006),$AB$1006:$AQ$1006,0)))),"Fix")))</f>
        <v>0</v>
      </c>
      <c r="C728" s="4">
        <f>IF(OR(INDEX($V$2:$V$1001,MATCH(ROWS($U$2:U728),$U$2:$U$1001,0),1)&gt;=100000,INDEX($AB$1005:$AQ$1005,1,MATCH(COLUMNS($AB$1006:AC1006),$AB$1006:$AQ$1006,0))&gt;=100000), " ",IF(INDEX($AB$2:$AQ$1001,MATCH(ROWS($U$2:U728),$U$2:$U$1001,0),MATCH(COLUMNS($AB$1006:AC1006),$AB$1006:$AQ$1006,0)), HYPERLINK("#",""), HYPERLINK(CONCATENATE("#metadata!", ADDRESS(INDEX($W$2:$W$1001,MATCH(ROWS($U$2:U728),$U$2:$U$1001,0),0), INDEX($AB$1004:$AQ$1004,1,MATCH(COLUMNS($AB$1006:AC1006),$AB$1006:$AQ$1006,0)))),"Fix")))</f>
        <v>0</v>
      </c>
      <c r="D728" s="4">
        <f>IF(OR(INDEX($V$2:$V$1001,MATCH(ROWS($U$2:U728),$U$2:$U$1001,0),1)&gt;=100000,INDEX($AB$1005:$AQ$1005,1,MATCH(COLUMNS($AB$1006:AD1006),$AB$1006:$AQ$1006,0))&gt;=100000), " ",IF(INDEX($AB$2:$AQ$1001,MATCH(ROWS($U$2:U728),$U$2:$U$1001,0),MATCH(COLUMNS($AB$1006:AD1006),$AB$1006:$AQ$1006,0)), HYPERLINK("#",""), HYPERLINK(CONCATENATE("#metadata!", ADDRESS(INDEX($W$2:$W$1001,MATCH(ROWS($U$2:U728),$U$2:$U$1001,0),0), INDEX($AB$1004:$AQ$1004,1,MATCH(COLUMNS($AB$1006:AD1006),$AB$1006:$AQ$1006,0)))),"Fix")))</f>
        <v>0</v>
      </c>
      <c r="E728" s="4">
        <f>IF(OR(INDEX($V$2:$V$1001,MATCH(ROWS($U$2:U728),$U$2:$U$1001,0),1)&gt;=100000,INDEX($AB$1005:$AQ$1005,1,MATCH(COLUMNS($AB$1006:AE1006),$AB$1006:$AQ$1006,0))&gt;=100000), " ",IF(INDEX($AB$2:$AQ$1001,MATCH(ROWS($U$2:U728),$U$2:$U$1001,0),MATCH(COLUMNS($AB$1006:AE1006),$AB$1006:$AQ$1006,0)), HYPERLINK("#",""), HYPERLINK(CONCATENATE("#metadata!", ADDRESS(INDEX($W$2:$W$1001,MATCH(ROWS($U$2:U728),$U$2:$U$1001,0),0), INDEX($AB$1004:$AQ$1004,1,MATCH(COLUMNS($AB$1006:AE1006),$AB$1006:$AQ$1006,0)))),"Fix")))</f>
        <v>0</v>
      </c>
      <c r="F728" s="4">
        <f>IF(OR(INDEX($V$2:$V$1001,MATCH(ROWS($U$2:U728),$U$2:$U$1001,0),1)&gt;=100000,INDEX($AB$1005:$AQ$1005,1,MATCH(COLUMNS($AB$1006:AF1006),$AB$1006:$AQ$1006,0))&gt;=100000), " ",IF(INDEX($AB$2:$AQ$1001,MATCH(ROWS($U$2:U728),$U$2:$U$1001,0),MATCH(COLUMNS($AB$1006:AF1006),$AB$1006:$AQ$1006,0)), HYPERLINK("#",""), HYPERLINK(CONCATENATE("#metadata!", ADDRESS(INDEX($W$2:$W$1001,MATCH(ROWS($U$2:U728),$U$2:$U$1001,0),0), INDEX($AB$1004:$AQ$1004,1,MATCH(COLUMNS($AB$1006:AF1006),$AB$1006:$AQ$1006,0)))),"Fix")))</f>
        <v>0</v>
      </c>
      <c r="G728" s="4">
        <f>IF(OR(INDEX($V$2:$V$1001,MATCH(ROWS($U$2:U728),$U$2:$U$1001,0),1)&gt;=100000,INDEX($AB$1005:$AQ$1005,1,MATCH(COLUMNS($AB$1006:AG1006),$AB$1006:$AQ$1006,0))&gt;=100000), " ",IF(INDEX($AB$2:$AQ$1001,MATCH(ROWS($U$2:U728),$U$2:$U$1001,0),MATCH(COLUMNS($AB$1006:AG1006),$AB$1006:$AQ$1006,0)), HYPERLINK("#",""), HYPERLINK(CONCATENATE("#metadata!", ADDRESS(INDEX($W$2:$W$1001,MATCH(ROWS($U$2:U728),$U$2:$U$1001,0),0), INDEX($AB$1004:$AQ$1004,1,MATCH(COLUMNS($AB$1006:AG1006),$AB$1006:$AQ$1006,0)))),"Fix")))</f>
        <v>0</v>
      </c>
      <c r="H728" s="4">
        <f>IF(OR(INDEX($V$2:$V$1001,MATCH(ROWS($U$2:U728),$U$2:$U$1001,0),1)&gt;=100000,INDEX($AB$1005:$AQ$1005,1,MATCH(COLUMNS($AB$1006:AH1006),$AB$1006:$AQ$1006,0))&gt;=100000), " ",IF(INDEX($AB$2:$AQ$1001,MATCH(ROWS($U$2:U728),$U$2:$U$1001,0),MATCH(COLUMNS($AB$1006:AH1006),$AB$1006:$AQ$1006,0)), HYPERLINK("#",""), HYPERLINK(CONCATENATE("#metadata!", ADDRESS(INDEX($W$2:$W$1001,MATCH(ROWS($U$2:U728),$U$2:$U$1001,0),0), INDEX($AB$1004:$AQ$1004,1,MATCH(COLUMNS($AB$1006:AH1006),$AB$1006:$AQ$1006,0)))),"Fix")))</f>
        <v>0</v>
      </c>
      <c r="I728" s="4">
        <f>IF(OR(INDEX($V$2:$V$1001,MATCH(ROWS($U$2:U728),$U$2:$U$1001,0),1)&gt;=100000,INDEX($AB$1005:$AQ$1005,1,MATCH(COLUMNS($AB$1006:AI1006),$AB$1006:$AQ$1006,0))&gt;=100000), " ",IF(INDEX($AB$2:$AQ$1001,MATCH(ROWS($U$2:U728),$U$2:$U$1001,0),MATCH(COLUMNS($AB$1006:AI1006),$AB$1006:$AQ$1006,0)), HYPERLINK("#",""), HYPERLINK(CONCATENATE("#metadata!", ADDRESS(INDEX($W$2:$W$1001,MATCH(ROWS($U$2:U728),$U$2:$U$1001,0),0), INDEX($AB$1004:$AQ$1004,1,MATCH(COLUMNS($AB$1006:AI1006),$AB$1006:$AQ$1006,0)))),"Fix")))</f>
        <v>0</v>
      </c>
      <c r="J728" s="4">
        <f>IF(OR(INDEX($V$2:$V$1001,MATCH(ROWS($U$2:U728),$U$2:$U$1001,0),1)&gt;=100000,INDEX($AB$1005:$AQ$1005,1,MATCH(COLUMNS($AB$1006:AJ1006),$AB$1006:$AQ$1006,0))&gt;=100000), " ",IF(INDEX($AB$2:$AQ$1001,MATCH(ROWS($U$2:U728),$U$2:$U$1001,0),MATCH(COLUMNS($AB$1006:AJ1006),$AB$1006:$AQ$1006,0)), HYPERLINK("#",""), HYPERLINK(CONCATENATE("#metadata!", ADDRESS(INDEX($W$2:$W$1001,MATCH(ROWS($U$2:U728),$U$2:$U$1001,0),0), INDEX($AB$1004:$AQ$1004,1,MATCH(COLUMNS($AB$1006:AJ1006),$AB$1006:$AQ$1006,0)))),"Fix")))</f>
        <v>0</v>
      </c>
      <c r="K728" s="4">
        <f>IF(OR(INDEX($V$2:$V$1001,MATCH(ROWS($U$2:U728),$U$2:$U$1001,0),1)&gt;=100000,INDEX($AB$1005:$AQ$1005,1,MATCH(COLUMNS($AB$1006:AK1006),$AB$1006:$AQ$1006,0))&gt;=100000), " ",IF(INDEX($AB$2:$AQ$1001,MATCH(ROWS($U$2:U728),$U$2:$U$1001,0),MATCH(COLUMNS($AB$1006:AK1006),$AB$1006:$AQ$1006,0)), HYPERLINK("#",""), HYPERLINK(CONCATENATE("#metadata!", ADDRESS(INDEX($W$2:$W$1001,MATCH(ROWS($U$2:U728),$U$2:$U$1001,0),0), INDEX($AB$1004:$AQ$1004,1,MATCH(COLUMNS($AB$1006:AK1006),$AB$1006:$AQ$1006,0)))),"Fix")))</f>
        <v>0</v>
      </c>
      <c r="L728" s="4">
        <f>IF(OR(INDEX($V$2:$V$1001,MATCH(ROWS($U$2:U728),$U$2:$U$1001,0),1)&gt;=100000,INDEX($AB$1005:$AQ$1005,1,MATCH(COLUMNS($AB$1006:AL1006),$AB$1006:$AQ$1006,0))&gt;=100000), " ",IF(INDEX($AB$2:$AQ$1001,MATCH(ROWS($U$2:U728),$U$2:$U$1001,0),MATCH(COLUMNS($AB$1006:AL1006),$AB$1006:$AQ$1006,0)), HYPERLINK("#",""), HYPERLINK(CONCATENATE("#metadata!", ADDRESS(INDEX($W$2:$W$1001,MATCH(ROWS($U$2:U728),$U$2:$U$1001,0),0), INDEX($AB$1004:$AQ$1004,1,MATCH(COLUMNS($AB$1006:AL1006),$AB$1006:$AQ$1006,0)))),"Fix")))</f>
        <v>0</v>
      </c>
      <c r="M728" s="4">
        <f>IF(OR(INDEX($V$2:$V$1001,MATCH(ROWS($U$2:U728),$U$2:$U$1001,0),1)&gt;=100000,INDEX($AB$1005:$AQ$1005,1,MATCH(COLUMNS($AB$1006:AM1006),$AB$1006:$AQ$1006,0))&gt;=100000), " ",IF(INDEX($AB$2:$AQ$1001,MATCH(ROWS($U$2:U728),$U$2:$U$1001,0),MATCH(COLUMNS($AB$1006:AM1006),$AB$1006:$AQ$1006,0)), HYPERLINK("#",""), HYPERLINK(CONCATENATE("#metadata!", ADDRESS(INDEX($W$2:$W$1001,MATCH(ROWS($U$2:U728),$U$2:$U$1001,0),0), INDEX($AB$1004:$AQ$1004,1,MATCH(COLUMNS($AB$1006:AM1006),$AB$1006:$AQ$1006,0)))),"Fix")))</f>
        <v>0</v>
      </c>
      <c r="N728" s="4">
        <f>IF(OR(INDEX($V$2:$V$1001,MATCH(ROWS($U$2:U728),$U$2:$U$1001,0),1)&gt;=100000,INDEX($AB$1005:$AQ$1005,1,MATCH(COLUMNS($AB$1006:AN1006),$AB$1006:$AQ$1006,0))&gt;=100000), " ",IF(INDEX($AB$2:$AQ$1001,MATCH(ROWS($U$2:U728),$U$2:$U$1001,0),MATCH(COLUMNS($AB$1006:AN1006),$AB$1006:$AQ$1006,0)), HYPERLINK("#",""), HYPERLINK(CONCATENATE("#metadata!", ADDRESS(INDEX($W$2:$W$1001,MATCH(ROWS($U$2:U728),$U$2:$U$1001,0),0), INDEX($AB$1004:$AQ$1004,1,MATCH(COLUMNS($AB$1006:AN1006),$AB$1006:$AQ$1006,0)))),"Fix")))</f>
        <v>0</v>
      </c>
      <c r="O728" s="4">
        <f>IF(OR(INDEX($V$2:$V$1001,MATCH(ROWS($U$2:U728),$U$2:$U$1001,0),1)&gt;=100000,INDEX($AB$1005:$AQ$1005,1,MATCH(COLUMNS($AB$1006:AO1006),$AB$1006:$AQ$1006,0))&gt;=100000), " ",IF(INDEX($AB$2:$AQ$1001,MATCH(ROWS($U$2:U728),$U$2:$U$1001,0),MATCH(COLUMNS($AB$1006:AO1006),$AB$1006:$AQ$1006,0)), HYPERLINK("#",""), HYPERLINK(CONCATENATE("#metadata!", ADDRESS(INDEX($W$2:$W$1001,MATCH(ROWS($U$2:U728),$U$2:$U$1001,0),0), INDEX($AB$1004:$AQ$1004,1,MATCH(COLUMNS($AB$1006:AO1006),$AB$1006:$AQ$1006,0)))),"Fix")))</f>
        <v>0</v>
      </c>
      <c r="P728" s="4">
        <f>IF(OR(INDEX($V$2:$V$1001,MATCH(ROWS($U$2:U728),$U$2:$U$1001,0),1)&gt;=100000,INDEX($AB$1005:$AQ$1005,1,MATCH(COLUMNS($AB$1006:AP1006),$AB$1006:$AQ$1006,0))&gt;=100000), " ",IF(INDEX($AB$2:$AQ$1001,MATCH(ROWS($U$2:U728),$U$2:$U$1001,0),MATCH(COLUMNS($AB$1006:AP1006),$AB$1006:$AQ$1006,0)), HYPERLINK("#",""), HYPERLINK(CONCATENATE("#metadata!", ADDRESS(INDEX($W$2:$W$1001,MATCH(ROWS($U$2:U728),$U$2:$U$1001,0),0), INDEX($AB$1004:$AQ$1004,1,MATCH(COLUMNS($AB$1006:AP1006),$AB$1006:$AQ$1006,0)))),"Fix")))</f>
        <v>0</v>
      </c>
      <c r="Q728" s="4">
        <f>IF(OR(INDEX($V$2:$V$1001,MATCH(ROWS($U$2:U728),$U$2:$U$1001,0),1)&gt;=100000,INDEX($AB$1005:$AQ$1005,1,MATCH(COLUMNS($AB$1006:AQ1006),$AB$1006:$AQ$1006,0))&gt;=100000), " ",IF(INDEX($AB$2:$AQ$1001,MATCH(ROWS($U$2:U728),$U$2:$U$1001,0),MATCH(COLUMNS($AB$1006:AQ1006),$AB$1006:$AQ$1006,0)), HYPERLINK("#",""), HYPERLINK(CONCATENATE("#metadata!", ADDRESS(INDEX($W$2:$W$1001,MATCH(ROWS($U$2:U728),$U$2:$U$1001,0),0), INDEX($AB$1004:$AQ$1004,1,MATCH(COLUMNS($AB$1006:AQ1006),$AB$1006:$AQ$1006,0)))),"Fix")))</f>
        <v>0</v>
      </c>
      <c r="U728">
        <v>0</v>
      </c>
      <c r="V728">
        <v>0</v>
      </c>
      <c r="W728">
        <v>0</v>
      </c>
      <c r="X728">
        <f>IF(Y728,TRUE,AND(AB728:AQ728))</f>
        <v>0</v>
      </c>
      <c r="Y728">
        <f>COUNTBLANK(metadata!B728:Q728)=COLUMNS(metadata!B728:Q728)</f>
        <v>0</v>
      </c>
      <c r="Z728">
        <v>0</v>
      </c>
      <c r="AB728">
        <f>AND(IF(metadata!B728="",FALSE,TRUE),COUNTIF(metadata!B:B, metadata!B728) = 1,NOT(ISERROR(SUMPRODUCT(SEARCH(MID(metadata!B728,ROW(INDIRECT("1:"&amp;LEN(metadata!B728))), 1),"0123456789abcdefghijklmnopqrstuvwxyzABCDEFGHIJKLMNOPQRSTUVWXYZ.")))))</f>
        <v>0</v>
      </c>
      <c r="AC728">
        <f>OR(AND(IF(metadata!C728="",FALSE,TRUE),OR(exact(metadata!C728,"missing: not collected"),exact(metadata!C728,"missing: not provided"),exact(metadata!C728,"missing: restricted access"))),AND(IF(metadata!C728="",FALSE,TRUE),AND(AND(IFERROR(INT(LEFT(metadata!C728,4))&gt;1900,FALSE),IFERROR(INT(LEFT(metadata!C728,4))&lt;=YEAR(NOW()),FALSE)), OR(MID(metadata!C728,5,1)="", AND(AND(MID(metadata!C728,5,1)="-",IFERROR(INT(MID(metadata!C728,6,1))&gt;=0,FALSE),IFERROR(INT(MID(metadata!C728,6,1))&lt;=1,FALSE),NOT(MID(metadata!C728,7,1)=""),IFERROR(INT(MID(metadata!C728,6,2))&gt;=1,FALSE),IFERROR(INT(MID(metadata!C728,6,2))&lt;=12,FALSE)), OR(MID(metadata!C728,8,1)="", AND(AND(MID(metadata!C728,8,1)="-",IFERROR(INT(MID(metadata!C728,9,1))&gt;=0,FALSE),IFERROR(INT(MID(metadata!C728,9,1))&lt;=3,FALSE),NOT(MID(metadata!C728,10,1)=""),IFERROR(INT(MID(metadata!C728,9,2))&gt;=1,FALSE),IFERROR(INT(MID(metadata!C728,9,2))&lt;=31,FALSE)), OR(MID(metadata!C728,11,1)="", AND(AND(MID(metadata!C728,11,1)=" ",IFERROR(INT(MID(metadata!C728,12,1))&gt;=0,FALSE),IFERROR(INT(MID(metadata!C728,12,1))&lt;=2,FALSE),NOT(MID(metadata!C728,13,1)=""),IFERROR(INT(MID(metadata!C728,12,2))&gt;=0,FALSE),IFERROR(INT(MID(metadata!C728,12,2))&lt;=23,FALSE)), OR(MID(metadata!C728,14,1)="", AND(AND(MID(metadata!C728,14,1)=":",IFERROR(INT(MID(metadata!C728,15,1))&gt;=0,FALSE),IFERROR(INT(MID(metadata!C728,15,1))&lt;=5,FALSE),NOT(MID(metadata!C728,16,1)=""),IFERROR(INT(MID(metadata!C728,15,2))&gt;=0,FALSE),IFERROR(INT(MID(metadata!C728,15,2))&lt;=59,FALSE)), OR(MID(metadata!C728,17,1)="", AND(AND(MID(metadata!C728,17,1)=":",IFERROR(INT(MID(metadata!C728,18,1))&gt;=0,FALSE),IFERROR(INT(MID(metadata!C728,18,1))&lt;=5,FALSE),NOT(MID(metadata!C728,19,1)=""),IFERROR(INT(MID(metadata!C728,18,2))&gt;=0,FALSE),IFERROR(INT(MID(metadata!C728,18,2))&lt;=59,FALSE)), LEN(metadata!C728)&lt;=19)))))))))))))</f>
        <v>0</v>
      </c>
      <c r="AD728">
        <f>IF(metadata!D728="",FALSE,TRUE)</f>
        <v>0</v>
      </c>
      <c r="AE728">
        <f>OR(AND(IF(metadata!E728="",FALSE,TRUE),OR(exact(metadata!E728,"missing: not collected"),exact(metadata!E728,"missing: not provided"))),AND(IF(metadata!E728="",FALSE,TRUE),OR(exact(metadata!E728,"TRUE"),exact(metadata!E728,"FALSE"))))</f>
        <v>0</v>
      </c>
      <c r="AF728">
        <f>IF(metadata!F728="",FALSE,TRUE)</f>
        <v>0</v>
      </c>
      <c r="AG728">
        <f>IF(metadata!G728="",FALSE,TRUE)</f>
        <v>0</v>
      </c>
      <c r="AH728">
        <f>IF(metadata!H728="",FALSE,TRUE)</f>
        <v>0</v>
      </c>
      <c r="AI728">
        <f>OR(AND(IF(metadata!I728="",FALSE,TRUE),OR(exact(metadata!I728,"missing: not collected"),exact(metadata!I728,"missing: not provided"),exact(metadata!I728,"missing: restricted access"))),AND(IF(metadata!I728="",FALSE,TRUE),OR(exact(metadata!I728,"air"),exact(metadata!I728,"built environment"),exact(metadata!I728,"host-associated"),exact(metadata!I728,"human-associated"),exact(metadata!I728,"human-skin"),exact(metadata!I728,"human-oral"),exact(metadata!I728,"human-gut"),exact(metadata!I728,"human-vaginal"),exact(metadata!I728,"microbial mat/biofilm"),exact(metadata!I728,"misc environment"),exact(metadata!I728,"plant-associated"),exact(metadata!I728,"sediment"),exact(metadata!I728,"soil"),exact(metadata!I728,"wastewater/sludge"),exact(metadata!I728,"water"))))</f>
        <v>0</v>
      </c>
      <c r="AJ728">
        <f>IF(metadata!J728="",FALSE,TRUE)</f>
        <v>0</v>
      </c>
      <c r="AK728">
        <f>OR(AND(IF(metadata!K728="",FALSE,TRUE),OR(exact(metadata!K728,"missing: not collected"),exact(metadata!K728,"missing: not provided"),exact(metadata!K728,"missing: restricted access"))),AND(IF(metadata!K728="",FALSE,ISNUMBER(VALUE(metadata!K728))),metadata!K728&gt;=-90.00,metadata!K728&lt;=90.00))</f>
        <v>0</v>
      </c>
      <c r="AL728">
        <f>OR(AND(IF(metadata!L728="",FALSE,TRUE),OR(exact(metadata!L728,"missing: not collected"),exact(metadata!L728,"missing: not provided"),exact(metadata!L728,"missing: restricted access"))),AND(IF(metadata!L728="",FALSE,ISNUMBER(VALUE(metadata!L728))),metadata!L728&gt;=-180.00,metadata!L728&lt;=180.00))</f>
        <v>0</v>
      </c>
      <c r="AM728">
        <f>IF(metadata!M728="",FALSE,TRUE)</f>
        <v>0</v>
      </c>
      <c r="AN728">
        <f>OR(AND(IF(metadata!N728="",FALSE,TRUE),OR(exact(metadata!N728,"missing: not collected"),exact(metadata!N728,"missing: not provided"),exact(metadata!N728,"missing: restricted access"))),AND(IF(metadata!N728="",FALSE,TRUE),OR(exact(metadata!N728,"TRUE"),exact(metadata!N728,"FALSE"))))</f>
        <v>0</v>
      </c>
      <c r="AO728">
        <f>IF(metadata!O728="",FALSE,TRUE)</f>
        <v>0</v>
      </c>
      <c r="AP728">
        <f>OR(AND(IF(metadata!P728="",FALSE,TRUE),OR(exact(metadata!P728,"missing: not collected"),exact(metadata!P728,"missing: not provided"))),AND(IF(metadata!P728="",FALSE,IF(ISERROR(INT(metadata!P728)),FALSE,INT(metadata!P728)=metadata!P728)),metadata!P728&gt;0))</f>
        <v>0</v>
      </c>
      <c r="AQ728">
        <f>IF(metadata!Q728="",FALSE,TRUE)</f>
        <v>0</v>
      </c>
    </row>
    <row r="729" spans="1:43">
      <c r="A729" s="5">
        <f>IF(B729=" "," ",HYPERLINK(CONCATENATE("#metadata!",ADDRESS(INDEX($W$2:$W$1001,MATCH(ROWS($U$2:U729),$U$2:$U$1001,0),0),1)),INDEX($Z$2:$Z$1001,MATCH(ROWS($U$2:U729),$U$2:$U$1001,0),0)))</f>
        <v>0</v>
      </c>
      <c r="B729" s="4">
        <f>IF(OR(INDEX($V$2:$V$1001,MATCH(ROWS($U$2:U729),$U$2:$U$1001,0),1)&gt;=100000,INDEX($AB$1005:$AQ$1005,1,MATCH(COLUMNS($AB$1006:AB1006),$AB$1006:$AQ$1006,0))&gt;=100000), " ",IF(INDEX($AB$2:$AQ$1001,MATCH(ROWS($U$2:U729),$U$2:$U$1001,0),MATCH(COLUMNS($AB$1006:AB1006),$AB$1006:$AQ$1006,0)), HYPERLINK("#",""), HYPERLINK(CONCATENATE("#metadata!", ADDRESS(INDEX($W$2:$W$1001,MATCH(ROWS($U$2:U729),$U$2:$U$1001,0),0), INDEX($AB$1004:$AQ$1004,1,MATCH(COLUMNS($AB$1006:AB1006),$AB$1006:$AQ$1006,0)))),"Fix")))</f>
        <v>0</v>
      </c>
      <c r="C729" s="4">
        <f>IF(OR(INDEX($V$2:$V$1001,MATCH(ROWS($U$2:U729),$U$2:$U$1001,0),1)&gt;=100000,INDEX($AB$1005:$AQ$1005,1,MATCH(COLUMNS($AB$1006:AC1006),$AB$1006:$AQ$1006,0))&gt;=100000), " ",IF(INDEX($AB$2:$AQ$1001,MATCH(ROWS($U$2:U729),$U$2:$U$1001,0),MATCH(COLUMNS($AB$1006:AC1006),$AB$1006:$AQ$1006,0)), HYPERLINK("#",""), HYPERLINK(CONCATENATE("#metadata!", ADDRESS(INDEX($W$2:$W$1001,MATCH(ROWS($U$2:U729),$U$2:$U$1001,0),0), INDEX($AB$1004:$AQ$1004,1,MATCH(COLUMNS($AB$1006:AC1006),$AB$1006:$AQ$1006,0)))),"Fix")))</f>
        <v>0</v>
      </c>
      <c r="D729" s="4">
        <f>IF(OR(INDEX($V$2:$V$1001,MATCH(ROWS($U$2:U729),$U$2:$U$1001,0),1)&gt;=100000,INDEX($AB$1005:$AQ$1005,1,MATCH(COLUMNS($AB$1006:AD1006),$AB$1006:$AQ$1006,0))&gt;=100000), " ",IF(INDEX($AB$2:$AQ$1001,MATCH(ROWS($U$2:U729),$U$2:$U$1001,0),MATCH(COLUMNS($AB$1006:AD1006),$AB$1006:$AQ$1006,0)), HYPERLINK("#",""), HYPERLINK(CONCATENATE("#metadata!", ADDRESS(INDEX($W$2:$W$1001,MATCH(ROWS($U$2:U729),$U$2:$U$1001,0),0), INDEX($AB$1004:$AQ$1004,1,MATCH(COLUMNS($AB$1006:AD1006),$AB$1006:$AQ$1006,0)))),"Fix")))</f>
        <v>0</v>
      </c>
      <c r="E729" s="4">
        <f>IF(OR(INDEX($V$2:$V$1001,MATCH(ROWS($U$2:U729),$U$2:$U$1001,0),1)&gt;=100000,INDEX($AB$1005:$AQ$1005,1,MATCH(COLUMNS($AB$1006:AE1006),$AB$1006:$AQ$1006,0))&gt;=100000), " ",IF(INDEX($AB$2:$AQ$1001,MATCH(ROWS($U$2:U729),$U$2:$U$1001,0),MATCH(COLUMNS($AB$1006:AE1006),$AB$1006:$AQ$1006,0)), HYPERLINK("#",""), HYPERLINK(CONCATENATE("#metadata!", ADDRESS(INDEX($W$2:$W$1001,MATCH(ROWS($U$2:U729),$U$2:$U$1001,0),0), INDEX($AB$1004:$AQ$1004,1,MATCH(COLUMNS($AB$1006:AE1006),$AB$1006:$AQ$1006,0)))),"Fix")))</f>
        <v>0</v>
      </c>
      <c r="F729" s="4">
        <f>IF(OR(INDEX($V$2:$V$1001,MATCH(ROWS($U$2:U729),$U$2:$U$1001,0),1)&gt;=100000,INDEX($AB$1005:$AQ$1005,1,MATCH(COLUMNS($AB$1006:AF1006),$AB$1006:$AQ$1006,0))&gt;=100000), " ",IF(INDEX($AB$2:$AQ$1001,MATCH(ROWS($U$2:U729),$U$2:$U$1001,0),MATCH(COLUMNS($AB$1006:AF1006),$AB$1006:$AQ$1006,0)), HYPERLINK("#",""), HYPERLINK(CONCATENATE("#metadata!", ADDRESS(INDEX($W$2:$W$1001,MATCH(ROWS($U$2:U729),$U$2:$U$1001,0),0), INDEX($AB$1004:$AQ$1004,1,MATCH(COLUMNS($AB$1006:AF1006),$AB$1006:$AQ$1006,0)))),"Fix")))</f>
        <v>0</v>
      </c>
      <c r="G729" s="4">
        <f>IF(OR(INDEX($V$2:$V$1001,MATCH(ROWS($U$2:U729),$U$2:$U$1001,0),1)&gt;=100000,INDEX($AB$1005:$AQ$1005,1,MATCH(COLUMNS($AB$1006:AG1006),$AB$1006:$AQ$1006,0))&gt;=100000), " ",IF(INDEX($AB$2:$AQ$1001,MATCH(ROWS($U$2:U729),$U$2:$U$1001,0),MATCH(COLUMNS($AB$1006:AG1006),$AB$1006:$AQ$1006,0)), HYPERLINK("#",""), HYPERLINK(CONCATENATE("#metadata!", ADDRESS(INDEX($W$2:$W$1001,MATCH(ROWS($U$2:U729),$U$2:$U$1001,0),0), INDEX($AB$1004:$AQ$1004,1,MATCH(COLUMNS($AB$1006:AG1006),$AB$1006:$AQ$1006,0)))),"Fix")))</f>
        <v>0</v>
      </c>
      <c r="H729" s="4">
        <f>IF(OR(INDEX($V$2:$V$1001,MATCH(ROWS($U$2:U729),$U$2:$U$1001,0),1)&gt;=100000,INDEX($AB$1005:$AQ$1005,1,MATCH(COLUMNS($AB$1006:AH1006),$AB$1006:$AQ$1006,0))&gt;=100000), " ",IF(INDEX($AB$2:$AQ$1001,MATCH(ROWS($U$2:U729),$U$2:$U$1001,0),MATCH(COLUMNS($AB$1006:AH1006),$AB$1006:$AQ$1006,0)), HYPERLINK("#",""), HYPERLINK(CONCATENATE("#metadata!", ADDRESS(INDEX($W$2:$W$1001,MATCH(ROWS($U$2:U729),$U$2:$U$1001,0),0), INDEX($AB$1004:$AQ$1004,1,MATCH(COLUMNS($AB$1006:AH1006),$AB$1006:$AQ$1006,0)))),"Fix")))</f>
        <v>0</v>
      </c>
      <c r="I729" s="4">
        <f>IF(OR(INDEX($V$2:$V$1001,MATCH(ROWS($U$2:U729),$U$2:$U$1001,0),1)&gt;=100000,INDEX($AB$1005:$AQ$1005,1,MATCH(COLUMNS($AB$1006:AI1006),$AB$1006:$AQ$1006,0))&gt;=100000), " ",IF(INDEX($AB$2:$AQ$1001,MATCH(ROWS($U$2:U729),$U$2:$U$1001,0),MATCH(COLUMNS($AB$1006:AI1006),$AB$1006:$AQ$1006,0)), HYPERLINK("#",""), HYPERLINK(CONCATENATE("#metadata!", ADDRESS(INDEX($W$2:$W$1001,MATCH(ROWS($U$2:U729),$U$2:$U$1001,0),0), INDEX($AB$1004:$AQ$1004,1,MATCH(COLUMNS($AB$1006:AI1006),$AB$1006:$AQ$1006,0)))),"Fix")))</f>
        <v>0</v>
      </c>
      <c r="J729" s="4">
        <f>IF(OR(INDEX($V$2:$V$1001,MATCH(ROWS($U$2:U729),$U$2:$U$1001,0),1)&gt;=100000,INDEX($AB$1005:$AQ$1005,1,MATCH(COLUMNS($AB$1006:AJ1006),$AB$1006:$AQ$1006,0))&gt;=100000), " ",IF(INDEX($AB$2:$AQ$1001,MATCH(ROWS($U$2:U729),$U$2:$U$1001,0),MATCH(COLUMNS($AB$1006:AJ1006),$AB$1006:$AQ$1006,0)), HYPERLINK("#",""), HYPERLINK(CONCATENATE("#metadata!", ADDRESS(INDEX($W$2:$W$1001,MATCH(ROWS($U$2:U729),$U$2:$U$1001,0),0), INDEX($AB$1004:$AQ$1004,1,MATCH(COLUMNS($AB$1006:AJ1006),$AB$1006:$AQ$1006,0)))),"Fix")))</f>
        <v>0</v>
      </c>
      <c r="K729" s="4">
        <f>IF(OR(INDEX($V$2:$V$1001,MATCH(ROWS($U$2:U729),$U$2:$U$1001,0),1)&gt;=100000,INDEX($AB$1005:$AQ$1005,1,MATCH(COLUMNS($AB$1006:AK1006),$AB$1006:$AQ$1006,0))&gt;=100000), " ",IF(INDEX($AB$2:$AQ$1001,MATCH(ROWS($U$2:U729),$U$2:$U$1001,0),MATCH(COLUMNS($AB$1006:AK1006),$AB$1006:$AQ$1006,0)), HYPERLINK("#",""), HYPERLINK(CONCATENATE("#metadata!", ADDRESS(INDEX($W$2:$W$1001,MATCH(ROWS($U$2:U729),$U$2:$U$1001,0),0), INDEX($AB$1004:$AQ$1004,1,MATCH(COLUMNS($AB$1006:AK1006),$AB$1006:$AQ$1006,0)))),"Fix")))</f>
        <v>0</v>
      </c>
      <c r="L729" s="4">
        <f>IF(OR(INDEX($V$2:$V$1001,MATCH(ROWS($U$2:U729),$U$2:$U$1001,0),1)&gt;=100000,INDEX($AB$1005:$AQ$1005,1,MATCH(COLUMNS($AB$1006:AL1006),$AB$1006:$AQ$1006,0))&gt;=100000), " ",IF(INDEX($AB$2:$AQ$1001,MATCH(ROWS($U$2:U729),$U$2:$U$1001,0),MATCH(COLUMNS($AB$1006:AL1006),$AB$1006:$AQ$1006,0)), HYPERLINK("#",""), HYPERLINK(CONCATENATE("#metadata!", ADDRESS(INDEX($W$2:$W$1001,MATCH(ROWS($U$2:U729),$U$2:$U$1001,0),0), INDEX($AB$1004:$AQ$1004,1,MATCH(COLUMNS($AB$1006:AL1006),$AB$1006:$AQ$1006,0)))),"Fix")))</f>
        <v>0</v>
      </c>
      <c r="M729" s="4">
        <f>IF(OR(INDEX($V$2:$V$1001,MATCH(ROWS($U$2:U729),$U$2:$U$1001,0),1)&gt;=100000,INDEX($AB$1005:$AQ$1005,1,MATCH(COLUMNS($AB$1006:AM1006),$AB$1006:$AQ$1006,0))&gt;=100000), " ",IF(INDEX($AB$2:$AQ$1001,MATCH(ROWS($U$2:U729),$U$2:$U$1001,0),MATCH(COLUMNS($AB$1006:AM1006),$AB$1006:$AQ$1006,0)), HYPERLINK("#",""), HYPERLINK(CONCATENATE("#metadata!", ADDRESS(INDEX($W$2:$W$1001,MATCH(ROWS($U$2:U729),$U$2:$U$1001,0),0), INDEX($AB$1004:$AQ$1004,1,MATCH(COLUMNS($AB$1006:AM1006),$AB$1006:$AQ$1006,0)))),"Fix")))</f>
        <v>0</v>
      </c>
      <c r="N729" s="4">
        <f>IF(OR(INDEX($V$2:$V$1001,MATCH(ROWS($U$2:U729),$U$2:$U$1001,0),1)&gt;=100000,INDEX($AB$1005:$AQ$1005,1,MATCH(COLUMNS($AB$1006:AN1006),$AB$1006:$AQ$1006,0))&gt;=100000), " ",IF(INDEX($AB$2:$AQ$1001,MATCH(ROWS($U$2:U729),$U$2:$U$1001,0),MATCH(COLUMNS($AB$1006:AN1006),$AB$1006:$AQ$1006,0)), HYPERLINK("#",""), HYPERLINK(CONCATENATE("#metadata!", ADDRESS(INDEX($W$2:$W$1001,MATCH(ROWS($U$2:U729),$U$2:$U$1001,0),0), INDEX($AB$1004:$AQ$1004,1,MATCH(COLUMNS($AB$1006:AN1006),$AB$1006:$AQ$1006,0)))),"Fix")))</f>
        <v>0</v>
      </c>
      <c r="O729" s="4">
        <f>IF(OR(INDEX($V$2:$V$1001,MATCH(ROWS($U$2:U729),$U$2:$U$1001,0),1)&gt;=100000,INDEX($AB$1005:$AQ$1005,1,MATCH(COLUMNS($AB$1006:AO1006),$AB$1006:$AQ$1006,0))&gt;=100000), " ",IF(INDEX($AB$2:$AQ$1001,MATCH(ROWS($U$2:U729),$U$2:$U$1001,0),MATCH(COLUMNS($AB$1006:AO1006),$AB$1006:$AQ$1006,0)), HYPERLINK("#",""), HYPERLINK(CONCATENATE("#metadata!", ADDRESS(INDEX($W$2:$W$1001,MATCH(ROWS($U$2:U729),$U$2:$U$1001,0),0), INDEX($AB$1004:$AQ$1004,1,MATCH(COLUMNS($AB$1006:AO1006),$AB$1006:$AQ$1006,0)))),"Fix")))</f>
        <v>0</v>
      </c>
      <c r="P729" s="4">
        <f>IF(OR(INDEX($V$2:$V$1001,MATCH(ROWS($U$2:U729),$U$2:$U$1001,0),1)&gt;=100000,INDEX($AB$1005:$AQ$1005,1,MATCH(COLUMNS($AB$1006:AP1006),$AB$1006:$AQ$1006,0))&gt;=100000), " ",IF(INDEX($AB$2:$AQ$1001,MATCH(ROWS($U$2:U729),$U$2:$U$1001,0),MATCH(COLUMNS($AB$1006:AP1006),$AB$1006:$AQ$1006,0)), HYPERLINK("#",""), HYPERLINK(CONCATENATE("#metadata!", ADDRESS(INDEX($W$2:$W$1001,MATCH(ROWS($U$2:U729),$U$2:$U$1001,0),0), INDEX($AB$1004:$AQ$1004,1,MATCH(COLUMNS($AB$1006:AP1006),$AB$1006:$AQ$1006,0)))),"Fix")))</f>
        <v>0</v>
      </c>
      <c r="Q729" s="4">
        <f>IF(OR(INDEX($V$2:$V$1001,MATCH(ROWS($U$2:U729),$U$2:$U$1001,0),1)&gt;=100000,INDEX($AB$1005:$AQ$1005,1,MATCH(COLUMNS($AB$1006:AQ1006),$AB$1006:$AQ$1006,0))&gt;=100000), " ",IF(INDEX($AB$2:$AQ$1001,MATCH(ROWS($U$2:U729),$U$2:$U$1001,0),MATCH(COLUMNS($AB$1006:AQ1006),$AB$1006:$AQ$1006,0)), HYPERLINK("#",""), HYPERLINK(CONCATENATE("#metadata!", ADDRESS(INDEX($W$2:$W$1001,MATCH(ROWS($U$2:U729),$U$2:$U$1001,0),0), INDEX($AB$1004:$AQ$1004,1,MATCH(COLUMNS($AB$1006:AQ1006),$AB$1006:$AQ$1006,0)))),"Fix")))</f>
        <v>0</v>
      </c>
      <c r="U729">
        <v>0</v>
      </c>
      <c r="V729">
        <v>0</v>
      </c>
      <c r="W729">
        <v>0</v>
      </c>
      <c r="X729">
        <f>IF(Y729,TRUE,AND(AB729:AQ729))</f>
        <v>0</v>
      </c>
      <c r="Y729">
        <f>COUNTBLANK(metadata!B729:Q729)=COLUMNS(metadata!B729:Q729)</f>
        <v>0</v>
      </c>
      <c r="Z729">
        <v>0</v>
      </c>
      <c r="AB729">
        <f>AND(IF(metadata!B729="",FALSE,TRUE),COUNTIF(metadata!B:B, metadata!B729) = 1,NOT(ISERROR(SUMPRODUCT(SEARCH(MID(metadata!B729,ROW(INDIRECT("1:"&amp;LEN(metadata!B729))), 1),"0123456789abcdefghijklmnopqrstuvwxyzABCDEFGHIJKLMNOPQRSTUVWXYZ.")))))</f>
        <v>0</v>
      </c>
      <c r="AC729">
        <f>OR(AND(IF(metadata!C729="",FALSE,TRUE),OR(exact(metadata!C729,"missing: not collected"),exact(metadata!C729,"missing: not provided"),exact(metadata!C729,"missing: restricted access"))),AND(IF(metadata!C729="",FALSE,TRUE),AND(AND(IFERROR(INT(LEFT(metadata!C729,4))&gt;1900,FALSE),IFERROR(INT(LEFT(metadata!C729,4))&lt;=YEAR(NOW()),FALSE)), OR(MID(metadata!C729,5,1)="", AND(AND(MID(metadata!C729,5,1)="-",IFERROR(INT(MID(metadata!C729,6,1))&gt;=0,FALSE),IFERROR(INT(MID(metadata!C729,6,1))&lt;=1,FALSE),NOT(MID(metadata!C729,7,1)=""),IFERROR(INT(MID(metadata!C729,6,2))&gt;=1,FALSE),IFERROR(INT(MID(metadata!C729,6,2))&lt;=12,FALSE)), OR(MID(metadata!C729,8,1)="", AND(AND(MID(metadata!C729,8,1)="-",IFERROR(INT(MID(metadata!C729,9,1))&gt;=0,FALSE),IFERROR(INT(MID(metadata!C729,9,1))&lt;=3,FALSE),NOT(MID(metadata!C729,10,1)=""),IFERROR(INT(MID(metadata!C729,9,2))&gt;=1,FALSE),IFERROR(INT(MID(metadata!C729,9,2))&lt;=31,FALSE)), OR(MID(metadata!C729,11,1)="", AND(AND(MID(metadata!C729,11,1)=" ",IFERROR(INT(MID(metadata!C729,12,1))&gt;=0,FALSE),IFERROR(INT(MID(metadata!C729,12,1))&lt;=2,FALSE),NOT(MID(metadata!C729,13,1)=""),IFERROR(INT(MID(metadata!C729,12,2))&gt;=0,FALSE),IFERROR(INT(MID(metadata!C729,12,2))&lt;=23,FALSE)), OR(MID(metadata!C729,14,1)="", AND(AND(MID(metadata!C729,14,1)=":",IFERROR(INT(MID(metadata!C729,15,1))&gt;=0,FALSE),IFERROR(INT(MID(metadata!C729,15,1))&lt;=5,FALSE),NOT(MID(metadata!C729,16,1)=""),IFERROR(INT(MID(metadata!C729,15,2))&gt;=0,FALSE),IFERROR(INT(MID(metadata!C729,15,2))&lt;=59,FALSE)), OR(MID(metadata!C729,17,1)="", AND(AND(MID(metadata!C729,17,1)=":",IFERROR(INT(MID(metadata!C729,18,1))&gt;=0,FALSE),IFERROR(INT(MID(metadata!C729,18,1))&lt;=5,FALSE),NOT(MID(metadata!C729,19,1)=""),IFERROR(INT(MID(metadata!C729,18,2))&gt;=0,FALSE),IFERROR(INT(MID(metadata!C729,18,2))&lt;=59,FALSE)), LEN(metadata!C729)&lt;=19)))))))))))))</f>
        <v>0</v>
      </c>
      <c r="AD729">
        <f>IF(metadata!D729="",FALSE,TRUE)</f>
        <v>0</v>
      </c>
      <c r="AE729">
        <f>OR(AND(IF(metadata!E729="",FALSE,TRUE),OR(exact(metadata!E729,"missing: not collected"),exact(metadata!E729,"missing: not provided"))),AND(IF(metadata!E729="",FALSE,TRUE),OR(exact(metadata!E729,"TRUE"),exact(metadata!E729,"FALSE"))))</f>
        <v>0</v>
      </c>
      <c r="AF729">
        <f>IF(metadata!F729="",FALSE,TRUE)</f>
        <v>0</v>
      </c>
      <c r="AG729">
        <f>IF(metadata!G729="",FALSE,TRUE)</f>
        <v>0</v>
      </c>
      <c r="AH729">
        <f>IF(metadata!H729="",FALSE,TRUE)</f>
        <v>0</v>
      </c>
      <c r="AI729">
        <f>OR(AND(IF(metadata!I729="",FALSE,TRUE),OR(exact(metadata!I729,"missing: not collected"),exact(metadata!I729,"missing: not provided"),exact(metadata!I729,"missing: restricted access"))),AND(IF(metadata!I729="",FALSE,TRUE),OR(exact(metadata!I729,"air"),exact(metadata!I729,"built environment"),exact(metadata!I729,"host-associated"),exact(metadata!I729,"human-associated"),exact(metadata!I729,"human-skin"),exact(metadata!I729,"human-oral"),exact(metadata!I729,"human-gut"),exact(metadata!I729,"human-vaginal"),exact(metadata!I729,"microbial mat/biofilm"),exact(metadata!I729,"misc environment"),exact(metadata!I729,"plant-associated"),exact(metadata!I729,"sediment"),exact(metadata!I729,"soil"),exact(metadata!I729,"wastewater/sludge"),exact(metadata!I729,"water"))))</f>
        <v>0</v>
      </c>
      <c r="AJ729">
        <f>IF(metadata!J729="",FALSE,TRUE)</f>
        <v>0</v>
      </c>
      <c r="AK729">
        <f>OR(AND(IF(metadata!K729="",FALSE,TRUE),OR(exact(metadata!K729,"missing: not collected"),exact(metadata!K729,"missing: not provided"),exact(metadata!K729,"missing: restricted access"))),AND(IF(metadata!K729="",FALSE,ISNUMBER(VALUE(metadata!K729))),metadata!K729&gt;=-90.00,metadata!K729&lt;=90.00))</f>
        <v>0</v>
      </c>
      <c r="AL729">
        <f>OR(AND(IF(metadata!L729="",FALSE,TRUE),OR(exact(metadata!L729,"missing: not collected"),exact(metadata!L729,"missing: not provided"),exact(metadata!L729,"missing: restricted access"))),AND(IF(metadata!L729="",FALSE,ISNUMBER(VALUE(metadata!L729))),metadata!L729&gt;=-180.00,metadata!L729&lt;=180.00))</f>
        <v>0</v>
      </c>
      <c r="AM729">
        <f>IF(metadata!M729="",FALSE,TRUE)</f>
        <v>0</v>
      </c>
      <c r="AN729">
        <f>OR(AND(IF(metadata!N729="",FALSE,TRUE),OR(exact(metadata!N729,"missing: not collected"),exact(metadata!N729,"missing: not provided"),exact(metadata!N729,"missing: restricted access"))),AND(IF(metadata!N729="",FALSE,TRUE),OR(exact(metadata!N729,"TRUE"),exact(metadata!N729,"FALSE"))))</f>
        <v>0</v>
      </c>
      <c r="AO729">
        <f>IF(metadata!O729="",FALSE,TRUE)</f>
        <v>0</v>
      </c>
      <c r="AP729">
        <f>OR(AND(IF(metadata!P729="",FALSE,TRUE),OR(exact(metadata!P729,"missing: not collected"),exact(metadata!P729,"missing: not provided"))),AND(IF(metadata!P729="",FALSE,IF(ISERROR(INT(metadata!P729)),FALSE,INT(metadata!P729)=metadata!P729)),metadata!P729&gt;0))</f>
        <v>0</v>
      </c>
      <c r="AQ729">
        <f>IF(metadata!Q729="",FALSE,TRUE)</f>
        <v>0</v>
      </c>
    </row>
    <row r="730" spans="1:43">
      <c r="A730" s="5">
        <f>IF(B730=" "," ",HYPERLINK(CONCATENATE("#metadata!",ADDRESS(INDEX($W$2:$W$1001,MATCH(ROWS($U$2:U730),$U$2:$U$1001,0),0),1)),INDEX($Z$2:$Z$1001,MATCH(ROWS($U$2:U730),$U$2:$U$1001,0),0)))</f>
        <v>0</v>
      </c>
      <c r="B730" s="4">
        <f>IF(OR(INDEX($V$2:$V$1001,MATCH(ROWS($U$2:U730),$U$2:$U$1001,0),1)&gt;=100000,INDEX($AB$1005:$AQ$1005,1,MATCH(COLUMNS($AB$1006:AB1006),$AB$1006:$AQ$1006,0))&gt;=100000), " ",IF(INDEX($AB$2:$AQ$1001,MATCH(ROWS($U$2:U730),$U$2:$U$1001,0),MATCH(COLUMNS($AB$1006:AB1006),$AB$1006:$AQ$1006,0)), HYPERLINK("#",""), HYPERLINK(CONCATENATE("#metadata!", ADDRESS(INDEX($W$2:$W$1001,MATCH(ROWS($U$2:U730),$U$2:$U$1001,0),0), INDEX($AB$1004:$AQ$1004,1,MATCH(COLUMNS($AB$1006:AB1006),$AB$1006:$AQ$1006,0)))),"Fix")))</f>
        <v>0</v>
      </c>
      <c r="C730" s="4">
        <f>IF(OR(INDEX($V$2:$V$1001,MATCH(ROWS($U$2:U730),$U$2:$U$1001,0),1)&gt;=100000,INDEX($AB$1005:$AQ$1005,1,MATCH(COLUMNS($AB$1006:AC1006),$AB$1006:$AQ$1006,0))&gt;=100000), " ",IF(INDEX($AB$2:$AQ$1001,MATCH(ROWS($U$2:U730),$U$2:$U$1001,0),MATCH(COLUMNS($AB$1006:AC1006),$AB$1006:$AQ$1006,0)), HYPERLINK("#",""), HYPERLINK(CONCATENATE("#metadata!", ADDRESS(INDEX($W$2:$W$1001,MATCH(ROWS($U$2:U730),$U$2:$U$1001,0),0), INDEX($AB$1004:$AQ$1004,1,MATCH(COLUMNS($AB$1006:AC1006),$AB$1006:$AQ$1006,0)))),"Fix")))</f>
        <v>0</v>
      </c>
      <c r="D730" s="4">
        <f>IF(OR(INDEX($V$2:$V$1001,MATCH(ROWS($U$2:U730),$U$2:$U$1001,0),1)&gt;=100000,INDEX($AB$1005:$AQ$1005,1,MATCH(COLUMNS($AB$1006:AD1006),$AB$1006:$AQ$1006,0))&gt;=100000), " ",IF(INDEX($AB$2:$AQ$1001,MATCH(ROWS($U$2:U730),$U$2:$U$1001,0),MATCH(COLUMNS($AB$1006:AD1006),$AB$1006:$AQ$1006,0)), HYPERLINK("#",""), HYPERLINK(CONCATENATE("#metadata!", ADDRESS(INDEX($W$2:$W$1001,MATCH(ROWS($U$2:U730),$U$2:$U$1001,0),0), INDEX($AB$1004:$AQ$1004,1,MATCH(COLUMNS($AB$1006:AD1006),$AB$1006:$AQ$1006,0)))),"Fix")))</f>
        <v>0</v>
      </c>
      <c r="E730" s="4">
        <f>IF(OR(INDEX($V$2:$V$1001,MATCH(ROWS($U$2:U730),$U$2:$U$1001,0),1)&gt;=100000,INDEX($AB$1005:$AQ$1005,1,MATCH(COLUMNS($AB$1006:AE1006),$AB$1006:$AQ$1006,0))&gt;=100000), " ",IF(INDEX($AB$2:$AQ$1001,MATCH(ROWS($U$2:U730),$U$2:$U$1001,0),MATCH(COLUMNS($AB$1006:AE1006),$AB$1006:$AQ$1006,0)), HYPERLINK("#",""), HYPERLINK(CONCATENATE("#metadata!", ADDRESS(INDEX($W$2:$W$1001,MATCH(ROWS($U$2:U730),$U$2:$U$1001,0),0), INDEX($AB$1004:$AQ$1004,1,MATCH(COLUMNS($AB$1006:AE1006),$AB$1006:$AQ$1006,0)))),"Fix")))</f>
        <v>0</v>
      </c>
      <c r="F730" s="4">
        <f>IF(OR(INDEX($V$2:$V$1001,MATCH(ROWS($U$2:U730),$U$2:$U$1001,0),1)&gt;=100000,INDEX($AB$1005:$AQ$1005,1,MATCH(COLUMNS($AB$1006:AF1006),$AB$1006:$AQ$1006,0))&gt;=100000), " ",IF(INDEX($AB$2:$AQ$1001,MATCH(ROWS($U$2:U730),$U$2:$U$1001,0),MATCH(COLUMNS($AB$1006:AF1006),$AB$1006:$AQ$1006,0)), HYPERLINK("#",""), HYPERLINK(CONCATENATE("#metadata!", ADDRESS(INDEX($W$2:$W$1001,MATCH(ROWS($U$2:U730),$U$2:$U$1001,0),0), INDEX($AB$1004:$AQ$1004,1,MATCH(COLUMNS($AB$1006:AF1006),$AB$1006:$AQ$1006,0)))),"Fix")))</f>
        <v>0</v>
      </c>
      <c r="G730" s="4">
        <f>IF(OR(INDEX($V$2:$V$1001,MATCH(ROWS($U$2:U730),$U$2:$U$1001,0),1)&gt;=100000,INDEX($AB$1005:$AQ$1005,1,MATCH(COLUMNS($AB$1006:AG1006),$AB$1006:$AQ$1006,0))&gt;=100000), " ",IF(INDEX($AB$2:$AQ$1001,MATCH(ROWS($U$2:U730),$U$2:$U$1001,0),MATCH(COLUMNS($AB$1006:AG1006),$AB$1006:$AQ$1006,0)), HYPERLINK("#",""), HYPERLINK(CONCATENATE("#metadata!", ADDRESS(INDEX($W$2:$W$1001,MATCH(ROWS($U$2:U730),$U$2:$U$1001,0),0), INDEX($AB$1004:$AQ$1004,1,MATCH(COLUMNS($AB$1006:AG1006),$AB$1006:$AQ$1006,0)))),"Fix")))</f>
        <v>0</v>
      </c>
      <c r="H730" s="4">
        <f>IF(OR(INDEX($V$2:$V$1001,MATCH(ROWS($U$2:U730),$U$2:$U$1001,0),1)&gt;=100000,INDEX($AB$1005:$AQ$1005,1,MATCH(COLUMNS($AB$1006:AH1006),$AB$1006:$AQ$1006,0))&gt;=100000), " ",IF(INDEX($AB$2:$AQ$1001,MATCH(ROWS($U$2:U730),$U$2:$U$1001,0),MATCH(COLUMNS($AB$1006:AH1006),$AB$1006:$AQ$1006,0)), HYPERLINK("#",""), HYPERLINK(CONCATENATE("#metadata!", ADDRESS(INDEX($W$2:$W$1001,MATCH(ROWS($U$2:U730),$U$2:$U$1001,0),0), INDEX($AB$1004:$AQ$1004,1,MATCH(COLUMNS($AB$1006:AH1006),$AB$1006:$AQ$1006,0)))),"Fix")))</f>
        <v>0</v>
      </c>
      <c r="I730" s="4">
        <f>IF(OR(INDEX($V$2:$V$1001,MATCH(ROWS($U$2:U730),$U$2:$U$1001,0),1)&gt;=100000,INDEX($AB$1005:$AQ$1005,1,MATCH(COLUMNS($AB$1006:AI1006),$AB$1006:$AQ$1006,0))&gt;=100000), " ",IF(INDEX($AB$2:$AQ$1001,MATCH(ROWS($U$2:U730),$U$2:$U$1001,0),MATCH(COLUMNS($AB$1006:AI1006),$AB$1006:$AQ$1006,0)), HYPERLINK("#",""), HYPERLINK(CONCATENATE("#metadata!", ADDRESS(INDEX($W$2:$W$1001,MATCH(ROWS($U$2:U730),$U$2:$U$1001,0),0), INDEX($AB$1004:$AQ$1004,1,MATCH(COLUMNS($AB$1006:AI1006),$AB$1006:$AQ$1006,0)))),"Fix")))</f>
        <v>0</v>
      </c>
      <c r="J730" s="4">
        <f>IF(OR(INDEX($V$2:$V$1001,MATCH(ROWS($U$2:U730),$U$2:$U$1001,0),1)&gt;=100000,INDEX($AB$1005:$AQ$1005,1,MATCH(COLUMNS($AB$1006:AJ1006),$AB$1006:$AQ$1006,0))&gt;=100000), " ",IF(INDEX($AB$2:$AQ$1001,MATCH(ROWS($U$2:U730),$U$2:$U$1001,0),MATCH(COLUMNS($AB$1006:AJ1006),$AB$1006:$AQ$1006,0)), HYPERLINK("#",""), HYPERLINK(CONCATENATE("#metadata!", ADDRESS(INDEX($W$2:$W$1001,MATCH(ROWS($U$2:U730),$U$2:$U$1001,0),0), INDEX($AB$1004:$AQ$1004,1,MATCH(COLUMNS($AB$1006:AJ1006),$AB$1006:$AQ$1006,0)))),"Fix")))</f>
        <v>0</v>
      </c>
      <c r="K730" s="4">
        <f>IF(OR(INDEX($V$2:$V$1001,MATCH(ROWS($U$2:U730),$U$2:$U$1001,0),1)&gt;=100000,INDEX($AB$1005:$AQ$1005,1,MATCH(COLUMNS($AB$1006:AK1006),$AB$1006:$AQ$1006,0))&gt;=100000), " ",IF(INDEX($AB$2:$AQ$1001,MATCH(ROWS($U$2:U730),$U$2:$U$1001,0),MATCH(COLUMNS($AB$1006:AK1006),$AB$1006:$AQ$1006,0)), HYPERLINK("#",""), HYPERLINK(CONCATENATE("#metadata!", ADDRESS(INDEX($W$2:$W$1001,MATCH(ROWS($U$2:U730),$U$2:$U$1001,0),0), INDEX($AB$1004:$AQ$1004,1,MATCH(COLUMNS($AB$1006:AK1006),$AB$1006:$AQ$1006,0)))),"Fix")))</f>
        <v>0</v>
      </c>
      <c r="L730" s="4">
        <f>IF(OR(INDEX($V$2:$V$1001,MATCH(ROWS($U$2:U730),$U$2:$U$1001,0),1)&gt;=100000,INDEX($AB$1005:$AQ$1005,1,MATCH(COLUMNS($AB$1006:AL1006),$AB$1006:$AQ$1006,0))&gt;=100000), " ",IF(INDEX($AB$2:$AQ$1001,MATCH(ROWS($U$2:U730),$U$2:$U$1001,0),MATCH(COLUMNS($AB$1006:AL1006),$AB$1006:$AQ$1006,0)), HYPERLINK("#",""), HYPERLINK(CONCATENATE("#metadata!", ADDRESS(INDEX($W$2:$W$1001,MATCH(ROWS($U$2:U730),$U$2:$U$1001,0),0), INDEX($AB$1004:$AQ$1004,1,MATCH(COLUMNS($AB$1006:AL1006),$AB$1006:$AQ$1006,0)))),"Fix")))</f>
        <v>0</v>
      </c>
      <c r="M730" s="4">
        <f>IF(OR(INDEX($V$2:$V$1001,MATCH(ROWS($U$2:U730),$U$2:$U$1001,0),1)&gt;=100000,INDEX($AB$1005:$AQ$1005,1,MATCH(COLUMNS($AB$1006:AM1006),$AB$1006:$AQ$1006,0))&gt;=100000), " ",IF(INDEX($AB$2:$AQ$1001,MATCH(ROWS($U$2:U730),$U$2:$U$1001,0),MATCH(COLUMNS($AB$1006:AM1006),$AB$1006:$AQ$1006,0)), HYPERLINK("#",""), HYPERLINK(CONCATENATE("#metadata!", ADDRESS(INDEX($W$2:$W$1001,MATCH(ROWS($U$2:U730),$U$2:$U$1001,0),0), INDEX($AB$1004:$AQ$1004,1,MATCH(COLUMNS($AB$1006:AM1006),$AB$1006:$AQ$1006,0)))),"Fix")))</f>
        <v>0</v>
      </c>
      <c r="N730" s="4">
        <f>IF(OR(INDEX($V$2:$V$1001,MATCH(ROWS($U$2:U730),$U$2:$U$1001,0),1)&gt;=100000,INDEX($AB$1005:$AQ$1005,1,MATCH(COLUMNS($AB$1006:AN1006),$AB$1006:$AQ$1006,0))&gt;=100000), " ",IF(INDEX($AB$2:$AQ$1001,MATCH(ROWS($U$2:U730),$U$2:$U$1001,0),MATCH(COLUMNS($AB$1006:AN1006),$AB$1006:$AQ$1006,0)), HYPERLINK("#",""), HYPERLINK(CONCATENATE("#metadata!", ADDRESS(INDEX($W$2:$W$1001,MATCH(ROWS($U$2:U730),$U$2:$U$1001,0),0), INDEX($AB$1004:$AQ$1004,1,MATCH(COLUMNS($AB$1006:AN1006),$AB$1006:$AQ$1006,0)))),"Fix")))</f>
        <v>0</v>
      </c>
      <c r="O730" s="4">
        <f>IF(OR(INDEX($V$2:$V$1001,MATCH(ROWS($U$2:U730),$U$2:$U$1001,0),1)&gt;=100000,INDEX($AB$1005:$AQ$1005,1,MATCH(COLUMNS($AB$1006:AO1006),$AB$1006:$AQ$1006,0))&gt;=100000), " ",IF(INDEX($AB$2:$AQ$1001,MATCH(ROWS($U$2:U730),$U$2:$U$1001,0),MATCH(COLUMNS($AB$1006:AO1006),$AB$1006:$AQ$1006,0)), HYPERLINK("#",""), HYPERLINK(CONCATENATE("#metadata!", ADDRESS(INDEX($W$2:$W$1001,MATCH(ROWS($U$2:U730),$U$2:$U$1001,0),0), INDEX($AB$1004:$AQ$1004,1,MATCH(COLUMNS($AB$1006:AO1006),$AB$1006:$AQ$1006,0)))),"Fix")))</f>
        <v>0</v>
      </c>
      <c r="P730" s="4">
        <f>IF(OR(INDEX($V$2:$V$1001,MATCH(ROWS($U$2:U730),$U$2:$U$1001,0),1)&gt;=100000,INDEX($AB$1005:$AQ$1005,1,MATCH(COLUMNS($AB$1006:AP1006),$AB$1006:$AQ$1006,0))&gt;=100000), " ",IF(INDEX($AB$2:$AQ$1001,MATCH(ROWS($U$2:U730),$U$2:$U$1001,0),MATCH(COLUMNS($AB$1006:AP1006),$AB$1006:$AQ$1006,0)), HYPERLINK("#",""), HYPERLINK(CONCATENATE("#metadata!", ADDRESS(INDEX($W$2:$W$1001,MATCH(ROWS($U$2:U730),$U$2:$U$1001,0),0), INDEX($AB$1004:$AQ$1004,1,MATCH(COLUMNS($AB$1006:AP1006),$AB$1006:$AQ$1006,0)))),"Fix")))</f>
        <v>0</v>
      </c>
      <c r="Q730" s="4">
        <f>IF(OR(INDEX($V$2:$V$1001,MATCH(ROWS($U$2:U730),$U$2:$U$1001,0),1)&gt;=100000,INDEX($AB$1005:$AQ$1005,1,MATCH(COLUMNS($AB$1006:AQ1006),$AB$1006:$AQ$1006,0))&gt;=100000), " ",IF(INDEX($AB$2:$AQ$1001,MATCH(ROWS($U$2:U730),$U$2:$U$1001,0),MATCH(COLUMNS($AB$1006:AQ1006),$AB$1006:$AQ$1006,0)), HYPERLINK("#",""), HYPERLINK(CONCATENATE("#metadata!", ADDRESS(INDEX($W$2:$W$1001,MATCH(ROWS($U$2:U730),$U$2:$U$1001,0),0), INDEX($AB$1004:$AQ$1004,1,MATCH(COLUMNS($AB$1006:AQ1006),$AB$1006:$AQ$1006,0)))),"Fix")))</f>
        <v>0</v>
      </c>
      <c r="U730">
        <v>0</v>
      </c>
      <c r="V730">
        <v>0</v>
      </c>
      <c r="W730">
        <v>0</v>
      </c>
      <c r="X730">
        <f>IF(Y730,TRUE,AND(AB730:AQ730))</f>
        <v>0</v>
      </c>
      <c r="Y730">
        <f>COUNTBLANK(metadata!B730:Q730)=COLUMNS(metadata!B730:Q730)</f>
        <v>0</v>
      </c>
      <c r="Z730">
        <v>0</v>
      </c>
      <c r="AB730">
        <f>AND(IF(metadata!B730="",FALSE,TRUE),COUNTIF(metadata!B:B, metadata!B730) = 1,NOT(ISERROR(SUMPRODUCT(SEARCH(MID(metadata!B730,ROW(INDIRECT("1:"&amp;LEN(metadata!B730))), 1),"0123456789abcdefghijklmnopqrstuvwxyzABCDEFGHIJKLMNOPQRSTUVWXYZ.")))))</f>
        <v>0</v>
      </c>
      <c r="AC730">
        <f>OR(AND(IF(metadata!C730="",FALSE,TRUE),OR(exact(metadata!C730,"missing: not collected"),exact(metadata!C730,"missing: not provided"),exact(metadata!C730,"missing: restricted access"))),AND(IF(metadata!C730="",FALSE,TRUE),AND(AND(IFERROR(INT(LEFT(metadata!C730,4))&gt;1900,FALSE),IFERROR(INT(LEFT(metadata!C730,4))&lt;=YEAR(NOW()),FALSE)), OR(MID(metadata!C730,5,1)="", AND(AND(MID(metadata!C730,5,1)="-",IFERROR(INT(MID(metadata!C730,6,1))&gt;=0,FALSE),IFERROR(INT(MID(metadata!C730,6,1))&lt;=1,FALSE),NOT(MID(metadata!C730,7,1)=""),IFERROR(INT(MID(metadata!C730,6,2))&gt;=1,FALSE),IFERROR(INT(MID(metadata!C730,6,2))&lt;=12,FALSE)), OR(MID(metadata!C730,8,1)="", AND(AND(MID(metadata!C730,8,1)="-",IFERROR(INT(MID(metadata!C730,9,1))&gt;=0,FALSE),IFERROR(INT(MID(metadata!C730,9,1))&lt;=3,FALSE),NOT(MID(metadata!C730,10,1)=""),IFERROR(INT(MID(metadata!C730,9,2))&gt;=1,FALSE),IFERROR(INT(MID(metadata!C730,9,2))&lt;=31,FALSE)), OR(MID(metadata!C730,11,1)="", AND(AND(MID(metadata!C730,11,1)=" ",IFERROR(INT(MID(metadata!C730,12,1))&gt;=0,FALSE),IFERROR(INT(MID(metadata!C730,12,1))&lt;=2,FALSE),NOT(MID(metadata!C730,13,1)=""),IFERROR(INT(MID(metadata!C730,12,2))&gt;=0,FALSE),IFERROR(INT(MID(metadata!C730,12,2))&lt;=23,FALSE)), OR(MID(metadata!C730,14,1)="", AND(AND(MID(metadata!C730,14,1)=":",IFERROR(INT(MID(metadata!C730,15,1))&gt;=0,FALSE),IFERROR(INT(MID(metadata!C730,15,1))&lt;=5,FALSE),NOT(MID(metadata!C730,16,1)=""),IFERROR(INT(MID(metadata!C730,15,2))&gt;=0,FALSE),IFERROR(INT(MID(metadata!C730,15,2))&lt;=59,FALSE)), OR(MID(metadata!C730,17,1)="", AND(AND(MID(metadata!C730,17,1)=":",IFERROR(INT(MID(metadata!C730,18,1))&gt;=0,FALSE),IFERROR(INT(MID(metadata!C730,18,1))&lt;=5,FALSE),NOT(MID(metadata!C730,19,1)=""),IFERROR(INT(MID(metadata!C730,18,2))&gt;=0,FALSE),IFERROR(INT(MID(metadata!C730,18,2))&lt;=59,FALSE)), LEN(metadata!C730)&lt;=19)))))))))))))</f>
        <v>0</v>
      </c>
      <c r="AD730">
        <f>IF(metadata!D730="",FALSE,TRUE)</f>
        <v>0</v>
      </c>
      <c r="AE730">
        <f>OR(AND(IF(metadata!E730="",FALSE,TRUE),OR(exact(metadata!E730,"missing: not collected"),exact(metadata!E730,"missing: not provided"))),AND(IF(metadata!E730="",FALSE,TRUE),OR(exact(metadata!E730,"TRUE"),exact(metadata!E730,"FALSE"))))</f>
        <v>0</v>
      </c>
      <c r="AF730">
        <f>IF(metadata!F730="",FALSE,TRUE)</f>
        <v>0</v>
      </c>
      <c r="AG730">
        <f>IF(metadata!G730="",FALSE,TRUE)</f>
        <v>0</v>
      </c>
      <c r="AH730">
        <f>IF(metadata!H730="",FALSE,TRUE)</f>
        <v>0</v>
      </c>
      <c r="AI730">
        <f>OR(AND(IF(metadata!I730="",FALSE,TRUE),OR(exact(metadata!I730,"missing: not collected"),exact(metadata!I730,"missing: not provided"),exact(metadata!I730,"missing: restricted access"))),AND(IF(metadata!I730="",FALSE,TRUE),OR(exact(metadata!I730,"air"),exact(metadata!I730,"built environment"),exact(metadata!I730,"host-associated"),exact(metadata!I730,"human-associated"),exact(metadata!I730,"human-skin"),exact(metadata!I730,"human-oral"),exact(metadata!I730,"human-gut"),exact(metadata!I730,"human-vaginal"),exact(metadata!I730,"microbial mat/biofilm"),exact(metadata!I730,"misc environment"),exact(metadata!I730,"plant-associated"),exact(metadata!I730,"sediment"),exact(metadata!I730,"soil"),exact(metadata!I730,"wastewater/sludge"),exact(metadata!I730,"water"))))</f>
        <v>0</v>
      </c>
      <c r="AJ730">
        <f>IF(metadata!J730="",FALSE,TRUE)</f>
        <v>0</v>
      </c>
      <c r="AK730">
        <f>OR(AND(IF(metadata!K730="",FALSE,TRUE),OR(exact(metadata!K730,"missing: not collected"),exact(metadata!K730,"missing: not provided"),exact(metadata!K730,"missing: restricted access"))),AND(IF(metadata!K730="",FALSE,ISNUMBER(VALUE(metadata!K730))),metadata!K730&gt;=-90.00,metadata!K730&lt;=90.00))</f>
        <v>0</v>
      </c>
      <c r="AL730">
        <f>OR(AND(IF(metadata!L730="",FALSE,TRUE),OR(exact(metadata!L730,"missing: not collected"),exact(metadata!L730,"missing: not provided"),exact(metadata!L730,"missing: restricted access"))),AND(IF(metadata!L730="",FALSE,ISNUMBER(VALUE(metadata!L730))),metadata!L730&gt;=-180.00,metadata!L730&lt;=180.00))</f>
        <v>0</v>
      </c>
      <c r="AM730">
        <f>IF(metadata!M730="",FALSE,TRUE)</f>
        <v>0</v>
      </c>
      <c r="AN730">
        <f>OR(AND(IF(metadata!N730="",FALSE,TRUE),OR(exact(metadata!N730,"missing: not collected"),exact(metadata!N730,"missing: not provided"),exact(metadata!N730,"missing: restricted access"))),AND(IF(metadata!N730="",FALSE,TRUE),OR(exact(metadata!N730,"TRUE"),exact(metadata!N730,"FALSE"))))</f>
        <v>0</v>
      </c>
      <c r="AO730">
        <f>IF(metadata!O730="",FALSE,TRUE)</f>
        <v>0</v>
      </c>
      <c r="AP730">
        <f>OR(AND(IF(metadata!P730="",FALSE,TRUE),OR(exact(metadata!P730,"missing: not collected"),exact(metadata!P730,"missing: not provided"))),AND(IF(metadata!P730="",FALSE,IF(ISERROR(INT(metadata!P730)),FALSE,INT(metadata!P730)=metadata!P730)),metadata!P730&gt;0))</f>
        <v>0</v>
      </c>
      <c r="AQ730">
        <f>IF(metadata!Q730="",FALSE,TRUE)</f>
        <v>0</v>
      </c>
    </row>
    <row r="731" spans="1:43">
      <c r="A731" s="5">
        <f>IF(B731=" "," ",HYPERLINK(CONCATENATE("#metadata!",ADDRESS(INDEX($W$2:$W$1001,MATCH(ROWS($U$2:U731),$U$2:$U$1001,0),0),1)),INDEX($Z$2:$Z$1001,MATCH(ROWS($U$2:U731),$U$2:$U$1001,0),0)))</f>
        <v>0</v>
      </c>
      <c r="B731" s="4">
        <f>IF(OR(INDEX($V$2:$V$1001,MATCH(ROWS($U$2:U731),$U$2:$U$1001,0),1)&gt;=100000,INDEX($AB$1005:$AQ$1005,1,MATCH(COLUMNS($AB$1006:AB1006),$AB$1006:$AQ$1006,0))&gt;=100000), " ",IF(INDEX($AB$2:$AQ$1001,MATCH(ROWS($U$2:U731),$U$2:$U$1001,0),MATCH(COLUMNS($AB$1006:AB1006),$AB$1006:$AQ$1006,0)), HYPERLINK("#",""), HYPERLINK(CONCATENATE("#metadata!", ADDRESS(INDEX($W$2:$W$1001,MATCH(ROWS($U$2:U731),$U$2:$U$1001,0),0), INDEX($AB$1004:$AQ$1004,1,MATCH(COLUMNS($AB$1006:AB1006),$AB$1006:$AQ$1006,0)))),"Fix")))</f>
        <v>0</v>
      </c>
      <c r="C731" s="4">
        <f>IF(OR(INDEX($V$2:$V$1001,MATCH(ROWS($U$2:U731),$U$2:$U$1001,0),1)&gt;=100000,INDEX($AB$1005:$AQ$1005,1,MATCH(COLUMNS($AB$1006:AC1006),$AB$1006:$AQ$1006,0))&gt;=100000), " ",IF(INDEX($AB$2:$AQ$1001,MATCH(ROWS($U$2:U731),$U$2:$U$1001,0),MATCH(COLUMNS($AB$1006:AC1006),$AB$1006:$AQ$1006,0)), HYPERLINK("#",""), HYPERLINK(CONCATENATE("#metadata!", ADDRESS(INDEX($W$2:$W$1001,MATCH(ROWS($U$2:U731),$U$2:$U$1001,0),0), INDEX($AB$1004:$AQ$1004,1,MATCH(COLUMNS($AB$1006:AC1006),$AB$1006:$AQ$1006,0)))),"Fix")))</f>
        <v>0</v>
      </c>
      <c r="D731" s="4">
        <f>IF(OR(INDEX($V$2:$V$1001,MATCH(ROWS($U$2:U731),$U$2:$U$1001,0),1)&gt;=100000,INDEX($AB$1005:$AQ$1005,1,MATCH(COLUMNS($AB$1006:AD1006),$AB$1006:$AQ$1006,0))&gt;=100000), " ",IF(INDEX($AB$2:$AQ$1001,MATCH(ROWS($U$2:U731),$U$2:$U$1001,0),MATCH(COLUMNS($AB$1006:AD1006),$AB$1006:$AQ$1006,0)), HYPERLINK("#",""), HYPERLINK(CONCATENATE("#metadata!", ADDRESS(INDEX($W$2:$W$1001,MATCH(ROWS($U$2:U731),$U$2:$U$1001,0),0), INDEX($AB$1004:$AQ$1004,1,MATCH(COLUMNS($AB$1006:AD1006),$AB$1006:$AQ$1006,0)))),"Fix")))</f>
        <v>0</v>
      </c>
      <c r="E731" s="4">
        <f>IF(OR(INDEX($V$2:$V$1001,MATCH(ROWS($U$2:U731),$U$2:$U$1001,0),1)&gt;=100000,INDEX($AB$1005:$AQ$1005,1,MATCH(COLUMNS($AB$1006:AE1006),$AB$1006:$AQ$1006,0))&gt;=100000), " ",IF(INDEX($AB$2:$AQ$1001,MATCH(ROWS($U$2:U731),$U$2:$U$1001,0),MATCH(COLUMNS($AB$1006:AE1006),$AB$1006:$AQ$1006,0)), HYPERLINK("#",""), HYPERLINK(CONCATENATE("#metadata!", ADDRESS(INDEX($W$2:$W$1001,MATCH(ROWS($U$2:U731),$U$2:$U$1001,0),0), INDEX($AB$1004:$AQ$1004,1,MATCH(COLUMNS($AB$1006:AE1006),$AB$1006:$AQ$1006,0)))),"Fix")))</f>
        <v>0</v>
      </c>
      <c r="F731" s="4">
        <f>IF(OR(INDEX($V$2:$V$1001,MATCH(ROWS($U$2:U731),$U$2:$U$1001,0),1)&gt;=100000,INDEX($AB$1005:$AQ$1005,1,MATCH(COLUMNS($AB$1006:AF1006),$AB$1006:$AQ$1006,0))&gt;=100000), " ",IF(INDEX($AB$2:$AQ$1001,MATCH(ROWS($U$2:U731),$U$2:$U$1001,0),MATCH(COLUMNS($AB$1006:AF1006),$AB$1006:$AQ$1006,0)), HYPERLINK("#",""), HYPERLINK(CONCATENATE("#metadata!", ADDRESS(INDEX($W$2:$W$1001,MATCH(ROWS($U$2:U731),$U$2:$U$1001,0),0), INDEX($AB$1004:$AQ$1004,1,MATCH(COLUMNS($AB$1006:AF1006),$AB$1006:$AQ$1006,0)))),"Fix")))</f>
        <v>0</v>
      </c>
      <c r="G731" s="4">
        <f>IF(OR(INDEX($V$2:$V$1001,MATCH(ROWS($U$2:U731),$U$2:$U$1001,0),1)&gt;=100000,INDEX($AB$1005:$AQ$1005,1,MATCH(COLUMNS($AB$1006:AG1006),$AB$1006:$AQ$1006,0))&gt;=100000), " ",IF(INDEX($AB$2:$AQ$1001,MATCH(ROWS($U$2:U731),$U$2:$U$1001,0),MATCH(COLUMNS($AB$1006:AG1006),$AB$1006:$AQ$1006,0)), HYPERLINK("#",""), HYPERLINK(CONCATENATE("#metadata!", ADDRESS(INDEX($W$2:$W$1001,MATCH(ROWS($U$2:U731),$U$2:$U$1001,0),0), INDEX($AB$1004:$AQ$1004,1,MATCH(COLUMNS($AB$1006:AG1006),$AB$1006:$AQ$1006,0)))),"Fix")))</f>
        <v>0</v>
      </c>
      <c r="H731" s="4">
        <f>IF(OR(INDEX($V$2:$V$1001,MATCH(ROWS($U$2:U731),$U$2:$U$1001,0),1)&gt;=100000,INDEX($AB$1005:$AQ$1005,1,MATCH(COLUMNS($AB$1006:AH1006),$AB$1006:$AQ$1006,0))&gt;=100000), " ",IF(INDEX($AB$2:$AQ$1001,MATCH(ROWS($U$2:U731),$U$2:$U$1001,0),MATCH(COLUMNS($AB$1006:AH1006),$AB$1006:$AQ$1006,0)), HYPERLINK("#",""), HYPERLINK(CONCATENATE("#metadata!", ADDRESS(INDEX($W$2:$W$1001,MATCH(ROWS($U$2:U731),$U$2:$U$1001,0),0), INDEX($AB$1004:$AQ$1004,1,MATCH(COLUMNS($AB$1006:AH1006),$AB$1006:$AQ$1006,0)))),"Fix")))</f>
        <v>0</v>
      </c>
      <c r="I731" s="4">
        <f>IF(OR(INDEX($V$2:$V$1001,MATCH(ROWS($U$2:U731),$U$2:$U$1001,0),1)&gt;=100000,INDEX($AB$1005:$AQ$1005,1,MATCH(COLUMNS($AB$1006:AI1006),$AB$1006:$AQ$1006,0))&gt;=100000), " ",IF(INDEX($AB$2:$AQ$1001,MATCH(ROWS($U$2:U731),$U$2:$U$1001,0),MATCH(COLUMNS($AB$1006:AI1006),$AB$1006:$AQ$1006,0)), HYPERLINK("#",""), HYPERLINK(CONCATENATE("#metadata!", ADDRESS(INDEX($W$2:$W$1001,MATCH(ROWS($U$2:U731),$U$2:$U$1001,0),0), INDEX($AB$1004:$AQ$1004,1,MATCH(COLUMNS($AB$1006:AI1006),$AB$1006:$AQ$1006,0)))),"Fix")))</f>
        <v>0</v>
      </c>
      <c r="J731" s="4">
        <f>IF(OR(INDEX($V$2:$V$1001,MATCH(ROWS($U$2:U731),$U$2:$U$1001,0),1)&gt;=100000,INDEX($AB$1005:$AQ$1005,1,MATCH(COLUMNS($AB$1006:AJ1006),$AB$1006:$AQ$1006,0))&gt;=100000), " ",IF(INDEX($AB$2:$AQ$1001,MATCH(ROWS($U$2:U731),$U$2:$U$1001,0),MATCH(COLUMNS($AB$1006:AJ1006),$AB$1006:$AQ$1006,0)), HYPERLINK("#",""), HYPERLINK(CONCATENATE("#metadata!", ADDRESS(INDEX($W$2:$W$1001,MATCH(ROWS($U$2:U731),$U$2:$U$1001,0),0), INDEX($AB$1004:$AQ$1004,1,MATCH(COLUMNS($AB$1006:AJ1006),$AB$1006:$AQ$1006,0)))),"Fix")))</f>
        <v>0</v>
      </c>
      <c r="K731" s="4">
        <f>IF(OR(INDEX($V$2:$V$1001,MATCH(ROWS($U$2:U731),$U$2:$U$1001,0),1)&gt;=100000,INDEX($AB$1005:$AQ$1005,1,MATCH(COLUMNS($AB$1006:AK1006),$AB$1006:$AQ$1006,0))&gt;=100000), " ",IF(INDEX($AB$2:$AQ$1001,MATCH(ROWS($U$2:U731),$U$2:$U$1001,0),MATCH(COLUMNS($AB$1006:AK1006),$AB$1006:$AQ$1006,0)), HYPERLINK("#",""), HYPERLINK(CONCATENATE("#metadata!", ADDRESS(INDEX($W$2:$W$1001,MATCH(ROWS($U$2:U731),$U$2:$U$1001,0),0), INDEX($AB$1004:$AQ$1004,1,MATCH(COLUMNS($AB$1006:AK1006),$AB$1006:$AQ$1006,0)))),"Fix")))</f>
        <v>0</v>
      </c>
      <c r="L731" s="4">
        <f>IF(OR(INDEX($V$2:$V$1001,MATCH(ROWS($U$2:U731),$U$2:$U$1001,0),1)&gt;=100000,INDEX($AB$1005:$AQ$1005,1,MATCH(COLUMNS($AB$1006:AL1006),$AB$1006:$AQ$1006,0))&gt;=100000), " ",IF(INDEX($AB$2:$AQ$1001,MATCH(ROWS($U$2:U731),$U$2:$U$1001,0),MATCH(COLUMNS($AB$1006:AL1006),$AB$1006:$AQ$1006,0)), HYPERLINK("#",""), HYPERLINK(CONCATENATE("#metadata!", ADDRESS(INDEX($W$2:$W$1001,MATCH(ROWS($U$2:U731),$U$2:$U$1001,0),0), INDEX($AB$1004:$AQ$1004,1,MATCH(COLUMNS($AB$1006:AL1006),$AB$1006:$AQ$1006,0)))),"Fix")))</f>
        <v>0</v>
      </c>
      <c r="M731" s="4">
        <f>IF(OR(INDEX($V$2:$V$1001,MATCH(ROWS($U$2:U731),$U$2:$U$1001,0),1)&gt;=100000,INDEX($AB$1005:$AQ$1005,1,MATCH(COLUMNS($AB$1006:AM1006),$AB$1006:$AQ$1006,0))&gt;=100000), " ",IF(INDEX($AB$2:$AQ$1001,MATCH(ROWS($U$2:U731),$U$2:$U$1001,0),MATCH(COLUMNS($AB$1006:AM1006),$AB$1006:$AQ$1006,0)), HYPERLINK("#",""), HYPERLINK(CONCATENATE("#metadata!", ADDRESS(INDEX($W$2:$W$1001,MATCH(ROWS($U$2:U731),$U$2:$U$1001,0),0), INDEX($AB$1004:$AQ$1004,1,MATCH(COLUMNS($AB$1006:AM1006),$AB$1006:$AQ$1006,0)))),"Fix")))</f>
        <v>0</v>
      </c>
      <c r="N731" s="4">
        <f>IF(OR(INDEX($V$2:$V$1001,MATCH(ROWS($U$2:U731),$U$2:$U$1001,0),1)&gt;=100000,INDEX($AB$1005:$AQ$1005,1,MATCH(COLUMNS($AB$1006:AN1006),$AB$1006:$AQ$1006,0))&gt;=100000), " ",IF(INDEX($AB$2:$AQ$1001,MATCH(ROWS($U$2:U731),$U$2:$U$1001,0),MATCH(COLUMNS($AB$1006:AN1006),$AB$1006:$AQ$1006,0)), HYPERLINK("#",""), HYPERLINK(CONCATENATE("#metadata!", ADDRESS(INDEX($W$2:$W$1001,MATCH(ROWS($U$2:U731),$U$2:$U$1001,0),0), INDEX($AB$1004:$AQ$1004,1,MATCH(COLUMNS($AB$1006:AN1006),$AB$1006:$AQ$1006,0)))),"Fix")))</f>
        <v>0</v>
      </c>
      <c r="O731" s="4">
        <f>IF(OR(INDEX($V$2:$V$1001,MATCH(ROWS($U$2:U731),$U$2:$U$1001,0),1)&gt;=100000,INDEX($AB$1005:$AQ$1005,1,MATCH(COLUMNS($AB$1006:AO1006),$AB$1006:$AQ$1006,0))&gt;=100000), " ",IF(INDEX($AB$2:$AQ$1001,MATCH(ROWS($U$2:U731),$U$2:$U$1001,0),MATCH(COLUMNS($AB$1006:AO1006),$AB$1006:$AQ$1006,0)), HYPERLINK("#",""), HYPERLINK(CONCATENATE("#metadata!", ADDRESS(INDEX($W$2:$W$1001,MATCH(ROWS($U$2:U731),$U$2:$U$1001,0),0), INDEX($AB$1004:$AQ$1004,1,MATCH(COLUMNS($AB$1006:AO1006),$AB$1006:$AQ$1006,0)))),"Fix")))</f>
        <v>0</v>
      </c>
      <c r="P731" s="4">
        <f>IF(OR(INDEX($V$2:$V$1001,MATCH(ROWS($U$2:U731),$U$2:$U$1001,0),1)&gt;=100000,INDEX($AB$1005:$AQ$1005,1,MATCH(COLUMNS($AB$1006:AP1006),$AB$1006:$AQ$1006,0))&gt;=100000), " ",IF(INDEX($AB$2:$AQ$1001,MATCH(ROWS($U$2:U731),$U$2:$U$1001,0),MATCH(COLUMNS($AB$1006:AP1006),$AB$1006:$AQ$1006,0)), HYPERLINK("#",""), HYPERLINK(CONCATENATE("#metadata!", ADDRESS(INDEX($W$2:$W$1001,MATCH(ROWS($U$2:U731),$U$2:$U$1001,0),0), INDEX($AB$1004:$AQ$1004,1,MATCH(COLUMNS($AB$1006:AP1006),$AB$1006:$AQ$1006,0)))),"Fix")))</f>
        <v>0</v>
      </c>
      <c r="Q731" s="4">
        <f>IF(OR(INDEX($V$2:$V$1001,MATCH(ROWS($U$2:U731),$U$2:$U$1001,0),1)&gt;=100000,INDEX($AB$1005:$AQ$1005,1,MATCH(COLUMNS($AB$1006:AQ1006),$AB$1006:$AQ$1006,0))&gt;=100000), " ",IF(INDEX($AB$2:$AQ$1001,MATCH(ROWS($U$2:U731),$U$2:$U$1001,0),MATCH(COLUMNS($AB$1006:AQ1006),$AB$1006:$AQ$1006,0)), HYPERLINK("#",""), HYPERLINK(CONCATENATE("#metadata!", ADDRESS(INDEX($W$2:$W$1001,MATCH(ROWS($U$2:U731),$U$2:$U$1001,0),0), INDEX($AB$1004:$AQ$1004,1,MATCH(COLUMNS($AB$1006:AQ1006),$AB$1006:$AQ$1006,0)))),"Fix")))</f>
        <v>0</v>
      </c>
      <c r="U731">
        <v>0</v>
      </c>
      <c r="V731">
        <v>0</v>
      </c>
      <c r="W731">
        <v>0</v>
      </c>
      <c r="X731">
        <f>IF(Y731,TRUE,AND(AB731:AQ731))</f>
        <v>0</v>
      </c>
      <c r="Y731">
        <f>COUNTBLANK(metadata!B731:Q731)=COLUMNS(metadata!B731:Q731)</f>
        <v>0</v>
      </c>
      <c r="Z731">
        <v>0</v>
      </c>
      <c r="AB731">
        <f>AND(IF(metadata!B731="",FALSE,TRUE),COUNTIF(metadata!B:B, metadata!B731) = 1,NOT(ISERROR(SUMPRODUCT(SEARCH(MID(metadata!B731,ROW(INDIRECT("1:"&amp;LEN(metadata!B731))), 1),"0123456789abcdefghijklmnopqrstuvwxyzABCDEFGHIJKLMNOPQRSTUVWXYZ.")))))</f>
        <v>0</v>
      </c>
      <c r="AC731">
        <f>OR(AND(IF(metadata!C731="",FALSE,TRUE),OR(exact(metadata!C731,"missing: not collected"),exact(metadata!C731,"missing: not provided"),exact(metadata!C731,"missing: restricted access"))),AND(IF(metadata!C731="",FALSE,TRUE),AND(AND(IFERROR(INT(LEFT(metadata!C731,4))&gt;1900,FALSE),IFERROR(INT(LEFT(metadata!C731,4))&lt;=YEAR(NOW()),FALSE)), OR(MID(metadata!C731,5,1)="", AND(AND(MID(metadata!C731,5,1)="-",IFERROR(INT(MID(metadata!C731,6,1))&gt;=0,FALSE),IFERROR(INT(MID(metadata!C731,6,1))&lt;=1,FALSE),NOT(MID(metadata!C731,7,1)=""),IFERROR(INT(MID(metadata!C731,6,2))&gt;=1,FALSE),IFERROR(INT(MID(metadata!C731,6,2))&lt;=12,FALSE)), OR(MID(metadata!C731,8,1)="", AND(AND(MID(metadata!C731,8,1)="-",IFERROR(INT(MID(metadata!C731,9,1))&gt;=0,FALSE),IFERROR(INT(MID(metadata!C731,9,1))&lt;=3,FALSE),NOT(MID(metadata!C731,10,1)=""),IFERROR(INT(MID(metadata!C731,9,2))&gt;=1,FALSE),IFERROR(INT(MID(metadata!C731,9,2))&lt;=31,FALSE)), OR(MID(metadata!C731,11,1)="", AND(AND(MID(metadata!C731,11,1)=" ",IFERROR(INT(MID(metadata!C731,12,1))&gt;=0,FALSE),IFERROR(INT(MID(metadata!C731,12,1))&lt;=2,FALSE),NOT(MID(metadata!C731,13,1)=""),IFERROR(INT(MID(metadata!C731,12,2))&gt;=0,FALSE),IFERROR(INT(MID(metadata!C731,12,2))&lt;=23,FALSE)), OR(MID(metadata!C731,14,1)="", AND(AND(MID(metadata!C731,14,1)=":",IFERROR(INT(MID(metadata!C731,15,1))&gt;=0,FALSE),IFERROR(INT(MID(metadata!C731,15,1))&lt;=5,FALSE),NOT(MID(metadata!C731,16,1)=""),IFERROR(INT(MID(metadata!C731,15,2))&gt;=0,FALSE),IFERROR(INT(MID(metadata!C731,15,2))&lt;=59,FALSE)), OR(MID(metadata!C731,17,1)="", AND(AND(MID(metadata!C731,17,1)=":",IFERROR(INT(MID(metadata!C731,18,1))&gt;=0,FALSE),IFERROR(INT(MID(metadata!C731,18,1))&lt;=5,FALSE),NOT(MID(metadata!C731,19,1)=""),IFERROR(INT(MID(metadata!C731,18,2))&gt;=0,FALSE),IFERROR(INT(MID(metadata!C731,18,2))&lt;=59,FALSE)), LEN(metadata!C731)&lt;=19)))))))))))))</f>
        <v>0</v>
      </c>
      <c r="AD731">
        <f>IF(metadata!D731="",FALSE,TRUE)</f>
        <v>0</v>
      </c>
      <c r="AE731">
        <f>OR(AND(IF(metadata!E731="",FALSE,TRUE),OR(exact(metadata!E731,"missing: not collected"),exact(metadata!E731,"missing: not provided"))),AND(IF(metadata!E731="",FALSE,TRUE),OR(exact(metadata!E731,"TRUE"),exact(metadata!E731,"FALSE"))))</f>
        <v>0</v>
      </c>
      <c r="AF731">
        <f>IF(metadata!F731="",FALSE,TRUE)</f>
        <v>0</v>
      </c>
      <c r="AG731">
        <f>IF(metadata!G731="",FALSE,TRUE)</f>
        <v>0</v>
      </c>
      <c r="AH731">
        <f>IF(metadata!H731="",FALSE,TRUE)</f>
        <v>0</v>
      </c>
      <c r="AI731">
        <f>OR(AND(IF(metadata!I731="",FALSE,TRUE),OR(exact(metadata!I731,"missing: not collected"),exact(metadata!I731,"missing: not provided"),exact(metadata!I731,"missing: restricted access"))),AND(IF(metadata!I731="",FALSE,TRUE),OR(exact(metadata!I731,"air"),exact(metadata!I731,"built environment"),exact(metadata!I731,"host-associated"),exact(metadata!I731,"human-associated"),exact(metadata!I731,"human-skin"),exact(metadata!I731,"human-oral"),exact(metadata!I731,"human-gut"),exact(metadata!I731,"human-vaginal"),exact(metadata!I731,"microbial mat/biofilm"),exact(metadata!I731,"misc environment"),exact(metadata!I731,"plant-associated"),exact(metadata!I731,"sediment"),exact(metadata!I731,"soil"),exact(metadata!I731,"wastewater/sludge"),exact(metadata!I731,"water"))))</f>
        <v>0</v>
      </c>
      <c r="AJ731">
        <f>IF(metadata!J731="",FALSE,TRUE)</f>
        <v>0</v>
      </c>
      <c r="AK731">
        <f>OR(AND(IF(metadata!K731="",FALSE,TRUE),OR(exact(metadata!K731,"missing: not collected"),exact(metadata!K731,"missing: not provided"),exact(metadata!K731,"missing: restricted access"))),AND(IF(metadata!K731="",FALSE,ISNUMBER(VALUE(metadata!K731))),metadata!K731&gt;=-90.00,metadata!K731&lt;=90.00))</f>
        <v>0</v>
      </c>
      <c r="AL731">
        <f>OR(AND(IF(metadata!L731="",FALSE,TRUE),OR(exact(metadata!L731,"missing: not collected"),exact(metadata!L731,"missing: not provided"),exact(metadata!L731,"missing: restricted access"))),AND(IF(metadata!L731="",FALSE,ISNUMBER(VALUE(metadata!L731))),metadata!L731&gt;=-180.00,metadata!L731&lt;=180.00))</f>
        <v>0</v>
      </c>
      <c r="AM731">
        <f>IF(metadata!M731="",FALSE,TRUE)</f>
        <v>0</v>
      </c>
      <c r="AN731">
        <f>OR(AND(IF(metadata!N731="",FALSE,TRUE),OR(exact(metadata!N731,"missing: not collected"),exact(metadata!N731,"missing: not provided"),exact(metadata!N731,"missing: restricted access"))),AND(IF(metadata!N731="",FALSE,TRUE),OR(exact(metadata!N731,"TRUE"),exact(metadata!N731,"FALSE"))))</f>
        <v>0</v>
      </c>
      <c r="AO731">
        <f>IF(metadata!O731="",FALSE,TRUE)</f>
        <v>0</v>
      </c>
      <c r="AP731">
        <f>OR(AND(IF(metadata!P731="",FALSE,TRUE),OR(exact(metadata!P731,"missing: not collected"),exact(metadata!P731,"missing: not provided"))),AND(IF(metadata!P731="",FALSE,IF(ISERROR(INT(metadata!P731)),FALSE,INT(metadata!P731)=metadata!P731)),metadata!P731&gt;0))</f>
        <v>0</v>
      </c>
      <c r="AQ731">
        <f>IF(metadata!Q731="",FALSE,TRUE)</f>
        <v>0</v>
      </c>
    </row>
    <row r="732" spans="1:43">
      <c r="A732" s="5">
        <f>IF(B732=" "," ",HYPERLINK(CONCATENATE("#metadata!",ADDRESS(INDEX($W$2:$W$1001,MATCH(ROWS($U$2:U732),$U$2:$U$1001,0),0),1)),INDEX($Z$2:$Z$1001,MATCH(ROWS($U$2:U732),$U$2:$U$1001,0),0)))</f>
        <v>0</v>
      </c>
      <c r="B732" s="4">
        <f>IF(OR(INDEX($V$2:$V$1001,MATCH(ROWS($U$2:U732),$U$2:$U$1001,0),1)&gt;=100000,INDEX($AB$1005:$AQ$1005,1,MATCH(COLUMNS($AB$1006:AB1006),$AB$1006:$AQ$1006,0))&gt;=100000), " ",IF(INDEX($AB$2:$AQ$1001,MATCH(ROWS($U$2:U732),$U$2:$U$1001,0),MATCH(COLUMNS($AB$1006:AB1006),$AB$1006:$AQ$1006,0)), HYPERLINK("#",""), HYPERLINK(CONCATENATE("#metadata!", ADDRESS(INDEX($W$2:$W$1001,MATCH(ROWS($U$2:U732),$U$2:$U$1001,0),0), INDEX($AB$1004:$AQ$1004,1,MATCH(COLUMNS($AB$1006:AB1006),$AB$1006:$AQ$1006,0)))),"Fix")))</f>
        <v>0</v>
      </c>
      <c r="C732" s="4">
        <f>IF(OR(INDEX($V$2:$V$1001,MATCH(ROWS($U$2:U732),$U$2:$U$1001,0),1)&gt;=100000,INDEX($AB$1005:$AQ$1005,1,MATCH(COLUMNS($AB$1006:AC1006),$AB$1006:$AQ$1006,0))&gt;=100000), " ",IF(INDEX($AB$2:$AQ$1001,MATCH(ROWS($U$2:U732),$U$2:$U$1001,0),MATCH(COLUMNS($AB$1006:AC1006),$AB$1006:$AQ$1006,0)), HYPERLINK("#",""), HYPERLINK(CONCATENATE("#metadata!", ADDRESS(INDEX($W$2:$W$1001,MATCH(ROWS($U$2:U732),$U$2:$U$1001,0),0), INDEX($AB$1004:$AQ$1004,1,MATCH(COLUMNS($AB$1006:AC1006),$AB$1006:$AQ$1006,0)))),"Fix")))</f>
        <v>0</v>
      </c>
      <c r="D732" s="4">
        <f>IF(OR(INDEX($V$2:$V$1001,MATCH(ROWS($U$2:U732),$U$2:$U$1001,0),1)&gt;=100000,INDEX($AB$1005:$AQ$1005,1,MATCH(COLUMNS($AB$1006:AD1006),$AB$1006:$AQ$1006,0))&gt;=100000), " ",IF(INDEX($AB$2:$AQ$1001,MATCH(ROWS($U$2:U732),$U$2:$U$1001,0),MATCH(COLUMNS($AB$1006:AD1006),$AB$1006:$AQ$1006,0)), HYPERLINK("#",""), HYPERLINK(CONCATENATE("#metadata!", ADDRESS(INDEX($W$2:$W$1001,MATCH(ROWS($U$2:U732),$U$2:$U$1001,0),0), INDEX($AB$1004:$AQ$1004,1,MATCH(COLUMNS($AB$1006:AD1006),$AB$1006:$AQ$1006,0)))),"Fix")))</f>
        <v>0</v>
      </c>
      <c r="E732" s="4">
        <f>IF(OR(INDEX($V$2:$V$1001,MATCH(ROWS($U$2:U732),$U$2:$U$1001,0),1)&gt;=100000,INDEX($AB$1005:$AQ$1005,1,MATCH(COLUMNS($AB$1006:AE1006),$AB$1006:$AQ$1006,0))&gt;=100000), " ",IF(INDEX($AB$2:$AQ$1001,MATCH(ROWS($U$2:U732),$U$2:$U$1001,0),MATCH(COLUMNS($AB$1006:AE1006),$AB$1006:$AQ$1006,0)), HYPERLINK("#",""), HYPERLINK(CONCATENATE("#metadata!", ADDRESS(INDEX($W$2:$W$1001,MATCH(ROWS($U$2:U732),$U$2:$U$1001,0),0), INDEX($AB$1004:$AQ$1004,1,MATCH(COLUMNS($AB$1006:AE1006),$AB$1006:$AQ$1006,0)))),"Fix")))</f>
        <v>0</v>
      </c>
      <c r="F732" s="4">
        <f>IF(OR(INDEX($V$2:$V$1001,MATCH(ROWS($U$2:U732),$U$2:$U$1001,0),1)&gt;=100000,INDEX($AB$1005:$AQ$1005,1,MATCH(COLUMNS($AB$1006:AF1006),$AB$1006:$AQ$1006,0))&gt;=100000), " ",IF(INDEX($AB$2:$AQ$1001,MATCH(ROWS($U$2:U732),$U$2:$U$1001,0),MATCH(COLUMNS($AB$1006:AF1006),$AB$1006:$AQ$1006,0)), HYPERLINK("#",""), HYPERLINK(CONCATENATE("#metadata!", ADDRESS(INDEX($W$2:$W$1001,MATCH(ROWS($U$2:U732),$U$2:$U$1001,0),0), INDEX($AB$1004:$AQ$1004,1,MATCH(COLUMNS($AB$1006:AF1006),$AB$1006:$AQ$1006,0)))),"Fix")))</f>
        <v>0</v>
      </c>
      <c r="G732" s="4">
        <f>IF(OR(INDEX($V$2:$V$1001,MATCH(ROWS($U$2:U732),$U$2:$U$1001,0),1)&gt;=100000,INDEX($AB$1005:$AQ$1005,1,MATCH(COLUMNS($AB$1006:AG1006),$AB$1006:$AQ$1006,0))&gt;=100000), " ",IF(INDEX($AB$2:$AQ$1001,MATCH(ROWS($U$2:U732),$U$2:$U$1001,0),MATCH(COLUMNS($AB$1006:AG1006),$AB$1006:$AQ$1006,0)), HYPERLINK("#",""), HYPERLINK(CONCATENATE("#metadata!", ADDRESS(INDEX($W$2:$W$1001,MATCH(ROWS($U$2:U732),$U$2:$U$1001,0),0), INDEX($AB$1004:$AQ$1004,1,MATCH(COLUMNS($AB$1006:AG1006),$AB$1006:$AQ$1006,0)))),"Fix")))</f>
        <v>0</v>
      </c>
      <c r="H732" s="4">
        <f>IF(OR(INDEX($V$2:$V$1001,MATCH(ROWS($U$2:U732),$U$2:$U$1001,0),1)&gt;=100000,INDEX($AB$1005:$AQ$1005,1,MATCH(COLUMNS($AB$1006:AH1006),$AB$1006:$AQ$1006,0))&gt;=100000), " ",IF(INDEX($AB$2:$AQ$1001,MATCH(ROWS($U$2:U732),$U$2:$U$1001,0),MATCH(COLUMNS($AB$1006:AH1006),$AB$1006:$AQ$1006,0)), HYPERLINK("#",""), HYPERLINK(CONCATENATE("#metadata!", ADDRESS(INDEX($W$2:$W$1001,MATCH(ROWS($U$2:U732),$U$2:$U$1001,0),0), INDEX($AB$1004:$AQ$1004,1,MATCH(COLUMNS($AB$1006:AH1006),$AB$1006:$AQ$1006,0)))),"Fix")))</f>
        <v>0</v>
      </c>
      <c r="I732" s="4">
        <f>IF(OR(INDEX($V$2:$V$1001,MATCH(ROWS($U$2:U732),$U$2:$U$1001,0),1)&gt;=100000,INDEX($AB$1005:$AQ$1005,1,MATCH(COLUMNS($AB$1006:AI1006),$AB$1006:$AQ$1006,0))&gt;=100000), " ",IF(INDEX($AB$2:$AQ$1001,MATCH(ROWS($U$2:U732),$U$2:$U$1001,0),MATCH(COLUMNS($AB$1006:AI1006),$AB$1006:$AQ$1006,0)), HYPERLINK("#",""), HYPERLINK(CONCATENATE("#metadata!", ADDRESS(INDEX($W$2:$W$1001,MATCH(ROWS($U$2:U732),$U$2:$U$1001,0),0), INDEX($AB$1004:$AQ$1004,1,MATCH(COLUMNS($AB$1006:AI1006),$AB$1006:$AQ$1006,0)))),"Fix")))</f>
        <v>0</v>
      </c>
      <c r="J732" s="4">
        <f>IF(OR(INDEX($V$2:$V$1001,MATCH(ROWS($U$2:U732),$U$2:$U$1001,0),1)&gt;=100000,INDEX($AB$1005:$AQ$1005,1,MATCH(COLUMNS($AB$1006:AJ1006),$AB$1006:$AQ$1006,0))&gt;=100000), " ",IF(INDEX($AB$2:$AQ$1001,MATCH(ROWS($U$2:U732),$U$2:$U$1001,0),MATCH(COLUMNS($AB$1006:AJ1006),$AB$1006:$AQ$1006,0)), HYPERLINK("#",""), HYPERLINK(CONCATENATE("#metadata!", ADDRESS(INDEX($W$2:$W$1001,MATCH(ROWS($U$2:U732),$U$2:$U$1001,0),0), INDEX($AB$1004:$AQ$1004,1,MATCH(COLUMNS($AB$1006:AJ1006),$AB$1006:$AQ$1006,0)))),"Fix")))</f>
        <v>0</v>
      </c>
      <c r="K732" s="4">
        <f>IF(OR(INDEX($V$2:$V$1001,MATCH(ROWS($U$2:U732),$U$2:$U$1001,0),1)&gt;=100000,INDEX($AB$1005:$AQ$1005,1,MATCH(COLUMNS($AB$1006:AK1006),$AB$1006:$AQ$1006,0))&gt;=100000), " ",IF(INDEX($AB$2:$AQ$1001,MATCH(ROWS($U$2:U732),$U$2:$U$1001,0),MATCH(COLUMNS($AB$1006:AK1006),$AB$1006:$AQ$1006,0)), HYPERLINK("#",""), HYPERLINK(CONCATENATE("#metadata!", ADDRESS(INDEX($W$2:$W$1001,MATCH(ROWS($U$2:U732),$U$2:$U$1001,0),0), INDEX($AB$1004:$AQ$1004,1,MATCH(COLUMNS($AB$1006:AK1006),$AB$1006:$AQ$1006,0)))),"Fix")))</f>
        <v>0</v>
      </c>
      <c r="L732" s="4">
        <f>IF(OR(INDEX($V$2:$V$1001,MATCH(ROWS($U$2:U732),$U$2:$U$1001,0),1)&gt;=100000,INDEX($AB$1005:$AQ$1005,1,MATCH(COLUMNS($AB$1006:AL1006),$AB$1006:$AQ$1006,0))&gt;=100000), " ",IF(INDEX($AB$2:$AQ$1001,MATCH(ROWS($U$2:U732),$U$2:$U$1001,0),MATCH(COLUMNS($AB$1006:AL1006),$AB$1006:$AQ$1006,0)), HYPERLINK("#",""), HYPERLINK(CONCATENATE("#metadata!", ADDRESS(INDEX($W$2:$W$1001,MATCH(ROWS($U$2:U732),$U$2:$U$1001,0),0), INDEX($AB$1004:$AQ$1004,1,MATCH(COLUMNS($AB$1006:AL1006),$AB$1006:$AQ$1006,0)))),"Fix")))</f>
        <v>0</v>
      </c>
      <c r="M732" s="4">
        <f>IF(OR(INDEX($V$2:$V$1001,MATCH(ROWS($U$2:U732),$U$2:$U$1001,0),1)&gt;=100000,INDEX($AB$1005:$AQ$1005,1,MATCH(COLUMNS($AB$1006:AM1006),$AB$1006:$AQ$1006,0))&gt;=100000), " ",IF(INDEX($AB$2:$AQ$1001,MATCH(ROWS($U$2:U732),$U$2:$U$1001,0),MATCH(COLUMNS($AB$1006:AM1006),$AB$1006:$AQ$1006,0)), HYPERLINK("#",""), HYPERLINK(CONCATENATE("#metadata!", ADDRESS(INDEX($W$2:$W$1001,MATCH(ROWS($U$2:U732),$U$2:$U$1001,0),0), INDEX($AB$1004:$AQ$1004,1,MATCH(COLUMNS($AB$1006:AM1006),$AB$1006:$AQ$1006,0)))),"Fix")))</f>
        <v>0</v>
      </c>
      <c r="N732" s="4">
        <f>IF(OR(INDEX($V$2:$V$1001,MATCH(ROWS($U$2:U732),$U$2:$U$1001,0),1)&gt;=100000,INDEX($AB$1005:$AQ$1005,1,MATCH(COLUMNS($AB$1006:AN1006),$AB$1006:$AQ$1006,0))&gt;=100000), " ",IF(INDEX($AB$2:$AQ$1001,MATCH(ROWS($U$2:U732),$U$2:$U$1001,0),MATCH(COLUMNS($AB$1006:AN1006),$AB$1006:$AQ$1006,0)), HYPERLINK("#",""), HYPERLINK(CONCATENATE("#metadata!", ADDRESS(INDEX($W$2:$W$1001,MATCH(ROWS($U$2:U732),$U$2:$U$1001,0),0), INDEX($AB$1004:$AQ$1004,1,MATCH(COLUMNS($AB$1006:AN1006),$AB$1006:$AQ$1006,0)))),"Fix")))</f>
        <v>0</v>
      </c>
      <c r="O732" s="4">
        <f>IF(OR(INDEX($V$2:$V$1001,MATCH(ROWS($U$2:U732),$U$2:$U$1001,0),1)&gt;=100000,INDEX($AB$1005:$AQ$1005,1,MATCH(COLUMNS($AB$1006:AO1006),$AB$1006:$AQ$1006,0))&gt;=100000), " ",IF(INDEX($AB$2:$AQ$1001,MATCH(ROWS($U$2:U732),$U$2:$U$1001,0),MATCH(COLUMNS($AB$1006:AO1006),$AB$1006:$AQ$1006,0)), HYPERLINK("#",""), HYPERLINK(CONCATENATE("#metadata!", ADDRESS(INDEX($W$2:$W$1001,MATCH(ROWS($U$2:U732),$U$2:$U$1001,0),0), INDEX($AB$1004:$AQ$1004,1,MATCH(COLUMNS($AB$1006:AO1006),$AB$1006:$AQ$1006,0)))),"Fix")))</f>
        <v>0</v>
      </c>
      <c r="P732" s="4">
        <f>IF(OR(INDEX($V$2:$V$1001,MATCH(ROWS($U$2:U732),$U$2:$U$1001,0),1)&gt;=100000,INDEX($AB$1005:$AQ$1005,1,MATCH(COLUMNS($AB$1006:AP1006),$AB$1006:$AQ$1006,0))&gt;=100000), " ",IF(INDEX($AB$2:$AQ$1001,MATCH(ROWS($U$2:U732),$U$2:$U$1001,0),MATCH(COLUMNS($AB$1006:AP1006),$AB$1006:$AQ$1006,0)), HYPERLINK("#",""), HYPERLINK(CONCATENATE("#metadata!", ADDRESS(INDEX($W$2:$W$1001,MATCH(ROWS($U$2:U732),$U$2:$U$1001,0),0), INDEX($AB$1004:$AQ$1004,1,MATCH(COLUMNS($AB$1006:AP1006),$AB$1006:$AQ$1006,0)))),"Fix")))</f>
        <v>0</v>
      </c>
      <c r="Q732" s="4">
        <f>IF(OR(INDEX($V$2:$V$1001,MATCH(ROWS($U$2:U732),$U$2:$U$1001,0),1)&gt;=100000,INDEX($AB$1005:$AQ$1005,1,MATCH(COLUMNS($AB$1006:AQ1006),$AB$1006:$AQ$1006,0))&gt;=100000), " ",IF(INDEX($AB$2:$AQ$1001,MATCH(ROWS($U$2:U732),$U$2:$U$1001,0),MATCH(COLUMNS($AB$1006:AQ1006),$AB$1006:$AQ$1006,0)), HYPERLINK("#",""), HYPERLINK(CONCATENATE("#metadata!", ADDRESS(INDEX($W$2:$W$1001,MATCH(ROWS($U$2:U732),$U$2:$U$1001,0),0), INDEX($AB$1004:$AQ$1004,1,MATCH(COLUMNS($AB$1006:AQ1006),$AB$1006:$AQ$1006,0)))),"Fix")))</f>
        <v>0</v>
      </c>
      <c r="U732">
        <v>0</v>
      </c>
      <c r="V732">
        <v>0</v>
      </c>
      <c r="W732">
        <v>0</v>
      </c>
      <c r="X732">
        <f>IF(Y732,TRUE,AND(AB732:AQ732))</f>
        <v>0</v>
      </c>
      <c r="Y732">
        <f>COUNTBLANK(metadata!B732:Q732)=COLUMNS(metadata!B732:Q732)</f>
        <v>0</v>
      </c>
      <c r="Z732">
        <v>0</v>
      </c>
      <c r="AB732">
        <f>AND(IF(metadata!B732="",FALSE,TRUE),COUNTIF(metadata!B:B, metadata!B732) = 1,NOT(ISERROR(SUMPRODUCT(SEARCH(MID(metadata!B732,ROW(INDIRECT("1:"&amp;LEN(metadata!B732))), 1),"0123456789abcdefghijklmnopqrstuvwxyzABCDEFGHIJKLMNOPQRSTUVWXYZ.")))))</f>
        <v>0</v>
      </c>
      <c r="AC732">
        <f>OR(AND(IF(metadata!C732="",FALSE,TRUE),OR(exact(metadata!C732,"missing: not collected"),exact(metadata!C732,"missing: not provided"),exact(metadata!C732,"missing: restricted access"))),AND(IF(metadata!C732="",FALSE,TRUE),AND(AND(IFERROR(INT(LEFT(metadata!C732,4))&gt;1900,FALSE),IFERROR(INT(LEFT(metadata!C732,4))&lt;=YEAR(NOW()),FALSE)), OR(MID(metadata!C732,5,1)="", AND(AND(MID(metadata!C732,5,1)="-",IFERROR(INT(MID(metadata!C732,6,1))&gt;=0,FALSE),IFERROR(INT(MID(metadata!C732,6,1))&lt;=1,FALSE),NOT(MID(metadata!C732,7,1)=""),IFERROR(INT(MID(metadata!C732,6,2))&gt;=1,FALSE),IFERROR(INT(MID(metadata!C732,6,2))&lt;=12,FALSE)), OR(MID(metadata!C732,8,1)="", AND(AND(MID(metadata!C732,8,1)="-",IFERROR(INT(MID(metadata!C732,9,1))&gt;=0,FALSE),IFERROR(INT(MID(metadata!C732,9,1))&lt;=3,FALSE),NOT(MID(metadata!C732,10,1)=""),IFERROR(INT(MID(metadata!C732,9,2))&gt;=1,FALSE),IFERROR(INT(MID(metadata!C732,9,2))&lt;=31,FALSE)), OR(MID(metadata!C732,11,1)="", AND(AND(MID(metadata!C732,11,1)=" ",IFERROR(INT(MID(metadata!C732,12,1))&gt;=0,FALSE),IFERROR(INT(MID(metadata!C732,12,1))&lt;=2,FALSE),NOT(MID(metadata!C732,13,1)=""),IFERROR(INT(MID(metadata!C732,12,2))&gt;=0,FALSE),IFERROR(INT(MID(metadata!C732,12,2))&lt;=23,FALSE)), OR(MID(metadata!C732,14,1)="", AND(AND(MID(metadata!C732,14,1)=":",IFERROR(INT(MID(metadata!C732,15,1))&gt;=0,FALSE),IFERROR(INT(MID(metadata!C732,15,1))&lt;=5,FALSE),NOT(MID(metadata!C732,16,1)=""),IFERROR(INT(MID(metadata!C732,15,2))&gt;=0,FALSE),IFERROR(INT(MID(metadata!C732,15,2))&lt;=59,FALSE)), OR(MID(metadata!C732,17,1)="", AND(AND(MID(metadata!C732,17,1)=":",IFERROR(INT(MID(metadata!C732,18,1))&gt;=0,FALSE),IFERROR(INT(MID(metadata!C732,18,1))&lt;=5,FALSE),NOT(MID(metadata!C732,19,1)=""),IFERROR(INT(MID(metadata!C732,18,2))&gt;=0,FALSE),IFERROR(INT(MID(metadata!C732,18,2))&lt;=59,FALSE)), LEN(metadata!C732)&lt;=19)))))))))))))</f>
        <v>0</v>
      </c>
      <c r="AD732">
        <f>IF(metadata!D732="",FALSE,TRUE)</f>
        <v>0</v>
      </c>
      <c r="AE732">
        <f>OR(AND(IF(metadata!E732="",FALSE,TRUE),OR(exact(metadata!E732,"missing: not collected"),exact(metadata!E732,"missing: not provided"))),AND(IF(metadata!E732="",FALSE,TRUE),OR(exact(metadata!E732,"TRUE"),exact(metadata!E732,"FALSE"))))</f>
        <v>0</v>
      </c>
      <c r="AF732">
        <f>IF(metadata!F732="",FALSE,TRUE)</f>
        <v>0</v>
      </c>
      <c r="AG732">
        <f>IF(metadata!G732="",FALSE,TRUE)</f>
        <v>0</v>
      </c>
      <c r="AH732">
        <f>IF(metadata!H732="",FALSE,TRUE)</f>
        <v>0</v>
      </c>
      <c r="AI732">
        <f>OR(AND(IF(metadata!I732="",FALSE,TRUE),OR(exact(metadata!I732,"missing: not collected"),exact(metadata!I732,"missing: not provided"),exact(metadata!I732,"missing: restricted access"))),AND(IF(metadata!I732="",FALSE,TRUE),OR(exact(metadata!I732,"air"),exact(metadata!I732,"built environment"),exact(metadata!I732,"host-associated"),exact(metadata!I732,"human-associated"),exact(metadata!I732,"human-skin"),exact(metadata!I732,"human-oral"),exact(metadata!I732,"human-gut"),exact(metadata!I732,"human-vaginal"),exact(metadata!I732,"microbial mat/biofilm"),exact(metadata!I732,"misc environment"),exact(metadata!I732,"plant-associated"),exact(metadata!I732,"sediment"),exact(metadata!I732,"soil"),exact(metadata!I732,"wastewater/sludge"),exact(metadata!I732,"water"))))</f>
        <v>0</v>
      </c>
      <c r="AJ732">
        <f>IF(metadata!J732="",FALSE,TRUE)</f>
        <v>0</v>
      </c>
      <c r="AK732">
        <f>OR(AND(IF(metadata!K732="",FALSE,TRUE),OR(exact(metadata!K732,"missing: not collected"),exact(metadata!K732,"missing: not provided"),exact(metadata!K732,"missing: restricted access"))),AND(IF(metadata!K732="",FALSE,ISNUMBER(VALUE(metadata!K732))),metadata!K732&gt;=-90.00,metadata!K732&lt;=90.00))</f>
        <v>0</v>
      </c>
      <c r="AL732">
        <f>OR(AND(IF(metadata!L732="",FALSE,TRUE),OR(exact(metadata!L732,"missing: not collected"),exact(metadata!L732,"missing: not provided"),exact(metadata!L732,"missing: restricted access"))),AND(IF(metadata!L732="",FALSE,ISNUMBER(VALUE(metadata!L732))),metadata!L732&gt;=-180.00,metadata!L732&lt;=180.00))</f>
        <v>0</v>
      </c>
      <c r="AM732">
        <f>IF(metadata!M732="",FALSE,TRUE)</f>
        <v>0</v>
      </c>
      <c r="AN732">
        <f>OR(AND(IF(metadata!N732="",FALSE,TRUE),OR(exact(metadata!N732,"missing: not collected"),exact(metadata!N732,"missing: not provided"),exact(metadata!N732,"missing: restricted access"))),AND(IF(metadata!N732="",FALSE,TRUE),OR(exact(metadata!N732,"TRUE"),exact(metadata!N732,"FALSE"))))</f>
        <v>0</v>
      </c>
      <c r="AO732">
        <f>IF(metadata!O732="",FALSE,TRUE)</f>
        <v>0</v>
      </c>
      <c r="AP732">
        <f>OR(AND(IF(metadata!P732="",FALSE,TRUE),OR(exact(metadata!P732,"missing: not collected"),exact(metadata!P732,"missing: not provided"))),AND(IF(metadata!P732="",FALSE,IF(ISERROR(INT(metadata!P732)),FALSE,INT(metadata!P732)=metadata!P732)),metadata!P732&gt;0))</f>
        <v>0</v>
      </c>
      <c r="AQ732">
        <f>IF(metadata!Q732="",FALSE,TRUE)</f>
        <v>0</v>
      </c>
    </row>
    <row r="733" spans="1:43">
      <c r="A733" s="5">
        <f>IF(B733=" "," ",HYPERLINK(CONCATENATE("#metadata!",ADDRESS(INDEX($W$2:$W$1001,MATCH(ROWS($U$2:U733),$U$2:$U$1001,0),0),1)),INDEX($Z$2:$Z$1001,MATCH(ROWS($U$2:U733),$U$2:$U$1001,0),0)))</f>
        <v>0</v>
      </c>
      <c r="B733" s="4">
        <f>IF(OR(INDEX($V$2:$V$1001,MATCH(ROWS($U$2:U733),$U$2:$U$1001,0),1)&gt;=100000,INDEX($AB$1005:$AQ$1005,1,MATCH(COLUMNS($AB$1006:AB1006),$AB$1006:$AQ$1006,0))&gt;=100000), " ",IF(INDEX($AB$2:$AQ$1001,MATCH(ROWS($U$2:U733),$U$2:$U$1001,0),MATCH(COLUMNS($AB$1006:AB1006),$AB$1006:$AQ$1006,0)), HYPERLINK("#",""), HYPERLINK(CONCATENATE("#metadata!", ADDRESS(INDEX($W$2:$W$1001,MATCH(ROWS($U$2:U733),$U$2:$U$1001,0),0), INDEX($AB$1004:$AQ$1004,1,MATCH(COLUMNS($AB$1006:AB1006),$AB$1006:$AQ$1006,0)))),"Fix")))</f>
        <v>0</v>
      </c>
      <c r="C733" s="4">
        <f>IF(OR(INDEX($V$2:$V$1001,MATCH(ROWS($U$2:U733),$U$2:$U$1001,0),1)&gt;=100000,INDEX($AB$1005:$AQ$1005,1,MATCH(COLUMNS($AB$1006:AC1006),$AB$1006:$AQ$1006,0))&gt;=100000), " ",IF(INDEX($AB$2:$AQ$1001,MATCH(ROWS($U$2:U733),$U$2:$U$1001,0),MATCH(COLUMNS($AB$1006:AC1006),$AB$1006:$AQ$1006,0)), HYPERLINK("#",""), HYPERLINK(CONCATENATE("#metadata!", ADDRESS(INDEX($W$2:$W$1001,MATCH(ROWS($U$2:U733),$U$2:$U$1001,0),0), INDEX($AB$1004:$AQ$1004,1,MATCH(COLUMNS($AB$1006:AC1006),$AB$1006:$AQ$1006,0)))),"Fix")))</f>
        <v>0</v>
      </c>
      <c r="D733" s="4">
        <f>IF(OR(INDEX($V$2:$V$1001,MATCH(ROWS($U$2:U733),$U$2:$U$1001,0),1)&gt;=100000,INDEX($AB$1005:$AQ$1005,1,MATCH(COLUMNS($AB$1006:AD1006),$AB$1006:$AQ$1006,0))&gt;=100000), " ",IF(INDEX($AB$2:$AQ$1001,MATCH(ROWS($U$2:U733),$U$2:$U$1001,0),MATCH(COLUMNS($AB$1006:AD1006),$AB$1006:$AQ$1006,0)), HYPERLINK("#",""), HYPERLINK(CONCATENATE("#metadata!", ADDRESS(INDEX($W$2:$W$1001,MATCH(ROWS($U$2:U733),$U$2:$U$1001,0),0), INDEX($AB$1004:$AQ$1004,1,MATCH(COLUMNS($AB$1006:AD1006),$AB$1006:$AQ$1006,0)))),"Fix")))</f>
        <v>0</v>
      </c>
      <c r="E733" s="4">
        <f>IF(OR(INDEX($V$2:$V$1001,MATCH(ROWS($U$2:U733),$U$2:$U$1001,0),1)&gt;=100000,INDEX($AB$1005:$AQ$1005,1,MATCH(COLUMNS($AB$1006:AE1006),$AB$1006:$AQ$1006,0))&gt;=100000), " ",IF(INDEX($AB$2:$AQ$1001,MATCH(ROWS($U$2:U733),$U$2:$U$1001,0),MATCH(COLUMNS($AB$1006:AE1006),$AB$1006:$AQ$1006,0)), HYPERLINK("#",""), HYPERLINK(CONCATENATE("#metadata!", ADDRESS(INDEX($W$2:$W$1001,MATCH(ROWS($U$2:U733),$U$2:$U$1001,0),0), INDEX($AB$1004:$AQ$1004,1,MATCH(COLUMNS($AB$1006:AE1006),$AB$1006:$AQ$1006,0)))),"Fix")))</f>
        <v>0</v>
      </c>
      <c r="F733" s="4">
        <f>IF(OR(INDEX($V$2:$V$1001,MATCH(ROWS($U$2:U733),$U$2:$U$1001,0),1)&gt;=100000,INDEX($AB$1005:$AQ$1005,1,MATCH(COLUMNS($AB$1006:AF1006),$AB$1006:$AQ$1006,0))&gt;=100000), " ",IF(INDEX($AB$2:$AQ$1001,MATCH(ROWS($U$2:U733),$U$2:$U$1001,0),MATCH(COLUMNS($AB$1006:AF1006),$AB$1006:$AQ$1006,0)), HYPERLINK("#",""), HYPERLINK(CONCATENATE("#metadata!", ADDRESS(INDEX($W$2:$W$1001,MATCH(ROWS($U$2:U733),$U$2:$U$1001,0),0), INDEX($AB$1004:$AQ$1004,1,MATCH(COLUMNS($AB$1006:AF1006),$AB$1006:$AQ$1006,0)))),"Fix")))</f>
        <v>0</v>
      </c>
      <c r="G733" s="4">
        <f>IF(OR(INDEX($V$2:$V$1001,MATCH(ROWS($U$2:U733),$U$2:$U$1001,0),1)&gt;=100000,INDEX($AB$1005:$AQ$1005,1,MATCH(COLUMNS($AB$1006:AG1006),$AB$1006:$AQ$1006,0))&gt;=100000), " ",IF(INDEX($AB$2:$AQ$1001,MATCH(ROWS($U$2:U733),$U$2:$U$1001,0),MATCH(COLUMNS($AB$1006:AG1006),$AB$1006:$AQ$1006,0)), HYPERLINK("#",""), HYPERLINK(CONCATENATE("#metadata!", ADDRESS(INDEX($W$2:$W$1001,MATCH(ROWS($U$2:U733),$U$2:$U$1001,0),0), INDEX($AB$1004:$AQ$1004,1,MATCH(COLUMNS($AB$1006:AG1006),$AB$1006:$AQ$1006,0)))),"Fix")))</f>
        <v>0</v>
      </c>
      <c r="H733" s="4">
        <f>IF(OR(INDEX($V$2:$V$1001,MATCH(ROWS($U$2:U733),$U$2:$U$1001,0),1)&gt;=100000,INDEX($AB$1005:$AQ$1005,1,MATCH(COLUMNS($AB$1006:AH1006),$AB$1006:$AQ$1006,0))&gt;=100000), " ",IF(INDEX($AB$2:$AQ$1001,MATCH(ROWS($U$2:U733),$U$2:$U$1001,0),MATCH(COLUMNS($AB$1006:AH1006),$AB$1006:$AQ$1006,0)), HYPERLINK("#",""), HYPERLINK(CONCATENATE("#metadata!", ADDRESS(INDEX($W$2:$W$1001,MATCH(ROWS($U$2:U733),$U$2:$U$1001,0),0), INDEX($AB$1004:$AQ$1004,1,MATCH(COLUMNS($AB$1006:AH1006),$AB$1006:$AQ$1006,0)))),"Fix")))</f>
        <v>0</v>
      </c>
      <c r="I733" s="4">
        <f>IF(OR(INDEX($V$2:$V$1001,MATCH(ROWS($U$2:U733),$U$2:$U$1001,0),1)&gt;=100000,INDEX($AB$1005:$AQ$1005,1,MATCH(COLUMNS($AB$1006:AI1006),$AB$1006:$AQ$1006,0))&gt;=100000), " ",IF(INDEX($AB$2:$AQ$1001,MATCH(ROWS($U$2:U733),$U$2:$U$1001,0),MATCH(COLUMNS($AB$1006:AI1006),$AB$1006:$AQ$1006,0)), HYPERLINK("#",""), HYPERLINK(CONCATENATE("#metadata!", ADDRESS(INDEX($W$2:$W$1001,MATCH(ROWS($U$2:U733),$U$2:$U$1001,0),0), INDEX($AB$1004:$AQ$1004,1,MATCH(COLUMNS($AB$1006:AI1006),$AB$1006:$AQ$1006,0)))),"Fix")))</f>
        <v>0</v>
      </c>
      <c r="J733" s="4">
        <f>IF(OR(INDEX($V$2:$V$1001,MATCH(ROWS($U$2:U733),$U$2:$U$1001,0),1)&gt;=100000,INDEX($AB$1005:$AQ$1005,1,MATCH(COLUMNS($AB$1006:AJ1006),$AB$1006:$AQ$1006,0))&gt;=100000), " ",IF(INDEX($AB$2:$AQ$1001,MATCH(ROWS($U$2:U733),$U$2:$U$1001,0),MATCH(COLUMNS($AB$1006:AJ1006),$AB$1006:$AQ$1006,0)), HYPERLINK("#",""), HYPERLINK(CONCATENATE("#metadata!", ADDRESS(INDEX($W$2:$W$1001,MATCH(ROWS($U$2:U733),$U$2:$U$1001,0),0), INDEX($AB$1004:$AQ$1004,1,MATCH(COLUMNS($AB$1006:AJ1006),$AB$1006:$AQ$1006,0)))),"Fix")))</f>
        <v>0</v>
      </c>
      <c r="K733" s="4">
        <f>IF(OR(INDEX($V$2:$V$1001,MATCH(ROWS($U$2:U733),$U$2:$U$1001,0),1)&gt;=100000,INDEX($AB$1005:$AQ$1005,1,MATCH(COLUMNS($AB$1006:AK1006),$AB$1006:$AQ$1006,0))&gt;=100000), " ",IF(INDEX($AB$2:$AQ$1001,MATCH(ROWS($U$2:U733),$U$2:$U$1001,0),MATCH(COLUMNS($AB$1006:AK1006),$AB$1006:$AQ$1006,0)), HYPERLINK("#",""), HYPERLINK(CONCATENATE("#metadata!", ADDRESS(INDEX($W$2:$W$1001,MATCH(ROWS($U$2:U733),$U$2:$U$1001,0),0), INDEX($AB$1004:$AQ$1004,1,MATCH(COLUMNS($AB$1006:AK1006),$AB$1006:$AQ$1006,0)))),"Fix")))</f>
        <v>0</v>
      </c>
      <c r="L733" s="4">
        <f>IF(OR(INDEX($V$2:$V$1001,MATCH(ROWS($U$2:U733),$U$2:$U$1001,0),1)&gt;=100000,INDEX($AB$1005:$AQ$1005,1,MATCH(COLUMNS($AB$1006:AL1006),$AB$1006:$AQ$1006,0))&gt;=100000), " ",IF(INDEX($AB$2:$AQ$1001,MATCH(ROWS($U$2:U733),$U$2:$U$1001,0),MATCH(COLUMNS($AB$1006:AL1006),$AB$1006:$AQ$1006,0)), HYPERLINK("#",""), HYPERLINK(CONCATENATE("#metadata!", ADDRESS(INDEX($W$2:$W$1001,MATCH(ROWS($U$2:U733),$U$2:$U$1001,0),0), INDEX($AB$1004:$AQ$1004,1,MATCH(COLUMNS($AB$1006:AL1006),$AB$1006:$AQ$1006,0)))),"Fix")))</f>
        <v>0</v>
      </c>
      <c r="M733" s="4">
        <f>IF(OR(INDEX($V$2:$V$1001,MATCH(ROWS($U$2:U733),$U$2:$U$1001,0),1)&gt;=100000,INDEX($AB$1005:$AQ$1005,1,MATCH(COLUMNS($AB$1006:AM1006),$AB$1006:$AQ$1006,0))&gt;=100000), " ",IF(INDEX($AB$2:$AQ$1001,MATCH(ROWS($U$2:U733),$U$2:$U$1001,0),MATCH(COLUMNS($AB$1006:AM1006),$AB$1006:$AQ$1006,0)), HYPERLINK("#",""), HYPERLINK(CONCATENATE("#metadata!", ADDRESS(INDEX($W$2:$W$1001,MATCH(ROWS($U$2:U733),$U$2:$U$1001,0),0), INDEX($AB$1004:$AQ$1004,1,MATCH(COLUMNS($AB$1006:AM1006),$AB$1006:$AQ$1006,0)))),"Fix")))</f>
        <v>0</v>
      </c>
      <c r="N733" s="4">
        <f>IF(OR(INDEX($V$2:$V$1001,MATCH(ROWS($U$2:U733),$U$2:$U$1001,0),1)&gt;=100000,INDEX($AB$1005:$AQ$1005,1,MATCH(COLUMNS($AB$1006:AN1006),$AB$1006:$AQ$1006,0))&gt;=100000), " ",IF(INDEX($AB$2:$AQ$1001,MATCH(ROWS($U$2:U733),$U$2:$U$1001,0),MATCH(COLUMNS($AB$1006:AN1006),$AB$1006:$AQ$1006,0)), HYPERLINK("#",""), HYPERLINK(CONCATENATE("#metadata!", ADDRESS(INDEX($W$2:$W$1001,MATCH(ROWS($U$2:U733),$U$2:$U$1001,0),0), INDEX($AB$1004:$AQ$1004,1,MATCH(COLUMNS($AB$1006:AN1006),$AB$1006:$AQ$1006,0)))),"Fix")))</f>
        <v>0</v>
      </c>
      <c r="O733" s="4">
        <f>IF(OR(INDEX($V$2:$V$1001,MATCH(ROWS($U$2:U733),$U$2:$U$1001,0),1)&gt;=100000,INDEX($AB$1005:$AQ$1005,1,MATCH(COLUMNS($AB$1006:AO1006),$AB$1006:$AQ$1006,0))&gt;=100000), " ",IF(INDEX($AB$2:$AQ$1001,MATCH(ROWS($U$2:U733),$U$2:$U$1001,0),MATCH(COLUMNS($AB$1006:AO1006),$AB$1006:$AQ$1006,0)), HYPERLINK("#",""), HYPERLINK(CONCATENATE("#metadata!", ADDRESS(INDEX($W$2:$W$1001,MATCH(ROWS($U$2:U733),$U$2:$U$1001,0),0), INDEX($AB$1004:$AQ$1004,1,MATCH(COLUMNS($AB$1006:AO1006),$AB$1006:$AQ$1006,0)))),"Fix")))</f>
        <v>0</v>
      </c>
      <c r="P733" s="4">
        <f>IF(OR(INDEX($V$2:$V$1001,MATCH(ROWS($U$2:U733),$U$2:$U$1001,0),1)&gt;=100000,INDEX($AB$1005:$AQ$1005,1,MATCH(COLUMNS($AB$1006:AP1006),$AB$1006:$AQ$1006,0))&gt;=100000), " ",IF(INDEX($AB$2:$AQ$1001,MATCH(ROWS($U$2:U733),$U$2:$U$1001,0),MATCH(COLUMNS($AB$1006:AP1006),$AB$1006:$AQ$1006,0)), HYPERLINK("#",""), HYPERLINK(CONCATENATE("#metadata!", ADDRESS(INDEX($W$2:$W$1001,MATCH(ROWS($U$2:U733),$U$2:$U$1001,0),0), INDEX($AB$1004:$AQ$1004,1,MATCH(COLUMNS($AB$1006:AP1006),$AB$1006:$AQ$1006,0)))),"Fix")))</f>
        <v>0</v>
      </c>
      <c r="Q733" s="4">
        <f>IF(OR(INDEX($V$2:$V$1001,MATCH(ROWS($U$2:U733),$U$2:$U$1001,0),1)&gt;=100000,INDEX($AB$1005:$AQ$1005,1,MATCH(COLUMNS($AB$1006:AQ1006),$AB$1006:$AQ$1006,0))&gt;=100000), " ",IF(INDEX($AB$2:$AQ$1001,MATCH(ROWS($U$2:U733),$U$2:$U$1001,0),MATCH(COLUMNS($AB$1006:AQ1006),$AB$1006:$AQ$1006,0)), HYPERLINK("#",""), HYPERLINK(CONCATENATE("#metadata!", ADDRESS(INDEX($W$2:$W$1001,MATCH(ROWS($U$2:U733),$U$2:$U$1001,0),0), INDEX($AB$1004:$AQ$1004,1,MATCH(COLUMNS($AB$1006:AQ1006),$AB$1006:$AQ$1006,0)))),"Fix")))</f>
        <v>0</v>
      </c>
      <c r="U733">
        <v>0</v>
      </c>
      <c r="V733">
        <v>0</v>
      </c>
      <c r="W733">
        <v>0</v>
      </c>
      <c r="X733">
        <f>IF(Y733,TRUE,AND(AB733:AQ733))</f>
        <v>0</v>
      </c>
      <c r="Y733">
        <f>COUNTBLANK(metadata!B733:Q733)=COLUMNS(metadata!B733:Q733)</f>
        <v>0</v>
      </c>
      <c r="Z733">
        <v>0</v>
      </c>
      <c r="AB733">
        <f>AND(IF(metadata!B733="",FALSE,TRUE),COUNTIF(metadata!B:B, metadata!B733) = 1,NOT(ISERROR(SUMPRODUCT(SEARCH(MID(metadata!B733,ROW(INDIRECT("1:"&amp;LEN(metadata!B733))), 1),"0123456789abcdefghijklmnopqrstuvwxyzABCDEFGHIJKLMNOPQRSTUVWXYZ.")))))</f>
        <v>0</v>
      </c>
      <c r="AC733">
        <f>OR(AND(IF(metadata!C733="",FALSE,TRUE),OR(exact(metadata!C733,"missing: not collected"),exact(metadata!C733,"missing: not provided"),exact(metadata!C733,"missing: restricted access"))),AND(IF(metadata!C733="",FALSE,TRUE),AND(AND(IFERROR(INT(LEFT(metadata!C733,4))&gt;1900,FALSE),IFERROR(INT(LEFT(metadata!C733,4))&lt;=YEAR(NOW()),FALSE)), OR(MID(metadata!C733,5,1)="", AND(AND(MID(metadata!C733,5,1)="-",IFERROR(INT(MID(metadata!C733,6,1))&gt;=0,FALSE),IFERROR(INT(MID(metadata!C733,6,1))&lt;=1,FALSE),NOT(MID(metadata!C733,7,1)=""),IFERROR(INT(MID(metadata!C733,6,2))&gt;=1,FALSE),IFERROR(INT(MID(metadata!C733,6,2))&lt;=12,FALSE)), OR(MID(metadata!C733,8,1)="", AND(AND(MID(metadata!C733,8,1)="-",IFERROR(INT(MID(metadata!C733,9,1))&gt;=0,FALSE),IFERROR(INT(MID(metadata!C733,9,1))&lt;=3,FALSE),NOT(MID(metadata!C733,10,1)=""),IFERROR(INT(MID(metadata!C733,9,2))&gt;=1,FALSE),IFERROR(INT(MID(metadata!C733,9,2))&lt;=31,FALSE)), OR(MID(metadata!C733,11,1)="", AND(AND(MID(metadata!C733,11,1)=" ",IFERROR(INT(MID(metadata!C733,12,1))&gt;=0,FALSE),IFERROR(INT(MID(metadata!C733,12,1))&lt;=2,FALSE),NOT(MID(metadata!C733,13,1)=""),IFERROR(INT(MID(metadata!C733,12,2))&gt;=0,FALSE),IFERROR(INT(MID(metadata!C733,12,2))&lt;=23,FALSE)), OR(MID(metadata!C733,14,1)="", AND(AND(MID(metadata!C733,14,1)=":",IFERROR(INT(MID(metadata!C733,15,1))&gt;=0,FALSE),IFERROR(INT(MID(metadata!C733,15,1))&lt;=5,FALSE),NOT(MID(metadata!C733,16,1)=""),IFERROR(INT(MID(metadata!C733,15,2))&gt;=0,FALSE),IFERROR(INT(MID(metadata!C733,15,2))&lt;=59,FALSE)), OR(MID(metadata!C733,17,1)="", AND(AND(MID(metadata!C733,17,1)=":",IFERROR(INT(MID(metadata!C733,18,1))&gt;=0,FALSE),IFERROR(INT(MID(metadata!C733,18,1))&lt;=5,FALSE),NOT(MID(metadata!C733,19,1)=""),IFERROR(INT(MID(metadata!C733,18,2))&gt;=0,FALSE),IFERROR(INT(MID(metadata!C733,18,2))&lt;=59,FALSE)), LEN(metadata!C733)&lt;=19)))))))))))))</f>
        <v>0</v>
      </c>
      <c r="AD733">
        <f>IF(metadata!D733="",FALSE,TRUE)</f>
        <v>0</v>
      </c>
      <c r="AE733">
        <f>OR(AND(IF(metadata!E733="",FALSE,TRUE),OR(exact(metadata!E733,"missing: not collected"),exact(metadata!E733,"missing: not provided"))),AND(IF(metadata!E733="",FALSE,TRUE),OR(exact(metadata!E733,"TRUE"),exact(metadata!E733,"FALSE"))))</f>
        <v>0</v>
      </c>
      <c r="AF733">
        <f>IF(metadata!F733="",FALSE,TRUE)</f>
        <v>0</v>
      </c>
      <c r="AG733">
        <f>IF(metadata!G733="",FALSE,TRUE)</f>
        <v>0</v>
      </c>
      <c r="AH733">
        <f>IF(metadata!H733="",FALSE,TRUE)</f>
        <v>0</v>
      </c>
      <c r="AI733">
        <f>OR(AND(IF(metadata!I733="",FALSE,TRUE),OR(exact(metadata!I733,"missing: not collected"),exact(metadata!I733,"missing: not provided"),exact(metadata!I733,"missing: restricted access"))),AND(IF(metadata!I733="",FALSE,TRUE),OR(exact(metadata!I733,"air"),exact(metadata!I733,"built environment"),exact(metadata!I733,"host-associated"),exact(metadata!I733,"human-associated"),exact(metadata!I733,"human-skin"),exact(metadata!I733,"human-oral"),exact(metadata!I733,"human-gut"),exact(metadata!I733,"human-vaginal"),exact(metadata!I733,"microbial mat/biofilm"),exact(metadata!I733,"misc environment"),exact(metadata!I733,"plant-associated"),exact(metadata!I733,"sediment"),exact(metadata!I733,"soil"),exact(metadata!I733,"wastewater/sludge"),exact(metadata!I733,"water"))))</f>
        <v>0</v>
      </c>
      <c r="AJ733">
        <f>IF(metadata!J733="",FALSE,TRUE)</f>
        <v>0</v>
      </c>
      <c r="AK733">
        <f>OR(AND(IF(metadata!K733="",FALSE,TRUE),OR(exact(metadata!K733,"missing: not collected"),exact(metadata!K733,"missing: not provided"),exact(metadata!K733,"missing: restricted access"))),AND(IF(metadata!K733="",FALSE,ISNUMBER(VALUE(metadata!K733))),metadata!K733&gt;=-90.00,metadata!K733&lt;=90.00))</f>
        <v>0</v>
      </c>
      <c r="AL733">
        <f>OR(AND(IF(metadata!L733="",FALSE,TRUE),OR(exact(metadata!L733,"missing: not collected"),exact(metadata!L733,"missing: not provided"),exact(metadata!L733,"missing: restricted access"))),AND(IF(metadata!L733="",FALSE,ISNUMBER(VALUE(metadata!L733))),metadata!L733&gt;=-180.00,metadata!L733&lt;=180.00))</f>
        <v>0</v>
      </c>
      <c r="AM733">
        <f>IF(metadata!M733="",FALSE,TRUE)</f>
        <v>0</v>
      </c>
      <c r="AN733">
        <f>OR(AND(IF(metadata!N733="",FALSE,TRUE),OR(exact(metadata!N733,"missing: not collected"),exact(metadata!N733,"missing: not provided"),exact(metadata!N733,"missing: restricted access"))),AND(IF(metadata!N733="",FALSE,TRUE),OR(exact(metadata!N733,"TRUE"),exact(metadata!N733,"FALSE"))))</f>
        <v>0</v>
      </c>
      <c r="AO733">
        <f>IF(metadata!O733="",FALSE,TRUE)</f>
        <v>0</v>
      </c>
      <c r="AP733">
        <f>OR(AND(IF(metadata!P733="",FALSE,TRUE),OR(exact(metadata!P733,"missing: not collected"),exact(metadata!P733,"missing: not provided"))),AND(IF(metadata!P733="",FALSE,IF(ISERROR(INT(metadata!P733)),FALSE,INT(metadata!P733)=metadata!P733)),metadata!P733&gt;0))</f>
        <v>0</v>
      </c>
      <c r="AQ733">
        <f>IF(metadata!Q733="",FALSE,TRUE)</f>
        <v>0</v>
      </c>
    </row>
    <row r="734" spans="1:43">
      <c r="A734" s="5">
        <f>IF(B734=" "," ",HYPERLINK(CONCATENATE("#metadata!",ADDRESS(INDEX($W$2:$W$1001,MATCH(ROWS($U$2:U734),$U$2:$U$1001,0),0),1)),INDEX($Z$2:$Z$1001,MATCH(ROWS($U$2:U734),$U$2:$U$1001,0),0)))</f>
        <v>0</v>
      </c>
      <c r="B734" s="4">
        <f>IF(OR(INDEX($V$2:$V$1001,MATCH(ROWS($U$2:U734),$U$2:$U$1001,0),1)&gt;=100000,INDEX($AB$1005:$AQ$1005,1,MATCH(COLUMNS($AB$1006:AB1006),$AB$1006:$AQ$1006,0))&gt;=100000), " ",IF(INDEX($AB$2:$AQ$1001,MATCH(ROWS($U$2:U734),$U$2:$U$1001,0),MATCH(COLUMNS($AB$1006:AB1006),$AB$1006:$AQ$1006,0)), HYPERLINK("#",""), HYPERLINK(CONCATENATE("#metadata!", ADDRESS(INDEX($W$2:$W$1001,MATCH(ROWS($U$2:U734),$U$2:$U$1001,0),0), INDEX($AB$1004:$AQ$1004,1,MATCH(COLUMNS($AB$1006:AB1006),$AB$1006:$AQ$1006,0)))),"Fix")))</f>
        <v>0</v>
      </c>
      <c r="C734" s="4">
        <f>IF(OR(INDEX($V$2:$V$1001,MATCH(ROWS($U$2:U734),$U$2:$U$1001,0),1)&gt;=100000,INDEX($AB$1005:$AQ$1005,1,MATCH(COLUMNS($AB$1006:AC1006),$AB$1006:$AQ$1006,0))&gt;=100000), " ",IF(INDEX($AB$2:$AQ$1001,MATCH(ROWS($U$2:U734),$U$2:$U$1001,0),MATCH(COLUMNS($AB$1006:AC1006),$AB$1006:$AQ$1006,0)), HYPERLINK("#",""), HYPERLINK(CONCATENATE("#metadata!", ADDRESS(INDEX($W$2:$W$1001,MATCH(ROWS($U$2:U734),$U$2:$U$1001,0),0), INDEX($AB$1004:$AQ$1004,1,MATCH(COLUMNS($AB$1006:AC1006),$AB$1006:$AQ$1006,0)))),"Fix")))</f>
        <v>0</v>
      </c>
      <c r="D734" s="4">
        <f>IF(OR(INDEX($V$2:$V$1001,MATCH(ROWS($U$2:U734),$U$2:$U$1001,0),1)&gt;=100000,INDEX($AB$1005:$AQ$1005,1,MATCH(COLUMNS($AB$1006:AD1006),$AB$1006:$AQ$1006,0))&gt;=100000), " ",IF(INDEX($AB$2:$AQ$1001,MATCH(ROWS($U$2:U734),$U$2:$U$1001,0),MATCH(COLUMNS($AB$1006:AD1006),$AB$1006:$AQ$1006,0)), HYPERLINK("#",""), HYPERLINK(CONCATENATE("#metadata!", ADDRESS(INDEX($W$2:$W$1001,MATCH(ROWS($U$2:U734),$U$2:$U$1001,0),0), INDEX($AB$1004:$AQ$1004,1,MATCH(COLUMNS($AB$1006:AD1006),$AB$1006:$AQ$1006,0)))),"Fix")))</f>
        <v>0</v>
      </c>
      <c r="E734" s="4">
        <f>IF(OR(INDEX($V$2:$V$1001,MATCH(ROWS($U$2:U734),$U$2:$U$1001,0),1)&gt;=100000,INDEX($AB$1005:$AQ$1005,1,MATCH(COLUMNS($AB$1006:AE1006),$AB$1006:$AQ$1006,0))&gt;=100000), " ",IF(INDEX($AB$2:$AQ$1001,MATCH(ROWS($U$2:U734),$U$2:$U$1001,0),MATCH(COLUMNS($AB$1006:AE1006),$AB$1006:$AQ$1006,0)), HYPERLINK("#",""), HYPERLINK(CONCATENATE("#metadata!", ADDRESS(INDEX($W$2:$W$1001,MATCH(ROWS($U$2:U734),$U$2:$U$1001,0),0), INDEX($AB$1004:$AQ$1004,1,MATCH(COLUMNS($AB$1006:AE1006),$AB$1006:$AQ$1006,0)))),"Fix")))</f>
        <v>0</v>
      </c>
      <c r="F734" s="4">
        <f>IF(OR(INDEX($V$2:$V$1001,MATCH(ROWS($U$2:U734),$U$2:$U$1001,0),1)&gt;=100000,INDEX($AB$1005:$AQ$1005,1,MATCH(COLUMNS($AB$1006:AF1006),$AB$1006:$AQ$1006,0))&gt;=100000), " ",IF(INDEX($AB$2:$AQ$1001,MATCH(ROWS($U$2:U734),$U$2:$U$1001,0),MATCH(COLUMNS($AB$1006:AF1006),$AB$1006:$AQ$1006,0)), HYPERLINK("#",""), HYPERLINK(CONCATENATE("#metadata!", ADDRESS(INDEX($W$2:$W$1001,MATCH(ROWS($U$2:U734),$U$2:$U$1001,0),0), INDEX($AB$1004:$AQ$1004,1,MATCH(COLUMNS($AB$1006:AF1006),$AB$1006:$AQ$1006,0)))),"Fix")))</f>
        <v>0</v>
      </c>
      <c r="G734" s="4">
        <f>IF(OR(INDEX($V$2:$V$1001,MATCH(ROWS($U$2:U734),$U$2:$U$1001,0),1)&gt;=100000,INDEX($AB$1005:$AQ$1005,1,MATCH(COLUMNS($AB$1006:AG1006),$AB$1006:$AQ$1006,0))&gt;=100000), " ",IF(INDEX($AB$2:$AQ$1001,MATCH(ROWS($U$2:U734),$U$2:$U$1001,0),MATCH(COLUMNS($AB$1006:AG1006),$AB$1006:$AQ$1006,0)), HYPERLINK("#",""), HYPERLINK(CONCATENATE("#metadata!", ADDRESS(INDEX($W$2:$W$1001,MATCH(ROWS($U$2:U734),$U$2:$U$1001,0),0), INDEX($AB$1004:$AQ$1004,1,MATCH(COLUMNS($AB$1006:AG1006),$AB$1006:$AQ$1006,0)))),"Fix")))</f>
        <v>0</v>
      </c>
      <c r="H734" s="4">
        <f>IF(OR(INDEX($V$2:$V$1001,MATCH(ROWS($U$2:U734),$U$2:$U$1001,0),1)&gt;=100000,INDEX($AB$1005:$AQ$1005,1,MATCH(COLUMNS($AB$1006:AH1006),$AB$1006:$AQ$1006,0))&gt;=100000), " ",IF(INDEX($AB$2:$AQ$1001,MATCH(ROWS($U$2:U734),$U$2:$U$1001,0),MATCH(COLUMNS($AB$1006:AH1006),$AB$1006:$AQ$1006,0)), HYPERLINK("#",""), HYPERLINK(CONCATENATE("#metadata!", ADDRESS(INDEX($W$2:$W$1001,MATCH(ROWS($U$2:U734),$U$2:$U$1001,0),0), INDEX($AB$1004:$AQ$1004,1,MATCH(COLUMNS($AB$1006:AH1006),$AB$1006:$AQ$1006,0)))),"Fix")))</f>
        <v>0</v>
      </c>
      <c r="I734" s="4">
        <f>IF(OR(INDEX($V$2:$V$1001,MATCH(ROWS($U$2:U734),$U$2:$U$1001,0),1)&gt;=100000,INDEX($AB$1005:$AQ$1005,1,MATCH(COLUMNS($AB$1006:AI1006),$AB$1006:$AQ$1006,0))&gt;=100000), " ",IF(INDEX($AB$2:$AQ$1001,MATCH(ROWS($U$2:U734),$U$2:$U$1001,0),MATCH(COLUMNS($AB$1006:AI1006),$AB$1006:$AQ$1006,0)), HYPERLINK("#",""), HYPERLINK(CONCATENATE("#metadata!", ADDRESS(INDEX($W$2:$W$1001,MATCH(ROWS($U$2:U734),$U$2:$U$1001,0),0), INDEX($AB$1004:$AQ$1004,1,MATCH(COLUMNS($AB$1006:AI1006),$AB$1006:$AQ$1006,0)))),"Fix")))</f>
        <v>0</v>
      </c>
      <c r="J734" s="4">
        <f>IF(OR(INDEX($V$2:$V$1001,MATCH(ROWS($U$2:U734),$U$2:$U$1001,0),1)&gt;=100000,INDEX($AB$1005:$AQ$1005,1,MATCH(COLUMNS($AB$1006:AJ1006),$AB$1006:$AQ$1006,0))&gt;=100000), " ",IF(INDEX($AB$2:$AQ$1001,MATCH(ROWS($U$2:U734),$U$2:$U$1001,0),MATCH(COLUMNS($AB$1006:AJ1006),$AB$1006:$AQ$1006,0)), HYPERLINK("#",""), HYPERLINK(CONCATENATE("#metadata!", ADDRESS(INDEX($W$2:$W$1001,MATCH(ROWS($U$2:U734),$U$2:$U$1001,0),0), INDEX($AB$1004:$AQ$1004,1,MATCH(COLUMNS($AB$1006:AJ1006),$AB$1006:$AQ$1006,0)))),"Fix")))</f>
        <v>0</v>
      </c>
      <c r="K734" s="4">
        <f>IF(OR(INDEX($V$2:$V$1001,MATCH(ROWS($U$2:U734),$U$2:$U$1001,0),1)&gt;=100000,INDEX($AB$1005:$AQ$1005,1,MATCH(COLUMNS($AB$1006:AK1006),$AB$1006:$AQ$1006,0))&gt;=100000), " ",IF(INDEX($AB$2:$AQ$1001,MATCH(ROWS($U$2:U734),$U$2:$U$1001,0),MATCH(COLUMNS($AB$1006:AK1006),$AB$1006:$AQ$1006,0)), HYPERLINK("#",""), HYPERLINK(CONCATENATE("#metadata!", ADDRESS(INDEX($W$2:$W$1001,MATCH(ROWS($U$2:U734),$U$2:$U$1001,0),0), INDEX($AB$1004:$AQ$1004,1,MATCH(COLUMNS($AB$1006:AK1006),$AB$1006:$AQ$1006,0)))),"Fix")))</f>
        <v>0</v>
      </c>
      <c r="L734" s="4">
        <f>IF(OR(INDEX($V$2:$V$1001,MATCH(ROWS($U$2:U734),$U$2:$U$1001,0),1)&gt;=100000,INDEX($AB$1005:$AQ$1005,1,MATCH(COLUMNS($AB$1006:AL1006),$AB$1006:$AQ$1006,0))&gt;=100000), " ",IF(INDEX($AB$2:$AQ$1001,MATCH(ROWS($U$2:U734),$U$2:$U$1001,0),MATCH(COLUMNS($AB$1006:AL1006),$AB$1006:$AQ$1006,0)), HYPERLINK("#",""), HYPERLINK(CONCATENATE("#metadata!", ADDRESS(INDEX($W$2:$W$1001,MATCH(ROWS($U$2:U734),$U$2:$U$1001,0),0), INDEX($AB$1004:$AQ$1004,1,MATCH(COLUMNS($AB$1006:AL1006),$AB$1006:$AQ$1006,0)))),"Fix")))</f>
        <v>0</v>
      </c>
      <c r="M734" s="4">
        <f>IF(OR(INDEX($V$2:$V$1001,MATCH(ROWS($U$2:U734),$U$2:$U$1001,0),1)&gt;=100000,INDEX($AB$1005:$AQ$1005,1,MATCH(COLUMNS($AB$1006:AM1006),$AB$1006:$AQ$1006,0))&gt;=100000), " ",IF(INDEX($AB$2:$AQ$1001,MATCH(ROWS($U$2:U734),$U$2:$U$1001,0),MATCH(COLUMNS($AB$1006:AM1006),$AB$1006:$AQ$1006,0)), HYPERLINK("#",""), HYPERLINK(CONCATENATE("#metadata!", ADDRESS(INDEX($W$2:$W$1001,MATCH(ROWS($U$2:U734),$U$2:$U$1001,0),0), INDEX($AB$1004:$AQ$1004,1,MATCH(COLUMNS($AB$1006:AM1006),$AB$1006:$AQ$1006,0)))),"Fix")))</f>
        <v>0</v>
      </c>
      <c r="N734" s="4">
        <f>IF(OR(INDEX($V$2:$V$1001,MATCH(ROWS($U$2:U734),$U$2:$U$1001,0),1)&gt;=100000,INDEX($AB$1005:$AQ$1005,1,MATCH(COLUMNS($AB$1006:AN1006),$AB$1006:$AQ$1006,0))&gt;=100000), " ",IF(INDEX($AB$2:$AQ$1001,MATCH(ROWS($U$2:U734),$U$2:$U$1001,0),MATCH(COLUMNS($AB$1006:AN1006),$AB$1006:$AQ$1006,0)), HYPERLINK("#",""), HYPERLINK(CONCATENATE("#metadata!", ADDRESS(INDEX($W$2:$W$1001,MATCH(ROWS($U$2:U734),$U$2:$U$1001,0),0), INDEX($AB$1004:$AQ$1004,1,MATCH(COLUMNS($AB$1006:AN1006),$AB$1006:$AQ$1006,0)))),"Fix")))</f>
        <v>0</v>
      </c>
      <c r="O734" s="4">
        <f>IF(OR(INDEX($V$2:$V$1001,MATCH(ROWS($U$2:U734),$U$2:$U$1001,0),1)&gt;=100000,INDEX($AB$1005:$AQ$1005,1,MATCH(COLUMNS($AB$1006:AO1006),$AB$1006:$AQ$1006,0))&gt;=100000), " ",IF(INDEX($AB$2:$AQ$1001,MATCH(ROWS($U$2:U734),$U$2:$U$1001,0),MATCH(COLUMNS($AB$1006:AO1006),$AB$1006:$AQ$1006,0)), HYPERLINK("#",""), HYPERLINK(CONCATENATE("#metadata!", ADDRESS(INDEX($W$2:$W$1001,MATCH(ROWS($U$2:U734),$U$2:$U$1001,0),0), INDEX($AB$1004:$AQ$1004,1,MATCH(COLUMNS($AB$1006:AO1006),$AB$1006:$AQ$1006,0)))),"Fix")))</f>
        <v>0</v>
      </c>
      <c r="P734" s="4">
        <f>IF(OR(INDEX($V$2:$V$1001,MATCH(ROWS($U$2:U734),$U$2:$U$1001,0),1)&gt;=100000,INDEX($AB$1005:$AQ$1005,1,MATCH(COLUMNS($AB$1006:AP1006),$AB$1006:$AQ$1006,0))&gt;=100000), " ",IF(INDEX($AB$2:$AQ$1001,MATCH(ROWS($U$2:U734),$U$2:$U$1001,0),MATCH(COLUMNS($AB$1006:AP1006),$AB$1006:$AQ$1006,0)), HYPERLINK("#",""), HYPERLINK(CONCATENATE("#metadata!", ADDRESS(INDEX($W$2:$W$1001,MATCH(ROWS($U$2:U734),$U$2:$U$1001,0),0), INDEX($AB$1004:$AQ$1004,1,MATCH(COLUMNS($AB$1006:AP1006),$AB$1006:$AQ$1006,0)))),"Fix")))</f>
        <v>0</v>
      </c>
      <c r="Q734" s="4">
        <f>IF(OR(INDEX($V$2:$V$1001,MATCH(ROWS($U$2:U734),$U$2:$U$1001,0),1)&gt;=100000,INDEX($AB$1005:$AQ$1005,1,MATCH(COLUMNS($AB$1006:AQ1006),$AB$1006:$AQ$1006,0))&gt;=100000), " ",IF(INDEX($AB$2:$AQ$1001,MATCH(ROWS($U$2:U734),$U$2:$U$1001,0),MATCH(COLUMNS($AB$1006:AQ1006),$AB$1006:$AQ$1006,0)), HYPERLINK("#",""), HYPERLINK(CONCATENATE("#metadata!", ADDRESS(INDEX($W$2:$W$1001,MATCH(ROWS($U$2:U734),$U$2:$U$1001,0),0), INDEX($AB$1004:$AQ$1004,1,MATCH(COLUMNS($AB$1006:AQ1006),$AB$1006:$AQ$1006,0)))),"Fix")))</f>
        <v>0</v>
      </c>
      <c r="U734">
        <v>0</v>
      </c>
      <c r="V734">
        <v>0</v>
      </c>
      <c r="W734">
        <v>0</v>
      </c>
      <c r="X734">
        <f>IF(Y734,TRUE,AND(AB734:AQ734))</f>
        <v>0</v>
      </c>
      <c r="Y734">
        <f>COUNTBLANK(metadata!B734:Q734)=COLUMNS(metadata!B734:Q734)</f>
        <v>0</v>
      </c>
      <c r="Z734">
        <v>0</v>
      </c>
      <c r="AB734">
        <f>AND(IF(metadata!B734="",FALSE,TRUE),COUNTIF(metadata!B:B, metadata!B734) = 1,NOT(ISERROR(SUMPRODUCT(SEARCH(MID(metadata!B734,ROW(INDIRECT("1:"&amp;LEN(metadata!B734))), 1),"0123456789abcdefghijklmnopqrstuvwxyzABCDEFGHIJKLMNOPQRSTUVWXYZ.")))))</f>
        <v>0</v>
      </c>
      <c r="AC734">
        <f>OR(AND(IF(metadata!C734="",FALSE,TRUE),OR(exact(metadata!C734,"missing: not collected"),exact(metadata!C734,"missing: not provided"),exact(metadata!C734,"missing: restricted access"))),AND(IF(metadata!C734="",FALSE,TRUE),AND(AND(IFERROR(INT(LEFT(metadata!C734,4))&gt;1900,FALSE),IFERROR(INT(LEFT(metadata!C734,4))&lt;=YEAR(NOW()),FALSE)), OR(MID(metadata!C734,5,1)="", AND(AND(MID(metadata!C734,5,1)="-",IFERROR(INT(MID(metadata!C734,6,1))&gt;=0,FALSE),IFERROR(INT(MID(metadata!C734,6,1))&lt;=1,FALSE),NOT(MID(metadata!C734,7,1)=""),IFERROR(INT(MID(metadata!C734,6,2))&gt;=1,FALSE),IFERROR(INT(MID(metadata!C734,6,2))&lt;=12,FALSE)), OR(MID(metadata!C734,8,1)="", AND(AND(MID(metadata!C734,8,1)="-",IFERROR(INT(MID(metadata!C734,9,1))&gt;=0,FALSE),IFERROR(INT(MID(metadata!C734,9,1))&lt;=3,FALSE),NOT(MID(metadata!C734,10,1)=""),IFERROR(INT(MID(metadata!C734,9,2))&gt;=1,FALSE),IFERROR(INT(MID(metadata!C734,9,2))&lt;=31,FALSE)), OR(MID(metadata!C734,11,1)="", AND(AND(MID(metadata!C734,11,1)=" ",IFERROR(INT(MID(metadata!C734,12,1))&gt;=0,FALSE),IFERROR(INT(MID(metadata!C734,12,1))&lt;=2,FALSE),NOT(MID(metadata!C734,13,1)=""),IFERROR(INT(MID(metadata!C734,12,2))&gt;=0,FALSE),IFERROR(INT(MID(metadata!C734,12,2))&lt;=23,FALSE)), OR(MID(metadata!C734,14,1)="", AND(AND(MID(metadata!C734,14,1)=":",IFERROR(INT(MID(metadata!C734,15,1))&gt;=0,FALSE),IFERROR(INT(MID(metadata!C734,15,1))&lt;=5,FALSE),NOT(MID(metadata!C734,16,1)=""),IFERROR(INT(MID(metadata!C734,15,2))&gt;=0,FALSE),IFERROR(INT(MID(metadata!C734,15,2))&lt;=59,FALSE)), OR(MID(metadata!C734,17,1)="", AND(AND(MID(metadata!C734,17,1)=":",IFERROR(INT(MID(metadata!C734,18,1))&gt;=0,FALSE),IFERROR(INT(MID(metadata!C734,18,1))&lt;=5,FALSE),NOT(MID(metadata!C734,19,1)=""),IFERROR(INT(MID(metadata!C734,18,2))&gt;=0,FALSE),IFERROR(INT(MID(metadata!C734,18,2))&lt;=59,FALSE)), LEN(metadata!C734)&lt;=19)))))))))))))</f>
        <v>0</v>
      </c>
      <c r="AD734">
        <f>IF(metadata!D734="",FALSE,TRUE)</f>
        <v>0</v>
      </c>
      <c r="AE734">
        <f>OR(AND(IF(metadata!E734="",FALSE,TRUE),OR(exact(metadata!E734,"missing: not collected"),exact(metadata!E734,"missing: not provided"))),AND(IF(metadata!E734="",FALSE,TRUE),OR(exact(metadata!E734,"TRUE"),exact(metadata!E734,"FALSE"))))</f>
        <v>0</v>
      </c>
      <c r="AF734">
        <f>IF(metadata!F734="",FALSE,TRUE)</f>
        <v>0</v>
      </c>
      <c r="AG734">
        <f>IF(metadata!G734="",FALSE,TRUE)</f>
        <v>0</v>
      </c>
      <c r="AH734">
        <f>IF(metadata!H734="",FALSE,TRUE)</f>
        <v>0</v>
      </c>
      <c r="AI734">
        <f>OR(AND(IF(metadata!I734="",FALSE,TRUE),OR(exact(metadata!I734,"missing: not collected"),exact(metadata!I734,"missing: not provided"),exact(metadata!I734,"missing: restricted access"))),AND(IF(metadata!I734="",FALSE,TRUE),OR(exact(metadata!I734,"air"),exact(metadata!I734,"built environment"),exact(metadata!I734,"host-associated"),exact(metadata!I734,"human-associated"),exact(metadata!I734,"human-skin"),exact(metadata!I734,"human-oral"),exact(metadata!I734,"human-gut"),exact(metadata!I734,"human-vaginal"),exact(metadata!I734,"microbial mat/biofilm"),exact(metadata!I734,"misc environment"),exact(metadata!I734,"plant-associated"),exact(metadata!I734,"sediment"),exact(metadata!I734,"soil"),exact(metadata!I734,"wastewater/sludge"),exact(metadata!I734,"water"))))</f>
        <v>0</v>
      </c>
      <c r="AJ734">
        <f>IF(metadata!J734="",FALSE,TRUE)</f>
        <v>0</v>
      </c>
      <c r="AK734">
        <f>OR(AND(IF(metadata!K734="",FALSE,TRUE),OR(exact(metadata!K734,"missing: not collected"),exact(metadata!K734,"missing: not provided"),exact(metadata!K734,"missing: restricted access"))),AND(IF(metadata!K734="",FALSE,ISNUMBER(VALUE(metadata!K734))),metadata!K734&gt;=-90.00,metadata!K734&lt;=90.00))</f>
        <v>0</v>
      </c>
      <c r="AL734">
        <f>OR(AND(IF(metadata!L734="",FALSE,TRUE),OR(exact(metadata!L734,"missing: not collected"),exact(metadata!L734,"missing: not provided"),exact(metadata!L734,"missing: restricted access"))),AND(IF(metadata!L734="",FALSE,ISNUMBER(VALUE(metadata!L734))),metadata!L734&gt;=-180.00,metadata!L734&lt;=180.00))</f>
        <v>0</v>
      </c>
      <c r="AM734">
        <f>IF(metadata!M734="",FALSE,TRUE)</f>
        <v>0</v>
      </c>
      <c r="AN734">
        <f>OR(AND(IF(metadata!N734="",FALSE,TRUE),OR(exact(metadata!N734,"missing: not collected"),exact(metadata!N734,"missing: not provided"),exact(metadata!N734,"missing: restricted access"))),AND(IF(metadata!N734="",FALSE,TRUE),OR(exact(metadata!N734,"TRUE"),exact(metadata!N734,"FALSE"))))</f>
        <v>0</v>
      </c>
      <c r="AO734">
        <f>IF(metadata!O734="",FALSE,TRUE)</f>
        <v>0</v>
      </c>
      <c r="AP734">
        <f>OR(AND(IF(metadata!P734="",FALSE,TRUE),OR(exact(metadata!P734,"missing: not collected"),exact(metadata!P734,"missing: not provided"))),AND(IF(metadata!P734="",FALSE,IF(ISERROR(INT(metadata!P734)),FALSE,INT(metadata!P734)=metadata!P734)),metadata!P734&gt;0))</f>
        <v>0</v>
      </c>
      <c r="AQ734">
        <f>IF(metadata!Q734="",FALSE,TRUE)</f>
        <v>0</v>
      </c>
    </row>
    <row r="735" spans="1:43">
      <c r="A735" s="5">
        <f>IF(B735=" "," ",HYPERLINK(CONCATENATE("#metadata!",ADDRESS(INDEX($W$2:$W$1001,MATCH(ROWS($U$2:U735),$U$2:$U$1001,0),0),1)),INDEX($Z$2:$Z$1001,MATCH(ROWS($U$2:U735),$U$2:$U$1001,0),0)))</f>
        <v>0</v>
      </c>
      <c r="B735" s="4">
        <f>IF(OR(INDEX($V$2:$V$1001,MATCH(ROWS($U$2:U735),$U$2:$U$1001,0),1)&gt;=100000,INDEX($AB$1005:$AQ$1005,1,MATCH(COLUMNS($AB$1006:AB1006),$AB$1006:$AQ$1006,0))&gt;=100000), " ",IF(INDEX($AB$2:$AQ$1001,MATCH(ROWS($U$2:U735),$U$2:$U$1001,0),MATCH(COLUMNS($AB$1006:AB1006),$AB$1006:$AQ$1006,0)), HYPERLINK("#",""), HYPERLINK(CONCATENATE("#metadata!", ADDRESS(INDEX($W$2:$W$1001,MATCH(ROWS($U$2:U735),$U$2:$U$1001,0),0), INDEX($AB$1004:$AQ$1004,1,MATCH(COLUMNS($AB$1006:AB1006),$AB$1006:$AQ$1006,0)))),"Fix")))</f>
        <v>0</v>
      </c>
      <c r="C735" s="4">
        <f>IF(OR(INDEX($V$2:$V$1001,MATCH(ROWS($U$2:U735),$U$2:$U$1001,0),1)&gt;=100000,INDEX($AB$1005:$AQ$1005,1,MATCH(COLUMNS($AB$1006:AC1006),$AB$1006:$AQ$1006,0))&gt;=100000), " ",IF(INDEX($AB$2:$AQ$1001,MATCH(ROWS($U$2:U735),$U$2:$U$1001,0),MATCH(COLUMNS($AB$1006:AC1006),$AB$1006:$AQ$1006,0)), HYPERLINK("#",""), HYPERLINK(CONCATENATE("#metadata!", ADDRESS(INDEX($W$2:$W$1001,MATCH(ROWS($U$2:U735),$U$2:$U$1001,0),0), INDEX($AB$1004:$AQ$1004,1,MATCH(COLUMNS($AB$1006:AC1006),$AB$1006:$AQ$1006,0)))),"Fix")))</f>
        <v>0</v>
      </c>
      <c r="D735" s="4">
        <f>IF(OR(INDEX($V$2:$V$1001,MATCH(ROWS($U$2:U735),$U$2:$U$1001,0),1)&gt;=100000,INDEX($AB$1005:$AQ$1005,1,MATCH(COLUMNS($AB$1006:AD1006),$AB$1006:$AQ$1006,0))&gt;=100000), " ",IF(INDEX($AB$2:$AQ$1001,MATCH(ROWS($U$2:U735),$U$2:$U$1001,0),MATCH(COLUMNS($AB$1006:AD1006),$AB$1006:$AQ$1006,0)), HYPERLINK("#",""), HYPERLINK(CONCATENATE("#metadata!", ADDRESS(INDEX($W$2:$W$1001,MATCH(ROWS($U$2:U735),$U$2:$U$1001,0),0), INDEX($AB$1004:$AQ$1004,1,MATCH(COLUMNS($AB$1006:AD1006),$AB$1006:$AQ$1006,0)))),"Fix")))</f>
        <v>0</v>
      </c>
      <c r="E735" s="4">
        <f>IF(OR(INDEX($V$2:$V$1001,MATCH(ROWS($U$2:U735),$U$2:$U$1001,0),1)&gt;=100000,INDEX($AB$1005:$AQ$1005,1,MATCH(COLUMNS($AB$1006:AE1006),$AB$1006:$AQ$1006,0))&gt;=100000), " ",IF(INDEX($AB$2:$AQ$1001,MATCH(ROWS($U$2:U735),$U$2:$U$1001,0),MATCH(COLUMNS($AB$1006:AE1006),$AB$1006:$AQ$1006,0)), HYPERLINK("#",""), HYPERLINK(CONCATENATE("#metadata!", ADDRESS(INDEX($W$2:$W$1001,MATCH(ROWS($U$2:U735),$U$2:$U$1001,0),0), INDEX($AB$1004:$AQ$1004,1,MATCH(COLUMNS($AB$1006:AE1006),$AB$1006:$AQ$1006,0)))),"Fix")))</f>
        <v>0</v>
      </c>
      <c r="F735" s="4">
        <f>IF(OR(INDEX($V$2:$V$1001,MATCH(ROWS($U$2:U735),$U$2:$U$1001,0),1)&gt;=100000,INDEX($AB$1005:$AQ$1005,1,MATCH(COLUMNS($AB$1006:AF1006),$AB$1006:$AQ$1006,0))&gt;=100000), " ",IF(INDEX($AB$2:$AQ$1001,MATCH(ROWS($U$2:U735),$U$2:$U$1001,0),MATCH(COLUMNS($AB$1006:AF1006),$AB$1006:$AQ$1006,0)), HYPERLINK("#",""), HYPERLINK(CONCATENATE("#metadata!", ADDRESS(INDEX($W$2:$W$1001,MATCH(ROWS($U$2:U735),$U$2:$U$1001,0),0), INDEX($AB$1004:$AQ$1004,1,MATCH(COLUMNS($AB$1006:AF1006),$AB$1006:$AQ$1006,0)))),"Fix")))</f>
        <v>0</v>
      </c>
      <c r="G735" s="4">
        <f>IF(OR(INDEX($V$2:$V$1001,MATCH(ROWS($U$2:U735),$U$2:$U$1001,0),1)&gt;=100000,INDEX($AB$1005:$AQ$1005,1,MATCH(COLUMNS($AB$1006:AG1006),$AB$1006:$AQ$1006,0))&gt;=100000), " ",IF(INDEX($AB$2:$AQ$1001,MATCH(ROWS($U$2:U735),$U$2:$U$1001,0),MATCH(COLUMNS($AB$1006:AG1006),$AB$1006:$AQ$1006,0)), HYPERLINK("#",""), HYPERLINK(CONCATENATE("#metadata!", ADDRESS(INDEX($W$2:$W$1001,MATCH(ROWS($U$2:U735),$U$2:$U$1001,0),0), INDEX($AB$1004:$AQ$1004,1,MATCH(COLUMNS($AB$1006:AG1006),$AB$1006:$AQ$1006,0)))),"Fix")))</f>
        <v>0</v>
      </c>
      <c r="H735" s="4">
        <f>IF(OR(INDEX($V$2:$V$1001,MATCH(ROWS($U$2:U735),$U$2:$U$1001,0),1)&gt;=100000,INDEX($AB$1005:$AQ$1005,1,MATCH(COLUMNS($AB$1006:AH1006),$AB$1006:$AQ$1006,0))&gt;=100000), " ",IF(INDEX($AB$2:$AQ$1001,MATCH(ROWS($U$2:U735),$U$2:$U$1001,0),MATCH(COLUMNS($AB$1006:AH1006),$AB$1006:$AQ$1006,0)), HYPERLINK("#",""), HYPERLINK(CONCATENATE("#metadata!", ADDRESS(INDEX($W$2:$W$1001,MATCH(ROWS($U$2:U735),$U$2:$U$1001,0),0), INDEX($AB$1004:$AQ$1004,1,MATCH(COLUMNS($AB$1006:AH1006),$AB$1006:$AQ$1006,0)))),"Fix")))</f>
        <v>0</v>
      </c>
      <c r="I735" s="4">
        <f>IF(OR(INDEX($V$2:$V$1001,MATCH(ROWS($U$2:U735),$U$2:$U$1001,0),1)&gt;=100000,INDEX($AB$1005:$AQ$1005,1,MATCH(COLUMNS($AB$1006:AI1006),$AB$1006:$AQ$1006,0))&gt;=100000), " ",IF(INDEX($AB$2:$AQ$1001,MATCH(ROWS($U$2:U735),$U$2:$U$1001,0),MATCH(COLUMNS($AB$1006:AI1006),$AB$1006:$AQ$1006,0)), HYPERLINK("#",""), HYPERLINK(CONCATENATE("#metadata!", ADDRESS(INDEX($W$2:$W$1001,MATCH(ROWS($U$2:U735),$U$2:$U$1001,0),0), INDEX($AB$1004:$AQ$1004,1,MATCH(COLUMNS($AB$1006:AI1006),$AB$1006:$AQ$1006,0)))),"Fix")))</f>
        <v>0</v>
      </c>
      <c r="J735" s="4">
        <f>IF(OR(INDEX($V$2:$V$1001,MATCH(ROWS($U$2:U735),$U$2:$U$1001,0),1)&gt;=100000,INDEX($AB$1005:$AQ$1005,1,MATCH(COLUMNS($AB$1006:AJ1006),$AB$1006:$AQ$1006,0))&gt;=100000), " ",IF(INDEX($AB$2:$AQ$1001,MATCH(ROWS($U$2:U735),$U$2:$U$1001,0),MATCH(COLUMNS($AB$1006:AJ1006),$AB$1006:$AQ$1006,0)), HYPERLINK("#",""), HYPERLINK(CONCATENATE("#metadata!", ADDRESS(INDEX($W$2:$W$1001,MATCH(ROWS($U$2:U735),$U$2:$U$1001,0),0), INDEX($AB$1004:$AQ$1004,1,MATCH(COLUMNS($AB$1006:AJ1006),$AB$1006:$AQ$1006,0)))),"Fix")))</f>
        <v>0</v>
      </c>
      <c r="K735" s="4">
        <f>IF(OR(INDEX($V$2:$V$1001,MATCH(ROWS($U$2:U735),$U$2:$U$1001,0),1)&gt;=100000,INDEX($AB$1005:$AQ$1005,1,MATCH(COLUMNS($AB$1006:AK1006),$AB$1006:$AQ$1006,0))&gt;=100000), " ",IF(INDEX($AB$2:$AQ$1001,MATCH(ROWS($U$2:U735),$U$2:$U$1001,0),MATCH(COLUMNS($AB$1006:AK1006),$AB$1006:$AQ$1006,0)), HYPERLINK("#",""), HYPERLINK(CONCATENATE("#metadata!", ADDRESS(INDEX($W$2:$W$1001,MATCH(ROWS($U$2:U735),$U$2:$U$1001,0),0), INDEX($AB$1004:$AQ$1004,1,MATCH(COLUMNS($AB$1006:AK1006),$AB$1006:$AQ$1006,0)))),"Fix")))</f>
        <v>0</v>
      </c>
      <c r="L735" s="4">
        <f>IF(OR(INDEX($V$2:$V$1001,MATCH(ROWS($U$2:U735),$U$2:$U$1001,0),1)&gt;=100000,INDEX($AB$1005:$AQ$1005,1,MATCH(COLUMNS($AB$1006:AL1006),$AB$1006:$AQ$1006,0))&gt;=100000), " ",IF(INDEX($AB$2:$AQ$1001,MATCH(ROWS($U$2:U735),$U$2:$U$1001,0),MATCH(COLUMNS($AB$1006:AL1006),$AB$1006:$AQ$1006,0)), HYPERLINK("#",""), HYPERLINK(CONCATENATE("#metadata!", ADDRESS(INDEX($W$2:$W$1001,MATCH(ROWS($U$2:U735),$U$2:$U$1001,0),0), INDEX($AB$1004:$AQ$1004,1,MATCH(COLUMNS($AB$1006:AL1006),$AB$1006:$AQ$1006,0)))),"Fix")))</f>
        <v>0</v>
      </c>
      <c r="M735" s="4">
        <f>IF(OR(INDEX($V$2:$V$1001,MATCH(ROWS($U$2:U735),$U$2:$U$1001,0),1)&gt;=100000,INDEX($AB$1005:$AQ$1005,1,MATCH(COLUMNS($AB$1006:AM1006),$AB$1006:$AQ$1006,0))&gt;=100000), " ",IF(INDEX($AB$2:$AQ$1001,MATCH(ROWS($U$2:U735),$U$2:$U$1001,0),MATCH(COLUMNS($AB$1006:AM1006),$AB$1006:$AQ$1006,0)), HYPERLINK("#",""), HYPERLINK(CONCATENATE("#metadata!", ADDRESS(INDEX($W$2:$W$1001,MATCH(ROWS($U$2:U735),$U$2:$U$1001,0),0), INDEX($AB$1004:$AQ$1004,1,MATCH(COLUMNS($AB$1006:AM1006),$AB$1006:$AQ$1006,0)))),"Fix")))</f>
        <v>0</v>
      </c>
      <c r="N735" s="4">
        <f>IF(OR(INDEX($V$2:$V$1001,MATCH(ROWS($U$2:U735),$U$2:$U$1001,0),1)&gt;=100000,INDEX($AB$1005:$AQ$1005,1,MATCH(COLUMNS($AB$1006:AN1006),$AB$1006:$AQ$1006,0))&gt;=100000), " ",IF(INDEX($AB$2:$AQ$1001,MATCH(ROWS($U$2:U735),$U$2:$U$1001,0),MATCH(COLUMNS($AB$1006:AN1006),$AB$1006:$AQ$1006,0)), HYPERLINK("#",""), HYPERLINK(CONCATENATE("#metadata!", ADDRESS(INDEX($W$2:$W$1001,MATCH(ROWS($U$2:U735),$U$2:$U$1001,0),0), INDEX($AB$1004:$AQ$1004,1,MATCH(COLUMNS($AB$1006:AN1006),$AB$1006:$AQ$1006,0)))),"Fix")))</f>
        <v>0</v>
      </c>
      <c r="O735" s="4">
        <f>IF(OR(INDEX($V$2:$V$1001,MATCH(ROWS($U$2:U735),$U$2:$U$1001,0),1)&gt;=100000,INDEX($AB$1005:$AQ$1005,1,MATCH(COLUMNS($AB$1006:AO1006),$AB$1006:$AQ$1006,0))&gt;=100000), " ",IF(INDEX($AB$2:$AQ$1001,MATCH(ROWS($U$2:U735),$U$2:$U$1001,0),MATCH(COLUMNS($AB$1006:AO1006),$AB$1006:$AQ$1006,0)), HYPERLINK("#",""), HYPERLINK(CONCATENATE("#metadata!", ADDRESS(INDEX($W$2:$W$1001,MATCH(ROWS($U$2:U735),$U$2:$U$1001,0),0), INDEX($AB$1004:$AQ$1004,1,MATCH(COLUMNS($AB$1006:AO1006),$AB$1006:$AQ$1006,0)))),"Fix")))</f>
        <v>0</v>
      </c>
      <c r="P735" s="4">
        <f>IF(OR(INDEX($V$2:$V$1001,MATCH(ROWS($U$2:U735),$U$2:$U$1001,0),1)&gt;=100000,INDEX($AB$1005:$AQ$1005,1,MATCH(COLUMNS($AB$1006:AP1006),$AB$1006:$AQ$1006,0))&gt;=100000), " ",IF(INDEX($AB$2:$AQ$1001,MATCH(ROWS($U$2:U735),$U$2:$U$1001,0),MATCH(COLUMNS($AB$1006:AP1006),$AB$1006:$AQ$1006,0)), HYPERLINK("#",""), HYPERLINK(CONCATENATE("#metadata!", ADDRESS(INDEX($W$2:$W$1001,MATCH(ROWS($U$2:U735),$U$2:$U$1001,0),0), INDEX($AB$1004:$AQ$1004,1,MATCH(COLUMNS($AB$1006:AP1006),$AB$1006:$AQ$1006,0)))),"Fix")))</f>
        <v>0</v>
      </c>
      <c r="Q735" s="4">
        <f>IF(OR(INDEX($V$2:$V$1001,MATCH(ROWS($U$2:U735),$U$2:$U$1001,0),1)&gt;=100000,INDEX($AB$1005:$AQ$1005,1,MATCH(COLUMNS($AB$1006:AQ1006),$AB$1006:$AQ$1006,0))&gt;=100000), " ",IF(INDEX($AB$2:$AQ$1001,MATCH(ROWS($U$2:U735),$U$2:$U$1001,0),MATCH(COLUMNS($AB$1006:AQ1006),$AB$1006:$AQ$1006,0)), HYPERLINK("#",""), HYPERLINK(CONCATENATE("#metadata!", ADDRESS(INDEX($W$2:$W$1001,MATCH(ROWS($U$2:U735),$U$2:$U$1001,0),0), INDEX($AB$1004:$AQ$1004,1,MATCH(COLUMNS($AB$1006:AQ1006),$AB$1006:$AQ$1006,0)))),"Fix")))</f>
        <v>0</v>
      </c>
      <c r="U735">
        <v>0</v>
      </c>
      <c r="V735">
        <v>0</v>
      </c>
      <c r="W735">
        <v>0</v>
      </c>
      <c r="X735">
        <f>IF(Y735,TRUE,AND(AB735:AQ735))</f>
        <v>0</v>
      </c>
      <c r="Y735">
        <f>COUNTBLANK(metadata!B735:Q735)=COLUMNS(metadata!B735:Q735)</f>
        <v>0</v>
      </c>
      <c r="Z735">
        <v>0</v>
      </c>
      <c r="AB735">
        <f>AND(IF(metadata!B735="",FALSE,TRUE),COUNTIF(metadata!B:B, metadata!B735) = 1,NOT(ISERROR(SUMPRODUCT(SEARCH(MID(metadata!B735,ROW(INDIRECT("1:"&amp;LEN(metadata!B735))), 1),"0123456789abcdefghijklmnopqrstuvwxyzABCDEFGHIJKLMNOPQRSTUVWXYZ.")))))</f>
        <v>0</v>
      </c>
      <c r="AC735">
        <f>OR(AND(IF(metadata!C735="",FALSE,TRUE),OR(exact(metadata!C735,"missing: not collected"),exact(metadata!C735,"missing: not provided"),exact(metadata!C735,"missing: restricted access"))),AND(IF(metadata!C735="",FALSE,TRUE),AND(AND(IFERROR(INT(LEFT(metadata!C735,4))&gt;1900,FALSE),IFERROR(INT(LEFT(metadata!C735,4))&lt;=YEAR(NOW()),FALSE)), OR(MID(metadata!C735,5,1)="", AND(AND(MID(metadata!C735,5,1)="-",IFERROR(INT(MID(metadata!C735,6,1))&gt;=0,FALSE),IFERROR(INT(MID(metadata!C735,6,1))&lt;=1,FALSE),NOT(MID(metadata!C735,7,1)=""),IFERROR(INT(MID(metadata!C735,6,2))&gt;=1,FALSE),IFERROR(INT(MID(metadata!C735,6,2))&lt;=12,FALSE)), OR(MID(metadata!C735,8,1)="", AND(AND(MID(metadata!C735,8,1)="-",IFERROR(INT(MID(metadata!C735,9,1))&gt;=0,FALSE),IFERROR(INT(MID(metadata!C735,9,1))&lt;=3,FALSE),NOT(MID(metadata!C735,10,1)=""),IFERROR(INT(MID(metadata!C735,9,2))&gt;=1,FALSE),IFERROR(INT(MID(metadata!C735,9,2))&lt;=31,FALSE)), OR(MID(metadata!C735,11,1)="", AND(AND(MID(metadata!C735,11,1)=" ",IFERROR(INT(MID(metadata!C735,12,1))&gt;=0,FALSE),IFERROR(INT(MID(metadata!C735,12,1))&lt;=2,FALSE),NOT(MID(metadata!C735,13,1)=""),IFERROR(INT(MID(metadata!C735,12,2))&gt;=0,FALSE),IFERROR(INT(MID(metadata!C735,12,2))&lt;=23,FALSE)), OR(MID(metadata!C735,14,1)="", AND(AND(MID(metadata!C735,14,1)=":",IFERROR(INT(MID(metadata!C735,15,1))&gt;=0,FALSE),IFERROR(INT(MID(metadata!C735,15,1))&lt;=5,FALSE),NOT(MID(metadata!C735,16,1)=""),IFERROR(INT(MID(metadata!C735,15,2))&gt;=0,FALSE),IFERROR(INT(MID(metadata!C735,15,2))&lt;=59,FALSE)), OR(MID(metadata!C735,17,1)="", AND(AND(MID(metadata!C735,17,1)=":",IFERROR(INT(MID(metadata!C735,18,1))&gt;=0,FALSE),IFERROR(INT(MID(metadata!C735,18,1))&lt;=5,FALSE),NOT(MID(metadata!C735,19,1)=""),IFERROR(INT(MID(metadata!C735,18,2))&gt;=0,FALSE),IFERROR(INT(MID(metadata!C735,18,2))&lt;=59,FALSE)), LEN(metadata!C735)&lt;=19)))))))))))))</f>
        <v>0</v>
      </c>
      <c r="AD735">
        <f>IF(metadata!D735="",FALSE,TRUE)</f>
        <v>0</v>
      </c>
      <c r="AE735">
        <f>OR(AND(IF(metadata!E735="",FALSE,TRUE),OR(exact(metadata!E735,"missing: not collected"),exact(metadata!E735,"missing: not provided"))),AND(IF(metadata!E735="",FALSE,TRUE),OR(exact(metadata!E735,"TRUE"),exact(metadata!E735,"FALSE"))))</f>
        <v>0</v>
      </c>
      <c r="AF735">
        <f>IF(metadata!F735="",FALSE,TRUE)</f>
        <v>0</v>
      </c>
      <c r="AG735">
        <f>IF(metadata!G735="",FALSE,TRUE)</f>
        <v>0</v>
      </c>
      <c r="AH735">
        <f>IF(metadata!H735="",FALSE,TRUE)</f>
        <v>0</v>
      </c>
      <c r="AI735">
        <f>OR(AND(IF(metadata!I735="",FALSE,TRUE),OR(exact(metadata!I735,"missing: not collected"),exact(metadata!I735,"missing: not provided"),exact(metadata!I735,"missing: restricted access"))),AND(IF(metadata!I735="",FALSE,TRUE),OR(exact(metadata!I735,"air"),exact(metadata!I735,"built environment"),exact(metadata!I735,"host-associated"),exact(metadata!I735,"human-associated"),exact(metadata!I735,"human-skin"),exact(metadata!I735,"human-oral"),exact(metadata!I735,"human-gut"),exact(metadata!I735,"human-vaginal"),exact(metadata!I735,"microbial mat/biofilm"),exact(metadata!I735,"misc environment"),exact(metadata!I735,"plant-associated"),exact(metadata!I735,"sediment"),exact(metadata!I735,"soil"),exact(metadata!I735,"wastewater/sludge"),exact(metadata!I735,"water"))))</f>
        <v>0</v>
      </c>
      <c r="AJ735">
        <f>IF(metadata!J735="",FALSE,TRUE)</f>
        <v>0</v>
      </c>
      <c r="AK735">
        <f>OR(AND(IF(metadata!K735="",FALSE,TRUE),OR(exact(metadata!K735,"missing: not collected"),exact(metadata!K735,"missing: not provided"),exact(metadata!K735,"missing: restricted access"))),AND(IF(metadata!K735="",FALSE,ISNUMBER(VALUE(metadata!K735))),metadata!K735&gt;=-90.00,metadata!K735&lt;=90.00))</f>
        <v>0</v>
      </c>
      <c r="AL735">
        <f>OR(AND(IF(metadata!L735="",FALSE,TRUE),OR(exact(metadata!L735,"missing: not collected"),exact(metadata!L735,"missing: not provided"),exact(metadata!L735,"missing: restricted access"))),AND(IF(metadata!L735="",FALSE,ISNUMBER(VALUE(metadata!L735))),metadata!L735&gt;=-180.00,metadata!L735&lt;=180.00))</f>
        <v>0</v>
      </c>
      <c r="AM735">
        <f>IF(metadata!M735="",FALSE,TRUE)</f>
        <v>0</v>
      </c>
      <c r="AN735">
        <f>OR(AND(IF(metadata!N735="",FALSE,TRUE),OR(exact(metadata!N735,"missing: not collected"),exact(metadata!N735,"missing: not provided"),exact(metadata!N735,"missing: restricted access"))),AND(IF(metadata!N735="",FALSE,TRUE),OR(exact(metadata!N735,"TRUE"),exact(metadata!N735,"FALSE"))))</f>
        <v>0</v>
      </c>
      <c r="AO735">
        <f>IF(metadata!O735="",FALSE,TRUE)</f>
        <v>0</v>
      </c>
      <c r="AP735">
        <f>OR(AND(IF(metadata!P735="",FALSE,TRUE),OR(exact(metadata!P735,"missing: not collected"),exact(metadata!P735,"missing: not provided"))),AND(IF(metadata!P735="",FALSE,IF(ISERROR(INT(metadata!P735)),FALSE,INT(metadata!P735)=metadata!P735)),metadata!P735&gt;0))</f>
        <v>0</v>
      </c>
      <c r="AQ735">
        <f>IF(metadata!Q735="",FALSE,TRUE)</f>
        <v>0</v>
      </c>
    </row>
    <row r="736" spans="1:43">
      <c r="A736" s="5">
        <f>IF(B736=" "," ",HYPERLINK(CONCATENATE("#metadata!",ADDRESS(INDEX($W$2:$W$1001,MATCH(ROWS($U$2:U736),$U$2:$U$1001,0),0),1)),INDEX($Z$2:$Z$1001,MATCH(ROWS($U$2:U736),$U$2:$U$1001,0),0)))</f>
        <v>0</v>
      </c>
      <c r="B736" s="4">
        <f>IF(OR(INDEX($V$2:$V$1001,MATCH(ROWS($U$2:U736),$U$2:$U$1001,0),1)&gt;=100000,INDEX($AB$1005:$AQ$1005,1,MATCH(COLUMNS($AB$1006:AB1006),$AB$1006:$AQ$1006,0))&gt;=100000), " ",IF(INDEX($AB$2:$AQ$1001,MATCH(ROWS($U$2:U736),$U$2:$U$1001,0),MATCH(COLUMNS($AB$1006:AB1006),$AB$1006:$AQ$1006,0)), HYPERLINK("#",""), HYPERLINK(CONCATENATE("#metadata!", ADDRESS(INDEX($W$2:$W$1001,MATCH(ROWS($U$2:U736),$U$2:$U$1001,0),0), INDEX($AB$1004:$AQ$1004,1,MATCH(COLUMNS($AB$1006:AB1006),$AB$1006:$AQ$1006,0)))),"Fix")))</f>
        <v>0</v>
      </c>
      <c r="C736" s="4">
        <f>IF(OR(INDEX($V$2:$V$1001,MATCH(ROWS($U$2:U736),$U$2:$U$1001,0),1)&gt;=100000,INDEX($AB$1005:$AQ$1005,1,MATCH(COLUMNS($AB$1006:AC1006),$AB$1006:$AQ$1006,0))&gt;=100000), " ",IF(INDEX($AB$2:$AQ$1001,MATCH(ROWS($U$2:U736),$U$2:$U$1001,0),MATCH(COLUMNS($AB$1006:AC1006),$AB$1006:$AQ$1006,0)), HYPERLINK("#",""), HYPERLINK(CONCATENATE("#metadata!", ADDRESS(INDEX($W$2:$W$1001,MATCH(ROWS($U$2:U736),$U$2:$U$1001,0),0), INDEX($AB$1004:$AQ$1004,1,MATCH(COLUMNS($AB$1006:AC1006),$AB$1006:$AQ$1006,0)))),"Fix")))</f>
        <v>0</v>
      </c>
      <c r="D736" s="4">
        <f>IF(OR(INDEX($V$2:$V$1001,MATCH(ROWS($U$2:U736),$U$2:$U$1001,0),1)&gt;=100000,INDEX($AB$1005:$AQ$1005,1,MATCH(COLUMNS($AB$1006:AD1006),$AB$1006:$AQ$1006,0))&gt;=100000), " ",IF(INDEX($AB$2:$AQ$1001,MATCH(ROWS($U$2:U736),$U$2:$U$1001,0),MATCH(COLUMNS($AB$1006:AD1006),$AB$1006:$AQ$1006,0)), HYPERLINK("#",""), HYPERLINK(CONCATENATE("#metadata!", ADDRESS(INDEX($W$2:$W$1001,MATCH(ROWS($U$2:U736),$U$2:$U$1001,0),0), INDEX($AB$1004:$AQ$1004,1,MATCH(COLUMNS($AB$1006:AD1006),$AB$1006:$AQ$1006,0)))),"Fix")))</f>
        <v>0</v>
      </c>
      <c r="E736" s="4">
        <f>IF(OR(INDEX($V$2:$V$1001,MATCH(ROWS($U$2:U736),$U$2:$U$1001,0),1)&gt;=100000,INDEX($AB$1005:$AQ$1005,1,MATCH(COLUMNS($AB$1006:AE1006),$AB$1006:$AQ$1006,0))&gt;=100000), " ",IF(INDEX($AB$2:$AQ$1001,MATCH(ROWS($U$2:U736),$U$2:$U$1001,0),MATCH(COLUMNS($AB$1006:AE1006),$AB$1006:$AQ$1006,0)), HYPERLINK("#",""), HYPERLINK(CONCATENATE("#metadata!", ADDRESS(INDEX($W$2:$W$1001,MATCH(ROWS($U$2:U736),$U$2:$U$1001,0),0), INDEX($AB$1004:$AQ$1004,1,MATCH(COLUMNS($AB$1006:AE1006),$AB$1006:$AQ$1006,0)))),"Fix")))</f>
        <v>0</v>
      </c>
      <c r="F736" s="4">
        <f>IF(OR(INDEX($V$2:$V$1001,MATCH(ROWS($U$2:U736),$U$2:$U$1001,0),1)&gt;=100000,INDEX($AB$1005:$AQ$1005,1,MATCH(COLUMNS($AB$1006:AF1006),$AB$1006:$AQ$1006,0))&gt;=100000), " ",IF(INDEX($AB$2:$AQ$1001,MATCH(ROWS($U$2:U736),$U$2:$U$1001,0),MATCH(COLUMNS($AB$1006:AF1006),$AB$1006:$AQ$1006,0)), HYPERLINK("#",""), HYPERLINK(CONCATENATE("#metadata!", ADDRESS(INDEX($W$2:$W$1001,MATCH(ROWS($U$2:U736),$U$2:$U$1001,0),0), INDEX($AB$1004:$AQ$1004,1,MATCH(COLUMNS($AB$1006:AF1006),$AB$1006:$AQ$1006,0)))),"Fix")))</f>
        <v>0</v>
      </c>
      <c r="G736" s="4">
        <f>IF(OR(INDEX($V$2:$V$1001,MATCH(ROWS($U$2:U736),$U$2:$U$1001,0),1)&gt;=100000,INDEX($AB$1005:$AQ$1005,1,MATCH(COLUMNS($AB$1006:AG1006),$AB$1006:$AQ$1006,0))&gt;=100000), " ",IF(INDEX($AB$2:$AQ$1001,MATCH(ROWS($U$2:U736),$U$2:$U$1001,0),MATCH(COLUMNS($AB$1006:AG1006),$AB$1006:$AQ$1006,0)), HYPERLINK("#",""), HYPERLINK(CONCATENATE("#metadata!", ADDRESS(INDEX($W$2:$W$1001,MATCH(ROWS($U$2:U736),$U$2:$U$1001,0),0), INDEX($AB$1004:$AQ$1004,1,MATCH(COLUMNS($AB$1006:AG1006),$AB$1006:$AQ$1006,0)))),"Fix")))</f>
        <v>0</v>
      </c>
      <c r="H736" s="4">
        <f>IF(OR(INDEX($V$2:$V$1001,MATCH(ROWS($U$2:U736),$U$2:$U$1001,0),1)&gt;=100000,INDEX($AB$1005:$AQ$1005,1,MATCH(COLUMNS($AB$1006:AH1006),$AB$1006:$AQ$1006,0))&gt;=100000), " ",IF(INDEX($AB$2:$AQ$1001,MATCH(ROWS($U$2:U736),$U$2:$U$1001,0),MATCH(COLUMNS($AB$1006:AH1006),$AB$1006:$AQ$1006,0)), HYPERLINK("#",""), HYPERLINK(CONCATENATE("#metadata!", ADDRESS(INDEX($W$2:$W$1001,MATCH(ROWS($U$2:U736),$U$2:$U$1001,0),0), INDEX($AB$1004:$AQ$1004,1,MATCH(COLUMNS($AB$1006:AH1006),$AB$1006:$AQ$1006,0)))),"Fix")))</f>
        <v>0</v>
      </c>
      <c r="I736" s="4">
        <f>IF(OR(INDEX($V$2:$V$1001,MATCH(ROWS($U$2:U736),$U$2:$U$1001,0),1)&gt;=100000,INDEX($AB$1005:$AQ$1005,1,MATCH(COLUMNS($AB$1006:AI1006),$AB$1006:$AQ$1006,0))&gt;=100000), " ",IF(INDEX($AB$2:$AQ$1001,MATCH(ROWS($U$2:U736),$U$2:$U$1001,0),MATCH(COLUMNS($AB$1006:AI1006),$AB$1006:$AQ$1006,0)), HYPERLINK("#",""), HYPERLINK(CONCATENATE("#metadata!", ADDRESS(INDEX($W$2:$W$1001,MATCH(ROWS($U$2:U736),$U$2:$U$1001,0),0), INDEX($AB$1004:$AQ$1004,1,MATCH(COLUMNS($AB$1006:AI1006),$AB$1006:$AQ$1006,0)))),"Fix")))</f>
        <v>0</v>
      </c>
      <c r="J736" s="4">
        <f>IF(OR(INDEX($V$2:$V$1001,MATCH(ROWS($U$2:U736),$U$2:$U$1001,0),1)&gt;=100000,INDEX($AB$1005:$AQ$1005,1,MATCH(COLUMNS($AB$1006:AJ1006),$AB$1006:$AQ$1006,0))&gt;=100000), " ",IF(INDEX($AB$2:$AQ$1001,MATCH(ROWS($U$2:U736),$U$2:$U$1001,0),MATCH(COLUMNS($AB$1006:AJ1006),$AB$1006:$AQ$1006,0)), HYPERLINK("#",""), HYPERLINK(CONCATENATE("#metadata!", ADDRESS(INDEX($W$2:$W$1001,MATCH(ROWS($U$2:U736),$U$2:$U$1001,0),0), INDEX($AB$1004:$AQ$1004,1,MATCH(COLUMNS($AB$1006:AJ1006),$AB$1006:$AQ$1006,0)))),"Fix")))</f>
        <v>0</v>
      </c>
      <c r="K736" s="4">
        <f>IF(OR(INDEX($V$2:$V$1001,MATCH(ROWS($U$2:U736),$U$2:$U$1001,0),1)&gt;=100000,INDEX($AB$1005:$AQ$1005,1,MATCH(COLUMNS($AB$1006:AK1006),$AB$1006:$AQ$1006,0))&gt;=100000), " ",IF(INDEX($AB$2:$AQ$1001,MATCH(ROWS($U$2:U736),$U$2:$U$1001,0),MATCH(COLUMNS($AB$1006:AK1006),$AB$1006:$AQ$1006,0)), HYPERLINK("#",""), HYPERLINK(CONCATENATE("#metadata!", ADDRESS(INDEX($W$2:$W$1001,MATCH(ROWS($U$2:U736),$U$2:$U$1001,0),0), INDEX($AB$1004:$AQ$1004,1,MATCH(COLUMNS($AB$1006:AK1006),$AB$1006:$AQ$1006,0)))),"Fix")))</f>
        <v>0</v>
      </c>
      <c r="L736" s="4">
        <f>IF(OR(INDEX($V$2:$V$1001,MATCH(ROWS($U$2:U736),$U$2:$U$1001,0),1)&gt;=100000,INDEX($AB$1005:$AQ$1005,1,MATCH(COLUMNS($AB$1006:AL1006),$AB$1006:$AQ$1006,0))&gt;=100000), " ",IF(INDEX($AB$2:$AQ$1001,MATCH(ROWS($U$2:U736),$U$2:$U$1001,0),MATCH(COLUMNS($AB$1006:AL1006),$AB$1006:$AQ$1006,0)), HYPERLINK("#",""), HYPERLINK(CONCATENATE("#metadata!", ADDRESS(INDEX($W$2:$W$1001,MATCH(ROWS($U$2:U736),$U$2:$U$1001,0),0), INDEX($AB$1004:$AQ$1004,1,MATCH(COLUMNS($AB$1006:AL1006),$AB$1006:$AQ$1006,0)))),"Fix")))</f>
        <v>0</v>
      </c>
      <c r="M736" s="4">
        <f>IF(OR(INDEX($V$2:$V$1001,MATCH(ROWS($U$2:U736),$U$2:$U$1001,0),1)&gt;=100000,INDEX($AB$1005:$AQ$1005,1,MATCH(COLUMNS($AB$1006:AM1006),$AB$1006:$AQ$1006,0))&gt;=100000), " ",IF(INDEX($AB$2:$AQ$1001,MATCH(ROWS($U$2:U736),$U$2:$U$1001,0),MATCH(COLUMNS($AB$1006:AM1006),$AB$1006:$AQ$1006,0)), HYPERLINK("#",""), HYPERLINK(CONCATENATE("#metadata!", ADDRESS(INDEX($W$2:$W$1001,MATCH(ROWS($U$2:U736),$U$2:$U$1001,0),0), INDEX($AB$1004:$AQ$1004,1,MATCH(COLUMNS($AB$1006:AM1006),$AB$1006:$AQ$1006,0)))),"Fix")))</f>
        <v>0</v>
      </c>
      <c r="N736" s="4">
        <f>IF(OR(INDEX($V$2:$V$1001,MATCH(ROWS($U$2:U736),$U$2:$U$1001,0),1)&gt;=100000,INDEX($AB$1005:$AQ$1005,1,MATCH(COLUMNS($AB$1006:AN1006),$AB$1006:$AQ$1006,0))&gt;=100000), " ",IF(INDEX($AB$2:$AQ$1001,MATCH(ROWS($U$2:U736),$U$2:$U$1001,0),MATCH(COLUMNS($AB$1006:AN1006),$AB$1006:$AQ$1006,0)), HYPERLINK("#",""), HYPERLINK(CONCATENATE("#metadata!", ADDRESS(INDEX($W$2:$W$1001,MATCH(ROWS($U$2:U736),$U$2:$U$1001,0),0), INDEX($AB$1004:$AQ$1004,1,MATCH(COLUMNS($AB$1006:AN1006),$AB$1006:$AQ$1006,0)))),"Fix")))</f>
        <v>0</v>
      </c>
      <c r="O736" s="4">
        <f>IF(OR(INDEX($V$2:$V$1001,MATCH(ROWS($U$2:U736),$U$2:$U$1001,0),1)&gt;=100000,INDEX($AB$1005:$AQ$1005,1,MATCH(COLUMNS($AB$1006:AO1006),$AB$1006:$AQ$1006,0))&gt;=100000), " ",IF(INDEX($AB$2:$AQ$1001,MATCH(ROWS($U$2:U736),$U$2:$U$1001,0),MATCH(COLUMNS($AB$1006:AO1006),$AB$1006:$AQ$1006,0)), HYPERLINK("#",""), HYPERLINK(CONCATENATE("#metadata!", ADDRESS(INDEX($W$2:$W$1001,MATCH(ROWS($U$2:U736),$U$2:$U$1001,0),0), INDEX($AB$1004:$AQ$1004,1,MATCH(COLUMNS($AB$1006:AO1006),$AB$1006:$AQ$1006,0)))),"Fix")))</f>
        <v>0</v>
      </c>
      <c r="P736" s="4">
        <f>IF(OR(INDEX($V$2:$V$1001,MATCH(ROWS($U$2:U736),$U$2:$U$1001,0),1)&gt;=100000,INDEX($AB$1005:$AQ$1005,1,MATCH(COLUMNS($AB$1006:AP1006),$AB$1006:$AQ$1006,0))&gt;=100000), " ",IF(INDEX($AB$2:$AQ$1001,MATCH(ROWS($U$2:U736),$U$2:$U$1001,0),MATCH(COLUMNS($AB$1006:AP1006),$AB$1006:$AQ$1006,0)), HYPERLINK("#",""), HYPERLINK(CONCATENATE("#metadata!", ADDRESS(INDEX($W$2:$W$1001,MATCH(ROWS($U$2:U736),$U$2:$U$1001,0),0), INDEX($AB$1004:$AQ$1004,1,MATCH(COLUMNS($AB$1006:AP1006),$AB$1006:$AQ$1006,0)))),"Fix")))</f>
        <v>0</v>
      </c>
      <c r="Q736" s="4">
        <f>IF(OR(INDEX($V$2:$V$1001,MATCH(ROWS($U$2:U736),$U$2:$U$1001,0),1)&gt;=100000,INDEX($AB$1005:$AQ$1005,1,MATCH(COLUMNS($AB$1006:AQ1006),$AB$1006:$AQ$1006,0))&gt;=100000), " ",IF(INDEX($AB$2:$AQ$1001,MATCH(ROWS($U$2:U736),$U$2:$U$1001,0),MATCH(COLUMNS($AB$1006:AQ1006),$AB$1006:$AQ$1006,0)), HYPERLINK("#",""), HYPERLINK(CONCATENATE("#metadata!", ADDRESS(INDEX($W$2:$W$1001,MATCH(ROWS($U$2:U736),$U$2:$U$1001,0),0), INDEX($AB$1004:$AQ$1004,1,MATCH(COLUMNS($AB$1006:AQ1006),$AB$1006:$AQ$1006,0)))),"Fix")))</f>
        <v>0</v>
      </c>
      <c r="U736">
        <v>0</v>
      </c>
      <c r="V736">
        <v>0</v>
      </c>
      <c r="W736">
        <v>0</v>
      </c>
      <c r="X736">
        <f>IF(Y736,TRUE,AND(AB736:AQ736))</f>
        <v>0</v>
      </c>
      <c r="Y736">
        <f>COUNTBLANK(metadata!B736:Q736)=COLUMNS(metadata!B736:Q736)</f>
        <v>0</v>
      </c>
      <c r="Z736">
        <v>0</v>
      </c>
      <c r="AB736">
        <f>AND(IF(metadata!B736="",FALSE,TRUE),COUNTIF(metadata!B:B, metadata!B736) = 1,NOT(ISERROR(SUMPRODUCT(SEARCH(MID(metadata!B736,ROW(INDIRECT("1:"&amp;LEN(metadata!B736))), 1),"0123456789abcdefghijklmnopqrstuvwxyzABCDEFGHIJKLMNOPQRSTUVWXYZ.")))))</f>
        <v>0</v>
      </c>
      <c r="AC736">
        <f>OR(AND(IF(metadata!C736="",FALSE,TRUE),OR(exact(metadata!C736,"missing: not collected"),exact(metadata!C736,"missing: not provided"),exact(metadata!C736,"missing: restricted access"))),AND(IF(metadata!C736="",FALSE,TRUE),AND(AND(IFERROR(INT(LEFT(metadata!C736,4))&gt;1900,FALSE),IFERROR(INT(LEFT(metadata!C736,4))&lt;=YEAR(NOW()),FALSE)), OR(MID(metadata!C736,5,1)="", AND(AND(MID(metadata!C736,5,1)="-",IFERROR(INT(MID(metadata!C736,6,1))&gt;=0,FALSE),IFERROR(INT(MID(metadata!C736,6,1))&lt;=1,FALSE),NOT(MID(metadata!C736,7,1)=""),IFERROR(INT(MID(metadata!C736,6,2))&gt;=1,FALSE),IFERROR(INT(MID(metadata!C736,6,2))&lt;=12,FALSE)), OR(MID(metadata!C736,8,1)="", AND(AND(MID(metadata!C736,8,1)="-",IFERROR(INT(MID(metadata!C736,9,1))&gt;=0,FALSE),IFERROR(INT(MID(metadata!C736,9,1))&lt;=3,FALSE),NOT(MID(metadata!C736,10,1)=""),IFERROR(INT(MID(metadata!C736,9,2))&gt;=1,FALSE),IFERROR(INT(MID(metadata!C736,9,2))&lt;=31,FALSE)), OR(MID(metadata!C736,11,1)="", AND(AND(MID(metadata!C736,11,1)=" ",IFERROR(INT(MID(metadata!C736,12,1))&gt;=0,FALSE),IFERROR(INT(MID(metadata!C736,12,1))&lt;=2,FALSE),NOT(MID(metadata!C736,13,1)=""),IFERROR(INT(MID(metadata!C736,12,2))&gt;=0,FALSE),IFERROR(INT(MID(metadata!C736,12,2))&lt;=23,FALSE)), OR(MID(metadata!C736,14,1)="", AND(AND(MID(metadata!C736,14,1)=":",IFERROR(INT(MID(metadata!C736,15,1))&gt;=0,FALSE),IFERROR(INT(MID(metadata!C736,15,1))&lt;=5,FALSE),NOT(MID(metadata!C736,16,1)=""),IFERROR(INT(MID(metadata!C736,15,2))&gt;=0,FALSE),IFERROR(INT(MID(metadata!C736,15,2))&lt;=59,FALSE)), OR(MID(metadata!C736,17,1)="", AND(AND(MID(metadata!C736,17,1)=":",IFERROR(INT(MID(metadata!C736,18,1))&gt;=0,FALSE),IFERROR(INT(MID(metadata!C736,18,1))&lt;=5,FALSE),NOT(MID(metadata!C736,19,1)=""),IFERROR(INT(MID(metadata!C736,18,2))&gt;=0,FALSE),IFERROR(INT(MID(metadata!C736,18,2))&lt;=59,FALSE)), LEN(metadata!C736)&lt;=19)))))))))))))</f>
        <v>0</v>
      </c>
      <c r="AD736">
        <f>IF(metadata!D736="",FALSE,TRUE)</f>
        <v>0</v>
      </c>
      <c r="AE736">
        <f>OR(AND(IF(metadata!E736="",FALSE,TRUE),OR(exact(metadata!E736,"missing: not collected"),exact(metadata!E736,"missing: not provided"))),AND(IF(metadata!E736="",FALSE,TRUE),OR(exact(metadata!E736,"TRUE"),exact(metadata!E736,"FALSE"))))</f>
        <v>0</v>
      </c>
      <c r="AF736">
        <f>IF(metadata!F736="",FALSE,TRUE)</f>
        <v>0</v>
      </c>
      <c r="AG736">
        <f>IF(metadata!G736="",FALSE,TRUE)</f>
        <v>0</v>
      </c>
      <c r="AH736">
        <f>IF(metadata!H736="",FALSE,TRUE)</f>
        <v>0</v>
      </c>
      <c r="AI736">
        <f>OR(AND(IF(metadata!I736="",FALSE,TRUE),OR(exact(metadata!I736,"missing: not collected"),exact(metadata!I736,"missing: not provided"),exact(metadata!I736,"missing: restricted access"))),AND(IF(metadata!I736="",FALSE,TRUE),OR(exact(metadata!I736,"air"),exact(metadata!I736,"built environment"),exact(metadata!I736,"host-associated"),exact(metadata!I736,"human-associated"),exact(metadata!I736,"human-skin"),exact(metadata!I736,"human-oral"),exact(metadata!I736,"human-gut"),exact(metadata!I736,"human-vaginal"),exact(metadata!I736,"microbial mat/biofilm"),exact(metadata!I736,"misc environment"),exact(metadata!I736,"plant-associated"),exact(metadata!I736,"sediment"),exact(metadata!I736,"soil"),exact(metadata!I736,"wastewater/sludge"),exact(metadata!I736,"water"))))</f>
        <v>0</v>
      </c>
      <c r="AJ736">
        <f>IF(metadata!J736="",FALSE,TRUE)</f>
        <v>0</v>
      </c>
      <c r="AK736">
        <f>OR(AND(IF(metadata!K736="",FALSE,TRUE),OR(exact(metadata!K736,"missing: not collected"),exact(metadata!K736,"missing: not provided"),exact(metadata!K736,"missing: restricted access"))),AND(IF(metadata!K736="",FALSE,ISNUMBER(VALUE(metadata!K736))),metadata!K736&gt;=-90.00,metadata!K736&lt;=90.00))</f>
        <v>0</v>
      </c>
      <c r="AL736">
        <f>OR(AND(IF(metadata!L736="",FALSE,TRUE),OR(exact(metadata!L736,"missing: not collected"),exact(metadata!L736,"missing: not provided"),exact(metadata!L736,"missing: restricted access"))),AND(IF(metadata!L736="",FALSE,ISNUMBER(VALUE(metadata!L736))),metadata!L736&gt;=-180.00,metadata!L736&lt;=180.00))</f>
        <v>0</v>
      </c>
      <c r="AM736">
        <f>IF(metadata!M736="",FALSE,TRUE)</f>
        <v>0</v>
      </c>
      <c r="AN736">
        <f>OR(AND(IF(metadata!N736="",FALSE,TRUE),OR(exact(metadata!N736,"missing: not collected"),exact(metadata!N736,"missing: not provided"),exact(metadata!N736,"missing: restricted access"))),AND(IF(metadata!N736="",FALSE,TRUE),OR(exact(metadata!N736,"TRUE"),exact(metadata!N736,"FALSE"))))</f>
        <v>0</v>
      </c>
      <c r="AO736">
        <f>IF(metadata!O736="",FALSE,TRUE)</f>
        <v>0</v>
      </c>
      <c r="AP736">
        <f>OR(AND(IF(metadata!P736="",FALSE,TRUE),OR(exact(metadata!P736,"missing: not collected"),exact(metadata!P736,"missing: not provided"))),AND(IF(metadata!P736="",FALSE,IF(ISERROR(INT(metadata!P736)),FALSE,INT(metadata!P736)=metadata!P736)),metadata!P736&gt;0))</f>
        <v>0</v>
      </c>
      <c r="AQ736">
        <f>IF(metadata!Q736="",FALSE,TRUE)</f>
        <v>0</v>
      </c>
    </row>
    <row r="737" spans="1:43">
      <c r="A737" s="5">
        <f>IF(B737=" "," ",HYPERLINK(CONCATENATE("#metadata!",ADDRESS(INDEX($W$2:$W$1001,MATCH(ROWS($U$2:U737),$U$2:$U$1001,0),0),1)),INDEX($Z$2:$Z$1001,MATCH(ROWS($U$2:U737),$U$2:$U$1001,0),0)))</f>
        <v>0</v>
      </c>
      <c r="B737" s="4">
        <f>IF(OR(INDEX($V$2:$V$1001,MATCH(ROWS($U$2:U737),$U$2:$U$1001,0),1)&gt;=100000,INDEX($AB$1005:$AQ$1005,1,MATCH(COLUMNS($AB$1006:AB1006),$AB$1006:$AQ$1006,0))&gt;=100000), " ",IF(INDEX($AB$2:$AQ$1001,MATCH(ROWS($U$2:U737),$U$2:$U$1001,0),MATCH(COLUMNS($AB$1006:AB1006),$AB$1006:$AQ$1006,0)), HYPERLINK("#",""), HYPERLINK(CONCATENATE("#metadata!", ADDRESS(INDEX($W$2:$W$1001,MATCH(ROWS($U$2:U737),$U$2:$U$1001,0),0), INDEX($AB$1004:$AQ$1004,1,MATCH(COLUMNS($AB$1006:AB1006),$AB$1006:$AQ$1006,0)))),"Fix")))</f>
        <v>0</v>
      </c>
      <c r="C737" s="4">
        <f>IF(OR(INDEX($V$2:$V$1001,MATCH(ROWS($U$2:U737),$U$2:$U$1001,0),1)&gt;=100000,INDEX($AB$1005:$AQ$1005,1,MATCH(COLUMNS($AB$1006:AC1006),$AB$1006:$AQ$1006,0))&gt;=100000), " ",IF(INDEX($AB$2:$AQ$1001,MATCH(ROWS($U$2:U737),$U$2:$U$1001,0),MATCH(COLUMNS($AB$1006:AC1006),$AB$1006:$AQ$1006,0)), HYPERLINK("#",""), HYPERLINK(CONCATENATE("#metadata!", ADDRESS(INDEX($W$2:$W$1001,MATCH(ROWS($U$2:U737),$U$2:$U$1001,0),0), INDEX($AB$1004:$AQ$1004,1,MATCH(COLUMNS($AB$1006:AC1006),$AB$1006:$AQ$1006,0)))),"Fix")))</f>
        <v>0</v>
      </c>
      <c r="D737" s="4">
        <f>IF(OR(INDEX($V$2:$V$1001,MATCH(ROWS($U$2:U737),$U$2:$U$1001,0),1)&gt;=100000,INDEX($AB$1005:$AQ$1005,1,MATCH(COLUMNS($AB$1006:AD1006),$AB$1006:$AQ$1006,0))&gt;=100000), " ",IF(INDEX($AB$2:$AQ$1001,MATCH(ROWS($U$2:U737),$U$2:$U$1001,0),MATCH(COLUMNS($AB$1006:AD1006),$AB$1006:$AQ$1006,0)), HYPERLINK("#",""), HYPERLINK(CONCATENATE("#metadata!", ADDRESS(INDEX($W$2:$W$1001,MATCH(ROWS($U$2:U737),$U$2:$U$1001,0),0), INDEX($AB$1004:$AQ$1004,1,MATCH(COLUMNS($AB$1006:AD1006),$AB$1006:$AQ$1006,0)))),"Fix")))</f>
        <v>0</v>
      </c>
      <c r="E737" s="4">
        <f>IF(OR(INDEX($V$2:$V$1001,MATCH(ROWS($U$2:U737),$U$2:$U$1001,0),1)&gt;=100000,INDEX($AB$1005:$AQ$1005,1,MATCH(COLUMNS($AB$1006:AE1006),$AB$1006:$AQ$1006,0))&gt;=100000), " ",IF(INDEX($AB$2:$AQ$1001,MATCH(ROWS($U$2:U737),$U$2:$U$1001,0),MATCH(COLUMNS($AB$1006:AE1006),$AB$1006:$AQ$1006,0)), HYPERLINK("#",""), HYPERLINK(CONCATENATE("#metadata!", ADDRESS(INDEX($W$2:$W$1001,MATCH(ROWS($U$2:U737),$U$2:$U$1001,0),0), INDEX($AB$1004:$AQ$1004,1,MATCH(COLUMNS($AB$1006:AE1006),$AB$1006:$AQ$1006,0)))),"Fix")))</f>
        <v>0</v>
      </c>
      <c r="F737" s="4">
        <f>IF(OR(INDEX($V$2:$V$1001,MATCH(ROWS($U$2:U737),$U$2:$U$1001,0),1)&gt;=100000,INDEX($AB$1005:$AQ$1005,1,MATCH(COLUMNS($AB$1006:AF1006),$AB$1006:$AQ$1006,0))&gt;=100000), " ",IF(INDEX($AB$2:$AQ$1001,MATCH(ROWS($U$2:U737),$U$2:$U$1001,0),MATCH(COLUMNS($AB$1006:AF1006),$AB$1006:$AQ$1006,0)), HYPERLINK("#",""), HYPERLINK(CONCATENATE("#metadata!", ADDRESS(INDEX($W$2:$W$1001,MATCH(ROWS($U$2:U737),$U$2:$U$1001,0),0), INDEX($AB$1004:$AQ$1004,1,MATCH(COLUMNS($AB$1006:AF1006),$AB$1006:$AQ$1006,0)))),"Fix")))</f>
        <v>0</v>
      </c>
      <c r="G737" s="4">
        <f>IF(OR(INDEX($V$2:$V$1001,MATCH(ROWS($U$2:U737),$U$2:$U$1001,0),1)&gt;=100000,INDEX($AB$1005:$AQ$1005,1,MATCH(COLUMNS($AB$1006:AG1006),$AB$1006:$AQ$1006,0))&gt;=100000), " ",IF(INDEX($AB$2:$AQ$1001,MATCH(ROWS($U$2:U737),$U$2:$U$1001,0),MATCH(COLUMNS($AB$1006:AG1006),$AB$1006:$AQ$1006,0)), HYPERLINK("#",""), HYPERLINK(CONCATENATE("#metadata!", ADDRESS(INDEX($W$2:$W$1001,MATCH(ROWS($U$2:U737),$U$2:$U$1001,0),0), INDEX($AB$1004:$AQ$1004,1,MATCH(COLUMNS($AB$1006:AG1006),$AB$1006:$AQ$1006,0)))),"Fix")))</f>
        <v>0</v>
      </c>
      <c r="H737" s="4">
        <f>IF(OR(INDEX($V$2:$V$1001,MATCH(ROWS($U$2:U737),$U$2:$U$1001,0),1)&gt;=100000,INDEX($AB$1005:$AQ$1005,1,MATCH(COLUMNS($AB$1006:AH1006),$AB$1006:$AQ$1006,0))&gt;=100000), " ",IF(INDEX($AB$2:$AQ$1001,MATCH(ROWS($U$2:U737),$U$2:$U$1001,0),MATCH(COLUMNS($AB$1006:AH1006),$AB$1006:$AQ$1006,0)), HYPERLINK("#",""), HYPERLINK(CONCATENATE("#metadata!", ADDRESS(INDEX($W$2:$W$1001,MATCH(ROWS($U$2:U737),$U$2:$U$1001,0),0), INDEX($AB$1004:$AQ$1004,1,MATCH(COLUMNS($AB$1006:AH1006),$AB$1006:$AQ$1006,0)))),"Fix")))</f>
        <v>0</v>
      </c>
      <c r="I737" s="4">
        <f>IF(OR(INDEX($V$2:$V$1001,MATCH(ROWS($U$2:U737),$U$2:$U$1001,0),1)&gt;=100000,INDEX($AB$1005:$AQ$1005,1,MATCH(COLUMNS($AB$1006:AI1006),$AB$1006:$AQ$1006,0))&gt;=100000), " ",IF(INDEX($AB$2:$AQ$1001,MATCH(ROWS($U$2:U737),$U$2:$U$1001,0),MATCH(COLUMNS($AB$1006:AI1006),$AB$1006:$AQ$1006,0)), HYPERLINK("#",""), HYPERLINK(CONCATENATE("#metadata!", ADDRESS(INDEX($W$2:$W$1001,MATCH(ROWS($U$2:U737),$U$2:$U$1001,0),0), INDEX($AB$1004:$AQ$1004,1,MATCH(COLUMNS($AB$1006:AI1006),$AB$1006:$AQ$1006,0)))),"Fix")))</f>
        <v>0</v>
      </c>
      <c r="J737" s="4">
        <f>IF(OR(INDEX($V$2:$V$1001,MATCH(ROWS($U$2:U737),$U$2:$U$1001,0),1)&gt;=100000,INDEX($AB$1005:$AQ$1005,1,MATCH(COLUMNS($AB$1006:AJ1006),$AB$1006:$AQ$1006,0))&gt;=100000), " ",IF(INDEX($AB$2:$AQ$1001,MATCH(ROWS($U$2:U737),$U$2:$U$1001,0),MATCH(COLUMNS($AB$1006:AJ1006),$AB$1006:$AQ$1006,0)), HYPERLINK("#",""), HYPERLINK(CONCATENATE("#metadata!", ADDRESS(INDEX($W$2:$W$1001,MATCH(ROWS($U$2:U737),$U$2:$U$1001,0),0), INDEX($AB$1004:$AQ$1004,1,MATCH(COLUMNS($AB$1006:AJ1006),$AB$1006:$AQ$1006,0)))),"Fix")))</f>
        <v>0</v>
      </c>
      <c r="K737" s="4">
        <f>IF(OR(INDEX($V$2:$V$1001,MATCH(ROWS($U$2:U737),$U$2:$U$1001,0),1)&gt;=100000,INDEX($AB$1005:$AQ$1005,1,MATCH(COLUMNS($AB$1006:AK1006),$AB$1006:$AQ$1006,0))&gt;=100000), " ",IF(INDEX($AB$2:$AQ$1001,MATCH(ROWS($U$2:U737),$U$2:$U$1001,0),MATCH(COLUMNS($AB$1006:AK1006),$AB$1006:$AQ$1006,0)), HYPERLINK("#",""), HYPERLINK(CONCATENATE("#metadata!", ADDRESS(INDEX($W$2:$W$1001,MATCH(ROWS($U$2:U737),$U$2:$U$1001,0),0), INDEX($AB$1004:$AQ$1004,1,MATCH(COLUMNS($AB$1006:AK1006),$AB$1006:$AQ$1006,0)))),"Fix")))</f>
        <v>0</v>
      </c>
      <c r="L737" s="4">
        <f>IF(OR(INDEX($V$2:$V$1001,MATCH(ROWS($U$2:U737),$U$2:$U$1001,0),1)&gt;=100000,INDEX($AB$1005:$AQ$1005,1,MATCH(COLUMNS($AB$1006:AL1006),$AB$1006:$AQ$1006,0))&gt;=100000), " ",IF(INDEX($AB$2:$AQ$1001,MATCH(ROWS($U$2:U737),$U$2:$U$1001,0),MATCH(COLUMNS($AB$1006:AL1006),$AB$1006:$AQ$1006,0)), HYPERLINK("#",""), HYPERLINK(CONCATENATE("#metadata!", ADDRESS(INDEX($W$2:$W$1001,MATCH(ROWS($U$2:U737),$U$2:$U$1001,0),0), INDEX($AB$1004:$AQ$1004,1,MATCH(COLUMNS($AB$1006:AL1006),$AB$1006:$AQ$1006,0)))),"Fix")))</f>
        <v>0</v>
      </c>
      <c r="M737" s="4">
        <f>IF(OR(INDEX($V$2:$V$1001,MATCH(ROWS($U$2:U737),$U$2:$U$1001,0),1)&gt;=100000,INDEX($AB$1005:$AQ$1005,1,MATCH(COLUMNS($AB$1006:AM1006),$AB$1006:$AQ$1006,0))&gt;=100000), " ",IF(INDEX($AB$2:$AQ$1001,MATCH(ROWS($U$2:U737),$U$2:$U$1001,0),MATCH(COLUMNS($AB$1006:AM1006),$AB$1006:$AQ$1006,0)), HYPERLINK("#",""), HYPERLINK(CONCATENATE("#metadata!", ADDRESS(INDEX($W$2:$W$1001,MATCH(ROWS($U$2:U737),$U$2:$U$1001,0),0), INDEX($AB$1004:$AQ$1004,1,MATCH(COLUMNS($AB$1006:AM1006),$AB$1006:$AQ$1006,0)))),"Fix")))</f>
        <v>0</v>
      </c>
      <c r="N737" s="4">
        <f>IF(OR(INDEX($V$2:$V$1001,MATCH(ROWS($U$2:U737),$U$2:$U$1001,0),1)&gt;=100000,INDEX($AB$1005:$AQ$1005,1,MATCH(COLUMNS($AB$1006:AN1006),$AB$1006:$AQ$1006,0))&gt;=100000), " ",IF(INDEX($AB$2:$AQ$1001,MATCH(ROWS($U$2:U737),$U$2:$U$1001,0),MATCH(COLUMNS($AB$1006:AN1006),$AB$1006:$AQ$1006,0)), HYPERLINK("#",""), HYPERLINK(CONCATENATE("#metadata!", ADDRESS(INDEX($W$2:$W$1001,MATCH(ROWS($U$2:U737),$U$2:$U$1001,0),0), INDEX($AB$1004:$AQ$1004,1,MATCH(COLUMNS($AB$1006:AN1006),$AB$1006:$AQ$1006,0)))),"Fix")))</f>
        <v>0</v>
      </c>
      <c r="O737" s="4">
        <f>IF(OR(INDEX($V$2:$V$1001,MATCH(ROWS($U$2:U737),$U$2:$U$1001,0),1)&gt;=100000,INDEX($AB$1005:$AQ$1005,1,MATCH(COLUMNS($AB$1006:AO1006),$AB$1006:$AQ$1006,0))&gt;=100000), " ",IF(INDEX($AB$2:$AQ$1001,MATCH(ROWS($U$2:U737),$U$2:$U$1001,0),MATCH(COLUMNS($AB$1006:AO1006),$AB$1006:$AQ$1006,0)), HYPERLINK("#",""), HYPERLINK(CONCATENATE("#metadata!", ADDRESS(INDEX($W$2:$W$1001,MATCH(ROWS($U$2:U737),$U$2:$U$1001,0),0), INDEX($AB$1004:$AQ$1004,1,MATCH(COLUMNS($AB$1006:AO1006),$AB$1006:$AQ$1006,0)))),"Fix")))</f>
        <v>0</v>
      </c>
      <c r="P737" s="4">
        <f>IF(OR(INDEX($V$2:$V$1001,MATCH(ROWS($U$2:U737),$U$2:$U$1001,0),1)&gt;=100000,INDEX($AB$1005:$AQ$1005,1,MATCH(COLUMNS($AB$1006:AP1006),$AB$1006:$AQ$1006,0))&gt;=100000), " ",IF(INDEX($AB$2:$AQ$1001,MATCH(ROWS($U$2:U737),$U$2:$U$1001,0),MATCH(COLUMNS($AB$1006:AP1006),$AB$1006:$AQ$1006,0)), HYPERLINK("#",""), HYPERLINK(CONCATENATE("#metadata!", ADDRESS(INDEX($W$2:$W$1001,MATCH(ROWS($U$2:U737),$U$2:$U$1001,0),0), INDEX($AB$1004:$AQ$1004,1,MATCH(COLUMNS($AB$1006:AP1006),$AB$1006:$AQ$1006,0)))),"Fix")))</f>
        <v>0</v>
      </c>
      <c r="Q737" s="4">
        <f>IF(OR(INDEX($V$2:$V$1001,MATCH(ROWS($U$2:U737),$U$2:$U$1001,0),1)&gt;=100000,INDEX($AB$1005:$AQ$1005,1,MATCH(COLUMNS($AB$1006:AQ1006),$AB$1006:$AQ$1006,0))&gt;=100000), " ",IF(INDEX($AB$2:$AQ$1001,MATCH(ROWS($U$2:U737),$U$2:$U$1001,0),MATCH(COLUMNS($AB$1006:AQ1006),$AB$1006:$AQ$1006,0)), HYPERLINK("#",""), HYPERLINK(CONCATENATE("#metadata!", ADDRESS(INDEX($W$2:$W$1001,MATCH(ROWS($U$2:U737),$U$2:$U$1001,0),0), INDEX($AB$1004:$AQ$1004,1,MATCH(COLUMNS($AB$1006:AQ1006),$AB$1006:$AQ$1006,0)))),"Fix")))</f>
        <v>0</v>
      </c>
      <c r="U737">
        <v>0</v>
      </c>
      <c r="V737">
        <v>0</v>
      </c>
      <c r="W737">
        <v>0</v>
      </c>
      <c r="X737">
        <f>IF(Y737,TRUE,AND(AB737:AQ737))</f>
        <v>0</v>
      </c>
      <c r="Y737">
        <f>COUNTBLANK(metadata!B737:Q737)=COLUMNS(metadata!B737:Q737)</f>
        <v>0</v>
      </c>
      <c r="Z737">
        <v>0</v>
      </c>
      <c r="AB737">
        <f>AND(IF(metadata!B737="",FALSE,TRUE),COUNTIF(metadata!B:B, metadata!B737) = 1,NOT(ISERROR(SUMPRODUCT(SEARCH(MID(metadata!B737,ROW(INDIRECT("1:"&amp;LEN(metadata!B737))), 1),"0123456789abcdefghijklmnopqrstuvwxyzABCDEFGHIJKLMNOPQRSTUVWXYZ.")))))</f>
        <v>0</v>
      </c>
      <c r="AC737">
        <f>OR(AND(IF(metadata!C737="",FALSE,TRUE),OR(exact(metadata!C737,"missing: not collected"),exact(metadata!C737,"missing: not provided"),exact(metadata!C737,"missing: restricted access"))),AND(IF(metadata!C737="",FALSE,TRUE),AND(AND(IFERROR(INT(LEFT(metadata!C737,4))&gt;1900,FALSE),IFERROR(INT(LEFT(metadata!C737,4))&lt;=YEAR(NOW()),FALSE)), OR(MID(metadata!C737,5,1)="", AND(AND(MID(metadata!C737,5,1)="-",IFERROR(INT(MID(metadata!C737,6,1))&gt;=0,FALSE),IFERROR(INT(MID(metadata!C737,6,1))&lt;=1,FALSE),NOT(MID(metadata!C737,7,1)=""),IFERROR(INT(MID(metadata!C737,6,2))&gt;=1,FALSE),IFERROR(INT(MID(metadata!C737,6,2))&lt;=12,FALSE)), OR(MID(metadata!C737,8,1)="", AND(AND(MID(metadata!C737,8,1)="-",IFERROR(INT(MID(metadata!C737,9,1))&gt;=0,FALSE),IFERROR(INT(MID(metadata!C737,9,1))&lt;=3,FALSE),NOT(MID(metadata!C737,10,1)=""),IFERROR(INT(MID(metadata!C737,9,2))&gt;=1,FALSE),IFERROR(INT(MID(metadata!C737,9,2))&lt;=31,FALSE)), OR(MID(metadata!C737,11,1)="", AND(AND(MID(metadata!C737,11,1)=" ",IFERROR(INT(MID(metadata!C737,12,1))&gt;=0,FALSE),IFERROR(INT(MID(metadata!C737,12,1))&lt;=2,FALSE),NOT(MID(metadata!C737,13,1)=""),IFERROR(INT(MID(metadata!C737,12,2))&gt;=0,FALSE),IFERROR(INT(MID(metadata!C737,12,2))&lt;=23,FALSE)), OR(MID(metadata!C737,14,1)="", AND(AND(MID(metadata!C737,14,1)=":",IFERROR(INT(MID(metadata!C737,15,1))&gt;=0,FALSE),IFERROR(INT(MID(metadata!C737,15,1))&lt;=5,FALSE),NOT(MID(metadata!C737,16,1)=""),IFERROR(INT(MID(metadata!C737,15,2))&gt;=0,FALSE),IFERROR(INT(MID(metadata!C737,15,2))&lt;=59,FALSE)), OR(MID(metadata!C737,17,1)="", AND(AND(MID(metadata!C737,17,1)=":",IFERROR(INT(MID(metadata!C737,18,1))&gt;=0,FALSE),IFERROR(INT(MID(metadata!C737,18,1))&lt;=5,FALSE),NOT(MID(metadata!C737,19,1)=""),IFERROR(INT(MID(metadata!C737,18,2))&gt;=0,FALSE),IFERROR(INT(MID(metadata!C737,18,2))&lt;=59,FALSE)), LEN(metadata!C737)&lt;=19)))))))))))))</f>
        <v>0</v>
      </c>
      <c r="AD737">
        <f>IF(metadata!D737="",FALSE,TRUE)</f>
        <v>0</v>
      </c>
      <c r="AE737">
        <f>OR(AND(IF(metadata!E737="",FALSE,TRUE),OR(exact(metadata!E737,"missing: not collected"),exact(metadata!E737,"missing: not provided"))),AND(IF(metadata!E737="",FALSE,TRUE),OR(exact(metadata!E737,"TRUE"),exact(metadata!E737,"FALSE"))))</f>
        <v>0</v>
      </c>
      <c r="AF737">
        <f>IF(metadata!F737="",FALSE,TRUE)</f>
        <v>0</v>
      </c>
      <c r="AG737">
        <f>IF(metadata!G737="",FALSE,TRUE)</f>
        <v>0</v>
      </c>
      <c r="AH737">
        <f>IF(metadata!H737="",FALSE,TRUE)</f>
        <v>0</v>
      </c>
      <c r="AI737">
        <f>OR(AND(IF(metadata!I737="",FALSE,TRUE),OR(exact(metadata!I737,"missing: not collected"),exact(metadata!I737,"missing: not provided"),exact(metadata!I737,"missing: restricted access"))),AND(IF(metadata!I737="",FALSE,TRUE),OR(exact(metadata!I737,"air"),exact(metadata!I737,"built environment"),exact(metadata!I737,"host-associated"),exact(metadata!I737,"human-associated"),exact(metadata!I737,"human-skin"),exact(metadata!I737,"human-oral"),exact(metadata!I737,"human-gut"),exact(metadata!I737,"human-vaginal"),exact(metadata!I737,"microbial mat/biofilm"),exact(metadata!I737,"misc environment"),exact(metadata!I737,"plant-associated"),exact(metadata!I737,"sediment"),exact(metadata!I737,"soil"),exact(metadata!I737,"wastewater/sludge"),exact(metadata!I737,"water"))))</f>
        <v>0</v>
      </c>
      <c r="AJ737">
        <f>IF(metadata!J737="",FALSE,TRUE)</f>
        <v>0</v>
      </c>
      <c r="AK737">
        <f>OR(AND(IF(metadata!K737="",FALSE,TRUE),OR(exact(metadata!K737,"missing: not collected"),exact(metadata!K737,"missing: not provided"),exact(metadata!K737,"missing: restricted access"))),AND(IF(metadata!K737="",FALSE,ISNUMBER(VALUE(metadata!K737))),metadata!K737&gt;=-90.00,metadata!K737&lt;=90.00))</f>
        <v>0</v>
      </c>
      <c r="AL737">
        <f>OR(AND(IF(metadata!L737="",FALSE,TRUE),OR(exact(metadata!L737,"missing: not collected"),exact(metadata!L737,"missing: not provided"),exact(metadata!L737,"missing: restricted access"))),AND(IF(metadata!L737="",FALSE,ISNUMBER(VALUE(metadata!L737))),metadata!L737&gt;=-180.00,metadata!L737&lt;=180.00))</f>
        <v>0</v>
      </c>
      <c r="AM737">
        <f>IF(metadata!M737="",FALSE,TRUE)</f>
        <v>0</v>
      </c>
      <c r="AN737">
        <f>OR(AND(IF(metadata!N737="",FALSE,TRUE),OR(exact(metadata!N737,"missing: not collected"),exact(metadata!N737,"missing: not provided"),exact(metadata!N737,"missing: restricted access"))),AND(IF(metadata!N737="",FALSE,TRUE),OR(exact(metadata!N737,"TRUE"),exact(metadata!N737,"FALSE"))))</f>
        <v>0</v>
      </c>
      <c r="AO737">
        <f>IF(metadata!O737="",FALSE,TRUE)</f>
        <v>0</v>
      </c>
      <c r="AP737">
        <f>OR(AND(IF(metadata!P737="",FALSE,TRUE),OR(exact(metadata!P737,"missing: not collected"),exact(metadata!P737,"missing: not provided"))),AND(IF(metadata!P737="",FALSE,IF(ISERROR(INT(metadata!P737)),FALSE,INT(metadata!P737)=metadata!P737)),metadata!P737&gt;0))</f>
        <v>0</v>
      </c>
      <c r="AQ737">
        <f>IF(metadata!Q737="",FALSE,TRUE)</f>
        <v>0</v>
      </c>
    </row>
    <row r="738" spans="1:43">
      <c r="A738" s="5">
        <f>IF(B738=" "," ",HYPERLINK(CONCATENATE("#metadata!",ADDRESS(INDEX($W$2:$W$1001,MATCH(ROWS($U$2:U738),$U$2:$U$1001,0),0),1)),INDEX($Z$2:$Z$1001,MATCH(ROWS($U$2:U738),$U$2:$U$1001,0),0)))</f>
        <v>0</v>
      </c>
      <c r="B738" s="4">
        <f>IF(OR(INDEX($V$2:$V$1001,MATCH(ROWS($U$2:U738),$U$2:$U$1001,0),1)&gt;=100000,INDEX($AB$1005:$AQ$1005,1,MATCH(COLUMNS($AB$1006:AB1006),$AB$1006:$AQ$1006,0))&gt;=100000), " ",IF(INDEX($AB$2:$AQ$1001,MATCH(ROWS($U$2:U738),$U$2:$U$1001,0),MATCH(COLUMNS($AB$1006:AB1006),$AB$1006:$AQ$1006,0)), HYPERLINK("#",""), HYPERLINK(CONCATENATE("#metadata!", ADDRESS(INDEX($W$2:$W$1001,MATCH(ROWS($U$2:U738),$U$2:$U$1001,0),0), INDEX($AB$1004:$AQ$1004,1,MATCH(COLUMNS($AB$1006:AB1006),$AB$1006:$AQ$1006,0)))),"Fix")))</f>
        <v>0</v>
      </c>
      <c r="C738" s="4">
        <f>IF(OR(INDEX($V$2:$V$1001,MATCH(ROWS($U$2:U738),$U$2:$U$1001,0),1)&gt;=100000,INDEX($AB$1005:$AQ$1005,1,MATCH(COLUMNS($AB$1006:AC1006),$AB$1006:$AQ$1006,0))&gt;=100000), " ",IF(INDEX($AB$2:$AQ$1001,MATCH(ROWS($U$2:U738),$U$2:$U$1001,0),MATCH(COLUMNS($AB$1006:AC1006),$AB$1006:$AQ$1006,0)), HYPERLINK("#",""), HYPERLINK(CONCATENATE("#metadata!", ADDRESS(INDEX($W$2:$W$1001,MATCH(ROWS($U$2:U738),$U$2:$U$1001,0),0), INDEX($AB$1004:$AQ$1004,1,MATCH(COLUMNS($AB$1006:AC1006),$AB$1006:$AQ$1006,0)))),"Fix")))</f>
        <v>0</v>
      </c>
      <c r="D738" s="4">
        <f>IF(OR(INDEX($V$2:$V$1001,MATCH(ROWS($U$2:U738),$U$2:$U$1001,0),1)&gt;=100000,INDEX($AB$1005:$AQ$1005,1,MATCH(COLUMNS($AB$1006:AD1006),$AB$1006:$AQ$1006,0))&gt;=100000), " ",IF(INDEX($AB$2:$AQ$1001,MATCH(ROWS($U$2:U738),$U$2:$U$1001,0),MATCH(COLUMNS($AB$1006:AD1006),$AB$1006:$AQ$1006,0)), HYPERLINK("#",""), HYPERLINK(CONCATENATE("#metadata!", ADDRESS(INDEX($W$2:$W$1001,MATCH(ROWS($U$2:U738),$U$2:$U$1001,0),0), INDEX($AB$1004:$AQ$1004,1,MATCH(COLUMNS($AB$1006:AD1006),$AB$1006:$AQ$1006,0)))),"Fix")))</f>
        <v>0</v>
      </c>
      <c r="E738" s="4">
        <f>IF(OR(INDEX($V$2:$V$1001,MATCH(ROWS($U$2:U738),$U$2:$U$1001,0),1)&gt;=100000,INDEX($AB$1005:$AQ$1005,1,MATCH(COLUMNS($AB$1006:AE1006),$AB$1006:$AQ$1006,0))&gt;=100000), " ",IF(INDEX($AB$2:$AQ$1001,MATCH(ROWS($U$2:U738),$U$2:$U$1001,0),MATCH(COLUMNS($AB$1006:AE1006),$AB$1006:$AQ$1006,0)), HYPERLINK("#",""), HYPERLINK(CONCATENATE("#metadata!", ADDRESS(INDEX($W$2:$W$1001,MATCH(ROWS($U$2:U738),$U$2:$U$1001,0),0), INDEX($AB$1004:$AQ$1004,1,MATCH(COLUMNS($AB$1006:AE1006),$AB$1006:$AQ$1006,0)))),"Fix")))</f>
        <v>0</v>
      </c>
      <c r="F738" s="4">
        <f>IF(OR(INDEX($V$2:$V$1001,MATCH(ROWS($U$2:U738),$U$2:$U$1001,0),1)&gt;=100000,INDEX($AB$1005:$AQ$1005,1,MATCH(COLUMNS($AB$1006:AF1006),$AB$1006:$AQ$1006,0))&gt;=100000), " ",IF(INDEX($AB$2:$AQ$1001,MATCH(ROWS($U$2:U738),$U$2:$U$1001,0),MATCH(COLUMNS($AB$1006:AF1006),$AB$1006:$AQ$1006,0)), HYPERLINK("#",""), HYPERLINK(CONCATENATE("#metadata!", ADDRESS(INDEX($W$2:$W$1001,MATCH(ROWS($U$2:U738),$U$2:$U$1001,0),0), INDEX($AB$1004:$AQ$1004,1,MATCH(COLUMNS($AB$1006:AF1006),$AB$1006:$AQ$1006,0)))),"Fix")))</f>
        <v>0</v>
      </c>
      <c r="G738" s="4">
        <f>IF(OR(INDEX($V$2:$V$1001,MATCH(ROWS($U$2:U738),$U$2:$U$1001,0),1)&gt;=100000,INDEX($AB$1005:$AQ$1005,1,MATCH(COLUMNS($AB$1006:AG1006),$AB$1006:$AQ$1006,0))&gt;=100000), " ",IF(INDEX($AB$2:$AQ$1001,MATCH(ROWS($U$2:U738),$U$2:$U$1001,0),MATCH(COLUMNS($AB$1006:AG1006),$AB$1006:$AQ$1006,0)), HYPERLINK("#",""), HYPERLINK(CONCATENATE("#metadata!", ADDRESS(INDEX($W$2:$W$1001,MATCH(ROWS($U$2:U738),$U$2:$U$1001,0),0), INDEX($AB$1004:$AQ$1004,1,MATCH(COLUMNS($AB$1006:AG1006),$AB$1006:$AQ$1006,0)))),"Fix")))</f>
        <v>0</v>
      </c>
      <c r="H738" s="4">
        <f>IF(OR(INDEX($V$2:$V$1001,MATCH(ROWS($U$2:U738),$U$2:$U$1001,0),1)&gt;=100000,INDEX($AB$1005:$AQ$1005,1,MATCH(COLUMNS($AB$1006:AH1006),$AB$1006:$AQ$1006,0))&gt;=100000), " ",IF(INDEX($AB$2:$AQ$1001,MATCH(ROWS($U$2:U738),$U$2:$U$1001,0),MATCH(COLUMNS($AB$1006:AH1006),$AB$1006:$AQ$1006,0)), HYPERLINK("#",""), HYPERLINK(CONCATENATE("#metadata!", ADDRESS(INDEX($W$2:$W$1001,MATCH(ROWS($U$2:U738),$U$2:$U$1001,0),0), INDEX($AB$1004:$AQ$1004,1,MATCH(COLUMNS($AB$1006:AH1006),$AB$1006:$AQ$1006,0)))),"Fix")))</f>
        <v>0</v>
      </c>
      <c r="I738" s="4">
        <f>IF(OR(INDEX($V$2:$V$1001,MATCH(ROWS($U$2:U738),$U$2:$U$1001,0),1)&gt;=100000,INDEX($AB$1005:$AQ$1005,1,MATCH(COLUMNS($AB$1006:AI1006),$AB$1006:$AQ$1006,0))&gt;=100000), " ",IF(INDEX($AB$2:$AQ$1001,MATCH(ROWS($U$2:U738),$U$2:$U$1001,0),MATCH(COLUMNS($AB$1006:AI1006),$AB$1006:$AQ$1006,0)), HYPERLINK("#",""), HYPERLINK(CONCATENATE("#metadata!", ADDRESS(INDEX($W$2:$W$1001,MATCH(ROWS($U$2:U738),$U$2:$U$1001,0),0), INDEX($AB$1004:$AQ$1004,1,MATCH(COLUMNS($AB$1006:AI1006),$AB$1006:$AQ$1006,0)))),"Fix")))</f>
        <v>0</v>
      </c>
      <c r="J738" s="4">
        <f>IF(OR(INDEX($V$2:$V$1001,MATCH(ROWS($U$2:U738),$U$2:$U$1001,0),1)&gt;=100000,INDEX($AB$1005:$AQ$1005,1,MATCH(COLUMNS($AB$1006:AJ1006),$AB$1006:$AQ$1006,0))&gt;=100000), " ",IF(INDEX($AB$2:$AQ$1001,MATCH(ROWS($U$2:U738),$U$2:$U$1001,0),MATCH(COLUMNS($AB$1006:AJ1006),$AB$1006:$AQ$1006,0)), HYPERLINK("#",""), HYPERLINK(CONCATENATE("#metadata!", ADDRESS(INDEX($W$2:$W$1001,MATCH(ROWS($U$2:U738),$U$2:$U$1001,0),0), INDEX($AB$1004:$AQ$1004,1,MATCH(COLUMNS($AB$1006:AJ1006),$AB$1006:$AQ$1006,0)))),"Fix")))</f>
        <v>0</v>
      </c>
      <c r="K738" s="4">
        <f>IF(OR(INDEX($V$2:$V$1001,MATCH(ROWS($U$2:U738),$U$2:$U$1001,0),1)&gt;=100000,INDEX($AB$1005:$AQ$1005,1,MATCH(COLUMNS($AB$1006:AK1006),$AB$1006:$AQ$1006,0))&gt;=100000), " ",IF(INDEX($AB$2:$AQ$1001,MATCH(ROWS($U$2:U738),$U$2:$U$1001,0),MATCH(COLUMNS($AB$1006:AK1006),$AB$1006:$AQ$1006,0)), HYPERLINK("#",""), HYPERLINK(CONCATENATE("#metadata!", ADDRESS(INDEX($W$2:$W$1001,MATCH(ROWS($U$2:U738),$U$2:$U$1001,0),0), INDEX($AB$1004:$AQ$1004,1,MATCH(COLUMNS($AB$1006:AK1006),$AB$1006:$AQ$1006,0)))),"Fix")))</f>
        <v>0</v>
      </c>
      <c r="L738" s="4">
        <f>IF(OR(INDEX($V$2:$V$1001,MATCH(ROWS($U$2:U738),$U$2:$U$1001,0),1)&gt;=100000,INDEX($AB$1005:$AQ$1005,1,MATCH(COLUMNS($AB$1006:AL1006),$AB$1006:$AQ$1006,0))&gt;=100000), " ",IF(INDEX($AB$2:$AQ$1001,MATCH(ROWS($U$2:U738),$U$2:$U$1001,0),MATCH(COLUMNS($AB$1006:AL1006),$AB$1006:$AQ$1006,0)), HYPERLINK("#",""), HYPERLINK(CONCATENATE("#metadata!", ADDRESS(INDEX($W$2:$W$1001,MATCH(ROWS($U$2:U738),$U$2:$U$1001,0),0), INDEX($AB$1004:$AQ$1004,1,MATCH(COLUMNS($AB$1006:AL1006),$AB$1006:$AQ$1006,0)))),"Fix")))</f>
        <v>0</v>
      </c>
      <c r="M738" s="4">
        <f>IF(OR(INDEX($V$2:$V$1001,MATCH(ROWS($U$2:U738),$U$2:$U$1001,0),1)&gt;=100000,INDEX($AB$1005:$AQ$1005,1,MATCH(COLUMNS($AB$1006:AM1006),$AB$1006:$AQ$1006,0))&gt;=100000), " ",IF(INDEX($AB$2:$AQ$1001,MATCH(ROWS($U$2:U738),$U$2:$U$1001,0),MATCH(COLUMNS($AB$1006:AM1006),$AB$1006:$AQ$1006,0)), HYPERLINK("#",""), HYPERLINK(CONCATENATE("#metadata!", ADDRESS(INDEX($W$2:$W$1001,MATCH(ROWS($U$2:U738),$U$2:$U$1001,0),0), INDEX($AB$1004:$AQ$1004,1,MATCH(COLUMNS($AB$1006:AM1006),$AB$1006:$AQ$1006,0)))),"Fix")))</f>
        <v>0</v>
      </c>
      <c r="N738" s="4">
        <f>IF(OR(INDEX($V$2:$V$1001,MATCH(ROWS($U$2:U738),$U$2:$U$1001,0),1)&gt;=100000,INDEX($AB$1005:$AQ$1005,1,MATCH(COLUMNS($AB$1006:AN1006),$AB$1006:$AQ$1006,0))&gt;=100000), " ",IF(INDEX($AB$2:$AQ$1001,MATCH(ROWS($U$2:U738),$U$2:$U$1001,0),MATCH(COLUMNS($AB$1006:AN1006),$AB$1006:$AQ$1006,0)), HYPERLINK("#",""), HYPERLINK(CONCATENATE("#metadata!", ADDRESS(INDEX($W$2:$W$1001,MATCH(ROWS($U$2:U738),$U$2:$U$1001,0),0), INDEX($AB$1004:$AQ$1004,1,MATCH(COLUMNS($AB$1006:AN1006),$AB$1006:$AQ$1006,0)))),"Fix")))</f>
        <v>0</v>
      </c>
      <c r="O738" s="4">
        <f>IF(OR(INDEX($V$2:$V$1001,MATCH(ROWS($U$2:U738),$U$2:$U$1001,0),1)&gt;=100000,INDEX($AB$1005:$AQ$1005,1,MATCH(COLUMNS($AB$1006:AO1006),$AB$1006:$AQ$1006,0))&gt;=100000), " ",IF(INDEX($AB$2:$AQ$1001,MATCH(ROWS($U$2:U738),$U$2:$U$1001,0),MATCH(COLUMNS($AB$1006:AO1006),$AB$1006:$AQ$1006,0)), HYPERLINK("#",""), HYPERLINK(CONCATENATE("#metadata!", ADDRESS(INDEX($W$2:$W$1001,MATCH(ROWS($U$2:U738),$U$2:$U$1001,0),0), INDEX($AB$1004:$AQ$1004,1,MATCH(COLUMNS($AB$1006:AO1006),$AB$1006:$AQ$1006,0)))),"Fix")))</f>
        <v>0</v>
      </c>
      <c r="P738" s="4">
        <f>IF(OR(INDEX($V$2:$V$1001,MATCH(ROWS($U$2:U738),$U$2:$U$1001,0),1)&gt;=100000,INDEX($AB$1005:$AQ$1005,1,MATCH(COLUMNS($AB$1006:AP1006),$AB$1006:$AQ$1006,0))&gt;=100000), " ",IF(INDEX($AB$2:$AQ$1001,MATCH(ROWS($U$2:U738),$U$2:$U$1001,0),MATCH(COLUMNS($AB$1006:AP1006),$AB$1006:$AQ$1006,0)), HYPERLINK("#",""), HYPERLINK(CONCATENATE("#metadata!", ADDRESS(INDEX($W$2:$W$1001,MATCH(ROWS($U$2:U738),$U$2:$U$1001,0),0), INDEX($AB$1004:$AQ$1004,1,MATCH(COLUMNS($AB$1006:AP1006),$AB$1006:$AQ$1006,0)))),"Fix")))</f>
        <v>0</v>
      </c>
      <c r="Q738" s="4">
        <f>IF(OR(INDEX($V$2:$V$1001,MATCH(ROWS($U$2:U738),$U$2:$U$1001,0),1)&gt;=100000,INDEX($AB$1005:$AQ$1005,1,MATCH(COLUMNS($AB$1006:AQ1006),$AB$1006:$AQ$1006,0))&gt;=100000), " ",IF(INDEX($AB$2:$AQ$1001,MATCH(ROWS($U$2:U738),$U$2:$U$1001,0),MATCH(COLUMNS($AB$1006:AQ1006),$AB$1006:$AQ$1006,0)), HYPERLINK("#",""), HYPERLINK(CONCATENATE("#metadata!", ADDRESS(INDEX($W$2:$W$1001,MATCH(ROWS($U$2:U738),$U$2:$U$1001,0),0), INDEX($AB$1004:$AQ$1004,1,MATCH(COLUMNS($AB$1006:AQ1006),$AB$1006:$AQ$1006,0)))),"Fix")))</f>
        <v>0</v>
      </c>
      <c r="U738">
        <v>0</v>
      </c>
      <c r="V738">
        <v>0</v>
      </c>
      <c r="W738">
        <v>0</v>
      </c>
      <c r="X738">
        <f>IF(Y738,TRUE,AND(AB738:AQ738))</f>
        <v>0</v>
      </c>
      <c r="Y738">
        <f>COUNTBLANK(metadata!B738:Q738)=COLUMNS(metadata!B738:Q738)</f>
        <v>0</v>
      </c>
      <c r="Z738">
        <v>0</v>
      </c>
      <c r="AB738">
        <f>AND(IF(metadata!B738="",FALSE,TRUE),COUNTIF(metadata!B:B, metadata!B738) = 1,NOT(ISERROR(SUMPRODUCT(SEARCH(MID(metadata!B738,ROW(INDIRECT("1:"&amp;LEN(metadata!B738))), 1),"0123456789abcdefghijklmnopqrstuvwxyzABCDEFGHIJKLMNOPQRSTUVWXYZ.")))))</f>
        <v>0</v>
      </c>
      <c r="AC738">
        <f>OR(AND(IF(metadata!C738="",FALSE,TRUE),OR(exact(metadata!C738,"missing: not collected"),exact(metadata!C738,"missing: not provided"),exact(metadata!C738,"missing: restricted access"))),AND(IF(metadata!C738="",FALSE,TRUE),AND(AND(IFERROR(INT(LEFT(metadata!C738,4))&gt;1900,FALSE),IFERROR(INT(LEFT(metadata!C738,4))&lt;=YEAR(NOW()),FALSE)), OR(MID(metadata!C738,5,1)="", AND(AND(MID(metadata!C738,5,1)="-",IFERROR(INT(MID(metadata!C738,6,1))&gt;=0,FALSE),IFERROR(INT(MID(metadata!C738,6,1))&lt;=1,FALSE),NOT(MID(metadata!C738,7,1)=""),IFERROR(INT(MID(metadata!C738,6,2))&gt;=1,FALSE),IFERROR(INT(MID(metadata!C738,6,2))&lt;=12,FALSE)), OR(MID(metadata!C738,8,1)="", AND(AND(MID(metadata!C738,8,1)="-",IFERROR(INT(MID(metadata!C738,9,1))&gt;=0,FALSE),IFERROR(INT(MID(metadata!C738,9,1))&lt;=3,FALSE),NOT(MID(metadata!C738,10,1)=""),IFERROR(INT(MID(metadata!C738,9,2))&gt;=1,FALSE),IFERROR(INT(MID(metadata!C738,9,2))&lt;=31,FALSE)), OR(MID(metadata!C738,11,1)="", AND(AND(MID(metadata!C738,11,1)=" ",IFERROR(INT(MID(metadata!C738,12,1))&gt;=0,FALSE),IFERROR(INT(MID(metadata!C738,12,1))&lt;=2,FALSE),NOT(MID(metadata!C738,13,1)=""),IFERROR(INT(MID(metadata!C738,12,2))&gt;=0,FALSE),IFERROR(INT(MID(metadata!C738,12,2))&lt;=23,FALSE)), OR(MID(metadata!C738,14,1)="", AND(AND(MID(metadata!C738,14,1)=":",IFERROR(INT(MID(metadata!C738,15,1))&gt;=0,FALSE),IFERROR(INT(MID(metadata!C738,15,1))&lt;=5,FALSE),NOT(MID(metadata!C738,16,1)=""),IFERROR(INT(MID(metadata!C738,15,2))&gt;=0,FALSE),IFERROR(INT(MID(metadata!C738,15,2))&lt;=59,FALSE)), OR(MID(metadata!C738,17,1)="", AND(AND(MID(metadata!C738,17,1)=":",IFERROR(INT(MID(metadata!C738,18,1))&gt;=0,FALSE),IFERROR(INT(MID(metadata!C738,18,1))&lt;=5,FALSE),NOT(MID(metadata!C738,19,1)=""),IFERROR(INT(MID(metadata!C738,18,2))&gt;=0,FALSE),IFERROR(INT(MID(metadata!C738,18,2))&lt;=59,FALSE)), LEN(metadata!C738)&lt;=19)))))))))))))</f>
        <v>0</v>
      </c>
      <c r="AD738">
        <f>IF(metadata!D738="",FALSE,TRUE)</f>
        <v>0</v>
      </c>
      <c r="AE738">
        <f>OR(AND(IF(metadata!E738="",FALSE,TRUE),OR(exact(metadata!E738,"missing: not collected"),exact(metadata!E738,"missing: not provided"))),AND(IF(metadata!E738="",FALSE,TRUE),OR(exact(metadata!E738,"TRUE"),exact(metadata!E738,"FALSE"))))</f>
        <v>0</v>
      </c>
      <c r="AF738">
        <f>IF(metadata!F738="",FALSE,TRUE)</f>
        <v>0</v>
      </c>
      <c r="AG738">
        <f>IF(metadata!G738="",FALSE,TRUE)</f>
        <v>0</v>
      </c>
      <c r="AH738">
        <f>IF(metadata!H738="",FALSE,TRUE)</f>
        <v>0</v>
      </c>
      <c r="AI738">
        <f>OR(AND(IF(metadata!I738="",FALSE,TRUE),OR(exact(metadata!I738,"missing: not collected"),exact(metadata!I738,"missing: not provided"),exact(metadata!I738,"missing: restricted access"))),AND(IF(metadata!I738="",FALSE,TRUE),OR(exact(metadata!I738,"air"),exact(metadata!I738,"built environment"),exact(metadata!I738,"host-associated"),exact(metadata!I738,"human-associated"),exact(metadata!I738,"human-skin"),exact(metadata!I738,"human-oral"),exact(metadata!I738,"human-gut"),exact(metadata!I738,"human-vaginal"),exact(metadata!I738,"microbial mat/biofilm"),exact(metadata!I738,"misc environment"),exact(metadata!I738,"plant-associated"),exact(metadata!I738,"sediment"),exact(metadata!I738,"soil"),exact(metadata!I738,"wastewater/sludge"),exact(metadata!I738,"water"))))</f>
        <v>0</v>
      </c>
      <c r="AJ738">
        <f>IF(metadata!J738="",FALSE,TRUE)</f>
        <v>0</v>
      </c>
      <c r="AK738">
        <f>OR(AND(IF(metadata!K738="",FALSE,TRUE),OR(exact(metadata!K738,"missing: not collected"),exact(metadata!K738,"missing: not provided"),exact(metadata!K738,"missing: restricted access"))),AND(IF(metadata!K738="",FALSE,ISNUMBER(VALUE(metadata!K738))),metadata!K738&gt;=-90.00,metadata!K738&lt;=90.00))</f>
        <v>0</v>
      </c>
      <c r="AL738">
        <f>OR(AND(IF(metadata!L738="",FALSE,TRUE),OR(exact(metadata!L738,"missing: not collected"),exact(metadata!L738,"missing: not provided"),exact(metadata!L738,"missing: restricted access"))),AND(IF(metadata!L738="",FALSE,ISNUMBER(VALUE(metadata!L738))),metadata!L738&gt;=-180.00,metadata!L738&lt;=180.00))</f>
        <v>0</v>
      </c>
      <c r="AM738">
        <f>IF(metadata!M738="",FALSE,TRUE)</f>
        <v>0</v>
      </c>
      <c r="AN738">
        <f>OR(AND(IF(metadata!N738="",FALSE,TRUE),OR(exact(metadata!N738,"missing: not collected"),exact(metadata!N738,"missing: not provided"),exact(metadata!N738,"missing: restricted access"))),AND(IF(metadata!N738="",FALSE,TRUE),OR(exact(metadata!N738,"TRUE"),exact(metadata!N738,"FALSE"))))</f>
        <v>0</v>
      </c>
      <c r="AO738">
        <f>IF(metadata!O738="",FALSE,TRUE)</f>
        <v>0</v>
      </c>
      <c r="AP738">
        <f>OR(AND(IF(metadata!P738="",FALSE,TRUE),OR(exact(metadata!P738,"missing: not collected"),exact(metadata!P738,"missing: not provided"))),AND(IF(metadata!P738="",FALSE,IF(ISERROR(INT(metadata!P738)),FALSE,INT(metadata!P738)=metadata!P738)),metadata!P738&gt;0))</f>
        <v>0</v>
      </c>
      <c r="AQ738">
        <f>IF(metadata!Q738="",FALSE,TRUE)</f>
        <v>0</v>
      </c>
    </row>
    <row r="739" spans="1:43">
      <c r="A739" s="5">
        <f>IF(B739=" "," ",HYPERLINK(CONCATENATE("#metadata!",ADDRESS(INDEX($W$2:$W$1001,MATCH(ROWS($U$2:U739),$U$2:$U$1001,0),0),1)),INDEX($Z$2:$Z$1001,MATCH(ROWS($U$2:U739),$U$2:$U$1001,0),0)))</f>
        <v>0</v>
      </c>
      <c r="B739" s="4">
        <f>IF(OR(INDEX($V$2:$V$1001,MATCH(ROWS($U$2:U739),$U$2:$U$1001,0),1)&gt;=100000,INDEX($AB$1005:$AQ$1005,1,MATCH(COLUMNS($AB$1006:AB1006),$AB$1006:$AQ$1006,0))&gt;=100000), " ",IF(INDEX($AB$2:$AQ$1001,MATCH(ROWS($U$2:U739),$U$2:$U$1001,0),MATCH(COLUMNS($AB$1006:AB1006),$AB$1006:$AQ$1006,0)), HYPERLINK("#",""), HYPERLINK(CONCATENATE("#metadata!", ADDRESS(INDEX($W$2:$W$1001,MATCH(ROWS($U$2:U739),$U$2:$U$1001,0),0), INDEX($AB$1004:$AQ$1004,1,MATCH(COLUMNS($AB$1006:AB1006),$AB$1006:$AQ$1006,0)))),"Fix")))</f>
        <v>0</v>
      </c>
      <c r="C739" s="4">
        <f>IF(OR(INDEX($V$2:$V$1001,MATCH(ROWS($U$2:U739),$U$2:$U$1001,0),1)&gt;=100000,INDEX($AB$1005:$AQ$1005,1,MATCH(COLUMNS($AB$1006:AC1006),$AB$1006:$AQ$1006,0))&gt;=100000), " ",IF(INDEX($AB$2:$AQ$1001,MATCH(ROWS($U$2:U739),$U$2:$U$1001,0),MATCH(COLUMNS($AB$1006:AC1006),$AB$1006:$AQ$1006,0)), HYPERLINK("#",""), HYPERLINK(CONCATENATE("#metadata!", ADDRESS(INDEX($W$2:$W$1001,MATCH(ROWS($U$2:U739),$U$2:$U$1001,0),0), INDEX($AB$1004:$AQ$1004,1,MATCH(COLUMNS($AB$1006:AC1006),$AB$1006:$AQ$1006,0)))),"Fix")))</f>
        <v>0</v>
      </c>
      <c r="D739" s="4">
        <f>IF(OR(INDEX($V$2:$V$1001,MATCH(ROWS($U$2:U739),$U$2:$U$1001,0),1)&gt;=100000,INDEX($AB$1005:$AQ$1005,1,MATCH(COLUMNS($AB$1006:AD1006),$AB$1006:$AQ$1006,0))&gt;=100000), " ",IF(INDEX($AB$2:$AQ$1001,MATCH(ROWS($U$2:U739),$U$2:$U$1001,0),MATCH(COLUMNS($AB$1006:AD1006),$AB$1006:$AQ$1006,0)), HYPERLINK("#",""), HYPERLINK(CONCATENATE("#metadata!", ADDRESS(INDEX($W$2:$W$1001,MATCH(ROWS($U$2:U739),$U$2:$U$1001,0),0), INDEX($AB$1004:$AQ$1004,1,MATCH(COLUMNS($AB$1006:AD1006),$AB$1006:$AQ$1006,0)))),"Fix")))</f>
        <v>0</v>
      </c>
      <c r="E739" s="4">
        <f>IF(OR(INDEX($V$2:$V$1001,MATCH(ROWS($U$2:U739),$U$2:$U$1001,0),1)&gt;=100000,INDEX($AB$1005:$AQ$1005,1,MATCH(COLUMNS($AB$1006:AE1006),$AB$1006:$AQ$1006,0))&gt;=100000), " ",IF(INDEX($AB$2:$AQ$1001,MATCH(ROWS($U$2:U739),$U$2:$U$1001,0),MATCH(COLUMNS($AB$1006:AE1006),$AB$1006:$AQ$1006,0)), HYPERLINK("#",""), HYPERLINK(CONCATENATE("#metadata!", ADDRESS(INDEX($W$2:$W$1001,MATCH(ROWS($U$2:U739),$U$2:$U$1001,0),0), INDEX($AB$1004:$AQ$1004,1,MATCH(COLUMNS($AB$1006:AE1006),$AB$1006:$AQ$1006,0)))),"Fix")))</f>
        <v>0</v>
      </c>
      <c r="F739" s="4">
        <f>IF(OR(INDEX($V$2:$V$1001,MATCH(ROWS($U$2:U739),$U$2:$U$1001,0),1)&gt;=100000,INDEX($AB$1005:$AQ$1005,1,MATCH(COLUMNS($AB$1006:AF1006),$AB$1006:$AQ$1006,0))&gt;=100000), " ",IF(INDEX($AB$2:$AQ$1001,MATCH(ROWS($U$2:U739),$U$2:$U$1001,0),MATCH(COLUMNS($AB$1006:AF1006),$AB$1006:$AQ$1006,0)), HYPERLINK("#",""), HYPERLINK(CONCATENATE("#metadata!", ADDRESS(INDEX($W$2:$W$1001,MATCH(ROWS($U$2:U739),$U$2:$U$1001,0),0), INDEX($AB$1004:$AQ$1004,1,MATCH(COLUMNS($AB$1006:AF1006),$AB$1006:$AQ$1006,0)))),"Fix")))</f>
        <v>0</v>
      </c>
      <c r="G739" s="4">
        <f>IF(OR(INDEX($V$2:$V$1001,MATCH(ROWS($U$2:U739),$U$2:$U$1001,0),1)&gt;=100000,INDEX($AB$1005:$AQ$1005,1,MATCH(COLUMNS($AB$1006:AG1006),$AB$1006:$AQ$1006,0))&gt;=100000), " ",IF(INDEX($AB$2:$AQ$1001,MATCH(ROWS($U$2:U739),$U$2:$U$1001,0),MATCH(COLUMNS($AB$1006:AG1006),$AB$1006:$AQ$1006,0)), HYPERLINK("#",""), HYPERLINK(CONCATENATE("#metadata!", ADDRESS(INDEX($W$2:$W$1001,MATCH(ROWS($U$2:U739),$U$2:$U$1001,0),0), INDEX($AB$1004:$AQ$1004,1,MATCH(COLUMNS($AB$1006:AG1006),$AB$1006:$AQ$1006,0)))),"Fix")))</f>
        <v>0</v>
      </c>
      <c r="H739" s="4">
        <f>IF(OR(INDEX($V$2:$V$1001,MATCH(ROWS($U$2:U739),$U$2:$U$1001,0),1)&gt;=100000,INDEX($AB$1005:$AQ$1005,1,MATCH(COLUMNS($AB$1006:AH1006),$AB$1006:$AQ$1006,0))&gt;=100000), " ",IF(INDEX($AB$2:$AQ$1001,MATCH(ROWS($U$2:U739),$U$2:$U$1001,0),MATCH(COLUMNS($AB$1006:AH1006),$AB$1006:$AQ$1006,0)), HYPERLINK("#",""), HYPERLINK(CONCATENATE("#metadata!", ADDRESS(INDEX($W$2:$W$1001,MATCH(ROWS($U$2:U739),$U$2:$U$1001,0),0), INDEX($AB$1004:$AQ$1004,1,MATCH(COLUMNS($AB$1006:AH1006),$AB$1006:$AQ$1006,0)))),"Fix")))</f>
        <v>0</v>
      </c>
      <c r="I739" s="4">
        <f>IF(OR(INDEX($V$2:$V$1001,MATCH(ROWS($U$2:U739),$U$2:$U$1001,0),1)&gt;=100000,INDEX($AB$1005:$AQ$1005,1,MATCH(COLUMNS($AB$1006:AI1006),$AB$1006:$AQ$1006,0))&gt;=100000), " ",IF(INDEX($AB$2:$AQ$1001,MATCH(ROWS($U$2:U739),$U$2:$U$1001,0),MATCH(COLUMNS($AB$1006:AI1006),$AB$1006:$AQ$1006,0)), HYPERLINK("#",""), HYPERLINK(CONCATENATE("#metadata!", ADDRESS(INDEX($W$2:$W$1001,MATCH(ROWS($U$2:U739),$U$2:$U$1001,0),0), INDEX($AB$1004:$AQ$1004,1,MATCH(COLUMNS($AB$1006:AI1006),$AB$1006:$AQ$1006,0)))),"Fix")))</f>
        <v>0</v>
      </c>
      <c r="J739" s="4">
        <f>IF(OR(INDEX($V$2:$V$1001,MATCH(ROWS($U$2:U739),$U$2:$U$1001,0),1)&gt;=100000,INDEX($AB$1005:$AQ$1005,1,MATCH(COLUMNS($AB$1006:AJ1006),$AB$1006:$AQ$1006,0))&gt;=100000), " ",IF(INDEX($AB$2:$AQ$1001,MATCH(ROWS($U$2:U739),$U$2:$U$1001,0),MATCH(COLUMNS($AB$1006:AJ1006),$AB$1006:$AQ$1006,0)), HYPERLINK("#",""), HYPERLINK(CONCATENATE("#metadata!", ADDRESS(INDEX($W$2:$W$1001,MATCH(ROWS($U$2:U739),$U$2:$U$1001,0),0), INDEX($AB$1004:$AQ$1004,1,MATCH(COLUMNS($AB$1006:AJ1006),$AB$1006:$AQ$1006,0)))),"Fix")))</f>
        <v>0</v>
      </c>
      <c r="K739" s="4">
        <f>IF(OR(INDEX($V$2:$V$1001,MATCH(ROWS($U$2:U739),$U$2:$U$1001,0),1)&gt;=100000,INDEX($AB$1005:$AQ$1005,1,MATCH(COLUMNS($AB$1006:AK1006),$AB$1006:$AQ$1006,0))&gt;=100000), " ",IF(INDEX($AB$2:$AQ$1001,MATCH(ROWS($U$2:U739),$U$2:$U$1001,0),MATCH(COLUMNS($AB$1006:AK1006),$AB$1006:$AQ$1006,0)), HYPERLINK("#",""), HYPERLINK(CONCATENATE("#metadata!", ADDRESS(INDEX($W$2:$W$1001,MATCH(ROWS($U$2:U739),$U$2:$U$1001,0),0), INDEX($AB$1004:$AQ$1004,1,MATCH(COLUMNS($AB$1006:AK1006),$AB$1006:$AQ$1006,0)))),"Fix")))</f>
        <v>0</v>
      </c>
      <c r="L739" s="4">
        <f>IF(OR(INDEX($V$2:$V$1001,MATCH(ROWS($U$2:U739),$U$2:$U$1001,0),1)&gt;=100000,INDEX($AB$1005:$AQ$1005,1,MATCH(COLUMNS($AB$1006:AL1006),$AB$1006:$AQ$1006,0))&gt;=100000), " ",IF(INDEX($AB$2:$AQ$1001,MATCH(ROWS($U$2:U739),$U$2:$U$1001,0),MATCH(COLUMNS($AB$1006:AL1006),$AB$1006:$AQ$1006,0)), HYPERLINK("#",""), HYPERLINK(CONCATENATE("#metadata!", ADDRESS(INDEX($W$2:$W$1001,MATCH(ROWS($U$2:U739),$U$2:$U$1001,0),0), INDEX($AB$1004:$AQ$1004,1,MATCH(COLUMNS($AB$1006:AL1006),$AB$1006:$AQ$1006,0)))),"Fix")))</f>
        <v>0</v>
      </c>
      <c r="M739" s="4">
        <f>IF(OR(INDEX($V$2:$V$1001,MATCH(ROWS($U$2:U739),$U$2:$U$1001,0),1)&gt;=100000,INDEX($AB$1005:$AQ$1005,1,MATCH(COLUMNS($AB$1006:AM1006),$AB$1006:$AQ$1006,0))&gt;=100000), " ",IF(INDEX($AB$2:$AQ$1001,MATCH(ROWS($U$2:U739),$U$2:$U$1001,0),MATCH(COLUMNS($AB$1006:AM1006),$AB$1006:$AQ$1006,0)), HYPERLINK("#",""), HYPERLINK(CONCATENATE("#metadata!", ADDRESS(INDEX($W$2:$W$1001,MATCH(ROWS($U$2:U739),$U$2:$U$1001,0),0), INDEX($AB$1004:$AQ$1004,1,MATCH(COLUMNS($AB$1006:AM1006),$AB$1006:$AQ$1006,0)))),"Fix")))</f>
        <v>0</v>
      </c>
      <c r="N739" s="4">
        <f>IF(OR(INDEX($V$2:$V$1001,MATCH(ROWS($U$2:U739),$U$2:$U$1001,0),1)&gt;=100000,INDEX($AB$1005:$AQ$1005,1,MATCH(COLUMNS($AB$1006:AN1006),$AB$1006:$AQ$1006,0))&gt;=100000), " ",IF(INDEX($AB$2:$AQ$1001,MATCH(ROWS($U$2:U739),$U$2:$U$1001,0),MATCH(COLUMNS($AB$1006:AN1006),$AB$1006:$AQ$1006,0)), HYPERLINK("#",""), HYPERLINK(CONCATENATE("#metadata!", ADDRESS(INDEX($W$2:$W$1001,MATCH(ROWS($U$2:U739),$U$2:$U$1001,0),0), INDEX($AB$1004:$AQ$1004,1,MATCH(COLUMNS($AB$1006:AN1006),$AB$1006:$AQ$1006,0)))),"Fix")))</f>
        <v>0</v>
      </c>
      <c r="O739" s="4">
        <f>IF(OR(INDEX($V$2:$V$1001,MATCH(ROWS($U$2:U739),$U$2:$U$1001,0),1)&gt;=100000,INDEX($AB$1005:$AQ$1005,1,MATCH(COLUMNS($AB$1006:AO1006),$AB$1006:$AQ$1006,0))&gt;=100000), " ",IF(INDEX($AB$2:$AQ$1001,MATCH(ROWS($U$2:U739),$U$2:$U$1001,0),MATCH(COLUMNS($AB$1006:AO1006),$AB$1006:$AQ$1006,0)), HYPERLINK("#",""), HYPERLINK(CONCATENATE("#metadata!", ADDRESS(INDEX($W$2:$W$1001,MATCH(ROWS($U$2:U739),$U$2:$U$1001,0),0), INDEX($AB$1004:$AQ$1004,1,MATCH(COLUMNS($AB$1006:AO1006),$AB$1006:$AQ$1006,0)))),"Fix")))</f>
        <v>0</v>
      </c>
      <c r="P739" s="4">
        <f>IF(OR(INDEX($V$2:$V$1001,MATCH(ROWS($U$2:U739),$U$2:$U$1001,0),1)&gt;=100000,INDEX($AB$1005:$AQ$1005,1,MATCH(COLUMNS($AB$1006:AP1006),$AB$1006:$AQ$1006,0))&gt;=100000), " ",IF(INDEX($AB$2:$AQ$1001,MATCH(ROWS($U$2:U739),$U$2:$U$1001,0),MATCH(COLUMNS($AB$1006:AP1006),$AB$1006:$AQ$1006,0)), HYPERLINK("#",""), HYPERLINK(CONCATENATE("#metadata!", ADDRESS(INDEX($W$2:$W$1001,MATCH(ROWS($U$2:U739),$U$2:$U$1001,0),0), INDEX($AB$1004:$AQ$1004,1,MATCH(COLUMNS($AB$1006:AP1006),$AB$1006:$AQ$1006,0)))),"Fix")))</f>
        <v>0</v>
      </c>
      <c r="Q739" s="4">
        <f>IF(OR(INDEX($V$2:$V$1001,MATCH(ROWS($U$2:U739),$U$2:$U$1001,0),1)&gt;=100000,INDEX($AB$1005:$AQ$1005,1,MATCH(COLUMNS($AB$1006:AQ1006),$AB$1006:$AQ$1006,0))&gt;=100000), " ",IF(INDEX($AB$2:$AQ$1001,MATCH(ROWS($U$2:U739),$U$2:$U$1001,0),MATCH(COLUMNS($AB$1006:AQ1006),$AB$1006:$AQ$1006,0)), HYPERLINK("#",""), HYPERLINK(CONCATENATE("#metadata!", ADDRESS(INDEX($W$2:$W$1001,MATCH(ROWS($U$2:U739),$U$2:$U$1001,0),0), INDEX($AB$1004:$AQ$1004,1,MATCH(COLUMNS($AB$1006:AQ1006),$AB$1006:$AQ$1006,0)))),"Fix")))</f>
        <v>0</v>
      </c>
      <c r="U739">
        <v>0</v>
      </c>
      <c r="V739">
        <v>0</v>
      </c>
      <c r="W739">
        <v>0</v>
      </c>
      <c r="X739">
        <f>IF(Y739,TRUE,AND(AB739:AQ739))</f>
        <v>0</v>
      </c>
      <c r="Y739">
        <f>COUNTBLANK(metadata!B739:Q739)=COLUMNS(metadata!B739:Q739)</f>
        <v>0</v>
      </c>
      <c r="Z739">
        <v>0</v>
      </c>
      <c r="AB739">
        <f>AND(IF(metadata!B739="",FALSE,TRUE),COUNTIF(metadata!B:B, metadata!B739) = 1,NOT(ISERROR(SUMPRODUCT(SEARCH(MID(metadata!B739,ROW(INDIRECT("1:"&amp;LEN(metadata!B739))), 1),"0123456789abcdefghijklmnopqrstuvwxyzABCDEFGHIJKLMNOPQRSTUVWXYZ.")))))</f>
        <v>0</v>
      </c>
      <c r="AC739">
        <f>OR(AND(IF(metadata!C739="",FALSE,TRUE),OR(exact(metadata!C739,"missing: not collected"),exact(metadata!C739,"missing: not provided"),exact(metadata!C739,"missing: restricted access"))),AND(IF(metadata!C739="",FALSE,TRUE),AND(AND(IFERROR(INT(LEFT(metadata!C739,4))&gt;1900,FALSE),IFERROR(INT(LEFT(metadata!C739,4))&lt;=YEAR(NOW()),FALSE)), OR(MID(metadata!C739,5,1)="", AND(AND(MID(metadata!C739,5,1)="-",IFERROR(INT(MID(metadata!C739,6,1))&gt;=0,FALSE),IFERROR(INT(MID(metadata!C739,6,1))&lt;=1,FALSE),NOT(MID(metadata!C739,7,1)=""),IFERROR(INT(MID(metadata!C739,6,2))&gt;=1,FALSE),IFERROR(INT(MID(metadata!C739,6,2))&lt;=12,FALSE)), OR(MID(metadata!C739,8,1)="", AND(AND(MID(metadata!C739,8,1)="-",IFERROR(INT(MID(metadata!C739,9,1))&gt;=0,FALSE),IFERROR(INT(MID(metadata!C739,9,1))&lt;=3,FALSE),NOT(MID(metadata!C739,10,1)=""),IFERROR(INT(MID(metadata!C739,9,2))&gt;=1,FALSE),IFERROR(INT(MID(metadata!C739,9,2))&lt;=31,FALSE)), OR(MID(metadata!C739,11,1)="", AND(AND(MID(metadata!C739,11,1)=" ",IFERROR(INT(MID(metadata!C739,12,1))&gt;=0,FALSE),IFERROR(INT(MID(metadata!C739,12,1))&lt;=2,FALSE),NOT(MID(metadata!C739,13,1)=""),IFERROR(INT(MID(metadata!C739,12,2))&gt;=0,FALSE),IFERROR(INT(MID(metadata!C739,12,2))&lt;=23,FALSE)), OR(MID(metadata!C739,14,1)="", AND(AND(MID(metadata!C739,14,1)=":",IFERROR(INT(MID(metadata!C739,15,1))&gt;=0,FALSE),IFERROR(INT(MID(metadata!C739,15,1))&lt;=5,FALSE),NOT(MID(metadata!C739,16,1)=""),IFERROR(INT(MID(metadata!C739,15,2))&gt;=0,FALSE),IFERROR(INT(MID(metadata!C739,15,2))&lt;=59,FALSE)), OR(MID(metadata!C739,17,1)="", AND(AND(MID(metadata!C739,17,1)=":",IFERROR(INT(MID(metadata!C739,18,1))&gt;=0,FALSE),IFERROR(INT(MID(metadata!C739,18,1))&lt;=5,FALSE),NOT(MID(metadata!C739,19,1)=""),IFERROR(INT(MID(metadata!C739,18,2))&gt;=0,FALSE),IFERROR(INT(MID(metadata!C739,18,2))&lt;=59,FALSE)), LEN(metadata!C739)&lt;=19)))))))))))))</f>
        <v>0</v>
      </c>
      <c r="AD739">
        <f>IF(metadata!D739="",FALSE,TRUE)</f>
        <v>0</v>
      </c>
      <c r="AE739">
        <f>OR(AND(IF(metadata!E739="",FALSE,TRUE),OR(exact(metadata!E739,"missing: not collected"),exact(metadata!E739,"missing: not provided"))),AND(IF(metadata!E739="",FALSE,TRUE),OR(exact(metadata!E739,"TRUE"),exact(metadata!E739,"FALSE"))))</f>
        <v>0</v>
      </c>
      <c r="AF739">
        <f>IF(metadata!F739="",FALSE,TRUE)</f>
        <v>0</v>
      </c>
      <c r="AG739">
        <f>IF(metadata!G739="",FALSE,TRUE)</f>
        <v>0</v>
      </c>
      <c r="AH739">
        <f>IF(metadata!H739="",FALSE,TRUE)</f>
        <v>0</v>
      </c>
      <c r="AI739">
        <f>OR(AND(IF(metadata!I739="",FALSE,TRUE),OR(exact(metadata!I739,"missing: not collected"),exact(metadata!I739,"missing: not provided"),exact(metadata!I739,"missing: restricted access"))),AND(IF(metadata!I739="",FALSE,TRUE),OR(exact(metadata!I739,"air"),exact(metadata!I739,"built environment"),exact(metadata!I739,"host-associated"),exact(metadata!I739,"human-associated"),exact(metadata!I739,"human-skin"),exact(metadata!I739,"human-oral"),exact(metadata!I739,"human-gut"),exact(metadata!I739,"human-vaginal"),exact(metadata!I739,"microbial mat/biofilm"),exact(metadata!I739,"misc environment"),exact(metadata!I739,"plant-associated"),exact(metadata!I739,"sediment"),exact(metadata!I739,"soil"),exact(metadata!I739,"wastewater/sludge"),exact(metadata!I739,"water"))))</f>
        <v>0</v>
      </c>
      <c r="AJ739">
        <f>IF(metadata!J739="",FALSE,TRUE)</f>
        <v>0</v>
      </c>
      <c r="AK739">
        <f>OR(AND(IF(metadata!K739="",FALSE,TRUE),OR(exact(metadata!K739,"missing: not collected"),exact(metadata!K739,"missing: not provided"),exact(metadata!K739,"missing: restricted access"))),AND(IF(metadata!K739="",FALSE,ISNUMBER(VALUE(metadata!K739))),metadata!K739&gt;=-90.00,metadata!K739&lt;=90.00))</f>
        <v>0</v>
      </c>
      <c r="AL739">
        <f>OR(AND(IF(metadata!L739="",FALSE,TRUE),OR(exact(metadata!L739,"missing: not collected"),exact(metadata!L739,"missing: not provided"),exact(metadata!L739,"missing: restricted access"))),AND(IF(metadata!L739="",FALSE,ISNUMBER(VALUE(metadata!L739))),metadata!L739&gt;=-180.00,metadata!L739&lt;=180.00))</f>
        <v>0</v>
      </c>
      <c r="AM739">
        <f>IF(metadata!M739="",FALSE,TRUE)</f>
        <v>0</v>
      </c>
      <c r="AN739">
        <f>OR(AND(IF(metadata!N739="",FALSE,TRUE),OR(exact(metadata!N739,"missing: not collected"),exact(metadata!N739,"missing: not provided"),exact(metadata!N739,"missing: restricted access"))),AND(IF(metadata!N739="",FALSE,TRUE),OR(exact(metadata!N739,"TRUE"),exact(metadata!N739,"FALSE"))))</f>
        <v>0</v>
      </c>
      <c r="AO739">
        <f>IF(metadata!O739="",FALSE,TRUE)</f>
        <v>0</v>
      </c>
      <c r="AP739">
        <f>OR(AND(IF(metadata!P739="",FALSE,TRUE),OR(exact(metadata!P739,"missing: not collected"),exact(metadata!P739,"missing: not provided"))),AND(IF(metadata!P739="",FALSE,IF(ISERROR(INT(metadata!P739)),FALSE,INT(metadata!P739)=metadata!P739)),metadata!P739&gt;0))</f>
        <v>0</v>
      </c>
      <c r="AQ739">
        <f>IF(metadata!Q739="",FALSE,TRUE)</f>
        <v>0</v>
      </c>
    </row>
    <row r="740" spans="1:43">
      <c r="A740" s="5">
        <f>IF(B740=" "," ",HYPERLINK(CONCATENATE("#metadata!",ADDRESS(INDEX($W$2:$W$1001,MATCH(ROWS($U$2:U740),$U$2:$U$1001,0),0),1)),INDEX($Z$2:$Z$1001,MATCH(ROWS($U$2:U740),$U$2:$U$1001,0),0)))</f>
        <v>0</v>
      </c>
      <c r="B740" s="4">
        <f>IF(OR(INDEX($V$2:$V$1001,MATCH(ROWS($U$2:U740),$U$2:$U$1001,0),1)&gt;=100000,INDEX($AB$1005:$AQ$1005,1,MATCH(COLUMNS($AB$1006:AB1006),$AB$1006:$AQ$1006,0))&gt;=100000), " ",IF(INDEX($AB$2:$AQ$1001,MATCH(ROWS($U$2:U740),$U$2:$U$1001,0),MATCH(COLUMNS($AB$1006:AB1006),$AB$1006:$AQ$1006,0)), HYPERLINK("#",""), HYPERLINK(CONCATENATE("#metadata!", ADDRESS(INDEX($W$2:$W$1001,MATCH(ROWS($U$2:U740),$U$2:$U$1001,0),0), INDEX($AB$1004:$AQ$1004,1,MATCH(COLUMNS($AB$1006:AB1006),$AB$1006:$AQ$1006,0)))),"Fix")))</f>
        <v>0</v>
      </c>
      <c r="C740" s="4">
        <f>IF(OR(INDEX($V$2:$V$1001,MATCH(ROWS($U$2:U740),$U$2:$U$1001,0),1)&gt;=100000,INDEX($AB$1005:$AQ$1005,1,MATCH(COLUMNS($AB$1006:AC1006),$AB$1006:$AQ$1006,0))&gt;=100000), " ",IF(INDEX($AB$2:$AQ$1001,MATCH(ROWS($U$2:U740),$U$2:$U$1001,0),MATCH(COLUMNS($AB$1006:AC1006),$AB$1006:$AQ$1006,0)), HYPERLINK("#",""), HYPERLINK(CONCATENATE("#metadata!", ADDRESS(INDEX($W$2:$W$1001,MATCH(ROWS($U$2:U740),$U$2:$U$1001,0),0), INDEX($AB$1004:$AQ$1004,1,MATCH(COLUMNS($AB$1006:AC1006),$AB$1006:$AQ$1006,0)))),"Fix")))</f>
        <v>0</v>
      </c>
      <c r="D740" s="4">
        <f>IF(OR(INDEX($V$2:$V$1001,MATCH(ROWS($U$2:U740),$U$2:$U$1001,0),1)&gt;=100000,INDEX($AB$1005:$AQ$1005,1,MATCH(COLUMNS($AB$1006:AD1006),$AB$1006:$AQ$1006,0))&gt;=100000), " ",IF(INDEX($AB$2:$AQ$1001,MATCH(ROWS($U$2:U740),$U$2:$U$1001,0),MATCH(COLUMNS($AB$1006:AD1006),$AB$1006:$AQ$1006,0)), HYPERLINK("#",""), HYPERLINK(CONCATENATE("#metadata!", ADDRESS(INDEX($W$2:$W$1001,MATCH(ROWS($U$2:U740),$U$2:$U$1001,0),0), INDEX($AB$1004:$AQ$1004,1,MATCH(COLUMNS($AB$1006:AD1006),$AB$1006:$AQ$1006,0)))),"Fix")))</f>
        <v>0</v>
      </c>
      <c r="E740" s="4">
        <f>IF(OR(INDEX($V$2:$V$1001,MATCH(ROWS($U$2:U740),$U$2:$U$1001,0),1)&gt;=100000,INDEX($AB$1005:$AQ$1005,1,MATCH(COLUMNS($AB$1006:AE1006),$AB$1006:$AQ$1006,0))&gt;=100000), " ",IF(INDEX($AB$2:$AQ$1001,MATCH(ROWS($U$2:U740),$U$2:$U$1001,0),MATCH(COLUMNS($AB$1006:AE1006),$AB$1006:$AQ$1006,0)), HYPERLINK("#",""), HYPERLINK(CONCATENATE("#metadata!", ADDRESS(INDEX($W$2:$W$1001,MATCH(ROWS($U$2:U740),$U$2:$U$1001,0),0), INDEX($AB$1004:$AQ$1004,1,MATCH(COLUMNS($AB$1006:AE1006),$AB$1006:$AQ$1006,0)))),"Fix")))</f>
        <v>0</v>
      </c>
      <c r="F740" s="4">
        <f>IF(OR(INDEX($V$2:$V$1001,MATCH(ROWS($U$2:U740),$U$2:$U$1001,0),1)&gt;=100000,INDEX($AB$1005:$AQ$1005,1,MATCH(COLUMNS($AB$1006:AF1006),$AB$1006:$AQ$1006,0))&gt;=100000), " ",IF(INDEX($AB$2:$AQ$1001,MATCH(ROWS($U$2:U740),$U$2:$U$1001,0),MATCH(COLUMNS($AB$1006:AF1006),$AB$1006:$AQ$1006,0)), HYPERLINK("#",""), HYPERLINK(CONCATENATE("#metadata!", ADDRESS(INDEX($W$2:$W$1001,MATCH(ROWS($U$2:U740),$U$2:$U$1001,0),0), INDEX($AB$1004:$AQ$1004,1,MATCH(COLUMNS($AB$1006:AF1006),$AB$1006:$AQ$1006,0)))),"Fix")))</f>
        <v>0</v>
      </c>
      <c r="G740" s="4">
        <f>IF(OR(INDEX($V$2:$V$1001,MATCH(ROWS($U$2:U740),$U$2:$U$1001,0),1)&gt;=100000,INDEX($AB$1005:$AQ$1005,1,MATCH(COLUMNS($AB$1006:AG1006),$AB$1006:$AQ$1006,0))&gt;=100000), " ",IF(INDEX($AB$2:$AQ$1001,MATCH(ROWS($U$2:U740),$U$2:$U$1001,0),MATCH(COLUMNS($AB$1006:AG1006),$AB$1006:$AQ$1006,0)), HYPERLINK("#",""), HYPERLINK(CONCATENATE("#metadata!", ADDRESS(INDEX($W$2:$W$1001,MATCH(ROWS($U$2:U740),$U$2:$U$1001,0),0), INDEX($AB$1004:$AQ$1004,1,MATCH(COLUMNS($AB$1006:AG1006),$AB$1006:$AQ$1006,0)))),"Fix")))</f>
        <v>0</v>
      </c>
      <c r="H740" s="4">
        <f>IF(OR(INDEX($V$2:$V$1001,MATCH(ROWS($U$2:U740),$U$2:$U$1001,0),1)&gt;=100000,INDEX($AB$1005:$AQ$1005,1,MATCH(COLUMNS($AB$1006:AH1006),$AB$1006:$AQ$1006,0))&gt;=100000), " ",IF(INDEX($AB$2:$AQ$1001,MATCH(ROWS($U$2:U740),$U$2:$U$1001,0),MATCH(COLUMNS($AB$1006:AH1006),$AB$1006:$AQ$1006,0)), HYPERLINK("#",""), HYPERLINK(CONCATENATE("#metadata!", ADDRESS(INDEX($W$2:$W$1001,MATCH(ROWS($U$2:U740),$U$2:$U$1001,0),0), INDEX($AB$1004:$AQ$1004,1,MATCH(COLUMNS($AB$1006:AH1006),$AB$1006:$AQ$1006,0)))),"Fix")))</f>
        <v>0</v>
      </c>
      <c r="I740" s="4">
        <f>IF(OR(INDEX($V$2:$V$1001,MATCH(ROWS($U$2:U740),$U$2:$U$1001,0),1)&gt;=100000,INDEX($AB$1005:$AQ$1005,1,MATCH(COLUMNS($AB$1006:AI1006),$AB$1006:$AQ$1006,0))&gt;=100000), " ",IF(INDEX($AB$2:$AQ$1001,MATCH(ROWS($U$2:U740),$U$2:$U$1001,0),MATCH(COLUMNS($AB$1006:AI1006),$AB$1006:$AQ$1006,0)), HYPERLINK("#",""), HYPERLINK(CONCATENATE("#metadata!", ADDRESS(INDEX($W$2:$W$1001,MATCH(ROWS($U$2:U740),$U$2:$U$1001,0),0), INDEX($AB$1004:$AQ$1004,1,MATCH(COLUMNS($AB$1006:AI1006),$AB$1006:$AQ$1006,0)))),"Fix")))</f>
        <v>0</v>
      </c>
      <c r="J740" s="4">
        <f>IF(OR(INDEX($V$2:$V$1001,MATCH(ROWS($U$2:U740),$U$2:$U$1001,0),1)&gt;=100000,INDEX($AB$1005:$AQ$1005,1,MATCH(COLUMNS($AB$1006:AJ1006),$AB$1006:$AQ$1006,0))&gt;=100000), " ",IF(INDEX($AB$2:$AQ$1001,MATCH(ROWS($U$2:U740),$U$2:$U$1001,0),MATCH(COLUMNS($AB$1006:AJ1006),$AB$1006:$AQ$1006,0)), HYPERLINK("#",""), HYPERLINK(CONCATENATE("#metadata!", ADDRESS(INDEX($W$2:$W$1001,MATCH(ROWS($U$2:U740),$U$2:$U$1001,0),0), INDEX($AB$1004:$AQ$1004,1,MATCH(COLUMNS($AB$1006:AJ1006),$AB$1006:$AQ$1006,0)))),"Fix")))</f>
        <v>0</v>
      </c>
      <c r="K740" s="4">
        <f>IF(OR(INDEX($V$2:$V$1001,MATCH(ROWS($U$2:U740),$U$2:$U$1001,0),1)&gt;=100000,INDEX($AB$1005:$AQ$1005,1,MATCH(COLUMNS($AB$1006:AK1006),$AB$1006:$AQ$1006,0))&gt;=100000), " ",IF(INDEX($AB$2:$AQ$1001,MATCH(ROWS($U$2:U740),$U$2:$U$1001,0),MATCH(COLUMNS($AB$1006:AK1006),$AB$1006:$AQ$1006,0)), HYPERLINK("#",""), HYPERLINK(CONCATENATE("#metadata!", ADDRESS(INDEX($W$2:$W$1001,MATCH(ROWS($U$2:U740),$U$2:$U$1001,0),0), INDEX($AB$1004:$AQ$1004,1,MATCH(COLUMNS($AB$1006:AK1006),$AB$1006:$AQ$1006,0)))),"Fix")))</f>
        <v>0</v>
      </c>
      <c r="L740" s="4">
        <f>IF(OR(INDEX($V$2:$V$1001,MATCH(ROWS($U$2:U740),$U$2:$U$1001,0),1)&gt;=100000,INDEX($AB$1005:$AQ$1005,1,MATCH(COLUMNS($AB$1006:AL1006),$AB$1006:$AQ$1006,0))&gt;=100000), " ",IF(INDEX($AB$2:$AQ$1001,MATCH(ROWS($U$2:U740),$U$2:$U$1001,0),MATCH(COLUMNS($AB$1006:AL1006),$AB$1006:$AQ$1006,0)), HYPERLINK("#",""), HYPERLINK(CONCATENATE("#metadata!", ADDRESS(INDEX($W$2:$W$1001,MATCH(ROWS($U$2:U740),$U$2:$U$1001,0),0), INDEX($AB$1004:$AQ$1004,1,MATCH(COLUMNS($AB$1006:AL1006),$AB$1006:$AQ$1006,0)))),"Fix")))</f>
        <v>0</v>
      </c>
      <c r="M740" s="4">
        <f>IF(OR(INDEX($V$2:$V$1001,MATCH(ROWS($U$2:U740),$U$2:$U$1001,0),1)&gt;=100000,INDEX($AB$1005:$AQ$1005,1,MATCH(COLUMNS($AB$1006:AM1006),$AB$1006:$AQ$1006,0))&gt;=100000), " ",IF(INDEX($AB$2:$AQ$1001,MATCH(ROWS($U$2:U740),$U$2:$U$1001,0),MATCH(COLUMNS($AB$1006:AM1006),$AB$1006:$AQ$1006,0)), HYPERLINK("#",""), HYPERLINK(CONCATENATE("#metadata!", ADDRESS(INDEX($W$2:$W$1001,MATCH(ROWS($U$2:U740),$U$2:$U$1001,0),0), INDEX($AB$1004:$AQ$1004,1,MATCH(COLUMNS($AB$1006:AM1006),$AB$1006:$AQ$1006,0)))),"Fix")))</f>
        <v>0</v>
      </c>
      <c r="N740" s="4">
        <f>IF(OR(INDEX($V$2:$V$1001,MATCH(ROWS($U$2:U740),$U$2:$U$1001,0),1)&gt;=100000,INDEX($AB$1005:$AQ$1005,1,MATCH(COLUMNS($AB$1006:AN1006),$AB$1006:$AQ$1006,0))&gt;=100000), " ",IF(INDEX($AB$2:$AQ$1001,MATCH(ROWS($U$2:U740),$U$2:$U$1001,0),MATCH(COLUMNS($AB$1006:AN1006),$AB$1006:$AQ$1006,0)), HYPERLINK("#",""), HYPERLINK(CONCATENATE("#metadata!", ADDRESS(INDEX($W$2:$W$1001,MATCH(ROWS($U$2:U740),$U$2:$U$1001,0),0), INDEX($AB$1004:$AQ$1004,1,MATCH(COLUMNS($AB$1006:AN1006),$AB$1006:$AQ$1006,0)))),"Fix")))</f>
        <v>0</v>
      </c>
      <c r="O740" s="4">
        <f>IF(OR(INDEX($V$2:$V$1001,MATCH(ROWS($U$2:U740),$U$2:$U$1001,0),1)&gt;=100000,INDEX($AB$1005:$AQ$1005,1,MATCH(COLUMNS($AB$1006:AO1006),$AB$1006:$AQ$1006,0))&gt;=100000), " ",IF(INDEX($AB$2:$AQ$1001,MATCH(ROWS($U$2:U740),$U$2:$U$1001,0),MATCH(COLUMNS($AB$1006:AO1006),$AB$1006:$AQ$1006,0)), HYPERLINK("#",""), HYPERLINK(CONCATENATE("#metadata!", ADDRESS(INDEX($W$2:$W$1001,MATCH(ROWS($U$2:U740),$U$2:$U$1001,0),0), INDEX($AB$1004:$AQ$1004,1,MATCH(COLUMNS($AB$1006:AO1006),$AB$1006:$AQ$1006,0)))),"Fix")))</f>
        <v>0</v>
      </c>
      <c r="P740" s="4">
        <f>IF(OR(INDEX($V$2:$V$1001,MATCH(ROWS($U$2:U740),$U$2:$U$1001,0),1)&gt;=100000,INDEX($AB$1005:$AQ$1005,1,MATCH(COLUMNS($AB$1006:AP1006),$AB$1006:$AQ$1006,0))&gt;=100000), " ",IF(INDEX($AB$2:$AQ$1001,MATCH(ROWS($U$2:U740),$U$2:$U$1001,0),MATCH(COLUMNS($AB$1006:AP1006),$AB$1006:$AQ$1006,0)), HYPERLINK("#",""), HYPERLINK(CONCATENATE("#metadata!", ADDRESS(INDEX($W$2:$W$1001,MATCH(ROWS($U$2:U740),$U$2:$U$1001,0),0), INDEX($AB$1004:$AQ$1004,1,MATCH(COLUMNS($AB$1006:AP1006),$AB$1006:$AQ$1006,0)))),"Fix")))</f>
        <v>0</v>
      </c>
      <c r="Q740" s="4">
        <f>IF(OR(INDEX($V$2:$V$1001,MATCH(ROWS($U$2:U740),$U$2:$U$1001,0),1)&gt;=100000,INDEX($AB$1005:$AQ$1005,1,MATCH(COLUMNS($AB$1006:AQ1006),$AB$1006:$AQ$1006,0))&gt;=100000), " ",IF(INDEX($AB$2:$AQ$1001,MATCH(ROWS($U$2:U740),$U$2:$U$1001,0),MATCH(COLUMNS($AB$1006:AQ1006),$AB$1006:$AQ$1006,0)), HYPERLINK("#",""), HYPERLINK(CONCATENATE("#metadata!", ADDRESS(INDEX($W$2:$W$1001,MATCH(ROWS($U$2:U740),$U$2:$U$1001,0),0), INDEX($AB$1004:$AQ$1004,1,MATCH(COLUMNS($AB$1006:AQ1006),$AB$1006:$AQ$1006,0)))),"Fix")))</f>
        <v>0</v>
      </c>
      <c r="U740">
        <v>0</v>
      </c>
      <c r="V740">
        <v>0</v>
      </c>
      <c r="W740">
        <v>0</v>
      </c>
      <c r="X740">
        <f>IF(Y740,TRUE,AND(AB740:AQ740))</f>
        <v>0</v>
      </c>
      <c r="Y740">
        <f>COUNTBLANK(metadata!B740:Q740)=COLUMNS(metadata!B740:Q740)</f>
        <v>0</v>
      </c>
      <c r="Z740">
        <v>0</v>
      </c>
      <c r="AB740">
        <f>AND(IF(metadata!B740="",FALSE,TRUE),COUNTIF(metadata!B:B, metadata!B740) = 1,NOT(ISERROR(SUMPRODUCT(SEARCH(MID(metadata!B740,ROW(INDIRECT("1:"&amp;LEN(metadata!B740))), 1),"0123456789abcdefghijklmnopqrstuvwxyzABCDEFGHIJKLMNOPQRSTUVWXYZ.")))))</f>
        <v>0</v>
      </c>
      <c r="AC740">
        <f>OR(AND(IF(metadata!C740="",FALSE,TRUE),OR(exact(metadata!C740,"missing: not collected"),exact(metadata!C740,"missing: not provided"),exact(metadata!C740,"missing: restricted access"))),AND(IF(metadata!C740="",FALSE,TRUE),AND(AND(IFERROR(INT(LEFT(metadata!C740,4))&gt;1900,FALSE),IFERROR(INT(LEFT(metadata!C740,4))&lt;=YEAR(NOW()),FALSE)), OR(MID(metadata!C740,5,1)="", AND(AND(MID(metadata!C740,5,1)="-",IFERROR(INT(MID(metadata!C740,6,1))&gt;=0,FALSE),IFERROR(INT(MID(metadata!C740,6,1))&lt;=1,FALSE),NOT(MID(metadata!C740,7,1)=""),IFERROR(INT(MID(metadata!C740,6,2))&gt;=1,FALSE),IFERROR(INT(MID(metadata!C740,6,2))&lt;=12,FALSE)), OR(MID(metadata!C740,8,1)="", AND(AND(MID(metadata!C740,8,1)="-",IFERROR(INT(MID(metadata!C740,9,1))&gt;=0,FALSE),IFERROR(INT(MID(metadata!C740,9,1))&lt;=3,FALSE),NOT(MID(metadata!C740,10,1)=""),IFERROR(INT(MID(metadata!C740,9,2))&gt;=1,FALSE),IFERROR(INT(MID(metadata!C740,9,2))&lt;=31,FALSE)), OR(MID(metadata!C740,11,1)="", AND(AND(MID(metadata!C740,11,1)=" ",IFERROR(INT(MID(metadata!C740,12,1))&gt;=0,FALSE),IFERROR(INT(MID(metadata!C740,12,1))&lt;=2,FALSE),NOT(MID(metadata!C740,13,1)=""),IFERROR(INT(MID(metadata!C740,12,2))&gt;=0,FALSE),IFERROR(INT(MID(metadata!C740,12,2))&lt;=23,FALSE)), OR(MID(metadata!C740,14,1)="", AND(AND(MID(metadata!C740,14,1)=":",IFERROR(INT(MID(metadata!C740,15,1))&gt;=0,FALSE),IFERROR(INT(MID(metadata!C740,15,1))&lt;=5,FALSE),NOT(MID(metadata!C740,16,1)=""),IFERROR(INT(MID(metadata!C740,15,2))&gt;=0,FALSE),IFERROR(INT(MID(metadata!C740,15,2))&lt;=59,FALSE)), OR(MID(metadata!C740,17,1)="", AND(AND(MID(metadata!C740,17,1)=":",IFERROR(INT(MID(metadata!C740,18,1))&gt;=0,FALSE),IFERROR(INT(MID(metadata!C740,18,1))&lt;=5,FALSE),NOT(MID(metadata!C740,19,1)=""),IFERROR(INT(MID(metadata!C740,18,2))&gt;=0,FALSE),IFERROR(INT(MID(metadata!C740,18,2))&lt;=59,FALSE)), LEN(metadata!C740)&lt;=19)))))))))))))</f>
        <v>0</v>
      </c>
      <c r="AD740">
        <f>IF(metadata!D740="",FALSE,TRUE)</f>
        <v>0</v>
      </c>
      <c r="AE740">
        <f>OR(AND(IF(metadata!E740="",FALSE,TRUE),OR(exact(metadata!E740,"missing: not collected"),exact(metadata!E740,"missing: not provided"))),AND(IF(metadata!E740="",FALSE,TRUE),OR(exact(metadata!E740,"TRUE"),exact(metadata!E740,"FALSE"))))</f>
        <v>0</v>
      </c>
      <c r="AF740">
        <f>IF(metadata!F740="",FALSE,TRUE)</f>
        <v>0</v>
      </c>
      <c r="AG740">
        <f>IF(metadata!G740="",FALSE,TRUE)</f>
        <v>0</v>
      </c>
      <c r="AH740">
        <f>IF(metadata!H740="",FALSE,TRUE)</f>
        <v>0</v>
      </c>
      <c r="AI740">
        <f>OR(AND(IF(metadata!I740="",FALSE,TRUE),OR(exact(metadata!I740,"missing: not collected"),exact(metadata!I740,"missing: not provided"),exact(metadata!I740,"missing: restricted access"))),AND(IF(metadata!I740="",FALSE,TRUE),OR(exact(metadata!I740,"air"),exact(metadata!I740,"built environment"),exact(metadata!I740,"host-associated"),exact(metadata!I740,"human-associated"),exact(metadata!I740,"human-skin"),exact(metadata!I740,"human-oral"),exact(metadata!I740,"human-gut"),exact(metadata!I740,"human-vaginal"),exact(metadata!I740,"microbial mat/biofilm"),exact(metadata!I740,"misc environment"),exact(metadata!I740,"plant-associated"),exact(metadata!I740,"sediment"),exact(metadata!I740,"soil"),exact(metadata!I740,"wastewater/sludge"),exact(metadata!I740,"water"))))</f>
        <v>0</v>
      </c>
      <c r="AJ740">
        <f>IF(metadata!J740="",FALSE,TRUE)</f>
        <v>0</v>
      </c>
      <c r="AK740">
        <f>OR(AND(IF(metadata!K740="",FALSE,TRUE),OR(exact(metadata!K740,"missing: not collected"),exact(metadata!K740,"missing: not provided"),exact(metadata!K740,"missing: restricted access"))),AND(IF(metadata!K740="",FALSE,ISNUMBER(VALUE(metadata!K740))),metadata!K740&gt;=-90.00,metadata!K740&lt;=90.00))</f>
        <v>0</v>
      </c>
      <c r="AL740">
        <f>OR(AND(IF(metadata!L740="",FALSE,TRUE),OR(exact(metadata!L740,"missing: not collected"),exact(metadata!L740,"missing: not provided"),exact(metadata!L740,"missing: restricted access"))),AND(IF(metadata!L740="",FALSE,ISNUMBER(VALUE(metadata!L740))),metadata!L740&gt;=-180.00,metadata!L740&lt;=180.00))</f>
        <v>0</v>
      </c>
      <c r="AM740">
        <f>IF(metadata!M740="",FALSE,TRUE)</f>
        <v>0</v>
      </c>
      <c r="AN740">
        <f>OR(AND(IF(metadata!N740="",FALSE,TRUE),OR(exact(metadata!N740,"missing: not collected"),exact(metadata!N740,"missing: not provided"),exact(metadata!N740,"missing: restricted access"))),AND(IF(metadata!N740="",FALSE,TRUE),OR(exact(metadata!N740,"TRUE"),exact(metadata!N740,"FALSE"))))</f>
        <v>0</v>
      </c>
      <c r="AO740">
        <f>IF(metadata!O740="",FALSE,TRUE)</f>
        <v>0</v>
      </c>
      <c r="AP740">
        <f>OR(AND(IF(metadata!P740="",FALSE,TRUE),OR(exact(metadata!P740,"missing: not collected"),exact(metadata!P740,"missing: not provided"))),AND(IF(metadata!P740="",FALSE,IF(ISERROR(INT(metadata!P740)),FALSE,INT(metadata!P740)=metadata!P740)),metadata!P740&gt;0))</f>
        <v>0</v>
      </c>
      <c r="AQ740">
        <f>IF(metadata!Q740="",FALSE,TRUE)</f>
        <v>0</v>
      </c>
    </row>
    <row r="741" spans="1:43">
      <c r="A741" s="5">
        <f>IF(B741=" "," ",HYPERLINK(CONCATENATE("#metadata!",ADDRESS(INDEX($W$2:$W$1001,MATCH(ROWS($U$2:U741),$U$2:$U$1001,0),0),1)),INDEX($Z$2:$Z$1001,MATCH(ROWS($U$2:U741),$U$2:$U$1001,0),0)))</f>
        <v>0</v>
      </c>
      <c r="B741" s="4">
        <f>IF(OR(INDEX($V$2:$V$1001,MATCH(ROWS($U$2:U741),$U$2:$U$1001,0),1)&gt;=100000,INDEX($AB$1005:$AQ$1005,1,MATCH(COLUMNS($AB$1006:AB1006),$AB$1006:$AQ$1006,0))&gt;=100000), " ",IF(INDEX($AB$2:$AQ$1001,MATCH(ROWS($U$2:U741),$U$2:$U$1001,0),MATCH(COLUMNS($AB$1006:AB1006),$AB$1006:$AQ$1006,0)), HYPERLINK("#",""), HYPERLINK(CONCATENATE("#metadata!", ADDRESS(INDEX($W$2:$W$1001,MATCH(ROWS($U$2:U741),$U$2:$U$1001,0),0), INDEX($AB$1004:$AQ$1004,1,MATCH(COLUMNS($AB$1006:AB1006),$AB$1006:$AQ$1006,0)))),"Fix")))</f>
        <v>0</v>
      </c>
      <c r="C741" s="4">
        <f>IF(OR(INDEX($V$2:$V$1001,MATCH(ROWS($U$2:U741),$U$2:$U$1001,0),1)&gt;=100000,INDEX($AB$1005:$AQ$1005,1,MATCH(COLUMNS($AB$1006:AC1006),$AB$1006:$AQ$1006,0))&gt;=100000), " ",IF(INDEX($AB$2:$AQ$1001,MATCH(ROWS($U$2:U741),$U$2:$U$1001,0),MATCH(COLUMNS($AB$1006:AC1006),$AB$1006:$AQ$1006,0)), HYPERLINK("#",""), HYPERLINK(CONCATENATE("#metadata!", ADDRESS(INDEX($W$2:$W$1001,MATCH(ROWS($U$2:U741),$U$2:$U$1001,0),0), INDEX($AB$1004:$AQ$1004,1,MATCH(COLUMNS($AB$1006:AC1006),$AB$1006:$AQ$1006,0)))),"Fix")))</f>
        <v>0</v>
      </c>
      <c r="D741" s="4">
        <f>IF(OR(INDEX($V$2:$V$1001,MATCH(ROWS($U$2:U741),$U$2:$U$1001,0),1)&gt;=100000,INDEX($AB$1005:$AQ$1005,1,MATCH(COLUMNS($AB$1006:AD1006),$AB$1006:$AQ$1006,0))&gt;=100000), " ",IF(INDEX($AB$2:$AQ$1001,MATCH(ROWS($U$2:U741),$U$2:$U$1001,0),MATCH(COLUMNS($AB$1006:AD1006),$AB$1006:$AQ$1006,0)), HYPERLINK("#",""), HYPERLINK(CONCATENATE("#metadata!", ADDRESS(INDEX($W$2:$W$1001,MATCH(ROWS($U$2:U741),$U$2:$U$1001,0),0), INDEX($AB$1004:$AQ$1004,1,MATCH(COLUMNS($AB$1006:AD1006),$AB$1006:$AQ$1006,0)))),"Fix")))</f>
        <v>0</v>
      </c>
      <c r="E741" s="4">
        <f>IF(OR(INDEX($V$2:$V$1001,MATCH(ROWS($U$2:U741),$U$2:$U$1001,0),1)&gt;=100000,INDEX($AB$1005:$AQ$1005,1,MATCH(COLUMNS($AB$1006:AE1006),$AB$1006:$AQ$1006,0))&gt;=100000), " ",IF(INDEX($AB$2:$AQ$1001,MATCH(ROWS($U$2:U741),$U$2:$U$1001,0),MATCH(COLUMNS($AB$1006:AE1006),$AB$1006:$AQ$1006,0)), HYPERLINK("#",""), HYPERLINK(CONCATENATE("#metadata!", ADDRESS(INDEX($W$2:$W$1001,MATCH(ROWS($U$2:U741),$U$2:$U$1001,0),0), INDEX($AB$1004:$AQ$1004,1,MATCH(COLUMNS($AB$1006:AE1006),$AB$1006:$AQ$1006,0)))),"Fix")))</f>
        <v>0</v>
      </c>
      <c r="F741" s="4">
        <f>IF(OR(INDEX($V$2:$V$1001,MATCH(ROWS($U$2:U741),$U$2:$U$1001,0),1)&gt;=100000,INDEX($AB$1005:$AQ$1005,1,MATCH(COLUMNS($AB$1006:AF1006),$AB$1006:$AQ$1006,0))&gt;=100000), " ",IF(INDEX($AB$2:$AQ$1001,MATCH(ROWS($U$2:U741),$U$2:$U$1001,0),MATCH(COLUMNS($AB$1006:AF1006),$AB$1006:$AQ$1006,0)), HYPERLINK("#",""), HYPERLINK(CONCATENATE("#metadata!", ADDRESS(INDEX($W$2:$W$1001,MATCH(ROWS($U$2:U741),$U$2:$U$1001,0),0), INDEX($AB$1004:$AQ$1004,1,MATCH(COLUMNS($AB$1006:AF1006),$AB$1006:$AQ$1006,0)))),"Fix")))</f>
        <v>0</v>
      </c>
      <c r="G741" s="4">
        <f>IF(OR(INDEX($V$2:$V$1001,MATCH(ROWS($U$2:U741),$U$2:$U$1001,0),1)&gt;=100000,INDEX($AB$1005:$AQ$1005,1,MATCH(COLUMNS($AB$1006:AG1006),$AB$1006:$AQ$1006,0))&gt;=100000), " ",IF(INDEX($AB$2:$AQ$1001,MATCH(ROWS($U$2:U741),$U$2:$U$1001,0),MATCH(COLUMNS($AB$1006:AG1006),$AB$1006:$AQ$1006,0)), HYPERLINK("#",""), HYPERLINK(CONCATENATE("#metadata!", ADDRESS(INDEX($W$2:$W$1001,MATCH(ROWS($U$2:U741),$U$2:$U$1001,0),0), INDEX($AB$1004:$AQ$1004,1,MATCH(COLUMNS($AB$1006:AG1006),$AB$1006:$AQ$1006,0)))),"Fix")))</f>
        <v>0</v>
      </c>
      <c r="H741" s="4">
        <f>IF(OR(INDEX($V$2:$V$1001,MATCH(ROWS($U$2:U741),$U$2:$U$1001,0),1)&gt;=100000,INDEX($AB$1005:$AQ$1005,1,MATCH(COLUMNS($AB$1006:AH1006),$AB$1006:$AQ$1006,0))&gt;=100000), " ",IF(INDEX($AB$2:$AQ$1001,MATCH(ROWS($U$2:U741),$U$2:$U$1001,0),MATCH(COLUMNS($AB$1006:AH1006),$AB$1006:$AQ$1006,0)), HYPERLINK("#",""), HYPERLINK(CONCATENATE("#metadata!", ADDRESS(INDEX($W$2:$W$1001,MATCH(ROWS($U$2:U741),$U$2:$U$1001,0),0), INDEX($AB$1004:$AQ$1004,1,MATCH(COLUMNS($AB$1006:AH1006),$AB$1006:$AQ$1006,0)))),"Fix")))</f>
        <v>0</v>
      </c>
      <c r="I741" s="4">
        <f>IF(OR(INDEX($V$2:$V$1001,MATCH(ROWS($U$2:U741),$U$2:$U$1001,0),1)&gt;=100000,INDEX($AB$1005:$AQ$1005,1,MATCH(COLUMNS($AB$1006:AI1006),$AB$1006:$AQ$1006,0))&gt;=100000), " ",IF(INDEX($AB$2:$AQ$1001,MATCH(ROWS($U$2:U741),$U$2:$U$1001,0),MATCH(COLUMNS($AB$1006:AI1006),$AB$1006:$AQ$1006,0)), HYPERLINK("#",""), HYPERLINK(CONCATENATE("#metadata!", ADDRESS(INDEX($W$2:$W$1001,MATCH(ROWS($U$2:U741),$U$2:$U$1001,0),0), INDEX($AB$1004:$AQ$1004,1,MATCH(COLUMNS($AB$1006:AI1006),$AB$1006:$AQ$1006,0)))),"Fix")))</f>
        <v>0</v>
      </c>
      <c r="J741" s="4">
        <f>IF(OR(INDEX($V$2:$V$1001,MATCH(ROWS($U$2:U741),$U$2:$U$1001,0),1)&gt;=100000,INDEX($AB$1005:$AQ$1005,1,MATCH(COLUMNS($AB$1006:AJ1006),$AB$1006:$AQ$1006,0))&gt;=100000), " ",IF(INDEX($AB$2:$AQ$1001,MATCH(ROWS($U$2:U741),$U$2:$U$1001,0),MATCH(COLUMNS($AB$1006:AJ1006),$AB$1006:$AQ$1006,0)), HYPERLINK("#",""), HYPERLINK(CONCATENATE("#metadata!", ADDRESS(INDEX($W$2:$W$1001,MATCH(ROWS($U$2:U741),$U$2:$U$1001,0),0), INDEX($AB$1004:$AQ$1004,1,MATCH(COLUMNS($AB$1006:AJ1006),$AB$1006:$AQ$1006,0)))),"Fix")))</f>
        <v>0</v>
      </c>
      <c r="K741" s="4">
        <f>IF(OR(INDEX($V$2:$V$1001,MATCH(ROWS($U$2:U741),$U$2:$U$1001,0),1)&gt;=100000,INDEX($AB$1005:$AQ$1005,1,MATCH(COLUMNS($AB$1006:AK1006),$AB$1006:$AQ$1006,0))&gt;=100000), " ",IF(INDEX($AB$2:$AQ$1001,MATCH(ROWS($U$2:U741),$U$2:$U$1001,0),MATCH(COLUMNS($AB$1006:AK1006),$AB$1006:$AQ$1006,0)), HYPERLINK("#",""), HYPERLINK(CONCATENATE("#metadata!", ADDRESS(INDEX($W$2:$W$1001,MATCH(ROWS($U$2:U741),$U$2:$U$1001,0),0), INDEX($AB$1004:$AQ$1004,1,MATCH(COLUMNS($AB$1006:AK1006),$AB$1006:$AQ$1006,0)))),"Fix")))</f>
        <v>0</v>
      </c>
      <c r="L741" s="4">
        <f>IF(OR(INDEX($V$2:$V$1001,MATCH(ROWS($U$2:U741),$U$2:$U$1001,0),1)&gt;=100000,INDEX($AB$1005:$AQ$1005,1,MATCH(COLUMNS($AB$1006:AL1006),$AB$1006:$AQ$1006,0))&gt;=100000), " ",IF(INDEX($AB$2:$AQ$1001,MATCH(ROWS($U$2:U741),$U$2:$U$1001,0),MATCH(COLUMNS($AB$1006:AL1006),$AB$1006:$AQ$1006,0)), HYPERLINK("#",""), HYPERLINK(CONCATENATE("#metadata!", ADDRESS(INDEX($W$2:$W$1001,MATCH(ROWS($U$2:U741),$U$2:$U$1001,0),0), INDEX($AB$1004:$AQ$1004,1,MATCH(COLUMNS($AB$1006:AL1006),$AB$1006:$AQ$1006,0)))),"Fix")))</f>
        <v>0</v>
      </c>
      <c r="M741" s="4">
        <f>IF(OR(INDEX($V$2:$V$1001,MATCH(ROWS($U$2:U741),$U$2:$U$1001,0),1)&gt;=100000,INDEX($AB$1005:$AQ$1005,1,MATCH(COLUMNS($AB$1006:AM1006),$AB$1006:$AQ$1006,0))&gt;=100000), " ",IF(INDEX($AB$2:$AQ$1001,MATCH(ROWS($U$2:U741),$U$2:$U$1001,0),MATCH(COLUMNS($AB$1006:AM1006),$AB$1006:$AQ$1006,0)), HYPERLINK("#",""), HYPERLINK(CONCATENATE("#metadata!", ADDRESS(INDEX($W$2:$W$1001,MATCH(ROWS($U$2:U741),$U$2:$U$1001,0),0), INDEX($AB$1004:$AQ$1004,1,MATCH(COLUMNS($AB$1006:AM1006),$AB$1006:$AQ$1006,0)))),"Fix")))</f>
        <v>0</v>
      </c>
      <c r="N741" s="4">
        <f>IF(OR(INDEX($V$2:$V$1001,MATCH(ROWS($U$2:U741),$U$2:$U$1001,0),1)&gt;=100000,INDEX($AB$1005:$AQ$1005,1,MATCH(COLUMNS($AB$1006:AN1006),$AB$1006:$AQ$1006,0))&gt;=100000), " ",IF(INDEX($AB$2:$AQ$1001,MATCH(ROWS($U$2:U741),$U$2:$U$1001,0),MATCH(COLUMNS($AB$1006:AN1006),$AB$1006:$AQ$1006,0)), HYPERLINK("#",""), HYPERLINK(CONCATENATE("#metadata!", ADDRESS(INDEX($W$2:$W$1001,MATCH(ROWS($U$2:U741),$U$2:$U$1001,0),0), INDEX($AB$1004:$AQ$1004,1,MATCH(COLUMNS($AB$1006:AN1006),$AB$1006:$AQ$1006,0)))),"Fix")))</f>
        <v>0</v>
      </c>
      <c r="O741" s="4">
        <f>IF(OR(INDEX($V$2:$V$1001,MATCH(ROWS($U$2:U741),$U$2:$U$1001,0),1)&gt;=100000,INDEX($AB$1005:$AQ$1005,1,MATCH(COLUMNS($AB$1006:AO1006),$AB$1006:$AQ$1006,0))&gt;=100000), " ",IF(INDEX($AB$2:$AQ$1001,MATCH(ROWS($U$2:U741),$U$2:$U$1001,0),MATCH(COLUMNS($AB$1006:AO1006),$AB$1006:$AQ$1006,0)), HYPERLINK("#",""), HYPERLINK(CONCATENATE("#metadata!", ADDRESS(INDEX($W$2:$W$1001,MATCH(ROWS($U$2:U741),$U$2:$U$1001,0),0), INDEX($AB$1004:$AQ$1004,1,MATCH(COLUMNS($AB$1006:AO1006),$AB$1006:$AQ$1006,0)))),"Fix")))</f>
        <v>0</v>
      </c>
      <c r="P741" s="4">
        <f>IF(OR(INDEX($V$2:$V$1001,MATCH(ROWS($U$2:U741),$U$2:$U$1001,0),1)&gt;=100000,INDEX($AB$1005:$AQ$1005,1,MATCH(COLUMNS($AB$1006:AP1006),$AB$1006:$AQ$1006,0))&gt;=100000), " ",IF(INDEX($AB$2:$AQ$1001,MATCH(ROWS($U$2:U741),$U$2:$U$1001,0),MATCH(COLUMNS($AB$1006:AP1006),$AB$1006:$AQ$1006,0)), HYPERLINK("#",""), HYPERLINK(CONCATENATE("#metadata!", ADDRESS(INDEX($W$2:$W$1001,MATCH(ROWS($U$2:U741),$U$2:$U$1001,0),0), INDEX($AB$1004:$AQ$1004,1,MATCH(COLUMNS($AB$1006:AP1006),$AB$1006:$AQ$1006,0)))),"Fix")))</f>
        <v>0</v>
      </c>
      <c r="Q741" s="4">
        <f>IF(OR(INDEX($V$2:$V$1001,MATCH(ROWS($U$2:U741),$U$2:$U$1001,0),1)&gt;=100000,INDEX($AB$1005:$AQ$1005,1,MATCH(COLUMNS($AB$1006:AQ1006),$AB$1006:$AQ$1006,0))&gt;=100000), " ",IF(INDEX($AB$2:$AQ$1001,MATCH(ROWS($U$2:U741),$U$2:$U$1001,0),MATCH(COLUMNS($AB$1006:AQ1006),$AB$1006:$AQ$1006,0)), HYPERLINK("#",""), HYPERLINK(CONCATENATE("#metadata!", ADDRESS(INDEX($W$2:$W$1001,MATCH(ROWS($U$2:U741),$U$2:$U$1001,0),0), INDEX($AB$1004:$AQ$1004,1,MATCH(COLUMNS($AB$1006:AQ1006),$AB$1006:$AQ$1006,0)))),"Fix")))</f>
        <v>0</v>
      </c>
      <c r="U741">
        <v>0</v>
      </c>
      <c r="V741">
        <v>0</v>
      </c>
      <c r="W741">
        <v>0</v>
      </c>
      <c r="X741">
        <f>IF(Y741,TRUE,AND(AB741:AQ741))</f>
        <v>0</v>
      </c>
      <c r="Y741">
        <f>COUNTBLANK(metadata!B741:Q741)=COLUMNS(metadata!B741:Q741)</f>
        <v>0</v>
      </c>
      <c r="Z741">
        <v>0</v>
      </c>
      <c r="AB741">
        <f>AND(IF(metadata!B741="",FALSE,TRUE),COUNTIF(metadata!B:B, metadata!B741) = 1,NOT(ISERROR(SUMPRODUCT(SEARCH(MID(metadata!B741,ROW(INDIRECT("1:"&amp;LEN(metadata!B741))), 1),"0123456789abcdefghijklmnopqrstuvwxyzABCDEFGHIJKLMNOPQRSTUVWXYZ.")))))</f>
        <v>0</v>
      </c>
      <c r="AC741">
        <f>OR(AND(IF(metadata!C741="",FALSE,TRUE),OR(exact(metadata!C741,"missing: not collected"),exact(metadata!C741,"missing: not provided"),exact(metadata!C741,"missing: restricted access"))),AND(IF(metadata!C741="",FALSE,TRUE),AND(AND(IFERROR(INT(LEFT(metadata!C741,4))&gt;1900,FALSE),IFERROR(INT(LEFT(metadata!C741,4))&lt;=YEAR(NOW()),FALSE)), OR(MID(metadata!C741,5,1)="", AND(AND(MID(metadata!C741,5,1)="-",IFERROR(INT(MID(metadata!C741,6,1))&gt;=0,FALSE),IFERROR(INT(MID(metadata!C741,6,1))&lt;=1,FALSE),NOT(MID(metadata!C741,7,1)=""),IFERROR(INT(MID(metadata!C741,6,2))&gt;=1,FALSE),IFERROR(INT(MID(metadata!C741,6,2))&lt;=12,FALSE)), OR(MID(metadata!C741,8,1)="", AND(AND(MID(metadata!C741,8,1)="-",IFERROR(INT(MID(metadata!C741,9,1))&gt;=0,FALSE),IFERROR(INT(MID(metadata!C741,9,1))&lt;=3,FALSE),NOT(MID(metadata!C741,10,1)=""),IFERROR(INT(MID(metadata!C741,9,2))&gt;=1,FALSE),IFERROR(INT(MID(metadata!C741,9,2))&lt;=31,FALSE)), OR(MID(metadata!C741,11,1)="", AND(AND(MID(metadata!C741,11,1)=" ",IFERROR(INT(MID(metadata!C741,12,1))&gt;=0,FALSE),IFERROR(INT(MID(metadata!C741,12,1))&lt;=2,FALSE),NOT(MID(metadata!C741,13,1)=""),IFERROR(INT(MID(metadata!C741,12,2))&gt;=0,FALSE),IFERROR(INT(MID(metadata!C741,12,2))&lt;=23,FALSE)), OR(MID(metadata!C741,14,1)="", AND(AND(MID(metadata!C741,14,1)=":",IFERROR(INT(MID(metadata!C741,15,1))&gt;=0,FALSE),IFERROR(INT(MID(metadata!C741,15,1))&lt;=5,FALSE),NOT(MID(metadata!C741,16,1)=""),IFERROR(INT(MID(metadata!C741,15,2))&gt;=0,FALSE),IFERROR(INT(MID(metadata!C741,15,2))&lt;=59,FALSE)), OR(MID(metadata!C741,17,1)="", AND(AND(MID(metadata!C741,17,1)=":",IFERROR(INT(MID(metadata!C741,18,1))&gt;=0,FALSE),IFERROR(INT(MID(metadata!C741,18,1))&lt;=5,FALSE),NOT(MID(metadata!C741,19,1)=""),IFERROR(INT(MID(metadata!C741,18,2))&gt;=0,FALSE),IFERROR(INT(MID(metadata!C741,18,2))&lt;=59,FALSE)), LEN(metadata!C741)&lt;=19)))))))))))))</f>
        <v>0</v>
      </c>
      <c r="AD741">
        <f>IF(metadata!D741="",FALSE,TRUE)</f>
        <v>0</v>
      </c>
      <c r="AE741">
        <f>OR(AND(IF(metadata!E741="",FALSE,TRUE),OR(exact(metadata!E741,"missing: not collected"),exact(metadata!E741,"missing: not provided"))),AND(IF(metadata!E741="",FALSE,TRUE),OR(exact(metadata!E741,"TRUE"),exact(metadata!E741,"FALSE"))))</f>
        <v>0</v>
      </c>
      <c r="AF741">
        <f>IF(metadata!F741="",FALSE,TRUE)</f>
        <v>0</v>
      </c>
      <c r="AG741">
        <f>IF(metadata!G741="",FALSE,TRUE)</f>
        <v>0</v>
      </c>
      <c r="AH741">
        <f>IF(metadata!H741="",FALSE,TRUE)</f>
        <v>0</v>
      </c>
      <c r="AI741">
        <f>OR(AND(IF(metadata!I741="",FALSE,TRUE),OR(exact(metadata!I741,"missing: not collected"),exact(metadata!I741,"missing: not provided"),exact(metadata!I741,"missing: restricted access"))),AND(IF(metadata!I741="",FALSE,TRUE),OR(exact(metadata!I741,"air"),exact(metadata!I741,"built environment"),exact(metadata!I741,"host-associated"),exact(metadata!I741,"human-associated"),exact(metadata!I741,"human-skin"),exact(metadata!I741,"human-oral"),exact(metadata!I741,"human-gut"),exact(metadata!I741,"human-vaginal"),exact(metadata!I741,"microbial mat/biofilm"),exact(metadata!I741,"misc environment"),exact(metadata!I741,"plant-associated"),exact(metadata!I741,"sediment"),exact(metadata!I741,"soil"),exact(metadata!I741,"wastewater/sludge"),exact(metadata!I741,"water"))))</f>
        <v>0</v>
      </c>
      <c r="AJ741">
        <f>IF(metadata!J741="",FALSE,TRUE)</f>
        <v>0</v>
      </c>
      <c r="AK741">
        <f>OR(AND(IF(metadata!K741="",FALSE,TRUE),OR(exact(metadata!K741,"missing: not collected"),exact(metadata!K741,"missing: not provided"),exact(metadata!K741,"missing: restricted access"))),AND(IF(metadata!K741="",FALSE,ISNUMBER(VALUE(metadata!K741))),metadata!K741&gt;=-90.00,metadata!K741&lt;=90.00))</f>
        <v>0</v>
      </c>
      <c r="AL741">
        <f>OR(AND(IF(metadata!L741="",FALSE,TRUE),OR(exact(metadata!L741,"missing: not collected"),exact(metadata!L741,"missing: not provided"),exact(metadata!L741,"missing: restricted access"))),AND(IF(metadata!L741="",FALSE,ISNUMBER(VALUE(metadata!L741))),metadata!L741&gt;=-180.00,metadata!L741&lt;=180.00))</f>
        <v>0</v>
      </c>
      <c r="AM741">
        <f>IF(metadata!M741="",FALSE,TRUE)</f>
        <v>0</v>
      </c>
      <c r="AN741">
        <f>OR(AND(IF(metadata!N741="",FALSE,TRUE),OR(exact(metadata!N741,"missing: not collected"),exact(metadata!N741,"missing: not provided"),exact(metadata!N741,"missing: restricted access"))),AND(IF(metadata!N741="",FALSE,TRUE),OR(exact(metadata!N741,"TRUE"),exact(metadata!N741,"FALSE"))))</f>
        <v>0</v>
      </c>
      <c r="AO741">
        <f>IF(metadata!O741="",FALSE,TRUE)</f>
        <v>0</v>
      </c>
      <c r="AP741">
        <f>OR(AND(IF(metadata!P741="",FALSE,TRUE),OR(exact(metadata!P741,"missing: not collected"),exact(metadata!P741,"missing: not provided"))),AND(IF(metadata!P741="",FALSE,IF(ISERROR(INT(metadata!P741)),FALSE,INT(metadata!P741)=metadata!P741)),metadata!P741&gt;0))</f>
        <v>0</v>
      </c>
      <c r="AQ741">
        <f>IF(metadata!Q741="",FALSE,TRUE)</f>
        <v>0</v>
      </c>
    </row>
    <row r="742" spans="1:43">
      <c r="A742" s="5">
        <f>IF(B742=" "," ",HYPERLINK(CONCATENATE("#metadata!",ADDRESS(INDEX($W$2:$W$1001,MATCH(ROWS($U$2:U742),$U$2:$U$1001,0),0),1)),INDEX($Z$2:$Z$1001,MATCH(ROWS($U$2:U742),$U$2:$U$1001,0),0)))</f>
        <v>0</v>
      </c>
      <c r="B742" s="4">
        <f>IF(OR(INDEX($V$2:$V$1001,MATCH(ROWS($U$2:U742),$U$2:$U$1001,0),1)&gt;=100000,INDEX($AB$1005:$AQ$1005,1,MATCH(COLUMNS($AB$1006:AB1006),$AB$1006:$AQ$1006,0))&gt;=100000), " ",IF(INDEX($AB$2:$AQ$1001,MATCH(ROWS($U$2:U742),$U$2:$U$1001,0),MATCH(COLUMNS($AB$1006:AB1006),$AB$1006:$AQ$1006,0)), HYPERLINK("#",""), HYPERLINK(CONCATENATE("#metadata!", ADDRESS(INDEX($W$2:$W$1001,MATCH(ROWS($U$2:U742),$U$2:$U$1001,0),0), INDEX($AB$1004:$AQ$1004,1,MATCH(COLUMNS($AB$1006:AB1006),$AB$1006:$AQ$1006,0)))),"Fix")))</f>
        <v>0</v>
      </c>
      <c r="C742" s="4">
        <f>IF(OR(INDEX($V$2:$V$1001,MATCH(ROWS($U$2:U742),$U$2:$U$1001,0),1)&gt;=100000,INDEX($AB$1005:$AQ$1005,1,MATCH(COLUMNS($AB$1006:AC1006),$AB$1006:$AQ$1006,0))&gt;=100000), " ",IF(INDEX($AB$2:$AQ$1001,MATCH(ROWS($U$2:U742),$U$2:$U$1001,0),MATCH(COLUMNS($AB$1006:AC1006),$AB$1006:$AQ$1006,0)), HYPERLINK("#",""), HYPERLINK(CONCATENATE("#metadata!", ADDRESS(INDEX($W$2:$W$1001,MATCH(ROWS($U$2:U742),$U$2:$U$1001,0),0), INDEX($AB$1004:$AQ$1004,1,MATCH(COLUMNS($AB$1006:AC1006),$AB$1006:$AQ$1006,0)))),"Fix")))</f>
        <v>0</v>
      </c>
      <c r="D742" s="4">
        <f>IF(OR(INDEX($V$2:$V$1001,MATCH(ROWS($U$2:U742),$U$2:$U$1001,0),1)&gt;=100000,INDEX($AB$1005:$AQ$1005,1,MATCH(COLUMNS($AB$1006:AD1006),$AB$1006:$AQ$1006,0))&gt;=100000), " ",IF(INDEX($AB$2:$AQ$1001,MATCH(ROWS($U$2:U742),$U$2:$U$1001,0),MATCH(COLUMNS($AB$1006:AD1006),$AB$1006:$AQ$1006,0)), HYPERLINK("#",""), HYPERLINK(CONCATENATE("#metadata!", ADDRESS(INDEX($W$2:$W$1001,MATCH(ROWS($U$2:U742),$U$2:$U$1001,0),0), INDEX($AB$1004:$AQ$1004,1,MATCH(COLUMNS($AB$1006:AD1006),$AB$1006:$AQ$1006,0)))),"Fix")))</f>
        <v>0</v>
      </c>
      <c r="E742" s="4">
        <f>IF(OR(INDEX($V$2:$V$1001,MATCH(ROWS($U$2:U742),$U$2:$U$1001,0),1)&gt;=100000,INDEX($AB$1005:$AQ$1005,1,MATCH(COLUMNS($AB$1006:AE1006),$AB$1006:$AQ$1006,0))&gt;=100000), " ",IF(INDEX($AB$2:$AQ$1001,MATCH(ROWS($U$2:U742),$U$2:$U$1001,0),MATCH(COLUMNS($AB$1006:AE1006),$AB$1006:$AQ$1006,0)), HYPERLINK("#",""), HYPERLINK(CONCATENATE("#metadata!", ADDRESS(INDEX($W$2:$W$1001,MATCH(ROWS($U$2:U742),$U$2:$U$1001,0),0), INDEX($AB$1004:$AQ$1004,1,MATCH(COLUMNS($AB$1006:AE1006),$AB$1006:$AQ$1006,0)))),"Fix")))</f>
        <v>0</v>
      </c>
      <c r="F742" s="4">
        <f>IF(OR(INDEX($V$2:$V$1001,MATCH(ROWS($U$2:U742),$U$2:$U$1001,0),1)&gt;=100000,INDEX($AB$1005:$AQ$1005,1,MATCH(COLUMNS($AB$1006:AF1006),$AB$1006:$AQ$1006,0))&gt;=100000), " ",IF(INDEX($AB$2:$AQ$1001,MATCH(ROWS($U$2:U742),$U$2:$U$1001,0),MATCH(COLUMNS($AB$1006:AF1006),$AB$1006:$AQ$1006,0)), HYPERLINK("#",""), HYPERLINK(CONCATENATE("#metadata!", ADDRESS(INDEX($W$2:$W$1001,MATCH(ROWS($U$2:U742),$U$2:$U$1001,0),0), INDEX($AB$1004:$AQ$1004,1,MATCH(COLUMNS($AB$1006:AF1006),$AB$1006:$AQ$1006,0)))),"Fix")))</f>
        <v>0</v>
      </c>
      <c r="G742" s="4">
        <f>IF(OR(INDEX($V$2:$V$1001,MATCH(ROWS($U$2:U742),$U$2:$U$1001,0),1)&gt;=100000,INDEX($AB$1005:$AQ$1005,1,MATCH(COLUMNS($AB$1006:AG1006),$AB$1006:$AQ$1006,0))&gt;=100000), " ",IF(INDEX($AB$2:$AQ$1001,MATCH(ROWS($U$2:U742),$U$2:$U$1001,0),MATCH(COLUMNS($AB$1006:AG1006),$AB$1006:$AQ$1006,0)), HYPERLINK("#",""), HYPERLINK(CONCATENATE("#metadata!", ADDRESS(INDEX($W$2:$W$1001,MATCH(ROWS($U$2:U742),$U$2:$U$1001,0),0), INDEX($AB$1004:$AQ$1004,1,MATCH(COLUMNS($AB$1006:AG1006),$AB$1006:$AQ$1006,0)))),"Fix")))</f>
        <v>0</v>
      </c>
      <c r="H742" s="4">
        <f>IF(OR(INDEX($V$2:$V$1001,MATCH(ROWS($U$2:U742),$U$2:$U$1001,0),1)&gt;=100000,INDEX($AB$1005:$AQ$1005,1,MATCH(COLUMNS($AB$1006:AH1006),$AB$1006:$AQ$1006,0))&gt;=100000), " ",IF(INDEX($AB$2:$AQ$1001,MATCH(ROWS($U$2:U742),$U$2:$U$1001,0),MATCH(COLUMNS($AB$1006:AH1006),$AB$1006:$AQ$1006,0)), HYPERLINK("#",""), HYPERLINK(CONCATENATE("#metadata!", ADDRESS(INDEX($W$2:$W$1001,MATCH(ROWS($U$2:U742),$U$2:$U$1001,0),0), INDEX($AB$1004:$AQ$1004,1,MATCH(COLUMNS($AB$1006:AH1006),$AB$1006:$AQ$1006,0)))),"Fix")))</f>
        <v>0</v>
      </c>
      <c r="I742" s="4">
        <f>IF(OR(INDEX($V$2:$V$1001,MATCH(ROWS($U$2:U742),$U$2:$U$1001,0),1)&gt;=100000,INDEX($AB$1005:$AQ$1005,1,MATCH(COLUMNS($AB$1006:AI1006),$AB$1006:$AQ$1006,0))&gt;=100000), " ",IF(INDEX($AB$2:$AQ$1001,MATCH(ROWS($U$2:U742),$U$2:$U$1001,0),MATCH(COLUMNS($AB$1006:AI1006),$AB$1006:$AQ$1006,0)), HYPERLINK("#",""), HYPERLINK(CONCATENATE("#metadata!", ADDRESS(INDEX($W$2:$W$1001,MATCH(ROWS($U$2:U742),$U$2:$U$1001,0),0), INDEX($AB$1004:$AQ$1004,1,MATCH(COLUMNS($AB$1006:AI1006),$AB$1006:$AQ$1006,0)))),"Fix")))</f>
        <v>0</v>
      </c>
      <c r="J742" s="4">
        <f>IF(OR(INDEX($V$2:$V$1001,MATCH(ROWS($U$2:U742),$U$2:$U$1001,0),1)&gt;=100000,INDEX($AB$1005:$AQ$1005,1,MATCH(COLUMNS($AB$1006:AJ1006),$AB$1006:$AQ$1006,0))&gt;=100000), " ",IF(INDEX($AB$2:$AQ$1001,MATCH(ROWS($U$2:U742),$U$2:$U$1001,0),MATCH(COLUMNS($AB$1006:AJ1006),$AB$1006:$AQ$1006,0)), HYPERLINK("#",""), HYPERLINK(CONCATENATE("#metadata!", ADDRESS(INDEX($W$2:$W$1001,MATCH(ROWS($U$2:U742),$U$2:$U$1001,0),0), INDEX($AB$1004:$AQ$1004,1,MATCH(COLUMNS($AB$1006:AJ1006),$AB$1006:$AQ$1006,0)))),"Fix")))</f>
        <v>0</v>
      </c>
      <c r="K742" s="4">
        <f>IF(OR(INDEX($V$2:$V$1001,MATCH(ROWS($U$2:U742),$U$2:$U$1001,0),1)&gt;=100000,INDEX($AB$1005:$AQ$1005,1,MATCH(COLUMNS($AB$1006:AK1006),$AB$1006:$AQ$1006,0))&gt;=100000), " ",IF(INDEX($AB$2:$AQ$1001,MATCH(ROWS($U$2:U742),$U$2:$U$1001,0),MATCH(COLUMNS($AB$1006:AK1006),$AB$1006:$AQ$1006,0)), HYPERLINK("#",""), HYPERLINK(CONCATENATE("#metadata!", ADDRESS(INDEX($W$2:$W$1001,MATCH(ROWS($U$2:U742),$U$2:$U$1001,0),0), INDEX($AB$1004:$AQ$1004,1,MATCH(COLUMNS($AB$1006:AK1006),$AB$1006:$AQ$1006,0)))),"Fix")))</f>
        <v>0</v>
      </c>
      <c r="L742" s="4">
        <f>IF(OR(INDEX($V$2:$V$1001,MATCH(ROWS($U$2:U742),$U$2:$U$1001,0),1)&gt;=100000,INDEX($AB$1005:$AQ$1005,1,MATCH(COLUMNS($AB$1006:AL1006),$AB$1006:$AQ$1006,0))&gt;=100000), " ",IF(INDEX($AB$2:$AQ$1001,MATCH(ROWS($U$2:U742),$U$2:$U$1001,0),MATCH(COLUMNS($AB$1006:AL1006),$AB$1006:$AQ$1006,0)), HYPERLINK("#",""), HYPERLINK(CONCATENATE("#metadata!", ADDRESS(INDEX($W$2:$W$1001,MATCH(ROWS($U$2:U742),$U$2:$U$1001,0),0), INDEX($AB$1004:$AQ$1004,1,MATCH(COLUMNS($AB$1006:AL1006),$AB$1006:$AQ$1006,0)))),"Fix")))</f>
        <v>0</v>
      </c>
      <c r="M742" s="4">
        <f>IF(OR(INDEX($V$2:$V$1001,MATCH(ROWS($U$2:U742),$U$2:$U$1001,0),1)&gt;=100000,INDEX($AB$1005:$AQ$1005,1,MATCH(COLUMNS($AB$1006:AM1006),$AB$1006:$AQ$1006,0))&gt;=100000), " ",IF(INDEX($AB$2:$AQ$1001,MATCH(ROWS($U$2:U742),$U$2:$U$1001,0),MATCH(COLUMNS($AB$1006:AM1006),$AB$1006:$AQ$1006,0)), HYPERLINK("#",""), HYPERLINK(CONCATENATE("#metadata!", ADDRESS(INDEX($W$2:$W$1001,MATCH(ROWS($U$2:U742),$U$2:$U$1001,0),0), INDEX($AB$1004:$AQ$1004,1,MATCH(COLUMNS($AB$1006:AM1006),$AB$1006:$AQ$1006,0)))),"Fix")))</f>
        <v>0</v>
      </c>
      <c r="N742" s="4">
        <f>IF(OR(INDEX($V$2:$V$1001,MATCH(ROWS($U$2:U742),$U$2:$U$1001,0),1)&gt;=100000,INDEX($AB$1005:$AQ$1005,1,MATCH(COLUMNS($AB$1006:AN1006),$AB$1006:$AQ$1006,0))&gt;=100000), " ",IF(INDEX($AB$2:$AQ$1001,MATCH(ROWS($U$2:U742),$U$2:$U$1001,0),MATCH(COLUMNS($AB$1006:AN1006),$AB$1006:$AQ$1006,0)), HYPERLINK("#",""), HYPERLINK(CONCATENATE("#metadata!", ADDRESS(INDEX($W$2:$W$1001,MATCH(ROWS($U$2:U742),$U$2:$U$1001,0),0), INDEX($AB$1004:$AQ$1004,1,MATCH(COLUMNS($AB$1006:AN1006),$AB$1006:$AQ$1006,0)))),"Fix")))</f>
        <v>0</v>
      </c>
      <c r="O742" s="4">
        <f>IF(OR(INDEX($V$2:$V$1001,MATCH(ROWS($U$2:U742),$U$2:$U$1001,0),1)&gt;=100000,INDEX($AB$1005:$AQ$1005,1,MATCH(COLUMNS($AB$1006:AO1006),$AB$1006:$AQ$1006,0))&gt;=100000), " ",IF(INDEX($AB$2:$AQ$1001,MATCH(ROWS($U$2:U742),$U$2:$U$1001,0),MATCH(COLUMNS($AB$1006:AO1006),$AB$1006:$AQ$1006,0)), HYPERLINK("#",""), HYPERLINK(CONCATENATE("#metadata!", ADDRESS(INDEX($W$2:$W$1001,MATCH(ROWS($U$2:U742),$U$2:$U$1001,0),0), INDEX($AB$1004:$AQ$1004,1,MATCH(COLUMNS($AB$1006:AO1006),$AB$1006:$AQ$1006,0)))),"Fix")))</f>
        <v>0</v>
      </c>
      <c r="P742" s="4">
        <f>IF(OR(INDEX($V$2:$V$1001,MATCH(ROWS($U$2:U742),$U$2:$U$1001,0),1)&gt;=100000,INDEX($AB$1005:$AQ$1005,1,MATCH(COLUMNS($AB$1006:AP1006),$AB$1006:$AQ$1006,0))&gt;=100000), " ",IF(INDEX($AB$2:$AQ$1001,MATCH(ROWS($U$2:U742),$U$2:$U$1001,0),MATCH(COLUMNS($AB$1006:AP1006),$AB$1006:$AQ$1006,0)), HYPERLINK("#",""), HYPERLINK(CONCATENATE("#metadata!", ADDRESS(INDEX($W$2:$W$1001,MATCH(ROWS($U$2:U742),$U$2:$U$1001,0),0), INDEX($AB$1004:$AQ$1004,1,MATCH(COLUMNS($AB$1006:AP1006),$AB$1006:$AQ$1006,0)))),"Fix")))</f>
        <v>0</v>
      </c>
      <c r="Q742" s="4">
        <f>IF(OR(INDEX($V$2:$V$1001,MATCH(ROWS($U$2:U742),$U$2:$U$1001,0),1)&gt;=100000,INDEX($AB$1005:$AQ$1005,1,MATCH(COLUMNS($AB$1006:AQ1006),$AB$1006:$AQ$1006,0))&gt;=100000), " ",IF(INDEX($AB$2:$AQ$1001,MATCH(ROWS($U$2:U742),$U$2:$U$1001,0),MATCH(COLUMNS($AB$1006:AQ1006),$AB$1006:$AQ$1006,0)), HYPERLINK("#",""), HYPERLINK(CONCATENATE("#metadata!", ADDRESS(INDEX($W$2:$W$1001,MATCH(ROWS($U$2:U742),$U$2:$U$1001,0),0), INDEX($AB$1004:$AQ$1004,1,MATCH(COLUMNS($AB$1006:AQ1006),$AB$1006:$AQ$1006,0)))),"Fix")))</f>
        <v>0</v>
      </c>
      <c r="U742">
        <v>0</v>
      </c>
      <c r="V742">
        <v>0</v>
      </c>
      <c r="W742">
        <v>0</v>
      </c>
      <c r="X742">
        <f>IF(Y742,TRUE,AND(AB742:AQ742))</f>
        <v>0</v>
      </c>
      <c r="Y742">
        <f>COUNTBLANK(metadata!B742:Q742)=COLUMNS(metadata!B742:Q742)</f>
        <v>0</v>
      </c>
      <c r="Z742">
        <v>0</v>
      </c>
      <c r="AB742">
        <f>AND(IF(metadata!B742="",FALSE,TRUE),COUNTIF(metadata!B:B, metadata!B742) = 1,NOT(ISERROR(SUMPRODUCT(SEARCH(MID(metadata!B742,ROW(INDIRECT("1:"&amp;LEN(metadata!B742))), 1),"0123456789abcdefghijklmnopqrstuvwxyzABCDEFGHIJKLMNOPQRSTUVWXYZ.")))))</f>
        <v>0</v>
      </c>
      <c r="AC742">
        <f>OR(AND(IF(metadata!C742="",FALSE,TRUE),OR(exact(metadata!C742,"missing: not collected"),exact(metadata!C742,"missing: not provided"),exact(metadata!C742,"missing: restricted access"))),AND(IF(metadata!C742="",FALSE,TRUE),AND(AND(IFERROR(INT(LEFT(metadata!C742,4))&gt;1900,FALSE),IFERROR(INT(LEFT(metadata!C742,4))&lt;=YEAR(NOW()),FALSE)), OR(MID(metadata!C742,5,1)="", AND(AND(MID(metadata!C742,5,1)="-",IFERROR(INT(MID(metadata!C742,6,1))&gt;=0,FALSE),IFERROR(INT(MID(metadata!C742,6,1))&lt;=1,FALSE),NOT(MID(metadata!C742,7,1)=""),IFERROR(INT(MID(metadata!C742,6,2))&gt;=1,FALSE),IFERROR(INT(MID(metadata!C742,6,2))&lt;=12,FALSE)), OR(MID(metadata!C742,8,1)="", AND(AND(MID(metadata!C742,8,1)="-",IFERROR(INT(MID(metadata!C742,9,1))&gt;=0,FALSE),IFERROR(INT(MID(metadata!C742,9,1))&lt;=3,FALSE),NOT(MID(metadata!C742,10,1)=""),IFERROR(INT(MID(metadata!C742,9,2))&gt;=1,FALSE),IFERROR(INT(MID(metadata!C742,9,2))&lt;=31,FALSE)), OR(MID(metadata!C742,11,1)="", AND(AND(MID(metadata!C742,11,1)=" ",IFERROR(INT(MID(metadata!C742,12,1))&gt;=0,FALSE),IFERROR(INT(MID(metadata!C742,12,1))&lt;=2,FALSE),NOT(MID(metadata!C742,13,1)=""),IFERROR(INT(MID(metadata!C742,12,2))&gt;=0,FALSE),IFERROR(INT(MID(metadata!C742,12,2))&lt;=23,FALSE)), OR(MID(metadata!C742,14,1)="", AND(AND(MID(metadata!C742,14,1)=":",IFERROR(INT(MID(metadata!C742,15,1))&gt;=0,FALSE),IFERROR(INT(MID(metadata!C742,15,1))&lt;=5,FALSE),NOT(MID(metadata!C742,16,1)=""),IFERROR(INT(MID(metadata!C742,15,2))&gt;=0,FALSE),IFERROR(INT(MID(metadata!C742,15,2))&lt;=59,FALSE)), OR(MID(metadata!C742,17,1)="", AND(AND(MID(metadata!C742,17,1)=":",IFERROR(INT(MID(metadata!C742,18,1))&gt;=0,FALSE),IFERROR(INT(MID(metadata!C742,18,1))&lt;=5,FALSE),NOT(MID(metadata!C742,19,1)=""),IFERROR(INT(MID(metadata!C742,18,2))&gt;=0,FALSE),IFERROR(INT(MID(metadata!C742,18,2))&lt;=59,FALSE)), LEN(metadata!C742)&lt;=19)))))))))))))</f>
        <v>0</v>
      </c>
      <c r="AD742">
        <f>IF(metadata!D742="",FALSE,TRUE)</f>
        <v>0</v>
      </c>
      <c r="AE742">
        <f>OR(AND(IF(metadata!E742="",FALSE,TRUE),OR(exact(metadata!E742,"missing: not collected"),exact(metadata!E742,"missing: not provided"))),AND(IF(metadata!E742="",FALSE,TRUE),OR(exact(metadata!E742,"TRUE"),exact(metadata!E742,"FALSE"))))</f>
        <v>0</v>
      </c>
      <c r="AF742">
        <f>IF(metadata!F742="",FALSE,TRUE)</f>
        <v>0</v>
      </c>
      <c r="AG742">
        <f>IF(metadata!G742="",FALSE,TRUE)</f>
        <v>0</v>
      </c>
      <c r="AH742">
        <f>IF(metadata!H742="",FALSE,TRUE)</f>
        <v>0</v>
      </c>
      <c r="AI742">
        <f>OR(AND(IF(metadata!I742="",FALSE,TRUE),OR(exact(metadata!I742,"missing: not collected"),exact(metadata!I742,"missing: not provided"),exact(metadata!I742,"missing: restricted access"))),AND(IF(metadata!I742="",FALSE,TRUE),OR(exact(metadata!I742,"air"),exact(metadata!I742,"built environment"),exact(metadata!I742,"host-associated"),exact(metadata!I742,"human-associated"),exact(metadata!I742,"human-skin"),exact(metadata!I742,"human-oral"),exact(metadata!I742,"human-gut"),exact(metadata!I742,"human-vaginal"),exact(metadata!I742,"microbial mat/biofilm"),exact(metadata!I742,"misc environment"),exact(metadata!I742,"plant-associated"),exact(metadata!I742,"sediment"),exact(metadata!I742,"soil"),exact(metadata!I742,"wastewater/sludge"),exact(metadata!I742,"water"))))</f>
        <v>0</v>
      </c>
      <c r="AJ742">
        <f>IF(metadata!J742="",FALSE,TRUE)</f>
        <v>0</v>
      </c>
      <c r="AK742">
        <f>OR(AND(IF(metadata!K742="",FALSE,TRUE),OR(exact(metadata!K742,"missing: not collected"),exact(metadata!K742,"missing: not provided"),exact(metadata!K742,"missing: restricted access"))),AND(IF(metadata!K742="",FALSE,ISNUMBER(VALUE(metadata!K742))),metadata!K742&gt;=-90.00,metadata!K742&lt;=90.00))</f>
        <v>0</v>
      </c>
      <c r="AL742">
        <f>OR(AND(IF(metadata!L742="",FALSE,TRUE),OR(exact(metadata!L742,"missing: not collected"),exact(metadata!L742,"missing: not provided"),exact(metadata!L742,"missing: restricted access"))),AND(IF(metadata!L742="",FALSE,ISNUMBER(VALUE(metadata!L742))),metadata!L742&gt;=-180.00,metadata!L742&lt;=180.00))</f>
        <v>0</v>
      </c>
      <c r="AM742">
        <f>IF(metadata!M742="",FALSE,TRUE)</f>
        <v>0</v>
      </c>
      <c r="AN742">
        <f>OR(AND(IF(metadata!N742="",FALSE,TRUE),OR(exact(metadata!N742,"missing: not collected"),exact(metadata!N742,"missing: not provided"),exact(metadata!N742,"missing: restricted access"))),AND(IF(metadata!N742="",FALSE,TRUE),OR(exact(metadata!N742,"TRUE"),exact(metadata!N742,"FALSE"))))</f>
        <v>0</v>
      </c>
      <c r="AO742">
        <f>IF(metadata!O742="",FALSE,TRUE)</f>
        <v>0</v>
      </c>
      <c r="AP742">
        <f>OR(AND(IF(metadata!P742="",FALSE,TRUE),OR(exact(metadata!P742,"missing: not collected"),exact(metadata!P742,"missing: not provided"))),AND(IF(metadata!P742="",FALSE,IF(ISERROR(INT(metadata!P742)),FALSE,INT(metadata!P742)=metadata!P742)),metadata!P742&gt;0))</f>
        <v>0</v>
      </c>
      <c r="AQ742">
        <f>IF(metadata!Q742="",FALSE,TRUE)</f>
        <v>0</v>
      </c>
    </row>
    <row r="743" spans="1:43">
      <c r="A743" s="5">
        <f>IF(B743=" "," ",HYPERLINK(CONCATENATE("#metadata!",ADDRESS(INDEX($W$2:$W$1001,MATCH(ROWS($U$2:U743),$U$2:$U$1001,0),0),1)),INDEX($Z$2:$Z$1001,MATCH(ROWS($U$2:U743),$U$2:$U$1001,0),0)))</f>
        <v>0</v>
      </c>
      <c r="B743" s="4">
        <f>IF(OR(INDEX($V$2:$V$1001,MATCH(ROWS($U$2:U743),$U$2:$U$1001,0),1)&gt;=100000,INDEX($AB$1005:$AQ$1005,1,MATCH(COLUMNS($AB$1006:AB1006),$AB$1006:$AQ$1006,0))&gt;=100000), " ",IF(INDEX($AB$2:$AQ$1001,MATCH(ROWS($U$2:U743),$U$2:$U$1001,0),MATCH(COLUMNS($AB$1006:AB1006),$AB$1006:$AQ$1006,0)), HYPERLINK("#",""), HYPERLINK(CONCATENATE("#metadata!", ADDRESS(INDEX($W$2:$W$1001,MATCH(ROWS($U$2:U743),$U$2:$U$1001,0),0), INDEX($AB$1004:$AQ$1004,1,MATCH(COLUMNS($AB$1006:AB1006),$AB$1006:$AQ$1006,0)))),"Fix")))</f>
        <v>0</v>
      </c>
      <c r="C743" s="4">
        <f>IF(OR(INDEX($V$2:$V$1001,MATCH(ROWS($U$2:U743),$U$2:$U$1001,0),1)&gt;=100000,INDEX($AB$1005:$AQ$1005,1,MATCH(COLUMNS($AB$1006:AC1006),$AB$1006:$AQ$1006,0))&gt;=100000), " ",IF(INDEX($AB$2:$AQ$1001,MATCH(ROWS($U$2:U743),$U$2:$U$1001,0),MATCH(COLUMNS($AB$1006:AC1006),$AB$1006:$AQ$1006,0)), HYPERLINK("#",""), HYPERLINK(CONCATENATE("#metadata!", ADDRESS(INDEX($W$2:$W$1001,MATCH(ROWS($U$2:U743),$U$2:$U$1001,0),0), INDEX($AB$1004:$AQ$1004,1,MATCH(COLUMNS($AB$1006:AC1006),$AB$1006:$AQ$1006,0)))),"Fix")))</f>
        <v>0</v>
      </c>
      <c r="D743" s="4">
        <f>IF(OR(INDEX($V$2:$V$1001,MATCH(ROWS($U$2:U743),$U$2:$U$1001,0),1)&gt;=100000,INDEX($AB$1005:$AQ$1005,1,MATCH(COLUMNS($AB$1006:AD1006),$AB$1006:$AQ$1006,0))&gt;=100000), " ",IF(INDEX($AB$2:$AQ$1001,MATCH(ROWS($U$2:U743),$U$2:$U$1001,0),MATCH(COLUMNS($AB$1006:AD1006),$AB$1006:$AQ$1006,0)), HYPERLINK("#",""), HYPERLINK(CONCATENATE("#metadata!", ADDRESS(INDEX($W$2:$W$1001,MATCH(ROWS($U$2:U743),$U$2:$U$1001,0),0), INDEX($AB$1004:$AQ$1004,1,MATCH(COLUMNS($AB$1006:AD1006),$AB$1006:$AQ$1006,0)))),"Fix")))</f>
        <v>0</v>
      </c>
      <c r="E743" s="4">
        <f>IF(OR(INDEX($V$2:$V$1001,MATCH(ROWS($U$2:U743),$U$2:$U$1001,0),1)&gt;=100000,INDEX($AB$1005:$AQ$1005,1,MATCH(COLUMNS($AB$1006:AE1006),$AB$1006:$AQ$1006,0))&gt;=100000), " ",IF(INDEX($AB$2:$AQ$1001,MATCH(ROWS($U$2:U743),$U$2:$U$1001,0),MATCH(COLUMNS($AB$1006:AE1006),$AB$1006:$AQ$1006,0)), HYPERLINK("#",""), HYPERLINK(CONCATENATE("#metadata!", ADDRESS(INDEX($W$2:$W$1001,MATCH(ROWS($U$2:U743),$U$2:$U$1001,0),0), INDEX($AB$1004:$AQ$1004,1,MATCH(COLUMNS($AB$1006:AE1006),$AB$1006:$AQ$1006,0)))),"Fix")))</f>
        <v>0</v>
      </c>
      <c r="F743" s="4">
        <f>IF(OR(INDEX($V$2:$V$1001,MATCH(ROWS($U$2:U743),$U$2:$U$1001,0),1)&gt;=100000,INDEX($AB$1005:$AQ$1005,1,MATCH(COLUMNS($AB$1006:AF1006),$AB$1006:$AQ$1006,0))&gt;=100000), " ",IF(INDEX($AB$2:$AQ$1001,MATCH(ROWS($U$2:U743),$U$2:$U$1001,0),MATCH(COLUMNS($AB$1006:AF1006),$AB$1006:$AQ$1006,0)), HYPERLINK("#",""), HYPERLINK(CONCATENATE("#metadata!", ADDRESS(INDEX($W$2:$W$1001,MATCH(ROWS($U$2:U743),$U$2:$U$1001,0),0), INDEX($AB$1004:$AQ$1004,1,MATCH(COLUMNS($AB$1006:AF1006),$AB$1006:$AQ$1006,0)))),"Fix")))</f>
        <v>0</v>
      </c>
      <c r="G743" s="4">
        <f>IF(OR(INDEX($V$2:$V$1001,MATCH(ROWS($U$2:U743),$U$2:$U$1001,0),1)&gt;=100000,INDEX($AB$1005:$AQ$1005,1,MATCH(COLUMNS($AB$1006:AG1006),$AB$1006:$AQ$1006,0))&gt;=100000), " ",IF(INDEX($AB$2:$AQ$1001,MATCH(ROWS($U$2:U743),$U$2:$U$1001,0),MATCH(COLUMNS($AB$1006:AG1006),$AB$1006:$AQ$1006,0)), HYPERLINK("#",""), HYPERLINK(CONCATENATE("#metadata!", ADDRESS(INDEX($W$2:$W$1001,MATCH(ROWS($U$2:U743),$U$2:$U$1001,0),0), INDEX($AB$1004:$AQ$1004,1,MATCH(COLUMNS($AB$1006:AG1006),$AB$1006:$AQ$1006,0)))),"Fix")))</f>
        <v>0</v>
      </c>
      <c r="H743" s="4">
        <f>IF(OR(INDEX($V$2:$V$1001,MATCH(ROWS($U$2:U743),$U$2:$U$1001,0),1)&gt;=100000,INDEX($AB$1005:$AQ$1005,1,MATCH(COLUMNS($AB$1006:AH1006),$AB$1006:$AQ$1006,0))&gt;=100000), " ",IF(INDEX($AB$2:$AQ$1001,MATCH(ROWS($U$2:U743),$U$2:$U$1001,0),MATCH(COLUMNS($AB$1006:AH1006),$AB$1006:$AQ$1006,0)), HYPERLINK("#",""), HYPERLINK(CONCATENATE("#metadata!", ADDRESS(INDEX($W$2:$W$1001,MATCH(ROWS($U$2:U743),$U$2:$U$1001,0),0), INDEX($AB$1004:$AQ$1004,1,MATCH(COLUMNS($AB$1006:AH1006),$AB$1006:$AQ$1006,0)))),"Fix")))</f>
        <v>0</v>
      </c>
      <c r="I743" s="4">
        <f>IF(OR(INDEX($V$2:$V$1001,MATCH(ROWS($U$2:U743),$U$2:$U$1001,0),1)&gt;=100000,INDEX($AB$1005:$AQ$1005,1,MATCH(COLUMNS($AB$1006:AI1006),$AB$1006:$AQ$1006,0))&gt;=100000), " ",IF(INDEX($AB$2:$AQ$1001,MATCH(ROWS($U$2:U743),$U$2:$U$1001,0),MATCH(COLUMNS($AB$1006:AI1006),$AB$1006:$AQ$1006,0)), HYPERLINK("#",""), HYPERLINK(CONCATENATE("#metadata!", ADDRESS(INDEX($W$2:$W$1001,MATCH(ROWS($U$2:U743),$U$2:$U$1001,0),0), INDEX($AB$1004:$AQ$1004,1,MATCH(COLUMNS($AB$1006:AI1006),$AB$1006:$AQ$1006,0)))),"Fix")))</f>
        <v>0</v>
      </c>
      <c r="J743" s="4">
        <f>IF(OR(INDEX($V$2:$V$1001,MATCH(ROWS($U$2:U743),$U$2:$U$1001,0),1)&gt;=100000,INDEX($AB$1005:$AQ$1005,1,MATCH(COLUMNS($AB$1006:AJ1006),$AB$1006:$AQ$1006,0))&gt;=100000), " ",IF(INDEX($AB$2:$AQ$1001,MATCH(ROWS($U$2:U743),$U$2:$U$1001,0),MATCH(COLUMNS($AB$1006:AJ1006),$AB$1006:$AQ$1006,0)), HYPERLINK("#",""), HYPERLINK(CONCATENATE("#metadata!", ADDRESS(INDEX($W$2:$W$1001,MATCH(ROWS($U$2:U743),$U$2:$U$1001,0),0), INDEX($AB$1004:$AQ$1004,1,MATCH(COLUMNS($AB$1006:AJ1006),$AB$1006:$AQ$1006,0)))),"Fix")))</f>
        <v>0</v>
      </c>
      <c r="K743" s="4">
        <f>IF(OR(INDEX($V$2:$V$1001,MATCH(ROWS($U$2:U743),$U$2:$U$1001,0),1)&gt;=100000,INDEX($AB$1005:$AQ$1005,1,MATCH(COLUMNS($AB$1006:AK1006),$AB$1006:$AQ$1006,0))&gt;=100000), " ",IF(INDEX($AB$2:$AQ$1001,MATCH(ROWS($U$2:U743),$U$2:$U$1001,0),MATCH(COLUMNS($AB$1006:AK1006),$AB$1006:$AQ$1006,0)), HYPERLINK("#",""), HYPERLINK(CONCATENATE("#metadata!", ADDRESS(INDEX($W$2:$W$1001,MATCH(ROWS($U$2:U743),$U$2:$U$1001,0),0), INDEX($AB$1004:$AQ$1004,1,MATCH(COLUMNS($AB$1006:AK1006),$AB$1006:$AQ$1006,0)))),"Fix")))</f>
        <v>0</v>
      </c>
      <c r="L743" s="4">
        <f>IF(OR(INDEX($V$2:$V$1001,MATCH(ROWS($U$2:U743),$U$2:$U$1001,0),1)&gt;=100000,INDEX($AB$1005:$AQ$1005,1,MATCH(COLUMNS($AB$1006:AL1006),$AB$1006:$AQ$1006,0))&gt;=100000), " ",IF(INDEX($AB$2:$AQ$1001,MATCH(ROWS($U$2:U743),$U$2:$U$1001,0),MATCH(COLUMNS($AB$1006:AL1006),$AB$1006:$AQ$1006,0)), HYPERLINK("#",""), HYPERLINK(CONCATENATE("#metadata!", ADDRESS(INDEX($W$2:$W$1001,MATCH(ROWS($U$2:U743),$U$2:$U$1001,0),0), INDEX($AB$1004:$AQ$1004,1,MATCH(COLUMNS($AB$1006:AL1006),$AB$1006:$AQ$1006,0)))),"Fix")))</f>
        <v>0</v>
      </c>
      <c r="M743" s="4">
        <f>IF(OR(INDEX($V$2:$V$1001,MATCH(ROWS($U$2:U743),$U$2:$U$1001,0),1)&gt;=100000,INDEX($AB$1005:$AQ$1005,1,MATCH(COLUMNS($AB$1006:AM1006),$AB$1006:$AQ$1006,0))&gt;=100000), " ",IF(INDEX($AB$2:$AQ$1001,MATCH(ROWS($U$2:U743),$U$2:$U$1001,0),MATCH(COLUMNS($AB$1006:AM1006),$AB$1006:$AQ$1006,0)), HYPERLINK("#",""), HYPERLINK(CONCATENATE("#metadata!", ADDRESS(INDEX($W$2:$W$1001,MATCH(ROWS($U$2:U743),$U$2:$U$1001,0),0), INDEX($AB$1004:$AQ$1004,1,MATCH(COLUMNS($AB$1006:AM1006),$AB$1006:$AQ$1006,0)))),"Fix")))</f>
        <v>0</v>
      </c>
      <c r="N743" s="4">
        <f>IF(OR(INDEX($V$2:$V$1001,MATCH(ROWS($U$2:U743),$U$2:$U$1001,0),1)&gt;=100000,INDEX($AB$1005:$AQ$1005,1,MATCH(COLUMNS($AB$1006:AN1006),$AB$1006:$AQ$1006,0))&gt;=100000), " ",IF(INDEX($AB$2:$AQ$1001,MATCH(ROWS($U$2:U743),$U$2:$U$1001,0),MATCH(COLUMNS($AB$1006:AN1006),$AB$1006:$AQ$1006,0)), HYPERLINK("#",""), HYPERLINK(CONCATENATE("#metadata!", ADDRESS(INDEX($W$2:$W$1001,MATCH(ROWS($U$2:U743),$U$2:$U$1001,0),0), INDEX($AB$1004:$AQ$1004,1,MATCH(COLUMNS($AB$1006:AN1006),$AB$1006:$AQ$1006,0)))),"Fix")))</f>
        <v>0</v>
      </c>
      <c r="O743" s="4">
        <f>IF(OR(INDEX($V$2:$V$1001,MATCH(ROWS($U$2:U743),$U$2:$U$1001,0),1)&gt;=100000,INDEX($AB$1005:$AQ$1005,1,MATCH(COLUMNS($AB$1006:AO1006),$AB$1006:$AQ$1006,0))&gt;=100000), " ",IF(INDEX($AB$2:$AQ$1001,MATCH(ROWS($U$2:U743),$U$2:$U$1001,0),MATCH(COLUMNS($AB$1006:AO1006),$AB$1006:$AQ$1006,0)), HYPERLINK("#",""), HYPERLINK(CONCATENATE("#metadata!", ADDRESS(INDEX($W$2:$W$1001,MATCH(ROWS($U$2:U743),$U$2:$U$1001,0),0), INDEX($AB$1004:$AQ$1004,1,MATCH(COLUMNS($AB$1006:AO1006),$AB$1006:$AQ$1006,0)))),"Fix")))</f>
        <v>0</v>
      </c>
      <c r="P743" s="4">
        <f>IF(OR(INDEX($V$2:$V$1001,MATCH(ROWS($U$2:U743),$U$2:$U$1001,0),1)&gt;=100000,INDEX($AB$1005:$AQ$1005,1,MATCH(COLUMNS($AB$1006:AP1006),$AB$1006:$AQ$1006,0))&gt;=100000), " ",IF(INDEX($AB$2:$AQ$1001,MATCH(ROWS($U$2:U743),$U$2:$U$1001,0),MATCH(COLUMNS($AB$1006:AP1006),$AB$1006:$AQ$1006,0)), HYPERLINK("#",""), HYPERLINK(CONCATENATE("#metadata!", ADDRESS(INDEX($W$2:$W$1001,MATCH(ROWS($U$2:U743),$U$2:$U$1001,0),0), INDEX($AB$1004:$AQ$1004,1,MATCH(COLUMNS($AB$1006:AP1006),$AB$1006:$AQ$1006,0)))),"Fix")))</f>
        <v>0</v>
      </c>
      <c r="Q743" s="4">
        <f>IF(OR(INDEX($V$2:$V$1001,MATCH(ROWS($U$2:U743),$U$2:$U$1001,0),1)&gt;=100000,INDEX($AB$1005:$AQ$1005,1,MATCH(COLUMNS($AB$1006:AQ1006),$AB$1006:$AQ$1006,0))&gt;=100000), " ",IF(INDEX($AB$2:$AQ$1001,MATCH(ROWS($U$2:U743),$U$2:$U$1001,0),MATCH(COLUMNS($AB$1006:AQ1006),$AB$1006:$AQ$1006,0)), HYPERLINK("#",""), HYPERLINK(CONCATENATE("#metadata!", ADDRESS(INDEX($W$2:$W$1001,MATCH(ROWS($U$2:U743),$U$2:$U$1001,0),0), INDEX($AB$1004:$AQ$1004,1,MATCH(COLUMNS($AB$1006:AQ1006),$AB$1006:$AQ$1006,0)))),"Fix")))</f>
        <v>0</v>
      </c>
      <c r="U743">
        <v>0</v>
      </c>
      <c r="V743">
        <v>0</v>
      </c>
      <c r="W743">
        <v>0</v>
      </c>
      <c r="X743">
        <f>IF(Y743,TRUE,AND(AB743:AQ743))</f>
        <v>0</v>
      </c>
      <c r="Y743">
        <f>COUNTBLANK(metadata!B743:Q743)=COLUMNS(metadata!B743:Q743)</f>
        <v>0</v>
      </c>
      <c r="Z743">
        <v>0</v>
      </c>
      <c r="AB743">
        <f>AND(IF(metadata!B743="",FALSE,TRUE),COUNTIF(metadata!B:B, metadata!B743) = 1,NOT(ISERROR(SUMPRODUCT(SEARCH(MID(metadata!B743,ROW(INDIRECT("1:"&amp;LEN(metadata!B743))), 1),"0123456789abcdefghijklmnopqrstuvwxyzABCDEFGHIJKLMNOPQRSTUVWXYZ.")))))</f>
        <v>0</v>
      </c>
      <c r="AC743">
        <f>OR(AND(IF(metadata!C743="",FALSE,TRUE),OR(exact(metadata!C743,"missing: not collected"),exact(metadata!C743,"missing: not provided"),exact(metadata!C743,"missing: restricted access"))),AND(IF(metadata!C743="",FALSE,TRUE),AND(AND(IFERROR(INT(LEFT(metadata!C743,4))&gt;1900,FALSE),IFERROR(INT(LEFT(metadata!C743,4))&lt;=YEAR(NOW()),FALSE)), OR(MID(metadata!C743,5,1)="", AND(AND(MID(metadata!C743,5,1)="-",IFERROR(INT(MID(metadata!C743,6,1))&gt;=0,FALSE),IFERROR(INT(MID(metadata!C743,6,1))&lt;=1,FALSE),NOT(MID(metadata!C743,7,1)=""),IFERROR(INT(MID(metadata!C743,6,2))&gt;=1,FALSE),IFERROR(INT(MID(metadata!C743,6,2))&lt;=12,FALSE)), OR(MID(metadata!C743,8,1)="", AND(AND(MID(metadata!C743,8,1)="-",IFERROR(INT(MID(metadata!C743,9,1))&gt;=0,FALSE),IFERROR(INT(MID(metadata!C743,9,1))&lt;=3,FALSE),NOT(MID(metadata!C743,10,1)=""),IFERROR(INT(MID(metadata!C743,9,2))&gt;=1,FALSE),IFERROR(INT(MID(metadata!C743,9,2))&lt;=31,FALSE)), OR(MID(metadata!C743,11,1)="", AND(AND(MID(metadata!C743,11,1)=" ",IFERROR(INT(MID(metadata!C743,12,1))&gt;=0,FALSE),IFERROR(INT(MID(metadata!C743,12,1))&lt;=2,FALSE),NOT(MID(metadata!C743,13,1)=""),IFERROR(INT(MID(metadata!C743,12,2))&gt;=0,FALSE),IFERROR(INT(MID(metadata!C743,12,2))&lt;=23,FALSE)), OR(MID(metadata!C743,14,1)="", AND(AND(MID(metadata!C743,14,1)=":",IFERROR(INT(MID(metadata!C743,15,1))&gt;=0,FALSE),IFERROR(INT(MID(metadata!C743,15,1))&lt;=5,FALSE),NOT(MID(metadata!C743,16,1)=""),IFERROR(INT(MID(metadata!C743,15,2))&gt;=0,FALSE),IFERROR(INT(MID(metadata!C743,15,2))&lt;=59,FALSE)), OR(MID(metadata!C743,17,1)="", AND(AND(MID(metadata!C743,17,1)=":",IFERROR(INT(MID(metadata!C743,18,1))&gt;=0,FALSE),IFERROR(INT(MID(metadata!C743,18,1))&lt;=5,FALSE),NOT(MID(metadata!C743,19,1)=""),IFERROR(INT(MID(metadata!C743,18,2))&gt;=0,FALSE),IFERROR(INT(MID(metadata!C743,18,2))&lt;=59,FALSE)), LEN(metadata!C743)&lt;=19)))))))))))))</f>
        <v>0</v>
      </c>
      <c r="AD743">
        <f>IF(metadata!D743="",FALSE,TRUE)</f>
        <v>0</v>
      </c>
      <c r="AE743">
        <f>OR(AND(IF(metadata!E743="",FALSE,TRUE),OR(exact(metadata!E743,"missing: not collected"),exact(metadata!E743,"missing: not provided"))),AND(IF(metadata!E743="",FALSE,TRUE),OR(exact(metadata!E743,"TRUE"),exact(metadata!E743,"FALSE"))))</f>
        <v>0</v>
      </c>
      <c r="AF743">
        <f>IF(metadata!F743="",FALSE,TRUE)</f>
        <v>0</v>
      </c>
      <c r="AG743">
        <f>IF(metadata!G743="",FALSE,TRUE)</f>
        <v>0</v>
      </c>
      <c r="AH743">
        <f>IF(metadata!H743="",FALSE,TRUE)</f>
        <v>0</v>
      </c>
      <c r="AI743">
        <f>OR(AND(IF(metadata!I743="",FALSE,TRUE),OR(exact(metadata!I743,"missing: not collected"),exact(metadata!I743,"missing: not provided"),exact(metadata!I743,"missing: restricted access"))),AND(IF(metadata!I743="",FALSE,TRUE),OR(exact(metadata!I743,"air"),exact(metadata!I743,"built environment"),exact(metadata!I743,"host-associated"),exact(metadata!I743,"human-associated"),exact(metadata!I743,"human-skin"),exact(metadata!I743,"human-oral"),exact(metadata!I743,"human-gut"),exact(metadata!I743,"human-vaginal"),exact(metadata!I743,"microbial mat/biofilm"),exact(metadata!I743,"misc environment"),exact(metadata!I743,"plant-associated"),exact(metadata!I743,"sediment"),exact(metadata!I743,"soil"),exact(metadata!I743,"wastewater/sludge"),exact(metadata!I743,"water"))))</f>
        <v>0</v>
      </c>
      <c r="AJ743">
        <f>IF(metadata!J743="",FALSE,TRUE)</f>
        <v>0</v>
      </c>
      <c r="AK743">
        <f>OR(AND(IF(metadata!K743="",FALSE,TRUE),OR(exact(metadata!K743,"missing: not collected"),exact(metadata!K743,"missing: not provided"),exact(metadata!K743,"missing: restricted access"))),AND(IF(metadata!K743="",FALSE,ISNUMBER(VALUE(metadata!K743))),metadata!K743&gt;=-90.00,metadata!K743&lt;=90.00))</f>
        <v>0</v>
      </c>
      <c r="AL743">
        <f>OR(AND(IF(metadata!L743="",FALSE,TRUE),OR(exact(metadata!L743,"missing: not collected"),exact(metadata!L743,"missing: not provided"),exact(metadata!L743,"missing: restricted access"))),AND(IF(metadata!L743="",FALSE,ISNUMBER(VALUE(metadata!L743))),metadata!L743&gt;=-180.00,metadata!L743&lt;=180.00))</f>
        <v>0</v>
      </c>
      <c r="AM743">
        <f>IF(metadata!M743="",FALSE,TRUE)</f>
        <v>0</v>
      </c>
      <c r="AN743">
        <f>OR(AND(IF(metadata!N743="",FALSE,TRUE),OR(exact(metadata!N743,"missing: not collected"),exact(metadata!N743,"missing: not provided"),exact(metadata!N743,"missing: restricted access"))),AND(IF(metadata!N743="",FALSE,TRUE),OR(exact(metadata!N743,"TRUE"),exact(metadata!N743,"FALSE"))))</f>
        <v>0</v>
      </c>
      <c r="AO743">
        <f>IF(metadata!O743="",FALSE,TRUE)</f>
        <v>0</v>
      </c>
      <c r="AP743">
        <f>OR(AND(IF(metadata!P743="",FALSE,TRUE),OR(exact(metadata!P743,"missing: not collected"),exact(metadata!P743,"missing: not provided"))),AND(IF(metadata!P743="",FALSE,IF(ISERROR(INT(metadata!P743)),FALSE,INT(metadata!P743)=metadata!P743)),metadata!P743&gt;0))</f>
        <v>0</v>
      </c>
      <c r="AQ743">
        <f>IF(metadata!Q743="",FALSE,TRUE)</f>
        <v>0</v>
      </c>
    </row>
    <row r="744" spans="1:43">
      <c r="A744" s="5">
        <f>IF(B744=" "," ",HYPERLINK(CONCATENATE("#metadata!",ADDRESS(INDEX($W$2:$W$1001,MATCH(ROWS($U$2:U744),$U$2:$U$1001,0),0),1)),INDEX($Z$2:$Z$1001,MATCH(ROWS($U$2:U744),$U$2:$U$1001,0),0)))</f>
        <v>0</v>
      </c>
      <c r="B744" s="4">
        <f>IF(OR(INDEX($V$2:$V$1001,MATCH(ROWS($U$2:U744),$U$2:$U$1001,0),1)&gt;=100000,INDEX($AB$1005:$AQ$1005,1,MATCH(COLUMNS($AB$1006:AB1006),$AB$1006:$AQ$1006,0))&gt;=100000), " ",IF(INDEX($AB$2:$AQ$1001,MATCH(ROWS($U$2:U744),$U$2:$U$1001,0),MATCH(COLUMNS($AB$1006:AB1006),$AB$1006:$AQ$1006,0)), HYPERLINK("#",""), HYPERLINK(CONCATENATE("#metadata!", ADDRESS(INDEX($W$2:$W$1001,MATCH(ROWS($U$2:U744),$U$2:$U$1001,0),0), INDEX($AB$1004:$AQ$1004,1,MATCH(COLUMNS($AB$1006:AB1006),$AB$1006:$AQ$1006,0)))),"Fix")))</f>
        <v>0</v>
      </c>
      <c r="C744" s="4">
        <f>IF(OR(INDEX($V$2:$V$1001,MATCH(ROWS($U$2:U744),$U$2:$U$1001,0),1)&gt;=100000,INDEX($AB$1005:$AQ$1005,1,MATCH(COLUMNS($AB$1006:AC1006),$AB$1006:$AQ$1006,0))&gt;=100000), " ",IF(INDEX($AB$2:$AQ$1001,MATCH(ROWS($U$2:U744),$U$2:$U$1001,0),MATCH(COLUMNS($AB$1006:AC1006),$AB$1006:$AQ$1006,0)), HYPERLINK("#",""), HYPERLINK(CONCATENATE("#metadata!", ADDRESS(INDEX($W$2:$W$1001,MATCH(ROWS($U$2:U744),$U$2:$U$1001,0),0), INDEX($AB$1004:$AQ$1004,1,MATCH(COLUMNS($AB$1006:AC1006),$AB$1006:$AQ$1006,0)))),"Fix")))</f>
        <v>0</v>
      </c>
      <c r="D744" s="4">
        <f>IF(OR(INDEX($V$2:$V$1001,MATCH(ROWS($U$2:U744),$U$2:$U$1001,0),1)&gt;=100000,INDEX($AB$1005:$AQ$1005,1,MATCH(COLUMNS($AB$1006:AD1006),$AB$1006:$AQ$1006,0))&gt;=100000), " ",IF(INDEX($AB$2:$AQ$1001,MATCH(ROWS($U$2:U744),$U$2:$U$1001,0),MATCH(COLUMNS($AB$1006:AD1006),$AB$1006:$AQ$1006,0)), HYPERLINK("#",""), HYPERLINK(CONCATENATE("#metadata!", ADDRESS(INDEX($W$2:$W$1001,MATCH(ROWS($U$2:U744),$U$2:$U$1001,0),0), INDEX($AB$1004:$AQ$1004,1,MATCH(COLUMNS($AB$1006:AD1006),$AB$1006:$AQ$1006,0)))),"Fix")))</f>
        <v>0</v>
      </c>
      <c r="E744" s="4">
        <f>IF(OR(INDEX($V$2:$V$1001,MATCH(ROWS($U$2:U744),$U$2:$U$1001,0),1)&gt;=100000,INDEX($AB$1005:$AQ$1005,1,MATCH(COLUMNS($AB$1006:AE1006),$AB$1006:$AQ$1006,0))&gt;=100000), " ",IF(INDEX($AB$2:$AQ$1001,MATCH(ROWS($U$2:U744),$U$2:$U$1001,0),MATCH(COLUMNS($AB$1006:AE1006),$AB$1006:$AQ$1006,0)), HYPERLINK("#",""), HYPERLINK(CONCATENATE("#metadata!", ADDRESS(INDEX($W$2:$W$1001,MATCH(ROWS($U$2:U744),$U$2:$U$1001,0),0), INDEX($AB$1004:$AQ$1004,1,MATCH(COLUMNS($AB$1006:AE1006),$AB$1006:$AQ$1006,0)))),"Fix")))</f>
        <v>0</v>
      </c>
      <c r="F744" s="4">
        <f>IF(OR(INDEX($V$2:$V$1001,MATCH(ROWS($U$2:U744),$U$2:$U$1001,0),1)&gt;=100000,INDEX($AB$1005:$AQ$1005,1,MATCH(COLUMNS($AB$1006:AF1006),$AB$1006:$AQ$1006,0))&gt;=100000), " ",IF(INDEX($AB$2:$AQ$1001,MATCH(ROWS($U$2:U744),$U$2:$U$1001,0),MATCH(COLUMNS($AB$1006:AF1006),$AB$1006:$AQ$1006,0)), HYPERLINK("#",""), HYPERLINK(CONCATENATE("#metadata!", ADDRESS(INDEX($W$2:$W$1001,MATCH(ROWS($U$2:U744),$U$2:$U$1001,0),0), INDEX($AB$1004:$AQ$1004,1,MATCH(COLUMNS($AB$1006:AF1006),$AB$1006:$AQ$1006,0)))),"Fix")))</f>
        <v>0</v>
      </c>
      <c r="G744" s="4">
        <f>IF(OR(INDEX($V$2:$V$1001,MATCH(ROWS($U$2:U744),$U$2:$U$1001,0),1)&gt;=100000,INDEX($AB$1005:$AQ$1005,1,MATCH(COLUMNS($AB$1006:AG1006),$AB$1006:$AQ$1006,0))&gt;=100000), " ",IF(INDEX($AB$2:$AQ$1001,MATCH(ROWS($U$2:U744),$U$2:$U$1001,0),MATCH(COLUMNS($AB$1006:AG1006),$AB$1006:$AQ$1006,0)), HYPERLINK("#",""), HYPERLINK(CONCATENATE("#metadata!", ADDRESS(INDEX($W$2:$W$1001,MATCH(ROWS($U$2:U744),$U$2:$U$1001,0),0), INDEX($AB$1004:$AQ$1004,1,MATCH(COLUMNS($AB$1006:AG1006),$AB$1006:$AQ$1006,0)))),"Fix")))</f>
        <v>0</v>
      </c>
      <c r="H744" s="4">
        <f>IF(OR(INDEX($V$2:$V$1001,MATCH(ROWS($U$2:U744),$U$2:$U$1001,0),1)&gt;=100000,INDEX($AB$1005:$AQ$1005,1,MATCH(COLUMNS($AB$1006:AH1006),$AB$1006:$AQ$1006,0))&gt;=100000), " ",IF(INDEX($AB$2:$AQ$1001,MATCH(ROWS($U$2:U744),$U$2:$U$1001,0),MATCH(COLUMNS($AB$1006:AH1006),$AB$1006:$AQ$1006,0)), HYPERLINK("#",""), HYPERLINK(CONCATENATE("#metadata!", ADDRESS(INDEX($W$2:$W$1001,MATCH(ROWS($U$2:U744),$U$2:$U$1001,0),0), INDEX($AB$1004:$AQ$1004,1,MATCH(COLUMNS($AB$1006:AH1006),$AB$1006:$AQ$1006,0)))),"Fix")))</f>
        <v>0</v>
      </c>
      <c r="I744" s="4">
        <f>IF(OR(INDEX($V$2:$V$1001,MATCH(ROWS($U$2:U744),$U$2:$U$1001,0),1)&gt;=100000,INDEX($AB$1005:$AQ$1005,1,MATCH(COLUMNS($AB$1006:AI1006),$AB$1006:$AQ$1006,0))&gt;=100000), " ",IF(INDEX($AB$2:$AQ$1001,MATCH(ROWS($U$2:U744),$U$2:$U$1001,0),MATCH(COLUMNS($AB$1006:AI1006),$AB$1006:$AQ$1006,0)), HYPERLINK("#",""), HYPERLINK(CONCATENATE("#metadata!", ADDRESS(INDEX($W$2:$W$1001,MATCH(ROWS($U$2:U744),$U$2:$U$1001,0),0), INDEX($AB$1004:$AQ$1004,1,MATCH(COLUMNS($AB$1006:AI1006),$AB$1006:$AQ$1006,0)))),"Fix")))</f>
        <v>0</v>
      </c>
      <c r="J744" s="4">
        <f>IF(OR(INDEX($V$2:$V$1001,MATCH(ROWS($U$2:U744),$U$2:$U$1001,0),1)&gt;=100000,INDEX($AB$1005:$AQ$1005,1,MATCH(COLUMNS($AB$1006:AJ1006),$AB$1006:$AQ$1006,0))&gt;=100000), " ",IF(INDEX($AB$2:$AQ$1001,MATCH(ROWS($U$2:U744),$U$2:$U$1001,0),MATCH(COLUMNS($AB$1006:AJ1006),$AB$1006:$AQ$1006,0)), HYPERLINK("#",""), HYPERLINK(CONCATENATE("#metadata!", ADDRESS(INDEX($W$2:$W$1001,MATCH(ROWS($U$2:U744),$U$2:$U$1001,0),0), INDEX($AB$1004:$AQ$1004,1,MATCH(COLUMNS($AB$1006:AJ1006),$AB$1006:$AQ$1006,0)))),"Fix")))</f>
        <v>0</v>
      </c>
      <c r="K744" s="4">
        <f>IF(OR(INDEX($V$2:$V$1001,MATCH(ROWS($U$2:U744),$U$2:$U$1001,0),1)&gt;=100000,INDEX($AB$1005:$AQ$1005,1,MATCH(COLUMNS($AB$1006:AK1006),$AB$1006:$AQ$1006,0))&gt;=100000), " ",IF(INDEX($AB$2:$AQ$1001,MATCH(ROWS($U$2:U744),$U$2:$U$1001,0),MATCH(COLUMNS($AB$1006:AK1006),$AB$1006:$AQ$1006,0)), HYPERLINK("#",""), HYPERLINK(CONCATENATE("#metadata!", ADDRESS(INDEX($W$2:$W$1001,MATCH(ROWS($U$2:U744),$U$2:$U$1001,0),0), INDEX($AB$1004:$AQ$1004,1,MATCH(COLUMNS($AB$1006:AK1006),$AB$1006:$AQ$1006,0)))),"Fix")))</f>
        <v>0</v>
      </c>
      <c r="L744" s="4">
        <f>IF(OR(INDEX($V$2:$V$1001,MATCH(ROWS($U$2:U744),$U$2:$U$1001,0),1)&gt;=100000,INDEX($AB$1005:$AQ$1005,1,MATCH(COLUMNS($AB$1006:AL1006),$AB$1006:$AQ$1006,0))&gt;=100000), " ",IF(INDEX($AB$2:$AQ$1001,MATCH(ROWS($U$2:U744),$U$2:$U$1001,0),MATCH(COLUMNS($AB$1006:AL1006),$AB$1006:$AQ$1006,0)), HYPERLINK("#",""), HYPERLINK(CONCATENATE("#metadata!", ADDRESS(INDEX($W$2:$W$1001,MATCH(ROWS($U$2:U744),$U$2:$U$1001,0),0), INDEX($AB$1004:$AQ$1004,1,MATCH(COLUMNS($AB$1006:AL1006),$AB$1006:$AQ$1006,0)))),"Fix")))</f>
        <v>0</v>
      </c>
      <c r="M744" s="4">
        <f>IF(OR(INDEX($V$2:$V$1001,MATCH(ROWS($U$2:U744),$U$2:$U$1001,0),1)&gt;=100000,INDEX($AB$1005:$AQ$1005,1,MATCH(COLUMNS($AB$1006:AM1006),$AB$1006:$AQ$1006,0))&gt;=100000), " ",IF(INDEX($AB$2:$AQ$1001,MATCH(ROWS($U$2:U744),$U$2:$U$1001,0),MATCH(COLUMNS($AB$1006:AM1006),$AB$1006:$AQ$1006,0)), HYPERLINK("#",""), HYPERLINK(CONCATENATE("#metadata!", ADDRESS(INDEX($W$2:$W$1001,MATCH(ROWS($U$2:U744),$U$2:$U$1001,0),0), INDEX($AB$1004:$AQ$1004,1,MATCH(COLUMNS($AB$1006:AM1006),$AB$1006:$AQ$1006,0)))),"Fix")))</f>
        <v>0</v>
      </c>
      <c r="N744" s="4">
        <f>IF(OR(INDEX($V$2:$V$1001,MATCH(ROWS($U$2:U744),$U$2:$U$1001,0),1)&gt;=100000,INDEX($AB$1005:$AQ$1005,1,MATCH(COLUMNS($AB$1006:AN1006),$AB$1006:$AQ$1006,0))&gt;=100000), " ",IF(INDEX($AB$2:$AQ$1001,MATCH(ROWS($U$2:U744),$U$2:$U$1001,0),MATCH(COLUMNS($AB$1006:AN1006),$AB$1006:$AQ$1006,0)), HYPERLINK("#",""), HYPERLINK(CONCATENATE("#metadata!", ADDRESS(INDEX($W$2:$W$1001,MATCH(ROWS($U$2:U744),$U$2:$U$1001,0),0), INDEX($AB$1004:$AQ$1004,1,MATCH(COLUMNS($AB$1006:AN1006),$AB$1006:$AQ$1006,0)))),"Fix")))</f>
        <v>0</v>
      </c>
      <c r="O744" s="4">
        <f>IF(OR(INDEX($V$2:$V$1001,MATCH(ROWS($U$2:U744),$U$2:$U$1001,0),1)&gt;=100000,INDEX($AB$1005:$AQ$1005,1,MATCH(COLUMNS($AB$1006:AO1006),$AB$1006:$AQ$1006,0))&gt;=100000), " ",IF(INDEX($AB$2:$AQ$1001,MATCH(ROWS($U$2:U744),$U$2:$U$1001,0),MATCH(COLUMNS($AB$1006:AO1006),$AB$1006:$AQ$1006,0)), HYPERLINK("#",""), HYPERLINK(CONCATENATE("#metadata!", ADDRESS(INDEX($W$2:$W$1001,MATCH(ROWS($U$2:U744),$U$2:$U$1001,0),0), INDEX($AB$1004:$AQ$1004,1,MATCH(COLUMNS($AB$1006:AO1006),$AB$1006:$AQ$1006,0)))),"Fix")))</f>
        <v>0</v>
      </c>
      <c r="P744" s="4">
        <f>IF(OR(INDEX($V$2:$V$1001,MATCH(ROWS($U$2:U744),$U$2:$U$1001,0),1)&gt;=100000,INDEX($AB$1005:$AQ$1005,1,MATCH(COLUMNS($AB$1006:AP1006),$AB$1006:$AQ$1006,0))&gt;=100000), " ",IF(INDEX($AB$2:$AQ$1001,MATCH(ROWS($U$2:U744),$U$2:$U$1001,0),MATCH(COLUMNS($AB$1006:AP1006),$AB$1006:$AQ$1006,0)), HYPERLINK("#",""), HYPERLINK(CONCATENATE("#metadata!", ADDRESS(INDEX($W$2:$W$1001,MATCH(ROWS($U$2:U744),$U$2:$U$1001,0),0), INDEX($AB$1004:$AQ$1004,1,MATCH(COLUMNS($AB$1006:AP1006),$AB$1006:$AQ$1006,0)))),"Fix")))</f>
        <v>0</v>
      </c>
      <c r="Q744" s="4">
        <f>IF(OR(INDEX($V$2:$V$1001,MATCH(ROWS($U$2:U744),$U$2:$U$1001,0),1)&gt;=100000,INDEX($AB$1005:$AQ$1005,1,MATCH(COLUMNS($AB$1006:AQ1006),$AB$1006:$AQ$1006,0))&gt;=100000), " ",IF(INDEX($AB$2:$AQ$1001,MATCH(ROWS($U$2:U744),$U$2:$U$1001,0),MATCH(COLUMNS($AB$1006:AQ1006),$AB$1006:$AQ$1006,0)), HYPERLINK("#",""), HYPERLINK(CONCATENATE("#metadata!", ADDRESS(INDEX($W$2:$W$1001,MATCH(ROWS($U$2:U744),$U$2:$U$1001,0),0), INDEX($AB$1004:$AQ$1004,1,MATCH(COLUMNS($AB$1006:AQ1006),$AB$1006:$AQ$1006,0)))),"Fix")))</f>
        <v>0</v>
      </c>
      <c r="U744">
        <v>0</v>
      </c>
      <c r="V744">
        <v>0</v>
      </c>
      <c r="W744">
        <v>0</v>
      </c>
      <c r="X744">
        <f>IF(Y744,TRUE,AND(AB744:AQ744))</f>
        <v>0</v>
      </c>
      <c r="Y744">
        <f>COUNTBLANK(metadata!B744:Q744)=COLUMNS(metadata!B744:Q744)</f>
        <v>0</v>
      </c>
      <c r="Z744">
        <v>0</v>
      </c>
      <c r="AB744">
        <f>AND(IF(metadata!B744="",FALSE,TRUE),COUNTIF(metadata!B:B, metadata!B744) = 1,NOT(ISERROR(SUMPRODUCT(SEARCH(MID(metadata!B744,ROW(INDIRECT("1:"&amp;LEN(metadata!B744))), 1),"0123456789abcdefghijklmnopqrstuvwxyzABCDEFGHIJKLMNOPQRSTUVWXYZ.")))))</f>
        <v>0</v>
      </c>
      <c r="AC744">
        <f>OR(AND(IF(metadata!C744="",FALSE,TRUE),OR(exact(metadata!C744,"missing: not collected"),exact(metadata!C744,"missing: not provided"),exact(metadata!C744,"missing: restricted access"))),AND(IF(metadata!C744="",FALSE,TRUE),AND(AND(IFERROR(INT(LEFT(metadata!C744,4))&gt;1900,FALSE),IFERROR(INT(LEFT(metadata!C744,4))&lt;=YEAR(NOW()),FALSE)), OR(MID(metadata!C744,5,1)="", AND(AND(MID(metadata!C744,5,1)="-",IFERROR(INT(MID(metadata!C744,6,1))&gt;=0,FALSE),IFERROR(INT(MID(metadata!C744,6,1))&lt;=1,FALSE),NOT(MID(metadata!C744,7,1)=""),IFERROR(INT(MID(metadata!C744,6,2))&gt;=1,FALSE),IFERROR(INT(MID(metadata!C744,6,2))&lt;=12,FALSE)), OR(MID(metadata!C744,8,1)="", AND(AND(MID(metadata!C744,8,1)="-",IFERROR(INT(MID(metadata!C744,9,1))&gt;=0,FALSE),IFERROR(INT(MID(metadata!C744,9,1))&lt;=3,FALSE),NOT(MID(metadata!C744,10,1)=""),IFERROR(INT(MID(metadata!C744,9,2))&gt;=1,FALSE),IFERROR(INT(MID(metadata!C744,9,2))&lt;=31,FALSE)), OR(MID(metadata!C744,11,1)="", AND(AND(MID(metadata!C744,11,1)=" ",IFERROR(INT(MID(metadata!C744,12,1))&gt;=0,FALSE),IFERROR(INT(MID(metadata!C744,12,1))&lt;=2,FALSE),NOT(MID(metadata!C744,13,1)=""),IFERROR(INT(MID(metadata!C744,12,2))&gt;=0,FALSE),IFERROR(INT(MID(metadata!C744,12,2))&lt;=23,FALSE)), OR(MID(metadata!C744,14,1)="", AND(AND(MID(metadata!C744,14,1)=":",IFERROR(INT(MID(metadata!C744,15,1))&gt;=0,FALSE),IFERROR(INT(MID(metadata!C744,15,1))&lt;=5,FALSE),NOT(MID(metadata!C744,16,1)=""),IFERROR(INT(MID(metadata!C744,15,2))&gt;=0,FALSE),IFERROR(INT(MID(metadata!C744,15,2))&lt;=59,FALSE)), OR(MID(metadata!C744,17,1)="", AND(AND(MID(metadata!C744,17,1)=":",IFERROR(INT(MID(metadata!C744,18,1))&gt;=0,FALSE),IFERROR(INT(MID(metadata!C744,18,1))&lt;=5,FALSE),NOT(MID(metadata!C744,19,1)=""),IFERROR(INT(MID(metadata!C744,18,2))&gt;=0,FALSE),IFERROR(INT(MID(metadata!C744,18,2))&lt;=59,FALSE)), LEN(metadata!C744)&lt;=19)))))))))))))</f>
        <v>0</v>
      </c>
      <c r="AD744">
        <f>IF(metadata!D744="",FALSE,TRUE)</f>
        <v>0</v>
      </c>
      <c r="AE744">
        <f>OR(AND(IF(metadata!E744="",FALSE,TRUE),OR(exact(metadata!E744,"missing: not collected"),exact(metadata!E744,"missing: not provided"))),AND(IF(metadata!E744="",FALSE,TRUE),OR(exact(metadata!E744,"TRUE"),exact(metadata!E744,"FALSE"))))</f>
        <v>0</v>
      </c>
      <c r="AF744">
        <f>IF(metadata!F744="",FALSE,TRUE)</f>
        <v>0</v>
      </c>
      <c r="AG744">
        <f>IF(metadata!G744="",FALSE,TRUE)</f>
        <v>0</v>
      </c>
      <c r="AH744">
        <f>IF(metadata!H744="",FALSE,TRUE)</f>
        <v>0</v>
      </c>
      <c r="AI744">
        <f>OR(AND(IF(metadata!I744="",FALSE,TRUE),OR(exact(metadata!I744,"missing: not collected"),exact(metadata!I744,"missing: not provided"),exact(metadata!I744,"missing: restricted access"))),AND(IF(metadata!I744="",FALSE,TRUE),OR(exact(metadata!I744,"air"),exact(metadata!I744,"built environment"),exact(metadata!I744,"host-associated"),exact(metadata!I744,"human-associated"),exact(metadata!I744,"human-skin"),exact(metadata!I744,"human-oral"),exact(metadata!I744,"human-gut"),exact(metadata!I744,"human-vaginal"),exact(metadata!I744,"microbial mat/biofilm"),exact(metadata!I744,"misc environment"),exact(metadata!I744,"plant-associated"),exact(metadata!I744,"sediment"),exact(metadata!I744,"soil"),exact(metadata!I744,"wastewater/sludge"),exact(metadata!I744,"water"))))</f>
        <v>0</v>
      </c>
      <c r="AJ744">
        <f>IF(metadata!J744="",FALSE,TRUE)</f>
        <v>0</v>
      </c>
      <c r="AK744">
        <f>OR(AND(IF(metadata!K744="",FALSE,TRUE),OR(exact(metadata!K744,"missing: not collected"),exact(metadata!K744,"missing: not provided"),exact(metadata!K744,"missing: restricted access"))),AND(IF(metadata!K744="",FALSE,ISNUMBER(VALUE(metadata!K744))),metadata!K744&gt;=-90.00,metadata!K744&lt;=90.00))</f>
        <v>0</v>
      </c>
      <c r="AL744">
        <f>OR(AND(IF(metadata!L744="",FALSE,TRUE),OR(exact(metadata!L744,"missing: not collected"),exact(metadata!L744,"missing: not provided"),exact(metadata!L744,"missing: restricted access"))),AND(IF(metadata!L744="",FALSE,ISNUMBER(VALUE(metadata!L744))),metadata!L744&gt;=-180.00,metadata!L744&lt;=180.00))</f>
        <v>0</v>
      </c>
      <c r="AM744">
        <f>IF(metadata!M744="",FALSE,TRUE)</f>
        <v>0</v>
      </c>
      <c r="AN744">
        <f>OR(AND(IF(metadata!N744="",FALSE,TRUE),OR(exact(metadata!N744,"missing: not collected"),exact(metadata!N744,"missing: not provided"),exact(metadata!N744,"missing: restricted access"))),AND(IF(metadata!N744="",FALSE,TRUE),OR(exact(metadata!N744,"TRUE"),exact(metadata!N744,"FALSE"))))</f>
        <v>0</v>
      </c>
      <c r="AO744">
        <f>IF(metadata!O744="",FALSE,TRUE)</f>
        <v>0</v>
      </c>
      <c r="AP744">
        <f>OR(AND(IF(metadata!P744="",FALSE,TRUE),OR(exact(metadata!P744,"missing: not collected"),exact(metadata!P744,"missing: not provided"))),AND(IF(metadata!P744="",FALSE,IF(ISERROR(INT(metadata!P744)),FALSE,INT(metadata!P744)=metadata!P744)),metadata!P744&gt;0))</f>
        <v>0</v>
      </c>
      <c r="AQ744">
        <f>IF(metadata!Q744="",FALSE,TRUE)</f>
        <v>0</v>
      </c>
    </row>
    <row r="745" spans="1:43">
      <c r="A745" s="5">
        <f>IF(B745=" "," ",HYPERLINK(CONCATENATE("#metadata!",ADDRESS(INDEX($W$2:$W$1001,MATCH(ROWS($U$2:U745),$U$2:$U$1001,0),0),1)),INDEX($Z$2:$Z$1001,MATCH(ROWS($U$2:U745),$U$2:$U$1001,0),0)))</f>
        <v>0</v>
      </c>
      <c r="B745" s="4">
        <f>IF(OR(INDEX($V$2:$V$1001,MATCH(ROWS($U$2:U745),$U$2:$U$1001,0),1)&gt;=100000,INDEX($AB$1005:$AQ$1005,1,MATCH(COLUMNS($AB$1006:AB1006),$AB$1006:$AQ$1006,0))&gt;=100000), " ",IF(INDEX($AB$2:$AQ$1001,MATCH(ROWS($U$2:U745),$U$2:$U$1001,0),MATCH(COLUMNS($AB$1006:AB1006),$AB$1006:$AQ$1006,0)), HYPERLINK("#",""), HYPERLINK(CONCATENATE("#metadata!", ADDRESS(INDEX($W$2:$W$1001,MATCH(ROWS($U$2:U745),$U$2:$U$1001,0),0), INDEX($AB$1004:$AQ$1004,1,MATCH(COLUMNS($AB$1006:AB1006),$AB$1006:$AQ$1006,0)))),"Fix")))</f>
        <v>0</v>
      </c>
      <c r="C745" s="4">
        <f>IF(OR(INDEX($V$2:$V$1001,MATCH(ROWS($U$2:U745),$U$2:$U$1001,0),1)&gt;=100000,INDEX($AB$1005:$AQ$1005,1,MATCH(COLUMNS($AB$1006:AC1006),$AB$1006:$AQ$1006,0))&gt;=100000), " ",IF(INDEX($AB$2:$AQ$1001,MATCH(ROWS($U$2:U745),$U$2:$U$1001,0),MATCH(COLUMNS($AB$1006:AC1006),$AB$1006:$AQ$1006,0)), HYPERLINK("#",""), HYPERLINK(CONCATENATE("#metadata!", ADDRESS(INDEX($W$2:$W$1001,MATCH(ROWS($U$2:U745),$U$2:$U$1001,0),0), INDEX($AB$1004:$AQ$1004,1,MATCH(COLUMNS($AB$1006:AC1006),$AB$1006:$AQ$1006,0)))),"Fix")))</f>
        <v>0</v>
      </c>
      <c r="D745" s="4">
        <f>IF(OR(INDEX($V$2:$V$1001,MATCH(ROWS($U$2:U745),$U$2:$U$1001,0),1)&gt;=100000,INDEX($AB$1005:$AQ$1005,1,MATCH(COLUMNS($AB$1006:AD1006),$AB$1006:$AQ$1006,0))&gt;=100000), " ",IF(INDEX($AB$2:$AQ$1001,MATCH(ROWS($U$2:U745),$U$2:$U$1001,0),MATCH(COLUMNS($AB$1006:AD1006),$AB$1006:$AQ$1006,0)), HYPERLINK("#",""), HYPERLINK(CONCATENATE("#metadata!", ADDRESS(INDEX($W$2:$W$1001,MATCH(ROWS($U$2:U745),$U$2:$U$1001,0),0), INDEX($AB$1004:$AQ$1004,1,MATCH(COLUMNS($AB$1006:AD1006),$AB$1006:$AQ$1006,0)))),"Fix")))</f>
        <v>0</v>
      </c>
      <c r="E745" s="4">
        <f>IF(OR(INDEX($V$2:$V$1001,MATCH(ROWS($U$2:U745),$U$2:$U$1001,0),1)&gt;=100000,INDEX($AB$1005:$AQ$1005,1,MATCH(COLUMNS($AB$1006:AE1006),$AB$1006:$AQ$1006,0))&gt;=100000), " ",IF(INDEX($AB$2:$AQ$1001,MATCH(ROWS($U$2:U745),$U$2:$U$1001,0),MATCH(COLUMNS($AB$1006:AE1006),$AB$1006:$AQ$1006,0)), HYPERLINK("#",""), HYPERLINK(CONCATENATE("#metadata!", ADDRESS(INDEX($W$2:$W$1001,MATCH(ROWS($U$2:U745),$U$2:$U$1001,0),0), INDEX($AB$1004:$AQ$1004,1,MATCH(COLUMNS($AB$1006:AE1006),$AB$1006:$AQ$1006,0)))),"Fix")))</f>
        <v>0</v>
      </c>
      <c r="F745" s="4">
        <f>IF(OR(INDEX($V$2:$V$1001,MATCH(ROWS($U$2:U745),$U$2:$U$1001,0),1)&gt;=100000,INDEX($AB$1005:$AQ$1005,1,MATCH(COLUMNS($AB$1006:AF1006),$AB$1006:$AQ$1006,0))&gt;=100000), " ",IF(INDEX($AB$2:$AQ$1001,MATCH(ROWS($U$2:U745),$U$2:$U$1001,0),MATCH(COLUMNS($AB$1006:AF1006),$AB$1006:$AQ$1006,0)), HYPERLINK("#",""), HYPERLINK(CONCATENATE("#metadata!", ADDRESS(INDEX($W$2:$W$1001,MATCH(ROWS($U$2:U745),$U$2:$U$1001,0),0), INDEX($AB$1004:$AQ$1004,1,MATCH(COLUMNS($AB$1006:AF1006),$AB$1006:$AQ$1006,0)))),"Fix")))</f>
        <v>0</v>
      </c>
      <c r="G745" s="4">
        <f>IF(OR(INDEX($V$2:$V$1001,MATCH(ROWS($U$2:U745),$U$2:$U$1001,0),1)&gt;=100000,INDEX($AB$1005:$AQ$1005,1,MATCH(COLUMNS($AB$1006:AG1006),$AB$1006:$AQ$1006,0))&gt;=100000), " ",IF(INDEX($AB$2:$AQ$1001,MATCH(ROWS($U$2:U745),$U$2:$U$1001,0),MATCH(COLUMNS($AB$1006:AG1006),$AB$1006:$AQ$1006,0)), HYPERLINK("#",""), HYPERLINK(CONCATENATE("#metadata!", ADDRESS(INDEX($W$2:$W$1001,MATCH(ROWS($U$2:U745),$U$2:$U$1001,0),0), INDEX($AB$1004:$AQ$1004,1,MATCH(COLUMNS($AB$1006:AG1006),$AB$1006:$AQ$1006,0)))),"Fix")))</f>
        <v>0</v>
      </c>
      <c r="H745" s="4">
        <f>IF(OR(INDEX($V$2:$V$1001,MATCH(ROWS($U$2:U745),$U$2:$U$1001,0),1)&gt;=100000,INDEX($AB$1005:$AQ$1005,1,MATCH(COLUMNS($AB$1006:AH1006),$AB$1006:$AQ$1006,0))&gt;=100000), " ",IF(INDEX($AB$2:$AQ$1001,MATCH(ROWS($U$2:U745),$U$2:$U$1001,0),MATCH(COLUMNS($AB$1006:AH1006),$AB$1006:$AQ$1006,0)), HYPERLINK("#",""), HYPERLINK(CONCATENATE("#metadata!", ADDRESS(INDEX($W$2:$W$1001,MATCH(ROWS($U$2:U745),$U$2:$U$1001,0),0), INDEX($AB$1004:$AQ$1004,1,MATCH(COLUMNS($AB$1006:AH1006),$AB$1006:$AQ$1006,0)))),"Fix")))</f>
        <v>0</v>
      </c>
      <c r="I745" s="4">
        <f>IF(OR(INDEX($V$2:$V$1001,MATCH(ROWS($U$2:U745),$U$2:$U$1001,0),1)&gt;=100000,INDEX($AB$1005:$AQ$1005,1,MATCH(COLUMNS($AB$1006:AI1006),$AB$1006:$AQ$1006,0))&gt;=100000), " ",IF(INDEX($AB$2:$AQ$1001,MATCH(ROWS($U$2:U745),$U$2:$U$1001,0),MATCH(COLUMNS($AB$1006:AI1006),$AB$1006:$AQ$1006,0)), HYPERLINK("#",""), HYPERLINK(CONCATENATE("#metadata!", ADDRESS(INDEX($W$2:$W$1001,MATCH(ROWS($U$2:U745),$U$2:$U$1001,0),0), INDEX($AB$1004:$AQ$1004,1,MATCH(COLUMNS($AB$1006:AI1006),$AB$1006:$AQ$1006,0)))),"Fix")))</f>
        <v>0</v>
      </c>
      <c r="J745" s="4">
        <f>IF(OR(INDEX($V$2:$V$1001,MATCH(ROWS($U$2:U745),$U$2:$U$1001,0),1)&gt;=100000,INDEX($AB$1005:$AQ$1005,1,MATCH(COLUMNS($AB$1006:AJ1006),$AB$1006:$AQ$1006,0))&gt;=100000), " ",IF(INDEX($AB$2:$AQ$1001,MATCH(ROWS($U$2:U745),$U$2:$U$1001,0),MATCH(COLUMNS($AB$1006:AJ1006),$AB$1006:$AQ$1006,0)), HYPERLINK("#",""), HYPERLINK(CONCATENATE("#metadata!", ADDRESS(INDEX($W$2:$W$1001,MATCH(ROWS($U$2:U745),$U$2:$U$1001,0),0), INDEX($AB$1004:$AQ$1004,1,MATCH(COLUMNS($AB$1006:AJ1006),$AB$1006:$AQ$1006,0)))),"Fix")))</f>
        <v>0</v>
      </c>
      <c r="K745" s="4">
        <f>IF(OR(INDEX($V$2:$V$1001,MATCH(ROWS($U$2:U745),$U$2:$U$1001,0),1)&gt;=100000,INDEX($AB$1005:$AQ$1005,1,MATCH(COLUMNS($AB$1006:AK1006),$AB$1006:$AQ$1006,0))&gt;=100000), " ",IF(INDEX($AB$2:$AQ$1001,MATCH(ROWS($U$2:U745),$U$2:$U$1001,0),MATCH(COLUMNS($AB$1006:AK1006),$AB$1006:$AQ$1006,0)), HYPERLINK("#",""), HYPERLINK(CONCATENATE("#metadata!", ADDRESS(INDEX($W$2:$W$1001,MATCH(ROWS($U$2:U745),$U$2:$U$1001,0),0), INDEX($AB$1004:$AQ$1004,1,MATCH(COLUMNS($AB$1006:AK1006),$AB$1006:$AQ$1006,0)))),"Fix")))</f>
        <v>0</v>
      </c>
      <c r="L745" s="4">
        <f>IF(OR(INDEX($V$2:$V$1001,MATCH(ROWS($U$2:U745),$U$2:$U$1001,0),1)&gt;=100000,INDEX($AB$1005:$AQ$1005,1,MATCH(COLUMNS($AB$1006:AL1006),$AB$1006:$AQ$1006,0))&gt;=100000), " ",IF(INDEX($AB$2:$AQ$1001,MATCH(ROWS($U$2:U745),$U$2:$U$1001,0),MATCH(COLUMNS($AB$1006:AL1006),$AB$1006:$AQ$1006,0)), HYPERLINK("#",""), HYPERLINK(CONCATENATE("#metadata!", ADDRESS(INDEX($W$2:$W$1001,MATCH(ROWS($U$2:U745),$U$2:$U$1001,0),0), INDEX($AB$1004:$AQ$1004,1,MATCH(COLUMNS($AB$1006:AL1006),$AB$1006:$AQ$1006,0)))),"Fix")))</f>
        <v>0</v>
      </c>
      <c r="M745" s="4">
        <f>IF(OR(INDEX($V$2:$V$1001,MATCH(ROWS($U$2:U745),$U$2:$U$1001,0),1)&gt;=100000,INDEX($AB$1005:$AQ$1005,1,MATCH(COLUMNS($AB$1006:AM1006),$AB$1006:$AQ$1006,0))&gt;=100000), " ",IF(INDEX($AB$2:$AQ$1001,MATCH(ROWS($U$2:U745),$U$2:$U$1001,0),MATCH(COLUMNS($AB$1006:AM1006),$AB$1006:$AQ$1006,0)), HYPERLINK("#",""), HYPERLINK(CONCATENATE("#metadata!", ADDRESS(INDEX($W$2:$W$1001,MATCH(ROWS($U$2:U745),$U$2:$U$1001,0),0), INDEX($AB$1004:$AQ$1004,1,MATCH(COLUMNS($AB$1006:AM1006),$AB$1006:$AQ$1006,0)))),"Fix")))</f>
        <v>0</v>
      </c>
      <c r="N745" s="4">
        <f>IF(OR(INDEX($V$2:$V$1001,MATCH(ROWS($U$2:U745),$U$2:$U$1001,0),1)&gt;=100000,INDEX($AB$1005:$AQ$1005,1,MATCH(COLUMNS($AB$1006:AN1006),$AB$1006:$AQ$1006,0))&gt;=100000), " ",IF(INDEX($AB$2:$AQ$1001,MATCH(ROWS($U$2:U745),$U$2:$U$1001,0),MATCH(COLUMNS($AB$1006:AN1006),$AB$1006:$AQ$1006,0)), HYPERLINK("#",""), HYPERLINK(CONCATENATE("#metadata!", ADDRESS(INDEX($W$2:$W$1001,MATCH(ROWS($U$2:U745),$U$2:$U$1001,0),0), INDEX($AB$1004:$AQ$1004,1,MATCH(COLUMNS($AB$1006:AN1006),$AB$1006:$AQ$1006,0)))),"Fix")))</f>
        <v>0</v>
      </c>
      <c r="O745" s="4">
        <f>IF(OR(INDEX($V$2:$V$1001,MATCH(ROWS($U$2:U745),$U$2:$U$1001,0),1)&gt;=100000,INDEX($AB$1005:$AQ$1005,1,MATCH(COLUMNS($AB$1006:AO1006),$AB$1006:$AQ$1006,0))&gt;=100000), " ",IF(INDEX($AB$2:$AQ$1001,MATCH(ROWS($U$2:U745),$U$2:$U$1001,0),MATCH(COLUMNS($AB$1006:AO1006),$AB$1006:$AQ$1006,0)), HYPERLINK("#",""), HYPERLINK(CONCATENATE("#metadata!", ADDRESS(INDEX($W$2:$W$1001,MATCH(ROWS($U$2:U745),$U$2:$U$1001,0),0), INDEX($AB$1004:$AQ$1004,1,MATCH(COLUMNS($AB$1006:AO1006),$AB$1006:$AQ$1006,0)))),"Fix")))</f>
        <v>0</v>
      </c>
      <c r="P745" s="4">
        <f>IF(OR(INDEX($V$2:$V$1001,MATCH(ROWS($U$2:U745),$U$2:$U$1001,0),1)&gt;=100000,INDEX($AB$1005:$AQ$1005,1,MATCH(COLUMNS($AB$1006:AP1006),$AB$1006:$AQ$1006,0))&gt;=100000), " ",IF(INDEX($AB$2:$AQ$1001,MATCH(ROWS($U$2:U745),$U$2:$U$1001,0),MATCH(COLUMNS($AB$1006:AP1006),$AB$1006:$AQ$1006,0)), HYPERLINK("#",""), HYPERLINK(CONCATENATE("#metadata!", ADDRESS(INDEX($W$2:$W$1001,MATCH(ROWS($U$2:U745),$U$2:$U$1001,0),0), INDEX($AB$1004:$AQ$1004,1,MATCH(COLUMNS($AB$1006:AP1006),$AB$1006:$AQ$1006,0)))),"Fix")))</f>
        <v>0</v>
      </c>
      <c r="Q745" s="4">
        <f>IF(OR(INDEX($V$2:$V$1001,MATCH(ROWS($U$2:U745),$U$2:$U$1001,0),1)&gt;=100000,INDEX($AB$1005:$AQ$1005,1,MATCH(COLUMNS($AB$1006:AQ1006),$AB$1006:$AQ$1006,0))&gt;=100000), " ",IF(INDEX($AB$2:$AQ$1001,MATCH(ROWS($U$2:U745),$U$2:$U$1001,0),MATCH(COLUMNS($AB$1006:AQ1006),$AB$1006:$AQ$1006,0)), HYPERLINK("#",""), HYPERLINK(CONCATENATE("#metadata!", ADDRESS(INDEX($W$2:$W$1001,MATCH(ROWS($U$2:U745),$U$2:$U$1001,0),0), INDEX($AB$1004:$AQ$1004,1,MATCH(COLUMNS($AB$1006:AQ1006),$AB$1006:$AQ$1006,0)))),"Fix")))</f>
        <v>0</v>
      </c>
      <c r="U745">
        <v>0</v>
      </c>
      <c r="V745">
        <v>0</v>
      </c>
      <c r="W745">
        <v>0</v>
      </c>
      <c r="X745">
        <f>IF(Y745,TRUE,AND(AB745:AQ745))</f>
        <v>0</v>
      </c>
      <c r="Y745">
        <f>COUNTBLANK(metadata!B745:Q745)=COLUMNS(metadata!B745:Q745)</f>
        <v>0</v>
      </c>
      <c r="Z745">
        <v>0</v>
      </c>
      <c r="AB745">
        <f>AND(IF(metadata!B745="",FALSE,TRUE),COUNTIF(metadata!B:B, metadata!B745) = 1,NOT(ISERROR(SUMPRODUCT(SEARCH(MID(metadata!B745,ROW(INDIRECT("1:"&amp;LEN(metadata!B745))), 1),"0123456789abcdefghijklmnopqrstuvwxyzABCDEFGHIJKLMNOPQRSTUVWXYZ.")))))</f>
        <v>0</v>
      </c>
      <c r="AC745">
        <f>OR(AND(IF(metadata!C745="",FALSE,TRUE),OR(exact(metadata!C745,"missing: not collected"),exact(metadata!C745,"missing: not provided"),exact(metadata!C745,"missing: restricted access"))),AND(IF(metadata!C745="",FALSE,TRUE),AND(AND(IFERROR(INT(LEFT(metadata!C745,4))&gt;1900,FALSE),IFERROR(INT(LEFT(metadata!C745,4))&lt;=YEAR(NOW()),FALSE)), OR(MID(metadata!C745,5,1)="", AND(AND(MID(metadata!C745,5,1)="-",IFERROR(INT(MID(metadata!C745,6,1))&gt;=0,FALSE),IFERROR(INT(MID(metadata!C745,6,1))&lt;=1,FALSE),NOT(MID(metadata!C745,7,1)=""),IFERROR(INT(MID(metadata!C745,6,2))&gt;=1,FALSE),IFERROR(INT(MID(metadata!C745,6,2))&lt;=12,FALSE)), OR(MID(metadata!C745,8,1)="", AND(AND(MID(metadata!C745,8,1)="-",IFERROR(INT(MID(metadata!C745,9,1))&gt;=0,FALSE),IFERROR(INT(MID(metadata!C745,9,1))&lt;=3,FALSE),NOT(MID(metadata!C745,10,1)=""),IFERROR(INT(MID(metadata!C745,9,2))&gt;=1,FALSE),IFERROR(INT(MID(metadata!C745,9,2))&lt;=31,FALSE)), OR(MID(metadata!C745,11,1)="", AND(AND(MID(metadata!C745,11,1)=" ",IFERROR(INT(MID(metadata!C745,12,1))&gt;=0,FALSE),IFERROR(INT(MID(metadata!C745,12,1))&lt;=2,FALSE),NOT(MID(metadata!C745,13,1)=""),IFERROR(INT(MID(metadata!C745,12,2))&gt;=0,FALSE),IFERROR(INT(MID(metadata!C745,12,2))&lt;=23,FALSE)), OR(MID(metadata!C745,14,1)="", AND(AND(MID(metadata!C745,14,1)=":",IFERROR(INT(MID(metadata!C745,15,1))&gt;=0,FALSE),IFERROR(INT(MID(metadata!C745,15,1))&lt;=5,FALSE),NOT(MID(metadata!C745,16,1)=""),IFERROR(INT(MID(metadata!C745,15,2))&gt;=0,FALSE),IFERROR(INT(MID(metadata!C745,15,2))&lt;=59,FALSE)), OR(MID(metadata!C745,17,1)="", AND(AND(MID(metadata!C745,17,1)=":",IFERROR(INT(MID(metadata!C745,18,1))&gt;=0,FALSE),IFERROR(INT(MID(metadata!C745,18,1))&lt;=5,FALSE),NOT(MID(metadata!C745,19,1)=""),IFERROR(INT(MID(metadata!C745,18,2))&gt;=0,FALSE),IFERROR(INT(MID(metadata!C745,18,2))&lt;=59,FALSE)), LEN(metadata!C745)&lt;=19)))))))))))))</f>
        <v>0</v>
      </c>
      <c r="AD745">
        <f>IF(metadata!D745="",FALSE,TRUE)</f>
        <v>0</v>
      </c>
      <c r="AE745">
        <f>OR(AND(IF(metadata!E745="",FALSE,TRUE),OR(exact(metadata!E745,"missing: not collected"),exact(metadata!E745,"missing: not provided"))),AND(IF(metadata!E745="",FALSE,TRUE),OR(exact(metadata!E745,"TRUE"),exact(metadata!E745,"FALSE"))))</f>
        <v>0</v>
      </c>
      <c r="AF745">
        <f>IF(metadata!F745="",FALSE,TRUE)</f>
        <v>0</v>
      </c>
      <c r="AG745">
        <f>IF(metadata!G745="",FALSE,TRUE)</f>
        <v>0</v>
      </c>
      <c r="AH745">
        <f>IF(metadata!H745="",FALSE,TRUE)</f>
        <v>0</v>
      </c>
      <c r="AI745">
        <f>OR(AND(IF(metadata!I745="",FALSE,TRUE),OR(exact(metadata!I745,"missing: not collected"),exact(metadata!I745,"missing: not provided"),exact(metadata!I745,"missing: restricted access"))),AND(IF(metadata!I745="",FALSE,TRUE),OR(exact(metadata!I745,"air"),exact(metadata!I745,"built environment"),exact(metadata!I745,"host-associated"),exact(metadata!I745,"human-associated"),exact(metadata!I745,"human-skin"),exact(metadata!I745,"human-oral"),exact(metadata!I745,"human-gut"),exact(metadata!I745,"human-vaginal"),exact(metadata!I745,"microbial mat/biofilm"),exact(metadata!I745,"misc environment"),exact(metadata!I745,"plant-associated"),exact(metadata!I745,"sediment"),exact(metadata!I745,"soil"),exact(metadata!I745,"wastewater/sludge"),exact(metadata!I745,"water"))))</f>
        <v>0</v>
      </c>
      <c r="AJ745">
        <f>IF(metadata!J745="",FALSE,TRUE)</f>
        <v>0</v>
      </c>
      <c r="AK745">
        <f>OR(AND(IF(metadata!K745="",FALSE,TRUE),OR(exact(metadata!K745,"missing: not collected"),exact(metadata!K745,"missing: not provided"),exact(metadata!K745,"missing: restricted access"))),AND(IF(metadata!K745="",FALSE,ISNUMBER(VALUE(metadata!K745))),metadata!K745&gt;=-90.00,metadata!K745&lt;=90.00))</f>
        <v>0</v>
      </c>
      <c r="AL745">
        <f>OR(AND(IF(metadata!L745="",FALSE,TRUE),OR(exact(metadata!L745,"missing: not collected"),exact(metadata!L745,"missing: not provided"),exact(metadata!L745,"missing: restricted access"))),AND(IF(metadata!L745="",FALSE,ISNUMBER(VALUE(metadata!L745))),metadata!L745&gt;=-180.00,metadata!L745&lt;=180.00))</f>
        <v>0</v>
      </c>
      <c r="AM745">
        <f>IF(metadata!M745="",FALSE,TRUE)</f>
        <v>0</v>
      </c>
      <c r="AN745">
        <f>OR(AND(IF(metadata!N745="",FALSE,TRUE),OR(exact(metadata!N745,"missing: not collected"),exact(metadata!N745,"missing: not provided"),exact(metadata!N745,"missing: restricted access"))),AND(IF(metadata!N745="",FALSE,TRUE),OR(exact(metadata!N745,"TRUE"),exact(metadata!N745,"FALSE"))))</f>
        <v>0</v>
      </c>
      <c r="AO745">
        <f>IF(metadata!O745="",FALSE,TRUE)</f>
        <v>0</v>
      </c>
      <c r="AP745">
        <f>OR(AND(IF(metadata!P745="",FALSE,TRUE),OR(exact(metadata!P745,"missing: not collected"),exact(metadata!P745,"missing: not provided"))),AND(IF(metadata!P745="",FALSE,IF(ISERROR(INT(metadata!P745)),FALSE,INT(metadata!P745)=metadata!P745)),metadata!P745&gt;0))</f>
        <v>0</v>
      </c>
      <c r="AQ745">
        <f>IF(metadata!Q745="",FALSE,TRUE)</f>
        <v>0</v>
      </c>
    </row>
    <row r="746" spans="1:43">
      <c r="A746" s="5">
        <f>IF(B746=" "," ",HYPERLINK(CONCATENATE("#metadata!",ADDRESS(INDEX($W$2:$W$1001,MATCH(ROWS($U$2:U746),$U$2:$U$1001,0),0),1)),INDEX($Z$2:$Z$1001,MATCH(ROWS($U$2:U746),$U$2:$U$1001,0),0)))</f>
        <v>0</v>
      </c>
      <c r="B746" s="4">
        <f>IF(OR(INDEX($V$2:$V$1001,MATCH(ROWS($U$2:U746),$U$2:$U$1001,0),1)&gt;=100000,INDEX($AB$1005:$AQ$1005,1,MATCH(COLUMNS($AB$1006:AB1006),$AB$1006:$AQ$1006,0))&gt;=100000), " ",IF(INDEX($AB$2:$AQ$1001,MATCH(ROWS($U$2:U746),$U$2:$U$1001,0),MATCH(COLUMNS($AB$1006:AB1006),$AB$1006:$AQ$1006,0)), HYPERLINK("#",""), HYPERLINK(CONCATENATE("#metadata!", ADDRESS(INDEX($W$2:$W$1001,MATCH(ROWS($U$2:U746),$U$2:$U$1001,0),0), INDEX($AB$1004:$AQ$1004,1,MATCH(COLUMNS($AB$1006:AB1006),$AB$1006:$AQ$1006,0)))),"Fix")))</f>
        <v>0</v>
      </c>
      <c r="C746" s="4">
        <f>IF(OR(INDEX($V$2:$V$1001,MATCH(ROWS($U$2:U746),$U$2:$U$1001,0),1)&gt;=100000,INDEX($AB$1005:$AQ$1005,1,MATCH(COLUMNS($AB$1006:AC1006),$AB$1006:$AQ$1006,0))&gt;=100000), " ",IF(INDEX($AB$2:$AQ$1001,MATCH(ROWS($U$2:U746),$U$2:$U$1001,0),MATCH(COLUMNS($AB$1006:AC1006),$AB$1006:$AQ$1006,0)), HYPERLINK("#",""), HYPERLINK(CONCATENATE("#metadata!", ADDRESS(INDEX($W$2:$W$1001,MATCH(ROWS($U$2:U746),$U$2:$U$1001,0),0), INDEX($AB$1004:$AQ$1004,1,MATCH(COLUMNS($AB$1006:AC1006),$AB$1006:$AQ$1006,0)))),"Fix")))</f>
        <v>0</v>
      </c>
      <c r="D746" s="4">
        <f>IF(OR(INDEX($V$2:$V$1001,MATCH(ROWS($U$2:U746),$U$2:$U$1001,0),1)&gt;=100000,INDEX($AB$1005:$AQ$1005,1,MATCH(COLUMNS($AB$1006:AD1006),$AB$1006:$AQ$1006,0))&gt;=100000), " ",IF(INDEX($AB$2:$AQ$1001,MATCH(ROWS($U$2:U746),$U$2:$U$1001,0),MATCH(COLUMNS($AB$1006:AD1006),$AB$1006:$AQ$1006,0)), HYPERLINK("#",""), HYPERLINK(CONCATENATE("#metadata!", ADDRESS(INDEX($W$2:$W$1001,MATCH(ROWS($U$2:U746),$U$2:$U$1001,0),0), INDEX($AB$1004:$AQ$1004,1,MATCH(COLUMNS($AB$1006:AD1006),$AB$1006:$AQ$1006,0)))),"Fix")))</f>
        <v>0</v>
      </c>
      <c r="E746" s="4">
        <f>IF(OR(INDEX($V$2:$V$1001,MATCH(ROWS($U$2:U746),$U$2:$U$1001,0),1)&gt;=100000,INDEX($AB$1005:$AQ$1005,1,MATCH(COLUMNS($AB$1006:AE1006),$AB$1006:$AQ$1006,0))&gt;=100000), " ",IF(INDEX($AB$2:$AQ$1001,MATCH(ROWS($U$2:U746),$U$2:$U$1001,0),MATCH(COLUMNS($AB$1006:AE1006),$AB$1006:$AQ$1006,0)), HYPERLINK("#",""), HYPERLINK(CONCATENATE("#metadata!", ADDRESS(INDEX($W$2:$W$1001,MATCH(ROWS($U$2:U746),$U$2:$U$1001,0),0), INDEX($AB$1004:$AQ$1004,1,MATCH(COLUMNS($AB$1006:AE1006),$AB$1006:$AQ$1006,0)))),"Fix")))</f>
        <v>0</v>
      </c>
      <c r="F746" s="4">
        <f>IF(OR(INDEX($V$2:$V$1001,MATCH(ROWS($U$2:U746),$U$2:$U$1001,0),1)&gt;=100000,INDEX($AB$1005:$AQ$1005,1,MATCH(COLUMNS($AB$1006:AF1006),$AB$1006:$AQ$1006,0))&gt;=100000), " ",IF(INDEX($AB$2:$AQ$1001,MATCH(ROWS($U$2:U746),$U$2:$U$1001,0),MATCH(COLUMNS($AB$1006:AF1006),$AB$1006:$AQ$1006,0)), HYPERLINK("#",""), HYPERLINK(CONCATENATE("#metadata!", ADDRESS(INDEX($W$2:$W$1001,MATCH(ROWS($U$2:U746),$U$2:$U$1001,0),0), INDEX($AB$1004:$AQ$1004,1,MATCH(COLUMNS($AB$1006:AF1006),$AB$1006:$AQ$1006,0)))),"Fix")))</f>
        <v>0</v>
      </c>
      <c r="G746" s="4">
        <f>IF(OR(INDEX($V$2:$V$1001,MATCH(ROWS($U$2:U746),$U$2:$U$1001,0),1)&gt;=100000,INDEX($AB$1005:$AQ$1005,1,MATCH(COLUMNS($AB$1006:AG1006),$AB$1006:$AQ$1006,0))&gt;=100000), " ",IF(INDEX($AB$2:$AQ$1001,MATCH(ROWS($U$2:U746),$U$2:$U$1001,0),MATCH(COLUMNS($AB$1006:AG1006),$AB$1006:$AQ$1006,0)), HYPERLINK("#",""), HYPERLINK(CONCATENATE("#metadata!", ADDRESS(INDEX($W$2:$W$1001,MATCH(ROWS($U$2:U746),$U$2:$U$1001,0),0), INDEX($AB$1004:$AQ$1004,1,MATCH(COLUMNS($AB$1006:AG1006),$AB$1006:$AQ$1006,0)))),"Fix")))</f>
        <v>0</v>
      </c>
      <c r="H746" s="4">
        <f>IF(OR(INDEX($V$2:$V$1001,MATCH(ROWS($U$2:U746),$U$2:$U$1001,0),1)&gt;=100000,INDEX($AB$1005:$AQ$1005,1,MATCH(COLUMNS($AB$1006:AH1006),$AB$1006:$AQ$1006,0))&gt;=100000), " ",IF(INDEX($AB$2:$AQ$1001,MATCH(ROWS($U$2:U746),$U$2:$U$1001,0),MATCH(COLUMNS($AB$1006:AH1006),$AB$1006:$AQ$1006,0)), HYPERLINK("#",""), HYPERLINK(CONCATENATE("#metadata!", ADDRESS(INDEX($W$2:$W$1001,MATCH(ROWS($U$2:U746),$U$2:$U$1001,0),0), INDEX($AB$1004:$AQ$1004,1,MATCH(COLUMNS($AB$1006:AH1006),$AB$1006:$AQ$1006,0)))),"Fix")))</f>
        <v>0</v>
      </c>
      <c r="I746" s="4">
        <f>IF(OR(INDEX($V$2:$V$1001,MATCH(ROWS($U$2:U746),$U$2:$U$1001,0),1)&gt;=100000,INDEX($AB$1005:$AQ$1005,1,MATCH(COLUMNS($AB$1006:AI1006),$AB$1006:$AQ$1006,0))&gt;=100000), " ",IF(INDEX($AB$2:$AQ$1001,MATCH(ROWS($U$2:U746),$U$2:$U$1001,0),MATCH(COLUMNS($AB$1006:AI1006),$AB$1006:$AQ$1006,0)), HYPERLINK("#",""), HYPERLINK(CONCATENATE("#metadata!", ADDRESS(INDEX($W$2:$W$1001,MATCH(ROWS($U$2:U746),$U$2:$U$1001,0),0), INDEX($AB$1004:$AQ$1004,1,MATCH(COLUMNS($AB$1006:AI1006),$AB$1006:$AQ$1006,0)))),"Fix")))</f>
        <v>0</v>
      </c>
      <c r="J746" s="4">
        <f>IF(OR(INDEX($V$2:$V$1001,MATCH(ROWS($U$2:U746),$U$2:$U$1001,0),1)&gt;=100000,INDEX($AB$1005:$AQ$1005,1,MATCH(COLUMNS($AB$1006:AJ1006),$AB$1006:$AQ$1006,0))&gt;=100000), " ",IF(INDEX($AB$2:$AQ$1001,MATCH(ROWS($U$2:U746),$U$2:$U$1001,0),MATCH(COLUMNS($AB$1006:AJ1006),$AB$1006:$AQ$1006,0)), HYPERLINK("#",""), HYPERLINK(CONCATENATE("#metadata!", ADDRESS(INDEX($W$2:$W$1001,MATCH(ROWS($U$2:U746),$U$2:$U$1001,0),0), INDEX($AB$1004:$AQ$1004,1,MATCH(COLUMNS($AB$1006:AJ1006),$AB$1006:$AQ$1006,0)))),"Fix")))</f>
        <v>0</v>
      </c>
      <c r="K746" s="4">
        <f>IF(OR(INDEX($V$2:$V$1001,MATCH(ROWS($U$2:U746),$U$2:$U$1001,0),1)&gt;=100000,INDEX($AB$1005:$AQ$1005,1,MATCH(COLUMNS($AB$1006:AK1006),$AB$1006:$AQ$1006,0))&gt;=100000), " ",IF(INDEX($AB$2:$AQ$1001,MATCH(ROWS($U$2:U746),$U$2:$U$1001,0),MATCH(COLUMNS($AB$1006:AK1006),$AB$1006:$AQ$1006,0)), HYPERLINK("#",""), HYPERLINK(CONCATENATE("#metadata!", ADDRESS(INDEX($W$2:$W$1001,MATCH(ROWS($U$2:U746),$U$2:$U$1001,0),0), INDEX($AB$1004:$AQ$1004,1,MATCH(COLUMNS($AB$1006:AK1006),$AB$1006:$AQ$1006,0)))),"Fix")))</f>
        <v>0</v>
      </c>
      <c r="L746" s="4">
        <f>IF(OR(INDEX($V$2:$V$1001,MATCH(ROWS($U$2:U746),$U$2:$U$1001,0),1)&gt;=100000,INDEX($AB$1005:$AQ$1005,1,MATCH(COLUMNS($AB$1006:AL1006),$AB$1006:$AQ$1006,0))&gt;=100000), " ",IF(INDEX($AB$2:$AQ$1001,MATCH(ROWS($U$2:U746),$U$2:$U$1001,0),MATCH(COLUMNS($AB$1006:AL1006),$AB$1006:$AQ$1006,0)), HYPERLINK("#",""), HYPERLINK(CONCATENATE("#metadata!", ADDRESS(INDEX($W$2:$W$1001,MATCH(ROWS($U$2:U746),$U$2:$U$1001,0),0), INDEX($AB$1004:$AQ$1004,1,MATCH(COLUMNS($AB$1006:AL1006),$AB$1006:$AQ$1006,0)))),"Fix")))</f>
        <v>0</v>
      </c>
      <c r="M746" s="4">
        <f>IF(OR(INDEX($V$2:$V$1001,MATCH(ROWS($U$2:U746),$U$2:$U$1001,0),1)&gt;=100000,INDEX($AB$1005:$AQ$1005,1,MATCH(COLUMNS($AB$1006:AM1006),$AB$1006:$AQ$1006,0))&gt;=100000), " ",IF(INDEX($AB$2:$AQ$1001,MATCH(ROWS($U$2:U746),$U$2:$U$1001,0),MATCH(COLUMNS($AB$1006:AM1006),$AB$1006:$AQ$1006,0)), HYPERLINK("#",""), HYPERLINK(CONCATENATE("#metadata!", ADDRESS(INDEX($W$2:$W$1001,MATCH(ROWS($U$2:U746),$U$2:$U$1001,0),0), INDEX($AB$1004:$AQ$1004,1,MATCH(COLUMNS($AB$1006:AM1006),$AB$1006:$AQ$1006,0)))),"Fix")))</f>
        <v>0</v>
      </c>
      <c r="N746" s="4">
        <f>IF(OR(INDEX($V$2:$V$1001,MATCH(ROWS($U$2:U746),$U$2:$U$1001,0),1)&gt;=100000,INDEX($AB$1005:$AQ$1005,1,MATCH(COLUMNS($AB$1006:AN1006),$AB$1006:$AQ$1006,0))&gt;=100000), " ",IF(INDEX($AB$2:$AQ$1001,MATCH(ROWS($U$2:U746),$U$2:$U$1001,0),MATCH(COLUMNS($AB$1006:AN1006),$AB$1006:$AQ$1006,0)), HYPERLINK("#",""), HYPERLINK(CONCATENATE("#metadata!", ADDRESS(INDEX($W$2:$W$1001,MATCH(ROWS($U$2:U746),$U$2:$U$1001,0),0), INDEX($AB$1004:$AQ$1004,1,MATCH(COLUMNS($AB$1006:AN1006),$AB$1006:$AQ$1006,0)))),"Fix")))</f>
        <v>0</v>
      </c>
      <c r="O746" s="4">
        <f>IF(OR(INDEX($V$2:$V$1001,MATCH(ROWS($U$2:U746),$U$2:$U$1001,0),1)&gt;=100000,INDEX($AB$1005:$AQ$1005,1,MATCH(COLUMNS($AB$1006:AO1006),$AB$1006:$AQ$1006,0))&gt;=100000), " ",IF(INDEX($AB$2:$AQ$1001,MATCH(ROWS($U$2:U746),$U$2:$U$1001,0),MATCH(COLUMNS($AB$1006:AO1006),$AB$1006:$AQ$1006,0)), HYPERLINK("#",""), HYPERLINK(CONCATENATE("#metadata!", ADDRESS(INDEX($W$2:$W$1001,MATCH(ROWS($U$2:U746),$U$2:$U$1001,0),0), INDEX($AB$1004:$AQ$1004,1,MATCH(COLUMNS($AB$1006:AO1006),$AB$1006:$AQ$1006,0)))),"Fix")))</f>
        <v>0</v>
      </c>
      <c r="P746" s="4">
        <f>IF(OR(INDEX($V$2:$V$1001,MATCH(ROWS($U$2:U746),$U$2:$U$1001,0),1)&gt;=100000,INDEX($AB$1005:$AQ$1005,1,MATCH(COLUMNS($AB$1006:AP1006),$AB$1006:$AQ$1006,0))&gt;=100000), " ",IF(INDEX($AB$2:$AQ$1001,MATCH(ROWS($U$2:U746),$U$2:$U$1001,0),MATCH(COLUMNS($AB$1006:AP1006),$AB$1006:$AQ$1006,0)), HYPERLINK("#",""), HYPERLINK(CONCATENATE("#metadata!", ADDRESS(INDEX($W$2:$W$1001,MATCH(ROWS($U$2:U746),$U$2:$U$1001,0),0), INDEX($AB$1004:$AQ$1004,1,MATCH(COLUMNS($AB$1006:AP1006),$AB$1006:$AQ$1006,0)))),"Fix")))</f>
        <v>0</v>
      </c>
      <c r="Q746" s="4">
        <f>IF(OR(INDEX($V$2:$V$1001,MATCH(ROWS($U$2:U746),$U$2:$U$1001,0),1)&gt;=100000,INDEX($AB$1005:$AQ$1005,1,MATCH(COLUMNS($AB$1006:AQ1006),$AB$1006:$AQ$1006,0))&gt;=100000), " ",IF(INDEX($AB$2:$AQ$1001,MATCH(ROWS($U$2:U746),$U$2:$U$1001,0),MATCH(COLUMNS($AB$1006:AQ1006),$AB$1006:$AQ$1006,0)), HYPERLINK("#",""), HYPERLINK(CONCATENATE("#metadata!", ADDRESS(INDEX($W$2:$W$1001,MATCH(ROWS($U$2:U746),$U$2:$U$1001,0),0), INDEX($AB$1004:$AQ$1004,1,MATCH(COLUMNS($AB$1006:AQ1006),$AB$1006:$AQ$1006,0)))),"Fix")))</f>
        <v>0</v>
      </c>
      <c r="U746">
        <v>0</v>
      </c>
      <c r="V746">
        <v>0</v>
      </c>
      <c r="W746">
        <v>0</v>
      </c>
      <c r="X746">
        <f>IF(Y746,TRUE,AND(AB746:AQ746))</f>
        <v>0</v>
      </c>
      <c r="Y746">
        <f>COUNTBLANK(metadata!B746:Q746)=COLUMNS(metadata!B746:Q746)</f>
        <v>0</v>
      </c>
      <c r="Z746">
        <v>0</v>
      </c>
      <c r="AB746">
        <f>AND(IF(metadata!B746="",FALSE,TRUE),COUNTIF(metadata!B:B, metadata!B746) = 1,NOT(ISERROR(SUMPRODUCT(SEARCH(MID(metadata!B746,ROW(INDIRECT("1:"&amp;LEN(metadata!B746))), 1),"0123456789abcdefghijklmnopqrstuvwxyzABCDEFGHIJKLMNOPQRSTUVWXYZ.")))))</f>
        <v>0</v>
      </c>
      <c r="AC746">
        <f>OR(AND(IF(metadata!C746="",FALSE,TRUE),OR(exact(metadata!C746,"missing: not collected"),exact(metadata!C746,"missing: not provided"),exact(metadata!C746,"missing: restricted access"))),AND(IF(metadata!C746="",FALSE,TRUE),AND(AND(IFERROR(INT(LEFT(metadata!C746,4))&gt;1900,FALSE),IFERROR(INT(LEFT(metadata!C746,4))&lt;=YEAR(NOW()),FALSE)), OR(MID(metadata!C746,5,1)="", AND(AND(MID(metadata!C746,5,1)="-",IFERROR(INT(MID(metadata!C746,6,1))&gt;=0,FALSE),IFERROR(INT(MID(metadata!C746,6,1))&lt;=1,FALSE),NOT(MID(metadata!C746,7,1)=""),IFERROR(INT(MID(metadata!C746,6,2))&gt;=1,FALSE),IFERROR(INT(MID(metadata!C746,6,2))&lt;=12,FALSE)), OR(MID(metadata!C746,8,1)="", AND(AND(MID(metadata!C746,8,1)="-",IFERROR(INT(MID(metadata!C746,9,1))&gt;=0,FALSE),IFERROR(INT(MID(metadata!C746,9,1))&lt;=3,FALSE),NOT(MID(metadata!C746,10,1)=""),IFERROR(INT(MID(metadata!C746,9,2))&gt;=1,FALSE),IFERROR(INT(MID(metadata!C746,9,2))&lt;=31,FALSE)), OR(MID(metadata!C746,11,1)="", AND(AND(MID(metadata!C746,11,1)=" ",IFERROR(INT(MID(metadata!C746,12,1))&gt;=0,FALSE),IFERROR(INT(MID(metadata!C746,12,1))&lt;=2,FALSE),NOT(MID(metadata!C746,13,1)=""),IFERROR(INT(MID(metadata!C746,12,2))&gt;=0,FALSE),IFERROR(INT(MID(metadata!C746,12,2))&lt;=23,FALSE)), OR(MID(metadata!C746,14,1)="", AND(AND(MID(metadata!C746,14,1)=":",IFERROR(INT(MID(metadata!C746,15,1))&gt;=0,FALSE),IFERROR(INT(MID(metadata!C746,15,1))&lt;=5,FALSE),NOT(MID(metadata!C746,16,1)=""),IFERROR(INT(MID(metadata!C746,15,2))&gt;=0,FALSE),IFERROR(INT(MID(metadata!C746,15,2))&lt;=59,FALSE)), OR(MID(metadata!C746,17,1)="", AND(AND(MID(metadata!C746,17,1)=":",IFERROR(INT(MID(metadata!C746,18,1))&gt;=0,FALSE),IFERROR(INT(MID(metadata!C746,18,1))&lt;=5,FALSE),NOT(MID(metadata!C746,19,1)=""),IFERROR(INT(MID(metadata!C746,18,2))&gt;=0,FALSE),IFERROR(INT(MID(metadata!C746,18,2))&lt;=59,FALSE)), LEN(metadata!C746)&lt;=19)))))))))))))</f>
        <v>0</v>
      </c>
      <c r="AD746">
        <f>IF(metadata!D746="",FALSE,TRUE)</f>
        <v>0</v>
      </c>
      <c r="AE746">
        <f>OR(AND(IF(metadata!E746="",FALSE,TRUE),OR(exact(metadata!E746,"missing: not collected"),exact(metadata!E746,"missing: not provided"))),AND(IF(metadata!E746="",FALSE,TRUE),OR(exact(metadata!E746,"TRUE"),exact(metadata!E746,"FALSE"))))</f>
        <v>0</v>
      </c>
      <c r="AF746">
        <f>IF(metadata!F746="",FALSE,TRUE)</f>
        <v>0</v>
      </c>
      <c r="AG746">
        <f>IF(metadata!G746="",FALSE,TRUE)</f>
        <v>0</v>
      </c>
      <c r="AH746">
        <f>IF(metadata!H746="",FALSE,TRUE)</f>
        <v>0</v>
      </c>
      <c r="AI746">
        <f>OR(AND(IF(metadata!I746="",FALSE,TRUE),OR(exact(metadata!I746,"missing: not collected"),exact(metadata!I746,"missing: not provided"),exact(metadata!I746,"missing: restricted access"))),AND(IF(metadata!I746="",FALSE,TRUE),OR(exact(metadata!I746,"air"),exact(metadata!I746,"built environment"),exact(metadata!I746,"host-associated"),exact(metadata!I746,"human-associated"),exact(metadata!I746,"human-skin"),exact(metadata!I746,"human-oral"),exact(metadata!I746,"human-gut"),exact(metadata!I746,"human-vaginal"),exact(metadata!I746,"microbial mat/biofilm"),exact(metadata!I746,"misc environment"),exact(metadata!I746,"plant-associated"),exact(metadata!I746,"sediment"),exact(metadata!I746,"soil"),exact(metadata!I746,"wastewater/sludge"),exact(metadata!I746,"water"))))</f>
        <v>0</v>
      </c>
      <c r="AJ746">
        <f>IF(metadata!J746="",FALSE,TRUE)</f>
        <v>0</v>
      </c>
      <c r="AK746">
        <f>OR(AND(IF(metadata!K746="",FALSE,TRUE),OR(exact(metadata!K746,"missing: not collected"),exact(metadata!K746,"missing: not provided"),exact(metadata!K746,"missing: restricted access"))),AND(IF(metadata!K746="",FALSE,ISNUMBER(VALUE(metadata!K746))),metadata!K746&gt;=-90.00,metadata!K746&lt;=90.00))</f>
        <v>0</v>
      </c>
      <c r="AL746">
        <f>OR(AND(IF(metadata!L746="",FALSE,TRUE),OR(exact(metadata!L746,"missing: not collected"),exact(metadata!L746,"missing: not provided"),exact(metadata!L746,"missing: restricted access"))),AND(IF(metadata!L746="",FALSE,ISNUMBER(VALUE(metadata!L746))),metadata!L746&gt;=-180.00,metadata!L746&lt;=180.00))</f>
        <v>0</v>
      </c>
      <c r="AM746">
        <f>IF(metadata!M746="",FALSE,TRUE)</f>
        <v>0</v>
      </c>
      <c r="AN746">
        <f>OR(AND(IF(metadata!N746="",FALSE,TRUE),OR(exact(metadata!N746,"missing: not collected"),exact(metadata!N746,"missing: not provided"),exact(metadata!N746,"missing: restricted access"))),AND(IF(metadata!N746="",FALSE,TRUE),OR(exact(metadata!N746,"TRUE"),exact(metadata!N746,"FALSE"))))</f>
        <v>0</v>
      </c>
      <c r="AO746">
        <f>IF(metadata!O746="",FALSE,TRUE)</f>
        <v>0</v>
      </c>
      <c r="AP746">
        <f>OR(AND(IF(metadata!P746="",FALSE,TRUE),OR(exact(metadata!P746,"missing: not collected"),exact(metadata!P746,"missing: not provided"))),AND(IF(metadata!P746="",FALSE,IF(ISERROR(INT(metadata!P746)),FALSE,INT(metadata!P746)=metadata!P746)),metadata!P746&gt;0))</f>
        <v>0</v>
      </c>
      <c r="AQ746">
        <f>IF(metadata!Q746="",FALSE,TRUE)</f>
        <v>0</v>
      </c>
    </row>
    <row r="747" spans="1:43">
      <c r="A747" s="5">
        <f>IF(B747=" "," ",HYPERLINK(CONCATENATE("#metadata!",ADDRESS(INDEX($W$2:$W$1001,MATCH(ROWS($U$2:U747),$U$2:$U$1001,0),0),1)),INDEX($Z$2:$Z$1001,MATCH(ROWS($U$2:U747),$U$2:$U$1001,0),0)))</f>
        <v>0</v>
      </c>
      <c r="B747" s="4">
        <f>IF(OR(INDEX($V$2:$V$1001,MATCH(ROWS($U$2:U747),$U$2:$U$1001,0),1)&gt;=100000,INDEX($AB$1005:$AQ$1005,1,MATCH(COLUMNS($AB$1006:AB1006),$AB$1006:$AQ$1006,0))&gt;=100000), " ",IF(INDEX($AB$2:$AQ$1001,MATCH(ROWS($U$2:U747),$U$2:$U$1001,0),MATCH(COLUMNS($AB$1006:AB1006),$AB$1006:$AQ$1006,0)), HYPERLINK("#",""), HYPERLINK(CONCATENATE("#metadata!", ADDRESS(INDEX($W$2:$W$1001,MATCH(ROWS($U$2:U747),$U$2:$U$1001,0),0), INDEX($AB$1004:$AQ$1004,1,MATCH(COLUMNS($AB$1006:AB1006),$AB$1006:$AQ$1006,0)))),"Fix")))</f>
        <v>0</v>
      </c>
      <c r="C747" s="4">
        <f>IF(OR(INDEX($V$2:$V$1001,MATCH(ROWS($U$2:U747),$U$2:$U$1001,0),1)&gt;=100000,INDEX($AB$1005:$AQ$1005,1,MATCH(COLUMNS($AB$1006:AC1006),$AB$1006:$AQ$1006,0))&gt;=100000), " ",IF(INDEX($AB$2:$AQ$1001,MATCH(ROWS($U$2:U747),$U$2:$U$1001,0),MATCH(COLUMNS($AB$1006:AC1006),$AB$1006:$AQ$1006,0)), HYPERLINK("#",""), HYPERLINK(CONCATENATE("#metadata!", ADDRESS(INDEX($W$2:$W$1001,MATCH(ROWS($U$2:U747),$U$2:$U$1001,0),0), INDEX($AB$1004:$AQ$1004,1,MATCH(COLUMNS($AB$1006:AC1006),$AB$1006:$AQ$1006,0)))),"Fix")))</f>
        <v>0</v>
      </c>
      <c r="D747" s="4">
        <f>IF(OR(INDEX($V$2:$V$1001,MATCH(ROWS($U$2:U747),$U$2:$U$1001,0),1)&gt;=100000,INDEX($AB$1005:$AQ$1005,1,MATCH(COLUMNS($AB$1006:AD1006),$AB$1006:$AQ$1006,0))&gt;=100000), " ",IF(INDEX($AB$2:$AQ$1001,MATCH(ROWS($U$2:U747),$U$2:$U$1001,0),MATCH(COLUMNS($AB$1006:AD1006),$AB$1006:$AQ$1006,0)), HYPERLINK("#",""), HYPERLINK(CONCATENATE("#metadata!", ADDRESS(INDEX($W$2:$W$1001,MATCH(ROWS($U$2:U747),$U$2:$U$1001,0),0), INDEX($AB$1004:$AQ$1004,1,MATCH(COLUMNS($AB$1006:AD1006),$AB$1006:$AQ$1006,0)))),"Fix")))</f>
        <v>0</v>
      </c>
      <c r="E747" s="4">
        <f>IF(OR(INDEX($V$2:$V$1001,MATCH(ROWS($U$2:U747),$U$2:$U$1001,0),1)&gt;=100000,INDEX($AB$1005:$AQ$1005,1,MATCH(COLUMNS($AB$1006:AE1006),$AB$1006:$AQ$1006,0))&gt;=100000), " ",IF(INDEX($AB$2:$AQ$1001,MATCH(ROWS($U$2:U747),$U$2:$U$1001,0),MATCH(COLUMNS($AB$1006:AE1006),$AB$1006:$AQ$1006,0)), HYPERLINK("#",""), HYPERLINK(CONCATENATE("#metadata!", ADDRESS(INDEX($W$2:$W$1001,MATCH(ROWS($U$2:U747),$U$2:$U$1001,0),0), INDEX($AB$1004:$AQ$1004,1,MATCH(COLUMNS($AB$1006:AE1006),$AB$1006:$AQ$1006,0)))),"Fix")))</f>
        <v>0</v>
      </c>
      <c r="F747" s="4">
        <f>IF(OR(INDEX($V$2:$V$1001,MATCH(ROWS($U$2:U747),$U$2:$U$1001,0),1)&gt;=100000,INDEX($AB$1005:$AQ$1005,1,MATCH(COLUMNS($AB$1006:AF1006),$AB$1006:$AQ$1006,0))&gt;=100000), " ",IF(INDEX($AB$2:$AQ$1001,MATCH(ROWS($U$2:U747),$U$2:$U$1001,0),MATCH(COLUMNS($AB$1006:AF1006),$AB$1006:$AQ$1006,0)), HYPERLINK("#",""), HYPERLINK(CONCATENATE("#metadata!", ADDRESS(INDEX($W$2:$W$1001,MATCH(ROWS($U$2:U747),$U$2:$U$1001,0),0), INDEX($AB$1004:$AQ$1004,1,MATCH(COLUMNS($AB$1006:AF1006),$AB$1006:$AQ$1006,0)))),"Fix")))</f>
        <v>0</v>
      </c>
      <c r="G747" s="4">
        <f>IF(OR(INDEX($V$2:$V$1001,MATCH(ROWS($U$2:U747),$U$2:$U$1001,0),1)&gt;=100000,INDEX($AB$1005:$AQ$1005,1,MATCH(COLUMNS($AB$1006:AG1006),$AB$1006:$AQ$1006,0))&gt;=100000), " ",IF(INDEX($AB$2:$AQ$1001,MATCH(ROWS($U$2:U747),$U$2:$U$1001,0),MATCH(COLUMNS($AB$1006:AG1006),$AB$1006:$AQ$1006,0)), HYPERLINK("#",""), HYPERLINK(CONCATENATE("#metadata!", ADDRESS(INDEX($W$2:$W$1001,MATCH(ROWS($U$2:U747),$U$2:$U$1001,0),0), INDEX($AB$1004:$AQ$1004,1,MATCH(COLUMNS($AB$1006:AG1006),$AB$1006:$AQ$1006,0)))),"Fix")))</f>
        <v>0</v>
      </c>
      <c r="H747" s="4">
        <f>IF(OR(INDEX($V$2:$V$1001,MATCH(ROWS($U$2:U747),$U$2:$U$1001,0),1)&gt;=100000,INDEX($AB$1005:$AQ$1005,1,MATCH(COLUMNS($AB$1006:AH1006),$AB$1006:$AQ$1006,0))&gt;=100000), " ",IF(INDEX($AB$2:$AQ$1001,MATCH(ROWS($U$2:U747),$U$2:$U$1001,0),MATCH(COLUMNS($AB$1006:AH1006),$AB$1006:$AQ$1006,0)), HYPERLINK("#",""), HYPERLINK(CONCATENATE("#metadata!", ADDRESS(INDEX($W$2:$W$1001,MATCH(ROWS($U$2:U747),$U$2:$U$1001,0),0), INDEX($AB$1004:$AQ$1004,1,MATCH(COLUMNS($AB$1006:AH1006),$AB$1006:$AQ$1006,0)))),"Fix")))</f>
        <v>0</v>
      </c>
      <c r="I747" s="4">
        <f>IF(OR(INDEX($V$2:$V$1001,MATCH(ROWS($U$2:U747),$U$2:$U$1001,0),1)&gt;=100000,INDEX($AB$1005:$AQ$1005,1,MATCH(COLUMNS($AB$1006:AI1006),$AB$1006:$AQ$1006,0))&gt;=100000), " ",IF(INDEX($AB$2:$AQ$1001,MATCH(ROWS($U$2:U747),$U$2:$U$1001,0),MATCH(COLUMNS($AB$1006:AI1006),$AB$1006:$AQ$1006,0)), HYPERLINK("#",""), HYPERLINK(CONCATENATE("#metadata!", ADDRESS(INDEX($W$2:$W$1001,MATCH(ROWS($U$2:U747),$U$2:$U$1001,0),0), INDEX($AB$1004:$AQ$1004,1,MATCH(COLUMNS($AB$1006:AI1006),$AB$1006:$AQ$1006,0)))),"Fix")))</f>
        <v>0</v>
      </c>
      <c r="J747" s="4">
        <f>IF(OR(INDEX($V$2:$V$1001,MATCH(ROWS($U$2:U747),$U$2:$U$1001,0),1)&gt;=100000,INDEX($AB$1005:$AQ$1005,1,MATCH(COLUMNS($AB$1006:AJ1006),$AB$1006:$AQ$1006,0))&gt;=100000), " ",IF(INDEX($AB$2:$AQ$1001,MATCH(ROWS($U$2:U747),$U$2:$U$1001,0),MATCH(COLUMNS($AB$1006:AJ1006),$AB$1006:$AQ$1006,0)), HYPERLINK("#",""), HYPERLINK(CONCATENATE("#metadata!", ADDRESS(INDEX($W$2:$W$1001,MATCH(ROWS($U$2:U747),$U$2:$U$1001,0),0), INDEX($AB$1004:$AQ$1004,1,MATCH(COLUMNS($AB$1006:AJ1006),$AB$1006:$AQ$1006,0)))),"Fix")))</f>
        <v>0</v>
      </c>
      <c r="K747" s="4">
        <f>IF(OR(INDEX($V$2:$V$1001,MATCH(ROWS($U$2:U747),$U$2:$U$1001,0),1)&gt;=100000,INDEX($AB$1005:$AQ$1005,1,MATCH(COLUMNS($AB$1006:AK1006),$AB$1006:$AQ$1006,0))&gt;=100000), " ",IF(INDEX($AB$2:$AQ$1001,MATCH(ROWS($U$2:U747),$U$2:$U$1001,0),MATCH(COLUMNS($AB$1006:AK1006),$AB$1006:$AQ$1006,0)), HYPERLINK("#",""), HYPERLINK(CONCATENATE("#metadata!", ADDRESS(INDEX($W$2:$W$1001,MATCH(ROWS($U$2:U747),$U$2:$U$1001,0),0), INDEX($AB$1004:$AQ$1004,1,MATCH(COLUMNS($AB$1006:AK1006),$AB$1006:$AQ$1006,0)))),"Fix")))</f>
        <v>0</v>
      </c>
      <c r="L747" s="4">
        <f>IF(OR(INDEX($V$2:$V$1001,MATCH(ROWS($U$2:U747),$U$2:$U$1001,0),1)&gt;=100000,INDEX($AB$1005:$AQ$1005,1,MATCH(COLUMNS($AB$1006:AL1006),$AB$1006:$AQ$1006,0))&gt;=100000), " ",IF(INDEX($AB$2:$AQ$1001,MATCH(ROWS($U$2:U747),$U$2:$U$1001,0),MATCH(COLUMNS($AB$1006:AL1006),$AB$1006:$AQ$1006,0)), HYPERLINK("#",""), HYPERLINK(CONCATENATE("#metadata!", ADDRESS(INDEX($W$2:$W$1001,MATCH(ROWS($U$2:U747),$U$2:$U$1001,0),0), INDEX($AB$1004:$AQ$1004,1,MATCH(COLUMNS($AB$1006:AL1006),$AB$1006:$AQ$1006,0)))),"Fix")))</f>
        <v>0</v>
      </c>
      <c r="M747" s="4">
        <f>IF(OR(INDEX($V$2:$V$1001,MATCH(ROWS($U$2:U747),$U$2:$U$1001,0),1)&gt;=100000,INDEX($AB$1005:$AQ$1005,1,MATCH(COLUMNS($AB$1006:AM1006),$AB$1006:$AQ$1006,0))&gt;=100000), " ",IF(INDEX($AB$2:$AQ$1001,MATCH(ROWS($U$2:U747),$U$2:$U$1001,0),MATCH(COLUMNS($AB$1006:AM1006),$AB$1006:$AQ$1006,0)), HYPERLINK("#",""), HYPERLINK(CONCATENATE("#metadata!", ADDRESS(INDEX($W$2:$W$1001,MATCH(ROWS($U$2:U747),$U$2:$U$1001,0),0), INDEX($AB$1004:$AQ$1004,1,MATCH(COLUMNS($AB$1006:AM1006),$AB$1006:$AQ$1006,0)))),"Fix")))</f>
        <v>0</v>
      </c>
      <c r="N747" s="4">
        <f>IF(OR(INDEX($V$2:$V$1001,MATCH(ROWS($U$2:U747),$U$2:$U$1001,0),1)&gt;=100000,INDEX($AB$1005:$AQ$1005,1,MATCH(COLUMNS($AB$1006:AN1006),$AB$1006:$AQ$1006,0))&gt;=100000), " ",IF(INDEX($AB$2:$AQ$1001,MATCH(ROWS($U$2:U747),$U$2:$U$1001,0),MATCH(COLUMNS($AB$1006:AN1006),$AB$1006:$AQ$1006,0)), HYPERLINK("#",""), HYPERLINK(CONCATENATE("#metadata!", ADDRESS(INDEX($W$2:$W$1001,MATCH(ROWS($U$2:U747),$U$2:$U$1001,0),0), INDEX($AB$1004:$AQ$1004,1,MATCH(COLUMNS($AB$1006:AN1006),$AB$1006:$AQ$1006,0)))),"Fix")))</f>
        <v>0</v>
      </c>
      <c r="O747" s="4">
        <f>IF(OR(INDEX($V$2:$V$1001,MATCH(ROWS($U$2:U747),$U$2:$U$1001,0),1)&gt;=100000,INDEX($AB$1005:$AQ$1005,1,MATCH(COLUMNS($AB$1006:AO1006),$AB$1006:$AQ$1006,0))&gt;=100000), " ",IF(INDEX($AB$2:$AQ$1001,MATCH(ROWS($U$2:U747),$U$2:$U$1001,0),MATCH(COLUMNS($AB$1006:AO1006),$AB$1006:$AQ$1006,0)), HYPERLINK("#",""), HYPERLINK(CONCATENATE("#metadata!", ADDRESS(INDEX($W$2:$W$1001,MATCH(ROWS($U$2:U747),$U$2:$U$1001,0),0), INDEX($AB$1004:$AQ$1004,1,MATCH(COLUMNS($AB$1006:AO1006),$AB$1006:$AQ$1006,0)))),"Fix")))</f>
        <v>0</v>
      </c>
      <c r="P747" s="4">
        <f>IF(OR(INDEX($V$2:$V$1001,MATCH(ROWS($U$2:U747),$U$2:$U$1001,0),1)&gt;=100000,INDEX($AB$1005:$AQ$1005,1,MATCH(COLUMNS($AB$1006:AP1006),$AB$1006:$AQ$1006,0))&gt;=100000), " ",IF(INDEX($AB$2:$AQ$1001,MATCH(ROWS($U$2:U747),$U$2:$U$1001,0),MATCH(COLUMNS($AB$1006:AP1006),$AB$1006:$AQ$1006,0)), HYPERLINK("#",""), HYPERLINK(CONCATENATE("#metadata!", ADDRESS(INDEX($W$2:$W$1001,MATCH(ROWS($U$2:U747),$U$2:$U$1001,0),0), INDEX($AB$1004:$AQ$1004,1,MATCH(COLUMNS($AB$1006:AP1006),$AB$1006:$AQ$1006,0)))),"Fix")))</f>
        <v>0</v>
      </c>
      <c r="Q747" s="4">
        <f>IF(OR(INDEX($V$2:$V$1001,MATCH(ROWS($U$2:U747),$U$2:$U$1001,0),1)&gt;=100000,INDEX($AB$1005:$AQ$1005,1,MATCH(COLUMNS($AB$1006:AQ1006),$AB$1006:$AQ$1006,0))&gt;=100000), " ",IF(INDEX($AB$2:$AQ$1001,MATCH(ROWS($U$2:U747),$U$2:$U$1001,0),MATCH(COLUMNS($AB$1006:AQ1006),$AB$1006:$AQ$1006,0)), HYPERLINK("#",""), HYPERLINK(CONCATENATE("#metadata!", ADDRESS(INDEX($W$2:$W$1001,MATCH(ROWS($U$2:U747),$U$2:$U$1001,0),0), INDEX($AB$1004:$AQ$1004,1,MATCH(COLUMNS($AB$1006:AQ1006),$AB$1006:$AQ$1006,0)))),"Fix")))</f>
        <v>0</v>
      </c>
      <c r="U747">
        <v>0</v>
      </c>
      <c r="V747">
        <v>0</v>
      </c>
      <c r="W747">
        <v>0</v>
      </c>
      <c r="X747">
        <f>IF(Y747,TRUE,AND(AB747:AQ747))</f>
        <v>0</v>
      </c>
      <c r="Y747">
        <f>COUNTBLANK(metadata!B747:Q747)=COLUMNS(metadata!B747:Q747)</f>
        <v>0</v>
      </c>
      <c r="Z747">
        <v>0</v>
      </c>
      <c r="AB747">
        <f>AND(IF(metadata!B747="",FALSE,TRUE),COUNTIF(metadata!B:B, metadata!B747) = 1,NOT(ISERROR(SUMPRODUCT(SEARCH(MID(metadata!B747,ROW(INDIRECT("1:"&amp;LEN(metadata!B747))), 1),"0123456789abcdefghijklmnopqrstuvwxyzABCDEFGHIJKLMNOPQRSTUVWXYZ.")))))</f>
        <v>0</v>
      </c>
      <c r="AC747">
        <f>OR(AND(IF(metadata!C747="",FALSE,TRUE),OR(exact(metadata!C747,"missing: not collected"),exact(metadata!C747,"missing: not provided"),exact(metadata!C747,"missing: restricted access"))),AND(IF(metadata!C747="",FALSE,TRUE),AND(AND(IFERROR(INT(LEFT(metadata!C747,4))&gt;1900,FALSE),IFERROR(INT(LEFT(metadata!C747,4))&lt;=YEAR(NOW()),FALSE)), OR(MID(metadata!C747,5,1)="", AND(AND(MID(metadata!C747,5,1)="-",IFERROR(INT(MID(metadata!C747,6,1))&gt;=0,FALSE),IFERROR(INT(MID(metadata!C747,6,1))&lt;=1,FALSE),NOT(MID(metadata!C747,7,1)=""),IFERROR(INT(MID(metadata!C747,6,2))&gt;=1,FALSE),IFERROR(INT(MID(metadata!C747,6,2))&lt;=12,FALSE)), OR(MID(metadata!C747,8,1)="", AND(AND(MID(metadata!C747,8,1)="-",IFERROR(INT(MID(metadata!C747,9,1))&gt;=0,FALSE),IFERROR(INT(MID(metadata!C747,9,1))&lt;=3,FALSE),NOT(MID(metadata!C747,10,1)=""),IFERROR(INT(MID(metadata!C747,9,2))&gt;=1,FALSE),IFERROR(INT(MID(metadata!C747,9,2))&lt;=31,FALSE)), OR(MID(metadata!C747,11,1)="", AND(AND(MID(metadata!C747,11,1)=" ",IFERROR(INT(MID(metadata!C747,12,1))&gt;=0,FALSE),IFERROR(INT(MID(metadata!C747,12,1))&lt;=2,FALSE),NOT(MID(metadata!C747,13,1)=""),IFERROR(INT(MID(metadata!C747,12,2))&gt;=0,FALSE),IFERROR(INT(MID(metadata!C747,12,2))&lt;=23,FALSE)), OR(MID(metadata!C747,14,1)="", AND(AND(MID(metadata!C747,14,1)=":",IFERROR(INT(MID(metadata!C747,15,1))&gt;=0,FALSE),IFERROR(INT(MID(metadata!C747,15,1))&lt;=5,FALSE),NOT(MID(metadata!C747,16,1)=""),IFERROR(INT(MID(metadata!C747,15,2))&gt;=0,FALSE),IFERROR(INT(MID(metadata!C747,15,2))&lt;=59,FALSE)), OR(MID(metadata!C747,17,1)="", AND(AND(MID(metadata!C747,17,1)=":",IFERROR(INT(MID(metadata!C747,18,1))&gt;=0,FALSE),IFERROR(INT(MID(metadata!C747,18,1))&lt;=5,FALSE),NOT(MID(metadata!C747,19,1)=""),IFERROR(INT(MID(metadata!C747,18,2))&gt;=0,FALSE),IFERROR(INT(MID(metadata!C747,18,2))&lt;=59,FALSE)), LEN(metadata!C747)&lt;=19)))))))))))))</f>
        <v>0</v>
      </c>
      <c r="AD747">
        <f>IF(metadata!D747="",FALSE,TRUE)</f>
        <v>0</v>
      </c>
      <c r="AE747">
        <f>OR(AND(IF(metadata!E747="",FALSE,TRUE),OR(exact(metadata!E747,"missing: not collected"),exact(metadata!E747,"missing: not provided"))),AND(IF(metadata!E747="",FALSE,TRUE),OR(exact(metadata!E747,"TRUE"),exact(metadata!E747,"FALSE"))))</f>
        <v>0</v>
      </c>
      <c r="AF747">
        <f>IF(metadata!F747="",FALSE,TRUE)</f>
        <v>0</v>
      </c>
      <c r="AG747">
        <f>IF(metadata!G747="",FALSE,TRUE)</f>
        <v>0</v>
      </c>
      <c r="AH747">
        <f>IF(metadata!H747="",FALSE,TRUE)</f>
        <v>0</v>
      </c>
      <c r="AI747">
        <f>OR(AND(IF(metadata!I747="",FALSE,TRUE),OR(exact(metadata!I747,"missing: not collected"),exact(metadata!I747,"missing: not provided"),exact(metadata!I747,"missing: restricted access"))),AND(IF(metadata!I747="",FALSE,TRUE),OR(exact(metadata!I747,"air"),exact(metadata!I747,"built environment"),exact(metadata!I747,"host-associated"),exact(metadata!I747,"human-associated"),exact(metadata!I747,"human-skin"),exact(metadata!I747,"human-oral"),exact(metadata!I747,"human-gut"),exact(metadata!I747,"human-vaginal"),exact(metadata!I747,"microbial mat/biofilm"),exact(metadata!I747,"misc environment"),exact(metadata!I747,"plant-associated"),exact(metadata!I747,"sediment"),exact(metadata!I747,"soil"),exact(metadata!I747,"wastewater/sludge"),exact(metadata!I747,"water"))))</f>
        <v>0</v>
      </c>
      <c r="AJ747">
        <f>IF(metadata!J747="",FALSE,TRUE)</f>
        <v>0</v>
      </c>
      <c r="AK747">
        <f>OR(AND(IF(metadata!K747="",FALSE,TRUE),OR(exact(metadata!K747,"missing: not collected"),exact(metadata!K747,"missing: not provided"),exact(metadata!K747,"missing: restricted access"))),AND(IF(metadata!K747="",FALSE,ISNUMBER(VALUE(metadata!K747))),metadata!K747&gt;=-90.00,metadata!K747&lt;=90.00))</f>
        <v>0</v>
      </c>
      <c r="AL747">
        <f>OR(AND(IF(metadata!L747="",FALSE,TRUE),OR(exact(metadata!L747,"missing: not collected"),exact(metadata!L747,"missing: not provided"),exact(metadata!L747,"missing: restricted access"))),AND(IF(metadata!L747="",FALSE,ISNUMBER(VALUE(metadata!L747))),metadata!L747&gt;=-180.00,metadata!L747&lt;=180.00))</f>
        <v>0</v>
      </c>
      <c r="AM747">
        <f>IF(metadata!M747="",FALSE,TRUE)</f>
        <v>0</v>
      </c>
      <c r="AN747">
        <f>OR(AND(IF(metadata!N747="",FALSE,TRUE),OR(exact(metadata!N747,"missing: not collected"),exact(metadata!N747,"missing: not provided"),exact(metadata!N747,"missing: restricted access"))),AND(IF(metadata!N747="",FALSE,TRUE),OR(exact(metadata!N747,"TRUE"),exact(metadata!N747,"FALSE"))))</f>
        <v>0</v>
      </c>
      <c r="AO747">
        <f>IF(metadata!O747="",FALSE,TRUE)</f>
        <v>0</v>
      </c>
      <c r="AP747">
        <f>OR(AND(IF(metadata!P747="",FALSE,TRUE),OR(exact(metadata!P747,"missing: not collected"),exact(metadata!P747,"missing: not provided"))),AND(IF(metadata!P747="",FALSE,IF(ISERROR(INT(metadata!P747)),FALSE,INT(metadata!P747)=metadata!P747)),metadata!P747&gt;0))</f>
        <v>0</v>
      </c>
      <c r="AQ747">
        <f>IF(metadata!Q747="",FALSE,TRUE)</f>
        <v>0</v>
      </c>
    </row>
    <row r="748" spans="1:43">
      <c r="A748" s="5">
        <f>IF(B748=" "," ",HYPERLINK(CONCATENATE("#metadata!",ADDRESS(INDEX($W$2:$W$1001,MATCH(ROWS($U$2:U748),$U$2:$U$1001,0),0),1)),INDEX($Z$2:$Z$1001,MATCH(ROWS($U$2:U748),$U$2:$U$1001,0),0)))</f>
        <v>0</v>
      </c>
      <c r="B748" s="4">
        <f>IF(OR(INDEX($V$2:$V$1001,MATCH(ROWS($U$2:U748),$U$2:$U$1001,0),1)&gt;=100000,INDEX($AB$1005:$AQ$1005,1,MATCH(COLUMNS($AB$1006:AB1006),$AB$1006:$AQ$1006,0))&gt;=100000), " ",IF(INDEX($AB$2:$AQ$1001,MATCH(ROWS($U$2:U748),$U$2:$U$1001,0),MATCH(COLUMNS($AB$1006:AB1006),$AB$1006:$AQ$1006,0)), HYPERLINK("#",""), HYPERLINK(CONCATENATE("#metadata!", ADDRESS(INDEX($W$2:$W$1001,MATCH(ROWS($U$2:U748),$U$2:$U$1001,0),0), INDEX($AB$1004:$AQ$1004,1,MATCH(COLUMNS($AB$1006:AB1006),$AB$1006:$AQ$1006,0)))),"Fix")))</f>
        <v>0</v>
      </c>
      <c r="C748" s="4">
        <f>IF(OR(INDEX($V$2:$V$1001,MATCH(ROWS($U$2:U748),$U$2:$U$1001,0),1)&gt;=100000,INDEX($AB$1005:$AQ$1005,1,MATCH(COLUMNS($AB$1006:AC1006),$AB$1006:$AQ$1006,0))&gt;=100000), " ",IF(INDEX($AB$2:$AQ$1001,MATCH(ROWS($U$2:U748),$U$2:$U$1001,0),MATCH(COLUMNS($AB$1006:AC1006),$AB$1006:$AQ$1006,0)), HYPERLINK("#",""), HYPERLINK(CONCATENATE("#metadata!", ADDRESS(INDEX($W$2:$W$1001,MATCH(ROWS($U$2:U748),$U$2:$U$1001,0),0), INDEX($AB$1004:$AQ$1004,1,MATCH(COLUMNS($AB$1006:AC1006),$AB$1006:$AQ$1006,0)))),"Fix")))</f>
        <v>0</v>
      </c>
      <c r="D748" s="4">
        <f>IF(OR(INDEX($V$2:$V$1001,MATCH(ROWS($U$2:U748),$U$2:$U$1001,0),1)&gt;=100000,INDEX($AB$1005:$AQ$1005,1,MATCH(COLUMNS($AB$1006:AD1006),$AB$1006:$AQ$1006,0))&gt;=100000), " ",IF(INDEX($AB$2:$AQ$1001,MATCH(ROWS($U$2:U748),$U$2:$U$1001,0),MATCH(COLUMNS($AB$1006:AD1006),$AB$1006:$AQ$1006,0)), HYPERLINK("#",""), HYPERLINK(CONCATENATE("#metadata!", ADDRESS(INDEX($W$2:$W$1001,MATCH(ROWS($U$2:U748),$U$2:$U$1001,0),0), INDEX($AB$1004:$AQ$1004,1,MATCH(COLUMNS($AB$1006:AD1006),$AB$1006:$AQ$1006,0)))),"Fix")))</f>
        <v>0</v>
      </c>
      <c r="E748" s="4">
        <f>IF(OR(INDEX($V$2:$V$1001,MATCH(ROWS($U$2:U748),$U$2:$U$1001,0),1)&gt;=100000,INDEX($AB$1005:$AQ$1005,1,MATCH(COLUMNS($AB$1006:AE1006),$AB$1006:$AQ$1006,0))&gt;=100000), " ",IF(INDEX($AB$2:$AQ$1001,MATCH(ROWS($U$2:U748),$U$2:$U$1001,0),MATCH(COLUMNS($AB$1006:AE1006),$AB$1006:$AQ$1006,0)), HYPERLINK("#",""), HYPERLINK(CONCATENATE("#metadata!", ADDRESS(INDEX($W$2:$W$1001,MATCH(ROWS($U$2:U748),$U$2:$U$1001,0),0), INDEX($AB$1004:$AQ$1004,1,MATCH(COLUMNS($AB$1006:AE1006),$AB$1006:$AQ$1006,0)))),"Fix")))</f>
        <v>0</v>
      </c>
      <c r="F748" s="4">
        <f>IF(OR(INDEX($V$2:$V$1001,MATCH(ROWS($U$2:U748),$U$2:$U$1001,0),1)&gt;=100000,INDEX($AB$1005:$AQ$1005,1,MATCH(COLUMNS($AB$1006:AF1006),$AB$1006:$AQ$1006,0))&gt;=100000), " ",IF(INDEX($AB$2:$AQ$1001,MATCH(ROWS($U$2:U748),$U$2:$U$1001,0),MATCH(COLUMNS($AB$1006:AF1006),$AB$1006:$AQ$1006,0)), HYPERLINK("#",""), HYPERLINK(CONCATENATE("#metadata!", ADDRESS(INDEX($W$2:$W$1001,MATCH(ROWS($U$2:U748),$U$2:$U$1001,0),0), INDEX($AB$1004:$AQ$1004,1,MATCH(COLUMNS($AB$1006:AF1006),$AB$1006:$AQ$1006,0)))),"Fix")))</f>
        <v>0</v>
      </c>
      <c r="G748" s="4">
        <f>IF(OR(INDEX($V$2:$V$1001,MATCH(ROWS($U$2:U748),$U$2:$U$1001,0),1)&gt;=100000,INDEX($AB$1005:$AQ$1005,1,MATCH(COLUMNS($AB$1006:AG1006),$AB$1006:$AQ$1006,0))&gt;=100000), " ",IF(INDEX($AB$2:$AQ$1001,MATCH(ROWS($U$2:U748),$U$2:$U$1001,0),MATCH(COLUMNS($AB$1006:AG1006),$AB$1006:$AQ$1006,0)), HYPERLINK("#",""), HYPERLINK(CONCATENATE("#metadata!", ADDRESS(INDEX($W$2:$W$1001,MATCH(ROWS($U$2:U748),$U$2:$U$1001,0),0), INDEX($AB$1004:$AQ$1004,1,MATCH(COLUMNS($AB$1006:AG1006),$AB$1006:$AQ$1006,0)))),"Fix")))</f>
        <v>0</v>
      </c>
      <c r="H748" s="4">
        <f>IF(OR(INDEX($V$2:$V$1001,MATCH(ROWS($U$2:U748),$U$2:$U$1001,0),1)&gt;=100000,INDEX($AB$1005:$AQ$1005,1,MATCH(COLUMNS($AB$1006:AH1006),$AB$1006:$AQ$1006,0))&gt;=100000), " ",IF(INDEX($AB$2:$AQ$1001,MATCH(ROWS($U$2:U748),$U$2:$U$1001,0),MATCH(COLUMNS($AB$1006:AH1006),$AB$1006:$AQ$1006,0)), HYPERLINK("#",""), HYPERLINK(CONCATENATE("#metadata!", ADDRESS(INDEX($W$2:$W$1001,MATCH(ROWS($U$2:U748),$U$2:$U$1001,0),0), INDEX($AB$1004:$AQ$1004,1,MATCH(COLUMNS($AB$1006:AH1006),$AB$1006:$AQ$1006,0)))),"Fix")))</f>
        <v>0</v>
      </c>
      <c r="I748" s="4">
        <f>IF(OR(INDEX($V$2:$V$1001,MATCH(ROWS($U$2:U748),$U$2:$U$1001,0),1)&gt;=100000,INDEX($AB$1005:$AQ$1005,1,MATCH(COLUMNS($AB$1006:AI1006),$AB$1006:$AQ$1006,0))&gt;=100000), " ",IF(INDEX($AB$2:$AQ$1001,MATCH(ROWS($U$2:U748),$U$2:$U$1001,0),MATCH(COLUMNS($AB$1006:AI1006),$AB$1006:$AQ$1006,0)), HYPERLINK("#",""), HYPERLINK(CONCATENATE("#metadata!", ADDRESS(INDEX($W$2:$W$1001,MATCH(ROWS($U$2:U748),$U$2:$U$1001,0),0), INDEX($AB$1004:$AQ$1004,1,MATCH(COLUMNS($AB$1006:AI1006),$AB$1006:$AQ$1006,0)))),"Fix")))</f>
        <v>0</v>
      </c>
      <c r="J748" s="4">
        <f>IF(OR(INDEX($V$2:$V$1001,MATCH(ROWS($U$2:U748),$U$2:$U$1001,0),1)&gt;=100000,INDEX($AB$1005:$AQ$1005,1,MATCH(COLUMNS($AB$1006:AJ1006),$AB$1006:$AQ$1006,0))&gt;=100000), " ",IF(INDEX($AB$2:$AQ$1001,MATCH(ROWS($U$2:U748),$U$2:$U$1001,0),MATCH(COLUMNS($AB$1006:AJ1006),$AB$1006:$AQ$1006,0)), HYPERLINK("#",""), HYPERLINK(CONCATENATE("#metadata!", ADDRESS(INDEX($W$2:$W$1001,MATCH(ROWS($U$2:U748),$U$2:$U$1001,0),0), INDEX($AB$1004:$AQ$1004,1,MATCH(COLUMNS($AB$1006:AJ1006),$AB$1006:$AQ$1006,0)))),"Fix")))</f>
        <v>0</v>
      </c>
      <c r="K748" s="4">
        <f>IF(OR(INDEX($V$2:$V$1001,MATCH(ROWS($U$2:U748),$U$2:$U$1001,0),1)&gt;=100000,INDEX($AB$1005:$AQ$1005,1,MATCH(COLUMNS($AB$1006:AK1006),$AB$1006:$AQ$1006,0))&gt;=100000), " ",IF(INDEX($AB$2:$AQ$1001,MATCH(ROWS($U$2:U748),$U$2:$U$1001,0),MATCH(COLUMNS($AB$1006:AK1006),$AB$1006:$AQ$1006,0)), HYPERLINK("#",""), HYPERLINK(CONCATENATE("#metadata!", ADDRESS(INDEX($W$2:$W$1001,MATCH(ROWS($U$2:U748),$U$2:$U$1001,0),0), INDEX($AB$1004:$AQ$1004,1,MATCH(COLUMNS($AB$1006:AK1006),$AB$1006:$AQ$1006,0)))),"Fix")))</f>
        <v>0</v>
      </c>
      <c r="L748" s="4">
        <f>IF(OR(INDEX($V$2:$V$1001,MATCH(ROWS($U$2:U748),$U$2:$U$1001,0),1)&gt;=100000,INDEX($AB$1005:$AQ$1005,1,MATCH(COLUMNS($AB$1006:AL1006),$AB$1006:$AQ$1006,0))&gt;=100000), " ",IF(INDEX($AB$2:$AQ$1001,MATCH(ROWS($U$2:U748),$U$2:$U$1001,0),MATCH(COLUMNS($AB$1006:AL1006),$AB$1006:$AQ$1006,0)), HYPERLINK("#",""), HYPERLINK(CONCATENATE("#metadata!", ADDRESS(INDEX($W$2:$W$1001,MATCH(ROWS($U$2:U748),$U$2:$U$1001,0),0), INDEX($AB$1004:$AQ$1004,1,MATCH(COLUMNS($AB$1006:AL1006),$AB$1006:$AQ$1006,0)))),"Fix")))</f>
        <v>0</v>
      </c>
      <c r="M748" s="4">
        <f>IF(OR(INDEX($V$2:$V$1001,MATCH(ROWS($U$2:U748),$U$2:$U$1001,0),1)&gt;=100000,INDEX($AB$1005:$AQ$1005,1,MATCH(COLUMNS($AB$1006:AM1006),$AB$1006:$AQ$1006,0))&gt;=100000), " ",IF(INDEX($AB$2:$AQ$1001,MATCH(ROWS($U$2:U748),$U$2:$U$1001,0),MATCH(COLUMNS($AB$1006:AM1006),$AB$1006:$AQ$1006,0)), HYPERLINK("#",""), HYPERLINK(CONCATENATE("#metadata!", ADDRESS(INDEX($W$2:$W$1001,MATCH(ROWS($U$2:U748),$U$2:$U$1001,0),0), INDEX($AB$1004:$AQ$1004,1,MATCH(COLUMNS($AB$1006:AM1006),$AB$1006:$AQ$1006,0)))),"Fix")))</f>
        <v>0</v>
      </c>
      <c r="N748" s="4">
        <f>IF(OR(INDEX($V$2:$V$1001,MATCH(ROWS($U$2:U748),$U$2:$U$1001,0),1)&gt;=100000,INDEX($AB$1005:$AQ$1005,1,MATCH(COLUMNS($AB$1006:AN1006),$AB$1006:$AQ$1006,0))&gt;=100000), " ",IF(INDEX($AB$2:$AQ$1001,MATCH(ROWS($U$2:U748),$U$2:$U$1001,0),MATCH(COLUMNS($AB$1006:AN1006),$AB$1006:$AQ$1006,0)), HYPERLINK("#",""), HYPERLINK(CONCATENATE("#metadata!", ADDRESS(INDEX($W$2:$W$1001,MATCH(ROWS($U$2:U748),$U$2:$U$1001,0),0), INDEX($AB$1004:$AQ$1004,1,MATCH(COLUMNS($AB$1006:AN1006),$AB$1006:$AQ$1006,0)))),"Fix")))</f>
        <v>0</v>
      </c>
      <c r="O748" s="4">
        <f>IF(OR(INDEX($V$2:$V$1001,MATCH(ROWS($U$2:U748),$U$2:$U$1001,0),1)&gt;=100000,INDEX($AB$1005:$AQ$1005,1,MATCH(COLUMNS($AB$1006:AO1006),$AB$1006:$AQ$1006,0))&gt;=100000), " ",IF(INDEX($AB$2:$AQ$1001,MATCH(ROWS($U$2:U748),$U$2:$U$1001,0),MATCH(COLUMNS($AB$1006:AO1006),$AB$1006:$AQ$1006,0)), HYPERLINK("#",""), HYPERLINK(CONCATENATE("#metadata!", ADDRESS(INDEX($W$2:$W$1001,MATCH(ROWS($U$2:U748),$U$2:$U$1001,0),0), INDEX($AB$1004:$AQ$1004,1,MATCH(COLUMNS($AB$1006:AO1006),$AB$1006:$AQ$1006,0)))),"Fix")))</f>
        <v>0</v>
      </c>
      <c r="P748" s="4">
        <f>IF(OR(INDEX($V$2:$V$1001,MATCH(ROWS($U$2:U748),$U$2:$U$1001,0),1)&gt;=100000,INDEX($AB$1005:$AQ$1005,1,MATCH(COLUMNS($AB$1006:AP1006),$AB$1006:$AQ$1006,0))&gt;=100000), " ",IF(INDEX($AB$2:$AQ$1001,MATCH(ROWS($U$2:U748),$U$2:$U$1001,0),MATCH(COLUMNS($AB$1006:AP1006),$AB$1006:$AQ$1006,0)), HYPERLINK("#",""), HYPERLINK(CONCATENATE("#metadata!", ADDRESS(INDEX($W$2:$W$1001,MATCH(ROWS($U$2:U748),$U$2:$U$1001,0),0), INDEX($AB$1004:$AQ$1004,1,MATCH(COLUMNS($AB$1006:AP1006),$AB$1006:$AQ$1006,0)))),"Fix")))</f>
        <v>0</v>
      </c>
      <c r="Q748" s="4">
        <f>IF(OR(INDEX($V$2:$V$1001,MATCH(ROWS($U$2:U748),$U$2:$U$1001,0),1)&gt;=100000,INDEX($AB$1005:$AQ$1005,1,MATCH(COLUMNS($AB$1006:AQ1006),$AB$1006:$AQ$1006,0))&gt;=100000), " ",IF(INDEX($AB$2:$AQ$1001,MATCH(ROWS($U$2:U748),$U$2:$U$1001,0),MATCH(COLUMNS($AB$1006:AQ1006),$AB$1006:$AQ$1006,0)), HYPERLINK("#",""), HYPERLINK(CONCATENATE("#metadata!", ADDRESS(INDEX($W$2:$W$1001,MATCH(ROWS($U$2:U748),$U$2:$U$1001,0),0), INDEX($AB$1004:$AQ$1004,1,MATCH(COLUMNS($AB$1006:AQ1006),$AB$1006:$AQ$1006,0)))),"Fix")))</f>
        <v>0</v>
      </c>
      <c r="U748">
        <v>0</v>
      </c>
      <c r="V748">
        <v>0</v>
      </c>
      <c r="W748">
        <v>0</v>
      </c>
      <c r="X748">
        <f>IF(Y748,TRUE,AND(AB748:AQ748))</f>
        <v>0</v>
      </c>
      <c r="Y748">
        <f>COUNTBLANK(metadata!B748:Q748)=COLUMNS(metadata!B748:Q748)</f>
        <v>0</v>
      </c>
      <c r="Z748">
        <v>0</v>
      </c>
      <c r="AB748">
        <f>AND(IF(metadata!B748="",FALSE,TRUE),COUNTIF(metadata!B:B, metadata!B748) = 1,NOT(ISERROR(SUMPRODUCT(SEARCH(MID(metadata!B748,ROW(INDIRECT("1:"&amp;LEN(metadata!B748))), 1),"0123456789abcdefghijklmnopqrstuvwxyzABCDEFGHIJKLMNOPQRSTUVWXYZ.")))))</f>
        <v>0</v>
      </c>
      <c r="AC748">
        <f>OR(AND(IF(metadata!C748="",FALSE,TRUE),OR(exact(metadata!C748,"missing: not collected"),exact(metadata!C748,"missing: not provided"),exact(metadata!C748,"missing: restricted access"))),AND(IF(metadata!C748="",FALSE,TRUE),AND(AND(IFERROR(INT(LEFT(metadata!C748,4))&gt;1900,FALSE),IFERROR(INT(LEFT(metadata!C748,4))&lt;=YEAR(NOW()),FALSE)), OR(MID(metadata!C748,5,1)="", AND(AND(MID(metadata!C748,5,1)="-",IFERROR(INT(MID(metadata!C748,6,1))&gt;=0,FALSE),IFERROR(INT(MID(metadata!C748,6,1))&lt;=1,FALSE),NOT(MID(metadata!C748,7,1)=""),IFERROR(INT(MID(metadata!C748,6,2))&gt;=1,FALSE),IFERROR(INT(MID(metadata!C748,6,2))&lt;=12,FALSE)), OR(MID(metadata!C748,8,1)="", AND(AND(MID(metadata!C748,8,1)="-",IFERROR(INT(MID(metadata!C748,9,1))&gt;=0,FALSE),IFERROR(INT(MID(metadata!C748,9,1))&lt;=3,FALSE),NOT(MID(metadata!C748,10,1)=""),IFERROR(INT(MID(metadata!C748,9,2))&gt;=1,FALSE),IFERROR(INT(MID(metadata!C748,9,2))&lt;=31,FALSE)), OR(MID(metadata!C748,11,1)="", AND(AND(MID(metadata!C748,11,1)=" ",IFERROR(INT(MID(metadata!C748,12,1))&gt;=0,FALSE),IFERROR(INT(MID(metadata!C748,12,1))&lt;=2,FALSE),NOT(MID(metadata!C748,13,1)=""),IFERROR(INT(MID(metadata!C748,12,2))&gt;=0,FALSE),IFERROR(INT(MID(metadata!C748,12,2))&lt;=23,FALSE)), OR(MID(metadata!C748,14,1)="", AND(AND(MID(metadata!C748,14,1)=":",IFERROR(INT(MID(metadata!C748,15,1))&gt;=0,FALSE),IFERROR(INT(MID(metadata!C748,15,1))&lt;=5,FALSE),NOT(MID(metadata!C748,16,1)=""),IFERROR(INT(MID(metadata!C748,15,2))&gt;=0,FALSE),IFERROR(INT(MID(metadata!C748,15,2))&lt;=59,FALSE)), OR(MID(metadata!C748,17,1)="", AND(AND(MID(metadata!C748,17,1)=":",IFERROR(INT(MID(metadata!C748,18,1))&gt;=0,FALSE),IFERROR(INT(MID(metadata!C748,18,1))&lt;=5,FALSE),NOT(MID(metadata!C748,19,1)=""),IFERROR(INT(MID(metadata!C748,18,2))&gt;=0,FALSE),IFERROR(INT(MID(metadata!C748,18,2))&lt;=59,FALSE)), LEN(metadata!C748)&lt;=19)))))))))))))</f>
        <v>0</v>
      </c>
      <c r="AD748">
        <f>IF(metadata!D748="",FALSE,TRUE)</f>
        <v>0</v>
      </c>
      <c r="AE748">
        <f>OR(AND(IF(metadata!E748="",FALSE,TRUE),OR(exact(metadata!E748,"missing: not collected"),exact(metadata!E748,"missing: not provided"))),AND(IF(metadata!E748="",FALSE,TRUE),OR(exact(metadata!E748,"TRUE"),exact(metadata!E748,"FALSE"))))</f>
        <v>0</v>
      </c>
      <c r="AF748">
        <f>IF(metadata!F748="",FALSE,TRUE)</f>
        <v>0</v>
      </c>
      <c r="AG748">
        <f>IF(metadata!G748="",FALSE,TRUE)</f>
        <v>0</v>
      </c>
      <c r="AH748">
        <f>IF(metadata!H748="",FALSE,TRUE)</f>
        <v>0</v>
      </c>
      <c r="AI748">
        <f>OR(AND(IF(metadata!I748="",FALSE,TRUE),OR(exact(metadata!I748,"missing: not collected"),exact(metadata!I748,"missing: not provided"),exact(metadata!I748,"missing: restricted access"))),AND(IF(metadata!I748="",FALSE,TRUE),OR(exact(metadata!I748,"air"),exact(metadata!I748,"built environment"),exact(metadata!I748,"host-associated"),exact(metadata!I748,"human-associated"),exact(metadata!I748,"human-skin"),exact(metadata!I748,"human-oral"),exact(metadata!I748,"human-gut"),exact(metadata!I748,"human-vaginal"),exact(metadata!I748,"microbial mat/biofilm"),exact(metadata!I748,"misc environment"),exact(metadata!I748,"plant-associated"),exact(metadata!I748,"sediment"),exact(metadata!I748,"soil"),exact(metadata!I748,"wastewater/sludge"),exact(metadata!I748,"water"))))</f>
        <v>0</v>
      </c>
      <c r="AJ748">
        <f>IF(metadata!J748="",FALSE,TRUE)</f>
        <v>0</v>
      </c>
      <c r="AK748">
        <f>OR(AND(IF(metadata!K748="",FALSE,TRUE),OR(exact(metadata!K748,"missing: not collected"),exact(metadata!K748,"missing: not provided"),exact(metadata!K748,"missing: restricted access"))),AND(IF(metadata!K748="",FALSE,ISNUMBER(VALUE(metadata!K748))),metadata!K748&gt;=-90.00,metadata!K748&lt;=90.00))</f>
        <v>0</v>
      </c>
      <c r="AL748">
        <f>OR(AND(IF(metadata!L748="",FALSE,TRUE),OR(exact(metadata!L748,"missing: not collected"),exact(metadata!L748,"missing: not provided"),exact(metadata!L748,"missing: restricted access"))),AND(IF(metadata!L748="",FALSE,ISNUMBER(VALUE(metadata!L748))),metadata!L748&gt;=-180.00,metadata!L748&lt;=180.00))</f>
        <v>0</v>
      </c>
      <c r="AM748">
        <f>IF(metadata!M748="",FALSE,TRUE)</f>
        <v>0</v>
      </c>
      <c r="AN748">
        <f>OR(AND(IF(metadata!N748="",FALSE,TRUE),OR(exact(metadata!N748,"missing: not collected"),exact(metadata!N748,"missing: not provided"),exact(metadata!N748,"missing: restricted access"))),AND(IF(metadata!N748="",FALSE,TRUE),OR(exact(metadata!N748,"TRUE"),exact(metadata!N748,"FALSE"))))</f>
        <v>0</v>
      </c>
      <c r="AO748">
        <f>IF(metadata!O748="",FALSE,TRUE)</f>
        <v>0</v>
      </c>
      <c r="AP748">
        <f>OR(AND(IF(metadata!P748="",FALSE,TRUE),OR(exact(metadata!P748,"missing: not collected"),exact(metadata!P748,"missing: not provided"))),AND(IF(metadata!P748="",FALSE,IF(ISERROR(INT(metadata!P748)),FALSE,INT(metadata!P748)=metadata!P748)),metadata!P748&gt;0))</f>
        <v>0</v>
      </c>
      <c r="AQ748">
        <f>IF(metadata!Q748="",FALSE,TRUE)</f>
        <v>0</v>
      </c>
    </row>
    <row r="749" spans="1:43">
      <c r="A749" s="5">
        <f>IF(B749=" "," ",HYPERLINK(CONCATENATE("#metadata!",ADDRESS(INDEX($W$2:$W$1001,MATCH(ROWS($U$2:U749),$U$2:$U$1001,0),0),1)),INDEX($Z$2:$Z$1001,MATCH(ROWS($U$2:U749),$U$2:$U$1001,0),0)))</f>
        <v>0</v>
      </c>
      <c r="B749" s="4">
        <f>IF(OR(INDEX($V$2:$V$1001,MATCH(ROWS($U$2:U749),$U$2:$U$1001,0),1)&gt;=100000,INDEX($AB$1005:$AQ$1005,1,MATCH(COLUMNS($AB$1006:AB1006),$AB$1006:$AQ$1006,0))&gt;=100000), " ",IF(INDEX($AB$2:$AQ$1001,MATCH(ROWS($U$2:U749),$U$2:$U$1001,0),MATCH(COLUMNS($AB$1006:AB1006),$AB$1006:$AQ$1006,0)), HYPERLINK("#",""), HYPERLINK(CONCATENATE("#metadata!", ADDRESS(INDEX($W$2:$W$1001,MATCH(ROWS($U$2:U749),$U$2:$U$1001,0),0), INDEX($AB$1004:$AQ$1004,1,MATCH(COLUMNS($AB$1006:AB1006),$AB$1006:$AQ$1006,0)))),"Fix")))</f>
        <v>0</v>
      </c>
      <c r="C749" s="4">
        <f>IF(OR(INDEX($V$2:$V$1001,MATCH(ROWS($U$2:U749),$U$2:$U$1001,0),1)&gt;=100000,INDEX($AB$1005:$AQ$1005,1,MATCH(COLUMNS($AB$1006:AC1006),$AB$1006:$AQ$1006,0))&gt;=100000), " ",IF(INDEX($AB$2:$AQ$1001,MATCH(ROWS($U$2:U749),$U$2:$U$1001,0),MATCH(COLUMNS($AB$1006:AC1006),$AB$1006:$AQ$1006,0)), HYPERLINK("#",""), HYPERLINK(CONCATENATE("#metadata!", ADDRESS(INDEX($W$2:$W$1001,MATCH(ROWS($U$2:U749),$U$2:$U$1001,0),0), INDEX($AB$1004:$AQ$1004,1,MATCH(COLUMNS($AB$1006:AC1006),$AB$1006:$AQ$1006,0)))),"Fix")))</f>
        <v>0</v>
      </c>
      <c r="D749" s="4">
        <f>IF(OR(INDEX($V$2:$V$1001,MATCH(ROWS($U$2:U749),$U$2:$U$1001,0),1)&gt;=100000,INDEX($AB$1005:$AQ$1005,1,MATCH(COLUMNS($AB$1006:AD1006),$AB$1006:$AQ$1006,0))&gt;=100000), " ",IF(INDEX($AB$2:$AQ$1001,MATCH(ROWS($U$2:U749),$U$2:$U$1001,0),MATCH(COLUMNS($AB$1006:AD1006),$AB$1006:$AQ$1006,0)), HYPERLINK("#",""), HYPERLINK(CONCATENATE("#metadata!", ADDRESS(INDEX($W$2:$W$1001,MATCH(ROWS($U$2:U749),$U$2:$U$1001,0),0), INDEX($AB$1004:$AQ$1004,1,MATCH(COLUMNS($AB$1006:AD1006),$AB$1006:$AQ$1006,0)))),"Fix")))</f>
        <v>0</v>
      </c>
      <c r="E749" s="4">
        <f>IF(OR(INDEX($V$2:$V$1001,MATCH(ROWS($U$2:U749),$U$2:$U$1001,0),1)&gt;=100000,INDEX($AB$1005:$AQ$1005,1,MATCH(COLUMNS($AB$1006:AE1006),$AB$1006:$AQ$1006,0))&gt;=100000), " ",IF(INDEX($AB$2:$AQ$1001,MATCH(ROWS($U$2:U749),$U$2:$U$1001,0),MATCH(COLUMNS($AB$1006:AE1006),$AB$1006:$AQ$1006,0)), HYPERLINK("#",""), HYPERLINK(CONCATENATE("#metadata!", ADDRESS(INDEX($W$2:$W$1001,MATCH(ROWS($U$2:U749),$U$2:$U$1001,0),0), INDEX($AB$1004:$AQ$1004,1,MATCH(COLUMNS($AB$1006:AE1006),$AB$1006:$AQ$1006,0)))),"Fix")))</f>
        <v>0</v>
      </c>
      <c r="F749" s="4">
        <f>IF(OR(INDEX($V$2:$V$1001,MATCH(ROWS($U$2:U749),$U$2:$U$1001,0),1)&gt;=100000,INDEX($AB$1005:$AQ$1005,1,MATCH(COLUMNS($AB$1006:AF1006),$AB$1006:$AQ$1006,0))&gt;=100000), " ",IF(INDEX($AB$2:$AQ$1001,MATCH(ROWS($U$2:U749),$U$2:$U$1001,0),MATCH(COLUMNS($AB$1006:AF1006),$AB$1006:$AQ$1006,0)), HYPERLINK("#",""), HYPERLINK(CONCATENATE("#metadata!", ADDRESS(INDEX($W$2:$W$1001,MATCH(ROWS($U$2:U749),$U$2:$U$1001,0),0), INDEX($AB$1004:$AQ$1004,1,MATCH(COLUMNS($AB$1006:AF1006),$AB$1006:$AQ$1006,0)))),"Fix")))</f>
        <v>0</v>
      </c>
      <c r="G749" s="4">
        <f>IF(OR(INDEX($V$2:$V$1001,MATCH(ROWS($U$2:U749),$U$2:$U$1001,0),1)&gt;=100000,INDEX($AB$1005:$AQ$1005,1,MATCH(COLUMNS($AB$1006:AG1006),$AB$1006:$AQ$1006,0))&gt;=100000), " ",IF(INDEX($AB$2:$AQ$1001,MATCH(ROWS($U$2:U749),$U$2:$U$1001,0),MATCH(COLUMNS($AB$1006:AG1006),$AB$1006:$AQ$1006,0)), HYPERLINK("#",""), HYPERLINK(CONCATENATE("#metadata!", ADDRESS(INDEX($W$2:$W$1001,MATCH(ROWS($U$2:U749),$U$2:$U$1001,0),0), INDEX($AB$1004:$AQ$1004,1,MATCH(COLUMNS($AB$1006:AG1006),$AB$1006:$AQ$1006,0)))),"Fix")))</f>
        <v>0</v>
      </c>
      <c r="H749" s="4">
        <f>IF(OR(INDEX($V$2:$V$1001,MATCH(ROWS($U$2:U749),$U$2:$U$1001,0),1)&gt;=100000,INDEX($AB$1005:$AQ$1005,1,MATCH(COLUMNS($AB$1006:AH1006),$AB$1006:$AQ$1006,0))&gt;=100000), " ",IF(INDEX($AB$2:$AQ$1001,MATCH(ROWS($U$2:U749),$U$2:$U$1001,0),MATCH(COLUMNS($AB$1006:AH1006),$AB$1006:$AQ$1006,0)), HYPERLINK("#",""), HYPERLINK(CONCATENATE("#metadata!", ADDRESS(INDEX($W$2:$W$1001,MATCH(ROWS($U$2:U749),$U$2:$U$1001,0),0), INDEX($AB$1004:$AQ$1004,1,MATCH(COLUMNS($AB$1006:AH1006),$AB$1006:$AQ$1006,0)))),"Fix")))</f>
        <v>0</v>
      </c>
      <c r="I749" s="4">
        <f>IF(OR(INDEX($V$2:$V$1001,MATCH(ROWS($U$2:U749),$U$2:$U$1001,0),1)&gt;=100000,INDEX($AB$1005:$AQ$1005,1,MATCH(COLUMNS($AB$1006:AI1006),$AB$1006:$AQ$1006,0))&gt;=100000), " ",IF(INDEX($AB$2:$AQ$1001,MATCH(ROWS($U$2:U749),$U$2:$U$1001,0),MATCH(COLUMNS($AB$1006:AI1006),$AB$1006:$AQ$1006,0)), HYPERLINK("#",""), HYPERLINK(CONCATENATE("#metadata!", ADDRESS(INDEX($W$2:$W$1001,MATCH(ROWS($U$2:U749),$U$2:$U$1001,0),0), INDEX($AB$1004:$AQ$1004,1,MATCH(COLUMNS($AB$1006:AI1006),$AB$1006:$AQ$1006,0)))),"Fix")))</f>
        <v>0</v>
      </c>
      <c r="J749" s="4">
        <f>IF(OR(INDEX($V$2:$V$1001,MATCH(ROWS($U$2:U749),$U$2:$U$1001,0),1)&gt;=100000,INDEX($AB$1005:$AQ$1005,1,MATCH(COLUMNS($AB$1006:AJ1006),$AB$1006:$AQ$1006,0))&gt;=100000), " ",IF(INDEX($AB$2:$AQ$1001,MATCH(ROWS($U$2:U749),$U$2:$U$1001,0),MATCH(COLUMNS($AB$1006:AJ1006),$AB$1006:$AQ$1006,0)), HYPERLINK("#",""), HYPERLINK(CONCATENATE("#metadata!", ADDRESS(INDEX($W$2:$W$1001,MATCH(ROWS($U$2:U749),$U$2:$U$1001,0),0), INDEX($AB$1004:$AQ$1004,1,MATCH(COLUMNS($AB$1006:AJ1006),$AB$1006:$AQ$1006,0)))),"Fix")))</f>
        <v>0</v>
      </c>
      <c r="K749" s="4">
        <f>IF(OR(INDEX($V$2:$V$1001,MATCH(ROWS($U$2:U749),$U$2:$U$1001,0),1)&gt;=100000,INDEX($AB$1005:$AQ$1005,1,MATCH(COLUMNS($AB$1006:AK1006),$AB$1006:$AQ$1006,0))&gt;=100000), " ",IF(INDEX($AB$2:$AQ$1001,MATCH(ROWS($U$2:U749),$U$2:$U$1001,0),MATCH(COLUMNS($AB$1006:AK1006),$AB$1006:$AQ$1006,0)), HYPERLINK("#",""), HYPERLINK(CONCATENATE("#metadata!", ADDRESS(INDEX($W$2:$W$1001,MATCH(ROWS($U$2:U749),$U$2:$U$1001,0),0), INDEX($AB$1004:$AQ$1004,1,MATCH(COLUMNS($AB$1006:AK1006),$AB$1006:$AQ$1006,0)))),"Fix")))</f>
        <v>0</v>
      </c>
      <c r="L749" s="4">
        <f>IF(OR(INDEX($V$2:$V$1001,MATCH(ROWS($U$2:U749),$U$2:$U$1001,0),1)&gt;=100000,INDEX($AB$1005:$AQ$1005,1,MATCH(COLUMNS($AB$1006:AL1006),$AB$1006:$AQ$1006,0))&gt;=100000), " ",IF(INDEX($AB$2:$AQ$1001,MATCH(ROWS($U$2:U749),$U$2:$U$1001,0),MATCH(COLUMNS($AB$1006:AL1006),$AB$1006:$AQ$1006,0)), HYPERLINK("#",""), HYPERLINK(CONCATENATE("#metadata!", ADDRESS(INDEX($W$2:$W$1001,MATCH(ROWS($U$2:U749),$U$2:$U$1001,0),0), INDEX($AB$1004:$AQ$1004,1,MATCH(COLUMNS($AB$1006:AL1006),$AB$1006:$AQ$1006,0)))),"Fix")))</f>
        <v>0</v>
      </c>
      <c r="M749" s="4">
        <f>IF(OR(INDEX($V$2:$V$1001,MATCH(ROWS($U$2:U749),$U$2:$U$1001,0),1)&gt;=100000,INDEX($AB$1005:$AQ$1005,1,MATCH(COLUMNS($AB$1006:AM1006),$AB$1006:$AQ$1006,0))&gt;=100000), " ",IF(INDEX($AB$2:$AQ$1001,MATCH(ROWS($U$2:U749),$U$2:$U$1001,0),MATCH(COLUMNS($AB$1006:AM1006),$AB$1006:$AQ$1006,0)), HYPERLINK("#",""), HYPERLINK(CONCATENATE("#metadata!", ADDRESS(INDEX($W$2:$W$1001,MATCH(ROWS($U$2:U749),$U$2:$U$1001,0),0), INDEX($AB$1004:$AQ$1004,1,MATCH(COLUMNS($AB$1006:AM1006),$AB$1006:$AQ$1006,0)))),"Fix")))</f>
        <v>0</v>
      </c>
      <c r="N749" s="4">
        <f>IF(OR(INDEX($V$2:$V$1001,MATCH(ROWS($U$2:U749),$U$2:$U$1001,0),1)&gt;=100000,INDEX($AB$1005:$AQ$1005,1,MATCH(COLUMNS($AB$1006:AN1006),$AB$1006:$AQ$1006,0))&gt;=100000), " ",IF(INDEX($AB$2:$AQ$1001,MATCH(ROWS($U$2:U749),$U$2:$U$1001,0),MATCH(COLUMNS($AB$1006:AN1006),$AB$1006:$AQ$1006,0)), HYPERLINK("#",""), HYPERLINK(CONCATENATE("#metadata!", ADDRESS(INDEX($W$2:$W$1001,MATCH(ROWS($U$2:U749),$U$2:$U$1001,0),0), INDEX($AB$1004:$AQ$1004,1,MATCH(COLUMNS($AB$1006:AN1006),$AB$1006:$AQ$1006,0)))),"Fix")))</f>
        <v>0</v>
      </c>
      <c r="O749" s="4">
        <f>IF(OR(INDEX($V$2:$V$1001,MATCH(ROWS($U$2:U749),$U$2:$U$1001,0),1)&gt;=100000,INDEX($AB$1005:$AQ$1005,1,MATCH(COLUMNS($AB$1006:AO1006),$AB$1006:$AQ$1006,0))&gt;=100000), " ",IF(INDEX($AB$2:$AQ$1001,MATCH(ROWS($U$2:U749),$U$2:$U$1001,0),MATCH(COLUMNS($AB$1006:AO1006),$AB$1006:$AQ$1006,0)), HYPERLINK("#",""), HYPERLINK(CONCATENATE("#metadata!", ADDRESS(INDEX($W$2:$W$1001,MATCH(ROWS($U$2:U749),$U$2:$U$1001,0),0), INDEX($AB$1004:$AQ$1004,1,MATCH(COLUMNS($AB$1006:AO1006),$AB$1006:$AQ$1006,0)))),"Fix")))</f>
        <v>0</v>
      </c>
      <c r="P749" s="4">
        <f>IF(OR(INDEX($V$2:$V$1001,MATCH(ROWS($U$2:U749),$U$2:$U$1001,0),1)&gt;=100000,INDEX($AB$1005:$AQ$1005,1,MATCH(COLUMNS($AB$1006:AP1006),$AB$1006:$AQ$1006,0))&gt;=100000), " ",IF(INDEX($AB$2:$AQ$1001,MATCH(ROWS($U$2:U749),$U$2:$U$1001,0),MATCH(COLUMNS($AB$1006:AP1006),$AB$1006:$AQ$1006,0)), HYPERLINK("#",""), HYPERLINK(CONCATENATE("#metadata!", ADDRESS(INDEX($W$2:$W$1001,MATCH(ROWS($U$2:U749),$U$2:$U$1001,0),0), INDEX($AB$1004:$AQ$1004,1,MATCH(COLUMNS($AB$1006:AP1006),$AB$1006:$AQ$1006,0)))),"Fix")))</f>
        <v>0</v>
      </c>
      <c r="Q749" s="4">
        <f>IF(OR(INDEX($V$2:$V$1001,MATCH(ROWS($U$2:U749),$U$2:$U$1001,0),1)&gt;=100000,INDEX($AB$1005:$AQ$1005,1,MATCH(COLUMNS($AB$1006:AQ1006),$AB$1006:$AQ$1006,0))&gt;=100000), " ",IF(INDEX($AB$2:$AQ$1001,MATCH(ROWS($U$2:U749),$U$2:$U$1001,0),MATCH(COLUMNS($AB$1006:AQ1006),$AB$1006:$AQ$1006,0)), HYPERLINK("#",""), HYPERLINK(CONCATENATE("#metadata!", ADDRESS(INDEX($W$2:$W$1001,MATCH(ROWS($U$2:U749),$U$2:$U$1001,0),0), INDEX($AB$1004:$AQ$1004,1,MATCH(COLUMNS($AB$1006:AQ1006),$AB$1006:$AQ$1006,0)))),"Fix")))</f>
        <v>0</v>
      </c>
      <c r="U749">
        <v>0</v>
      </c>
      <c r="V749">
        <v>0</v>
      </c>
      <c r="W749">
        <v>0</v>
      </c>
      <c r="X749">
        <f>IF(Y749,TRUE,AND(AB749:AQ749))</f>
        <v>0</v>
      </c>
      <c r="Y749">
        <f>COUNTBLANK(metadata!B749:Q749)=COLUMNS(metadata!B749:Q749)</f>
        <v>0</v>
      </c>
      <c r="Z749">
        <v>0</v>
      </c>
      <c r="AB749">
        <f>AND(IF(metadata!B749="",FALSE,TRUE),COUNTIF(metadata!B:B, metadata!B749) = 1,NOT(ISERROR(SUMPRODUCT(SEARCH(MID(metadata!B749,ROW(INDIRECT("1:"&amp;LEN(metadata!B749))), 1),"0123456789abcdefghijklmnopqrstuvwxyzABCDEFGHIJKLMNOPQRSTUVWXYZ.")))))</f>
        <v>0</v>
      </c>
      <c r="AC749">
        <f>OR(AND(IF(metadata!C749="",FALSE,TRUE),OR(exact(metadata!C749,"missing: not collected"),exact(metadata!C749,"missing: not provided"),exact(metadata!C749,"missing: restricted access"))),AND(IF(metadata!C749="",FALSE,TRUE),AND(AND(IFERROR(INT(LEFT(metadata!C749,4))&gt;1900,FALSE),IFERROR(INT(LEFT(metadata!C749,4))&lt;=YEAR(NOW()),FALSE)), OR(MID(metadata!C749,5,1)="", AND(AND(MID(metadata!C749,5,1)="-",IFERROR(INT(MID(metadata!C749,6,1))&gt;=0,FALSE),IFERROR(INT(MID(metadata!C749,6,1))&lt;=1,FALSE),NOT(MID(metadata!C749,7,1)=""),IFERROR(INT(MID(metadata!C749,6,2))&gt;=1,FALSE),IFERROR(INT(MID(metadata!C749,6,2))&lt;=12,FALSE)), OR(MID(metadata!C749,8,1)="", AND(AND(MID(metadata!C749,8,1)="-",IFERROR(INT(MID(metadata!C749,9,1))&gt;=0,FALSE),IFERROR(INT(MID(metadata!C749,9,1))&lt;=3,FALSE),NOT(MID(metadata!C749,10,1)=""),IFERROR(INT(MID(metadata!C749,9,2))&gt;=1,FALSE),IFERROR(INT(MID(metadata!C749,9,2))&lt;=31,FALSE)), OR(MID(metadata!C749,11,1)="", AND(AND(MID(metadata!C749,11,1)=" ",IFERROR(INT(MID(metadata!C749,12,1))&gt;=0,FALSE),IFERROR(INT(MID(metadata!C749,12,1))&lt;=2,FALSE),NOT(MID(metadata!C749,13,1)=""),IFERROR(INT(MID(metadata!C749,12,2))&gt;=0,FALSE),IFERROR(INT(MID(metadata!C749,12,2))&lt;=23,FALSE)), OR(MID(metadata!C749,14,1)="", AND(AND(MID(metadata!C749,14,1)=":",IFERROR(INT(MID(metadata!C749,15,1))&gt;=0,FALSE),IFERROR(INT(MID(metadata!C749,15,1))&lt;=5,FALSE),NOT(MID(metadata!C749,16,1)=""),IFERROR(INT(MID(metadata!C749,15,2))&gt;=0,FALSE),IFERROR(INT(MID(metadata!C749,15,2))&lt;=59,FALSE)), OR(MID(metadata!C749,17,1)="", AND(AND(MID(metadata!C749,17,1)=":",IFERROR(INT(MID(metadata!C749,18,1))&gt;=0,FALSE),IFERROR(INT(MID(metadata!C749,18,1))&lt;=5,FALSE),NOT(MID(metadata!C749,19,1)=""),IFERROR(INT(MID(metadata!C749,18,2))&gt;=0,FALSE),IFERROR(INT(MID(metadata!C749,18,2))&lt;=59,FALSE)), LEN(metadata!C749)&lt;=19)))))))))))))</f>
        <v>0</v>
      </c>
      <c r="AD749">
        <f>IF(metadata!D749="",FALSE,TRUE)</f>
        <v>0</v>
      </c>
      <c r="AE749">
        <f>OR(AND(IF(metadata!E749="",FALSE,TRUE),OR(exact(metadata!E749,"missing: not collected"),exact(metadata!E749,"missing: not provided"))),AND(IF(metadata!E749="",FALSE,TRUE),OR(exact(metadata!E749,"TRUE"),exact(metadata!E749,"FALSE"))))</f>
        <v>0</v>
      </c>
      <c r="AF749">
        <f>IF(metadata!F749="",FALSE,TRUE)</f>
        <v>0</v>
      </c>
      <c r="AG749">
        <f>IF(metadata!G749="",FALSE,TRUE)</f>
        <v>0</v>
      </c>
      <c r="AH749">
        <f>IF(metadata!H749="",FALSE,TRUE)</f>
        <v>0</v>
      </c>
      <c r="AI749">
        <f>OR(AND(IF(metadata!I749="",FALSE,TRUE),OR(exact(metadata!I749,"missing: not collected"),exact(metadata!I749,"missing: not provided"),exact(metadata!I749,"missing: restricted access"))),AND(IF(metadata!I749="",FALSE,TRUE),OR(exact(metadata!I749,"air"),exact(metadata!I749,"built environment"),exact(metadata!I749,"host-associated"),exact(metadata!I749,"human-associated"),exact(metadata!I749,"human-skin"),exact(metadata!I749,"human-oral"),exact(metadata!I749,"human-gut"),exact(metadata!I749,"human-vaginal"),exact(metadata!I749,"microbial mat/biofilm"),exact(metadata!I749,"misc environment"),exact(metadata!I749,"plant-associated"),exact(metadata!I749,"sediment"),exact(metadata!I749,"soil"),exact(metadata!I749,"wastewater/sludge"),exact(metadata!I749,"water"))))</f>
        <v>0</v>
      </c>
      <c r="AJ749">
        <f>IF(metadata!J749="",FALSE,TRUE)</f>
        <v>0</v>
      </c>
      <c r="AK749">
        <f>OR(AND(IF(metadata!K749="",FALSE,TRUE),OR(exact(metadata!K749,"missing: not collected"),exact(metadata!K749,"missing: not provided"),exact(metadata!K749,"missing: restricted access"))),AND(IF(metadata!K749="",FALSE,ISNUMBER(VALUE(metadata!K749))),metadata!K749&gt;=-90.00,metadata!K749&lt;=90.00))</f>
        <v>0</v>
      </c>
      <c r="AL749">
        <f>OR(AND(IF(metadata!L749="",FALSE,TRUE),OR(exact(metadata!L749,"missing: not collected"),exact(metadata!L749,"missing: not provided"),exact(metadata!L749,"missing: restricted access"))),AND(IF(metadata!L749="",FALSE,ISNUMBER(VALUE(metadata!L749))),metadata!L749&gt;=-180.00,metadata!L749&lt;=180.00))</f>
        <v>0</v>
      </c>
      <c r="AM749">
        <f>IF(metadata!M749="",FALSE,TRUE)</f>
        <v>0</v>
      </c>
      <c r="AN749">
        <f>OR(AND(IF(metadata!N749="",FALSE,TRUE),OR(exact(metadata!N749,"missing: not collected"),exact(metadata!N749,"missing: not provided"),exact(metadata!N749,"missing: restricted access"))),AND(IF(metadata!N749="",FALSE,TRUE),OR(exact(metadata!N749,"TRUE"),exact(metadata!N749,"FALSE"))))</f>
        <v>0</v>
      </c>
      <c r="AO749">
        <f>IF(metadata!O749="",FALSE,TRUE)</f>
        <v>0</v>
      </c>
      <c r="AP749">
        <f>OR(AND(IF(metadata!P749="",FALSE,TRUE),OR(exact(metadata!P749,"missing: not collected"),exact(metadata!P749,"missing: not provided"))),AND(IF(metadata!P749="",FALSE,IF(ISERROR(INT(metadata!P749)),FALSE,INT(metadata!P749)=metadata!P749)),metadata!P749&gt;0))</f>
        <v>0</v>
      </c>
      <c r="AQ749">
        <f>IF(metadata!Q749="",FALSE,TRUE)</f>
        <v>0</v>
      </c>
    </row>
    <row r="750" spans="1:43">
      <c r="A750" s="5">
        <f>IF(B750=" "," ",HYPERLINK(CONCATENATE("#metadata!",ADDRESS(INDEX($W$2:$W$1001,MATCH(ROWS($U$2:U750),$U$2:$U$1001,0),0),1)),INDEX($Z$2:$Z$1001,MATCH(ROWS($U$2:U750),$U$2:$U$1001,0),0)))</f>
        <v>0</v>
      </c>
      <c r="B750" s="4">
        <f>IF(OR(INDEX($V$2:$V$1001,MATCH(ROWS($U$2:U750),$U$2:$U$1001,0),1)&gt;=100000,INDEX($AB$1005:$AQ$1005,1,MATCH(COLUMNS($AB$1006:AB1006),$AB$1006:$AQ$1006,0))&gt;=100000), " ",IF(INDEX($AB$2:$AQ$1001,MATCH(ROWS($U$2:U750),$U$2:$U$1001,0),MATCH(COLUMNS($AB$1006:AB1006),$AB$1006:$AQ$1006,0)), HYPERLINK("#",""), HYPERLINK(CONCATENATE("#metadata!", ADDRESS(INDEX($W$2:$W$1001,MATCH(ROWS($U$2:U750),$U$2:$U$1001,0),0), INDEX($AB$1004:$AQ$1004,1,MATCH(COLUMNS($AB$1006:AB1006),$AB$1006:$AQ$1006,0)))),"Fix")))</f>
        <v>0</v>
      </c>
      <c r="C750" s="4">
        <f>IF(OR(INDEX($V$2:$V$1001,MATCH(ROWS($U$2:U750),$U$2:$U$1001,0),1)&gt;=100000,INDEX($AB$1005:$AQ$1005,1,MATCH(COLUMNS($AB$1006:AC1006),$AB$1006:$AQ$1006,0))&gt;=100000), " ",IF(INDEX($AB$2:$AQ$1001,MATCH(ROWS($U$2:U750),$U$2:$U$1001,0),MATCH(COLUMNS($AB$1006:AC1006),$AB$1006:$AQ$1006,0)), HYPERLINK("#",""), HYPERLINK(CONCATENATE("#metadata!", ADDRESS(INDEX($W$2:$W$1001,MATCH(ROWS($U$2:U750),$U$2:$U$1001,0),0), INDEX($AB$1004:$AQ$1004,1,MATCH(COLUMNS($AB$1006:AC1006),$AB$1006:$AQ$1006,0)))),"Fix")))</f>
        <v>0</v>
      </c>
      <c r="D750" s="4">
        <f>IF(OR(INDEX($V$2:$V$1001,MATCH(ROWS($U$2:U750),$U$2:$U$1001,0),1)&gt;=100000,INDEX($AB$1005:$AQ$1005,1,MATCH(COLUMNS($AB$1006:AD1006),$AB$1006:$AQ$1006,0))&gt;=100000), " ",IF(INDEX($AB$2:$AQ$1001,MATCH(ROWS($U$2:U750),$U$2:$U$1001,0),MATCH(COLUMNS($AB$1006:AD1006),$AB$1006:$AQ$1006,0)), HYPERLINK("#",""), HYPERLINK(CONCATENATE("#metadata!", ADDRESS(INDEX($W$2:$W$1001,MATCH(ROWS($U$2:U750),$U$2:$U$1001,0),0), INDEX($AB$1004:$AQ$1004,1,MATCH(COLUMNS($AB$1006:AD1006),$AB$1006:$AQ$1006,0)))),"Fix")))</f>
        <v>0</v>
      </c>
      <c r="E750" s="4">
        <f>IF(OR(INDEX($V$2:$V$1001,MATCH(ROWS($U$2:U750),$U$2:$U$1001,0),1)&gt;=100000,INDEX($AB$1005:$AQ$1005,1,MATCH(COLUMNS($AB$1006:AE1006),$AB$1006:$AQ$1006,0))&gt;=100000), " ",IF(INDEX($AB$2:$AQ$1001,MATCH(ROWS($U$2:U750),$U$2:$U$1001,0),MATCH(COLUMNS($AB$1006:AE1006),$AB$1006:$AQ$1006,0)), HYPERLINK("#",""), HYPERLINK(CONCATENATE("#metadata!", ADDRESS(INDEX($W$2:$W$1001,MATCH(ROWS($U$2:U750),$U$2:$U$1001,0),0), INDEX($AB$1004:$AQ$1004,1,MATCH(COLUMNS($AB$1006:AE1006),$AB$1006:$AQ$1006,0)))),"Fix")))</f>
        <v>0</v>
      </c>
      <c r="F750" s="4">
        <f>IF(OR(INDEX($V$2:$V$1001,MATCH(ROWS($U$2:U750),$U$2:$U$1001,0),1)&gt;=100000,INDEX($AB$1005:$AQ$1005,1,MATCH(COLUMNS($AB$1006:AF1006),$AB$1006:$AQ$1006,0))&gt;=100000), " ",IF(INDEX($AB$2:$AQ$1001,MATCH(ROWS($U$2:U750),$U$2:$U$1001,0),MATCH(COLUMNS($AB$1006:AF1006),$AB$1006:$AQ$1006,0)), HYPERLINK("#",""), HYPERLINK(CONCATENATE("#metadata!", ADDRESS(INDEX($W$2:$W$1001,MATCH(ROWS($U$2:U750),$U$2:$U$1001,0),0), INDEX($AB$1004:$AQ$1004,1,MATCH(COLUMNS($AB$1006:AF1006),$AB$1006:$AQ$1006,0)))),"Fix")))</f>
        <v>0</v>
      </c>
      <c r="G750" s="4">
        <f>IF(OR(INDEX($V$2:$V$1001,MATCH(ROWS($U$2:U750),$U$2:$U$1001,0),1)&gt;=100000,INDEX($AB$1005:$AQ$1005,1,MATCH(COLUMNS($AB$1006:AG1006),$AB$1006:$AQ$1006,0))&gt;=100000), " ",IF(INDEX($AB$2:$AQ$1001,MATCH(ROWS($U$2:U750),$U$2:$U$1001,0),MATCH(COLUMNS($AB$1006:AG1006),$AB$1006:$AQ$1006,0)), HYPERLINK("#",""), HYPERLINK(CONCATENATE("#metadata!", ADDRESS(INDEX($W$2:$W$1001,MATCH(ROWS($U$2:U750),$U$2:$U$1001,0),0), INDEX($AB$1004:$AQ$1004,1,MATCH(COLUMNS($AB$1006:AG1006),$AB$1006:$AQ$1006,0)))),"Fix")))</f>
        <v>0</v>
      </c>
      <c r="H750" s="4">
        <f>IF(OR(INDEX($V$2:$V$1001,MATCH(ROWS($U$2:U750),$U$2:$U$1001,0),1)&gt;=100000,INDEX($AB$1005:$AQ$1005,1,MATCH(COLUMNS($AB$1006:AH1006),$AB$1006:$AQ$1006,0))&gt;=100000), " ",IF(INDEX($AB$2:$AQ$1001,MATCH(ROWS($U$2:U750),$U$2:$U$1001,0),MATCH(COLUMNS($AB$1006:AH1006),$AB$1006:$AQ$1006,0)), HYPERLINK("#",""), HYPERLINK(CONCATENATE("#metadata!", ADDRESS(INDEX($W$2:$W$1001,MATCH(ROWS($U$2:U750),$U$2:$U$1001,0),0), INDEX($AB$1004:$AQ$1004,1,MATCH(COLUMNS($AB$1006:AH1006),$AB$1006:$AQ$1006,0)))),"Fix")))</f>
        <v>0</v>
      </c>
      <c r="I750" s="4">
        <f>IF(OR(INDEX($V$2:$V$1001,MATCH(ROWS($U$2:U750),$U$2:$U$1001,0),1)&gt;=100000,INDEX($AB$1005:$AQ$1005,1,MATCH(COLUMNS($AB$1006:AI1006),$AB$1006:$AQ$1006,0))&gt;=100000), " ",IF(INDEX($AB$2:$AQ$1001,MATCH(ROWS($U$2:U750),$U$2:$U$1001,0),MATCH(COLUMNS($AB$1006:AI1006),$AB$1006:$AQ$1006,0)), HYPERLINK("#",""), HYPERLINK(CONCATENATE("#metadata!", ADDRESS(INDEX($W$2:$W$1001,MATCH(ROWS($U$2:U750),$U$2:$U$1001,0),0), INDEX($AB$1004:$AQ$1004,1,MATCH(COLUMNS($AB$1006:AI1006),$AB$1006:$AQ$1006,0)))),"Fix")))</f>
        <v>0</v>
      </c>
      <c r="J750" s="4">
        <f>IF(OR(INDEX($V$2:$V$1001,MATCH(ROWS($U$2:U750),$U$2:$U$1001,0),1)&gt;=100000,INDEX($AB$1005:$AQ$1005,1,MATCH(COLUMNS($AB$1006:AJ1006),$AB$1006:$AQ$1006,0))&gt;=100000), " ",IF(INDEX($AB$2:$AQ$1001,MATCH(ROWS($U$2:U750),$U$2:$U$1001,0),MATCH(COLUMNS($AB$1006:AJ1006),$AB$1006:$AQ$1006,0)), HYPERLINK("#",""), HYPERLINK(CONCATENATE("#metadata!", ADDRESS(INDEX($W$2:$W$1001,MATCH(ROWS($U$2:U750),$U$2:$U$1001,0),0), INDEX($AB$1004:$AQ$1004,1,MATCH(COLUMNS($AB$1006:AJ1006),$AB$1006:$AQ$1006,0)))),"Fix")))</f>
        <v>0</v>
      </c>
      <c r="K750" s="4">
        <f>IF(OR(INDEX($V$2:$V$1001,MATCH(ROWS($U$2:U750),$U$2:$U$1001,0),1)&gt;=100000,INDEX($AB$1005:$AQ$1005,1,MATCH(COLUMNS($AB$1006:AK1006),$AB$1006:$AQ$1006,0))&gt;=100000), " ",IF(INDEX($AB$2:$AQ$1001,MATCH(ROWS($U$2:U750),$U$2:$U$1001,0),MATCH(COLUMNS($AB$1006:AK1006),$AB$1006:$AQ$1006,0)), HYPERLINK("#",""), HYPERLINK(CONCATENATE("#metadata!", ADDRESS(INDEX($W$2:$W$1001,MATCH(ROWS($U$2:U750),$U$2:$U$1001,0),0), INDEX($AB$1004:$AQ$1004,1,MATCH(COLUMNS($AB$1006:AK1006),$AB$1006:$AQ$1006,0)))),"Fix")))</f>
        <v>0</v>
      </c>
      <c r="L750" s="4">
        <f>IF(OR(INDEX($V$2:$V$1001,MATCH(ROWS($U$2:U750),$U$2:$U$1001,0),1)&gt;=100000,INDEX($AB$1005:$AQ$1005,1,MATCH(COLUMNS($AB$1006:AL1006),$AB$1006:$AQ$1006,0))&gt;=100000), " ",IF(INDEX($AB$2:$AQ$1001,MATCH(ROWS($U$2:U750),$U$2:$U$1001,0),MATCH(COLUMNS($AB$1006:AL1006),$AB$1006:$AQ$1006,0)), HYPERLINK("#",""), HYPERLINK(CONCATENATE("#metadata!", ADDRESS(INDEX($W$2:$W$1001,MATCH(ROWS($U$2:U750),$U$2:$U$1001,0),0), INDEX($AB$1004:$AQ$1004,1,MATCH(COLUMNS($AB$1006:AL1006),$AB$1006:$AQ$1006,0)))),"Fix")))</f>
        <v>0</v>
      </c>
      <c r="M750" s="4">
        <f>IF(OR(INDEX($V$2:$V$1001,MATCH(ROWS($U$2:U750),$U$2:$U$1001,0),1)&gt;=100000,INDEX($AB$1005:$AQ$1005,1,MATCH(COLUMNS($AB$1006:AM1006),$AB$1006:$AQ$1006,0))&gt;=100000), " ",IF(INDEX($AB$2:$AQ$1001,MATCH(ROWS($U$2:U750),$U$2:$U$1001,0),MATCH(COLUMNS($AB$1006:AM1006),$AB$1006:$AQ$1006,0)), HYPERLINK("#",""), HYPERLINK(CONCATENATE("#metadata!", ADDRESS(INDEX($W$2:$W$1001,MATCH(ROWS($U$2:U750),$U$2:$U$1001,0),0), INDEX($AB$1004:$AQ$1004,1,MATCH(COLUMNS($AB$1006:AM1006),$AB$1006:$AQ$1006,0)))),"Fix")))</f>
        <v>0</v>
      </c>
      <c r="N750" s="4">
        <f>IF(OR(INDEX($V$2:$V$1001,MATCH(ROWS($U$2:U750),$U$2:$U$1001,0),1)&gt;=100000,INDEX($AB$1005:$AQ$1005,1,MATCH(COLUMNS($AB$1006:AN1006),$AB$1006:$AQ$1006,0))&gt;=100000), " ",IF(INDEX($AB$2:$AQ$1001,MATCH(ROWS($U$2:U750),$U$2:$U$1001,0),MATCH(COLUMNS($AB$1006:AN1006),$AB$1006:$AQ$1006,0)), HYPERLINK("#",""), HYPERLINK(CONCATENATE("#metadata!", ADDRESS(INDEX($W$2:$W$1001,MATCH(ROWS($U$2:U750),$U$2:$U$1001,0),0), INDEX($AB$1004:$AQ$1004,1,MATCH(COLUMNS($AB$1006:AN1006),$AB$1006:$AQ$1006,0)))),"Fix")))</f>
        <v>0</v>
      </c>
      <c r="O750" s="4">
        <f>IF(OR(INDEX($V$2:$V$1001,MATCH(ROWS($U$2:U750),$U$2:$U$1001,0),1)&gt;=100000,INDEX($AB$1005:$AQ$1005,1,MATCH(COLUMNS($AB$1006:AO1006),$AB$1006:$AQ$1006,0))&gt;=100000), " ",IF(INDEX($AB$2:$AQ$1001,MATCH(ROWS($U$2:U750),$U$2:$U$1001,0),MATCH(COLUMNS($AB$1006:AO1006),$AB$1006:$AQ$1006,0)), HYPERLINK("#",""), HYPERLINK(CONCATENATE("#metadata!", ADDRESS(INDEX($W$2:$W$1001,MATCH(ROWS($U$2:U750),$U$2:$U$1001,0),0), INDEX($AB$1004:$AQ$1004,1,MATCH(COLUMNS($AB$1006:AO1006),$AB$1006:$AQ$1006,0)))),"Fix")))</f>
        <v>0</v>
      </c>
      <c r="P750" s="4">
        <f>IF(OR(INDEX($V$2:$V$1001,MATCH(ROWS($U$2:U750),$U$2:$U$1001,0),1)&gt;=100000,INDEX($AB$1005:$AQ$1005,1,MATCH(COLUMNS($AB$1006:AP1006),$AB$1006:$AQ$1006,0))&gt;=100000), " ",IF(INDEX($AB$2:$AQ$1001,MATCH(ROWS($U$2:U750),$U$2:$U$1001,0),MATCH(COLUMNS($AB$1006:AP1006),$AB$1006:$AQ$1006,0)), HYPERLINK("#",""), HYPERLINK(CONCATENATE("#metadata!", ADDRESS(INDEX($W$2:$W$1001,MATCH(ROWS($U$2:U750),$U$2:$U$1001,0),0), INDEX($AB$1004:$AQ$1004,1,MATCH(COLUMNS($AB$1006:AP1006),$AB$1006:$AQ$1006,0)))),"Fix")))</f>
        <v>0</v>
      </c>
      <c r="Q750" s="4">
        <f>IF(OR(INDEX($V$2:$V$1001,MATCH(ROWS($U$2:U750),$U$2:$U$1001,0),1)&gt;=100000,INDEX($AB$1005:$AQ$1005,1,MATCH(COLUMNS($AB$1006:AQ1006),$AB$1006:$AQ$1006,0))&gt;=100000), " ",IF(INDEX($AB$2:$AQ$1001,MATCH(ROWS($U$2:U750),$U$2:$U$1001,0),MATCH(COLUMNS($AB$1006:AQ1006),$AB$1006:$AQ$1006,0)), HYPERLINK("#",""), HYPERLINK(CONCATENATE("#metadata!", ADDRESS(INDEX($W$2:$W$1001,MATCH(ROWS($U$2:U750),$U$2:$U$1001,0),0), INDEX($AB$1004:$AQ$1004,1,MATCH(COLUMNS($AB$1006:AQ1006),$AB$1006:$AQ$1006,0)))),"Fix")))</f>
        <v>0</v>
      </c>
      <c r="U750">
        <v>0</v>
      </c>
      <c r="V750">
        <v>0</v>
      </c>
      <c r="W750">
        <v>0</v>
      </c>
      <c r="X750">
        <f>IF(Y750,TRUE,AND(AB750:AQ750))</f>
        <v>0</v>
      </c>
      <c r="Y750">
        <f>COUNTBLANK(metadata!B750:Q750)=COLUMNS(metadata!B750:Q750)</f>
        <v>0</v>
      </c>
      <c r="Z750">
        <v>0</v>
      </c>
      <c r="AB750">
        <f>AND(IF(metadata!B750="",FALSE,TRUE),COUNTIF(metadata!B:B, metadata!B750) = 1,NOT(ISERROR(SUMPRODUCT(SEARCH(MID(metadata!B750,ROW(INDIRECT("1:"&amp;LEN(metadata!B750))), 1),"0123456789abcdefghijklmnopqrstuvwxyzABCDEFGHIJKLMNOPQRSTUVWXYZ.")))))</f>
        <v>0</v>
      </c>
      <c r="AC750">
        <f>OR(AND(IF(metadata!C750="",FALSE,TRUE),OR(exact(metadata!C750,"missing: not collected"),exact(metadata!C750,"missing: not provided"),exact(metadata!C750,"missing: restricted access"))),AND(IF(metadata!C750="",FALSE,TRUE),AND(AND(IFERROR(INT(LEFT(metadata!C750,4))&gt;1900,FALSE),IFERROR(INT(LEFT(metadata!C750,4))&lt;=YEAR(NOW()),FALSE)), OR(MID(metadata!C750,5,1)="", AND(AND(MID(metadata!C750,5,1)="-",IFERROR(INT(MID(metadata!C750,6,1))&gt;=0,FALSE),IFERROR(INT(MID(metadata!C750,6,1))&lt;=1,FALSE),NOT(MID(metadata!C750,7,1)=""),IFERROR(INT(MID(metadata!C750,6,2))&gt;=1,FALSE),IFERROR(INT(MID(metadata!C750,6,2))&lt;=12,FALSE)), OR(MID(metadata!C750,8,1)="", AND(AND(MID(metadata!C750,8,1)="-",IFERROR(INT(MID(metadata!C750,9,1))&gt;=0,FALSE),IFERROR(INT(MID(metadata!C750,9,1))&lt;=3,FALSE),NOT(MID(metadata!C750,10,1)=""),IFERROR(INT(MID(metadata!C750,9,2))&gt;=1,FALSE),IFERROR(INT(MID(metadata!C750,9,2))&lt;=31,FALSE)), OR(MID(metadata!C750,11,1)="", AND(AND(MID(metadata!C750,11,1)=" ",IFERROR(INT(MID(metadata!C750,12,1))&gt;=0,FALSE),IFERROR(INT(MID(metadata!C750,12,1))&lt;=2,FALSE),NOT(MID(metadata!C750,13,1)=""),IFERROR(INT(MID(metadata!C750,12,2))&gt;=0,FALSE),IFERROR(INT(MID(metadata!C750,12,2))&lt;=23,FALSE)), OR(MID(metadata!C750,14,1)="", AND(AND(MID(metadata!C750,14,1)=":",IFERROR(INT(MID(metadata!C750,15,1))&gt;=0,FALSE),IFERROR(INT(MID(metadata!C750,15,1))&lt;=5,FALSE),NOT(MID(metadata!C750,16,1)=""),IFERROR(INT(MID(metadata!C750,15,2))&gt;=0,FALSE),IFERROR(INT(MID(metadata!C750,15,2))&lt;=59,FALSE)), OR(MID(metadata!C750,17,1)="", AND(AND(MID(metadata!C750,17,1)=":",IFERROR(INT(MID(metadata!C750,18,1))&gt;=0,FALSE),IFERROR(INT(MID(metadata!C750,18,1))&lt;=5,FALSE),NOT(MID(metadata!C750,19,1)=""),IFERROR(INT(MID(metadata!C750,18,2))&gt;=0,FALSE),IFERROR(INT(MID(metadata!C750,18,2))&lt;=59,FALSE)), LEN(metadata!C750)&lt;=19)))))))))))))</f>
        <v>0</v>
      </c>
      <c r="AD750">
        <f>IF(metadata!D750="",FALSE,TRUE)</f>
        <v>0</v>
      </c>
      <c r="AE750">
        <f>OR(AND(IF(metadata!E750="",FALSE,TRUE),OR(exact(metadata!E750,"missing: not collected"),exact(metadata!E750,"missing: not provided"))),AND(IF(metadata!E750="",FALSE,TRUE),OR(exact(metadata!E750,"TRUE"),exact(metadata!E750,"FALSE"))))</f>
        <v>0</v>
      </c>
      <c r="AF750">
        <f>IF(metadata!F750="",FALSE,TRUE)</f>
        <v>0</v>
      </c>
      <c r="AG750">
        <f>IF(metadata!G750="",FALSE,TRUE)</f>
        <v>0</v>
      </c>
      <c r="AH750">
        <f>IF(metadata!H750="",FALSE,TRUE)</f>
        <v>0</v>
      </c>
      <c r="AI750">
        <f>OR(AND(IF(metadata!I750="",FALSE,TRUE),OR(exact(metadata!I750,"missing: not collected"),exact(metadata!I750,"missing: not provided"),exact(metadata!I750,"missing: restricted access"))),AND(IF(metadata!I750="",FALSE,TRUE),OR(exact(metadata!I750,"air"),exact(metadata!I750,"built environment"),exact(metadata!I750,"host-associated"),exact(metadata!I750,"human-associated"),exact(metadata!I750,"human-skin"),exact(metadata!I750,"human-oral"),exact(metadata!I750,"human-gut"),exact(metadata!I750,"human-vaginal"),exact(metadata!I750,"microbial mat/biofilm"),exact(metadata!I750,"misc environment"),exact(metadata!I750,"plant-associated"),exact(metadata!I750,"sediment"),exact(metadata!I750,"soil"),exact(metadata!I750,"wastewater/sludge"),exact(metadata!I750,"water"))))</f>
        <v>0</v>
      </c>
      <c r="AJ750">
        <f>IF(metadata!J750="",FALSE,TRUE)</f>
        <v>0</v>
      </c>
      <c r="AK750">
        <f>OR(AND(IF(metadata!K750="",FALSE,TRUE),OR(exact(metadata!K750,"missing: not collected"),exact(metadata!K750,"missing: not provided"),exact(metadata!K750,"missing: restricted access"))),AND(IF(metadata!K750="",FALSE,ISNUMBER(VALUE(metadata!K750))),metadata!K750&gt;=-90.00,metadata!K750&lt;=90.00))</f>
        <v>0</v>
      </c>
      <c r="AL750">
        <f>OR(AND(IF(metadata!L750="",FALSE,TRUE),OR(exact(metadata!L750,"missing: not collected"),exact(metadata!L750,"missing: not provided"),exact(metadata!L750,"missing: restricted access"))),AND(IF(metadata!L750="",FALSE,ISNUMBER(VALUE(metadata!L750))),metadata!L750&gt;=-180.00,metadata!L750&lt;=180.00))</f>
        <v>0</v>
      </c>
      <c r="AM750">
        <f>IF(metadata!M750="",FALSE,TRUE)</f>
        <v>0</v>
      </c>
      <c r="AN750">
        <f>OR(AND(IF(metadata!N750="",FALSE,TRUE),OR(exact(metadata!N750,"missing: not collected"),exact(metadata!N750,"missing: not provided"),exact(metadata!N750,"missing: restricted access"))),AND(IF(metadata!N750="",FALSE,TRUE),OR(exact(metadata!N750,"TRUE"),exact(metadata!N750,"FALSE"))))</f>
        <v>0</v>
      </c>
      <c r="AO750">
        <f>IF(metadata!O750="",FALSE,TRUE)</f>
        <v>0</v>
      </c>
      <c r="AP750">
        <f>OR(AND(IF(metadata!P750="",FALSE,TRUE),OR(exact(metadata!P750,"missing: not collected"),exact(metadata!P750,"missing: not provided"))),AND(IF(metadata!P750="",FALSE,IF(ISERROR(INT(metadata!P750)),FALSE,INT(metadata!P750)=metadata!P750)),metadata!P750&gt;0))</f>
        <v>0</v>
      </c>
      <c r="AQ750">
        <f>IF(metadata!Q750="",FALSE,TRUE)</f>
        <v>0</v>
      </c>
    </row>
    <row r="751" spans="1:43">
      <c r="A751" s="5">
        <f>IF(B751=" "," ",HYPERLINK(CONCATENATE("#metadata!",ADDRESS(INDEX($W$2:$W$1001,MATCH(ROWS($U$2:U751),$U$2:$U$1001,0),0),1)),INDEX($Z$2:$Z$1001,MATCH(ROWS($U$2:U751),$U$2:$U$1001,0),0)))</f>
        <v>0</v>
      </c>
      <c r="B751" s="4">
        <f>IF(OR(INDEX($V$2:$V$1001,MATCH(ROWS($U$2:U751),$U$2:$U$1001,0),1)&gt;=100000,INDEX($AB$1005:$AQ$1005,1,MATCH(COLUMNS($AB$1006:AB1006),$AB$1006:$AQ$1006,0))&gt;=100000), " ",IF(INDEX($AB$2:$AQ$1001,MATCH(ROWS($U$2:U751),$U$2:$U$1001,0),MATCH(COLUMNS($AB$1006:AB1006),$AB$1006:$AQ$1006,0)), HYPERLINK("#",""), HYPERLINK(CONCATENATE("#metadata!", ADDRESS(INDEX($W$2:$W$1001,MATCH(ROWS($U$2:U751),$U$2:$U$1001,0),0), INDEX($AB$1004:$AQ$1004,1,MATCH(COLUMNS($AB$1006:AB1006),$AB$1006:$AQ$1006,0)))),"Fix")))</f>
        <v>0</v>
      </c>
      <c r="C751" s="4">
        <f>IF(OR(INDEX($V$2:$V$1001,MATCH(ROWS($U$2:U751),$U$2:$U$1001,0),1)&gt;=100000,INDEX($AB$1005:$AQ$1005,1,MATCH(COLUMNS($AB$1006:AC1006),$AB$1006:$AQ$1006,0))&gt;=100000), " ",IF(INDEX($AB$2:$AQ$1001,MATCH(ROWS($U$2:U751),$U$2:$U$1001,0),MATCH(COLUMNS($AB$1006:AC1006),$AB$1006:$AQ$1006,0)), HYPERLINK("#",""), HYPERLINK(CONCATENATE("#metadata!", ADDRESS(INDEX($W$2:$W$1001,MATCH(ROWS($U$2:U751),$U$2:$U$1001,0),0), INDEX($AB$1004:$AQ$1004,1,MATCH(COLUMNS($AB$1006:AC1006),$AB$1006:$AQ$1006,0)))),"Fix")))</f>
        <v>0</v>
      </c>
      <c r="D751" s="4">
        <f>IF(OR(INDEX($V$2:$V$1001,MATCH(ROWS($U$2:U751),$U$2:$U$1001,0),1)&gt;=100000,INDEX($AB$1005:$AQ$1005,1,MATCH(COLUMNS($AB$1006:AD1006),$AB$1006:$AQ$1006,0))&gt;=100000), " ",IF(INDEX($AB$2:$AQ$1001,MATCH(ROWS($U$2:U751),$U$2:$U$1001,0),MATCH(COLUMNS($AB$1006:AD1006),$AB$1006:$AQ$1006,0)), HYPERLINK("#",""), HYPERLINK(CONCATENATE("#metadata!", ADDRESS(INDEX($W$2:$W$1001,MATCH(ROWS($U$2:U751),$U$2:$U$1001,0),0), INDEX($AB$1004:$AQ$1004,1,MATCH(COLUMNS($AB$1006:AD1006),$AB$1006:$AQ$1006,0)))),"Fix")))</f>
        <v>0</v>
      </c>
      <c r="E751" s="4">
        <f>IF(OR(INDEX($V$2:$V$1001,MATCH(ROWS($U$2:U751),$U$2:$U$1001,0),1)&gt;=100000,INDEX($AB$1005:$AQ$1005,1,MATCH(COLUMNS($AB$1006:AE1006),$AB$1006:$AQ$1006,0))&gt;=100000), " ",IF(INDEX($AB$2:$AQ$1001,MATCH(ROWS($U$2:U751),$U$2:$U$1001,0),MATCH(COLUMNS($AB$1006:AE1006),$AB$1006:$AQ$1006,0)), HYPERLINK("#",""), HYPERLINK(CONCATENATE("#metadata!", ADDRESS(INDEX($W$2:$W$1001,MATCH(ROWS($U$2:U751),$U$2:$U$1001,0),0), INDEX($AB$1004:$AQ$1004,1,MATCH(COLUMNS($AB$1006:AE1006),$AB$1006:$AQ$1006,0)))),"Fix")))</f>
        <v>0</v>
      </c>
      <c r="F751" s="4">
        <f>IF(OR(INDEX($V$2:$V$1001,MATCH(ROWS($U$2:U751),$U$2:$U$1001,0),1)&gt;=100000,INDEX($AB$1005:$AQ$1005,1,MATCH(COLUMNS($AB$1006:AF1006),$AB$1006:$AQ$1006,0))&gt;=100000), " ",IF(INDEX($AB$2:$AQ$1001,MATCH(ROWS($U$2:U751),$U$2:$U$1001,0),MATCH(COLUMNS($AB$1006:AF1006),$AB$1006:$AQ$1006,0)), HYPERLINK("#",""), HYPERLINK(CONCATENATE("#metadata!", ADDRESS(INDEX($W$2:$W$1001,MATCH(ROWS($U$2:U751),$U$2:$U$1001,0),0), INDEX($AB$1004:$AQ$1004,1,MATCH(COLUMNS($AB$1006:AF1006),$AB$1006:$AQ$1006,0)))),"Fix")))</f>
        <v>0</v>
      </c>
      <c r="G751" s="4">
        <f>IF(OR(INDEX($V$2:$V$1001,MATCH(ROWS($U$2:U751),$U$2:$U$1001,0),1)&gt;=100000,INDEX($AB$1005:$AQ$1005,1,MATCH(COLUMNS($AB$1006:AG1006),$AB$1006:$AQ$1006,0))&gt;=100000), " ",IF(INDEX($AB$2:$AQ$1001,MATCH(ROWS($U$2:U751),$U$2:$U$1001,0),MATCH(COLUMNS($AB$1006:AG1006),$AB$1006:$AQ$1006,0)), HYPERLINK("#",""), HYPERLINK(CONCATENATE("#metadata!", ADDRESS(INDEX($W$2:$W$1001,MATCH(ROWS($U$2:U751),$U$2:$U$1001,0),0), INDEX($AB$1004:$AQ$1004,1,MATCH(COLUMNS($AB$1006:AG1006),$AB$1006:$AQ$1006,0)))),"Fix")))</f>
        <v>0</v>
      </c>
      <c r="H751" s="4">
        <f>IF(OR(INDEX($V$2:$V$1001,MATCH(ROWS($U$2:U751),$U$2:$U$1001,0),1)&gt;=100000,INDEX($AB$1005:$AQ$1005,1,MATCH(COLUMNS($AB$1006:AH1006),$AB$1006:$AQ$1006,0))&gt;=100000), " ",IF(INDEX($AB$2:$AQ$1001,MATCH(ROWS($U$2:U751),$U$2:$U$1001,0),MATCH(COLUMNS($AB$1006:AH1006),$AB$1006:$AQ$1006,0)), HYPERLINK("#",""), HYPERLINK(CONCATENATE("#metadata!", ADDRESS(INDEX($W$2:$W$1001,MATCH(ROWS($U$2:U751),$U$2:$U$1001,0),0), INDEX($AB$1004:$AQ$1004,1,MATCH(COLUMNS($AB$1006:AH1006),$AB$1006:$AQ$1006,0)))),"Fix")))</f>
        <v>0</v>
      </c>
      <c r="I751" s="4">
        <f>IF(OR(INDEX($V$2:$V$1001,MATCH(ROWS($U$2:U751),$U$2:$U$1001,0),1)&gt;=100000,INDEX($AB$1005:$AQ$1005,1,MATCH(COLUMNS($AB$1006:AI1006),$AB$1006:$AQ$1006,0))&gt;=100000), " ",IF(INDEX($AB$2:$AQ$1001,MATCH(ROWS($U$2:U751),$U$2:$U$1001,0),MATCH(COLUMNS($AB$1006:AI1006),$AB$1006:$AQ$1006,0)), HYPERLINK("#",""), HYPERLINK(CONCATENATE("#metadata!", ADDRESS(INDEX($W$2:$W$1001,MATCH(ROWS($U$2:U751),$U$2:$U$1001,0),0), INDEX($AB$1004:$AQ$1004,1,MATCH(COLUMNS($AB$1006:AI1006),$AB$1006:$AQ$1006,0)))),"Fix")))</f>
        <v>0</v>
      </c>
      <c r="J751" s="4">
        <f>IF(OR(INDEX($V$2:$V$1001,MATCH(ROWS($U$2:U751),$U$2:$U$1001,0),1)&gt;=100000,INDEX($AB$1005:$AQ$1005,1,MATCH(COLUMNS($AB$1006:AJ1006),$AB$1006:$AQ$1006,0))&gt;=100000), " ",IF(INDEX($AB$2:$AQ$1001,MATCH(ROWS($U$2:U751),$U$2:$U$1001,0),MATCH(COLUMNS($AB$1006:AJ1006),$AB$1006:$AQ$1006,0)), HYPERLINK("#",""), HYPERLINK(CONCATENATE("#metadata!", ADDRESS(INDEX($W$2:$W$1001,MATCH(ROWS($U$2:U751),$U$2:$U$1001,0),0), INDEX($AB$1004:$AQ$1004,1,MATCH(COLUMNS($AB$1006:AJ1006),$AB$1006:$AQ$1006,0)))),"Fix")))</f>
        <v>0</v>
      </c>
      <c r="K751" s="4">
        <f>IF(OR(INDEX($V$2:$V$1001,MATCH(ROWS($U$2:U751),$U$2:$U$1001,0),1)&gt;=100000,INDEX($AB$1005:$AQ$1005,1,MATCH(COLUMNS($AB$1006:AK1006),$AB$1006:$AQ$1006,0))&gt;=100000), " ",IF(INDEX($AB$2:$AQ$1001,MATCH(ROWS($U$2:U751),$U$2:$U$1001,0),MATCH(COLUMNS($AB$1006:AK1006),$AB$1006:$AQ$1006,0)), HYPERLINK("#",""), HYPERLINK(CONCATENATE("#metadata!", ADDRESS(INDEX($W$2:$W$1001,MATCH(ROWS($U$2:U751),$U$2:$U$1001,0),0), INDEX($AB$1004:$AQ$1004,1,MATCH(COLUMNS($AB$1006:AK1006),$AB$1006:$AQ$1006,0)))),"Fix")))</f>
        <v>0</v>
      </c>
      <c r="L751" s="4">
        <f>IF(OR(INDEX($V$2:$V$1001,MATCH(ROWS($U$2:U751),$U$2:$U$1001,0),1)&gt;=100000,INDEX($AB$1005:$AQ$1005,1,MATCH(COLUMNS($AB$1006:AL1006),$AB$1006:$AQ$1006,0))&gt;=100000), " ",IF(INDEX($AB$2:$AQ$1001,MATCH(ROWS($U$2:U751),$U$2:$U$1001,0),MATCH(COLUMNS($AB$1006:AL1006),$AB$1006:$AQ$1006,0)), HYPERLINK("#",""), HYPERLINK(CONCATENATE("#metadata!", ADDRESS(INDEX($W$2:$W$1001,MATCH(ROWS($U$2:U751),$U$2:$U$1001,0),0), INDEX($AB$1004:$AQ$1004,1,MATCH(COLUMNS($AB$1006:AL1006),$AB$1006:$AQ$1006,0)))),"Fix")))</f>
        <v>0</v>
      </c>
      <c r="M751" s="4">
        <f>IF(OR(INDEX($V$2:$V$1001,MATCH(ROWS($U$2:U751),$U$2:$U$1001,0),1)&gt;=100000,INDEX($AB$1005:$AQ$1005,1,MATCH(COLUMNS($AB$1006:AM1006),$AB$1006:$AQ$1006,0))&gt;=100000), " ",IF(INDEX($AB$2:$AQ$1001,MATCH(ROWS($U$2:U751),$U$2:$U$1001,0),MATCH(COLUMNS($AB$1006:AM1006),$AB$1006:$AQ$1006,0)), HYPERLINK("#",""), HYPERLINK(CONCATENATE("#metadata!", ADDRESS(INDEX($W$2:$W$1001,MATCH(ROWS($U$2:U751),$U$2:$U$1001,0),0), INDEX($AB$1004:$AQ$1004,1,MATCH(COLUMNS($AB$1006:AM1006),$AB$1006:$AQ$1006,0)))),"Fix")))</f>
        <v>0</v>
      </c>
      <c r="N751" s="4">
        <f>IF(OR(INDEX($V$2:$V$1001,MATCH(ROWS($U$2:U751),$U$2:$U$1001,0),1)&gt;=100000,INDEX($AB$1005:$AQ$1005,1,MATCH(COLUMNS($AB$1006:AN1006),$AB$1006:$AQ$1006,0))&gt;=100000), " ",IF(INDEX($AB$2:$AQ$1001,MATCH(ROWS($U$2:U751),$U$2:$U$1001,0),MATCH(COLUMNS($AB$1006:AN1006),$AB$1006:$AQ$1006,0)), HYPERLINK("#",""), HYPERLINK(CONCATENATE("#metadata!", ADDRESS(INDEX($W$2:$W$1001,MATCH(ROWS($U$2:U751),$U$2:$U$1001,0),0), INDEX($AB$1004:$AQ$1004,1,MATCH(COLUMNS($AB$1006:AN1006),$AB$1006:$AQ$1006,0)))),"Fix")))</f>
        <v>0</v>
      </c>
      <c r="O751" s="4">
        <f>IF(OR(INDEX($V$2:$V$1001,MATCH(ROWS($U$2:U751),$U$2:$U$1001,0),1)&gt;=100000,INDEX($AB$1005:$AQ$1005,1,MATCH(COLUMNS($AB$1006:AO1006),$AB$1006:$AQ$1006,0))&gt;=100000), " ",IF(INDEX($AB$2:$AQ$1001,MATCH(ROWS($U$2:U751),$U$2:$U$1001,0),MATCH(COLUMNS($AB$1006:AO1006),$AB$1006:$AQ$1006,0)), HYPERLINK("#",""), HYPERLINK(CONCATENATE("#metadata!", ADDRESS(INDEX($W$2:$W$1001,MATCH(ROWS($U$2:U751),$U$2:$U$1001,0),0), INDEX($AB$1004:$AQ$1004,1,MATCH(COLUMNS($AB$1006:AO1006),$AB$1006:$AQ$1006,0)))),"Fix")))</f>
        <v>0</v>
      </c>
      <c r="P751" s="4">
        <f>IF(OR(INDEX($V$2:$V$1001,MATCH(ROWS($U$2:U751),$U$2:$U$1001,0),1)&gt;=100000,INDEX($AB$1005:$AQ$1005,1,MATCH(COLUMNS($AB$1006:AP1006),$AB$1006:$AQ$1006,0))&gt;=100000), " ",IF(INDEX($AB$2:$AQ$1001,MATCH(ROWS($U$2:U751),$U$2:$U$1001,0),MATCH(COLUMNS($AB$1006:AP1006),$AB$1006:$AQ$1006,0)), HYPERLINK("#",""), HYPERLINK(CONCATENATE("#metadata!", ADDRESS(INDEX($W$2:$W$1001,MATCH(ROWS($U$2:U751),$U$2:$U$1001,0),0), INDEX($AB$1004:$AQ$1004,1,MATCH(COLUMNS($AB$1006:AP1006),$AB$1006:$AQ$1006,0)))),"Fix")))</f>
        <v>0</v>
      </c>
      <c r="Q751" s="4">
        <f>IF(OR(INDEX($V$2:$V$1001,MATCH(ROWS($U$2:U751),$U$2:$U$1001,0),1)&gt;=100000,INDEX($AB$1005:$AQ$1005,1,MATCH(COLUMNS($AB$1006:AQ1006),$AB$1006:$AQ$1006,0))&gt;=100000), " ",IF(INDEX($AB$2:$AQ$1001,MATCH(ROWS($U$2:U751),$U$2:$U$1001,0),MATCH(COLUMNS($AB$1006:AQ1006),$AB$1006:$AQ$1006,0)), HYPERLINK("#",""), HYPERLINK(CONCATENATE("#metadata!", ADDRESS(INDEX($W$2:$W$1001,MATCH(ROWS($U$2:U751),$U$2:$U$1001,0),0), INDEX($AB$1004:$AQ$1004,1,MATCH(COLUMNS($AB$1006:AQ1006),$AB$1006:$AQ$1006,0)))),"Fix")))</f>
        <v>0</v>
      </c>
      <c r="U751">
        <v>0</v>
      </c>
      <c r="V751">
        <v>0</v>
      </c>
      <c r="W751">
        <v>0</v>
      </c>
      <c r="X751">
        <f>IF(Y751,TRUE,AND(AB751:AQ751))</f>
        <v>0</v>
      </c>
      <c r="Y751">
        <f>COUNTBLANK(metadata!B751:Q751)=COLUMNS(metadata!B751:Q751)</f>
        <v>0</v>
      </c>
      <c r="Z751">
        <v>0</v>
      </c>
      <c r="AB751">
        <f>AND(IF(metadata!B751="",FALSE,TRUE),COUNTIF(metadata!B:B, metadata!B751) = 1,NOT(ISERROR(SUMPRODUCT(SEARCH(MID(metadata!B751,ROW(INDIRECT("1:"&amp;LEN(metadata!B751))), 1),"0123456789abcdefghijklmnopqrstuvwxyzABCDEFGHIJKLMNOPQRSTUVWXYZ.")))))</f>
        <v>0</v>
      </c>
      <c r="AC751">
        <f>OR(AND(IF(metadata!C751="",FALSE,TRUE),OR(exact(metadata!C751,"missing: not collected"),exact(metadata!C751,"missing: not provided"),exact(metadata!C751,"missing: restricted access"))),AND(IF(metadata!C751="",FALSE,TRUE),AND(AND(IFERROR(INT(LEFT(metadata!C751,4))&gt;1900,FALSE),IFERROR(INT(LEFT(metadata!C751,4))&lt;=YEAR(NOW()),FALSE)), OR(MID(metadata!C751,5,1)="", AND(AND(MID(metadata!C751,5,1)="-",IFERROR(INT(MID(metadata!C751,6,1))&gt;=0,FALSE),IFERROR(INT(MID(metadata!C751,6,1))&lt;=1,FALSE),NOT(MID(metadata!C751,7,1)=""),IFERROR(INT(MID(metadata!C751,6,2))&gt;=1,FALSE),IFERROR(INT(MID(metadata!C751,6,2))&lt;=12,FALSE)), OR(MID(metadata!C751,8,1)="", AND(AND(MID(metadata!C751,8,1)="-",IFERROR(INT(MID(metadata!C751,9,1))&gt;=0,FALSE),IFERROR(INT(MID(metadata!C751,9,1))&lt;=3,FALSE),NOT(MID(metadata!C751,10,1)=""),IFERROR(INT(MID(metadata!C751,9,2))&gt;=1,FALSE),IFERROR(INT(MID(metadata!C751,9,2))&lt;=31,FALSE)), OR(MID(metadata!C751,11,1)="", AND(AND(MID(metadata!C751,11,1)=" ",IFERROR(INT(MID(metadata!C751,12,1))&gt;=0,FALSE),IFERROR(INT(MID(metadata!C751,12,1))&lt;=2,FALSE),NOT(MID(metadata!C751,13,1)=""),IFERROR(INT(MID(metadata!C751,12,2))&gt;=0,FALSE),IFERROR(INT(MID(metadata!C751,12,2))&lt;=23,FALSE)), OR(MID(metadata!C751,14,1)="", AND(AND(MID(metadata!C751,14,1)=":",IFERROR(INT(MID(metadata!C751,15,1))&gt;=0,FALSE),IFERROR(INT(MID(metadata!C751,15,1))&lt;=5,FALSE),NOT(MID(metadata!C751,16,1)=""),IFERROR(INT(MID(metadata!C751,15,2))&gt;=0,FALSE),IFERROR(INT(MID(metadata!C751,15,2))&lt;=59,FALSE)), OR(MID(metadata!C751,17,1)="", AND(AND(MID(metadata!C751,17,1)=":",IFERROR(INT(MID(metadata!C751,18,1))&gt;=0,FALSE),IFERROR(INT(MID(metadata!C751,18,1))&lt;=5,FALSE),NOT(MID(metadata!C751,19,1)=""),IFERROR(INT(MID(metadata!C751,18,2))&gt;=0,FALSE),IFERROR(INT(MID(metadata!C751,18,2))&lt;=59,FALSE)), LEN(metadata!C751)&lt;=19)))))))))))))</f>
        <v>0</v>
      </c>
      <c r="AD751">
        <f>IF(metadata!D751="",FALSE,TRUE)</f>
        <v>0</v>
      </c>
      <c r="AE751">
        <f>OR(AND(IF(metadata!E751="",FALSE,TRUE),OR(exact(metadata!E751,"missing: not collected"),exact(metadata!E751,"missing: not provided"))),AND(IF(metadata!E751="",FALSE,TRUE),OR(exact(metadata!E751,"TRUE"),exact(metadata!E751,"FALSE"))))</f>
        <v>0</v>
      </c>
      <c r="AF751">
        <f>IF(metadata!F751="",FALSE,TRUE)</f>
        <v>0</v>
      </c>
      <c r="AG751">
        <f>IF(metadata!G751="",FALSE,TRUE)</f>
        <v>0</v>
      </c>
      <c r="AH751">
        <f>IF(metadata!H751="",FALSE,TRUE)</f>
        <v>0</v>
      </c>
      <c r="AI751">
        <f>OR(AND(IF(metadata!I751="",FALSE,TRUE),OR(exact(metadata!I751,"missing: not collected"),exact(metadata!I751,"missing: not provided"),exact(metadata!I751,"missing: restricted access"))),AND(IF(metadata!I751="",FALSE,TRUE),OR(exact(metadata!I751,"air"),exact(metadata!I751,"built environment"),exact(metadata!I751,"host-associated"),exact(metadata!I751,"human-associated"),exact(metadata!I751,"human-skin"),exact(metadata!I751,"human-oral"),exact(metadata!I751,"human-gut"),exact(metadata!I751,"human-vaginal"),exact(metadata!I751,"microbial mat/biofilm"),exact(metadata!I751,"misc environment"),exact(metadata!I751,"plant-associated"),exact(metadata!I751,"sediment"),exact(metadata!I751,"soil"),exact(metadata!I751,"wastewater/sludge"),exact(metadata!I751,"water"))))</f>
        <v>0</v>
      </c>
      <c r="AJ751">
        <f>IF(metadata!J751="",FALSE,TRUE)</f>
        <v>0</v>
      </c>
      <c r="AK751">
        <f>OR(AND(IF(metadata!K751="",FALSE,TRUE),OR(exact(metadata!K751,"missing: not collected"),exact(metadata!K751,"missing: not provided"),exact(metadata!K751,"missing: restricted access"))),AND(IF(metadata!K751="",FALSE,ISNUMBER(VALUE(metadata!K751))),metadata!K751&gt;=-90.00,metadata!K751&lt;=90.00))</f>
        <v>0</v>
      </c>
      <c r="AL751">
        <f>OR(AND(IF(metadata!L751="",FALSE,TRUE),OR(exact(metadata!L751,"missing: not collected"),exact(metadata!L751,"missing: not provided"),exact(metadata!L751,"missing: restricted access"))),AND(IF(metadata!L751="",FALSE,ISNUMBER(VALUE(metadata!L751))),metadata!L751&gt;=-180.00,metadata!L751&lt;=180.00))</f>
        <v>0</v>
      </c>
      <c r="AM751">
        <f>IF(metadata!M751="",FALSE,TRUE)</f>
        <v>0</v>
      </c>
      <c r="AN751">
        <f>OR(AND(IF(metadata!N751="",FALSE,TRUE),OR(exact(metadata!N751,"missing: not collected"),exact(metadata!N751,"missing: not provided"),exact(metadata!N751,"missing: restricted access"))),AND(IF(metadata!N751="",FALSE,TRUE),OR(exact(metadata!N751,"TRUE"),exact(metadata!N751,"FALSE"))))</f>
        <v>0</v>
      </c>
      <c r="AO751">
        <f>IF(metadata!O751="",FALSE,TRUE)</f>
        <v>0</v>
      </c>
      <c r="AP751">
        <f>OR(AND(IF(metadata!P751="",FALSE,TRUE),OR(exact(metadata!P751,"missing: not collected"),exact(metadata!P751,"missing: not provided"))),AND(IF(metadata!P751="",FALSE,IF(ISERROR(INT(metadata!P751)),FALSE,INT(metadata!P751)=metadata!P751)),metadata!P751&gt;0))</f>
        <v>0</v>
      </c>
      <c r="AQ751">
        <f>IF(metadata!Q751="",FALSE,TRUE)</f>
        <v>0</v>
      </c>
    </row>
    <row r="752" spans="1:43">
      <c r="A752" s="5">
        <f>IF(B752=" "," ",HYPERLINK(CONCATENATE("#metadata!",ADDRESS(INDEX($W$2:$W$1001,MATCH(ROWS($U$2:U752),$U$2:$U$1001,0),0),1)),INDEX($Z$2:$Z$1001,MATCH(ROWS($U$2:U752),$U$2:$U$1001,0),0)))</f>
        <v>0</v>
      </c>
      <c r="B752" s="4">
        <f>IF(OR(INDEX($V$2:$V$1001,MATCH(ROWS($U$2:U752),$U$2:$U$1001,0),1)&gt;=100000,INDEX($AB$1005:$AQ$1005,1,MATCH(COLUMNS($AB$1006:AB1006),$AB$1006:$AQ$1006,0))&gt;=100000), " ",IF(INDEX($AB$2:$AQ$1001,MATCH(ROWS($U$2:U752),$U$2:$U$1001,0),MATCH(COLUMNS($AB$1006:AB1006),$AB$1006:$AQ$1006,0)), HYPERLINK("#",""), HYPERLINK(CONCATENATE("#metadata!", ADDRESS(INDEX($W$2:$W$1001,MATCH(ROWS($U$2:U752),$U$2:$U$1001,0),0), INDEX($AB$1004:$AQ$1004,1,MATCH(COLUMNS($AB$1006:AB1006),$AB$1006:$AQ$1006,0)))),"Fix")))</f>
        <v>0</v>
      </c>
      <c r="C752" s="4">
        <f>IF(OR(INDEX($V$2:$V$1001,MATCH(ROWS($U$2:U752),$U$2:$U$1001,0),1)&gt;=100000,INDEX($AB$1005:$AQ$1005,1,MATCH(COLUMNS($AB$1006:AC1006),$AB$1006:$AQ$1006,0))&gt;=100000), " ",IF(INDEX($AB$2:$AQ$1001,MATCH(ROWS($U$2:U752),$U$2:$U$1001,0),MATCH(COLUMNS($AB$1006:AC1006),$AB$1006:$AQ$1006,0)), HYPERLINK("#",""), HYPERLINK(CONCATENATE("#metadata!", ADDRESS(INDEX($W$2:$W$1001,MATCH(ROWS($U$2:U752),$U$2:$U$1001,0),0), INDEX($AB$1004:$AQ$1004,1,MATCH(COLUMNS($AB$1006:AC1006),$AB$1006:$AQ$1006,0)))),"Fix")))</f>
        <v>0</v>
      </c>
      <c r="D752" s="4">
        <f>IF(OR(INDEX($V$2:$V$1001,MATCH(ROWS($U$2:U752),$U$2:$U$1001,0),1)&gt;=100000,INDEX($AB$1005:$AQ$1005,1,MATCH(COLUMNS($AB$1006:AD1006),$AB$1006:$AQ$1006,0))&gt;=100000), " ",IF(INDEX($AB$2:$AQ$1001,MATCH(ROWS($U$2:U752),$U$2:$U$1001,0),MATCH(COLUMNS($AB$1006:AD1006),$AB$1006:$AQ$1006,0)), HYPERLINK("#",""), HYPERLINK(CONCATENATE("#metadata!", ADDRESS(INDEX($W$2:$W$1001,MATCH(ROWS($U$2:U752),$U$2:$U$1001,0),0), INDEX($AB$1004:$AQ$1004,1,MATCH(COLUMNS($AB$1006:AD1006),$AB$1006:$AQ$1006,0)))),"Fix")))</f>
        <v>0</v>
      </c>
      <c r="E752" s="4">
        <f>IF(OR(INDEX($V$2:$V$1001,MATCH(ROWS($U$2:U752),$U$2:$U$1001,0),1)&gt;=100000,INDEX($AB$1005:$AQ$1005,1,MATCH(COLUMNS($AB$1006:AE1006),$AB$1006:$AQ$1006,0))&gt;=100000), " ",IF(INDEX($AB$2:$AQ$1001,MATCH(ROWS($U$2:U752),$U$2:$U$1001,0),MATCH(COLUMNS($AB$1006:AE1006),$AB$1006:$AQ$1006,0)), HYPERLINK("#",""), HYPERLINK(CONCATENATE("#metadata!", ADDRESS(INDEX($W$2:$W$1001,MATCH(ROWS($U$2:U752),$U$2:$U$1001,0),0), INDEX($AB$1004:$AQ$1004,1,MATCH(COLUMNS($AB$1006:AE1006),$AB$1006:$AQ$1006,0)))),"Fix")))</f>
        <v>0</v>
      </c>
      <c r="F752" s="4">
        <f>IF(OR(INDEX($V$2:$V$1001,MATCH(ROWS($U$2:U752),$U$2:$U$1001,0),1)&gt;=100000,INDEX($AB$1005:$AQ$1005,1,MATCH(COLUMNS($AB$1006:AF1006),$AB$1006:$AQ$1006,0))&gt;=100000), " ",IF(INDEX($AB$2:$AQ$1001,MATCH(ROWS($U$2:U752),$U$2:$U$1001,0),MATCH(COLUMNS($AB$1006:AF1006),$AB$1006:$AQ$1006,0)), HYPERLINK("#",""), HYPERLINK(CONCATENATE("#metadata!", ADDRESS(INDEX($W$2:$W$1001,MATCH(ROWS($U$2:U752),$U$2:$U$1001,0),0), INDEX($AB$1004:$AQ$1004,1,MATCH(COLUMNS($AB$1006:AF1006),$AB$1006:$AQ$1006,0)))),"Fix")))</f>
        <v>0</v>
      </c>
      <c r="G752" s="4">
        <f>IF(OR(INDEX($V$2:$V$1001,MATCH(ROWS($U$2:U752),$U$2:$U$1001,0),1)&gt;=100000,INDEX($AB$1005:$AQ$1005,1,MATCH(COLUMNS($AB$1006:AG1006),$AB$1006:$AQ$1006,0))&gt;=100000), " ",IF(INDEX($AB$2:$AQ$1001,MATCH(ROWS($U$2:U752),$U$2:$U$1001,0),MATCH(COLUMNS($AB$1006:AG1006),$AB$1006:$AQ$1006,0)), HYPERLINK("#",""), HYPERLINK(CONCATENATE("#metadata!", ADDRESS(INDEX($W$2:$W$1001,MATCH(ROWS($U$2:U752),$U$2:$U$1001,0),0), INDEX($AB$1004:$AQ$1004,1,MATCH(COLUMNS($AB$1006:AG1006),$AB$1006:$AQ$1006,0)))),"Fix")))</f>
        <v>0</v>
      </c>
      <c r="H752" s="4">
        <f>IF(OR(INDEX($V$2:$V$1001,MATCH(ROWS($U$2:U752),$U$2:$U$1001,0),1)&gt;=100000,INDEX($AB$1005:$AQ$1005,1,MATCH(COLUMNS($AB$1006:AH1006),$AB$1006:$AQ$1006,0))&gt;=100000), " ",IF(INDEX($AB$2:$AQ$1001,MATCH(ROWS($U$2:U752),$U$2:$U$1001,0),MATCH(COLUMNS($AB$1006:AH1006),$AB$1006:$AQ$1006,0)), HYPERLINK("#",""), HYPERLINK(CONCATENATE("#metadata!", ADDRESS(INDEX($W$2:$W$1001,MATCH(ROWS($U$2:U752),$U$2:$U$1001,0),0), INDEX($AB$1004:$AQ$1004,1,MATCH(COLUMNS($AB$1006:AH1006),$AB$1006:$AQ$1006,0)))),"Fix")))</f>
        <v>0</v>
      </c>
      <c r="I752" s="4">
        <f>IF(OR(INDEX($V$2:$V$1001,MATCH(ROWS($U$2:U752),$U$2:$U$1001,0),1)&gt;=100000,INDEX($AB$1005:$AQ$1005,1,MATCH(COLUMNS($AB$1006:AI1006),$AB$1006:$AQ$1006,0))&gt;=100000), " ",IF(INDEX($AB$2:$AQ$1001,MATCH(ROWS($U$2:U752),$U$2:$U$1001,0),MATCH(COLUMNS($AB$1006:AI1006),$AB$1006:$AQ$1006,0)), HYPERLINK("#",""), HYPERLINK(CONCATENATE("#metadata!", ADDRESS(INDEX($W$2:$W$1001,MATCH(ROWS($U$2:U752),$U$2:$U$1001,0),0), INDEX($AB$1004:$AQ$1004,1,MATCH(COLUMNS($AB$1006:AI1006),$AB$1006:$AQ$1006,0)))),"Fix")))</f>
        <v>0</v>
      </c>
      <c r="J752" s="4">
        <f>IF(OR(INDEX($V$2:$V$1001,MATCH(ROWS($U$2:U752),$U$2:$U$1001,0),1)&gt;=100000,INDEX($AB$1005:$AQ$1005,1,MATCH(COLUMNS($AB$1006:AJ1006),$AB$1006:$AQ$1006,0))&gt;=100000), " ",IF(INDEX($AB$2:$AQ$1001,MATCH(ROWS($U$2:U752),$U$2:$U$1001,0),MATCH(COLUMNS($AB$1006:AJ1006),$AB$1006:$AQ$1006,0)), HYPERLINK("#",""), HYPERLINK(CONCATENATE("#metadata!", ADDRESS(INDEX($W$2:$W$1001,MATCH(ROWS($U$2:U752),$U$2:$U$1001,0),0), INDEX($AB$1004:$AQ$1004,1,MATCH(COLUMNS($AB$1006:AJ1006),$AB$1006:$AQ$1006,0)))),"Fix")))</f>
        <v>0</v>
      </c>
      <c r="K752" s="4">
        <f>IF(OR(INDEX($V$2:$V$1001,MATCH(ROWS($U$2:U752),$U$2:$U$1001,0),1)&gt;=100000,INDEX($AB$1005:$AQ$1005,1,MATCH(COLUMNS($AB$1006:AK1006),$AB$1006:$AQ$1006,0))&gt;=100000), " ",IF(INDEX($AB$2:$AQ$1001,MATCH(ROWS($U$2:U752),$U$2:$U$1001,0),MATCH(COLUMNS($AB$1006:AK1006),$AB$1006:$AQ$1006,0)), HYPERLINK("#",""), HYPERLINK(CONCATENATE("#metadata!", ADDRESS(INDEX($W$2:$W$1001,MATCH(ROWS($U$2:U752),$U$2:$U$1001,0),0), INDEX($AB$1004:$AQ$1004,1,MATCH(COLUMNS($AB$1006:AK1006),$AB$1006:$AQ$1006,0)))),"Fix")))</f>
        <v>0</v>
      </c>
      <c r="L752" s="4">
        <f>IF(OR(INDEX($V$2:$V$1001,MATCH(ROWS($U$2:U752),$U$2:$U$1001,0),1)&gt;=100000,INDEX($AB$1005:$AQ$1005,1,MATCH(COLUMNS($AB$1006:AL1006),$AB$1006:$AQ$1006,0))&gt;=100000), " ",IF(INDEX($AB$2:$AQ$1001,MATCH(ROWS($U$2:U752),$U$2:$U$1001,0),MATCH(COLUMNS($AB$1006:AL1006),$AB$1006:$AQ$1006,0)), HYPERLINK("#",""), HYPERLINK(CONCATENATE("#metadata!", ADDRESS(INDEX($W$2:$W$1001,MATCH(ROWS($U$2:U752),$U$2:$U$1001,0),0), INDEX($AB$1004:$AQ$1004,1,MATCH(COLUMNS($AB$1006:AL1006),$AB$1006:$AQ$1006,0)))),"Fix")))</f>
        <v>0</v>
      </c>
      <c r="M752" s="4">
        <f>IF(OR(INDEX($V$2:$V$1001,MATCH(ROWS($U$2:U752),$U$2:$U$1001,0),1)&gt;=100000,INDEX($AB$1005:$AQ$1005,1,MATCH(COLUMNS($AB$1006:AM1006),$AB$1006:$AQ$1006,0))&gt;=100000), " ",IF(INDEX($AB$2:$AQ$1001,MATCH(ROWS($U$2:U752),$U$2:$U$1001,0),MATCH(COLUMNS($AB$1006:AM1006),$AB$1006:$AQ$1006,0)), HYPERLINK("#",""), HYPERLINK(CONCATENATE("#metadata!", ADDRESS(INDEX($W$2:$W$1001,MATCH(ROWS($U$2:U752),$U$2:$U$1001,0),0), INDEX($AB$1004:$AQ$1004,1,MATCH(COLUMNS($AB$1006:AM1006),$AB$1006:$AQ$1006,0)))),"Fix")))</f>
        <v>0</v>
      </c>
      <c r="N752" s="4">
        <f>IF(OR(INDEX($V$2:$V$1001,MATCH(ROWS($U$2:U752),$U$2:$U$1001,0),1)&gt;=100000,INDEX($AB$1005:$AQ$1005,1,MATCH(COLUMNS($AB$1006:AN1006),$AB$1006:$AQ$1006,0))&gt;=100000), " ",IF(INDEX($AB$2:$AQ$1001,MATCH(ROWS($U$2:U752),$U$2:$U$1001,0),MATCH(COLUMNS($AB$1006:AN1006),$AB$1006:$AQ$1006,0)), HYPERLINK("#",""), HYPERLINK(CONCATENATE("#metadata!", ADDRESS(INDEX($W$2:$W$1001,MATCH(ROWS($U$2:U752),$U$2:$U$1001,0),0), INDEX($AB$1004:$AQ$1004,1,MATCH(COLUMNS($AB$1006:AN1006),$AB$1006:$AQ$1006,0)))),"Fix")))</f>
        <v>0</v>
      </c>
      <c r="O752" s="4">
        <f>IF(OR(INDEX($V$2:$V$1001,MATCH(ROWS($U$2:U752),$U$2:$U$1001,0),1)&gt;=100000,INDEX($AB$1005:$AQ$1005,1,MATCH(COLUMNS($AB$1006:AO1006),$AB$1006:$AQ$1006,0))&gt;=100000), " ",IF(INDEX($AB$2:$AQ$1001,MATCH(ROWS($U$2:U752),$U$2:$U$1001,0),MATCH(COLUMNS($AB$1006:AO1006),$AB$1006:$AQ$1006,0)), HYPERLINK("#",""), HYPERLINK(CONCATENATE("#metadata!", ADDRESS(INDEX($W$2:$W$1001,MATCH(ROWS($U$2:U752),$U$2:$U$1001,0),0), INDEX($AB$1004:$AQ$1004,1,MATCH(COLUMNS($AB$1006:AO1006),$AB$1006:$AQ$1006,0)))),"Fix")))</f>
        <v>0</v>
      </c>
      <c r="P752" s="4">
        <f>IF(OR(INDEX($V$2:$V$1001,MATCH(ROWS($U$2:U752),$U$2:$U$1001,0),1)&gt;=100000,INDEX($AB$1005:$AQ$1005,1,MATCH(COLUMNS($AB$1006:AP1006),$AB$1006:$AQ$1006,0))&gt;=100000), " ",IF(INDEX($AB$2:$AQ$1001,MATCH(ROWS($U$2:U752),$U$2:$U$1001,0),MATCH(COLUMNS($AB$1006:AP1006),$AB$1006:$AQ$1006,0)), HYPERLINK("#",""), HYPERLINK(CONCATENATE("#metadata!", ADDRESS(INDEX($W$2:$W$1001,MATCH(ROWS($U$2:U752),$U$2:$U$1001,0),0), INDEX($AB$1004:$AQ$1004,1,MATCH(COLUMNS($AB$1006:AP1006),$AB$1006:$AQ$1006,0)))),"Fix")))</f>
        <v>0</v>
      </c>
      <c r="Q752" s="4">
        <f>IF(OR(INDEX($V$2:$V$1001,MATCH(ROWS($U$2:U752),$U$2:$U$1001,0),1)&gt;=100000,INDEX($AB$1005:$AQ$1005,1,MATCH(COLUMNS($AB$1006:AQ1006),$AB$1006:$AQ$1006,0))&gt;=100000), " ",IF(INDEX($AB$2:$AQ$1001,MATCH(ROWS($U$2:U752),$U$2:$U$1001,0),MATCH(COLUMNS($AB$1006:AQ1006),$AB$1006:$AQ$1006,0)), HYPERLINK("#",""), HYPERLINK(CONCATENATE("#metadata!", ADDRESS(INDEX($W$2:$W$1001,MATCH(ROWS($U$2:U752),$U$2:$U$1001,0),0), INDEX($AB$1004:$AQ$1004,1,MATCH(COLUMNS($AB$1006:AQ1006),$AB$1006:$AQ$1006,0)))),"Fix")))</f>
        <v>0</v>
      </c>
      <c r="U752">
        <v>0</v>
      </c>
      <c r="V752">
        <v>0</v>
      </c>
      <c r="W752">
        <v>0</v>
      </c>
      <c r="X752">
        <f>IF(Y752,TRUE,AND(AB752:AQ752))</f>
        <v>0</v>
      </c>
      <c r="Y752">
        <f>COUNTBLANK(metadata!B752:Q752)=COLUMNS(metadata!B752:Q752)</f>
        <v>0</v>
      </c>
      <c r="Z752">
        <v>0</v>
      </c>
      <c r="AB752">
        <f>AND(IF(metadata!B752="",FALSE,TRUE),COUNTIF(metadata!B:B, metadata!B752) = 1,NOT(ISERROR(SUMPRODUCT(SEARCH(MID(metadata!B752,ROW(INDIRECT("1:"&amp;LEN(metadata!B752))), 1),"0123456789abcdefghijklmnopqrstuvwxyzABCDEFGHIJKLMNOPQRSTUVWXYZ.")))))</f>
        <v>0</v>
      </c>
      <c r="AC752">
        <f>OR(AND(IF(metadata!C752="",FALSE,TRUE),OR(exact(metadata!C752,"missing: not collected"),exact(metadata!C752,"missing: not provided"),exact(metadata!C752,"missing: restricted access"))),AND(IF(metadata!C752="",FALSE,TRUE),AND(AND(IFERROR(INT(LEFT(metadata!C752,4))&gt;1900,FALSE),IFERROR(INT(LEFT(metadata!C752,4))&lt;=YEAR(NOW()),FALSE)), OR(MID(metadata!C752,5,1)="", AND(AND(MID(metadata!C752,5,1)="-",IFERROR(INT(MID(metadata!C752,6,1))&gt;=0,FALSE),IFERROR(INT(MID(metadata!C752,6,1))&lt;=1,FALSE),NOT(MID(metadata!C752,7,1)=""),IFERROR(INT(MID(metadata!C752,6,2))&gt;=1,FALSE),IFERROR(INT(MID(metadata!C752,6,2))&lt;=12,FALSE)), OR(MID(metadata!C752,8,1)="", AND(AND(MID(metadata!C752,8,1)="-",IFERROR(INT(MID(metadata!C752,9,1))&gt;=0,FALSE),IFERROR(INT(MID(metadata!C752,9,1))&lt;=3,FALSE),NOT(MID(metadata!C752,10,1)=""),IFERROR(INT(MID(metadata!C752,9,2))&gt;=1,FALSE),IFERROR(INT(MID(metadata!C752,9,2))&lt;=31,FALSE)), OR(MID(metadata!C752,11,1)="", AND(AND(MID(metadata!C752,11,1)=" ",IFERROR(INT(MID(metadata!C752,12,1))&gt;=0,FALSE),IFERROR(INT(MID(metadata!C752,12,1))&lt;=2,FALSE),NOT(MID(metadata!C752,13,1)=""),IFERROR(INT(MID(metadata!C752,12,2))&gt;=0,FALSE),IFERROR(INT(MID(metadata!C752,12,2))&lt;=23,FALSE)), OR(MID(metadata!C752,14,1)="", AND(AND(MID(metadata!C752,14,1)=":",IFERROR(INT(MID(metadata!C752,15,1))&gt;=0,FALSE),IFERROR(INT(MID(metadata!C752,15,1))&lt;=5,FALSE),NOT(MID(metadata!C752,16,1)=""),IFERROR(INT(MID(metadata!C752,15,2))&gt;=0,FALSE),IFERROR(INT(MID(metadata!C752,15,2))&lt;=59,FALSE)), OR(MID(metadata!C752,17,1)="", AND(AND(MID(metadata!C752,17,1)=":",IFERROR(INT(MID(metadata!C752,18,1))&gt;=0,FALSE),IFERROR(INT(MID(metadata!C752,18,1))&lt;=5,FALSE),NOT(MID(metadata!C752,19,1)=""),IFERROR(INT(MID(metadata!C752,18,2))&gt;=0,FALSE),IFERROR(INT(MID(metadata!C752,18,2))&lt;=59,FALSE)), LEN(metadata!C752)&lt;=19)))))))))))))</f>
        <v>0</v>
      </c>
      <c r="AD752">
        <f>IF(metadata!D752="",FALSE,TRUE)</f>
        <v>0</v>
      </c>
      <c r="AE752">
        <f>OR(AND(IF(metadata!E752="",FALSE,TRUE),OR(exact(metadata!E752,"missing: not collected"),exact(metadata!E752,"missing: not provided"))),AND(IF(metadata!E752="",FALSE,TRUE),OR(exact(metadata!E752,"TRUE"),exact(metadata!E752,"FALSE"))))</f>
        <v>0</v>
      </c>
      <c r="AF752">
        <f>IF(metadata!F752="",FALSE,TRUE)</f>
        <v>0</v>
      </c>
      <c r="AG752">
        <f>IF(metadata!G752="",FALSE,TRUE)</f>
        <v>0</v>
      </c>
      <c r="AH752">
        <f>IF(metadata!H752="",FALSE,TRUE)</f>
        <v>0</v>
      </c>
      <c r="AI752">
        <f>OR(AND(IF(metadata!I752="",FALSE,TRUE),OR(exact(metadata!I752,"missing: not collected"),exact(metadata!I752,"missing: not provided"),exact(metadata!I752,"missing: restricted access"))),AND(IF(metadata!I752="",FALSE,TRUE),OR(exact(metadata!I752,"air"),exact(metadata!I752,"built environment"),exact(metadata!I752,"host-associated"),exact(metadata!I752,"human-associated"),exact(metadata!I752,"human-skin"),exact(metadata!I752,"human-oral"),exact(metadata!I752,"human-gut"),exact(metadata!I752,"human-vaginal"),exact(metadata!I752,"microbial mat/biofilm"),exact(metadata!I752,"misc environment"),exact(metadata!I752,"plant-associated"),exact(metadata!I752,"sediment"),exact(metadata!I752,"soil"),exact(metadata!I752,"wastewater/sludge"),exact(metadata!I752,"water"))))</f>
        <v>0</v>
      </c>
      <c r="AJ752">
        <f>IF(metadata!J752="",FALSE,TRUE)</f>
        <v>0</v>
      </c>
      <c r="AK752">
        <f>OR(AND(IF(metadata!K752="",FALSE,TRUE),OR(exact(metadata!K752,"missing: not collected"),exact(metadata!K752,"missing: not provided"),exact(metadata!K752,"missing: restricted access"))),AND(IF(metadata!K752="",FALSE,ISNUMBER(VALUE(metadata!K752))),metadata!K752&gt;=-90.00,metadata!K752&lt;=90.00))</f>
        <v>0</v>
      </c>
      <c r="AL752">
        <f>OR(AND(IF(metadata!L752="",FALSE,TRUE),OR(exact(metadata!L752,"missing: not collected"),exact(metadata!L752,"missing: not provided"),exact(metadata!L752,"missing: restricted access"))),AND(IF(metadata!L752="",FALSE,ISNUMBER(VALUE(metadata!L752))),metadata!L752&gt;=-180.00,metadata!L752&lt;=180.00))</f>
        <v>0</v>
      </c>
      <c r="AM752">
        <f>IF(metadata!M752="",FALSE,TRUE)</f>
        <v>0</v>
      </c>
      <c r="AN752">
        <f>OR(AND(IF(metadata!N752="",FALSE,TRUE),OR(exact(metadata!N752,"missing: not collected"),exact(metadata!N752,"missing: not provided"),exact(metadata!N752,"missing: restricted access"))),AND(IF(metadata!N752="",FALSE,TRUE),OR(exact(metadata!N752,"TRUE"),exact(metadata!N752,"FALSE"))))</f>
        <v>0</v>
      </c>
      <c r="AO752">
        <f>IF(metadata!O752="",FALSE,TRUE)</f>
        <v>0</v>
      </c>
      <c r="AP752">
        <f>OR(AND(IF(metadata!P752="",FALSE,TRUE),OR(exact(metadata!P752,"missing: not collected"),exact(metadata!P752,"missing: not provided"))),AND(IF(metadata!P752="",FALSE,IF(ISERROR(INT(metadata!P752)),FALSE,INT(metadata!P752)=metadata!P752)),metadata!P752&gt;0))</f>
        <v>0</v>
      </c>
      <c r="AQ752">
        <f>IF(metadata!Q752="",FALSE,TRUE)</f>
        <v>0</v>
      </c>
    </row>
    <row r="753" spans="1:43">
      <c r="A753" s="5">
        <f>IF(B753=" "," ",HYPERLINK(CONCATENATE("#metadata!",ADDRESS(INDEX($W$2:$W$1001,MATCH(ROWS($U$2:U753),$U$2:$U$1001,0),0),1)),INDEX($Z$2:$Z$1001,MATCH(ROWS($U$2:U753),$U$2:$U$1001,0),0)))</f>
        <v>0</v>
      </c>
      <c r="B753" s="4">
        <f>IF(OR(INDEX($V$2:$V$1001,MATCH(ROWS($U$2:U753),$U$2:$U$1001,0),1)&gt;=100000,INDEX($AB$1005:$AQ$1005,1,MATCH(COLUMNS($AB$1006:AB1006),$AB$1006:$AQ$1006,0))&gt;=100000), " ",IF(INDEX($AB$2:$AQ$1001,MATCH(ROWS($U$2:U753),$U$2:$U$1001,0),MATCH(COLUMNS($AB$1006:AB1006),$AB$1006:$AQ$1006,0)), HYPERLINK("#",""), HYPERLINK(CONCATENATE("#metadata!", ADDRESS(INDEX($W$2:$W$1001,MATCH(ROWS($U$2:U753),$U$2:$U$1001,0),0), INDEX($AB$1004:$AQ$1004,1,MATCH(COLUMNS($AB$1006:AB1006),$AB$1006:$AQ$1006,0)))),"Fix")))</f>
        <v>0</v>
      </c>
      <c r="C753" s="4">
        <f>IF(OR(INDEX($V$2:$V$1001,MATCH(ROWS($U$2:U753),$U$2:$U$1001,0),1)&gt;=100000,INDEX($AB$1005:$AQ$1005,1,MATCH(COLUMNS($AB$1006:AC1006),$AB$1006:$AQ$1006,0))&gt;=100000), " ",IF(INDEX($AB$2:$AQ$1001,MATCH(ROWS($U$2:U753),$U$2:$U$1001,0),MATCH(COLUMNS($AB$1006:AC1006),$AB$1006:$AQ$1006,0)), HYPERLINK("#",""), HYPERLINK(CONCATENATE("#metadata!", ADDRESS(INDEX($W$2:$W$1001,MATCH(ROWS($U$2:U753),$U$2:$U$1001,0),0), INDEX($AB$1004:$AQ$1004,1,MATCH(COLUMNS($AB$1006:AC1006),$AB$1006:$AQ$1006,0)))),"Fix")))</f>
        <v>0</v>
      </c>
      <c r="D753" s="4">
        <f>IF(OR(INDEX($V$2:$V$1001,MATCH(ROWS($U$2:U753),$U$2:$U$1001,0),1)&gt;=100000,INDEX($AB$1005:$AQ$1005,1,MATCH(COLUMNS($AB$1006:AD1006),$AB$1006:$AQ$1006,0))&gt;=100000), " ",IF(INDEX($AB$2:$AQ$1001,MATCH(ROWS($U$2:U753),$U$2:$U$1001,0),MATCH(COLUMNS($AB$1006:AD1006),$AB$1006:$AQ$1006,0)), HYPERLINK("#",""), HYPERLINK(CONCATENATE("#metadata!", ADDRESS(INDEX($W$2:$W$1001,MATCH(ROWS($U$2:U753),$U$2:$U$1001,0),0), INDEX($AB$1004:$AQ$1004,1,MATCH(COLUMNS($AB$1006:AD1006),$AB$1006:$AQ$1006,0)))),"Fix")))</f>
        <v>0</v>
      </c>
      <c r="E753" s="4">
        <f>IF(OR(INDEX($V$2:$V$1001,MATCH(ROWS($U$2:U753),$U$2:$U$1001,0),1)&gt;=100000,INDEX($AB$1005:$AQ$1005,1,MATCH(COLUMNS($AB$1006:AE1006),$AB$1006:$AQ$1006,0))&gt;=100000), " ",IF(INDEX($AB$2:$AQ$1001,MATCH(ROWS($U$2:U753),$U$2:$U$1001,0),MATCH(COLUMNS($AB$1006:AE1006),$AB$1006:$AQ$1006,0)), HYPERLINK("#",""), HYPERLINK(CONCATENATE("#metadata!", ADDRESS(INDEX($W$2:$W$1001,MATCH(ROWS($U$2:U753),$U$2:$U$1001,0),0), INDEX($AB$1004:$AQ$1004,1,MATCH(COLUMNS($AB$1006:AE1006),$AB$1006:$AQ$1006,0)))),"Fix")))</f>
        <v>0</v>
      </c>
      <c r="F753" s="4">
        <f>IF(OR(INDEX($V$2:$V$1001,MATCH(ROWS($U$2:U753),$U$2:$U$1001,0),1)&gt;=100000,INDEX($AB$1005:$AQ$1005,1,MATCH(COLUMNS($AB$1006:AF1006),$AB$1006:$AQ$1006,0))&gt;=100000), " ",IF(INDEX($AB$2:$AQ$1001,MATCH(ROWS($U$2:U753),$U$2:$U$1001,0),MATCH(COLUMNS($AB$1006:AF1006),$AB$1006:$AQ$1006,0)), HYPERLINK("#",""), HYPERLINK(CONCATENATE("#metadata!", ADDRESS(INDEX($W$2:$W$1001,MATCH(ROWS($U$2:U753),$U$2:$U$1001,0),0), INDEX($AB$1004:$AQ$1004,1,MATCH(COLUMNS($AB$1006:AF1006),$AB$1006:$AQ$1006,0)))),"Fix")))</f>
        <v>0</v>
      </c>
      <c r="G753" s="4">
        <f>IF(OR(INDEX($V$2:$V$1001,MATCH(ROWS($U$2:U753),$U$2:$U$1001,0),1)&gt;=100000,INDEX($AB$1005:$AQ$1005,1,MATCH(COLUMNS($AB$1006:AG1006),$AB$1006:$AQ$1006,0))&gt;=100000), " ",IF(INDEX($AB$2:$AQ$1001,MATCH(ROWS($U$2:U753),$U$2:$U$1001,0),MATCH(COLUMNS($AB$1006:AG1006),$AB$1006:$AQ$1006,0)), HYPERLINK("#",""), HYPERLINK(CONCATENATE("#metadata!", ADDRESS(INDEX($W$2:$W$1001,MATCH(ROWS($U$2:U753),$U$2:$U$1001,0),0), INDEX($AB$1004:$AQ$1004,1,MATCH(COLUMNS($AB$1006:AG1006),$AB$1006:$AQ$1006,0)))),"Fix")))</f>
        <v>0</v>
      </c>
      <c r="H753" s="4">
        <f>IF(OR(INDEX($V$2:$V$1001,MATCH(ROWS($U$2:U753),$U$2:$U$1001,0),1)&gt;=100000,INDEX($AB$1005:$AQ$1005,1,MATCH(COLUMNS($AB$1006:AH1006),$AB$1006:$AQ$1006,0))&gt;=100000), " ",IF(INDEX($AB$2:$AQ$1001,MATCH(ROWS($U$2:U753),$U$2:$U$1001,0),MATCH(COLUMNS($AB$1006:AH1006),$AB$1006:$AQ$1006,0)), HYPERLINK("#",""), HYPERLINK(CONCATENATE("#metadata!", ADDRESS(INDEX($W$2:$W$1001,MATCH(ROWS($U$2:U753),$U$2:$U$1001,0),0), INDEX($AB$1004:$AQ$1004,1,MATCH(COLUMNS($AB$1006:AH1006),$AB$1006:$AQ$1006,0)))),"Fix")))</f>
        <v>0</v>
      </c>
      <c r="I753" s="4">
        <f>IF(OR(INDEX($V$2:$V$1001,MATCH(ROWS($U$2:U753),$U$2:$U$1001,0),1)&gt;=100000,INDEX($AB$1005:$AQ$1005,1,MATCH(COLUMNS($AB$1006:AI1006),$AB$1006:$AQ$1006,0))&gt;=100000), " ",IF(INDEX($AB$2:$AQ$1001,MATCH(ROWS($U$2:U753),$U$2:$U$1001,0),MATCH(COLUMNS($AB$1006:AI1006),$AB$1006:$AQ$1006,0)), HYPERLINK("#",""), HYPERLINK(CONCATENATE("#metadata!", ADDRESS(INDEX($W$2:$W$1001,MATCH(ROWS($U$2:U753),$U$2:$U$1001,0),0), INDEX($AB$1004:$AQ$1004,1,MATCH(COLUMNS($AB$1006:AI1006),$AB$1006:$AQ$1006,0)))),"Fix")))</f>
        <v>0</v>
      </c>
      <c r="J753" s="4">
        <f>IF(OR(INDEX($V$2:$V$1001,MATCH(ROWS($U$2:U753),$U$2:$U$1001,0),1)&gt;=100000,INDEX($AB$1005:$AQ$1005,1,MATCH(COLUMNS($AB$1006:AJ1006),$AB$1006:$AQ$1006,0))&gt;=100000), " ",IF(INDEX($AB$2:$AQ$1001,MATCH(ROWS($U$2:U753),$U$2:$U$1001,0),MATCH(COLUMNS($AB$1006:AJ1006),$AB$1006:$AQ$1006,0)), HYPERLINK("#",""), HYPERLINK(CONCATENATE("#metadata!", ADDRESS(INDEX($W$2:$W$1001,MATCH(ROWS($U$2:U753),$U$2:$U$1001,0),0), INDEX($AB$1004:$AQ$1004,1,MATCH(COLUMNS($AB$1006:AJ1006),$AB$1006:$AQ$1006,0)))),"Fix")))</f>
        <v>0</v>
      </c>
      <c r="K753" s="4">
        <f>IF(OR(INDEX($V$2:$V$1001,MATCH(ROWS($U$2:U753),$U$2:$U$1001,0),1)&gt;=100000,INDEX($AB$1005:$AQ$1005,1,MATCH(COLUMNS($AB$1006:AK1006),$AB$1006:$AQ$1006,0))&gt;=100000), " ",IF(INDEX($AB$2:$AQ$1001,MATCH(ROWS($U$2:U753),$U$2:$U$1001,0),MATCH(COLUMNS($AB$1006:AK1006),$AB$1006:$AQ$1006,0)), HYPERLINK("#",""), HYPERLINK(CONCATENATE("#metadata!", ADDRESS(INDEX($W$2:$W$1001,MATCH(ROWS($U$2:U753),$U$2:$U$1001,0),0), INDEX($AB$1004:$AQ$1004,1,MATCH(COLUMNS($AB$1006:AK1006),$AB$1006:$AQ$1006,0)))),"Fix")))</f>
        <v>0</v>
      </c>
      <c r="L753" s="4">
        <f>IF(OR(INDEX($V$2:$V$1001,MATCH(ROWS($U$2:U753),$U$2:$U$1001,0),1)&gt;=100000,INDEX($AB$1005:$AQ$1005,1,MATCH(COLUMNS($AB$1006:AL1006),$AB$1006:$AQ$1006,0))&gt;=100000), " ",IF(INDEX($AB$2:$AQ$1001,MATCH(ROWS($U$2:U753),$U$2:$U$1001,0),MATCH(COLUMNS($AB$1006:AL1006),$AB$1006:$AQ$1006,0)), HYPERLINK("#",""), HYPERLINK(CONCATENATE("#metadata!", ADDRESS(INDEX($W$2:$W$1001,MATCH(ROWS($U$2:U753),$U$2:$U$1001,0),0), INDEX($AB$1004:$AQ$1004,1,MATCH(COLUMNS($AB$1006:AL1006),$AB$1006:$AQ$1006,0)))),"Fix")))</f>
        <v>0</v>
      </c>
      <c r="M753" s="4">
        <f>IF(OR(INDEX($V$2:$V$1001,MATCH(ROWS($U$2:U753),$U$2:$U$1001,0),1)&gt;=100000,INDEX($AB$1005:$AQ$1005,1,MATCH(COLUMNS($AB$1006:AM1006),$AB$1006:$AQ$1006,0))&gt;=100000), " ",IF(INDEX($AB$2:$AQ$1001,MATCH(ROWS($U$2:U753),$U$2:$U$1001,0),MATCH(COLUMNS($AB$1006:AM1006),$AB$1006:$AQ$1006,0)), HYPERLINK("#",""), HYPERLINK(CONCATENATE("#metadata!", ADDRESS(INDEX($W$2:$W$1001,MATCH(ROWS($U$2:U753),$U$2:$U$1001,0),0), INDEX($AB$1004:$AQ$1004,1,MATCH(COLUMNS($AB$1006:AM1006),$AB$1006:$AQ$1006,0)))),"Fix")))</f>
        <v>0</v>
      </c>
      <c r="N753" s="4">
        <f>IF(OR(INDEX($V$2:$V$1001,MATCH(ROWS($U$2:U753),$U$2:$U$1001,0),1)&gt;=100000,INDEX($AB$1005:$AQ$1005,1,MATCH(COLUMNS($AB$1006:AN1006),$AB$1006:$AQ$1006,0))&gt;=100000), " ",IF(INDEX($AB$2:$AQ$1001,MATCH(ROWS($U$2:U753),$U$2:$U$1001,0),MATCH(COLUMNS($AB$1006:AN1006),$AB$1006:$AQ$1006,0)), HYPERLINK("#",""), HYPERLINK(CONCATENATE("#metadata!", ADDRESS(INDEX($W$2:$W$1001,MATCH(ROWS($U$2:U753),$U$2:$U$1001,0),0), INDEX($AB$1004:$AQ$1004,1,MATCH(COLUMNS($AB$1006:AN1006),$AB$1006:$AQ$1006,0)))),"Fix")))</f>
        <v>0</v>
      </c>
      <c r="O753" s="4">
        <f>IF(OR(INDEX($V$2:$V$1001,MATCH(ROWS($U$2:U753),$U$2:$U$1001,0),1)&gt;=100000,INDEX($AB$1005:$AQ$1005,1,MATCH(COLUMNS($AB$1006:AO1006),$AB$1006:$AQ$1006,0))&gt;=100000), " ",IF(INDEX($AB$2:$AQ$1001,MATCH(ROWS($U$2:U753),$U$2:$U$1001,0),MATCH(COLUMNS($AB$1006:AO1006),$AB$1006:$AQ$1006,0)), HYPERLINK("#",""), HYPERLINK(CONCATENATE("#metadata!", ADDRESS(INDEX($W$2:$W$1001,MATCH(ROWS($U$2:U753),$U$2:$U$1001,0),0), INDEX($AB$1004:$AQ$1004,1,MATCH(COLUMNS($AB$1006:AO1006),$AB$1006:$AQ$1006,0)))),"Fix")))</f>
        <v>0</v>
      </c>
      <c r="P753" s="4">
        <f>IF(OR(INDEX($V$2:$V$1001,MATCH(ROWS($U$2:U753),$U$2:$U$1001,0),1)&gt;=100000,INDEX($AB$1005:$AQ$1005,1,MATCH(COLUMNS($AB$1006:AP1006),$AB$1006:$AQ$1006,0))&gt;=100000), " ",IF(INDEX($AB$2:$AQ$1001,MATCH(ROWS($U$2:U753),$U$2:$U$1001,0),MATCH(COLUMNS($AB$1006:AP1006),$AB$1006:$AQ$1006,0)), HYPERLINK("#",""), HYPERLINK(CONCATENATE("#metadata!", ADDRESS(INDEX($W$2:$W$1001,MATCH(ROWS($U$2:U753),$U$2:$U$1001,0),0), INDEX($AB$1004:$AQ$1004,1,MATCH(COLUMNS($AB$1006:AP1006),$AB$1006:$AQ$1006,0)))),"Fix")))</f>
        <v>0</v>
      </c>
      <c r="Q753" s="4">
        <f>IF(OR(INDEX($V$2:$V$1001,MATCH(ROWS($U$2:U753),$U$2:$U$1001,0),1)&gt;=100000,INDEX($AB$1005:$AQ$1005,1,MATCH(COLUMNS($AB$1006:AQ1006),$AB$1006:$AQ$1006,0))&gt;=100000), " ",IF(INDEX($AB$2:$AQ$1001,MATCH(ROWS($U$2:U753),$U$2:$U$1001,0),MATCH(COLUMNS($AB$1006:AQ1006),$AB$1006:$AQ$1006,0)), HYPERLINK("#",""), HYPERLINK(CONCATENATE("#metadata!", ADDRESS(INDEX($W$2:$W$1001,MATCH(ROWS($U$2:U753),$U$2:$U$1001,0),0), INDEX($AB$1004:$AQ$1004,1,MATCH(COLUMNS($AB$1006:AQ1006),$AB$1006:$AQ$1006,0)))),"Fix")))</f>
        <v>0</v>
      </c>
      <c r="U753">
        <v>0</v>
      </c>
      <c r="V753">
        <v>0</v>
      </c>
      <c r="W753">
        <v>0</v>
      </c>
      <c r="X753">
        <f>IF(Y753,TRUE,AND(AB753:AQ753))</f>
        <v>0</v>
      </c>
      <c r="Y753">
        <f>COUNTBLANK(metadata!B753:Q753)=COLUMNS(metadata!B753:Q753)</f>
        <v>0</v>
      </c>
      <c r="Z753">
        <v>0</v>
      </c>
      <c r="AB753">
        <f>AND(IF(metadata!B753="",FALSE,TRUE),COUNTIF(metadata!B:B, metadata!B753) = 1,NOT(ISERROR(SUMPRODUCT(SEARCH(MID(metadata!B753,ROW(INDIRECT("1:"&amp;LEN(metadata!B753))), 1),"0123456789abcdefghijklmnopqrstuvwxyzABCDEFGHIJKLMNOPQRSTUVWXYZ.")))))</f>
        <v>0</v>
      </c>
      <c r="AC753">
        <f>OR(AND(IF(metadata!C753="",FALSE,TRUE),OR(exact(metadata!C753,"missing: not collected"),exact(metadata!C753,"missing: not provided"),exact(metadata!C753,"missing: restricted access"))),AND(IF(metadata!C753="",FALSE,TRUE),AND(AND(IFERROR(INT(LEFT(metadata!C753,4))&gt;1900,FALSE),IFERROR(INT(LEFT(metadata!C753,4))&lt;=YEAR(NOW()),FALSE)), OR(MID(metadata!C753,5,1)="", AND(AND(MID(metadata!C753,5,1)="-",IFERROR(INT(MID(metadata!C753,6,1))&gt;=0,FALSE),IFERROR(INT(MID(metadata!C753,6,1))&lt;=1,FALSE),NOT(MID(metadata!C753,7,1)=""),IFERROR(INT(MID(metadata!C753,6,2))&gt;=1,FALSE),IFERROR(INT(MID(metadata!C753,6,2))&lt;=12,FALSE)), OR(MID(metadata!C753,8,1)="", AND(AND(MID(metadata!C753,8,1)="-",IFERROR(INT(MID(metadata!C753,9,1))&gt;=0,FALSE),IFERROR(INT(MID(metadata!C753,9,1))&lt;=3,FALSE),NOT(MID(metadata!C753,10,1)=""),IFERROR(INT(MID(metadata!C753,9,2))&gt;=1,FALSE),IFERROR(INT(MID(metadata!C753,9,2))&lt;=31,FALSE)), OR(MID(metadata!C753,11,1)="", AND(AND(MID(metadata!C753,11,1)=" ",IFERROR(INT(MID(metadata!C753,12,1))&gt;=0,FALSE),IFERROR(INT(MID(metadata!C753,12,1))&lt;=2,FALSE),NOT(MID(metadata!C753,13,1)=""),IFERROR(INT(MID(metadata!C753,12,2))&gt;=0,FALSE),IFERROR(INT(MID(metadata!C753,12,2))&lt;=23,FALSE)), OR(MID(metadata!C753,14,1)="", AND(AND(MID(metadata!C753,14,1)=":",IFERROR(INT(MID(metadata!C753,15,1))&gt;=0,FALSE),IFERROR(INT(MID(metadata!C753,15,1))&lt;=5,FALSE),NOT(MID(metadata!C753,16,1)=""),IFERROR(INT(MID(metadata!C753,15,2))&gt;=0,FALSE),IFERROR(INT(MID(metadata!C753,15,2))&lt;=59,FALSE)), OR(MID(metadata!C753,17,1)="", AND(AND(MID(metadata!C753,17,1)=":",IFERROR(INT(MID(metadata!C753,18,1))&gt;=0,FALSE),IFERROR(INT(MID(metadata!C753,18,1))&lt;=5,FALSE),NOT(MID(metadata!C753,19,1)=""),IFERROR(INT(MID(metadata!C753,18,2))&gt;=0,FALSE),IFERROR(INT(MID(metadata!C753,18,2))&lt;=59,FALSE)), LEN(metadata!C753)&lt;=19)))))))))))))</f>
        <v>0</v>
      </c>
      <c r="AD753">
        <f>IF(metadata!D753="",FALSE,TRUE)</f>
        <v>0</v>
      </c>
      <c r="AE753">
        <f>OR(AND(IF(metadata!E753="",FALSE,TRUE),OR(exact(metadata!E753,"missing: not collected"),exact(metadata!E753,"missing: not provided"))),AND(IF(metadata!E753="",FALSE,TRUE),OR(exact(metadata!E753,"TRUE"),exact(metadata!E753,"FALSE"))))</f>
        <v>0</v>
      </c>
      <c r="AF753">
        <f>IF(metadata!F753="",FALSE,TRUE)</f>
        <v>0</v>
      </c>
      <c r="AG753">
        <f>IF(metadata!G753="",FALSE,TRUE)</f>
        <v>0</v>
      </c>
      <c r="AH753">
        <f>IF(metadata!H753="",FALSE,TRUE)</f>
        <v>0</v>
      </c>
      <c r="AI753">
        <f>OR(AND(IF(metadata!I753="",FALSE,TRUE),OR(exact(metadata!I753,"missing: not collected"),exact(metadata!I753,"missing: not provided"),exact(metadata!I753,"missing: restricted access"))),AND(IF(metadata!I753="",FALSE,TRUE),OR(exact(metadata!I753,"air"),exact(metadata!I753,"built environment"),exact(metadata!I753,"host-associated"),exact(metadata!I753,"human-associated"),exact(metadata!I753,"human-skin"),exact(metadata!I753,"human-oral"),exact(metadata!I753,"human-gut"),exact(metadata!I753,"human-vaginal"),exact(metadata!I753,"microbial mat/biofilm"),exact(metadata!I753,"misc environment"),exact(metadata!I753,"plant-associated"),exact(metadata!I753,"sediment"),exact(metadata!I753,"soil"),exact(metadata!I753,"wastewater/sludge"),exact(metadata!I753,"water"))))</f>
        <v>0</v>
      </c>
      <c r="AJ753">
        <f>IF(metadata!J753="",FALSE,TRUE)</f>
        <v>0</v>
      </c>
      <c r="AK753">
        <f>OR(AND(IF(metadata!K753="",FALSE,TRUE),OR(exact(metadata!K753,"missing: not collected"),exact(metadata!K753,"missing: not provided"),exact(metadata!K753,"missing: restricted access"))),AND(IF(metadata!K753="",FALSE,ISNUMBER(VALUE(metadata!K753))),metadata!K753&gt;=-90.00,metadata!K753&lt;=90.00))</f>
        <v>0</v>
      </c>
      <c r="AL753">
        <f>OR(AND(IF(metadata!L753="",FALSE,TRUE),OR(exact(metadata!L753,"missing: not collected"),exact(metadata!L753,"missing: not provided"),exact(metadata!L753,"missing: restricted access"))),AND(IF(metadata!L753="",FALSE,ISNUMBER(VALUE(metadata!L753))),metadata!L753&gt;=-180.00,metadata!L753&lt;=180.00))</f>
        <v>0</v>
      </c>
      <c r="AM753">
        <f>IF(metadata!M753="",FALSE,TRUE)</f>
        <v>0</v>
      </c>
      <c r="AN753">
        <f>OR(AND(IF(metadata!N753="",FALSE,TRUE),OR(exact(metadata!N753,"missing: not collected"),exact(metadata!N753,"missing: not provided"),exact(metadata!N753,"missing: restricted access"))),AND(IF(metadata!N753="",FALSE,TRUE),OR(exact(metadata!N753,"TRUE"),exact(metadata!N753,"FALSE"))))</f>
        <v>0</v>
      </c>
      <c r="AO753">
        <f>IF(metadata!O753="",FALSE,TRUE)</f>
        <v>0</v>
      </c>
      <c r="AP753">
        <f>OR(AND(IF(metadata!P753="",FALSE,TRUE),OR(exact(metadata!P753,"missing: not collected"),exact(metadata!P753,"missing: not provided"))),AND(IF(metadata!P753="",FALSE,IF(ISERROR(INT(metadata!P753)),FALSE,INT(metadata!P753)=metadata!P753)),metadata!P753&gt;0))</f>
        <v>0</v>
      </c>
      <c r="AQ753">
        <f>IF(metadata!Q753="",FALSE,TRUE)</f>
        <v>0</v>
      </c>
    </row>
    <row r="754" spans="1:43">
      <c r="A754" s="5">
        <f>IF(B754=" "," ",HYPERLINK(CONCATENATE("#metadata!",ADDRESS(INDEX($W$2:$W$1001,MATCH(ROWS($U$2:U754),$U$2:$U$1001,0),0),1)),INDEX($Z$2:$Z$1001,MATCH(ROWS($U$2:U754),$U$2:$U$1001,0),0)))</f>
        <v>0</v>
      </c>
      <c r="B754" s="4">
        <f>IF(OR(INDEX($V$2:$V$1001,MATCH(ROWS($U$2:U754),$U$2:$U$1001,0),1)&gt;=100000,INDEX($AB$1005:$AQ$1005,1,MATCH(COLUMNS($AB$1006:AB1006),$AB$1006:$AQ$1006,0))&gt;=100000), " ",IF(INDEX($AB$2:$AQ$1001,MATCH(ROWS($U$2:U754),$U$2:$U$1001,0),MATCH(COLUMNS($AB$1006:AB1006),$AB$1006:$AQ$1006,0)), HYPERLINK("#",""), HYPERLINK(CONCATENATE("#metadata!", ADDRESS(INDEX($W$2:$W$1001,MATCH(ROWS($U$2:U754),$U$2:$U$1001,0),0), INDEX($AB$1004:$AQ$1004,1,MATCH(COLUMNS($AB$1006:AB1006),$AB$1006:$AQ$1006,0)))),"Fix")))</f>
        <v>0</v>
      </c>
      <c r="C754" s="4">
        <f>IF(OR(INDEX($V$2:$V$1001,MATCH(ROWS($U$2:U754),$U$2:$U$1001,0),1)&gt;=100000,INDEX($AB$1005:$AQ$1005,1,MATCH(COLUMNS($AB$1006:AC1006),$AB$1006:$AQ$1006,0))&gt;=100000), " ",IF(INDEX($AB$2:$AQ$1001,MATCH(ROWS($U$2:U754),$U$2:$U$1001,0),MATCH(COLUMNS($AB$1006:AC1006),$AB$1006:$AQ$1006,0)), HYPERLINK("#",""), HYPERLINK(CONCATENATE("#metadata!", ADDRESS(INDEX($W$2:$W$1001,MATCH(ROWS($U$2:U754),$U$2:$U$1001,0),0), INDEX($AB$1004:$AQ$1004,1,MATCH(COLUMNS($AB$1006:AC1006),$AB$1006:$AQ$1006,0)))),"Fix")))</f>
        <v>0</v>
      </c>
      <c r="D754" s="4">
        <f>IF(OR(INDEX($V$2:$V$1001,MATCH(ROWS($U$2:U754),$U$2:$U$1001,0),1)&gt;=100000,INDEX($AB$1005:$AQ$1005,1,MATCH(COLUMNS($AB$1006:AD1006),$AB$1006:$AQ$1006,0))&gt;=100000), " ",IF(INDEX($AB$2:$AQ$1001,MATCH(ROWS($U$2:U754),$U$2:$U$1001,0),MATCH(COLUMNS($AB$1006:AD1006),$AB$1006:$AQ$1006,0)), HYPERLINK("#",""), HYPERLINK(CONCATENATE("#metadata!", ADDRESS(INDEX($W$2:$W$1001,MATCH(ROWS($U$2:U754),$U$2:$U$1001,0),0), INDEX($AB$1004:$AQ$1004,1,MATCH(COLUMNS($AB$1006:AD1006),$AB$1006:$AQ$1006,0)))),"Fix")))</f>
        <v>0</v>
      </c>
      <c r="E754" s="4">
        <f>IF(OR(INDEX($V$2:$V$1001,MATCH(ROWS($U$2:U754),$U$2:$U$1001,0),1)&gt;=100000,INDEX($AB$1005:$AQ$1005,1,MATCH(COLUMNS($AB$1006:AE1006),$AB$1006:$AQ$1006,0))&gt;=100000), " ",IF(INDEX($AB$2:$AQ$1001,MATCH(ROWS($U$2:U754),$U$2:$U$1001,0),MATCH(COLUMNS($AB$1006:AE1006),$AB$1006:$AQ$1006,0)), HYPERLINK("#",""), HYPERLINK(CONCATENATE("#metadata!", ADDRESS(INDEX($W$2:$W$1001,MATCH(ROWS($U$2:U754),$U$2:$U$1001,0),0), INDEX($AB$1004:$AQ$1004,1,MATCH(COLUMNS($AB$1006:AE1006),$AB$1006:$AQ$1006,0)))),"Fix")))</f>
        <v>0</v>
      </c>
      <c r="F754" s="4">
        <f>IF(OR(INDEX($V$2:$V$1001,MATCH(ROWS($U$2:U754),$U$2:$U$1001,0),1)&gt;=100000,INDEX($AB$1005:$AQ$1005,1,MATCH(COLUMNS($AB$1006:AF1006),$AB$1006:$AQ$1006,0))&gt;=100000), " ",IF(INDEX($AB$2:$AQ$1001,MATCH(ROWS($U$2:U754),$U$2:$U$1001,0),MATCH(COLUMNS($AB$1006:AF1006),$AB$1006:$AQ$1006,0)), HYPERLINK("#",""), HYPERLINK(CONCATENATE("#metadata!", ADDRESS(INDEX($W$2:$W$1001,MATCH(ROWS($U$2:U754),$U$2:$U$1001,0),0), INDEX($AB$1004:$AQ$1004,1,MATCH(COLUMNS($AB$1006:AF1006),$AB$1006:$AQ$1006,0)))),"Fix")))</f>
        <v>0</v>
      </c>
      <c r="G754" s="4">
        <f>IF(OR(INDEX($V$2:$V$1001,MATCH(ROWS($U$2:U754),$U$2:$U$1001,0),1)&gt;=100000,INDEX($AB$1005:$AQ$1005,1,MATCH(COLUMNS($AB$1006:AG1006),$AB$1006:$AQ$1006,0))&gt;=100000), " ",IF(INDEX($AB$2:$AQ$1001,MATCH(ROWS($U$2:U754),$U$2:$U$1001,0),MATCH(COLUMNS($AB$1006:AG1006),$AB$1006:$AQ$1006,0)), HYPERLINK("#",""), HYPERLINK(CONCATENATE("#metadata!", ADDRESS(INDEX($W$2:$W$1001,MATCH(ROWS($U$2:U754),$U$2:$U$1001,0),0), INDEX($AB$1004:$AQ$1004,1,MATCH(COLUMNS($AB$1006:AG1006),$AB$1006:$AQ$1006,0)))),"Fix")))</f>
        <v>0</v>
      </c>
      <c r="H754" s="4">
        <f>IF(OR(INDEX($V$2:$V$1001,MATCH(ROWS($U$2:U754),$U$2:$U$1001,0),1)&gt;=100000,INDEX($AB$1005:$AQ$1005,1,MATCH(COLUMNS($AB$1006:AH1006),$AB$1006:$AQ$1006,0))&gt;=100000), " ",IF(INDEX($AB$2:$AQ$1001,MATCH(ROWS($U$2:U754),$U$2:$U$1001,0),MATCH(COLUMNS($AB$1006:AH1006),$AB$1006:$AQ$1006,0)), HYPERLINK("#",""), HYPERLINK(CONCATENATE("#metadata!", ADDRESS(INDEX($W$2:$W$1001,MATCH(ROWS($U$2:U754),$U$2:$U$1001,0),0), INDEX($AB$1004:$AQ$1004,1,MATCH(COLUMNS($AB$1006:AH1006),$AB$1006:$AQ$1006,0)))),"Fix")))</f>
        <v>0</v>
      </c>
      <c r="I754" s="4">
        <f>IF(OR(INDEX($V$2:$V$1001,MATCH(ROWS($U$2:U754),$U$2:$U$1001,0),1)&gt;=100000,INDEX($AB$1005:$AQ$1005,1,MATCH(COLUMNS($AB$1006:AI1006),$AB$1006:$AQ$1006,0))&gt;=100000), " ",IF(INDEX($AB$2:$AQ$1001,MATCH(ROWS($U$2:U754),$U$2:$U$1001,0),MATCH(COLUMNS($AB$1006:AI1006),$AB$1006:$AQ$1006,0)), HYPERLINK("#",""), HYPERLINK(CONCATENATE("#metadata!", ADDRESS(INDEX($W$2:$W$1001,MATCH(ROWS($U$2:U754),$U$2:$U$1001,0),0), INDEX($AB$1004:$AQ$1004,1,MATCH(COLUMNS($AB$1006:AI1006),$AB$1006:$AQ$1006,0)))),"Fix")))</f>
        <v>0</v>
      </c>
      <c r="J754" s="4">
        <f>IF(OR(INDEX($V$2:$V$1001,MATCH(ROWS($U$2:U754),$U$2:$U$1001,0),1)&gt;=100000,INDEX($AB$1005:$AQ$1005,1,MATCH(COLUMNS($AB$1006:AJ1006),$AB$1006:$AQ$1006,0))&gt;=100000), " ",IF(INDEX($AB$2:$AQ$1001,MATCH(ROWS($U$2:U754),$U$2:$U$1001,0),MATCH(COLUMNS($AB$1006:AJ1006),$AB$1006:$AQ$1006,0)), HYPERLINK("#",""), HYPERLINK(CONCATENATE("#metadata!", ADDRESS(INDEX($W$2:$W$1001,MATCH(ROWS($U$2:U754),$U$2:$U$1001,0),0), INDEX($AB$1004:$AQ$1004,1,MATCH(COLUMNS($AB$1006:AJ1006),$AB$1006:$AQ$1006,0)))),"Fix")))</f>
        <v>0</v>
      </c>
      <c r="K754" s="4">
        <f>IF(OR(INDEX($V$2:$V$1001,MATCH(ROWS($U$2:U754),$U$2:$U$1001,0),1)&gt;=100000,INDEX($AB$1005:$AQ$1005,1,MATCH(COLUMNS($AB$1006:AK1006),$AB$1006:$AQ$1006,0))&gt;=100000), " ",IF(INDEX($AB$2:$AQ$1001,MATCH(ROWS($U$2:U754),$U$2:$U$1001,0),MATCH(COLUMNS($AB$1006:AK1006),$AB$1006:$AQ$1006,0)), HYPERLINK("#",""), HYPERLINK(CONCATENATE("#metadata!", ADDRESS(INDEX($W$2:$W$1001,MATCH(ROWS($U$2:U754),$U$2:$U$1001,0),0), INDEX($AB$1004:$AQ$1004,1,MATCH(COLUMNS($AB$1006:AK1006),$AB$1006:$AQ$1006,0)))),"Fix")))</f>
        <v>0</v>
      </c>
      <c r="L754" s="4">
        <f>IF(OR(INDEX($V$2:$V$1001,MATCH(ROWS($U$2:U754),$U$2:$U$1001,0),1)&gt;=100000,INDEX($AB$1005:$AQ$1005,1,MATCH(COLUMNS($AB$1006:AL1006),$AB$1006:$AQ$1006,0))&gt;=100000), " ",IF(INDEX($AB$2:$AQ$1001,MATCH(ROWS($U$2:U754),$U$2:$U$1001,0),MATCH(COLUMNS($AB$1006:AL1006),$AB$1006:$AQ$1006,0)), HYPERLINK("#",""), HYPERLINK(CONCATENATE("#metadata!", ADDRESS(INDEX($W$2:$W$1001,MATCH(ROWS($U$2:U754),$U$2:$U$1001,0),0), INDEX($AB$1004:$AQ$1004,1,MATCH(COLUMNS($AB$1006:AL1006),$AB$1006:$AQ$1006,0)))),"Fix")))</f>
        <v>0</v>
      </c>
      <c r="M754" s="4">
        <f>IF(OR(INDEX($V$2:$V$1001,MATCH(ROWS($U$2:U754),$U$2:$U$1001,0),1)&gt;=100000,INDEX($AB$1005:$AQ$1005,1,MATCH(COLUMNS($AB$1006:AM1006),$AB$1006:$AQ$1006,0))&gt;=100000), " ",IF(INDEX($AB$2:$AQ$1001,MATCH(ROWS($U$2:U754),$U$2:$U$1001,0),MATCH(COLUMNS($AB$1006:AM1006),$AB$1006:$AQ$1006,0)), HYPERLINK("#",""), HYPERLINK(CONCATENATE("#metadata!", ADDRESS(INDEX($W$2:$W$1001,MATCH(ROWS($U$2:U754),$U$2:$U$1001,0),0), INDEX($AB$1004:$AQ$1004,1,MATCH(COLUMNS($AB$1006:AM1006),$AB$1006:$AQ$1006,0)))),"Fix")))</f>
        <v>0</v>
      </c>
      <c r="N754" s="4">
        <f>IF(OR(INDEX($V$2:$V$1001,MATCH(ROWS($U$2:U754),$U$2:$U$1001,0),1)&gt;=100000,INDEX($AB$1005:$AQ$1005,1,MATCH(COLUMNS($AB$1006:AN1006),$AB$1006:$AQ$1006,0))&gt;=100000), " ",IF(INDEX($AB$2:$AQ$1001,MATCH(ROWS($U$2:U754),$U$2:$U$1001,0),MATCH(COLUMNS($AB$1006:AN1006),$AB$1006:$AQ$1006,0)), HYPERLINK("#",""), HYPERLINK(CONCATENATE("#metadata!", ADDRESS(INDEX($W$2:$W$1001,MATCH(ROWS($U$2:U754),$U$2:$U$1001,0),0), INDEX($AB$1004:$AQ$1004,1,MATCH(COLUMNS($AB$1006:AN1006),$AB$1006:$AQ$1006,0)))),"Fix")))</f>
        <v>0</v>
      </c>
      <c r="O754" s="4">
        <f>IF(OR(INDEX($V$2:$V$1001,MATCH(ROWS($U$2:U754),$U$2:$U$1001,0),1)&gt;=100000,INDEX($AB$1005:$AQ$1005,1,MATCH(COLUMNS($AB$1006:AO1006),$AB$1006:$AQ$1006,0))&gt;=100000), " ",IF(INDEX($AB$2:$AQ$1001,MATCH(ROWS($U$2:U754),$U$2:$U$1001,0),MATCH(COLUMNS($AB$1006:AO1006),$AB$1006:$AQ$1006,0)), HYPERLINK("#",""), HYPERLINK(CONCATENATE("#metadata!", ADDRESS(INDEX($W$2:$W$1001,MATCH(ROWS($U$2:U754),$U$2:$U$1001,0),0), INDEX($AB$1004:$AQ$1004,1,MATCH(COLUMNS($AB$1006:AO1006),$AB$1006:$AQ$1006,0)))),"Fix")))</f>
        <v>0</v>
      </c>
      <c r="P754" s="4">
        <f>IF(OR(INDEX($V$2:$V$1001,MATCH(ROWS($U$2:U754),$U$2:$U$1001,0),1)&gt;=100000,INDEX($AB$1005:$AQ$1005,1,MATCH(COLUMNS($AB$1006:AP1006),$AB$1006:$AQ$1006,0))&gt;=100000), " ",IF(INDEX($AB$2:$AQ$1001,MATCH(ROWS($U$2:U754),$U$2:$U$1001,0),MATCH(COLUMNS($AB$1006:AP1006),$AB$1006:$AQ$1006,0)), HYPERLINK("#",""), HYPERLINK(CONCATENATE("#metadata!", ADDRESS(INDEX($W$2:$W$1001,MATCH(ROWS($U$2:U754),$U$2:$U$1001,0),0), INDEX($AB$1004:$AQ$1004,1,MATCH(COLUMNS($AB$1006:AP1006),$AB$1006:$AQ$1006,0)))),"Fix")))</f>
        <v>0</v>
      </c>
      <c r="Q754" s="4">
        <f>IF(OR(INDEX($V$2:$V$1001,MATCH(ROWS($U$2:U754),$U$2:$U$1001,0),1)&gt;=100000,INDEX($AB$1005:$AQ$1005,1,MATCH(COLUMNS($AB$1006:AQ1006),$AB$1006:$AQ$1006,0))&gt;=100000), " ",IF(INDEX($AB$2:$AQ$1001,MATCH(ROWS($U$2:U754),$U$2:$U$1001,0),MATCH(COLUMNS($AB$1006:AQ1006),$AB$1006:$AQ$1006,0)), HYPERLINK("#",""), HYPERLINK(CONCATENATE("#metadata!", ADDRESS(INDEX($W$2:$W$1001,MATCH(ROWS($U$2:U754),$U$2:$U$1001,0),0), INDEX($AB$1004:$AQ$1004,1,MATCH(COLUMNS($AB$1006:AQ1006),$AB$1006:$AQ$1006,0)))),"Fix")))</f>
        <v>0</v>
      </c>
      <c r="U754">
        <v>0</v>
      </c>
      <c r="V754">
        <v>0</v>
      </c>
      <c r="W754">
        <v>0</v>
      </c>
      <c r="X754">
        <f>IF(Y754,TRUE,AND(AB754:AQ754))</f>
        <v>0</v>
      </c>
      <c r="Y754">
        <f>COUNTBLANK(metadata!B754:Q754)=COLUMNS(metadata!B754:Q754)</f>
        <v>0</v>
      </c>
      <c r="Z754">
        <v>0</v>
      </c>
      <c r="AB754">
        <f>AND(IF(metadata!B754="",FALSE,TRUE),COUNTIF(metadata!B:B, metadata!B754) = 1,NOT(ISERROR(SUMPRODUCT(SEARCH(MID(metadata!B754,ROW(INDIRECT("1:"&amp;LEN(metadata!B754))), 1),"0123456789abcdefghijklmnopqrstuvwxyzABCDEFGHIJKLMNOPQRSTUVWXYZ.")))))</f>
        <v>0</v>
      </c>
      <c r="AC754">
        <f>OR(AND(IF(metadata!C754="",FALSE,TRUE),OR(exact(metadata!C754,"missing: not collected"),exact(metadata!C754,"missing: not provided"),exact(metadata!C754,"missing: restricted access"))),AND(IF(metadata!C754="",FALSE,TRUE),AND(AND(IFERROR(INT(LEFT(metadata!C754,4))&gt;1900,FALSE),IFERROR(INT(LEFT(metadata!C754,4))&lt;=YEAR(NOW()),FALSE)), OR(MID(metadata!C754,5,1)="", AND(AND(MID(metadata!C754,5,1)="-",IFERROR(INT(MID(metadata!C754,6,1))&gt;=0,FALSE),IFERROR(INT(MID(metadata!C754,6,1))&lt;=1,FALSE),NOT(MID(metadata!C754,7,1)=""),IFERROR(INT(MID(metadata!C754,6,2))&gt;=1,FALSE),IFERROR(INT(MID(metadata!C754,6,2))&lt;=12,FALSE)), OR(MID(metadata!C754,8,1)="", AND(AND(MID(metadata!C754,8,1)="-",IFERROR(INT(MID(metadata!C754,9,1))&gt;=0,FALSE),IFERROR(INT(MID(metadata!C754,9,1))&lt;=3,FALSE),NOT(MID(metadata!C754,10,1)=""),IFERROR(INT(MID(metadata!C754,9,2))&gt;=1,FALSE),IFERROR(INT(MID(metadata!C754,9,2))&lt;=31,FALSE)), OR(MID(metadata!C754,11,1)="", AND(AND(MID(metadata!C754,11,1)=" ",IFERROR(INT(MID(metadata!C754,12,1))&gt;=0,FALSE),IFERROR(INT(MID(metadata!C754,12,1))&lt;=2,FALSE),NOT(MID(metadata!C754,13,1)=""),IFERROR(INT(MID(metadata!C754,12,2))&gt;=0,FALSE),IFERROR(INT(MID(metadata!C754,12,2))&lt;=23,FALSE)), OR(MID(metadata!C754,14,1)="", AND(AND(MID(metadata!C754,14,1)=":",IFERROR(INT(MID(metadata!C754,15,1))&gt;=0,FALSE),IFERROR(INT(MID(metadata!C754,15,1))&lt;=5,FALSE),NOT(MID(metadata!C754,16,1)=""),IFERROR(INT(MID(metadata!C754,15,2))&gt;=0,FALSE),IFERROR(INT(MID(metadata!C754,15,2))&lt;=59,FALSE)), OR(MID(metadata!C754,17,1)="", AND(AND(MID(metadata!C754,17,1)=":",IFERROR(INT(MID(metadata!C754,18,1))&gt;=0,FALSE),IFERROR(INT(MID(metadata!C754,18,1))&lt;=5,FALSE),NOT(MID(metadata!C754,19,1)=""),IFERROR(INT(MID(metadata!C754,18,2))&gt;=0,FALSE),IFERROR(INT(MID(metadata!C754,18,2))&lt;=59,FALSE)), LEN(metadata!C754)&lt;=19)))))))))))))</f>
        <v>0</v>
      </c>
      <c r="AD754">
        <f>IF(metadata!D754="",FALSE,TRUE)</f>
        <v>0</v>
      </c>
      <c r="AE754">
        <f>OR(AND(IF(metadata!E754="",FALSE,TRUE),OR(exact(metadata!E754,"missing: not collected"),exact(metadata!E754,"missing: not provided"))),AND(IF(metadata!E754="",FALSE,TRUE),OR(exact(metadata!E754,"TRUE"),exact(metadata!E754,"FALSE"))))</f>
        <v>0</v>
      </c>
      <c r="AF754">
        <f>IF(metadata!F754="",FALSE,TRUE)</f>
        <v>0</v>
      </c>
      <c r="AG754">
        <f>IF(metadata!G754="",FALSE,TRUE)</f>
        <v>0</v>
      </c>
      <c r="AH754">
        <f>IF(metadata!H754="",FALSE,TRUE)</f>
        <v>0</v>
      </c>
      <c r="AI754">
        <f>OR(AND(IF(metadata!I754="",FALSE,TRUE),OR(exact(metadata!I754,"missing: not collected"),exact(metadata!I754,"missing: not provided"),exact(metadata!I754,"missing: restricted access"))),AND(IF(metadata!I754="",FALSE,TRUE),OR(exact(metadata!I754,"air"),exact(metadata!I754,"built environment"),exact(metadata!I754,"host-associated"),exact(metadata!I754,"human-associated"),exact(metadata!I754,"human-skin"),exact(metadata!I754,"human-oral"),exact(metadata!I754,"human-gut"),exact(metadata!I754,"human-vaginal"),exact(metadata!I754,"microbial mat/biofilm"),exact(metadata!I754,"misc environment"),exact(metadata!I754,"plant-associated"),exact(metadata!I754,"sediment"),exact(metadata!I754,"soil"),exact(metadata!I754,"wastewater/sludge"),exact(metadata!I754,"water"))))</f>
        <v>0</v>
      </c>
      <c r="AJ754">
        <f>IF(metadata!J754="",FALSE,TRUE)</f>
        <v>0</v>
      </c>
      <c r="AK754">
        <f>OR(AND(IF(metadata!K754="",FALSE,TRUE),OR(exact(metadata!K754,"missing: not collected"),exact(metadata!K754,"missing: not provided"),exact(metadata!K754,"missing: restricted access"))),AND(IF(metadata!K754="",FALSE,ISNUMBER(VALUE(metadata!K754))),metadata!K754&gt;=-90.00,metadata!K754&lt;=90.00))</f>
        <v>0</v>
      </c>
      <c r="AL754">
        <f>OR(AND(IF(metadata!L754="",FALSE,TRUE),OR(exact(metadata!L754,"missing: not collected"),exact(metadata!L754,"missing: not provided"),exact(metadata!L754,"missing: restricted access"))),AND(IF(metadata!L754="",FALSE,ISNUMBER(VALUE(metadata!L754))),metadata!L754&gt;=-180.00,metadata!L754&lt;=180.00))</f>
        <v>0</v>
      </c>
      <c r="AM754">
        <f>IF(metadata!M754="",FALSE,TRUE)</f>
        <v>0</v>
      </c>
      <c r="AN754">
        <f>OR(AND(IF(metadata!N754="",FALSE,TRUE),OR(exact(metadata!N754,"missing: not collected"),exact(metadata!N754,"missing: not provided"),exact(metadata!N754,"missing: restricted access"))),AND(IF(metadata!N754="",FALSE,TRUE),OR(exact(metadata!N754,"TRUE"),exact(metadata!N754,"FALSE"))))</f>
        <v>0</v>
      </c>
      <c r="AO754">
        <f>IF(metadata!O754="",FALSE,TRUE)</f>
        <v>0</v>
      </c>
      <c r="AP754">
        <f>OR(AND(IF(metadata!P754="",FALSE,TRUE),OR(exact(metadata!P754,"missing: not collected"),exact(metadata!P754,"missing: not provided"))),AND(IF(metadata!P754="",FALSE,IF(ISERROR(INT(metadata!P754)),FALSE,INT(metadata!P754)=metadata!P754)),metadata!P754&gt;0))</f>
        <v>0</v>
      </c>
      <c r="AQ754">
        <f>IF(metadata!Q754="",FALSE,TRUE)</f>
        <v>0</v>
      </c>
    </row>
    <row r="755" spans="1:43">
      <c r="A755" s="5">
        <f>IF(B755=" "," ",HYPERLINK(CONCATENATE("#metadata!",ADDRESS(INDEX($W$2:$W$1001,MATCH(ROWS($U$2:U755),$U$2:$U$1001,0),0),1)),INDEX($Z$2:$Z$1001,MATCH(ROWS($U$2:U755),$U$2:$U$1001,0),0)))</f>
        <v>0</v>
      </c>
      <c r="B755" s="4">
        <f>IF(OR(INDEX($V$2:$V$1001,MATCH(ROWS($U$2:U755),$U$2:$U$1001,0),1)&gt;=100000,INDEX($AB$1005:$AQ$1005,1,MATCH(COLUMNS($AB$1006:AB1006),$AB$1006:$AQ$1006,0))&gt;=100000), " ",IF(INDEX($AB$2:$AQ$1001,MATCH(ROWS($U$2:U755),$U$2:$U$1001,0),MATCH(COLUMNS($AB$1006:AB1006),$AB$1006:$AQ$1006,0)), HYPERLINK("#",""), HYPERLINK(CONCATENATE("#metadata!", ADDRESS(INDEX($W$2:$W$1001,MATCH(ROWS($U$2:U755),$U$2:$U$1001,0),0), INDEX($AB$1004:$AQ$1004,1,MATCH(COLUMNS($AB$1006:AB1006),$AB$1006:$AQ$1006,0)))),"Fix")))</f>
        <v>0</v>
      </c>
      <c r="C755" s="4">
        <f>IF(OR(INDEX($V$2:$V$1001,MATCH(ROWS($U$2:U755),$U$2:$U$1001,0),1)&gt;=100000,INDEX($AB$1005:$AQ$1005,1,MATCH(COLUMNS($AB$1006:AC1006),$AB$1006:$AQ$1006,0))&gt;=100000), " ",IF(INDEX($AB$2:$AQ$1001,MATCH(ROWS($U$2:U755),$U$2:$U$1001,0),MATCH(COLUMNS($AB$1006:AC1006),$AB$1006:$AQ$1006,0)), HYPERLINK("#",""), HYPERLINK(CONCATENATE("#metadata!", ADDRESS(INDEX($W$2:$W$1001,MATCH(ROWS($U$2:U755),$U$2:$U$1001,0),0), INDEX($AB$1004:$AQ$1004,1,MATCH(COLUMNS($AB$1006:AC1006),$AB$1006:$AQ$1006,0)))),"Fix")))</f>
        <v>0</v>
      </c>
      <c r="D755" s="4">
        <f>IF(OR(INDEX($V$2:$V$1001,MATCH(ROWS($U$2:U755),$U$2:$U$1001,0),1)&gt;=100000,INDEX($AB$1005:$AQ$1005,1,MATCH(COLUMNS($AB$1006:AD1006),$AB$1006:$AQ$1006,0))&gt;=100000), " ",IF(INDEX($AB$2:$AQ$1001,MATCH(ROWS($U$2:U755),$U$2:$U$1001,0),MATCH(COLUMNS($AB$1006:AD1006),$AB$1006:$AQ$1006,0)), HYPERLINK("#",""), HYPERLINK(CONCATENATE("#metadata!", ADDRESS(INDEX($W$2:$W$1001,MATCH(ROWS($U$2:U755),$U$2:$U$1001,0),0), INDEX($AB$1004:$AQ$1004,1,MATCH(COLUMNS($AB$1006:AD1006),$AB$1006:$AQ$1006,0)))),"Fix")))</f>
        <v>0</v>
      </c>
      <c r="E755" s="4">
        <f>IF(OR(INDEX($V$2:$V$1001,MATCH(ROWS($U$2:U755),$U$2:$U$1001,0),1)&gt;=100000,INDEX($AB$1005:$AQ$1005,1,MATCH(COLUMNS($AB$1006:AE1006),$AB$1006:$AQ$1006,0))&gt;=100000), " ",IF(INDEX($AB$2:$AQ$1001,MATCH(ROWS($U$2:U755),$U$2:$U$1001,0),MATCH(COLUMNS($AB$1006:AE1006),$AB$1006:$AQ$1006,0)), HYPERLINK("#",""), HYPERLINK(CONCATENATE("#metadata!", ADDRESS(INDEX($W$2:$W$1001,MATCH(ROWS($U$2:U755),$U$2:$U$1001,0),0), INDEX($AB$1004:$AQ$1004,1,MATCH(COLUMNS($AB$1006:AE1006),$AB$1006:$AQ$1006,0)))),"Fix")))</f>
        <v>0</v>
      </c>
      <c r="F755" s="4">
        <f>IF(OR(INDEX($V$2:$V$1001,MATCH(ROWS($U$2:U755),$U$2:$U$1001,0),1)&gt;=100000,INDEX($AB$1005:$AQ$1005,1,MATCH(COLUMNS($AB$1006:AF1006),$AB$1006:$AQ$1006,0))&gt;=100000), " ",IF(INDEX($AB$2:$AQ$1001,MATCH(ROWS($U$2:U755),$U$2:$U$1001,0),MATCH(COLUMNS($AB$1006:AF1006),$AB$1006:$AQ$1006,0)), HYPERLINK("#",""), HYPERLINK(CONCATENATE("#metadata!", ADDRESS(INDEX($W$2:$W$1001,MATCH(ROWS($U$2:U755),$U$2:$U$1001,0),0), INDEX($AB$1004:$AQ$1004,1,MATCH(COLUMNS($AB$1006:AF1006),$AB$1006:$AQ$1006,0)))),"Fix")))</f>
        <v>0</v>
      </c>
      <c r="G755" s="4">
        <f>IF(OR(INDEX($V$2:$V$1001,MATCH(ROWS($U$2:U755),$U$2:$U$1001,0),1)&gt;=100000,INDEX($AB$1005:$AQ$1005,1,MATCH(COLUMNS($AB$1006:AG1006),$AB$1006:$AQ$1006,0))&gt;=100000), " ",IF(INDEX($AB$2:$AQ$1001,MATCH(ROWS($U$2:U755),$U$2:$U$1001,0),MATCH(COLUMNS($AB$1006:AG1006),$AB$1006:$AQ$1006,0)), HYPERLINK("#",""), HYPERLINK(CONCATENATE("#metadata!", ADDRESS(INDEX($W$2:$W$1001,MATCH(ROWS($U$2:U755),$U$2:$U$1001,0),0), INDEX($AB$1004:$AQ$1004,1,MATCH(COLUMNS($AB$1006:AG1006),$AB$1006:$AQ$1006,0)))),"Fix")))</f>
        <v>0</v>
      </c>
      <c r="H755" s="4">
        <f>IF(OR(INDEX($V$2:$V$1001,MATCH(ROWS($U$2:U755),$U$2:$U$1001,0),1)&gt;=100000,INDEX($AB$1005:$AQ$1005,1,MATCH(COLUMNS($AB$1006:AH1006),$AB$1006:$AQ$1006,0))&gt;=100000), " ",IF(INDEX($AB$2:$AQ$1001,MATCH(ROWS($U$2:U755),$U$2:$U$1001,0),MATCH(COLUMNS($AB$1006:AH1006),$AB$1006:$AQ$1006,0)), HYPERLINK("#",""), HYPERLINK(CONCATENATE("#metadata!", ADDRESS(INDEX($W$2:$W$1001,MATCH(ROWS($U$2:U755),$U$2:$U$1001,0),0), INDEX($AB$1004:$AQ$1004,1,MATCH(COLUMNS($AB$1006:AH1006),$AB$1006:$AQ$1006,0)))),"Fix")))</f>
        <v>0</v>
      </c>
      <c r="I755" s="4">
        <f>IF(OR(INDEX($V$2:$V$1001,MATCH(ROWS($U$2:U755),$U$2:$U$1001,0),1)&gt;=100000,INDEX($AB$1005:$AQ$1005,1,MATCH(COLUMNS($AB$1006:AI1006),$AB$1006:$AQ$1006,0))&gt;=100000), " ",IF(INDEX($AB$2:$AQ$1001,MATCH(ROWS($U$2:U755),$U$2:$U$1001,0),MATCH(COLUMNS($AB$1006:AI1006),$AB$1006:$AQ$1006,0)), HYPERLINK("#",""), HYPERLINK(CONCATENATE("#metadata!", ADDRESS(INDEX($W$2:$W$1001,MATCH(ROWS($U$2:U755),$U$2:$U$1001,0),0), INDEX($AB$1004:$AQ$1004,1,MATCH(COLUMNS($AB$1006:AI1006),$AB$1006:$AQ$1006,0)))),"Fix")))</f>
        <v>0</v>
      </c>
      <c r="J755" s="4">
        <f>IF(OR(INDEX($V$2:$V$1001,MATCH(ROWS($U$2:U755),$U$2:$U$1001,0),1)&gt;=100000,INDEX($AB$1005:$AQ$1005,1,MATCH(COLUMNS($AB$1006:AJ1006),$AB$1006:$AQ$1006,0))&gt;=100000), " ",IF(INDEX($AB$2:$AQ$1001,MATCH(ROWS($U$2:U755),$U$2:$U$1001,0),MATCH(COLUMNS($AB$1006:AJ1006),$AB$1006:$AQ$1006,0)), HYPERLINK("#",""), HYPERLINK(CONCATENATE("#metadata!", ADDRESS(INDEX($W$2:$W$1001,MATCH(ROWS($U$2:U755),$U$2:$U$1001,0),0), INDEX($AB$1004:$AQ$1004,1,MATCH(COLUMNS($AB$1006:AJ1006),$AB$1006:$AQ$1006,0)))),"Fix")))</f>
        <v>0</v>
      </c>
      <c r="K755" s="4">
        <f>IF(OR(INDEX($V$2:$V$1001,MATCH(ROWS($U$2:U755),$U$2:$U$1001,0),1)&gt;=100000,INDEX($AB$1005:$AQ$1005,1,MATCH(COLUMNS($AB$1006:AK1006),$AB$1006:$AQ$1006,0))&gt;=100000), " ",IF(INDEX($AB$2:$AQ$1001,MATCH(ROWS($U$2:U755),$U$2:$U$1001,0),MATCH(COLUMNS($AB$1006:AK1006),$AB$1006:$AQ$1006,0)), HYPERLINK("#",""), HYPERLINK(CONCATENATE("#metadata!", ADDRESS(INDEX($W$2:$W$1001,MATCH(ROWS($U$2:U755),$U$2:$U$1001,0),0), INDEX($AB$1004:$AQ$1004,1,MATCH(COLUMNS($AB$1006:AK1006),$AB$1006:$AQ$1006,0)))),"Fix")))</f>
        <v>0</v>
      </c>
      <c r="L755" s="4">
        <f>IF(OR(INDEX($V$2:$V$1001,MATCH(ROWS($U$2:U755),$U$2:$U$1001,0),1)&gt;=100000,INDEX($AB$1005:$AQ$1005,1,MATCH(COLUMNS($AB$1006:AL1006),$AB$1006:$AQ$1006,0))&gt;=100000), " ",IF(INDEX($AB$2:$AQ$1001,MATCH(ROWS($U$2:U755),$U$2:$U$1001,0),MATCH(COLUMNS($AB$1006:AL1006),$AB$1006:$AQ$1006,0)), HYPERLINK("#",""), HYPERLINK(CONCATENATE("#metadata!", ADDRESS(INDEX($W$2:$W$1001,MATCH(ROWS($U$2:U755),$U$2:$U$1001,0),0), INDEX($AB$1004:$AQ$1004,1,MATCH(COLUMNS($AB$1006:AL1006),$AB$1006:$AQ$1006,0)))),"Fix")))</f>
        <v>0</v>
      </c>
      <c r="M755" s="4">
        <f>IF(OR(INDEX($V$2:$V$1001,MATCH(ROWS($U$2:U755),$U$2:$U$1001,0),1)&gt;=100000,INDEX($AB$1005:$AQ$1005,1,MATCH(COLUMNS($AB$1006:AM1006),$AB$1006:$AQ$1006,0))&gt;=100000), " ",IF(INDEX($AB$2:$AQ$1001,MATCH(ROWS($U$2:U755),$U$2:$U$1001,0),MATCH(COLUMNS($AB$1006:AM1006),$AB$1006:$AQ$1006,0)), HYPERLINK("#",""), HYPERLINK(CONCATENATE("#metadata!", ADDRESS(INDEX($W$2:$W$1001,MATCH(ROWS($U$2:U755),$U$2:$U$1001,0),0), INDEX($AB$1004:$AQ$1004,1,MATCH(COLUMNS($AB$1006:AM1006),$AB$1006:$AQ$1006,0)))),"Fix")))</f>
        <v>0</v>
      </c>
      <c r="N755" s="4">
        <f>IF(OR(INDEX($V$2:$V$1001,MATCH(ROWS($U$2:U755),$U$2:$U$1001,0),1)&gt;=100000,INDEX($AB$1005:$AQ$1005,1,MATCH(COLUMNS($AB$1006:AN1006),$AB$1006:$AQ$1006,0))&gt;=100000), " ",IF(INDEX($AB$2:$AQ$1001,MATCH(ROWS($U$2:U755),$U$2:$U$1001,0),MATCH(COLUMNS($AB$1006:AN1006),$AB$1006:$AQ$1006,0)), HYPERLINK("#",""), HYPERLINK(CONCATENATE("#metadata!", ADDRESS(INDEX($W$2:$W$1001,MATCH(ROWS($U$2:U755),$U$2:$U$1001,0),0), INDEX($AB$1004:$AQ$1004,1,MATCH(COLUMNS($AB$1006:AN1006),$AB$1006:$AQ$1006,0)))),"Fix")))</f>
        <v>0</v>
      </c>
      <c r="O755" s="4">
        <f>IF(OR(INDEX($V$2:$V$1001,MATCH(ROWS($U$2:U755),$U$2:$U$1001,0),1)&gt;=100000,INDEX($AB$1005:$AQ$1005,1,MATCH(COLUMNS($AB$1006:AO1006),$AB$1006:$AQ$1006,0))&gt;=100000), " ",IF(INDEX($AB$2:$AQ$1001,MATCH(ROWS($U$2:U755),$U$2:$U$1001,0),MATCH(COLUMNS($AB$1006:AO1006),$AB$1006:$AQ$1006,0)), HYPERLINK("#",""), HYPERLINK(CONCATENATE("#metadata!", ADDRESS(INDEX($W$2:$W$1001,MATCH(ROWS($U$2:U755),$U$2:$U$1001,0),0), INDEX($AB$1004:$AQ$1004,1,MATCH(COLUMNS($AB$1006:AO1006),$AB$1006:$AQ$1006,0)))),"Fix")))</f>
        <v>0</v>
      </c>
      <c r="P755" s="4">
        <f>IF(OR(INDEX($V$2:$V$1001,MATCH(ROWS($U$2:U755),$U$2:$U$1001,0),1)&gt;=100000,INDEX($AB$1005:$AQ$1005,1,MATCH(COLUMNS($AB$1006:AP1006),$AB$1006:$AQ$1006,0))&gt;=100000), " ",IF(INDEX($AB$2:$AQ$1001,MATCH(ROWS($U$2:U755),$U$2:$U$1001,0),MATCH(COLUMNS($AB$1006:AP1006),$AB$1006:$AQ$1006,0)), HYPERLINK("#",""), HYPERLINK(CONCATENATE("#metadata!", ADDRESS(INDEX($W$2:$W$1001,MATCH(ROWS($U$2:U755),$U$2:$U$1001,0),0), INDEX($AB$1004:$AQ$1004,1,MATCH(COLUMNS($AB$1006:AP1006),$AB$1006:$AQ$1006,0)))),"Fix")))</f>
        <v>0</v>
      </c>
      <c r="Q755" s="4">
        <f>IF(OR(INDEX($V$2:$V$1001,MATCH(ROWS($U$2:U755),$U$2:$U$1001,0),1)&gt;=100000,INDEX($AB$1005:$AQ$1005,1,MATCH(COLUMNS($AB$1006:AQ1006),$AB$1006:$AQ$1006,0))&gt;=100000), " ",IF(INDEX($AB$2:$AQ$1001,MATCH(ROWS($U$2:U755),$U$2:$U$1001,0),MATCH(COLUMNS($AB$1006:AQ1006),$AB$1006:$AQ$1006,0)), HYPERLINK("#",""), HYPERLINK(CONCATENATE("#metadata!", ADDRESS(INDEX($W$2:$W$1001,MATCH(ROWS($U$2:U755),$U$2:$U$1001,0),0), INDEX($AB$1004:$AQ$1004,1,MATCH(COLUMNS($AB$1006:AQ1006),$AB$1006:$AQ$1006,0)))),"Fix")))</f>
        <v>0</v>
      </c>
      <c r="U755">
        <v>0</v>
      </c>
      <c r="V755">
        <v>0</v>
      </c>
      <c r="W755">
        <v>0</v>
      </c>
      <c r="X755">
        <f>IF(Y755,TRUE,AND(AB755:AQ755))</f>
        <v>0</v>
      </c>
      <c r="Y755">
        <f>COUNTBLANK(metadata!B755:Q755)=COLUMNS(metadata!B755:Q755)</f>
        <v>0</v>
      </c>
      <c r="Z755">
        <v>0</v>
      </c>
      <c r="AB755">
        <f>AND(IF(metadata!B755="",FALSE,TRUE),COUNTIF(metadata!B:B, metadata!B755) = 1,NOT(ISERROR(SUMPRODUCT(SEARCH(MID(metadata!B755,ROW(INDIRECT("1:"&amp;LEN(metadata!B755))), 1),"0123456789abcdefghijklmnopqrstuvwxyzABCDEFGHIJKLMNOPQRSTUVWXYZ.")))))</f>
        <v>0</v>
      </c>
      <c r="AC755">
        <f>OR(AND(IF(metadata!C755="",FALSE,TRUE),OR(exact(metadata!C755,"missing: not collected"),exact(metadata!C755,"missing: not provided"),exact(metadata!C755,"missing: restricted access"))),AND(IF(metadata!C755="",FALSE,TRUE),AND(AND(IFERROR(INT(LEFT(metadata!C755,4))&gt;1900,FALSE),IFERROR(INT(LEFT(metadata!C755,4))&lt;=YEAR(NOW()),FALSE)), OR(MID(metadata!C755,5,1)="", AND(AND(MID(metadata!C755,5,1)="-",IFERROR(INT(MID(metadata!C755,6,1))&gt;=0,FALSE),IFERROR(INT(MID(metadata!C755,6,1))&lt;=1,FALSE),NOT(MID(metadata!C755,7,1)=""),IFERROR(INT(MID(metadata!C755,6,2))&gt;=1,FALSE),IFERROR(INT(MID(metadata!C755,6,2))&lt;=12,FALSE)), OR(MID(metadata!C755,8,1)="", AND(AND(MID(metadata!C755,8,1)="-",IFERROR(INT(MID(metadata!C755,9,1))&gt;=0,FALSE),IFERROR(INT(MID(metadata!C755,9,1))&lt;=3,FALSE),NOT(MID(metadata!C755,10,1)=""),IFERROR(INT(MID(metadata!C755,9,2))&gt;=1,FALSE),IFERROR(INT(MID(metadata!C755,9,2))&lt;=31,FALSE)), OR(MID(metadata!C755,11,1)="", AND(AND(MID(metadata!C755,11,1)=" ",IFERROR(INT(MID(metadata!C755,12,1))&gt;=0,FALSE),IFERROR(INT(MID(metadata!C755,12,1))&lt;=2,FALSE),NOT(MID(metadata!C755,13,1)=""),IFERROR(INT(MID(metadata!C755,12,2))&gt;=0,FALSE),IFERROR(INT(MID(metadata!C755,12,2))&lt;=23,FALSE)), OR(MID(metadata!C755,14,1)="", AND(AND(MID(metadata!C755,14,1)=":",IFERROR(INT(MID(metadata!C755,15,1))&gt;=0,FALSE),IFERROR(INT(MID(metadata!C755,15,1))&lt;=5,FALSE),NOT(MID(metadata!C755,16,1)=""),IFERROR(INT(MID(metadata!C755,15,2))&gt;=0,FALSE),IFERROR(INT(MID(metadata!C755,15,2))&lt;=59,FALSE)), OR(MID(metadata!C755,17,1)="", AND(AND(MID(metadata!C755,17,1)=":",IFERROR(INT(MID(metadata!C755,18,1))&gt;=0,FALSE),IFERROR(INT(MID(metadata!C755,18,1))&lt;=5,FALSE),NOT(MID(metadata!C755,19,1)=""),IFERROR(INT(MID(metadata!C755,18,2))&gt;=0,FALSE),IFERROR(INT(MID(metadata!C755,18,2))&lt;=59,FALSE)), LEN(metadata!C755)&lt;=19)))))))))))))</f>
        <v>0</v>
      </c>
      <c r="AD755">
        <f>IF(metadata!D755="",FALSE,TRUE)</f>
        <v>0</v>
      </c>
      <c r="AE755">
        <f>OR(AND(IF(metadata!E755="",FALSE,TRUE),OR(exact(metadata!E755,"missing: not collected"),exact(metadata!E755,"missing: not provided"))),AND(IF(metadata!E755="",FALSE,TRUE),OR(exact(metadata!E755,"TRUE"),exact(metadata!E755,"FALSE"))))</f>
        <v>0</v>
      </c>
      <c r="AF755">
        <f>IF(metadata!F755="",FALSE,TRUE)</f>
        <v>0</v>
      </c>
      <c r="AG755">
        <f>IF(metadata!G755="",FALSE,TRUE)</f>
        <v>0</v>
      </c>
      <c r="AH755">
        <f>IF(metadata!H755="",FALSE,TRUE)</f>
        <v>0</v>
      </c>
      <c r="AI755">
        <f>OR(AND(IF(metadata!I755="",FALSE,TRUE),OR(exact(metadata!I755,"missing: not collected"),exact(metadata!I755,"missing: not provided"),exact(metadata!I755,"missing: restricted access"))),AND(IF(metadata!I755="",FALSE,TRUE),OR(exact(metadata!I755,"air"),exact(metadata!I755,"built environment"),exact(metadata!I755,"host-associated"),exact(metadata!I755,"human-associated"),exact(metadata!I755,"human-skin"),exact(metadata!I755,"human-oral"),exact(metadata!I755,"human-gut"),exact(metadata!I755,"human-vaginal"),exact(metadata!I755,"microbial mat/biofilm"),exact(metadata!I755,"misc environment"),exact(metadata!I755,"plant-associated"),exact(metadata!I755,"sediment"),exact(metadata!I755,"soil"),exact(metadata!I755,"wastewater/sludge"),exact(metadata!I755,"water"))))</f>
        <v>0</v>
      </c>
      <c r="AJ755">
        <f>IF(metadata!J755="",FALSE,TRUE)</f>
        <v>0</v>
      </c>
      <c r="AK755">
        <f>OR(AND(IF(metadata!K755="",FALSE,TRUE),OR(exact(metadata!K755,"missing: not collected"),exact(metadata!K755,"missing: not provided"),exact(metadata!K755,"missing: restricted access"))),AND(IF(metadata!K755="",FALSE,ISNUMBER(VALUE(metadata!K755))),metadata!K755&gt;=-90.00,metadata!K755&lt;=90.00))</f>
        <v>0</v>
      </c>
      <c r="AL755">
        <f>OR(AND(IF(metadata!L755="",FALSE,TRUE),OR(exact(metadata!L755,"missing: not collected"),exact(metadata!L755,"missing: not provided"),exact(metadata!L755,"missing: restricted access"))),AND(IF(metadata!L755="",FALSE,ISNUMBER(VALUE(metadata!L755))),metadata!L755&gt;=-180.00,metadata!L755&lt;=180.00))</f>
        <v>0</v>
      </c>
      <c r="AM755">
        <f>IF(metadata!M755="",FALSE,TRUE)</f>
        <v>0</v>
      </c>
      <c r="AN755">
        <f>OR(AND(IF(metadata!N755="",FALSE,TRUE),OR(exact(metadata!N755,"missing: not collected"),exact(metadata!N755,"missing: not provided"),exact(metadata!N755,"missing: restricted access"))),AND(IF(metadata!N755="",FALSE,TRUE),OR(exact(metadata!N755,"TRUE"),exact(metadata!N755,"FALSE"))))</f>
        <v>0</v>
      </c>
      <c r="AO755">
        <f>IF(metadata!O755="",FALSE,TRUE)</f>
        <v>0</v>
      </c>
      <c r="AP755">
        <f>OR(AND(IF(metadata!P755="",FALSE,TRUE),OR(exact(metadata!P755,"missing: not collected"),exact(metadata!P755,"missing: not provided"))),AND(IF(metadata!P755="",FALSE,IF(ISERROR(INT(metadata!P755)),FALSE,INT(metadata!P755)=metadata!P755)),metadata!P755&gt;0))</f>
        <v>0</v>
      </c>
      <c r="AQ755">
        <f>IF(metadata!Q755="",FALSE,TRUE)</f>
        <v>0</v>
      </c>
    </row>
    <row r="756" spans="1:43">
      <c r="A756" s="5">
        <f>IF(B756=" "," ",HYPERLINK(CONCATENATE("#metadata!",ADDRESS(INDEX($W$2:$W$1001,MATCH(ROWS($U$2:U756),$U$2:$U$1001,0),0),1)),INDEX($Z$2:$Z$1001,MATCH(ROWS($U$2:U756),$U$2:$U$1001,0),0)))</f>
        <v>0</v>
      </c>
      <c r="B756" s="4">
        <f>IF(OR(INDEX($V$2:$V$1001,MATCH(ROWS($U$2:U756),$U$2:$U$1001,0),1)&gt;=100000,INDEX($AB$1005:$AQ$1005,1,MATCH(COLUMNS($AB$1006:AB1006),$AB$1006:$AQ$1006,0))&gt;=100000), " ",IF(INDEX($AB$2:$AQ$1001,MATCH(ROWS($U$2:U756),$U$2:$U$1001,0),MATCH(COLUMNS($AB$1006:AB1006),$AB$1006:$AQ$1006,0)), HYPERLINK("#",""), HYPERLINK(CONCATENATE("#metadata!", ADDRESS(INDEX($W$2:$W$1001,MATCH(ROWS($U$2:U756),$U$2:$U$1001,0),0), INDEX($AB$1004:$AQ$1004,1,MATCH(COLUMNS($AB$1006:AB1006),$AB$1006:$AQ$1006,0)))),"Fix")))</f>
        <v>0</v>
      </c>
      <c r="C756" s="4">
        <f>IF(OR(INDEX($V$2:$V$1001,MATCH(ROWS($U$2:U756),$U$2:$U$1001,0),1)&gt;=100000,INDEX($AB$1005:$AQ$1005,1,MATCH(COLUMNS($AB$1006:AC1006),$AB$1006:$AQ$1006,0))&gt;=100000), " ",IF(INDEX($AB$2:$AQ$1001,MATCH(ROWS($U$2:U756),$U$2:$U$1001,0),MATCH(COLUMNS($AB$1006:AC1006),$AB$1006:$AQ$1006,0)), HYPERLINK("#",""), HYPERLINK(CONCATENATE("#metadata!", ADDRESS(INDEX($W$2:$W$1001,MATCH(ROWS($U$2:U756),$U$2:$U$1001,0),0), INDEX($AB$1004:$AQ$1004,1,MATCH(COLUMNS($AB$1006:AC1006),$AB$1006:$AQ$1006,0)))),"Fix")))</f>
        <v>0</v>
      </c>
      <c r="D756" s="4">
        <f>IF(OR(INDEX($V$2:$V$1001,MATCH(ROWS($U$2:U756),$U$2:$U$1001,0),1)&gt;=100000,INDEX($AB$1005:$AQ$1005,1,MATCH(COLUMNS($AB$1006:AD1006),$AB$1006:$AQ$1006,0))&gt;=100000), " ",IF(INDEX($AB$2:$AQ$1001,MATCH(ROWS($U$2:U756),$U$2:$U$1001,0),MATCH(COLUMNS($AB$1006:AD1006),$AB$1006:$AQ$1006,0)), HYPERLINK("#",""), HYPERLINK(CONCATENATE("#metadata!", ADDRESS(INDEX($W$2:$W$1001,MATCH(ROWS($U$2:U756),$U$2:$U$1001,0),0), INDEX($AB$1004:$AQ$1004,1,MATCH(COLUMNS($AB$1006:AD1006),$AB$1006:$AQ$1006,0)))),"Fix")))</f>
        <v>0</v>
      </c>
      <c r="E756" s="4">
        <f>IF(OR(INDEX($V$2:$V$1001,MATCH(ROWS($U$2:U756),$U$2:$U$1001,0),1)&gt;=100000,INDEX($AB$1005:$AQ$1005,1,MATCH(COLUMNS($AB$1006:AE1006),$AB$1006:$AQ$1006,0))&gt;=100000), " ",IF(INDEX($AB$2:$AQ$1001,MATCH(ROWS($U$2:U756),$U$2:$U$1001,0),MATCH(COLUMNS($AB$1006:AE1006),$AB$1006:$AQ$1006,0)), HYPERLINK("#",""), HYPERLINK(CONCATENATE("#metadata!", ADDRESS(INDEX($W$2:$W$1001,MATCH(ROWS($U$2:U756),$U$2:$U$1001,0),0), INDEX($AB$1004:$AQ$1004,1,MATCH(COLUMNS($AB$1006:AE1006),$AB$1006:$AQ$1006,0)))),"Fix")))</f>
        <v>0</v>
      </c>
      <c r="F756" s="4">
        <f>IF(OR(INDEX($V$2:$V$1001,MATCH(ROWS($U$2:U756),$U$2:$U$1001,0),1)&gt;=100000,INDEX($AB$1005:$AQ$1005,1,MATCH(COLUMNS($AB$1006:AF1006),$AB$1006:$AQ$1006,0))&gt;=100000), " ",IF(INDEX($AB$2:$AQ$1001,MATCH(ROWS($U$2:U756),$U$2:$U$1001,0),MATCH(COLUMNS($AB$1006:AF1006),$AB$1006:$AQ$1006,0)), HYPERLINK("#",""), HYPERLINK(CONCATENATE("#metadata!", ADDRESS(INDEX($W$2:$W$1001,MATCH(ROWS($U$2:U756),$U$2:$U$1001,0),0), INDEX($AB$1004:$AQ$1004,1,MATCH(COLUMNS($AB$1006:AF1006),$AB$1006:$AQ$1006,0)))),"Fix")))</f>
        <v>0</v>
      </c>
      <c r="G756" s="4">
        <f>IF(OR(INDEX($V$2:$V$1001,MATCH(ROWS($U$2:U756),$U$2:$U$1001,0),1)&gt;=100000,INDEX($AB$1005:$AQ$1005,1,MATCH(COLUMNS($AB$1006:AG1006),$AB$1006:$AQ$1006,0))&gt;=100000), " ",IF(INDEX($AB$2:$AQ$1001,MATCH(ROWS($U$2:U756),$U$2:$U$1001,0),MATCH(COLUMNS($AB$1006:AG1006),$AB$1006:$AQ$1006,0)), HYPERLINK("#",""), HYPERLINK(CONCATENATE("#metadata!", ADDRESS(INDEX($W$2:$W$1001,MATCH(ROWS($U$2:U756),$U$2:$U$1001,0),0), INDEX($AB$1004:$AQ$1004,1,MATCH(COLUMNS($AB$1006:AG1006),$AB$1006:$AQ$1006,0)))),"Fix")))</f>
        <v>0</v>
      </c>
      <c r="H756" s="4">
        <f>IF(OR(INDEX($V$2:$V$1001,MATCH(ROWS($U$2:U756),$U$2:$U$1001,0),1)&gt;=100000,INDEX($AB$1005:$AQ$1005,1,MATCH(COLUMNS($AB$1006:AH1006),$AB$1006:$AQ$1006,0))&gt;=100000), " ",IF(INDEX($AB$2:$AQ$1001,MATCH(ROWS($U$2:U756),$U$2:$U$1001,0),MATCH(COLUMNS($AB$1006:AH1006),$AB$1006:$AQ$1006,0)), HYPERLINK("#",""), HYPERLINK(CONCATENATE("#metadata!", ADDRESS(INDEX($W$2:$W$1001,MATCH(ROWS($U$2:U756),$U$2:$U$1001,0),0), INDEX($AB$1004:$AQ$1004,1,MATCH(COLUMNS($AB$1006:AH1006),$AB$1006:$AQ$1006,0)))),"Fix")))</f>
        <v>0</v>
      </c>
      <c r="I756" s="4">
        <f>IF(OR(INDEX($V$2:$V$1001,MATCH(ROWS($U$2:U756),$U$2:$U$1001,0),1)&gt;=100000,INDEX($AB$1005:$AQ$1005,1,MATCH(COLUMNS($AB$1006:AI1006),$AB$1006:$AQ$1006,0))&gt;=100000), " ",IF(INDEX($AB$2:$AQ$1001,MATCH(ROWS($U$2:U756),$U$2:$U$1001,0),MATCH(COLUMNS($AB$1006:AI1006),$AB$1006:$AQ$1006,0)), HYPERLINK("#",""), HYPERLINK(CONCATENATE("#metadata!", ADDRESS(INDEX($W$2:$W$1001,MATCH(ROWS($U$2:U756),$U$2:$U$1001,0),0), INDEX($AB$1004:$AQ$1004,1,MATCH(COLUMNS($AB$1006:AI1006),$AB$1006:$AQ$1006,0)))),"Fix")))</f>
        <v>0</v>
      </c>
      <c r="J756" s="4">
        <f>IF(OR(INDEX($V$2:$V$1001,MATCH(ROWS($U$2:U756),$U$2:$U$1001,0),1)&gt;=100000,INDEX($AB$1005:$AQ$1005,1,MATCH(COLUMNS($AB$1006:AJ1006),$AB$1006:$AQ$1006,0))&gt;=100000), " ",IF(INDEX($AB$2:$AQ$1001,MATCH(ROWS($U$2:U756),$U$2:$U$1001,0),MATCH(COLUMNS($AB$1006:AJ1006),$AB$1006:$AQ$1006,0)), HYPERLINK("#",""), HYPERLINK(CONCATENATE("#metadata!", ADDRESS(INDEX($W$2:$W$1001,MATCH(ROWS($U$2:U756),$U$2:$U$1001,0),0), INDEX($AB$1004:$AQ$1004,1,MATCH(COLUMNS($AB$1006:AJ1006),$AB$1006:$AQ$1006,0)))),"Fix")))</f>
        <v>0</v>
      </c>
      <c r="K756" s="4">
        <f>IF(OR(INDEX($V$2:$V$1001,MATCH(ROWS($U$2:U756),$U$2:$U$1001,0),1)&gt;=100000,INDEX($AB$1005:$AQ$1005,1,MATCH(COLUMNS($AB$1006:AK1006),$AB$1006:$AQ$1006,0))&gt;=100000), " ",IF(INDEX($AB$2:$AQ$1001,MATCH(ROWS($U$2:U756),$U$2:$U$1001,0),MATCH(COLUMNS($AB$1006:AK1006),$AB$1006:$AQ$1006,0)), HYPERLINK("#",""), HYPERLINK(CONCATENATE("#metadata!", ADDRESS(INDEX($W$2:$W$1001,MATCH(ROWS($U$2:U756),$U$2:$U$1001,0),0), INDEX($AB$1004:$AQ$1004,1,MATCH(COLUMNS($AB$1006:AK1006),$AB$1006:$AQ$1006,0)))),"Fix")))</f>
        <v>0</v>
      </c>
      <c r="L756" s="4">
        <f>IF(OR(INDEX($V$2:$V$1001,MATCH(ROWS($U$2:U756),$U$2:$U$1001,0),1)&gt;=100000,INDEX($AB$1005:$AQ$1005,1,MATCH(COLUMNS($AB$1006:AL1006),$AB$1006:$AQ$1006,0))&gt;=100000), " ",IF(INDEX($AB$2:$AQ$1001,MATCH(ROWS($U$2:U756),$U$2:$U$1001,0),MATCH(COLUMNS($AB$1006:AL1006),$AB$1006:$AQ$1006,0)), HYPERLINK("#",""), HYPERLINK(CONCATENATE("#metadata!", ADDRESS(INDEX($W$2:$W$1001,MATCH(ROWS($U$2:U756),$U$2:$U$1001,0),0), INDEX($AB$1004:$AQ$1004,1,MATCH(COLUMNS($AB$1006:AL1006),$AB$1006:$AQ$1006,0)))),"Fix")))</f>
        <v>0</v>
      </c>
      <c r="M756" s="4">
        <f>IF(OR(INDEX($V$2:$V$1001,MATCH(ROWS($U$2:U756),$U$2:$U$1001,0),1)&gt;=100000,INDEX($AB$1005:$AQ$1005,1,MATCH(COLUMNS($AB$1006:AM1006),$AB$1006:$AQ$1006,0))&gt;=100000), " ",IF(INDEX($AB$2:$AQ$1001,MATCH(ROWS($U$2:U756),$U$2:$U$1001,0),MATCH(COLUMNS($AB$1006:AM1006),$AB$1006:$AQ$1006,0)), HYPERLINK("#",""), HYPERLINK(CONCATENATE("#metadata!", ADDRESS(INDEX($W$2:$W$1001,MATCH(ROWS($U$2:U756),$U$2:$U$1001,0),0), INDEX($AB$1004:$AQ$1004,1,MATCH(COLUMNS($AB$1006:AM1006),$AB$1006:$AQ$1006,0)))),"Fix")))</f>
        <v>0</v>
      </c>
      <c r="N756" s="4">
        <f>IF(OR(INDEX($V$2:$V$1001,MATCH(ROWS($U$2:U756),$U$2:$U$1001,0),1)&gt;=100000,INDEX($AB$1005:$AQ$1005,1,MATCH(COLUMNS($AB$1006:AN1006),$AB$1006:$AQ$1006,0))&gt;=100000), " ",IF(INDEX($AB$2:$AQ$1001,MATCH(ROWS($U$2:U756),$U$2:$U$1001,0),MATCH(COLUMNS($AB$1006:AN1006),$AB$1006:$AQ$1006,0)), HYPERLINK("#",""), HYPERLINK(CONCATENATE("#metadata!", ADDRESS(INDEX($W$2:$W$1001,MATCH(ROWS($U$2:U756),$U$2:$U$1001,0),0), INDEX($AB$1004:$AQ$1004,1,MATCH(COLUMNS($AB$1006:AN1006),$AB$1006:$AQ$1006,0)))),"Fix")))</f>
        <v>0</v>
      </c>
      <c r="O756" s="4">
        <f>IF(OR(INDEX($V$2:$V$1001,MATCH(ROWS($U$2:U756),$U$2:$U$1001,0),1)&gt;=100000,INDEX($AB$1005:$AQ$1005,1,MATCH(COLUMNS($AB$1006:AO1006),$AB$1006:$AQ$1006,0))&gt;=100000), " ",IF(INDEX($AB$2:$AQ$1001,MATCH(ROWS($U$2:U756),$U$2:$U$1001,0),MATCH(COLUMNS($AB$1006:AO1006),$AB$1006:$AQ$1006,0)), HYPERLINK("#",""), HYPERLINK(CONCATENATE("#metadata!", ADDRESS(INDEX($W$2:$W$1001,MATCH(ROWS($U$2:U756),$U$2:$U$1001,0),0), INDEX($AB$1004:$AQ$1004,1,MATCH(COLUMNS($AB$1006:AO1006),$AB$1006:$AQ$1006,0)))),"Fix")))</f>
        <v>0</v>
      </c>
      <c r="P756" s="4">
        <f>IF(OR(INDEX($V$2:$V$1001,MATCH(ROWS($U$2:U756),$U$2:$U$1001,0),1)&gt;=100000,INDEX($AB$1005:$AQ$1005,1,MATCH(COLUMNS($AB$1006:AP1006),$AB$1006:$AQ$1006,0))&gt;=100000), " ",IF(INDEX($AB$2:$AQ$1001,MATCH(ROWS($U$2:U756),$U$2:$U$1001,0),MATCH(COLUMNS($AB$1006:AP1006),$AB$1006:$AQ$1006,0)), HYPERLINK("#",""), HYPERLINK(CONCATENATE("#metadata!", ADDRESS(INDEX($W$2:$W$1001,MATCH(ROWS($U$2:U756),$U$2:$U$1001,0),0), INDEX($AB$1004:$AQ$1004,1,MATCH(COLUMNS($AB$1006:AP1006),$AB$1006:$AQ$1006,0)))),"Fix")))</f>
        <v>0</v>
      </c>
      <c r="Q756" s="4">
        <f>IF(OR(INDEX($V$2:$V$1001,MATCH(ROWS($U$2:U756),$U$2:$U$1001,0),1)&gt;=100000,INDEX($AB$1005:$AQ$1005,1,MATCH(COLUMNS($AB$1006:AQ1006),$AB$1006:$AQ$1006,0))&gt;=100000), " ",IF(INDEX($AB$2:$AQ$1001,MATCH(ROWS($U$2:U756),$U$2:$U$1001,0),MATCH(COLUMNS($AB$1006:AQ1006),$AB$1006:$AQ$1006,0)), HYPERLINK("#",""), HYPERLINK(CONCATENATE("#metadata!", ADDRESS(INDEX($W$2:$W$1001,MATCH(ROWS($U$2:U756),$U$2:$U$1001,0),0), INDEX($AB$1004:$AQ$1004,1,MATCH(COLUMNS($AB$1006:AQ1006),$AB$1006:$AQ$1006,0)))),"Fix")))</f>
        <v>0</v>
      </c>
      <c r="U756">
        <v>0</v>
      </c>
      <c r="V756">
        <v>0</v>
      </c>
      <c r="W756">
        <v>0</v>
      </c>
      <c r="X756">
        <f>IF(Y756,TRUE,AND(AB756:AQ756))</f>
        <v>0</v>
      </c>
      <c r="Y756">
        <f>COUNTBLANK(metadata!B756:Q756)=COLUMNS(metadata!B756:Q756)</f>
        <v>0</v>
      </c>
      <c r="Z756">
        <v>0</v>
      </c>
      <c r="AB756">
        <f>AND(IF(metadata!B756="",FALSE,TRUE),COUNTIF(metadata!B:B, metadata!B756) = 1,NOT(ISERROR(SUMPRODUCT(SEARCH(MID(metadata!B756,ROW(INDIRECT("1:"&amp;LEN(metadata!B756))), 1),"0123456789abcdefghijklmnopqrstuvwxyzABCDEFGHIJKLMNOPQRSTUVWXYZ.")))))</f>
        <v>0</v>
      </c>
      <c r="AC756">
        <f>OR(AND(IF(metadata!C756="",FALSE,TRUE),OR(exact(metadata!C756,"missing: not collected"),exact(metadata!C756,"missing: not provided"),exact(metadata!C756,"missing: restricted access"))),AND(IF(metadata!C756="",FALSE,TRUE),AND(AND(IFERROR(INT(LEFT(metadata!C756,4))&gt;1900,FALSE),IFERROR(INT(LEFT(metadata!C756,4))&lt;=YEAR(NOW()),FALSE)), OR(MID(metadata!C756,5,1)="", AND(AND(MID(metadata!C756,5,1)="-",IFERROR(INT(MID(metadata!C756,6,1))&gt;=0,FALSE),IFERROR(INT(MID(metadata!C756,6,1))&lt;=1,FALSE),NOT(MID(metadata!C756,7,1)=""),IFERROR(INT(MID(metadata!C756,6,2))&gt;=1,FALSE),IFERROR(INT(MID(metadata!C756,6,2))&lt;=12,FALSE)), OR(MID(metadata!C756,8,1)="", AND(AND(MID(metadata!C756,8,1)="-",IFERROR(INT(MID(metadata!C756,9,1))&gt;=0,FALSE),IFERROR(INT(MID(metadata!C756,9,1))&lt;=3,FALSE),NOT(MID(metadata!C756,10,1)=""),IFERROR(INT(MID(metadata!C756,9,2))&gt;=1,FALSE),IFERROR(INT(MID(metadata!C756,9,2))&lt;=31,FALSE)), OR(MID(metadata!C756,11,1)="", AND(AND(MID(metadata!C756,11,1)=" ",IFERROR(INT(MID(metadata!C756,12,1))&gt;=0,FALSE),IFERROR(INT(MID(metadata!C756,12,1))&lt;=2,FALSE),NOT(MID(metadata!C756,13,1)=""),IFERROR(INT(MID(metadata!C756,12,2))&gt;=0,FALSE),IFERROR(INT(MID(metadata!C756,12,2))&lt;=23,FALSE)), OR(MID(metadata!C756,14,1)="", AND(AND(MID(metadata!C756,14,1)=":",IFERROR(INT(MID(metadata!C756,15,1))&gt;=0,FALSE),IFERROR(INT(MID(metadata!C756,15,1))&lt;=5,FALSE),NOT(MID(metadata!C756,16,1)=""),IFERROR(INT(MID(metadata!C756,15,2))&gt;=0,FALSE),IFERROR(INT(MID(metadata!C756,15,2))&lt;=59,FALSE)), OR(MID(metadata!C756,17,1)="", AND(AND(MID(metadata!C756,17,1)=":",IFERROR(INT(MID(metadata!C756,18,1))&gt;=0,FALSE),IFERROR(INT(MID(metadata!C756,18,1))&lt;=5,FALSE),NOT(MID(metadata!C756,19,1)=""),IFERROR(INT(MID(metadata!C756,18,2))&gt;=0,FALSE),IFERROR(INT(MID(metadata!C756,18,2))&lt;=59,FALSE)), LEN(metadata!C756)&lt;=19)))))))))))))</f>
        <v>0</v>
      </c>
      <c r="AD756">
        <f>IF(metadata!D756="",FALSE,TRUE)</f>
        <v>0</v>
      </c>
      <c r="AE756">
        <f>OR(AND(IF(metadata!E756="",FALSE,TRUE),OR(exact(metadata!E756,"missing: not collected"),exact(metadata!E756,"missing: not provided"))),AND(IF(metadata!E756="",FALSE,TRUE),OR(exact(metadata!E756,"TRUE"),exact(metadata!E756,"FALSE"))))</f>
        <v>0</v>
      </c>
      <c r="AF756">
        <f>IF(metadata!F756="",FALSE,TRUE)</f>
        <v>0</v>
      </c>
      <c r="AG756">
        <f>IF(metadata!G756="",FALSE,TRUE)</f>
        <v>0</v>
      </c>
      <c r="AH756">
        <f>IF(metadata!H756="",FALSE,TRUE)</f>
        <v>0</v>
      </c>
      <c r="AI756">
        <f>OR(AND(IF(metadata!I756="",FALSE,TRUE),OR(exact(metadata!I756,"missing: not collected"),exact(metadata!I756,"missing: not provided"),exact(metadata!I756,"missing: restricted access"))),AND(IF(metadata!I756="",FALSE,TRUE),OR(exact(metadata!I756,"air"),exact(metadata!I756,"built environment"),exact(metadata!I756,"host-associated"),exact(metadata!I756,"human-associated"),exact(metadata!I756,"human-skin"),exact(metadata!I756,"human-oral"),exact(metadata!I756,"human-gut"),exact(metadata!I756,"human-vaginal"),exact(metadata!I756,"microbial mat/biofilm"),exact(metadata!I756,"misc environment"),exact(metadata!I756,"plant-associated"),exact(metadata!I756,"sediment"),exact(metadata!I756,"soil"),exact(metadata!I756,"wastewater/sludge"),exact(metadata!I756,"water"))))</f>
        <v>0</v>
      </c>
      <c r="AJ756">
        <f>IF(metadata!J756="",FALSE,TRUE)</f>
        <v>0</v>
      </c>
      <c r="AK756">
        <f>OR(AND(IF(metadata!K756="",FALSE,TRUE),OR(exact(metadata!K756,"missing: not collected"),exact(metadata!K756,"missing: not provided"),exact(metadata!K756,"missing: restricted access"))),AND(IF(metadata!K756="",FALSE,ISNUMBER(VALUE(metadata!K756))),metadata!K756&gt;=-90.00,metadata!K756&lt;=90.00))</f>
        <v>0</v>
      </c>
      <c r="AL756">
        <f>OR(AND(IF(metadata!L756="",FALSE,TRUE),OR(exact(metadata!L756,"missing: not collected"),exact(metadata!L756,"missing: not provided"),exact(metadata!L756,"missing: restricted access"))),AND(IF(metadata!L756="",FALSE,ISNUMBER(VALUE(metadata!L756))),metadata!L756&gt;=-180.00,metadata!L756&lt;=180.00))</f>
        <v>0</v>
      </c>
      <c r="AM756">
        <f>IF(metadata!M756="",FALSE,TRUE)</f>
        <v>0</v>
      </c>
      <c r="AN756">
        <f>OR(AND(IF(metadata!N756="",FALSE,TRUE),OR(exact(metadata!N756,"missing: not collected"),exact(metadata!N756,"missing: not provided"),exact(metadata!N756,"missing: restricted access"))),AND(IF(metadata!N756="",FALSE,TRUE),OR(exact(metadata!N756,"TRUE"),exact(metadata!N756,"FALSE"))))</f>
        <v>0</v>
      </c>
      <c r="AO756">
        <f>IF(metadata!O756="",FALSE,TRUE)</f>
        <v>0</v>
      </c>
      <c r="AP756">
        <f>OR(AND(IF(metadata!P756="",FALSE,TRUE),OR(exact(metadata!P756,"missing: not collected"),exact(metadata!P756,"missing: not provided"))),AND(IF(metadata!P756="",FALSE,IF(ISERROR(INT(metadata!P756)),FALSE,INT(metadata!P756)=metadata!P756)),metadata!P756&gt;0))</f>
        <v>0</v>
      </c>
      <c r="AQ756">
        <f>IF(metadata!Q756="",FALSE,TRUE)</f>
        <v>0</v>
      </c>
    </row>
    <row r="757" spans="1:43">
      <c r="A757" s="5">
        <f>IF(B757=" "," ",HYPERLINK(CONCATENATE("#metadata!",ADDRESS(INDEX($W$2:$W$1001,MATCH(ROWS($U$2:U757),$U$2:$U$1001,0),0),1)),INDEX($Z$2:$Z$1001,MATCH(ROWS($U$2:U757),$U$2:$U$1001,0),0)))</f>
        <v>0</v>
      </c>
      <c r="B757" s="4">
        <f>IF(OR(INDEX($V$2:$V$1001,MATCH(ROWS($U$2:U757),$U$2:$U$1001,0),1)&gt;=100000,INDEX($AB$1005:$AQ$1005,1,MATCH(COLUMNS($AB$1006:AB1006),$AB$1006:$AQ$1006,0))&gt;=100000), " ",IF(INDEX($AB$2:$AQ$1001,MATCH(ROWS($U$2:U757),$U$2:$U$1001,0),MATCH(COLUMNS($AB$1006:AB1006),$AB$1006:$AQ$1006,0)), HYPERLINK("#",""), HYPERLINK(CONCATENATE("#metadata!", ADDRESS(INDEX($W$2:$W$1001,MATCH(ROWS($U$2:U757),$U$2:$U$1001,0),0), INDEX($AB$1004:$AQ$1004,1,MATCH(COLUMNS($AB$1006:AB1006),$AB$1006:$AQ$1006,0)))),"Fix")))</f>
        <v>0</v>
      </c>
      <c r="C757" s="4">
        <f>IF(OR(INDEX($V$2:$V$1001,MATCH(ROWS($U$2:U757),$U$2:$U$1001,0),1)&gt;=100000,INDEX($AB$1005:$AQ$1005,1,MATCH(COLUMNS($AB$1006:AC1006),$AB$1006:$AQ$1006,0))&gt;=100000), " ",IF(INDEX($AB$2:$AQ$1001,MATCH(ROWS($U$2:U757),$U$2:$U$1001,0),MATCH(COLUMNS($AB$1006:AC1006),$AB$1006:$AQ$1006,0)), HYPERLINK("#",""), HYPERLINK(CONCATENATE("#metadata!", ADDRESS(INDEX($W$2:$W$1001,MATCH(ROWS($U$2:U757),$U$2:$U$1001,0),0), INDEX($AB$1004:$AQ$1004,1,MATCH(COLUMNS($AB$1006:AC1006),$AB$1006:$AQ$1006,0)))),"Fix")))</f>
        <v>0</v>
      </c>
      <c r="D757" s="4">
        <f>IF(OR(INDEX($V$2:$V$1001,MATCH(ROWS($U$2:U757),$U$2:$U$1001,0),1)&gt;=100000,INDEX($AB$1005:$AQ$1005,1,MATCH(COLUMNS($AB$1006:AD1006),$AB$1006:$AQ$1006,0))&gt;=100000), " ",IF(INDEX($AB$2:$AQ$1001,MATCH(ROWS($U$2:U757),$U$2:$U$1001,0),MATCH(COLUMNS($AB$1006:AD1006),$AB$1006:$AQ$1006,0)), HYPERLINK("#",""), HYPERLINK(CONCATENATE("#metadata!", ADDRESS(INDEX($W$2:$W$1001,MATCH(ROWS($U$2:U757),$U$2:$U$1001,0),0), INDEX($AB$1004:$AQ$1004,1,MATCH(COLUMNS($AB$1006:AD1006),$AB$1006:$AQ$1006,0)))),"Fix")))</f>
        <v>0</v>
      </c>
      <c r="E757" s="4">
        <f>IF(OR(INDEX($V$2:$V$1001,MATCH(ROWS($U$2:U757),$U$2:$U$1001,0),1)&gt;=100000,INDEX($AB$1005:$AQ$1005,1,MATCH(COLUMNS($AB$1006:AE1006),$AB$1006:$AQ$1006,0))&gt;=100000), " ",IF(INDEX($AB$2:$AQ$1001,MATCH(ROWS($U$2:U757),$U$2:$U$1001,0),MATCH(COLUMNS($AB$1006:AE1006),$AB$1006:$AQ$1006,0)), HYPERLINK("#",""), HYPERLINK(CONCATENATE("#metadata!", ADDRESS(INDEX($W$2:$W$1001,MATCH(ROWS($U$2:U757),$U$2:$U$1001,0),0), INDEX($AB$1004:$AQ$1004,1,MATCH(COLUMNS($AB$1006:AE1006),$AB$1006:$AQ$1006,0)))),"Fix")))</f>
        <v>0</v>
      </c>
      <c r="F757" s="4">
        <f>IF(OR(INDEX($V$2:$V$1001,MATCH(ROWS($U$2:U757),$U$2:$U$1001,0),1)&gt;=100000,INDEX($AB$1005:$AQ$1005,1,MATCH(COLUMNS($AB$1006:AF1006),$AB$1006:$AQ$1006,0))&gt;=100000), " ",IF(INDEX($AB$2:$AQ$1001,MATCH(ROWS($U$2:U757),$U$2:$U$1001,0),MATCH(COLUMNS($AB$1006:AF1006),$AB$1006:$AQ$1006,0)), HYPERLINK("#",""), HYPERLINK(CONCATENATE("#metadata!", ADDRESS(INDEX($W$2:$W$1001,MATCH(ROWS($U$2:U757),$U$2:$U$1001,0),0), INDEX($AB$1004:$AQ$1004,1,MATCH(COLUMNS($AB$1006:AF1006),$AB$1006:$AQ$1006,0)))),"Fix")))</f>
        <v>0</v>
      </c>
      <c r="G757" s="4">
        <f>IF(OR(INDEX($V$2:$V$1001,MATCH(ROWS($U$2:U757),$U$2:$U$1001,0),1)&gt;=100000,INDEX($AB$1005:$AQ$1005,1,MATCH(COLUMNS($AB$1006:AG1006),$AB$1006:$AQ$1006,0))&gt;=100000), " ",IF(INDEX($AB$2:$AQ$1001,MATCH(ROWS($U$2:U757),$U$2:$U$1001,0),MATCH(COLUMNS($AB$1006:AG1006),$AB$1006:$AQ$1006,0)), HYPERLINK("#",""), HYPERLINK(CONCATENATE("#metadata!", ADDRESS(INDEX($W$2:$W$1001,MATCH(ROWS($U$2:U757),$U$2:$U$1001,0),0), INDEX($AB$1004:$AQ$1004,1,MATCH(COLUMNS($AB$1006:AG1006),$AB$1006:$AQ$1006,0)))),"Fix")))</f>
        <v>0</v>
      </c>
      <c r="H757" s="4">
        <f>IF(OR(INDEX($V$2:$V$1001,MATCH(ROWS($U$2:U757),$U$2:$U$1001,0),1)&gt;=100000,INDEX($AB$1005:$AQ$1005,1,MATCH(COLUMNS($AB$1006:AH1006),$AB$1006:$AQ$1006,0))&gt;=100000), " ",IF(INDEX($AB$2:$AQ$1001,MATCH(ROWS($U$2:U757),$U$2:$U$1001,0),MATCH(COLUMNS($AB$1006:AH1006),$AB$1006:$AQ$1006,0)), HYPERLINK("#",""), HYPERLINK(CONCATENATE("#metadata!", ADDRESS(INDEX($W$2:$W$1001,MATCH(ROWS($U$2:U757),$U$2:$U$1001,0),0), INDEX($AB$1004:$AQ$1004,1,MATCH(COLUMNS($AB$1006:AH1006),$AB$1006:$AQ$1006,0)))),"Fix")))</f>
        <v>0</v>
      </c>
      <c r="I757" s="4">
        <f>IF(OR(INDEX($V$2:$V$1001,MATCH(ROWS($U$2:U757),$U$2:$U$1001,0),1)&gt;=100000,INDEX($AB$1005:$AQ$1005,1,MATCH(COLUMNS($AB$1006:AI1006),$AB$1006:$AQ$1006,0))&gt;=100000), " ",IF(INDEX($AB$2:$AQ$1001,MATCH(ROWS($U$2:U757),$U$2:$U$1001,0),MATCH(COLUMNS($AB$1006:AI1006),$AB$1006:$AQ$1006,0)), HYPERLINK("#",""), HYPERLINK(CONCATENATE("#metadata!", ADDRESS(INDEX($W$2:$W$1001,MATCH(ROWS($U$2:U757),$U$2:$U$1001,0),0), INDEX($AB$1004:$AQ$1004,1,MATCH(COLUMNS($AB$1006:AI1006),$AB$1006:$AQ$1006,0)))),"Fix")))</f>
        <v>0</v>
      </c>
      <c r="J757" s="4">
        <f>IF(OR(INDEX($V$2:$V$1001,MATCH(ROWS($U$2:U757),$U$2:$U$1001,0),1)&gt;=100000,INDEX($AB$1005:$AQ$1005,1,MATCH(COLUMNS($AB$1006:AJ1006),$AB$1006:$AQ$1006,0))&gt;=100000), " ",IF(INDEX($AB$2:$AQ$1001,MATCH(ROWS($U$2:U757),$U$2:$U$1001,0),MATCH(COLUMNS($AB$1006:AJ1006),$AB$1006:$AQ$1006,0)), HYPERLINK("#",""), HYPERLINK(CONCATENATE("#metadata!", ADDRESS(INDEX($W$2:$W$1001,MATCH(ROWS($U$2:U757),$U$2:$U$1001,0),0), INDEX($AB$1004:$AQ$1004,1,MATCH(COLUMNS($AB$1006:AJ1006),$AB$1006:$AQ$1006,0)))),"Fix")))</f>
        <v>0</v>
      </c>
      <c r="K757" s="4">
        <f>IF(OR(INDEX($V$2:$V$1001,MATCH(ROWS($U$2:U757),$U$2:$U$1001,0),1)&gt;=100000,INDEX($AB$1005:$AQ$1005,1,MATCH(COLUMNS($AB$1006:AK1006),$AB$1006:$AQ$1006,0))&gt;=100000), " ",IF(INDEX($AB$2:$AQ$1001,MATCH(ROWS($U$2:U757),$U$2:$U$1001,0),MATCH(COLUMNS($AB$1006:AK1006),$AB$1006:$AQ$1006,0)), HYPERLINK("#",""), HYPERLINK(CONCATENATE("#metadata!", ADDRESS(INDEX($W$2:$W$1001,MATCH(ROWS($U$2:U757),$U$2:$U$1001,0),0), INDEX($AB$1004:$AQ$1004,1,MATCH(COLUMNS($AB$1006:AK1006),$AB$1006:$AQ$1006,0)))),"Fix")))</f>
        <v>0</v>
      </c>
      <c r="L757" s="4">
        <f>IF(OR(INDEX($V$2:$V$1001,MATCH(ROWS($U$2:U757),$U$2:$U$1001,0),1)&gt;=100000,INDEX($AB$1005:$AQ$1005,1,MATCH(COLUMNS($AB$1006:AL1006),$AB$1006:$AQ$1006,0))&gt;=100000), " ",IF(INDEX($AB$2:$AQ$1001,MATCH(ROWS($U$2:U757),$U$2:$U$1001,0),MATCH(COLUMNS($AB$1006:AL1006),$AB$1006:$AQ$1006,0)), HYPERLINK("#",""), HYPERLINK(CONCATENATE("#metadata!", ADDRESS(INDEX($W$2:$W$1001,MATCH(ROWS($U$2:U757),$U$2:$U$1001,0),0), INDEX($AB$1004:$AQ$1004,1,MATCH(COLUMNS($AB$1006:AL1006),$AB$1006:$AQ$1006,0)))),"Fix")))</f>
        <v>0</v>
      </c>
      <c r="M757" s="4">
        <f>IF(OR(INDEX($V$2:$V$1001,MATCH(ROWS($U$2:U757),$U$2:$U$1001,0),1)&gt;=100000,INDEX($AB$1005:$AQ$1005,1,MATCH(COLUMNS($AB$1006:AM1006),$AB$1006:$AQ$1006,0))&gt;=100000), " ",IF(INDEX($AB$2:$AQ$1001,MATCH(ROWS($U$2:U757),$U$2:$U$1001,0),MATCH(COLUMNS($AB$1006:AM1006),$AB$1006:$AQ$1006,0)), HYPERLINK("#",""), HYPERLINK(CONCATENATE("#metadata!", ADDRESS(INDEX($W$2:$W$1001,MATCH(ROWS($U$2:U757),$U$2:$U$1001,0),0), INDEX($AB$1004:$AQ$1004,1,MATCH(COLUMNS($AB$1006:AM1006),$AB$1006:$AQ$1006,0)))),"Fix")))</f>
        <v>0</v>
      </c>
      <c r="N757" s="4">
        <f>IF(OR(INDEX($V$2:$V$1001,MATCH(ROWS($U$2:U757),$U$2:$U$1001,0),1)&gt;=100000,INDEX($AB$1005:$AQ$1005,1,MATCH(COLUMNS($AB$1006:AN1006),$AB$1006:$AQ$1006,0))&gt;=100000), " ",IF(INDEX($AB$2:$AQ$1001,MATCH(ROWS($U$2:U757),$U$2:$U$1001,0),MATCH(COLUMNS($AB$1006:AN1006),$AB$1006:$AQ$1006,0)), HYPERLINK("#",""), HYPERLINK(CONCATENATE("#metadata!", ADDRESS(INDEX($W$2:$W$1001,MATCH(ROWS($U$2:U757),$U$2:$U$1001,0),0), INDEX($AB$1004:$AQ$1004,1,MATCH(COLUMNS($AB$1006:AN1006),$AB$1006:$AQ$1006,0)))),"Fix")))</f>
        <v>0</v>
      </c>
      <c r="O757" s="4">
        <f>IF(OR(INDEX($V$2:$V$1001,MATCH(ROWS($U$2:U757),$U$2:$U$1001,0),1)&gt;=100000,INDEX($AB$1005:$AQ$1005,1,MATCH(COLUMNS($AB$1006:AO1006),$AB$1006:$AQ$1006,0))&gt;=100000), " ",IF(INDEX($AB$2:$AQ$1001,MATCH(ROWS($U$2:U757),$U$2:$U$1001,0),MATCH(COLUMNS($AB$1006:AO1006),$AB$1006:$AQ$1006,0)), HYPERLINK("#",""), HYPERLINK(CONCATENATE("#metadata!", ADDRESS(INDEX($W$2:$W$1001,MATCH(ROWS($U$2:U757),$U$2:$U$1001,0),0), INDEX($AB$1004:$AQ$1004,1,MATCH(COLUMNS($AB$1006:AO1006),$AB$1006:$AQ$1006,0)))),"Fix")))</f>
        <v>0</v>
      </c>
      <c r="P757" s="4">
        <f>IF(OR(INDEX($V$2:$V$1001,MATCH(ROWS($U$2:U757),$U$2:$U$1001,0),1)&gt;=100000,INDEX($AB$1005:$AQ$1005,1,MATCH(COLUMNS($AB$1006:AP1006),$AB$1006:$AQ$1006,0))&gt;=100000), " ",IF(INDEX($AB$2:$AQ$1001,MATCH(ROWS($U$2:U757),$U$2:$U$1001,0),MATCH(COLUMNS($AB$1006:AP1006),$AB$1006:$AQ$1006,0)), HYPERLINK("#",""), HYPERLINK(CONCATENATE("#metadata!", ADDRESS(INDEX($W$2:$W$1001,MATCH(ROWS($U$2:U757),$U$2:$U$1001,0),0), INDEX($AB$1004:$AQ$1004,1,MATCH(COLUMNS($AB$1006:AP1006),$AB$1006:$AQ$1006,0)))),"Fix")))</f>
        <v>0</v>
      </c>
      <c r="Q757" s="4">
        <f>IF(OR(INDEX($V$2:$V$1001,MATCH(ROWS($U$2:U757),$U$2:$U$1001,0),1)&gt;=100000,INDEX($AB$1005:$AQ$1005,1,MATCH(COLUMNS($AB$1006:AQ1006),$AB$1006:$AQ$1006,0))&gt;=100000), " ",IF(INDEX($AB$2:$AQ$1001,MATCH(ROWS($U$2:U757),$U$2:$U$1001,0),MATCH(COLUMNS($AB$1006:AQ1006),$AB$1006:$AQ$1006,0)), HYPERLINK("#",""), HYPERLINK(CONCATENATE("#metadata!", ADDRESS(INDEX($W$2:$W$1001,MATCH(ROWS($U$2:U757),$U$2:$U$1001,0),0), INDEX($AB$1004:$AQ$1004,1,MATCH(COLUMNS($AB$1006:AQ1006),$AB$1006:$AQ$1006,0)))),"Fix")))</f>
        <v>0</v>
      </c>
      <c r="U757">
        <v>0</v>
      </c>
      <c r="V757">
        <v>0</v>
      </c>
      <c r="W757">
        <v>0</v>
      </c>
      <c r="X757">
        <f>IF(Y757,TRUE,AND(AB757:AQ757))</f>
        <v>0</v>
      </c>
      <c r="Y757">
        <f>COUNTBLANK(metadata!B757:Q757)=COLUMNS(metadata!B757:Q757)</f>
        <v>0</v>
      </c>
      <c r="Z757">
        <v>0</v>
      </c>
      <c r="AB757">
        <f>AND(IF(metadata!B757="",FALSE,TRUE),COUNTIF(metadata!B:B, metadata!B757) = 1,NOT(ISERROR(SUMPRODUCT(SEARCH(MID(metadata!B757,ROW(INDIRECT("1:"&amp;LEN(metadata!B757))), 1),"0123456789abcdefghijklmnopqrstuvwxyzABCDEFGHIJKLMNOPQRSTUVWXYZ.")))))</f>
        <v>0</v>
      </c>
      <c r="AC757">
        <f>OR(AND(IF(metadata!C757="",FALSE,TRUE),OR(exact(metadata!C757,"missing: not collected"),exact(metadata!C757,"missing: not provided"),exact(metadata!C757,"missing: restricted access"))),AND(IF(metadata!C757="",FALSE,TRUE),AND(AND(IFERROR(INT(LEFT(metadata!C757,4))&gt;1900,FALSE),IFERROR(INT(LEFT(metadata!C757,4))&lt;=YEAR(NOW()),FALSE)), OR(MID(metadata!C757,5,1)="", AND(AND(MID(metadata!C757,5,1)="-",IFERROR(INT(MID(metadata!C757,6,1))&gt;=0,FALSE),IFERROR(INT(MID(metadata!C757,6,1))&lt;=1,FALSE),NOT(MID(metadata!C757,7,1)=""),IFERROR(INT(MID(metadata!C757,6,2))&gt;=1,FALSE),IFERROR(INT(MID(metadata!C757,6,2))&lt;=12,FALSE)), OR(MID(metadata!C757,8,1)="", AND(AND(MID(metadata!C757,8,1)="-",IFERROR(INT(MID(metadata!C757,9,1))&gt;=0,FALSE),IFERROR(INT(MID(metadata!C757,9,1))&lt;=3,FALSE),NOT(MID(metadata!C757,10,1)=""),IFERROR(INT(MID(metadata!C757,9,2))&gt;=1,FALSE),IFERROR(INT(MID(metadata!C757,9,2))&lt;=31,FALSE)), OR(MID(metadata!C757,11,1)="", AND(AND(MID(metadata!C757,11,1)=" ",IFERROR(INT(MID(metadata!C757,12,1))&gt;=0,FALSE),IFERROR(INT(MID(metadata!C757,12,1))&lt;=2,FALSE),NOT(MID(metadata!C757,13,1)=""),IFERROR(INT(MID(metadata!C757,12,2))&gt;=0,FALSE),IFERROR(INT(MID(metadata!C757,12,2))&lt;=23,FALSE)), OR(MID(metadata!C757,14,1)="", AND(AND(MID(metadata!C757,14,1)=":",IFERROR(INT(MID(metadata!C757,15,1))&gt;=0,FALSE),IFERROR(INT(MID(metadata!C757,15,1))&lt;=5,FALSE),NOT(MID(metadata!C757,16,1)=""),IFERROR(INT(MID(metadata!C757,15,2))&gt;=0,FALSE),IFERROR(INT(MID(metadata!C757,15,2))&lt;=59,FALSE)), OR(MID(metadata!C757,17,1)="", AND(AND(MID(metadata!C757,17,1)=":",IFERROR(INT(MID(metadata!C757,18,1))&gt;=0,FALSE),IFERROR(INT(MID(metadata!C757,18,1))&lt;=5,FALSE),NOT(MID(metadata!C757,19,1)=""),IFERROR(INT(MID(metadata!C757,18,2))&gt;=0,FALSE),IFERROR(INT(MID(metadata!C757,18,2))&lt;=59,FALSE)), LEN(metadata!C757)&lt;=19)))))))))))))</f>
        <v>0</v>
      </c>
      <c r="AD757">
        <f>IF(metadata!D757="",FALSE,TRUE)</f>
        <v>0</v>
      </c>
      <c r="AE757">
        <f>OR(AND(IF(metadata!E757="",FALSE,TRUE),OR(exact(metadata!E757,"missing: not collected"),exact(metadata!E757,"missing: not provided"))),AND(IF(metadata!E757="",FALSE,TRUE),OR(exact(metadata!E757,"TRUE"),exact(metadata!E757,"FALSE"))))</f>
        <v>0</v>
      </c>
      <c r="AF757">
        <f>IF(metadata!F757="",FALSE,TRUE)</f>
        <v>0</v>
      </c>
      <c r="AG757">
        <f>IF(metadata!G757="",FALSE,TRUE)</f>
        <v>0</v>
      </c>
      <c r="AH757">
        <f>IF(metadata!H757="",FALSE,TRUE)</f>
        <v>0</v>
      </c>
      <c r="AI757">
        <f>OR(AND(IF(metadata!I757="",FALSE,TRUE),OR(exact(metadata!I757,"missing: not collected"),exact(metadata!I757,"missing: not provided"),exact(metadata!I757,"missing: restricted access"))),AND(IF(metadata!I757="",FALSE,TRUE),OR(exact(metadata!I757,"air"),exact(metadata!I757,"built environment"),exact(metadata!I757,"host-associated"),exact(metadata!I757,"human-associated"),exact(metadata!I757,"human-skin"),exact(metadata!I757,"human-oral"),exact(metadata!I757,"human-gut"),exact(metadata!I757,"human-vaginal"),exact(metadata!I757,"microbial mat/biofilm"),exact(metadata!I757,"misc environment"),exact(metadata!I757,"plant-associated"),exact(metadata!I757,"sediment"),exact(metadata!I757,"soil"),exact(metadata!I757,"wastewater/sludge"),exact(metadata!I757,"water"))))</f>
        <v>0</v>
      </c>
      <c r="AJ757">
        <f>IF(metadata!J757="",FALSE,TRUE)</f>
        <v>0</v>
      </c>
      <c r="AK757">
        <f>OR(AND(IF(metadata!K757="",FALSE,TRUE),OR(exact(metadata!K757,"missing: not collected"),exact(metadata!K757,"missing: not provided"),exact(metadata!K757,"missing: restricted access"))),AND(IF(metadata!K757="",FALSE,ISNUMBER(VALUE(metadata!K757))),metadata!K757&gt;=-90.00,metadata!K757&lt;=90.00))</f>
        <v>0</v>
      </c>
      <c r="AL757">
        <f>OR(AND(IF(metadata!L757="",FALSE,TRUE),OR(exact(metadata!L757,"missing: not collected"),exact(metadata!L757,"missing: not provided"),exact(metadata!L757,"missing: restricted access"))),AND(IF(metadata!L757="",FALSE,ISNUMBER(VALUE(metadata!L757))),metadata!L757&gt;=-180.00,metadata!L757&lt;=180.00))</f>
        <v>0</v>
      </c>
      <c r="AM757">
        <f>IF(metadata!M757="",FALSE,TRUE)</f>
        <v>0</v>
      </c>
      <c r="AN757">
        <f>OR(AND(IF(metadata!N757="",FALSE,TRUE),OR(exact(metadata!N757,"missing: not collected"),exact(metadata!N757,"missing: not provided"),exact(metadata!N757,"missing: restricted access"))),AND(IF(metadata!N757="",FALSE,TRUE),OR(exact(metadata!N757,"TRUE"),exact(metadata!N757,"FALSE"))))</f>
        <v>0</v>
      </c>
      <c r="AO757">
        <f>IF(metadata!O757="",FALSE,TRUE)</f>
        <v>0</v>
      </c>
      <c r="AP757">
        <f>OR(AND(IF(metadata!P757="",FALSE,TRUE),OR(exact(metadata!P757,"missing: not collected"),exact(metadata!P757,"missing: not provided"))),AND(IF(metadata!P757="",FALSE,IF(ISERROR(INT(metadata!P757)),FALSE,INT(metadata!P757)=metadata!P757)),metadata!P757&gt;0))</f>
        <v>0</v>
      </c>
      <c r="AQ757">
        <f>IF(metadata!Q757="",FALSE,TRUE)</f>
        <v>0</v>
      </c>
    </row>
    <row r="758" spans="1:43">
      <c r="A758" s="5">
        <f>IF(B758=" "," ",HYPERLINK(CONCATENATE("#metadata!",ADDRESS(INDEX($W$2:$W$1001,MATCH(ROWS($U$2:U758),$U$2:$U$1001,0),0),1)),INDEX($Z$2:$Z$1001,MATCH(ROWS($U$2:U758),$U$2:$U$1001,0),0)))</f>
        <v>0</v>
      </c>
      <c r="B758" s="4">
        <f>IF(OR(INDEX($V$2:$V$1001,MATCH(ROWS($U$2:U758),$U$2:$U$1001,0),1)&gt;=100000,INDEX($AB$1005:$AQ$1005,1,MATCH(COLUMNS($AB$1006:AB1006),$AB$1006:$AQ$1006,0))&gt;=100000), " ",IF(INDEX($AB$2:$AQ$1001,MATCH(ROWS($U$2:U758),$U$2:$U$1001,0),MATCH(COLUMNS($AB$1006:AB1006),$AB$1006:$AQ$1006,0)), HYPERLINK("#",""), HYPERLINK(CONCATENATE("#metadata!", ADDRESS(INDEX($W$2:$W$1001,MATCH(ROWS($U$2:U758),$U$2:$U$1001,0),0), INDEX($AB$1004:$AQ$1004,1,MATCH(COLUMNS($AB$1006:AB1006),$AB$1006:$AQ$1006,0)))),"Fix")))</f>
        <v>0</v>
      </c>
      <c r="C758" s="4">
        <f>IF(OR(INDEX($V$2:$V$1001,MATCH(ROWS($U$2:U758),$U$2:$U$1001,0),1)&gt;=100000,INDEX($AB$1005:$AQ$1005,1,MATCH(COLUMNS($AB$1006:AC1006),$AB$1006:$AQ$1006,0))&gt;=100000), " ",IF(INDEX($AB$2:$AQ$1001,MATCH(ROWS($U$2:U758),$U$2:$U$1001,0),MATCH(COLUMNS($AB$1006:AC1006),$AB$1006:$AQ$1006,0)), HYPERLINK("#",""), HYPERLINK(CONCATENATE("#metadata!", ADDRESS(INDEX($W$2:$W$1001,MATCH(ROWS($U$2:U758),$U$2:$U$1001,0),0), INDEX($AB$1004:$AQ$1004,1,MATCH(COLUMNS($AB$1006:AC1006),$AB$1006:$AQ$1006,0)))),"Fix")))</f>
        <v>0</v>
      </c>
      <c r="D758" s="4">
        <f>IF(OR(INDEX($V$2:$V$1001,MATCH(ROWS($U$2:U758),$U$2:$U$1001,0),1)&gt;=100000,INDEX($AB$1005:$AQ$1005,1,MATCH(COLUMNS($AB$1006:AD1006),$AB$1006:$AQ$1006,0))&gt;=100000), " ",IF(INDEX($AB$2:$AQ$1001,MATCH(ROWS($U$2:U758),$U$2:$U$1001,0),MATCH(COLUMNS($AB$1006:AD1006),$AB$1006:$AQ$1006,0)), HYPERLINK("#",""), HYPERLINK(CONCATENATE("#metadata!", ADDRESS(INDEX($W$2:$W$1001,MATCH(ROWS($U$2:U758),$U$2:$U$1001,0),0), INDEX($AB$1004:$AQ$1004,1,MATCH(COLUMNS($AB$1006:AD1006),$AB$1006:$AQ$1006,0)))),"Fix")))</f>
        <v>0</v>
      </c>
      <c r="E758" s="4">
        <f>IF(OR(INDEX($V$2:$V$1001,MATCH(ROWS($U$2:U758),$U$2:$U$1001,0),1)&gt;=100000,INDEX($AB$1005:$AQ$1005,1,MATCH(COLUMNS($AB$1006:AE1006),$AB$1006:$AQ$1006,0))&gt;=100000), " ",IF(INDEX($AB$2:$AQ$1001,MATCH(ROWS($U$2:U758),$U$2:$U$1001,0),MATCH(COLUMNS($AB$1006:AE1006),$AB$1006:$AQ$1006,0)), HYPERLINK("#",""), HYPERLINK(CONCATENATE("#metadata!", ADDRESS(INDEX($W$2:$W$1001,MATCH(ROWS($U$2:U758),$U$2:$U$1001,0),0), INDEX($AB$1004:$AQ$1004,1,MATCH(COLUMNS($AB$1006:AE1006),$AB$1006:$AQ$1006,0)))),"Fix")))</f>
        <v>0</v>
      </c>
      <c r="F758" s="4">
        <f>IF(OR(INDEX($V$2:$V$1001,MATCH(ROWS($U$2:U758),$U$2:$U$1001,0),1)&gt;=100000,INDEX($AB$1005:$AQ$1005,1,MATCH(COLUMNS($AB$1006:AF1006),$AB$1006:$AQ$1006,0))&gt;=100000), " ",IF(INDEX($AB$2:$AQ$1001,MATCH(ROWS($U$2:U758),$U$2:$U$1001,0),MATCH(COLUMNS($AB$1006:AF1006),$AB$1006:$AQ$1006,0)), HYPERLINK("#",""), HYPERLINK(CONCATENATE("#metadata!", ADDRESS(INDEX($W$2:$W$1001,MATCH(ROWS($U$2:U758),$U$2:$U$1001,0),0), INDEX($AB$1004:$AQ$1004,1,MATCH(COLUMNS($AB$1006:AF1006),$AB$1006:$AQ$1006,0)))),"Fix")))</f>
        <v>0</v>
      </c>
      <c r="G758" s="4">
        <f>IF(OR(INDEX($V$2:$V$1001,MATCH(ROWS($U$2:U758),$U$2:$U$1001,0),1)&gt;=100000,INDEX($AB$1005:$AQ$1005,1,MATCH(COLUMNS($AB$1006:AG1006),$AB$1006:$AQ$1006,0))&gt;=100000), " ",IF(INDEX($AB$2:$AQ$1001,MATCH(ROWS($U$2:U758),$U$2:$U$1001,0),MATCH(COLUMNS($AB$1006:AG1006),$AB$1006:$AQ$1006,0)), HYPERLINK("#",""), HYPERLINK(CONCATENATE("#metadata!", ADDRESS(INDEX($W$2:$W$1001,MATCH(ROWS($U$2:U758),$U$2:$U$1001,0),0), INDEX($AB$1004:$AQ$1004,1,MATCH(COLUMNS($AB$1006:AG1006),$AB$1006:$AQ$1006,0)))),"Fix")))</f>
        <v>0</v>
      </c>
      <c r="H758" s="4">
        <f>IF(OR(INDEX($V$2:$V$1001,MATCH(ROWS($U$2:U758),$U$2:$U$1001,0),1)&gt;=100000,INDEX($AB$1005:$AQ$1005,1,MATCH(COLUMNS($AB$1006:AH1006),$AB$1006:$AQ$1006,0))&gt;=100000), " ",IF(INDEX($AB$2:$AQ$1001,MATCH(ROWS($U$2:U758),$U$2:$U$1001,0),MATCH(COLUMNS($AB$1006:AH1006),$AB$1006:$AQ$1006,0)), HYPERLINK("#",""), HYPERLINK(CONCATENATE("#metadata!", ADDRESS(INDEX($W$2:$W$1001,MATCH(ROWS($U$2:U758),$U$2:$U$1001,0),0), INDEX($AB$1004:$AQ$1004,1,MATCH(COLUMNS($AB$1006:AH1006),$AB$1006:$AQ$1006,0)))),"Fix")))</f>
        <v>0</v>
      </c>
      <c r="I758" s="4">
        <f>IF(OR(INDEX($V$2:$V$1001,MATCH(ROWS($U$2:U758),$U$2:$U$1001,0),1)&gt;=100000,INDEX($AB$1005:$AQ$1005,1,MATCH(COLUMNS($AB$1006:AI1006),$AB$1006:$AQ$1006,0))&gt;=100000), " ",IF(INDEX($AB$2:$AQ$1001,MATCH(ROWS($U$2:U758),$U$2:$U$1001,0),MATCH(COLUMNS($AB$1006:AI1006),$AB$1006:$AQ$1006,0)), HYPERLINK("#",""), HYPERLINK(CONCATENATE("#metadata!", ADDRESS(INDEX($W$2:$W$1001,MATCH(ROWS($U$2:U758),$U$2:$U$1001,0),0), INDEX($AB$1004:$AQ$1004,1,MATCH(COLUMNS($AB$1006:AI1006),$AB$1006:$AQ$1006,0)))),"Fix")))</f>
        <v>0</v>
      </c>
      <c r="J758" s="4">
        <f>IF(OR(INDEX($V$2:$V$1001,MATCH(ROWS($U$2:U758),$U$2:$U$1001,0),1)&gt;=100000,INDEX($AB$1005:$AQ$1005,1,MATCH(COLUMNS($AB$1006:AJ1006),$AB$1006:$AQ$1006,0))&gt;=100000), " ",IF(INDEX($AB$2:$AQ$1001,MATCH(ROWS($U$2:U758),$U$2:$U$1001,0),MATCH(COLUMNS($AB$1006:AJ1006),$AB$1006:$AQ$1006,0)), HYPERLINK("#",""), HYPERLINK(CONCATENATE("#metadata!", ADDRESS(INDEX($W$2:$W$1001,MATCH(ROWS($U$2:U758),$U$2:$U$1001,0),0), INDEX($AB$1004:$AQ$1004,1,MATCH(COLUMNS($AB$1006:AJ1006),$AB$1006:$AQ$1006,0)))),"Fix")))</f>
        <v>0</v>
      </c>
      <c r="K758" s="4">
        <f>IF(OR(INDEX($V$2:$V$1001,MATCH(ROWS($U$2:U758),$U$2:$U$1001,0),1)&gt;=100000,INDEX($AB$1005:$AQ$1005,1,MATCH(COLUMNS($AB$1006:AK1006),$AB$1006:$AQ$1006,0))&gt;=100000), " ",IF(INDEX($AB$2:$AQ$1001,MATCH(ROWS($U$2:U758),$U$2:$U$1001,0),MATCH(COLUMNS($AB$1006:AK1006),$AB$1006:$AQ$1006,0)), HYPERLINK("#",""), HYPERLINK(CONCATENATE("#metadata!", ADDRESS(INDEX($W$2:$W$1001,MATCH(ROWS($U$2:U758),$U$2:$U$1001,0),0), INDEX($AB$1004:$AQ$1004,1,MATCH(COLUMNS($AB$1006:AK1006),$AB$1006:$AQ$1006,0)))),"Fix")))</f>
        <v>0</v>
      </c>
      <c r="L758" s="4">
        <f>IF(OR(INDEX($V$2:$V$1001,MATCH(ROWS($U$2:U758),$U$2:$U$1001,0),1)&gt;=100000,INDEX($AB$1005:$AQ$1005,1,MATCH(COLUMNS($AB$1006:AL1006),$AB$1006:$AQ$1006,0))&gt;=100000), " ",IF(INDEX($AB$2:$AQ$1001,MATCH(ROWS($U$2:U758),$U$2:$U$1001,0),MATCH(COLUMNS($AB$1006:AL1006),$AB$1006:$AQ$1006,0)), HYPERLINK("#",""), HYPERLINK(CONCATENATE("#metadata!", ADDRESS(INDEX($W$2:$W$1001,MATCH(ROWS($U$2:U758),$U$2:$U$1001,0),0), INDEX($AB$1004:$AQ$1004,1,MATCH(COLUMNS($AB$1006:AL1006),$AB$1006:$AQ$1006,0)))),"Fix")))</f>
        <v>0</v>
      </c>
      <c r="M758" s="4">
        <f>IF(OR(INDEX($V$2:$V$1001,MATCH(ROWS($U$2:U758),$U$2:$U$1001,0),1)&gt;=100000,INDEX($AB$1005:$AQ$1005,1,MATCH(COLUMNS($AB$1006:AM1006),$AB$1006:$AQ$1006,0))&gt;=100000), " ",IF(INDEX($AB$2:$AQ$1001,MATCH(ROWS($U$2:U758),$U$2:$U$1001,0),MATCH(COLUMNS($AB$1006:AM1006),$AB$1006:$AQ$1006,0)), HYPERLINK("#",""), HYPERLINK(CONCATENATE("#metadata!", ADDRESS(INDEX($W$2:$W$1001,MATCH(ROWS($U$2:U758),$U$2:$U$1001,0),0), INDEX($AB$1004:$AQ$1004,1,MATCH(COLUMNS($AB$1006:AM1006),$AB$1006:$AQ$1006,0)))),"Fix")))</f>
        <v>0</v>
      </c>
      <c r="N758" s="4">
        <f>IF(OR(INDEX($V$2:$V$1001,MATCH(ROWS($U$2:U758),$U$2:$U$1001,0),1)&gt;=100000,INDEX($AB$1005:$AQ$1005,1,MATCH(COLUMNS($AB$1006:AN1006),$AB$1006:$AQ$1006,0))&gt;=100000), " ",IF(INDEX($AB$2:$AQ$1001,MATCH(ROWS($U$2:U758),$U$2:$U$1001,0),MATCH(COLUMNS($AB$1006:AN1006),$AB$1006:$AQ$1006,0)), HYPERLINK("#",""), HYPERLINK(CONCATENATE("#metadata!", ADDRESS(INDEX($W$2:$W$1001,MATCH(ROWS($U$2:U758),$U$2:$U$1001,0),0), INDEX($AB$1004:$AQ$1004,1,MATCH(COLUMNS($AB$1006:AN1006),$AB$1006:$AQ$1006,0)))),"Fix")))</f>
        <v>0</v>
      </c>
      <c r="O758" s="4">
        <f>IF(OR(INDEX($V$2:$V$1001,MATCH(ROWS($U$2:U758),$U$2:$U$1001,0),1)&gt;=100000,INDEX($AB$1005:$AQ$1005,1,MATCH(COLUMNS($AB$1006:AO1006),$AB$1006:$AQ$1006,0))&gt;=100000), " ",IF(INDEX($AB$2:$AQ$1001,MATCH(ROWS($U$2:U758),$U$2:$U$1001,0),MATCH(COLUMNS($AB$1006:AO1006),$AB$1006:$AQ$1006,0)), HYPERLINK("#",""), HYPERLINK(CONCATENATE("#metadata!", ADDRESS(INDEX($W$2:$W$1001,MATCH(ROWS($U$2:U758),$U$2:$U$1001,0),0), INDEX($AB$1004:$AQ$1004,1,MATCH(COLUMNS($AB$1006:AO1006),$AB$1006:$AQ$1006,0)))),"Fix")))</f>
        <v>0</v>
      </c>
      <c r="P758" s="4">
        <f>IF(OR(INDEX($V$2:$V$1001,MATCH(ROWS($U$2:U758),$U$2:$U$1001,0),1)&gt;=100000,INDEX($AB$1005:$AQ$1005,1,MATCH(COLUMNS($AB$1006:AP1006),$AB$1006:$AQ$1006,0))&gt;=100000), " ",IF(INDEX($AB$2:$AQ$1001,MATCH(ROWS($U$2:U758),$U$2:$U$1001,0),MATCH(COLUMNS($AB$1006:AP1006),$AB$1006:$AQ$1006,0)), HYPERLINK("#",""), HYPERLINK(CONCATENATE("#metadata!", ADDRESS(INDEX($W$2:$W$1001,MATCH(ROWS($U$2:U758),$U$2:$U$1001,0),0), INDEX($AB$1004:$AQ$1004,1,MATCH(COLUMNS($AB$1006:AP1006),$AB$1006:$AQ$1006,0)))),"Fix")))</f>
        <v>0</v>
      </c>
      <c r="Q758" s="4">
        <f>IF(OR(INDEX($V$2:$V$1001,MATCH(ROWS($U$2:U758),$U$2:$U$1001,0),1)&gt;=100000,INDEX($AB$1005:$AQ$1005,1,MATCH(COLUMNS($AB$1006:AQ1006),$AB$1006:$AQ$1006,0))&gt;=100000), " ",IF(INDEX($AB$2:$AQ$1001,MATCH(ROWS($U$2:U758),$U$2:$U$1001,0),MATCH(COLUMNS($AB$1006:AQ1006),$AB$1006:$AQ$1006,0)), HYPERLINK("#",""), HYPERLINK(CONCATENATE("#metadata!", ADDRESS(INDEX($W$2:$W$1001,MATCH(ROWS($U$2:U758),$U$2:$U$1001,0),0), INDEX($AB$1004:$AQ$1004,1,MATCH(COLUMNS($AB$1006:AQ1006),$AB$1006:$AQ$1006,0)))),"Fix")))</f>
        <v>0</v>
      </c>
      <c r="U758">
        <v>0</v>
      </c>
      <c r="V758">
        <v>0</v>
      </c>
      <c r="W758">
        <v>0</v>
      </c>
      <c r="X758">
        <f>IF(Y758,TRUE,AND(AB758:AQ758))</f>
        <v>0</v>
      </c>
      <c r="Y758">
        <f>COUNTBLANK(metadata!B758:Q758)=COLUMNS(metadata!B758:Q758)</f>
        <v>0</v>
      </c>
      <c r="Z758">
        <v>0</v>
      </c>
      <c r="AB758">
        <f>AND(IF(metadata!B758="",FALSE,TRUE),COUNTIF(metadata!B:B, metadata!B758) = 1,NOT(ISERROR(SUMPRODUCT(SEARCH(MID(metadata!B758,ROW(INDIRECT("1:"&amp;LEN(metadata!B758))), 1),"0123456789abcdefghijklmnopqrstuvwxyzABCDEFGHIJKLMNOPQRSTUVWXYZ.")))))</f>
        <v>0</v>
      </c>
      <c r="AC758">
        <f>OR(AND(IF(metadata!C758="",FALSE,TRUE),OR(exact(metadata!C758,"missing: not collected"),exact(metadata!C758,"missing: not provided"),exact(metadata!C758,"missing: restricted access"))),AND(IF(metadata!C758="",FALSE,TRUE),AND(AND(IFERROR(INT(LEFT(metadata!C758,4))&gt;1900,FALSE),IFERROR(INT(LEFT(metadata!C758,4))&lt;=YEAR(NOW()),FALSE)), OR(MID(metadata!C758,5,1)="", AND(AND(MID(metadata!C758,5,1)="-",IFERROR(INT(MID(metadata!C758,6,1))&gt;=0,FALSE),IFERROR(INT(MID(metadata!C758,6,1))&lt;=1,FALSE),NOT(MID(metadata!C758,7,1)=""),IFERROR(INT(MID(metadata!C758,6,2))&gt;=1,FALSE),IFERROR(INT(MID(metadata!C758,6,2))&lt;=12,FALSE)), OR(MID(metadata!C758,8,1)="", AND(AND(MID(metadata!C758,8,1)="-",IFERROR(INT(MID(metadata!C758,9,1))&gt;=0,FALSE),IFERROR(INT(MID(metadata!C758,9,1))&lt;=3,FALSE),NOT(MID(metadata!C758,10,1)=""),IFERROR(INT(MID(metadata!C758,9,2))&gt;=1,FALSE),IFERROR(INT(MID(metadata!C758,9,2))&lt;=31,FALSE)), OR(MID(metadata!C758,11,1)="", AND(AND(MID(metadata!C758,11,1)=" ",IFERROR(INT(MID(metadata!C758,12,1))&gt;=0,FALSE),IFERROR(INT(MID(metadata!C758,12,1))&lt;=2,FALSE),NOT(MID(metadata!C758,13,1)=""),IFERROR(INT(MID(metadata!C758,12,2))&gt;=0,FALSE),IFERROR(INT(MID(metadata!C758,12,2))&lt;=23,FALSE)), OR(MID(metadata!C758,14,1)="", AND(AND(MID(metadata!C758,14,1)=":",IFERROR(INT(MID(metadata!C758,15,1))&gt;=0,FALSE),IFERROR(INT(MID(metadata!C758,15,1))&lt;=5,FALSE),NOT(MID(metadata!C758,16,1)=""),IFERROR(INT(MID(metadata!C758,15,2))&gt;=0,FALSE),IFERROR(INT(MID(metadata!C758,15,2))&lt;=59,FALSE)), OR(MID(metadata!C758,17,1)="", AND(AND(MID(metadata!C758,17,1)=":",IFERROR(INT(MID(metadata!C758,18,1))&gt;=0,FALSE),IFERROR(INT(MID(metadata!C758,18,1))&lt;=5,FALSE),NOT(MID(metadata!C758,19,1)=""),IFERROR(INT(MID(metadata!C758,18,2))&gt;=0,FALSE),IFERROR(INT(MID(metadata!C758,18,2))&lt;=59,FALSE)), LEN(metadata!C758)&lt;=19)))))))))))))</f>
        <v>0</v>
      </c>
      <c r="AD758">
        <f>IF(metadata!D758="",FALSE,TRUE)</f>
        <v>0</v>
      </c>
      <c r="AE758">
        <f>OR(AND(IF(metadata!E758="",FALSE,TRUE),OR(exact(metadata!E758,"missing: not collected"),exact(metadata!E758,"missing: not provided"))),AND(IF(metadata!E758="",FALSE,TRUE),OR(exact(metadata!E758,"TRUE"),exact(metadata!E758,"FALSE"))))</f>
        <v>0</v>
      </c>
      <c r="AF758">
        <f>IF(metadata!F758="",FALSE,TRUE)</f>
        <v>0</v>
      </c>
      <c r="AG758">
        <f>IF(metadata!G758="",FALSE,TRUE)</f>
        <v>0</v>
      </c>
      <c r="AH758">
        <f>IF(metadata!H758="",FALSE,TRUE)</f>
        <v>0</v>
      </c>
      <c r="AI758">
        <f>OR(AND(IF(metadata!I758="",FALSE,TRUE),OR(exact(metadata!I758,"missing: not collected"),exact(metadata!I758,"missing: not provided"),exact(metadata!I758,"missing: restricted access"))),AND(IF(metadata!I758="",FALSE,TRUE),OR(exact(metadata!I758,"air"),exact(metadata!I758,"built environment"),exact(metadata!I758,"host-associated"),exact(metadata!I758,"human-associated"),exact(metadata!I758,"human-skin"),exact(metadata!I758,"human-oral"),exact(metadata!I758,"human-gut"),exact(metadata!I758,"human-vaginal"),exact(metadata!I758,"microbial mat/biofilm"),exact(metadata!I758,"misc environment"),exact(metadata!I758,"plant-associated"),exact(metadata!I758,"sediment"),exact(metadata!I758,"soil"),exact(metadata!I758,"wastewater/sludge"),exact(metadata!I758,"water"))))</f>
        <v>0</v>
      </c>
      <c r="AJ758">
        <f>IF(metadata!J758="",FALSE,TRUE)</f>
        <v>0</v>
      </c>
      <c r="AK758">
        <f>OR(AND(IF(metadata!K758="",FALSE,TRUE),OR(exact(metadata!K758,"missing: not collected"),exact(metadata!K758,"missing: not provided"),exact(metadata!K758,"missing: restricted access"))),AND(IF(metadata!K758="",FALSE,ISNUMBER(VALUE(metadata!K758))),metadata!K758&gt;=-90.00,metadata!K758&lt;=90.00))</f>
        <v>0</v>
      </c>
      <c r="AL758">
        <f>OR(AND(IF(metadata!L758="",FALSE,TRUE),OR(exact(metadata!L758,"missing: not collected"),exact(metadata!L758,"missing: not provided"),exact(metadata!L758,"missing: restricted access"))),AND(IF(metadata!L758="",FALSE,ISNUMBER(VALUE(metadata!L758))),metadata!L758&gt;=-180.00,metadata!L758&lt;=180.00))</f>
        <v>0</v>
      </c>
      <c r="AM758">
        <f>IF(metadata!M758="",FALSE,TRUE)</f>
        <v>0</v>
      </c>
      <c r="AN758">
        <f>OR(AND(IF(metadata!N758="",FALSE,TRUE),OR(exact(metadata!N758,"missing: not collected"),exact(metadata!N758,"missing: not provided"),exact(metadata!N758,"missing: restricted access"))),AND(IF(metadata!N758="",FALSE,TRUE),OR(exact(metadata!N758,"TRUE"),exact(metadata!N758,"FALSE"))))</f>
        <v>0</v>
      </c>
      <c r="AO758">
        <f>IF(metadata!O758="",FALSE,TRUE)</f>
        <v>0</v>
      </c>
      <c r="AP758">
        <f>OR(AND(IF(metadata!P758="",FALSE,TRUE),OR(exact(metadata!P758,"missing: not collected"),exact(metadata!P758,"missing: not provided"))),AND(IF(metadata!P758="",FALSE,IF(ISERROR(INT(metadata!P758)),FALSE,INT(metadata!P758)=metadata!P758)),metadata!P758&gt;0))</f>
        <v>0</v>
      </c>
      <c r="AQ758">
        <f>IF(metadata!Q758="",FALSE,TRUE)</f>
        <v>0</v>
      </c>
    </row>
    <row r="759" spans="1:43">
      <c r="A759" s="5">
        <f>IF(B759=" "," ",HYPERLINK(CONCATENATE("#metadata!",ADDRESS(INDEX($W$2:$W$1001,MATCH(ROWS($U$2:U759),$U$2:$U$1001,0),0),1)),INDEX($Z$2:$Z$1001,MATCH(ROWS($U$2:U759),$U$2:$U$1001,0),0)))</f>
        <v>0</v>
      </c>
      <c r="B759" s="4">
        <f>IF(OR(INDEX($V$2:$V$1001,MATCH(ROWS($U$2:U759),$U$2:$U$1001,0),1)&gt;=100000,INDEX($AB$1005:$AQ$1005,1,MATCH(COLUMNS($AB$1006:AB1006),$AB$1006:$AQ$1006,0))&gt;=100000), " ",IF(INDEX($AB$2:$AQ$1001,MATCH(ROWS($U$2:U759),$U$2:$U$1001,0),MATCH(COLUMNS($AB$1006:AB1006),$AB$1006:$AQ$1006,0)), HYPERLINK("#",""), HYPERLINK(CONCATENATE("#metadata!", ADDRESS(INDEX($W$2:$W$1001,MATCH(ROWS($U$2:U759),$U$2:$U$1001,0),0), INDEX($AB$1004:$AQ$1004,1,MATCH(COLUMNS($AB$1006:AB1006),$AB$1006:$AQ$1006,0)))),"Fix")))</f>
        <v>0</v>
      </c>
      <c r="C759" s="4">
        <f>IF(OR(INDEX($V$2:$V$1001,MATCH(ROWS($U$2:U759),$U$2:$U$1001,0),1)&gt;=100000,INDEX($AB$1005:$AQ$1005,1,MATCH(COLUMNS($AB$1006:AC1006),$AB$1006:$AQ$1006,0))&gt;=100000), " ",IF(INDEX($AB$2:$AQ$1001,MATCH(ROWS($U$2:U759),$U$2:$U$1001,0),MATCH(COLUMNS($AB$1006:AC1006),$AB$1006:$AQ$1006,0)), HYPERLINK("#",""), HYPERLINK(CONCATENATE("#metadata!", ADDRESS(INDEX($W$2:$W$1001,MATCH(ROWS($U$2:U759),$U$2:$U$1001,0),0), INDEX($AB$1004:$AQ$1004,1,MATCH(COLUMNS($AB$1006:AC1006),$AB$1006:$AQ$1006,0)))),"Fix")))</f>
        <v>0</v>
      </c>
      <c r="D759" s="4">
        <f>IF(OR(INDEX($V$2:$V$1001,MATCH(ROWS($U$2:U759),$U$2:$U$1001,0),1)&gt;=100000,INDEX($AB$1005:$AQ$1005,1,MATCH(COLUMNS($AB$1006:AD1006),$AB$1006:$AQ$1006,0))&gt;=100000), " ",IF(INDEX($AB$2:$AQ$1001,MATCH(ROWS($U$2:U759),$U$2:$U$1001,0),MATCH(COLUMNS($AB$1006:AD1006),$AB$1006:$AQ$1006,0)), HYPERLINK("#",""), HYPERLINK(CONCATENATE("#metadata!", ADDRESS(INDEX($W$2:$W$1001,MATCH(ROWS($U$2:U759),$U$2:$U$1001,0),0), INDEX($AB$1004:$AQ$1004,1,MATCH(COLUMNS($AB$1006:AD1006),$AB$1006:$AQ$1006,0)))),"Fix")))</f>
        <v>0</v>
      </c>
      <c r="E759" s="4">
        <f>IF(OR(INDEX($V$2:$V$1001,MATCH(ROWS($U$2:U759),$U$2:$U$1001,0),1)&gt;=100000,INDEX($AB$1005:$AQ$1005,1,MATCH(COLUMNS($AB$1006:AE1006),$AB$1006:$AQ$1006,0))&gt;=100000), " ",IF(INDEX($AB$2:$AQ$1001,MATCH(ROWS($U$2:U759),$U$2:$U$1001,0),MATCH(COLUMNS($AB$1006:AE1006),$AB$1006:$AQ$1006,0)), HYPERLINK("#",""), HYPERLINK(CONCATENATE("#metadata!", ADDRESS(INDEX($W$2:$W$1001,MATCH(ROWS($U$2:U759),$U$2:$U$1001,0),0), INDEX($AB$1004:$AQ$1004,1,MATCH(COLUMNS($AB$1006:AE1006),$AB$1006:$AQ$1006,0)))),"Fix")))</f>
        <v>0</v>
      </c>
      <c r="F759" s="4">
        <f>IF(OR(INDEX($V$2:$V$1001,MATCH(ROWS($U$2:U759),$U$2:$U$1001,0),1)&gt;=100000,INDEX($AB$1005:$AQ$1005,1,MATCH(COLUMNS($AB$1006:AF1006),$AB$1006:$AQ$1006,0))&gt;=100000), " ",IF(INDEX($AB$2:$AQ$1001,MATCH(ROWS($U$2:U759),$U$2:$U$1001,0),MATCH(COLUMNS($AB$1006:AF1006),$AB$1006:$AQ$1006,0)), HYPERLINK("#",""), HYPERLINK(CONCATENATE("#metadata!", ADDRESS(INDEX($W$2:$W$1001,MATCH(ROWS($U$2:U759),$U$2:$U$1001,0),0), INDEX($AB$1004:$AQ$1004,1,MATCH(COLUMNS($AB$1006:AF1006),$AB$1006:$AQ$1006,0)))),"Fix")))</f>
        <v>0</v>
      </c>
      <c r="G759" s="4">
        <f>IF(OR(INDEX($V$2:$V$1001,MATCH(ROWS($U$2:U759),$U$2:$U$1001,0),1)&gt;=100000,INDEX($AB$1005:$AQ$1005,1,MATCH(COLUMNS($AB$1006:AG1006),$AB$1006:$AQ$1006,0))&gt;=100000), " ",IF(INDEX($AB$2:$AQ$1001,MATCH(ROWS($U$2:U759),$U$2:$U$1001,0),MATCH(COLUMNS($AB$1006:AG1006),$AB$1006:$AQ$1006,0)), HYPERLINK("#",""), HYPERLINK(CONCATENATE("#metadata!", ADDRESS(INDEX($W$2:$W$1001,MATCH(ROWS($U$2:U759),$U$2:$U$1001,0),0), INDEX($AB$1004:$AQ$1004,1,MATCH(COLUMNS($AB$1006:AG1006),$AB$1006:$AQ$1006,0)))),"Fix")))</f>
        <v>0</v>
      </c>
      <c r="H759" s="4">
        <f>IF(OR(INDEX($V$2:$V$1001,MATCH(ROWS($U$2:U759),$U$2:$U$1001,0),1)&gt;=100000,INDEX($AB$1005:$AQ$1005,1,MATCH(COLUMNS($AB$1006:AH1006),$AB$1006:$AQ$1006,0))&gt;=100000), " ",IF(INDEX($AB$2:$AQ$1001,MATCH(ROWS($U$2:U759),$U$2:$U$1001,0),MATCH(COLUMNS($AB$1006:AH1006),$AB$1006:$AQ$1006,0)), HYPERLINK("#",""), HYPERLINK(CONCATENATE("#metadata!", ADDRESS(INDEX($W$2:$W$1001,MATCH(ROWS($U$2:U759),$U$2:$U$1001,0),0), INDEX($AB$1004:$AQ$1004,1,MATCH(COLUMNS($AB$1006:AH1006),$AB$1006:$AQ$1006,0)))),"Fix")))</f>
        <v>0</v>
      </c>
      <c r="I759" s="4">
        <f>IF(OR(INDEX($V$2:$V$1001,MATCH(ROWS($U$2:U759),$U$2:$U$1001,0),1)&gt;=100000,INDEX($AB$1005:$AQ$1005,1,MATCH(COLUMNS($AB$1006:AI1006),$AB$1006:$AQ$1006,0))&gt;=100000), " ",IF(INDEX($AB$2:$AQ$1001,MATCH(ROWS($U$2:U759),$U$2:$U$1001,0),MATCH(COLUMNS($AB$1006:AI1006),$AB$1006:$AQ$1006,0)), HYPERLINK("#",""), HYPERLINK(CONCATENATE("#metadata!", ADDRESS(INDEX($W$2:$W$1001,MATCH(ROWS($U$2:U759),$U$2:$U$1001,0),0), INDEX($AB$1004:$AQ$1004,1,MATCH(COLUMNS($AB$1006:AI1006),$AB$1006:$AQ$1006,0)))),"Fix")))</f>
        <v>0</v>
      </c>
      <c r="J759" s="4">
        <f>IF(OR(INDEX($V$2:$V$1001,MATCH(ROWS($U$2:U759),$U$2:$U$1001,0),1)&gt;=100000,INDEX($AB$1005:$AQ$1005,1,MATCH(COLUMNS($AB$1006:AJ1006),$AB$1006:$AQ$1006,0))&gt;=100000), " ",IF(INDEX($AB$2:$AQ$1001,MATCH(ROWS($U$2:U759),$U$2:$U$1001,0),MATCH(COLUMNS($AB$1006:AJ1006),$AB$1006:$AQ$1006,0)), HYPERLINK("#",""), HYPERLINK(CONCATENATE("#metadata!", ADDRESS(INDEX($W$2:$W$1001,MATCH(ROWS($U$2:U759),$U$2:$U$1001,0),0), INDEX($AB$1004:$AQ$1004,1,MATCH(COLUMNS($AB$1006:AJ1006),$AB$1006:$AQ$1006,0)))),"Fix")))</f>
        <v>0</v>
      </c>
      <c r="K759" s="4">
        <f>IF(OR(INDEX($V$2:$V$1001,MATCH(ROWS($U$2:U759),$U$2:$U$1001,0),1)&gt;=100000,INDEX($AB$1005:$AQ$1005,1,MATCH(COLUMNS($AB$1006:AK1006),$AB$1006:$AQ$1006,0))&gt;=100000), " ",IF(INDEX($AB$2:$AQ$1001,MATCH(ROWS($U$2:U759),$U$2:$U$1001,0),MATCH(COLUMNS($AB$1006:AK1006),$AB$1006:$AQ$1006,0)), HYPERLINK("#",""), HYPERLINK(CONCATENATE("#metadata!", ADDRESS(INDEX($W$2:$W$1001,MATCH(ROWS($U$2:U759),$U$2:$U$1001,0),0), INDEX($AB$1004:$AQ$1004,1,MATCH(COLUMNS($AB$1006:AK1006),$AB$1006:$AQ$1006,0)))),"Fix")))</f>
        <v>0</v>
      </c>
      <c r="L759" s="4">
        <f>IF(OR(INDEX($V$2:$V$1001,MATCH(ROWS($U$2:U759),$U$2:$U$1001,0),1)&gt;=100000,INDEX($AB$1005:$AQ$1005,1,MATCH(COLUMNS($AB$1006:AL1006),$AB$1006:$AQ$1006,0))&gt;=100000), " ",IF(INDEX($AB$2:$AQ$1001,MATCH(ROWS($U$2:U759),$U$2:$U$1001,0),MATCH(COLUMNS($AB$1006:AL1006),$AB$1006:$AQ$1006,0)), HYPERLINK("#",""), HYPERLINK(CONCATENATE("#metadata!", ADDRESS(INDEX($W$2:$W$1001,MATCH(ROWS($U$2:U759),$U$2:$U$1001,0),0), INDEX($AB$1004:$AQ$1004,1,MATCH(COLUMNS($AB$1006:AL1006),$AB$1006:$AQ$1006,0)))),"Fix")))</f>
        <v>0</v>
      </c>
      <c r="M759" s="4">
        <f>IF(OR(INDEX($V$2:$V$1001,MATCH(ROWS($U$2:U759),$U$2:$U$1001,0),1)&gt;=100000,INDEX($AB$1005:$AQ$1005,1,MATCH(COLUMNS($AB$1006:AM1006),$AB$1006:$AQ$1006,0))&gt;=100000), " ",IF(INDEX($AB$2:$AQ$1001,MATCH(ROWS($U$2:U759),$U$2:$U$1001,0),MATCH(COLUMNS($AB$1006:AM1006),$AB$1006:$AQ$1006,0)), HYPERLINK("#",""), HYPERLINK(CONCATENATE("#metadata!", ADDRESS(INDEX($W$2:$W$1001,MATCH(ROWS($U$2:U759),$U$2:$U$1001,0),0), INDEX($AB$1004:$AQ$1004,1,MATCH(COLUMNS($AB$1006:AM1006),$AB$1006:$AQ$1006,0)))),"Fix")))</f>
        <v>0</v>
      </c>
      <c r="N759" s="4">
        <f>IF(OR(INDEX($V$2:$V$1001,MATCH(ROWS($U$2:U759),$U$2:$U$1001,0),1)&gt;=100000,INDEX($AB$1005:$AQ$1005,1,MATCH(COLUMNS($AB$1006:AN1006),$AB$1006:$AQ$1006,0))&gt;=100000), " ",IF(INDEX($AB$2:$AQ$1001,MATCH(ROWS($U$2:U759),$U$2:$U$1001,0),MATCH(COLUMNS($AB$1006:AN1006),$AB$1006:$AQ$1006,0)), HYPERLINK("#",""), HYPERLINK(CONCATENATE("#metadata!", ADDRESS(INDEX($W$2:$W$1001,MATCH(ROWS($U$2:U759),$U$2:$U$1001,0),0), INDEX($AB$1004:$AQ$1004,1,MATCH(COLUMNS($AB$1006:AN1006),$AB$1006:$AQ$1006,0)))),"Fix")))</f>
        <v>0</v>
      </c>
      <c r="O759" s="4">
        <f>IF(OR(INDEX($V$2:$V$1001,MATCH(ROWS($U$2:U759),$U$2:$U$1001,0),1)&gt;=100000,INDEX($AB$1005:$AQ$1005,1,MATCH(COLUMNS($AB$1006:AO1006),$AB$1006:$AQ$1006,0))&gt;=100000), " ",IF(INDEX($AB$2:$AQ$1001,MATCH(ROWS($U$2:U759),$U$2:$U$1001,0),MATCH(COLUMNS($AB$1006:AO1006),$AB$1006:$AQ$1006,0)), HYPERLINK("#",""), HYPERLINK(CONCATENATE("#metadata!", ADDRESS(INDEX($W$2:$W$1001,MATCH(ROWS($U$2:U759),$U$2:$U$1001,0),0), INDEX($AB$1004:$AQ$1004,1,MATCH(COLUMNS($AB$1006:AO1006),$AB$1006:$AQ$1006,0)))),"Fix")))</f>
        <v>0</v>
      </c>
      <c r="P759" s="4">
        <f>IF(OR(INDEX($V$2:$V$1001,MATCH(ROWS($U$2:U759),$U$2:$U$1001,0),1)&gt;=100000,INDEX($AB$1005:$AQ$1005,1,MATCH(COLUMNS($AB$1006:AP1006),$AB$1006:$AQ$1006,0))&gt;=100000), " ",IF(INDEX($AB$2:$AQ$1001,MATCH(ROWS($U$2:U759),$U$2:$U$1001,0),MATCH(COLUMNS($AB$1006:AP1006),$AB$1006:$AQ$1006,0)), HYPERLINK("#",""), HYPERLINK(CONCATENATE("#metadata!", ADDRESS(INDEX($W$2:$W$1001,MATCH(ROWS($U$2:U759),$U$2:$U$1001,0),0), INDEX($AB$1004:$AQ$1004,1,MATCH(COLUMNS($AB$1006:AP1006),$AB$1006:$AQ$1006,0)))),"Fix")))</f>
        <v>0</v>
      </c>
      <c r="Q759" s="4">
        <f>IF(OR(INDEX($V$2:$V$1001,MATCH(ROWS($U$2:U759),$U$2:$U$1001,0),1)&gt;=100000,INDEX($AB$1005:$AQ$1005,1,MATCH(COLUMNS($AB$1006:AQ1006),$AB$1006:$AQ$1006,0))&gt;=100000), " ",IF(INDEX($AB$2:$AQ$1001,MATCH(ROWS($U$2:U759),$U$2:$U$1001,0),MATCH(COLUMNS($AB$1006:AQ1006),$AB$1006:$AQ$1006,0)), HYPERLINK("#",""), HYPERLINK(CONCATENATE("#metadata!", ADDRESS(INDEX($W$2:$W$1001,MATCH(ROWS($U$2:U759),$U$2:$U$1001,0),0), INDEX($AB$1004:$AQ$1004,1,MATCH(COLUMNS($AB$1006:AQ1006),$AB$1006:$AQ$1006,0)))),"Fix")))</f>
        <v>0</v>
      </c>
      <c r="U759">
        <v>0</v>
      </c>
      <c r="V759">
        <v>0</v>
      </c>
      <c r="W759">
        <v>0</v>
      </c>
      <c r="X759">
        <f>IF(Y759,TRUE,AND(AB759:AQ759))</f>
        <v>0</v>
      </c>
      <c r="Y759">
        <f>COUNTBLANK(metadata!B759:Q759)=COLUMNS(metadata!B759:Q759)</f>
        <v>0</v>
      </c>
      <c r="Z759">
        <v>0</v>
      </c>
      <c r="AB759">
        <f>AND(IF(metadata!B759="",FALSE,TRUE),COUNTIF(metadata!B:B, metadata!B759) = 1,NOT(ISERROR(SUMPRODUCT(SEARCH(MID(metadata!B759,ROW(INDIRECT("1:"&amp;LEN(metadata!B759))), 1),"0123456789abcdefghijklmnopqrstuvwxyzABCDEFGHIJKLMNOPQRSTUVWXYZ.")))))</f>
        <v>0</v>
      </c>
      <c r="AC759">
        <f>OR(AND(IF(metadata!C759="",FALSE,TRUE),OR(exact(metadata!C759,"missing: not collected"),exact(metadata!C759,"missing: not provided"),exact(metadata!C759,"missing: restricted access"))),AND(IF(metadata!C759="",FALSE,TRUE),AND(AND(IFERROR(INT(LEFT(metadata!C759,4))&gt;1900,FALSE),IFERROR(INT(LEFT(metadata!C759,4))&lt;=YEAR(NOW()),FALSE)), OR(MID(metadata!C759,5,1)="", AND(AND(MID(metadata!C759,5,1)="-",IFERROR(INT(MID(metadata!C759,6,1))&gt;=0,FALSE),IFERROR(INT(MID(metadata!C759,6,1))&lt;=1,FALSE),NOT(MID(metadata!C759,7,1)=""),IFERROR(INT(MID(metadata!C759,6,2))&gt;=1,FALSE),IFERROR(INT(MID(metadata!C759,6,2))&lt;=12,FALSE)), OR(MID(metadata!C759,8,1)="", AND(AND(MID(metadata!C759,8,1)="-",IFERROR(INT(MID(metadata!C759,9,1))&gt;=0,FALSE),IFERROR(INT(MID(metadata!C759,9,1))&lt;=3,FALSE),NOT(MID(metadata!C759,10,1)=""),IFERROR(INT(MID(metadata!C759,9,2))&gt;=1,FALSE),IFERROR(INT(MID(metadata!C759,9,2))&lt;=31,FALSE)), OR(MID(metadata!C759,11,1)="", AND(AND(MID(metadata!C759,11,1)=" ",IFERROR(INT(MID(metadata!C759,12,1))&gt;=0,FALSE),IFERROR(INT(MID(metadata!C759,12,1))&lt;=2,FALSE),NOT(MID(metadata!C759,13,1)=""),IFERROR(INT(MID(metadata!C759,12,2))&gt;=0,FALSE),IFERROR(INT(MID(metadata!C759,12,2))&lt;=23,FALSE)), OR(MID(metadata!C759,14,1)="", AND(AND(MID(metadata!C759,14,1)=":",IFERROR(INT(MID(metadata!C759,15,1))&gt;=0,FALSE),IFERROR(INT(MID(metadata!C759,15,1))&lt;=5,FALSE),NOT(MID(metadata!C759,16,1)=""),IFERROR(INT(MID(metadata!C759,15,2))&gt;=0,FALSE),IFERROR(INT(MID(metadata!C759,15,2))&lt;=59,FALSE)), OR(MID(metadata!C759,17,1)="", AND(AND(MID(metadata!C759,17,1)=":",IFERROR(INT(MID(metadata!C759,18,1))&gt;=0,FALSE),IFERROR(INT(MID(metadata!C759,18,1))&lt;=5,FALSE),NOT(MID(metadata!C759,19,1)=""),IFERROR(INT(MID(metadata!C759,18,2))&gt;=0,FALSE),IFERROR(INT(MID(metadata!C759,18,2))&lt;=59,FALSE)), LEN(metadata!C759)&lt;=19)))))))))))))</f>
        <v>0</v>
      </c>
      <c r="AD759">
        <f>IF(metadata!D759="",FALSE,TRUE)</f>
        <v>0</v>
      </c>
      <c r="AE759">
        <f>OR(AND(IF(metadata!E759="",FALSE,TRUE),OR(exact(metadata!E759,"missing: not collected"),exact(metadata!E759,"missing: not provided"))),AND(IF(metadata!E759="",FALSE,TRUE),OR(exact(metadata!E759,"TRUE"),exact(metadata!E759,"FALSE"))))</f>
        <v>0</v>
      </c>
      <c r="AF759">
        <f>IF(metadata!F759="",FALSE,TRUE)</f>
        <v>0</v>
      </c>
      <c r="AG759">
        <f>IF(metadata!G759="",FALSE,TRUE)</f>
        <v>0</v>
      </c>
      <c r="AH759">
        <f>IF(metadata!H759="",FALSE,TRUE)</f>
        <v>0</v>
      </c>
      <c r="AI759">
        <f>OR(AND(IF(metadata!I759="",FALSE,TRUE),OR(exact(metadata!I759,"missing: not collected"),exact(metadata!I759,"missing: not provided"),exact(metadata!I759,"missing: restricted access"))),AND(IF(metadata!I759="",FALSE,TRUE),OR(exact(metadata!I759,"air"),exact(metadata!I759,"built environment"),exact(metadata!I759,"host-associated"),exact(metadata!I759,"human-associated"),exact(metadata!I759,"human-skin"),exact(metadata!I759,"human-oral"),exact(metadata!I759,"human-gut"),exact(metadata!I759,"human-vaginal"),exact(metadata!I759,"microbial mat/biofilm"),exact(metadata!I759,"misc environment"),exact(metadata!I759,"plant-associated"),exact(metadata!I759,"sediment"),exact(metadata!I759,"soil"),exact(metadata!I759,"wastewater/sludge"),exact(metadata!I759,"water"))))</f>
        <v>0</v>
      </c>
      <c r="AJ759">
        <f>IF(metadata!J759="",FALSE,TRUE)</f>
        <v>0</v>
      </c>
      <c r="AK759">
        <f>OR(AND(IF(metadata!K759="",FALSE,TRUE),OR(exact(metadata!K759,"missing: not collected"),exact(metadata!K759,"missing: not provided"),exact(metadata!K759,"missing: restricted access"))),AND(IF(metadata!K759="",FALSE,ISNUMBER(VALUE(metadata!K759))),metadata!K759&gt;=-90.00,metadata!K759&lt;=90.00))</f>
        <v>0</v>
      </c>
      <c r="AL759">
        <f>OR(AND(IF(metadata!L759="",FALSE,TRUE),OR(exact(metadata!L759,"missing: not collected"),exact(metadata!L759,"missing: not provided"),exact(metadata!L759,"missing: restricted access"))),AND(IF(metadata!L759="",FALSE,ISNUMBER(VALUE(metadata!L759))),metadata!L759&gt;=-180.00,metadata!L759&lt;=180.00))</f>
        <v>0</v>
      </c>
      <c r="AM759">
        <f>IF(metadata!M759="",FALSE,TRUE)</f>
        <v>0</v>
      </c>
      <c r="AN759">
        <f>OR(AND(IF(metadata!N759="",FALSE,TRUE),OR(exact(metadata!N759,"missing: not collected"),exact(metadata!N759,"missing: not provided"),exact(metadata!N759,"missing: restricted access"))),AND(IF(metadata!N759="",FALSE,TRUE),OR(exact(metadata!N759,"TRUE"),exact(metadata!N759,"FALSE"))))</f>
        <v>0</v>
      </c>
      <c r="AO759">
        <f>IF(metadata!O759="",FALSE,TRUE)</f>
        <v>0</v>
      </c>
      <c r="AP759">
        <f>OR(AND(IF(metadata!P759="",FALSE,TRUE),OR(exact(metadata!P759,"missing: not collected"),exact(metadata!P759,"missing: not provided"))),AND(IF(metadata!P759="",FALSE,IF(ISERROR(INT(metadata!P759)),FALSE,INT(metadata!P759)=metadata!P759)),metadata!P759&gt;0))</f>
        <v>0</v>
      </c>
      <c r="AQ759">
        <f>IF(metadata!Q759="",FALSE,TRUE)</f>
        <v>0</v>
      </c>
    </row>
    <row r="760" spans="1:43">
      <c r="A760" s="5">
        <f>IF(B760=" "," ",HYPERLINK(CONCATENATE("#metadata!",ADDRESS(INDEX($W$2:$W$1001,MATCH(ROWS($U$2:U760),$U$2:$U$1001,0),0),1)),INDEX($Z$2:$Z$1001,MATCH(ROWS($U$2:U760),$U$2:$U$1001,0),0)))</f>
        <v>0</v>
      </c>
      <c r="B760" s="4">
        <f>IF(OR(INDEX($V$2:$V$1001,MATCH(ROWS($U$2:U760),$U$2:$U$1001,0),1)&gt;=100000,INDEX($AB$1005:$AQ$1005,1,MATCH(COLUMNS($AB$1006:AB1006),$AB$1006:$AQ$1006,0))&gt;=100000), " ",IF(INDEX($AB$2:$AQ$1001,MATCH(ROWS($U$2:U760),$U$2:$U$1001,0),MATCH(COLUMNS($AB$1006:AB1006),$AB$1006:$AQ$1006,0)), HYPERLINK("#",""), HYPERLINK(CONCATENATE("#metadata!", ADDRESS(INDEX($W$2:$W$1001,MATCH(ROWS($U$2:U760),$U$2:$U$1001,0),0), INDEX($AB$1004:$AQ$1004,1,MATCH(COLUMNS($AB$1006:AB1006),$AB$1006:$AQ$1006,0)))),"Fix")))</f>
        <v>0</v>
      </c>
      <c r="C760" s="4">
        <f>IF(OR(INDEX($V$2:$V$1001,MATCH(ROWS($U$2:U760),$U$2:$U$1001,0),1)&gt;=100000,INDEX($AB$1005:$AQ$1005,1,MATCH(COLUMNS($AB$1006:AC1006),$AB$1006:$AQ$1006,0))&gt;=100000), " ",IF(INDEX($AB$2:$AQ$1001,MATCH(ROWS($U$2:U760),$U$2:$U$1001,0),MATCH(COLUMNS($AB$1006:AC1006),$AB$1006:$AQ$1006,0)), HYPERLINK("#",""), HYPERLINK(CONCATENATE("#metadata!", ADDRESS(INDEX($W$2:$W$1001,MATCH(ROWS($U$2:U760),$U$2:$U$1001,0),0), INDEX($AB$1004:$AQ$1004,1,MATCH(COLUMNS($AB$1006:AC1006),$AB$1006:$AQ$1006,0)))),"Fix")))</f>
        <v>0</v>
      </c>
      <c r="D760" s="4">
        <f>IF(OR(INDEX($V$2:$V$1001,MATCH(ROWS($U$2:U760),$U$2:$U$1001,0),1)&gt;=100000,INDEX($AB$1005:$AQ$1005,1,MATCH(COLUMNS($AB$1006:AD1006),$AB$1006:$AQ$1006,0))&gt;=100000), " ",IF(INDEX($AB$2:$AQ$1001,MATCH(ROWS($U$2:U760),$U$2:$U$1001,0),MATCH(COLUMNS($AB$1006:AD1006),$AB$1006:$AQ$1006,0)), HYPERLINK("#",""), HYPERLINK(CONCATENATE("#metadata!", ADDRESS(INDEX($W$2:$W$1001,MATCH(ROWS($U$2:U760),$U$2:$U$1001,0),0), INDEX($AB$1004:$AQ$1004,1,MATCH(COLUMNS($AB$1006:AD1006),$AB$1006:$AQ$1006,0)))),"Fix")))</f>
        <v>0</v>
      </c>
      <c r="E760" s="4">
        <f>IF(OR(INDEX($V$2:$V$1001,MATCH(ROWS($U$2:U760),$U$2:$U$1001,0),1)&gt;=100000,INDEX($AB$1005:$AQ$1005,1,MATCH(COLUMNS($AB$1006:AE1006),$AB$1006:$AQ$1006,0))&gt;=100000), " ",IF(INDEX($AB$2:$AQ$1001,MATCH(ROWS($U$2:U760),$U$2:$U$1001,0),MATCH(COLUMNS($AB$1006:AE1006),$AB$1006:$AQ$1006,0)), HYPERLINK("#",""), HYPERLINK(CONCATENATE("#metadata!", ADDRESS(INDEX($W$2:$W$1001,MATCH(ROWS($U$2:U760),$U$2:$U$1001,0),0), INDEX($AB$1004:$AQ$1004,1,MATCH(COLUMNS($AB$1006:AE1006),$AB$1006:$AQ$1006,0)))),"Fix")))</f>
        <v>0</v>
      </c>
      <c r="F760" s="4">
        <f>IF(OR(INDEX($V$2:$V$1001,MATCH(ROWS($U$2:U760),$U$2:$U$1001,0),1)&gt;=100000,INDEX($AB$1005:$AQ$1005,1,MATCH(COLUMNS($AB$1006:AF1006),$AB$1006:$AQ$1006,0))&gt;=100000), " ",IF(INDEX($AB$2:$AQ$1001,MATCH(ROWS($U$2:U760),$U$2:$U$1001,0),MATCH(COLUMNS($AB$1006:AF1006),$AB$1006:$AQ$1006,0)), HYPERLINK("#",""), HYPERLINK(CONCATENATE("#metadata!", ADDRESS(INDEX($W$2:$W$1001,MATCH(ROWS($U$2:U760),$U$2:$U$1001,0),0), INDEX($AB$1004:$AQ$1004,1,MATCH(COLUMNS($AB$1006:AF1006),$AB$1006:$AQ$1006,0)))),"Fix")))</f>
        <v>0</v>
      </c>
      <c r="G760" s="4">
        <f>IF(OR(INDEX($V$2:$V$1001,MATCH(ROWS($U$2:U760),$U$2:$U$1001,0),1)&gt;=100000,INDEX($AB$1005:$AQ$1005,1,MATCH(COLUMNS($AB$1006:AG1006),$AB$1006:$AQ$1006,0))&gt;=100000), " ",IF(INDEX($AB$2:$AQ$1001,MATCH(ROWS($U$2:U760),$U$2:$U$1001,0),MATCH(COLUMNS($AB$1006:AG1006),$AB$1006:$AQ$1006,0)), HYPERLINK("#",""), HYPERLINK(CONCATENATE("#metadata!", ADDRESS(INDEX($W$2:$W$1001,MATCH(ROWS($U$2:U760),$U$2:$U$1001,0),0), INDEX($AB$1004:$AQ$1004,1,MATCH(COLUMNS($AB$1006:AG1006),$AB$1006:$AQ$1006,0)))),"Fix")))</f>
        <v>0</v>
      </c>
      <c r="H760" s="4">
        <f>IF(OR(INDEX($V$2:$V$1001,MATCH(ROWS($U$2:U760),$U$2:$U$1001,0),1)&gt;=100000,INDEX($AB$1005:$AQ$1005,1,MATCH(COLUMNS($AB$1006:AH1006),$AB$1006:$AQ$1006,0))&gt;=100000), " ",IF(INDEX($AB$2:$AQ$1001,MATCH(ROWS($U$2:U760),$U$2:$U$1001,0),MATCH(COLUMNS($AB$1006:AH1006),$AB$1006:$AQ$1006,0)), HYPERLINK("#",""), HYPERLINK(CONCATENATE("#metadata!", ADDRESS(INDEX($W$2:$W$1001,MATCH(ROWS($U$2:U760),$U$2:$U$1001,0),0), INDEX($AB$1004:$AQ$1004,1,MATCH(COLUMNS($AB$1006:AH1006),$AB$1006:$AQ$1006,0)))),"Fix")))</f>
        <v>0</v>
      </c>
      <c r="I760" s="4">
        <f>IF(OR(INDEX($V$2:$V$1001,MATCH(ROWS($U$2:U760),$U$2:$U$1001,0),1)&gt;=100000,INDEX($AB$1005:$AQ$1005,1,MATCH(COLUMNS($AB$1006:AI1006),$AB$1006:$AQ$1006,0))&gt;=100000), " ",IF(INDEX($AB$2:$AQ$1001,MATCH(ROWS($U$2:U760),$U$2:$U$1001,0),MATCH(COLUMNS($AB$1006:AI1006),$AB$1006:$AQ$1006,0)), HYPERLINK("#",""), HYPERLINK(CONCATENATE("#metadata!", ADDRESS(INDEX($W$2:$W$1001,MATCH(ROWS($U$2:U760),$U$2:$U$1001,0),0), INDEX($AB$1004:$AQ$1004,1,MATCH(COLUMNS($AB$1006:AI1006),$AB$1006:$AQ$1006,0)))),"Fix")))</f>
        <v>0</v>
      </c>
      <c r="J760" s="4">
        <f>IF(OR(INDEX($V$2:$V$1001,MATCH(ROWS($U$2:U760),$U$2:$U$1001,0),1)&gt;=100000,INDEX($AB$1005:$AQ$1005,1,MATCH(COLUMNS($AB$1006:AJ1006),$AB$1006:$AQ$1006,0))&gt;=100000), " ",IF(INDEX($AB$2:$AQ$1001,MATCH(ROWS($U$2:U760),$U$2:$U$1001,0),MATCH(COLUMNS($AB$1006:AJ1006),$AB$1006:$AQ$1006,0)), HYPERLINK("#",""), HYPERLINK(CONCATENATE("#metadata!", ADDRESS(INDEX($W$2:$W$1001,MATCH(ROWS($U$2:U760),$U$2:$U$1001,0),0), INDEX($AB$1004:$AQ$1004,1,MATCH(COLUMNS($AB$1006:AJ1006),$AB$1006:$AQ$1006,0)))),"Fix")))</f>
        <v>0</v>
      </c>
      <c r="K760" s="4">
        <f>IF(OR(INDEX($V$2:$V$1001,MATCH(ROWS($U$2:U760),$U$2:$U$1001,0),1)&gt;=100000,INDEX($AB$1005:$AQ$1005,1,MATCH(COLUMNS($AB$1006:AK1006),$AB$1006:$AQ$1006,0))&gt;=100000), " ",IF(INDEX($AB$2:$AQ$1001,MATCH(ROWS($U$2:U760),$U$2:$U$1001,0),MATCH(COLUMNS($AB$1006:AK1006),$AB$1006:$AQ$1006,0)), HYPERLINK("#",""), HYPERLINK(CONCATENATE("#metadata!", ADDRESS(INDEX($W$2:$W$1001,MATCH(ROWS($U$2:U760),$U$2:$U$1001,0),0), INDEX($AB$1004:$AQ$1004,1,MATCH(COLUMNS($AB$1006:AK1006),$AB$1006:$AQ$1006,0)))),"Fix")))</f>
        <v>0</v>
      </c>
      <c r="L760" s="4">
        <f>IF(OR(INDEX($V$2:$V$1001,MATCH(ROWS($U$2:U760),$U$2:$U$1001,0),1)&gt;=100000,INDEX($AB$1005:$AQ$1005,1,MATCH(COLUMNS($AB$1006:AL1006),$AB$1006:$AQ$1006,0))&gt;=100000), " ",IF(INDEX($AB$2:$AQ$1001,MATCH(ROWS($U$2:U760),$U$2:$U$1001,0),MATCH(COLUMNS($AB$1006:AL1006),$AB$1006:$AQ$1006,0)), HYPERLINK("#",""), HYPERLINK(CONCATENATE("#metadata!", ADDRESS(INDEX($W$2:$W$1001,MATCH(ROWS($U$2:U760),$U$2:$U$1001,0),0), INDEX($AB$1004:$AQ$1004,1,MATCH(COLUMNS($AB$1006:AL1006),$AB$1006:$AQ$1006,0)))),"Fix")))</f>
        <v>0</v>
      </c>
      <c r="M760" s="4">
        <f>IF(OR(INDEX($V$2:$V$1001,MATCH(ROWS($U$2:U760),$U$2:$U$1001,0),1)&gt;=100000,INDEX($AB$1005:$AQ$1005,1,MATCH(COLUMNS($AB$1006:AM1006),$AB$1006:$AQ$1006,0))&gt;=100000), " ",IF(INDEX($AB$2:$AQ$1001,MATCH(ROWS($U$2:U760),$U$2:$U$1001,0),MATCH(COLUMNS($AB$1006:AM1006),$AB$1006:$AQ$1006,0)), HYPERLINK("#",""), HYPERLINK(CONCATENATE("#metadata!", ADDRESS(INDEX($W$2:$W$1001,MATCH(ROWS($U$2:U760),$U$2:$U$1001,0),0), INDEX($AB$1004:$AQ$1004,1,MATCH(COLUMNS($AB$1006:AM1006),$AB$1006:$AQ$1006,0)))),"Fix")))</f>
        <v>0</v>
      </c>
      <c r="N760" s="4">
        <f>IF(OR(INDEX($V$2:$V$1001,MATCH(ROWS($U$2:U760),$U$2:$U$1001,0),1)&gt;=100000,INDEX($AB$1005:$AQ$1005,1,MATCH(COLUMNS($AB$1006:AN1006),$AB$1006:$AQ$1006,0))&gt;=100000), " ",IF(INDEX($AB$2:$AQ$1001,MATCH(ROWS($U$2:U760),$U$2:$U$1001,0),MATCH(COLUMNS($AB$1006:AN1006),$AB$1006:$AQ$1006,0)), HYPERLINK("#",""), HYPERLINK(CONCATENATE("#metadata!", ADDRESS(INDEX($W$2:$W$1001,MATCH(ROWS($U$2:U760),$U$2:$U$1001,0),0), INDEX($AB$1004:$AQ$1004,1,MATCH(COLUMNS($AB$1006:AN1006),$AB$1006:$AQ$1006,0)))),"Fix")))</f>
        <v>0</v>
      </c>
      <c r="O760" s="4">
        <f>IF(OR(INDEX($V$2:$V$1001,MATCH(ROWS($U$2:U760),$U$2:$U$1001,0),1)&gt;=100000,INDEX($AB$1005:$AQ$1005,1,MATCH(COLUMNS($AB$1006:AO1006),$AB$1006:$AQ$1006,0))&gt;=100000), " ",IF(INDEX($AB$2:$AQ$1001,MATCH(ROWS($U$2:U760),$U$2:$U$1001,0),MATCH(COLUMNS($AB$1006:AO1006),$AB$1006:$AQ$1006,0)), HYPERLINK("#",""), HYPERLINK(CONCATENATE("#metadata!", ADDRESS(INDEX($W$2:$W$1001,MATCH(ROWS($U$2:U760),$U$2:$U$1001,0),0), INDEX($AB$1004:$AQ$1004,1,MATCH(COLUMNS($AB$1006:AO1006),$AB$1006:$AQ$1006,0)))),"Fix")))</f>
        <v>0</v>
      </c>
      <c r="P760" s="4">
        <f>IF(OR(INDEX($V$2:$V$1001,MATCH(ROWS($U$2:U760),$U$2:$U$1001,0),1)&gt;=100000,INDEX($AB$1005:$AQ$1005,1,MATCH(COLUMNS($AB$1006:AP1006),$AB$1006:$AQ$1006,0))&gt;=100000), " ",IF(INDEX($AB$2:$AQ$1001,MATCH(ROWS($U$2:U760),$U$2:$U$1001,0),MATCH(COLUMNS($AB$1006:AP1006),$AB$1006:$AQ$1006,0)), HYPERLINK("#",""), HYPERLINK(CONCATENATE("#metadata!", ADDRESS(INDEX($W$2:$W$1001,MATCH(ROWS($U$2:U760),$U$2:$U$1001,0),0), INDEX($AB$1004:$AQ$1004,1,MATCH(COLUMNS($AB$1006:AP1006),$AB$1006:$AQ$1006,0)))),"Fix")))</f>
        <v>0</v>
      </c>
      <c r="Q760" s="4">
        <f>IF(OR(INDEX($V$2:$V$1001,MATCH(ROWS($U$2:U760),$U$2:$U$1001,0),1)&gt;=100000,INDEX($AB$1005:$AQ$1005,1,MATCH(COLUMNS($AB$1006:AQ1006),$AB$1006:$AQ$1006,0))&gt;=100000), " ",IF(INDEX($AB$2:$AQ$1001,MATCH(ROWS($U$2:U760),$U$2:$U$1001,0),MATCH(COLUMNS($AB$1006:AQ1006),$AB$1006:$AQ$1006,0)), HYPERLINK("#",""), HYPERLINK(CONCATENATE("#metadata!", ADDRESS(INDEX($W$2:$W$1001,MATCH(ROWS($U$2:U760),$U$2:$U$1001,0),0), INDEX($AB$1004:$AQ$1004,1,MATCH(COLUMNS($AB$1006:AQ1006),$AB$1006:$AQ$1006,0)))),"Fix")))</f>
        <v>0</v>
      </c>
      <c r="U760">
        <v>0</v>
      </c>
      <c r="V760">
        <v>0</v>
      </c>
      <c r="W760">
        <v>0</v>
      </c>
      <c r="X760">
        <f>IF(Y760,TRUE,AND(AB760:AQ760))</f>
        <v>0</v>
      </c>
      <c r="Y760">
        <f>COUNTBLANK(metadata!B760:Q760)=COLUMNS(metadata!B760:Q760)</f>
        <v>0</v>
      </c>
      <c r="Z760">
        <v>0</v>
      </c>
      <c r="AB760">
        <f>AND(IF(metadata!B760="",FALSE,TRUE),COUNTIF(metadata!B:B, metadata!B760) = 1,NOT(ISERROR(SUMPRODUCT(SEARCH(MID(metadata!B760,ROW(INDIRECT("1:"&amp;LEN(metadata!B760))), 1),"0123456789abcdefghijklmnopqrstuvwxyzABCDEFGHIJKLMNOPQRSTUVWXYZ.")))))</f>
        <v>0</v>
      </c>
      <c r="AC760">
        <f>OR(AND(IF(metadata!C760="",FALSE,TRUE),OR(exact(metadata!C760,"missing: not collected"),exact(metadata!C760,"missing: not provided"),exact(metadata!C760,"missing: restricted access"))),AND(IF(metadata!C760="",FALSE,TRUE),AND(AND(IFERROR(INT(LEFT(metadata!C760,4))&gt;1900,FALSE),IFERROR(INT(LEFT(metadata!C760,4))&lt;=YEAR(NOW()),FALSE)), OR(MID(metadata!C760,5,1)="", AND(AND(MID(metadata!C760,5,1)="-",IFERROR(INT(MID(metadata!C760,6,1))&gt;=0,FALSE),IFERROR(INT(MID(metadata!C760,6,1))&lt;=1,FALSE),NOT(MID(metadata!C760,7,1)=""),IFERROR(INT(MID(metadata!C760,6,2))&gt;=1,FALSE),IFERROR(INT(MID(metadata!C760,6,2))&lt;=12,FALSE)), OR(MID(metadata!C760,8,1)="", AND(AND(MID(metadata!C760,8,1)="-",IFERROR(INT(MID(metadata!C760,9,1))&gt;=0,FALSE),IFERROR(INT(MID(metadata!C760,9,1))&lt;=3,FALSE),NOT(MID(metadata!C760,10,1)=""),IFERROR(INT(MID(metadata!C760,9,2))&gt;=1,FALSE),IFERROR(INT(MID(metadata!C760,9,2))&lt;=31,FALSE)), OR(MID(metadata!C760,11,1)="", AND(AND(MID(metadata!C760,11,1)=" ",IFERROR(INT(MID(metadata!C760,12,1))&gt;=0,FALSE),IFERROR(INT(MID(metadata!C760,12,1))&lt;=2,FALSE),NOT(MID(metadata!C760,13,1)=""),IFERROR(INT(MID(metadata!C760,12,2))&gt;=0,FALSE),IFERROR(INT(MID(metadata!C760,12,2))&lt;=23,FALSE)), OR(MID(metadata!C760,14,1)="", AND(AND(MID(metadata!C760,14,1)=":",IFERROR(INT(MID(metadata!C760,15,1))&gt;=0,FALSE),IFERROR(INT(MID(metadata!C760,15,1))&lt;=5,FALSE),NOT(MID(metadata!C760,16,1)=""),IFERROR(INT(MID(metadata!C760,15,2))&gt;=0,FALSE),IFERROR(INT(MID(metadata!C760,15,2))&lt;=59,FALSE)), OR(MID(metadata!C760,17,1)="", AND(AND(MID(metadata!C760,17,1)=":",IFERROR(INT(MID(metadata!C760,18,1))&gt;=0,FALSE),IFERROR(INT(MID(metadata!C760,18,1))&lt;=5,FALSE),NOT(MID(metadata!C760,19,1)=""),IFERROR(INT(MID(metadata!C760,18,2))&gt;=0,FALSE),IFERROR(INT(MID(metadata!C760,18,2))&lt;=59,FALSE)), LEN(metadata!C760)&lt;=19)))))))))))))</f>
        <v>0</v>
      </c>
      <c r="AD760">
        <f>IF(metadata!D760="",FALSE,TRUE)</f>
        <v>0</v>
      </c>
      <c r="AE760">
        <f>OR(AND(IF(metadata!E760="",FALSE,TRUE),OR(exact(metadata!E760,"missing: not collected"),exact(metadata!E760,"missing: not provided"))),AND(IF(metadata!E760="",FALSE,TRUE),OR(exact(metadata!E760,"TRUE"),exact(metadata!E760,"FALSE"))))</f>
        <v>0</v>
      </c>
      <c r="AF760">
        <f>IF(metadata!F760="",FALSE,TRUE)</f>
        <v>0</v>
      </c>
      <c r="AG760">
        <f>IF(metadata!G760="",FALSE,TRUE)</f>
        <v>0</v>
      </c>
      <c r="AH760">
        <f>IF(metadata!H760="",FALSE,TRUE)</f>
        <v>0</v>
      </c>
      <c r="AI760">
        <f>OR(AND(IF(metadata!I760="",FALSE,TRUE),OR(exact(metadata!I760,"missing: not collected"),exact(metadata!I760,"missing: not provided"),exact(metadata!I760,"missing: restricted access"))),AND(IF(metadata!I760="",FALSE,TRUE),OR(exact(metadata!I760,"air"),exact(metadata!I760,"built environment"),exact(metadata!I760,"host-associated"),exact(metadata!I760,"human-associated"),exact(metadata!I760,"human-skin"),exact(metadata!I760,"human-oral"),exact(metadata!I760,"human-gut"),exact(metadata!I760,"human-vaginal"),exact(metadata!I760,"microbial mat/biofilm"),exact(metadata!I760,"misc environment"),exact(metadata!I760,"plant-associated"),exact(metadata!I760,"sediment"),exact(metadata!I760,"soil"),exact(metadata!I760,"wastewater/sludge"),exact(metadata!I760,"water"))))</f>
        <v>0</v>
      </c>
      <c r="AJ760">
        <f>IF(metadata!J760="",FALSE,TRUE)</f>
        <v>0</v>
      </c>
      <c r="AK760">
        <f>OR(AND(IF(metadata!K760="",FALSE,TRUE),OR(exact(metadata!K760,"missing: not collected"),exact(metadata!K760,"missing: not provided"),exact(metadata!K760,"missing: restricted access"))),AND(IF(metadata!K760="",FALSE,ISNUMBER(VALUE(metadata!K760))),metadata!K760&gt;=-90.00,metadata!K760&lt;=90.00))</f>
        <v>0</v>
      </c>
      <c r="AL760">
        <f>OR(AND(IF(metadata!L760="",FALSE,TRUE),OR(exact(metadata!L760,"missing: not collected"),exact(metadata!L760,"missing: not provided"),exact(metadata!L760,"missing: restricted access"))),AND(IF(metadata!L760="",FALSE,ISNUMBER(VALUE(metadata!L760))),metadata!L760&gt;=-180.00,metadata!L760&lt;=180.00))</f>
        <v>0</v>
      </c>
      <c r="AM760">
        <f>IF(metadata!M760="",FALSE,TRUE)</f>
        <v>0</v>
      </c>
      <c r="AN760">
        <f>OR(AND(IF(metadata!N760="",FALSE,TRUE),OR(exact(metadata!N760,"missing: not collected"),exact(metadata!N760,"missing: not provided"),exact(metadata!N760,"missing: restricted access"))),AND(IF(metadata!N760="",FALSE,TRUE),OR(exact(metadata!N760,"TRUE"),exact(metadata!N760,"FALSE"))))</f>
        <v>0</v>
      </c>
      <c r="AO760">
        <f>IF(metadata!O760="",FALSE,TRUE)</f>
        <v>0</v>
      </c>
      <c r="AP760">
        <f>OR(AND(IF(metadata!P760="",FALSE,TRUE),OR(exact(metadata!P760,"missing: not collected"),exact(metadata!P760,"missing: not provided"))),AND(IF(metadata!P760="",FALSE,IF(ISERROR(INT(metadata!P760)),FALSE,INT(metadata!P760)=metadata!P760)),metadata!P760&gt;0))</f>
        <v>0</v>
      </c>
      <c r="AQ760">
        <f>IF(metadata!Q760="",FALSE,TRUE)</f>
        <v>0</v>
      </c>
    </row>
    <row r="761" spans="1:43">
      <c r="A761" s="5">
        <f>IF(B761=" "," ",HYPERLINK(CONCATENATE("#metadata!",ADDRESS(INDEX($W$2:$W$1001,MATCH(ROWS($U$2:U761),$U$2:$U$1001,0),0),1)),INDEX($Z$2:$Z$1001,MATCH(ROWS($U$2:U761),$U$2:$U$1001,0),0)))</f>
        <v>0</v>
      </c>
      <c r="B761" s="4">
        <f>IF(OR(INDEX($V$2:$V$1001,MATCH(ROWS($U$2:U761),$U$2:$U$1001,0),1)&gt;=100000,INDEX($AB$1005:$AQ$1005,1,MATCH(COLUMNS($AB$1006:AB1006),$AB$1006:$AQ$1006,0))&gt;=100000), " ",IF(INDEX($AB$2:$AQ$1001,MATCH(ROWS($U$2:U761),$U$2:$U$1001,0),MATCH(COLUMNS($AB$1006:AB1006),$AB$1006:$AQ$1006,0)), HYPERLINK("#",""), HYPERLINK(CONCATENATE("#metadata!", ADDRESS(INDEX($W$2:$W$1001,MATCH(ROWS($U$2:U761),$U$2:$U$1001,0),0), INDEX($AB$1004:$AQ$1004,1,MATCH(COLUMNS($AB$1006:AB1006),$AB$1006:$AQ$1006,0)))),"Fix")))</f>
        <v>0</v>
      </c>
      <c r="C761" s="4">
        <f>IF(OR(INDEX($V$2:$V$1001,MATCH(ROWS($U$2:U761),$U$2:$U$1001,0),1)&gt;=100000,INDEX($AB$1005:$AQ$1005,1,MATCH(COLUMNS($AB$1006:AC1006),$AB$1006:$AQ$1006,0))&gt;=100000), " ",IF(INDEX($AB$2:$AQ$1001,MATCH(ROWS($U$2:U761),$U$2:$U$1001,0),MATCH(COLUMNS($AB$1006:AC1006),$AB$1006:$AQ$1006,0)), HYPERLINK("#",""), HYPERLINK(CONCATENATE("#metadata!", ADDRESS(INDEX($W$2:$W$1001,MATCH(ROWS($U$2:U761),$U$2:$U$1001,0),0), INDEX($AB$1004:$AQ$1004,1,MATCH(COLUMNS($AB$1006:AC1006),$AB$1006:$AQ$1006,0)))),"Fix")))</f>
        <v>0</v>
      </c>
      <c r="D761" s="4">
        <f>IF(OR(INDEX($V$2:$V$1001,MATCH(ROWS($U$2:U761),$U$2:$U$1001,0),1)&gt;=100000,INDEX($AB$1005:$AQ$1005,1,MATCH(COLUMNS($AB$1006:AD1006),$AB$1006:$AQ$1006,0))&gt;=100000), " ",IF(INDEX($AB$2:$AQ$1001,MATCH(ROWS($U$2:U761),$U$2:$U$1001,0),MATCH(COLUMNS($AB$1006:AD1006),$AB$1006:$AQ$1006,0)), HYPERLINK("#",""), HYPERLINK(CONCATENATE("#metadata!", ADDRESS(INDEX($W$2:$W$1001,MATCH(ROWS($U$2:U761),$U$2:$U$1001,0),0), INDEX($AB$1004:$AQ$1004,1,MATCH(COLUMNS($AB$1006:AD1006),$AB$1006:$AQ$1006,0)))),"Fix")))</f>
        <v>0</v>
      </c>
      <c r="E761" s="4">
        <f>IF(OR(INDEX($V$2:$V$1001,MATCH(ROWS($U$2:U761),$U$2:$U$1001,0),1)&gt;=100000,INDEX($AB$1005:$AQ$1005,1,MATCH(COLUMNS($AB$1006:AE1006),$AB$1006:$AQ$1006,0))&gt;=100000), " ",IF(INDEX($AB$2:$AQ$1001,MATCH(ROWS($U$2:U761),$U$2:$U$1001,0),MATCH(COLUMNS($AB$1006:AE1006),$AB$1006:$AQ$1006,0)), HYPERLINK("#",""), HYPERLINK(CONCATENATE("#metadata!", ADDRESS(INDEX($W$2:$W$1001,MATCH(ROWS($U$2:U761),$U$2:$U$1001,0),0), INDEX($AB$1004:$AQ$1004,1,MATCH(COLUMNS($AB$1006:AE1006),$AB$1006:$AQ$1006,0)))),"Fix")))</f>
        <v>0</v>
      </c>
      <c r="F761" s="4">
        <f>IF(OR(INDEX($V$2:$V$1001,MATCH(ROWS($U$2:U761),$U$2:$U$1001,0),1)&gt;=100000,INDEX($AB$1005:$AQ$1005,1,MATCH(COLUMNS($AB$1006:AF1006),$AB$1006:$AQ$1006,0))&gt;=100000), " ",IF(INDEX($AB$2:$AQ$1001,MATCH(ROWS($U$2:U761),$U$2:$U$1001,0),MATCH(COLUMNS($AB$1006:AF1006),$AB$1006:$AQ$1006,0)), HYPERLINK("#",""), HYPERLINK(CONCATENATE("#metadata!", ADDRESS(INDEX($W$2:$W$1001,MATCH(ROWS($U$2:U761),$U$2:$U$1001,0),0), INDEX($AB$1004:$AQ$1004,1,MATCH(COLUMNS($AB$1006:AF1006),$AB$1006:$AQ$1006,0)))),"Fix")))</f>
        <v>0</v>
      </c>
      <c r="G761" s="4">
        <f>IF(OR(INDEX($V$2:$V$1001,MATCH(ROWS($U$2:U761),$U$2:$U$1001,0),1)&gt;=100000,INDEX($AB$1005:$AQ$1005,1,MATCH(COLUMNS($AB$1006:AG1006),$AB$1006:$AQ$1006,0))&gt;=100000), " ",IF(INDEX($AB$2:$AQ$1001,MATCH(ROWS($U$2:U761),$U$2:$U$1001,0),MATCH(COLUMNS($AB$1006:AG1006),$AB$1006:$AQ$1006,0)), HYPERLINK("#",""), HYPERLINK(CONCATENATE("#metadata!", ADDRESS(INDEX($W$2:$W$1001,MATCH(ROWS($U$2:U761),$U$2:$U$1001,0),0), INDEX($AB$1004:$AQ$1004,1,MATCH(COLUMNS($AB$1006:AG1006),$AB$1006:$AQ$1006,0)))),"Fix")))</f>
        <v>0</v>
      </c>
      <c r="H761" s="4">
        <f>IF(OR(INDEX($V$2:$V$1001,MATCH(ROWS($U$2:U761),$U$2:$U$1001,0),1)&gt;=100000,INDEX($AB$1005:$AQ$1005,1,MATCH(COLUMNS($AB$1006:AH1006),$AB$1006:$AQ$1006,0))&gt;=100000), " ",IF(INDEX($AB$2:$AQ$1001,MATCH(ROWS($U$2:U761),$U$2:$U$1001,0),MATCH(COLUMNS($AB$1006:AH1006),$AB$1006:$AQ$1006,0)), HYPERLINK("#",""), HYPERLINK(CONCATENATE("#metadata!", ADDRESS(INDEX($W$2:$W$1001,MATCH(ROWS($U$2:U761),$U$2:$U$1001,0),0), INDEX($AB$1004:$AQ$1004,1,MATCH(COLUMNS($AB$1006:AH1006),$AB$1006:$AQ$1006,0)))),"Fix")))</f>
        <v>0</v>
      </c>
      <c r="I761" s="4">
        <f>IF(OR(INDEX($V$2:$V$1001,MATCH(ROWS($U$2:U761),$U$2:$U$1001,0),1)&gt;=100000,INDEX($AB$1005:$AQ$1005,1,MATCH(COLUMNS($AB$1006:AI1006),$AB$1006:$AQ$1006,0))&gt;=100000), " ",IF(INDEX($AB$2:$AQ$1001,MATCH(ROWS($U$2:U761),$U$2:$U$1001,0),MATCH(COLUMNS($AB$1006:AI1006),$AB$1006:$AQ$1006,0)), HYPERLINK("#",""), HYPERLINK(CONCATENATE("#metadata!", ADDRESS(INDEX($W$2:$W$1001,MATCH(ROWS($U$2:U761),$U$2:$U$1001,0),0), INDEX($AB$1004:$AQ$1004,1,MATCH(COLUMNS($AB$1006:AI1006),$AB$1006:$AQ$1006,0)))),"Fix")))</f>
        <v>0</v>
      </c>
      <c r="J761" s="4">
        <f>IF(OR(INDEX($V$2:$V$1001,MATCH(ROWS($U$2:U761),$U$2:$U$1001,0),1)&gt;=100000,INDEX($AB$1005:$AQ$1005,1,MATCH(COLUMNS($AB$1006:AJ1006),$AB$1006:$AQ$1006,0))&gt;=100000), " ",IF(INDEX($AB$2:$AQ$1001,MATCH(ROWS($U$2:U761),$U$2:$U$1001,0),MATCH(COLUMNS($AB$1006:AJ1006),$AB$1006:$AQ$1006,0)), HYPERLINK("#",""), HYPERLINK(CONCATENATE("#metadata!", ADDRESS(INDEX($W$2:$W$1001,MATCH(ROWS($U$2:U761),$U$2:$U$1001,0),0), INDEX($AB$1004:$AQ$1004,1,MATCH(COLUMNS($AB$1006:AJ1006),$AB$1006:$AQ$1006,0)))),"Fix")))</f>
        <v>0</v>
      </c>
      <c r="K761" s="4">
        <f>IF(OR(INDEX($V$2:$V$1001,MATCH(ROWS($U$2:U761),$U$2:$U$1001,0),1)&gt;=100000,INDEX($AB$1005:$AQ$1005,1,MATCH(COLUMNS($AB$1006:AK1006),$AB$1006:$AQ$1006,0))&gt;=100000), " ",IF(INDEX($AB$2:$AQ$1001,MATCH(ROWS($U$2:U761),$U$2:$U$1001,0),MATCH(COLUMNS($AB$1006:AK1006),$AB$1006:$AQ$1006,0)), HYPERLINK("#",""), HYPERLINK(CONCATENATE("#metadata!", ADDRESS(INDEX($W$2:$W$1001,MATCH(ROWS($U$2:U761),$U$2:$U$1001,0),0), INDEX($AB$1004:$AQ$1004,1,MATCH(COLUMNS($AB$1006:AK1006),$AB$1006:$AQ$1006,0)))),"Fix")))</f>
        <v>0</v>
      </c>
      <c r="L761" s="4">
        <f>IF(OR(INDEX($V$2:$V$1001,MATCH(ROWS($U$2:U761),$U$2:$U$1001,0),1)&gt;=100000,INDEX($AB$1005:$AQ$1005,1,MATCH(COLUMNS($AB$1006:AL1006),$AB$1006:$AQ$1006,0))&gt;=100000), " ",IF(INDEX($AB$2:$AQ$1001,MATCH(ROWS($U$2:U761),$U$2:$U$1001,0),MATCH(COLUMNS($AB$1006:AL1006),$AB$1006:$AQ$1006,0)), HYPERLINK("#",""), HYPERLINK(CONCATENATE("#metadata!", ADDRESS(INDEX($W$2:$W$1001,MATCH(ROWS($U$2:U761),$U$2:$U$1001,0),0), INDEX($AB$1004:$AQ$1004,1,MATCH(COLUMNS($AB$1006:AL1006),$AB$1006:$AQ$1006,0)))),"Fix")))</f>
        <v>0</v>
      </c>
      <c r="M761" s="4">
        <f>IF(OR(INDEX($V$2:$V$1001,MATCH(ROWS($U$2:U761),$U$2:$U$1001,0),1)&gt;=100000,INDEX($AB$1005:$AQ$1005,1,MATCH(COLUMNS($AB$1006:AM1006),$AB$1006:$AQ$1006,0))&gt;=100000), " ",IF(INDEX($AB$2:$AQ$1001,MATCH(ROWS($U$2:U761),$U$2:$U$1001,0),MATCH(COLUMNS($AB$1006:AM1006),$AB$1006:$AQ$1006,0)), HYPERLINK("#",""), HYPERLINK(CONCATENATE("#metadata!", ADDRESS(INDEX($W$2:$W$1001,MATCH(ROWS($U$2:U761),$U$2:$U$1001,0),0), INDEX($AB$1004:$AQ$1004,1,MATCH(COLUMNS($AB$1006:AM1006),$AB$1006:$AQ$1006,0)))),"Fix")))</f>
        <v>0</v>
      </c>
      <c r="N761" s="4">
        <f>IF(OR(INDEX($V$2:$V$1001,MATCH(ROWS($U$2:U761),$U$2:$U$1001,0),1)&gt;=100000,INDEX($AB$1005:$AQ$1005,1,MATCH(COLUMNS($AB$1006:AN1006),$AB$1006:$AQ$1006,0))&gt;=100000), " ",IF(INDEX($AB$2:$AQ$1001,MATCH(ROWS($U$2:U761),$U$2:$U$1001,0),MATCH(COLUMNS($AB$1006:AN1006),$AB$1006:$AQ$1006,0)), HYPERLINK("#",""), HYPERLINK(CONCATENATE("#metadata!", ADDRESS(INDEX($W$2:$W$1001,MATCH(ROWS($U$2:U761),$U$2:$U$1001,0),0), INDEX($AB$1004:$AQ$1004,1,MATCH(COLUMNS($AB$1006:AN1006),$AB$1006:$AQ$1006,0)))),"Fix")))</f>
        <v>0</v>
      </c>
      <c r="O761" s="4">
        <f>IF(OR(INDEX($V$2:$V$1001,MATCH(ROWS($U$2:U761),$U$2:$U$1001,0),1)&gt;=100000,INDEX($AB$1005:$AQ$1005,1,MATCH(COLUMNS($AB$1006:AO1006),$AB$1006:$AQ$1006,0))&gt;=100000), " ",IF(INDEX($AB$2:$AQ$1001,MATCH(ROWS($U$2:U761),$U$2:$U$1001,0),MATCH(COLUMNS($AB$1006:AO1006),$AB$1006:$AQ$1006,0)), HYPERLINK("#",""), HYPERLINK(CONCATENATE("#metadata!", ADDRESS(INDEX($W$2:$W$1001,MATCH(ROWS($U$2:U761),$U$2:$U$1001,0),0), INDEX($AB$1004:$AQ$1004,1,MATCH(COLUMNS($AB$1006:AO1006),$AB$1006:$AQ$1006,0)))),"Fix")))</f>
        <v>0</v>
      </c>
      <c r="P761" s="4">
        <f>IF(OR(INDEX($V$2:$V$1001,MATCH(ROWS($U$2:U761),$U$2:$U$1001,0),1)&gt;=100000,INDEX($AB$1005:$AQ$1005,1,MATCH(COLUMNS($AB$1006:AP1006),$AB$1006:$AQ$1006,0))&gt;=100000), " ",IF(INDEX($AB$2:$AQ$1001,MATCH(ROWS($U$2:U761),$U$2:$U$1001,0),MATCH(COLUMNS($AB$1006:AP1006),$AB$1006:$AQ$1006,0)), HYPERLINK("#",""), HYPERLINK(CONCATENATE("#metadata!", ADDRESS(INDEX($W$2:$W$1001,MATCH(ROWS($U$2:U761),$U$2:$U$1001,0),0), INDEX($AB$1004:$AQ$1004,1,MATCH(COLUMNS($AB$1006:AP1006),$AB$1006:$AQ$1006,0)))),"Fix")))</f>
        <v>0</v>
      </c>
      <c r="Q761" s="4">
        <f>IF(OR(INDEX($V$2:$V$1001,MATCH(ROWS($U$2:U761),$U$2:$U$1001,0),1)&gt;=100000,INDEX($AB$1005:$AQ$1005,1,MATCH(COLUMNS($AB$1006:AQ1006),$AB$1006:$AQ$1006,0))&gt;=100000), " ",IF(INDEX($AB$2:$AQ$1001,MATCH(ROWS($U$2:U761),$U$2:$U$1001,0),MATCH(COLUMNS($AB$1006:AQ1006),$AB$1006:$AQ$1006,0)), HYPERLINK("#",""), HYPERLINK(CONCATENATE("#metadata!", ADDRESS(INDEX($W$2:$W$1001,MATCH(ROWS($U$2:U761),$U$2:$U$1001,0),0), INDEX($AB$1004:$AQ$1004,1,MATCH(COLUMNS($AB$1006:AQ1006),$AB$1006:$AQ$1006,0)))),"Fix")))</f>
        <v>0</v>
      </c>
      <c r="U761">
        <v>0</v>
      </c>
      <c r="V761">
        <v>0</v>
      </c>
      <c r="W761">
        <v>0</v>
      </c>
      <c r="X761">
        <f>IF(Y761,TRUE,AND(AB761:AQ761))</f>
        <v>0</v>
      </c>
      <c r="Y761">
        <f>COUNTBLANK(metadata!B761:Q761)=COLUMNS(metadata!B761:Q761)</f>
        <v>0</v>
      </c>
      <c r="Z761">
        <v>0</v>
      </c>
      <c r="AB761">
        <f>AND(IF(metadata!B761="",FALSE,TRUE),COUNTIF(metadata!B:B, metadata!B761) = 1,NOT(ISERROR(SUMPRODUCT(SEARCH(MID(metadata!B761,ROW(INDIRECT("1:"&amp;LEN(metadata!B761))), 1),"0123456789abcdefghijklmnopqrstuvwxyzABCDEFGHIJKLMNOPQRSTUVWXYZ.")))))</f>
        <v>0</v>
      </c>
      <c r="AC761">
        <f>OR(AND(IF(metadata!C761="",FALSE,TRUE),OR(exact(metadata!C761,"missing: not collected"),exact(metadata!C761,"missing: not provided"),exact(metadata!C761,"missing: restricted access"))),AND(IF(metadata!C761="",FALSE,TRUE),AND(AND(IFERROR(INT(LEFT(metadata!C761,4))&gt;1900,FALSE),IFERROR(INT(LEFT(metadata!C761,4))&lt;=YEAR(NOW()),FALSE)), OR(MID(metadata!C761,5,1)="", AND(AND(MID(metadata!C761,5,1)="-",IFERROR(INT(MID(metadata!C761,6,1))&gt;=0,FALSE),IFERROR(INT(MID(metadata!C761,6,1))&lt;=1,FALSE),NOT(MID(metadata!C761,7,1)=""),IFERROR(INT(MID(metadata!C761,6,2))&gt;=1,FALSE),IFERROR(INT(MID(metadata!C761,6,2))&lt;=12,FALSE)), OR(MID(metadata!C761,8,1)="", AND(AND(MID(metadata!C761,8,1)="-",IFERROR(INT(MID(metadata!C761,9,1))&gt;=0,FALSE),IFERROR(INT(MID(metadata!C761,9,1))&lt;=3,FALSE),NOT(MID(metadata!C761,10,1)=""),IFERROR(INT(MID(metadata!C761,9,2))&gt;=1,FALSE),IFERROR(INT(MID(metadata!C761,9,2))&lt;=31,FALSE)), OR(MID(metadata!C761,11,1)="", AND(AND(MID(metadata!C761,11,1)=" ",IFERROR(INT(MID(metadata!C761,12,1))&gt;=0,FALSE),IFERROR(INT(MID(metadata!C761,12,1))&lt;=2,FALSE),NOT(MID(metadata!C761,13,1)=""),IFERROR(INT(MID(metadata!C761,12,2))&gt;=0,FALSE),IFERROR(INT(MID(metadata!C761,12,2))&lt;=23,FALSE)), OR(MID(metadata!C761,14,1)="", AND(AND(MID(metadata!C761,14,1)=":",IFERROR(INT(MID(metadata!C761,15,1))&gt;=0,FALSE),IFERROR(INT(MID(metadata!C761,15,1))&lt;=5,FALSE),NOT(MID(metadata!C761,16,1)=""),IFERROR(INT(MID(metadata!C761,15,2))&gt;=0,FALSE),IFERROR(INT(MID(metadata!C761,15,2))&lt;=59,FALSE)), OR(MID(metadata!C761,17,1)="", AND(AND(MID(metadata!C761,17,1)=":",IFERROR(INT(MID(metadata!C761,18,1))&gt;=0,FALSE),IFERROR(INT(MID(metadata!C761,18,1))&lt;=5,FALSE),NOT(MID(metadata!C761,19,1)=""),IFERROR(INT(MID(metadata!C761,18,2))&gt;=0,FALSE),IFERROR(INT(MID(metadata!C761,18,2))&lt;=59,FALSE)), LEN(metadata!C761)&lt;=19)))))))))))))</f>
        <v>0</v>
      </c>
      <c r="AD761">
        <f>IF(metadata!D761="",FALSE,TRUE)</f>
        <v>0</v>
      </c>
      <c r="AE761">
        <f>OR(AND(IF(metadata!E761="",FALSE,TRUE),OR(exact(metadata!E761,"missing: not collected"),exact(metadata!E761,"missing: not provided"))),AND(IF(metadata!E761="",FALSE,TRUE),OR(exact(metadata!E761,"TRUE"),exact(metadata!E761,"FALSE"))))</f>
        <v>0</v>
      </c>
      <c r="AF761">
        <f>IF(metadata!F761="",FALSE,TRUE)</f>
        <v>0</v>
      </c>
      <c r="AG761">
        <f>IF(metadata!G761="",FALSE,TRUE)</f>
        <v>0</v>
      </c>
      <c r="AH761">
        <f>IF(metadata!H761="",FALSE,TRUE)</f>
        <v>0</v>
      </c>
      <c r="AI761">
        <f>OR(AND(IF(metadata!I761="",FALSE,TRUE),OR(exact(metadata!I761,"missing: not collected"),exact(metadata!I761,"missing: not provided"),exact(metadata!I761,"missing: restricted access"))),AND(IF(metadata!I761="",FALSE,TRUE),OR(exact(metadata!I761,"air"),exact(metadata!I761,"built environment"),exact(metadata!I761,"host-associated"),exact(metadata!I761,"human-associated"),exact(metadata!I761,"human-skin"),exact(metadata!I761,"human-oral"),exact(metadata!I761,"human-gut"),exact(metadata!I761,"human-vaginal"),exact(metadata!I761,"microbial mat/biofilm"),exact(metadata!I761,"misc environment"),exact(metadata!I761,"plant-associated"),exact(metadata!I761,"sediment"),exact(metadata!I761,"soil"),exact(metadata!I761,"wastewater/sludge"),exact(metadata!I761,"water"))))</f>
        <v>0</v>
      </c>
      <c r="AJ761">
        <f>IF(metadata!J761="",FALSE,TRUE)</f>
        <v>0</v>
      </c>
      <c r="AK761">
        <f>OR(AND(IF(metadata!K761="",FALSE,TRUE),OR(exact(metadata!K761,"missing: not collected"),exact(metadata!K761,"missing: not provided"),exact(metadata!K761,"missing: restricted access"))),AND(IF(metadata!K761="",FALSE,ISNUMBER(VALUE(metadata!K761))),metadata!K761&gt;=-90.00,metadata!K761&lt;=90.00))</f>
        <v>0</v>
      </c>
      <c r="AL761">
        <f>OR(AND(IF(metadata!L761="",FALSE,TRUE),OR(exact(metadata!L761,"missing: not collected"),exact(metadata!L761,"missing: not provided"),exact(metadata!L761,"missing: restricted access"))),AND(IF(metadata!L761="",FALSE,ISNUMBER(VALUE(metadata!L761))),metadata!L761&gt;=-180.00,metadata!L761&lt;=180.00))</f>
        <v>0</v>
      </c>
      <c r="AM761">
        <f>IF(metadata!M761="",FALSE,TRUE)</f>
        <v>0</v>
      </c>
      <c r="AN761">
        <f>OR(AND(IF(metadata!N761="",FALSE,TRUE),OR(exact(metadata!N761,"missing: not collected"),exact(metadata!N761,"missing: not provided"),exact(metadata!N761,"missing: restricted access"))),AND(IF(metadata!N761="",FALSE,TRUE),OR(exact(metadata!N761,"TRUE"),exact(metadata!N761,"FALSE"))))</f>
        <v>0</v>
      </c>
      <c r="AO761">
        <f>IF(metadata!O761="",FALSE,TRUE)</f>
        <v>0</v>
      </c>
      <c r="AP761">
        <f>OR(AND(IF(metadata!P761="",FALSE,TRUE),OR(exact(metadata!P761,"missing: not collected"),exact(metadata!P761,"missing: not provided"))),AND(IF(metadata!P761="",FALSE,IF(ISERROR(INT(metadata!P761)),FALSE,INT(metadata!P761)=metadata!P761)),metadata!P761&gt;0))</f>
        <v>0</v>
      </c>
      <c r="AQ761">
        <f>IF(metadata!Q761="",FALSE,TRUE)</f>
        <v>0</v>
      </c>
    </row>
    <row r="762" spans="1:43">
      <c r="A762" s="5">
        <f>IF(B762=" "," ",HYPERLINK(CONCATENATE("#metadata!",ADDRESS(INDEX($W$2:$W$1001,MATCH(ROWS($U$2:U762),$U$2:$U$1001,0),0),1)),INDEX($Z$2:$Z$1001,MATCH(ROWS($U$2:U762),$U$2:$U$1001,0),0)))</f>
        <v>0</v>
      </c>
      <c r="B762" s="4">
        <f>IF(OR(INDEX($V$2:$V$1001,MATCH(ROWS($U$2:U762),$U$2:$U$1001,0),1)&gt;=100000,INDEX($AB$1005:$AQ$1005,1,MATCH(COLUMNS($AB$1006:AB1006),$AB$1006:$AQ$1006,0))&gt;=100000), " ",IF(INDEX($AB$2:$AQ$1001,MATCH(ROWS($U$2:U762),$U$2:$U$1001,0),MATCH(COLUMNS($AB$1006:AB1006),$AB$1006:$AQ$1006,0)), HYPERLINK("#",""), HYPERLINK(CONCATENATE("#metadata!", ADDRESS(INDEX($W$2:$W$1001,MATCH(ROWS($U$2:U762),$U$2:$U$1001,0),0), INDEX($AB$1004:$AQ$1004,1,MATCH(COLUMNS($AB$1006:AB1006),$AB$1006:$AQ$1006,0)))),"Fix")))</f>
        <v>0</v>
      </c>
      <c r="C762" s="4">
        <f>IF(OR(INDEX($V$2:$V$1001,MATCH(ROWS($U$2:U762),$U$2:$U$1001,0),1)&gt;=100000,INDEX($AB$1005:$AQ$1005,1,MATCH(COLUMNS($AB$1006:AC1006),$AB$1006:$AQ$1006,0))&gt;=100000), " ",IF(INDEX($AB$2:$AQ$1001,MATCH(ROWS($U$2:U762),$U$2:$U$1001,0),MATCH(COLUMNS($AB$1006:AC1006),$AB$1006:$AQ$1006,0)), HYPERLINK("#",""), HYPERLINK(CONCATENATE("#metadata!", ADDRESS(INDEX($W$2:$W$1001,MATCH(ROWS($U$2:U762),$U$2:$U$1001,0),0), INDEX($AB$1004:$AQ$1004,1,MATCH(COLUMNS($AB$1006:AC1006),$AB$1006:$AQ$1006,0)))),"Fix")))</f>
        <v>0</v>
      </c>
      <c r="D762" s="4">
        <f>IF(OR(INDEX($V$2:$V$1001,MATCH(ROWS($U$2:U762),$U$2:$U$1001,0),1)&gt;=100000,INDEX($AB$1005:$AQ$1005,1,MATCH(COLUMNS($AB$1006:AD1006),$AB$1006:$AQ$1006,0))&gt;=100000), " ",IF(INDEX($AB$2:$AQ$1001,MATCH(ROWS($U$2:U762),$U$2:$U$1001,0),MATCH(COLUMNS($AB$1006:AD1006),$AB$1006:$AQ$1006,0)), HYPERLINK("#",""), HYPERLINK(CONCATENATE("#metadata!", ADDRESS(INDEX($W$2:$W$1001,MATCH(ROWS($U$2:U762),$U$2:$U$1001,0),0), INDEX($AB$1004:$AQ$1004,1,MATCH(COLUMNS($AB$1006:AD1006),$AB$1006:$AQ$1006,0)))),"Fix")))</f>
        <v>0</v>
      </c>
      <c r="E762" s="4">
        <f>IF(OR(INDEX($V$2:$V$1001,MATCH(ROWS($U$2:U762),$U$2:$U$1001,0),1)&gt;=100000,INDEX($AB$1005:$AQ$1005,1,MATCH(COLUMNS($AB$1006:AE1006),$AB$1006:$AQ$1006,0))&gt;=100000), " ",IF(INDEX($AB$2:$AQ$1001,MATCH(ROWS($U$2:U762),$U$2:$U$1001,0),MATCH(COLUMNS($AB$1006:AE1006),$AB$1006:$AQ$1006,0)), HYPERLINK("#",""), HYPERLINK(CONCATENATE("#metadata!", ADDRESS(INDEX($W$2:$W$1001,MATCH(ROWS($U$2:U762),$U$2:$U$1001,0),0), INDEX($AB$1004:$AQ$1004,1,MATCH(COLUMNS($AB$1006:AE1006),$AB$1006:$AQ$1006,0)))),"Fix")))</f>
        <v>0</v>
      </c>
      <c r="F762" s="4">
        <f>IF(OR(INDEX($V$2:$V$1001,MATCH(ROWS($U$2:U762),$U$2:$U$1001,0),1)&gt;=100000,INDEX($AB$1005:$AQ$1005,1,MATCH(COLUMNS($AB$1006:AF1006),$AB$1006:$AQ$1006,0))&gt;=100000), " ",IF(INDEX($AB$2:$AQ$1001,MATCH(ROWS($U$2:U762),$U$2:$U$1001,0),MATCH(COLUMNS($AB$1006:AF1006),$AB$1006:$AQ$1006,0)), HYPERLINK("#",""), HYPERLINK(CONCATENATE("#metadata!", ADDRESS(INDEX($W$2:$W$1001,MATCH(ROWS($U$2:U762),$U$2:$U$1001,0),0), INDEX($AB$1004:$AQ$1004,1,MATCH(COLUMNS($AB$1006:AF1006),$AB$1006:$AQ$1006,0)))),"Fix")))</f>
        <v>0</v>
      </c>
      <c r="G762" s="4">
        <f>IF(OR(INDEX($V$2:$V$1001,MATCH(ROWS($U$2:U762),$U$2:$U$1001,0),1)&gt;=100000,INDEX($AB$1005:$AQ$1005,1,MATCH(COLUMNS($AB$1006:AG1006),$AB$1006:$AQ$1006,0))&gt;=100000), " ",IF(INDEX($AB$2:$AQ$1001,MATCH(ROWS($U$2:U762),$U$2:$U$1001,0),MATCH(COLUMNS($AB$1006:AG1006),$AB$1006:$AQ$1006,0)), HYPERLINK("#",""), HYPERLINK(CONCATENATE("#metadata!", ADDRESS(INDEX($W$2:$W$1001,MATCH(ROWS($U$2:U762),$U$2:$U$1001,0),0), INDEX($AB$1004:$AQ$1004,1,MATCH(COLUMNS($AB$1006:AG1006),$AB$1006:$AQ$1006,0)))),"Fix")))</f>
        <v>0</v>
      </c>
      <c r="H762" s="4">
        <f>IF(OR(INDEX($V$2:$V$1001,MATCH(ROWS($U$2:U762),$U$2:$U$1001,0),1)&gt;=100000,INDEX($AB$1005:$AQ$1005,1,MATCH(COLUMNS($AB$1006:AH1006),$AB$1006:$AQ$1006,0))&gt;=100000), " ",IF(INDEX($AB$2:$AQ$1001,MATCH(ROWS($U$2:U762),$U$2:$U$1001,0),MATCH(COLUMNS($AB$1006:AH1006),$AB$1006:$AQ$1006,0)), HYPERLINK("#",""), HYPERLINK(CONCATENATE("#metadata!", ADDRESS(INDEX($W$2:$W$1001,MATCH(ROWS($U$2:U762),$U$2:$U$1001,0),0), INDEX($AB$1004:$AQ$1004,1,MATCH(COLUMNS($AB$1006:AH1006),$AB$1006:$AQ$1006,0)))),"Fix")))</f>
        <v>0</v>
      </c>
      <c r="I762" s="4">
        <f>IF(OR(INDEX($V$2:$V$1001,MATCH(ROWS($U$2:U762),$U$2:$U$1001,0),1)&gt;=100000,INDEX($AB$1005:$AQ$1005,1,MATCH(COLUMNS($AB$1006:AI1006),$AB$1006:$AQ$1006,0))&gt;=100000), " ",IF(INDEX($AB$2:$AQ$1001,MATCH(ROWS($U$2:U762),$U$2:$U$1001,0),MATCH(COLUMNS($AB$1006:AI1006),$AB$1006:$AQ$1006,0)), HYPERLINK("#",""), HYPERLINK(CONCATENATE("#metadata!", ADDRESS(INDEX($W$2:$W$1001,MATCH(ROWS($U$2:U762),$U$2:$U$1001,0),0), INDEX($AB$1004:$AQ$1004,1,MATCH(COLUMNS($AB$1006:AI1006),$AB$1006:$AQ$1006,0)))),"Fix")))</f>
        <v>0</v>
      </c>
      <c r="J762" s="4">
        <f>IF(OR(INDEX($V$2:$V$1001,MATCH(ROWS($U$2:U762),$U$2:$U$1001,0),1)&gt;=100000,INDEX($AB$1005:$AQ$1005,1,MATCH(COLUMNS($AB$1006:AJ1006),$AB$1006:$AQ$1006,0))&gt;=100000), " ",IF(INDEX($AB$2:$AQ$1001,MATCH(ROWS($U$2:U762),$U$2:$U$1001,0),MATCH(COLUMNS($AB$1006:AJ1006),$AB$1006:$AQ$1006,0)), HYPERLINK("#",""), HYPERLINK(CONCATENATE("#metadata!", ADDRESS(INDEX($W$2:$W$1001,MATCH(ROWS($U$2:U762),$U$2:$U$1001,0),0), INDEX($AB$1004:$AQ$1004,1,MATCH(COLUMNS($AB$1006:AJ1006),$AB$1006:$AQ$1006,0)))),"Fix")))</f>
        <v>0</v>
      </c>
      <c r="K762" s="4">
        <f>IF(OR(INDEX($V$2:$V$1001,MATCH(ROWS($U$2:U762),$U$2:$U$1001,0),1)&gt;=100000,INDEX($AB$1005:$AQ$1005,1,MATCH(COLUMNS($AB$1006:AK1006),$AB$1006:$AQ$1006,0))&gt;=100000), " ",IF(INDEX($AB$2:$AQ$1001,MATCH(ROWS($U$2:U762),$U$2:$U$1001,0),MATCH(COLUMNS($AB$1006:AK1006),$AB$1006:$AQ$1006,0)), HYPERLINK("#",""), HYPERLINK(CONCATENATE("#metadata!", ADDRESS(INDEX($W$2:$W$1001,MATCH(ROWS($U$2:U762),$U$2:$U$1001,0),0), INDEX($AB$1004:$AQ$1004,1,MATCH(COLUMNS($AB$1006:AK1006),$AB$1006:$AQ$1006,0)))),"Fix")))</f>
        <v>0</v>
      </c>
      <c r="L762" s="4">
        <f>IF(OR(INDEX($V$2:$V$1001,MATCH(ROWS($U$2:U762),$U$2:$U$1001,0),1)&gt;=100000,INDEX($AB$1005:$AQ$1005,1,MATCH(COLUMNS($AB$1006:AL1006),$AB$1006:$AQ$1006,0))&gt;=100000), " ",IF(INDEX($AB$2:$AQ$1001,MATCH(ROWS($U$2:U762),$U$2:$U$1001,0),MATCH(COLUMNS($AB$1006:AL1006),$AB$1006:$AQ$1006,0)), HYPERLINK("#",""), HYPERLINK(CONCATENATE("#metadata!", ADDRESS(INDEX($W$2:$W$1001,MATCH(ROWS($U$2:U762),$U$2:$U$1001,0),0), INDEX($AB$1004:$AQ$1004,1,MATCH(COLUMNS($AB$1006:AL1006),$AB$1006:$AQ$1006,0)))),"Fix")))</f>
        <v>0</v>
      </c>
      <c r="M762" s="4">
        <f>IF(OR(INDEX($V$2:$V$1001,MATCH(ROWS($U$2:U762),$U$2:$U$1001,0),1)&gt;=100000,INDEX($AB$1005:$AQ$1005,1,MATCH(COLUMNS($AB$1006:AM1006),$AB$1006:$AQ$1006,0))&gt;=100000), " ",IF(INDEX($AB$2:$AQ$1001,MATCH(ROWS($U$2:U762),$U$2:$U$1001,0),MATCH(COLUMNS($AB$1006:AM1006),$AB$1006:$AQ$1006,0)), HYPERLINK("#",""), HYPERLINK(CONCATENATE("#metadata!", ADDRESS(INDEX($W$2:$W$1001,MATCH(ROWS($U$2:U762),$U$2:$U$1001,0),0), INDEX($AB$1004:$AQ$1004,1,MATCH(COLUMNS($AB$1006:AM1006),$AB$1006:$AQ$1006,0)))),"Fix")))</f>
        <v>0</v>
      </c>
      <c r="N762" s="4">
        <f>IF(OR(INDEX($V$2:$V$1001,MATCH(ROWS($U$2:U762),$U$2:$U$1001,0),1)&gt;=100000,INDEX($AB$1005:$AQ$1005,1,MATCH(COLUMNS($AB$1006:AN1006),$AB$1006:$AQ$1006,0))&gt;=100000), " ",IF(INDEX($AB$2:$AQ$1001,MATCH(ROWS($U$2:U762),$U$2:$U$1001,0),MATCH(COLUMNS($AB$1006:AN1006),$AB$1006:$AQ$1006,0)), HYPERLINK("#",""), HYPERLINK(CONCATENATE("#metadata!", ADDRESS(INDEX($W$2:$W$1001,MATCH(ROWS($U$2:U762),$U$2:$U$1001,0),0), INDEX($AB$1004:$AQ$1004,1,MATCH(COLUMNS($AB$1006:AN1006),$AB$1006:$AQ$1006,0)))),"Fix")))</f>
        <v>0</v>
      </c>
      <c r="O762" s="4">
        <f>IF(OR(INDEX($V$2:$V$1001,MATCH(ROWS($U$2:U762),$U$2:$U$1001,0),1)&gt;=100000,INDEX($AB$1005:$AQ$1005,1,MATCH(COLUMNS($AB$1006:AO1006),$AB$1006:$AQ$1006,0))&gt;=100000), " ",IF(INDEX($AB$2:$AQ$1001,MATCH(ROWS($U$2:U762),$U$2:$U$1001,0),MATCH(COLUMNS($AB$1006:AO1006),$AB$1006:$AQ$1006,0)), HYPERLINK("#",""), HYPERLINK(CONCATENATE("#metadata!", ADDRESS(INDEX($W$2:$W$1001,MATCH(ROWS($U$2:U762),$U$2:$U$1001,0),0), INDEX($AB$1004:$AQ$1004,1,MATCH(COLUMNS($AB$1006:AO1006),$AB$1006:$AQ$1006,0)))),"Fix")))</f>
        <v>0</v>
      </c>
      <c r="P762" s="4">
        <f>IF(OR(INDEX($V$2:$V$1001,MATCH(ROWS($U$2:U762),$U$2:$U$1001,0),1)&gt;=100000,INDEX($AB$1005:$AQ$1005,1,MATCH(COLUMNS($AB$1006:AP1006),$AB$1006:$AQ$1006,0))&gt;=100000), " ",IF(INDEX($AB$2:$AQ$1001,MATCH(ROWS($U$2:U762),$U$2:$U$1001,0),MATCH(COLUMNS($AB$1006:AP1006),$AB$1006:$AQ$1006,0)), HYPERLINK("#",""), HYPERLINK(CONCATENATE("#metadata!", ADDRESS(INDEX($W$2:$W$1001,MATCH(ROWS($U$2:U762),$U$2:$U$1001,0),0), INDEX($AB$1004:$AQ$1004,1,MATCH(COLUMNS($AB$1006:AP1006),$AB$1006:$AQ$1006,0)))),"Fix")))</f>
        <v>0</v>
      </c>
      <c r="Q762" s="4">
        <f>IF(OR(INDEX($V$2:$V$1001,MATCH(ROWS($U$2:U762),$U$2:$U$1001,0),1)&gt;=100000,INDEX($AB$1005:$AQ$1005,1,MATCH(COLUMNS($AB$1006:AQ1006),$AB$1006:$AQ$1006,0))&gt;=100000), " ",IF(INDEX($AB$2:$AQ$1001,MATCH(ROWS($U$2:U762),$U$2:$U$1001,0),MATCH(COLUMNS($AB$1006:AQ1006),$AB$1006:$AQ$1006,0)), HYPERLINK("#",""), HYPERLINK(CONCATENATE("#metadata!", ADDRESS(INDEX($W$2:$W$1001,MATCH(ROWS($U$2:U762),$U$2:$U$1001,0),0), INDEX($AB$1004:$AQ$1004,1,MATCH(COLUMNS($AB$1006:AQ1006),$AB$1006:$AQ$1006,0)))),"Fix")))</f>
        <v>0</v>
      </c>
      <c r="U762">
        <v>0</v>
      </c>
      <c r="V762">
        <v>0</v>
      </c>
      <c r="W762">
        <v>0</v>
      </c>
      <c r="X762">
        <f>IF(Y762,TRUE,AND(AB762:AQ762))</f>
        <v>0</v>
      </c>
      <c r="Y762">
        <f>COUNTBLANK(metadata!B762:Q762)=COLUMNS(metadata!B762:Q762)</f>
        <v>0</v>
      </c>
      <c r="Z762">
        <v>0</v>
      </c>
      <c r="AB762">
        <f>AND(IF(metadata!B762="",FALSE,TRUE),COUNTIF(metadata!B:B, metadata!B762) = 1,NOT(ISERROR(SUMPRODUCT(SEARCH(MID(metadata!B762,ROW(INDIRECT("1:"&amp;LEN(metadata!B762))), 1),"0123456789abcdefghijklmnopqrstuvwxyzABCDEFGHIJKLMNOPQRSTUVWXYZ.")))))</f>
        <v>0</v>
      </c>
      <c r="AC762">
        <f>OR(AND(IF(metadata!C762="",FALSE,TRUE),OR(exact(metadata!C762,"missing: not collected"),exact(metadata!C762,"missing: not provided"),exact(metadata!C762,"missing: restricted access"))),AND(IF(metadata!C762="",FALSE,TRUE),AND(AND(IFERROR(INT(LEFT(metadata!C762,4))&gt;1900,FALSE),IFERROR(INT(LEFT(metadata!C762,4))&lt;=YEAR(NOW()),FALSE)), OR(MID(metadata!C762,5,1)="", AND(AND(MID(metadata!C762,5,1)="-",IFERROR(INT(MID(metadata!C762,6,1))&gt;=0,FALSE),IFERROR(INT(MID(metadata!C762,6,1))&lt;=1,FALSE),NOT(MID(metadata!C762,7,1)=""),IFERROR(INT(MID(metadata!C762,6,2))&gt;=1,FALSE),IFERROR(INT(MID(metadata!C762,6,2))&lt;=12,FALSE)), OR(MID(metadata!C762,8,1)="", AND(AND(MID(metadata!C762,8,1)="-",IFERROR(INT(MID(metadata!C762,9,1))&gt;=0,FALSE),IFERROR(INT(MID(metadata!C762,9,1))&lt;=3,FALSE),NOT(MID(metadata!C762,10,1)=""),IFERROR(INT(MID(metadata!C762,9,2))&gt;=1,FALSE),IFERROR(INT(MID(metadata!C762,9,2))&lt;=31,FALSE)), OR(MID(metadata!C762,11,1)="", AND(AND(MID(metadata!C762,11,1)=" ",IFERROR(INT(MID(metadata!C762,12,1))&gt;=0,FALSE),IFERROR(INT(MID(metadata!C762,12,1))&lt;=2,FALSE),NOT(MID(metadata!C762,13,1)=""),IFERROR(INT(MID(metadata!C762,12,2))&gt;=0,FALSE),IFERROR(INT(MID(metadata!C762,12,2))&lt;=23,FALSE)), OR(MID(metadata!C762,14,1)="", AND(AND(MID(metadata!C762,14,1)=":",IFERROR(INT(MID(metadata!C762,15,1))&gt;=0,FALSE),IFERROR(INT(MID(metadata!C762,15,1))&lt;=5,FALSE),NOT(MID(metadata!C762,16,1)=""),IFERROR(INT(MID(metadata!C762,15,2))&gt;=0,FALSE),IFERROR(INT(MID(metadata!C762,15,2))&lt;=59,FALSE)), OR(MID(metadata!C762,17,1)="", AND(AND(MID(metadata!C762,17,1)=":",IFERROR(INT(MID(metadata!C762,18,1))&gt;=0,FALSE),IFERROR(INT(MID(metadata!C762,18,1))&lt;=5,FALSE),NOT(MID(metadata!C762,19,1)=""),IFERROR(INT(MID(metadata!C762,18,2))&gt;=0,FALSE),IFERROR(INT(MID(metadata!C762,18,2))&lt;=59,FALSE)), LEN(metadata!C762)&lt;=19)))))))))))))</f>
        <v>0</v>
      </c>
      <c r="AD762">
        <f>IF(metadata!D762="",FALSE,TRUE)</f>
        <v>0</v>
      </c>
      <c r="AE762">
        <f>OR(AND(IF(metadata!E762="",FALSE,TRUE),OR(exact(metadata!E762,"missing: not collected"),exact(metadata!E762,"missing: not provided"))),AND(IF(metadata!E762="",FALSE,TRUE),OR(exact(metadata!E762,"TRUE"),exact(metadata!E762,"FALSE"))))</f>
        <v>0</v>
      </c>
      <c r="AF762">
        <f>IF(metadata!F762="",FALSE,TRUE)</f>
        <v>0</v>
      </c>
      <c r="AG762">
        <f>IF(metadata!G762="",FALSE,TRUE)</f>
        <v>0</v>
      </c>
      <c r="AH762">
        <f>IF(metadata!H762="",FALSE,TRUE)</f>
        <v>0</v>
      </c>
      <c r="AI762">
        <f>OR(AND(IF(metadata!I762="",FALSE,TRUE),OR(exact(metadata!I762,"missing: not collected"),exact(metadata!I762,"missing: not provided"),exact(metadata!I762,"missing: restricted access"))),AND(IF(metadata!I762="",FALSE,TRUE),OR(exact(metadata!I762,"air"),exact(metadata!I762,"built environment"),exact(metadata!I762,"host-associated"),exact(metadata!I762,"human-associated"),exact(metadata!I762,"human-skin"),exact(metadata!I762,"human-oral"),exact(metadata!I762,"human-gut"),exact(metadata!I762,"human-vaginal"),exact(metadata!I762,"microbial mat/biofilm"),exact(metadata!I762,"misc environment"),exact(metadata!I762,"plant-associated"),exact(metadata!I762,"sediment"),exact(metadata!I762,"soil"),exact(metadata!I762,"wastewater/sludge"),exact(metadata!I762,"water"))))</f>
        <v>0</v>
      </c>
      <c r="AJ762">
        <f>IF(metadata!J762="",FALSE,TRUE)</f>
        <v>0</v>
      </c>
      <c r="AK762">
        <f>OR(AND(IF(metadata!K762="",FALSE,TRUE),OR(exact(metadata!K762,"missing: not collected"),exact(metadata!K762,"missing: not provided"),exact(metadata!K762,"missing: restricted access"))),AND(IF(metadata!K762="",FALSE,ISNUMBER(VALUE(metadata!K762))),metadata!K762&gt;=-90.00,metadata!K762&lt;=90.00))</f>
        <v>0</v>
      </c>
      <c r="AL762">
        <f>OR(AND(IF(metadata!L762="",FALSE,TRUE),OR(exact(metadata!L762,"missing: not collected"),exact(metadata!L762,"missing: not provided"),exact(metadata!L762,"missing: restricted access"))),AND(IF(metadata!L762="",FALSE,ISNUMBER(VALUE(metadata!L762))),metadata!L762&gt;=-180.00,metadata!L762&lt;=180.00))</f>
        <v>0</v>
      </c>
      <c r="AM762">
        <f>IF(metadata!M762="",FALSE,TRUE)</f>
        <v>0</v>
      </c>
      <c r="AN762">
        <f>OR(AND(IF(metadata!N762="",FALSE,TRUE),OR(exact(metadata!N762,"missing: not collected"),exact(metadata!N762,"missing: not provided"),exact(metadata!N762,"missing: restricted access"))),AND(IF(metadata!N762="",FALSE,TRUE),OR(exact(metadata!N762,"TRUE"),exact(metadata!N762,"FALSE"))))</f>
        <v>0</v>
      </c>
      <c r="AO762">
        <f>IF(metadata!O762="",FALSE,TRUE)</f>
        <v>0</v>
      </c>
      <c r="AP762">
        <f>OR(AND(IF(metadata!P762="",FALSE,TRUE),OR(exact(metadata!P762,"missing: not collected"),exact(metadata!P762,"missing: not provided"))),AND(IF(metadata!P762="",FALSE,IF(ISERROR(INT(metadata!P762)),FALSE,INT(metadata!P762)=metadata!P762)),metadata!P762&gt;0))</f>
        <v>0</v>
      </c>
      <c r="AQ762">
        <f>IF(metadata!Q762="",FALSE,TRUE)</f>
        <v>0</v>
      </c>
    </row>
    <row r="763" spans="1:43">
      <c r="A763" s="5">
        <f>IF(B763=" "," ",HYPERLINK(CONCATENATE("#metadata!",ADDRESS(INDEX($W$2:$W$1001,MATCH(ROWS($U$2:U763),$U$2:$U$1001,0),0),1)),INDEX($Z$2:$Z$1001,MATCH(ROWS($U$2:U763),$U$2:$U$1001,0),0)))</f>
        <v>0</v>
      </c>
      <c r="B763" s="4">
        <f>IF(OR(INDEX($V$2:$V$1001,MATCH(ROWS($U$2:U763),$U$2:$U$1001,0),1)&gt;=100000,INDEX($AB$1005:$AQ$1005,1,MATCH(COLUMNS($AB$1006:AB1006),$AB$1006:$AQ$1006,0))&gt;=100000), " ",IF(INDEX($AB$2:$AQ$1001,MATCH(ROWS($U$2:U763),$U$2:$U$1001,0),MATCH(COLUMNS($AB$1006:AB1006),$AB$1006:$AQ$1006,0)), HYPERLINK("#",""), HYPERLINK(CONCATENATE("#metadata!", ADDRESS(INDEX($W$2:$W$1001,MATCH(ROWS($U$2:U763),$U$2:$U$1001,0),0), INDEX($AB$1004:$AQ$1004,1,MATCH(COLUMNS($AB$1006:AB1006),$AB$1006:$AQ$1006,0)))),"Fix")))</f>
        <v>0</v>
      </c>
      <c r="C763" s="4">
        <f>IF(OR(INDEX($V$2:$V$1001,MATCH(ROWS($U$2:U763),$U$2:$U$1001,0),1)&gt;=100000,INDEX($AB$1005:$AQ$1005,1,MATCH(COLUMNS($AB$1006:AC1006),$AB$1006:$AQ$1006,0))&gt;=100000), " ",IF(INDEX($AB$2:$AQ$1001,MATCH(ROWS($U$2:U763),$U$2:$U$1001,0),MATCH(COLUMNS($AB$1006:AC1006),$AB$1006:$AQ$1006,0)), HYPERLINK("#",""), HYPERLINK(CONCATENATE("#metadata!", ADDRESS(INDEX($W$2:$W$1001,MATCH(ROWS($U$2:U763),$U$2:$U$1001,0),0), INDEX($AB$1004:$AQ$1004,1,MATCH(COLUMNS($AB$1006:AC1006),$AB$1006:$AQ$1006,0)))),"Fix")))</f>
        <v>0</v>
      </c>
      <c r="D763" s="4">
        <f>IF(OR(INDEX($V$2:$V$1001,MATCH(ROWS($U$2:U763),$U$2:$U$1001,0),1)&gt;=100000,INDEX($AB$1005:$AQ$1005,1,MATCH(COLUMNS($AB$1006:AD1006),$AB$1006:$AQ$1006,0))&gt;=100000), " ",IF(INDEX($AB$2:$AQ$1001,MATCH(ROWS($U$2:U763),$U$2:$U$1001,0),MATCH(COLUMNS($AB$1006:AD1006),$AB$1006:$AQ$1006,0)), HYPERLINK("#",""), HYPERLINK(CONCATENATE("#metadata!", ADDRESS(INDEX($W$2:$W$1001,MATCH(ROWS($U$2:U763),$U$2:$U$1001,0),0), INDEX($AB$1004:$AQ$1004,1,MATCH(COLUMNS($AB$1006:AD1006),$AB$1006:$AQ$1006,0)))),"Fix")))</f>
        <v>0</v>
      </c>
      <c r="E763" s="4">
        <f>IF(OR(INDEX($V$2:$V$1001,MATCH(ROWS($U$2:U763),$U$2:$U$1001,0),1)&gt;=100000,INDEX($AB$1005:$AQ$1005,1,MATCH(COLUMNS($AB$1006:AE1006),$AB$1006:$AQ$1006,0))&gt;=100000), " ",IF(INDEX($AB$2:$AQ$1001,MATCH(ROWS($U$2:U763),$U$2:$U$1001,0),MATCH(COLUMNS($AB$1006:AE1006),$AB$1006:$AQ$1006,0)), HYPERLINK("#",""), HYPERLINK(CONCATENATE("#metadata!", ADDRESS(INDEX($W$2:$W$1001,MATCH(ROWS($U$2:U763),$U$2:$U$1001,0),0), INDEX($AB$1004:$AQ$1004,1,MATCH(COLUMNS($AB$1006:AE1006),$AB$1006:$AQ$1006,0)))),"Fix")))</f>
        <v>0</v>
      </c>
      <c r="F763" s="4">
        <f>IF(OR(INDEX($V$2:$V$1001,MATCH(ROWS($U$2:U763),$U$2:$U$1001,0),1)&gt;=100000,INDEX($AB$1005:$AQ$1005,1,MATCH(COLUMNS($AB$1006:AF1006),$AB$1006:$AQ$1006,0))&gt;=100000), " ",IF(INDEX($AB$2:$AQ$1001,MATCH(ROWS($U$2:U763),$U$2:$U$1001,0),MATCH(COLUMNS($AB$1006:AF1006),$AB$1006:$AQ$1006,0)), HYPERLINK("#",""), HYPERLINK(CONCATENATE("#metadata!", ADDRESS(INDEX($W$2:$W$1001,MATCH(ROWS($U$2:U763),$U$2:$U$1001,0),0), INDEX($AB$1004:$AQ$1004,1,MATCH(COLUMNS($AB$1006:AF1006),$AB$1006:$AQ$1006,0)))),"Fix")))</f>
        <v>0</v>
      </c>
      <c r="G763" s="4">
        <f>IF(OR(INDEX($V$2:$V$1001,MATCH(ROWS($U$2:U763),$U$2:$U$1001,0),1)&gt;=100000,INDEX($AB$1005:$AQ$1005,1,MATCH(COLUMNS($AB$1006:AG1006),$AB$1006:$AQ$1006,0))&gt;=100000), " ",IF(INDEX($AB$2:$AQ$1001,MATCH(ROWS($U$2:U763),$U$2:$U$1001,0),MATCH(COLUMNS($AB$1006:AG1006),$AB$1006:$AQ$1006,0)), HYPERLINK("#",""), HYPERLINK(CONCATENATE("#metadata!", ADDRESS(INDEX($W$2:$W$1001,MATCH(ROWS($U$2:U763),$U$2:$U$1001,0),0), INDEX($AB$1004:$AQ$1004,1,MATCH(COLUMNS($AB$1006:AG1006),$AB$1006:$AQ$1006,0)))),"Fix")))</f>
        <v>0</v>
      </c>
      <c r="H763" s="4">
        <f>IF(OR(INDEX($V$2:$V$1001,MATCH(ROWS($U$2:U763),$U$2:$U$1001,0),1)&gt;=100000,INDEX($AB$1005:$AQ$1005,1,MATCH(COLUMNS($AB$1006:AH1006),$AB$1006:$AQ$1006,0))&gt;=100000), " ",IF(INDEX($AB$2:$AQ$1001,MATCH(ROWS($U$2:U763),$U$2:$U$1001,0),MATCH(COLUMNS($AB$1006:AH1006),$AB$1006:$AQ$1006,0)), HYPERLINK("#",""), HYPERLINK(CONCATENATE("#metadata!", ADDRESS(INDEX($W$2:$W$1001,MATCH(ROWS($U$2:U763),$U$2:$U$1001,0),0), INDEX($AB$1004:$AQ$1004,1,MATCH(COLUMNS($AB$1006:AH1006),$AB$1006:$AQ$1006,0)))),"Fix")))</f>
        <v>0</v>
      </c>
      <c r="I763" s="4">
        <f>IF(OR(INDEX($V$2:$V$1001,MATCH(ROWS($U$2:U763),$U$2:$U$1001,0),1)&gt;=100000,INDEX($AB$1005:$AQ$1005,1,MATCH(COLUMNS($AB$1006:AI1006),$AB$1006:$AQ$1006,0))&gt;=100000), " ",IF(INDEX($AB$2:$AQ$1001,MATCH(ROWS($U$2:U763),$U$2:$U$1001,0),MATCH(COLUMNS($AB$1006:AI1006),$AB$1006:$AQ$1006,0)), HYPERLINK("#",""), HYPERLINK(CONCATENATE("#metadata!", ADDRESS(INDEX($W$2:$W$1001,MATCH(ROWS($U$2:U763),$U$2:$U$1001,0),0), INDEX($AB$1004:$AQ$1004,1,MATCH(COLUMNS($AB$1006:AI1006),$AB$1006:$AQ$1006,0)))),"Fix")))</f>
        <v>0</v>
      </c>
      <c r="J763" s="4">
        <f>IF(OR(INDEX($V$2:$V$1001,MATCH(ROWS($U$2:U763),$U$2:$U$1001,0),1)&gt;=100000,INDEX($AB$1005:$AQ$1005,1,MATCH(COLUMNS($AB$1006:AJ1006),$AB$1006:$AQ$1006,0))&gt;=100000), " ",IF(INDEX($AB$2:$AQ$1001,MATCH(ROWS($U$2:U763),$U$2:$U$1001,0),MATCH(COLUMNS($AB$1006:AJ1006),$AB$1006:$AQ$1006,0)), HYPERLINK("#",""), HYPERLINK(CONCATENATE("#metadata!", ADDRESS(INDEX($W$2:$W$1001,MATCH(ROWS($U$2:U763),$U$2:$U$1001,0),0), INDEX($AB$1004:$AQ$1004,1,MATCH(COLUMNS($AB$1006:AJ1006),$AB$1006:$AQ$1006,0)))),"Fix")))</f>
        <v>0</v>
      </c>
      <c r="K763" s="4">
        <f>IF(OR(INDEX($V$2:$V$1001,MATCH(ROWS($U$2:U763),$U$2:$U$1001,0),1)&gt;=100000,INDEX($AB$1005:$AQ$1005,1,MATCH(COLUMNS($AB$1006:AK1006),$AB$1006:$AQ$1006,0))&gt;=100000), " ",IF(INDEX($AB$2:$AQ$1001,MATCH(ROWS($U$2:U763),$U$2:$U$1001,0),MATCH(COLUMNS($AB$1006:AK1006),$AB$1006:$AQ$1006,0)), HYPERLINK("#",""), HYPERLINK(CONCATENATE("#metadata!", ADDRESS(INDEX($W$2:$W$1001,MATCH(ROWS($U$2:U763),$U$2:$U$1001,0),0), INDEX($AB$1004:$AQ$1004,1,MATCH(COLUMNS($AB$1006:AK1006),$AB$1006:$AQ$1006,0)))),"Fix")))</f>
        <v>0</v>
      </c>
      <c r="L763" s="4">
        <f>IF(OR(INDEX($V$2:$V$1001,MATCH(ROWS($U$2:U763),$U$2:$U$1001,0),1)&gt;=100000,INDEX($AB$1005:$AQ$1005,1,MATCH(COLUMNS($AB$1006:AL1006),$AB$1006:$AQ$1006,0))&gt;=100000), " ",IF(INDEX($AB$2:$AQ$1001,MATCH(ROWS($U$2:U763),$U$2:$U$1001,0),MATCH(COLUMNS($AB$1006:AL1006),$AB$1006:$AQ$1006,0)), HYPERLINK("#",""), HYPERLINK(CONCATENATE("#metadata!", ADDRESS(INDEX($W$2:$W$1001,MATCH(ROWS($U$2:U763),$U$2:$U$1001,0),0), INDEX($AB$1004:$AQ$1004,1,MATCH(COLUMNS($AB$1006:AL1006),$AB$1006:$AQ$1006,0)))),"Fix")))</f>
        <v>0</v>
      </c>
      <c r="M763" s="4">
        <f>IF(OR(INDEX($V$2:$V$1001,MATCH(ROWS($U$2:U763),$U$2:$U$1001,0),1)&gt;=100000,INDEX($AB$1005:$AQ$1005,1,MATCH(COLUMNS($AB$1006:AM1006),$AB$1006:$AQ$1006,0))&gt;=100000), " ",IF(INDEX($AB$2:$AQ$1001,MATCH(ROWS($U$2:U763),$U$2:$U$1001,0),MATCH(COLUMNS($AB$1006:AM1006),$AB$1006:$AQ$1006,0)), HYPERLINK("#",""), HYPERLINK(CONCATENATE("#metadata!", ADDRESS(INDEX($W$2:$W$1001,MATCH(ROWS($U$2:U763),$U$2:$U$1001,0),0), INDEX($AB$1004:$AQ$1004,1,MATCH(COLUMNS($AB$1006:AM1006),$AB$1006:$AQ$1006,0)))),"Fix")))</f>
        <v>0</v>
      </c>
      <c r="N763" s="4">
        <f>IF(OR(INDEX($V$2:$V$1001,MATCH(ROWS($U$2:U763),$U$2:$U$1001,0),1)&gt;=100000,INDEX($AB$1005:$AQ$1005,1,MATCH(COLUMNS($AB$1006:AN1006),$AB$1006:$AQ$1006,0))&gt;=100000), " ",IF(INDEX($AB$2:$AQ$1001,MATCH(ROWS($U$2:U763),$U$2:$U$1001,0),MATCH(COLUMNS($AB$1006:AN1006),$AB$1006:$AQ$1006,0)), HYPERLINK("#",""), HYPERLINK(CONCATENATE("#metadata!", ADDRESS(INDEX($W$2:$W$1001,MATCH(ROWS($U$2:U763),$U$2:$U$1001,0),0), INDEX($AB$1004:$AQ$1004,1,MATCH(COLUMNS($AB$1006:AN1006),$AB$1006:$AQ$1006,0)))),"Fix")))</f>
        <v>0</v>
      </c>
      <c r="O763" s="4">
        <f>IF(OR(INDEX($V$2:$V$1001,MATCH(ROWS($U$2:U763),$U$2:$U$1001,0),1)&gt;=100000,INDEX($AB$1005:$AQ$1005,1,MATCH(COLUMNS($AB$1006:AO1006),$AB$1006:$AQ$1006,0))&gt;=100000), " ",IF(INDEX($AB$2:$AQ$1001,MATCH(ROWS($U$2:U763),$U$2:$U$1001,0),MATCH(COLUMNS($AB$1006:AO1006),$AB$1006:$AQ$1006,0)), HYPERLINK("#",""), HYPERLINK(CONCATENATE("#metadata!", ADDRESS(INDEX($W$2:$W$1001,MATCH(ROWS($U$2:U763),$U$2:$U$1001,0),0), INDEX($AB$1004:$AQ$1004,1,MATCH(COLUMNS($AB$1006:AO1006),$AB$1006:$AQ$1006,0)))),"Fix")))</f>
        <v>0</v>
      </c>
      <c r="P763" s="4">
        <f>IF(OR(INDEX($V$2:$V$1001,MATCH(ROWS($U$2:U763),$U$2:$U$1001,0),1)&gt;=100000,INDEX($AB$1005:$AQ$1005,1,MATCH(COLUMNS($AB$1006:AP1006),$AB$1006:$AQ$1006,0))&gt;=100000), " ",IF(INDEX($AB$2:$AQ$1001,MATCH(ROWS($U$2:U763),$U$2:$U$1001,0),MATCH(COLUMNS($AB$1006:AP1006),$AB$1006:$AQ$1006,0)), HYPERLINK("#",""), HYPERLINK(CONCATENATE("#metadata!", ADDRESS(INDEX($W$2:$W$1001,MATCH(ROWS($U$2:U763),$U$2:$U$1001,0),0), INDEX($AB$1004:$AQ$1004,1,MATCH(COLUMNS($AB$1006:AP1006),$AB$1006:$AQ$1006,0)))),"Fix")))</f>
        <v>0</v>
      </c>
      <c r="Q763" s="4">
        <f>IF(OR(INDEX($V$2:$V$1001,MATCH(ROWS($U$2:U763),$U$2:$U$1001,0),1)&gt;=100000,INDEX($AB$1005:$AQ$1005,1,MATCH(COLUMNS($AB$1006:AQ1006),$AB$1006:$AQ$1006,0))&gt;=100000), " ",IF(INDEX($AB$2:$AQ$1001,MATCH(ROWS($U$2:U763),$U$2:$U$1001,0),MATCH(COLUMNS($AB$1006:AQ1006),$AB$1006:$AQ$1006,0)), HYPERLINK("#",""), HYPERLINK(CONCATENATE("#metadata!", ADDRESS(INDEX($W$2:$W$1001,MATCH(ROWS($U$2:U763),$U$2:$U$1001,0),0), INDEX($AB$1004:$AQ$1004,1,MATCH(COLUMNS($AB$1006:AQ1006),$AB$1006:$AQ$1006,0)))),"Fix")))</f>
        <v>0</v>
      </c>
      <c r="U763">
        <v>0</v>
      </c>
      <c r="V763">
        <v>0</v>
      </c>
      <c r="W763">
        <v>0</v>
      </c>
      <c r="X763">
        <f>IF(Y763,TRUE,AND(AB763:AQ763))</f>
        <v>0</v>
      </c>
      <c r="Y763">
        <f>COUNTBLANK(metadata!B763:Q763)=COLUMNS(metadata!B763:Q763)</f>
        <v>0</v>
      </c>
      <c r="Z763">
        <v>0</v>
      </c>
      <c r="AB763">
        <f>AND(IF(metadata!B763="",FALSE,TRUE),COUNTIF(metadata!B:B, metadata!B763) = 1,NOT(ISERROR(SUMPRODUCT(SEARCH(MID(metadata!B763,ROW(INDIRECT("1:"&amp;LEN(metadata!B763))), 1),"0123456789abcdefghijklmnopqrstuvwxyzABCDEFGHIJKLMNOPQRSTUVWXYZ.")))))</f>
        <v>0</v>
      </c>
      <c r="AC763">
        <f>OR(AND(IF(metadata!C763="",FALSE,TRUE),OR(exact(metadata!C763,"missing: not collected"),exact(metadata!C763,"missing: not provided"),exact(metadata!C763,"missing: restricted access"))),AND(IF(metadata!C763="",FALSE,TRUE),AND(AND(IFERROR(INT(LEFT(metadata!C763,4))&gt;1900,FALSE),IFERROR(INT(LEFT(metadata!C763,4))&lt;=YEAR(NOW()),FALSE)), OR(MID(metadata!C763,5,1)="", AND(AND(MID(metadata!C763,5,1)="-",IFERROR(INT(MID(metadata!C763,6,1))&gt;=0,FALSE),IFERROR(INT(MID(metadata!C763,6,1))&lt;=1,FALSE),NOT(MID(metadata!C763,7,1)=""),IFERROR(INT(MID(metadata!C763,6,2))&gt;=1,FALSE),IFERROR(INT(MID(metadata!C763,6,2))&lt;=12,FALSE)), OR(MID(metadata!C763,8,1)="", AND(AND(MID(metadata!C763,8,1)="-",IFERROR(INT(MID(metadata!C763,9,1))&gt;=0,FALSE),IFERROR(INT(MID(metadata!C763,9,1))&lt;=3,FALSE),NOT(MID(metadata!C763,10,1)=""),IFERROR(INT(MID(metadata!C763,9,2))&gt;=1,FALSE),IFERROR(INT(MID(metadata!C763,9,2))&lt;=31,FALSE)), OR(MID(metadata!C763,11,1)="", AND(AND(MID(metadata!C763,11,1)=" ",IFERROR(INT(MID(metadata!C763,12,1))&gt;=0,FALSE),IFERROR(INT(MID(metadata!C763,12,1))&lt;=2,FALSE),NOT(MID(metadata!C763,13,1)=""),IFERROR(INT(MID(metadata!C763,12,2))&gt;=0,FALSE),IFERROR(INT(MID(metadata!C763,12,2))&lt;=23,FALSE)), OR(MID(metadata!C763,14,1)="", AND(AND(MID(metadata!C763,14,1)=":",IFERROR(INT(MID(metadata!C763,15,1))&gt;=0,FALSE),IFERROR(INT(MID(metadata!C763,15,1))&lt;=5,FALSE),NOT(MID(metadata!C763,16,1)=""),IFERROR(INT(MID(metadata!C763,15,2))&gt;=0,FALSE),IFERROR(INT(MID(metadata!C763,15,2))&lt;=59,FALSE)), OR(MID(metadata!C763,17,1)="", AND(AND(MID(metadata!C763,17,1)=":",IFERROR(INT(MID(metadata!C763,18,1))&gt;=0,FALSE),IFERROR(INT(MID(metadata!C763,18,1))&lt;=5,FALSE),NOT(MID(metadata!C763,19,1)=""),IFERROR(INT(MID(metadata!C763,18,2))&gt;=0,FALSE),IFERROR(INT(MID(metadata!C763,18,2))&lt;=59,FALSE)), LEN(metadata!C763)&lt;=19)))))))))))))</f>
        <v>0</v>
      </c>
      <c r="AD763">
        <f>IF(metadata!D763="",FALSE,TRUE)</f>
        <v>0</v>
      </c>
      <c r="AE763">
        <f>OR(AND(IF(metadata!E763="",FALSE,TRUE),OR(exact(metadata!E763,"missing: not collected"),exact(metadata!E763,"missing: not provided"))),AND(IF(metadata!E763="",FALSE,TRUE),OR(exact(metadata!E763,"TRUE"),exact(metadata!E763,"FALSE"))))</f>
        <v>0</v>
      </c>
      <c r="AF763">
        <f>IF(metadata!F763="",FALSE,TRUE)</f>
        <v>0</v>
      </c>
      <c r="AG763">
        <f>IF(metadata!G763="",FALSE,TRUE)</f>
        <v>0</v>
      </c>
      <c r="AH763">
        <f>IF(metadata!H763="",FALSE,TRUE)</f>
        <v>0</v>
      </c>
      <c r="AI763">
        <f>OR(AND(IF(metadata!I763="",FALSE,TRUE),OR(exact(metadata!I763,"missing: not collected"),exact(metadata!I763,"missing: not provided"),exact(metadata!I763,"missing: restricted access"))),AND(IF(metadata!I763="",FALSE,TRUE),OR(exact(metadata!I763,"air"),exact(metadata!I763,"built environment"),exact(metadata!I763,"host-associated"),exact(metadata!I763,"human-associated"),exact(metadata!I763,"human-skin"),exact(metadata!I763,"human-oral"),exact(metadata!I763,"human-gut"),exact(metadata!I763,"human-vaginal"),exact(metadata!I763,"microbial mat/biofilm"),exact(metadata!I763,"misc environment"),exact(metadata!I763,"plant-associated"),exact(metadata!I763,"sediment"),exact(metadata!I763,"soil"),exact(metadata!I763,"wastewater/sludge"),exact(metadata!I763,"water"))))</f>
        <v>0</v>
      </c>
      <c r="AJ763">
        <f>IF(metadata!J763="",FALSE,TRUE)</f>
        <v>0</v>
      </c>
      <c r="AK763">
        <f>OR(AND(IF(metadata!K763="",FALSE,TRUE),OR(exact(metadata!K763,"missing: not collected"),exact(metadata!K763,"missing: not provided"),exact(metadata!K763,"missing: restricted access"))),AND(IF(metadata!K763="",FALSE,ISNUMBER(VALUE(metadata!K763))),metadata!K763&gt;=-90.00,metadata!K763&lt;=90.00))</f>
        <v>0</v>
      </c>
      <c r="AL763">
        <f>OR(AND(IF(metadata!L763="",FALSE,TRUE),OR(exact(metadata!L763,"missing: not collected"),exact(metadata!L763,"missing: not provided"),exact(metadata!L763,"missing: restricted access"))),AND(IF(metadata!L763="",FALSE,ISNUMBER(VALUE(metadata!L763))),metadata!L763&gt;=-180.00,metadata!L763&lt;=180.00))</f>
        <v>0</v>
      </c>
      <c r="AM763">
        <f>IF(metadata!M763="",FALSE,TRUE)</f>
        <v>0</v>
      </c>
      <c r="AN763">
        <f>OR(AND(IF(metadata!N763="",FALSE,TRUE),OR(exact(metadata!N763,"missing: not collected"),exact(metadata!N763,"missing: not provided"),exact(metadata!N763,"missing: restricted access"))),AND(IF(metadata!N763="",FALSE,TRUE),OR(exact(metadata!N763,"TRUE"),exact(metadata!N763,"FALSE"))))</f>
        <v>0</v>
      </c>
      <c r="AO763">
        <f>IF(metadata!O763="",FALSE,TRUE)</f>
        <v>0</v>
      </c>
      <c r="AP763">
        <f>OR(AND(IF(metadata!P763="",FALSE,TRUE),OR(exact(metadata!P763,"missing: not collected"),exact(metadata!P763,"missing: not provided"))),AND(IF(metadata!P763="",FALSE,IF(ISERROR(INT(metadata!P763)),FALSE,INT(metadata!P763)=metadata!P763)),metadata!P763&gt;0))</f>
        <v>0</v>
      </c>
      <c r="AQ763">
        <f>IF(metadata!Q763="",FALSE,TRUE)</f>
        <v>0</v>
      </c>
    </row>
    <row r="764" spans="1:43">
      <c r="A764" s="5">
        <f>IF(B764=" "," ",HYPERLINK(CONCATENATE("#metadata!",ADDRESS(INDEX($W$2:$W$1001,MATCH(ROWS($U$2:U764),$U$2:$U$1001,0),0),1)),INDEX($Z$2:$Z$1001,MATCH(ROWS($U$2:U764),$U$2:$U$1001,0),0)))</f>
        <v>0</v>
      </c>
      <c r="B764" s="4">
        <f>IF(OR(INDEX($V$2:$V$1001,MATCH(ROWS($U$2:U764),$U$2:$U$1001,0),1)&gt;=100000,INDEX($AB$1005:$AQ$1005,1,MATCH(COLUMNS($AB$1006:AB1006),$AB$1006:$AQ$1006,0))&gt;=100000), " ",IF(INDEX($AB$2:$AQ$1001,MATCH(ROWS($U$2:U764),$U$2:$U$1001,0),MATCH(COLUMNS($AB$1006:AB1006),$AB$1006:$AQ$1006,0)), HYPERLINK("#",""), HYPERLINK(CONCATENATE("#metadata!", ADDRESS(INDEX($W$2:$W$1001,MATCH(ROWS($U$2:U764),$U$2:$U$1001,0),0), INDEX($AB$1004:$AQ$1004,1,MATCH(COLUMNS($AB$1006:AB1006),$AB$1006:$AQ$1006,0)))),"Fix")))</f>
        <v>0</v>
      </c>
      <c r="C764" s="4">
        <f>IF(OR(INDEX($V$2:$V$1001,MATCH(ROWS($U$2:U764),$U$2:$U$1001,0),1)&gt;=100000,INDEX($AB$1005:$AQ$1005,1,MATCH(COLUMNS($AB$1006:AC1006),$AB$1006:$AQ$1006,0))&gt;=100000), " ",IF(INDEX($AB$2:$AQ$1001,MATCH(ROWS($U$2:U764),$U$2:$U$1001,0),MATCH(COLUMNS($AB$1006:AC1006),$AB$1006:$AQ$1006,0)), HYPERLINK("#",""), HYPERLINK(CONCATENATE("#metadata!", ADDRESS(INDEX($W$2:$W$1001,MATCH(ROWS($U$2:U764),$U$2:$U$1001,0),0), INDEX($AB$1004:$AQ$1004,1,MATCH(COLUMNS($AB$1006:AC1006),$AB$1006:$AQ$1006,0)))),"Fix")))</f>
        <v>0</v>
      </c>
      <c r="D764" s="4">
        <f>IF(OR(INDEX($V$2:$V$1001,MATCH(ROWS($U$2:U764),$U$2:$U$1001,0),1)&gt;=100000,INDEX($AB$1005:$AQ$1005,1,MATCH(COLUMNS($AB$1006:AD1006),$AB$1006:$AQ$1006,0))&gt;=100000), " ",IF(INDEX($AB$2:$AQ$1001,MATCH(ROWS($U$2:U764),$U$2:$U$1001,0),MATCH(COLUMNS($AB$1006:AD1006),$AB$1006:$AQ$1006,0)), HYPERLINK("#",""), HYPERLINK(CONCATENATE("#metadata!", ADDRESS(INDEX($W$2:$W$1001,MATCH(ROWS($U$2:U764),$U$2:$U$1001,0),0), INDEX($AB$1004:$AQ$1004,1,MATCH(COLUMNS($AB$1006:AD1006),$AB$1006:$AQ$1006,0)))),"Fix")))</f>
        <v>0</v>
      </c>
      <c r="E764" s="4">
        <f>IF(OR(INDEX($V$2:$V$1001,MATCH(ROWS($U$2:U764),$U$2:$U$1001,0),1)&gt;=100000,INDEX($AB$1005:$AQ$1005,1,MATCH(COLUMNS($AB$1006:AE1006),$AB$1006:$AQ$1006,0))&gt;=100000), " ",IF(INDEX($AB$2:$AQ$1001,MATCH(ROWS($U$2:U764),$U$2:$U$1001,0),MATCH(COLUMNS($AB$1006:AE1006),$AB$1006:$AQ$1006,0)), HYPERLINK("#",""), HYPERLINK(CONCATENATE("#metadata!", ADDRESS(INDEX($W$2:$W$1001,MATCH(ROWS($U$2:U764),$U$2:$U$1001,0),0), INDEX($AB$1004:$AQ$1004,1,MATCH(COLUMNS($AB$1006:AE1006),$AB$1006:$AQ$1006,0)))),"Fix")))</f>
        <v>0</v>
      </c>
      <c r="F764" s="4">
        <f>IF(OR(INDEX($V$2:$V$1001,MATCH(ROWS($U$2:U764),$U$2:$U$1001,0),1)&gt;=100000,INDEX($AB$1005:$AQ$1005,1,MATCH(COLUMNS($AB$1006:AF1006),$AB$1006:$AQ$1006,0))&gt;=100000), " ",IF(INDEX($AB$2:$AQ$1001,MATCH(ROWS($U$2:U764),$U$2:$U$1001,0),MATCH(COLUMNS($AB$1006:AF1006),$AB$1006:$AQ$1006,0)), HYPERLINK("#",""), HYPERLINK(CONCATENATE("#metadata!", ADDRESS(INDEX($W$2:$W$1001,MATCH(ROWS($U$2:U764),$U$2:$U$1001,0),0), INDEX($AB$1004:$AQ$1004,1,MATCH(COLUMNS($AB$1006:AF1006),$AB$1006:$AQ$1006,0)))),"Fix")))</f>
        <v>0</v>
      </c>
      <c r="G764" s="4">
        <f>IF(OR(INDEX($V$2:$V$1001,MATCH(ROWS($U$2:U764),$U$2:$U$1001,0),1)&gt;=100000,INDEX($AB$1005:$AQ$1005,1,MATCH(COLUMNS($AB$1006:AG1006),$AB$1006:$AQ$1006,0))&gt;=100000), " ",IF(INDEX($AB$2:$AQ$1001,MATCH(ROWS($U$2:U764),$U$2:$U$1001,0),MATCH(COLUMNS($AB$1006:AG1006),$AB$1006:$AQ$1006,0)), HYPERLINK("#",""), HYPERLINK(CONCATENATE("#metadata!", ADDRESS(INDEX($W$2:$W$1001,MATCH(ROWS($U$2:U764),$U$2:$U$1001,0),0), INDEX($AB$1004:$AQ$1004,1,MATCH(COLUMNS($AB$1006:AG1006),$AB$1006:$AQ$1006,0)))),"Fix")))</f>
        <v>0</v>
      </c>
      <c r="H764" s="4">
        <f>IF(OR(INDEX($V$2:$V$1001,MATCH(ROWS($U$2:U764),$U$2:$U$1001,0),1)&gt;=100000,INDEX($AB$1005:$AQ$1005,1,MATCH(COLUMNS($AB$1006:AH1006),$AB$1006:$AQ$1006,0))&gt;=100000), " ",IF(INDEX($AB$2:$AQ$1001,MATCH(ROWS($U$2:U764),$U$2:$U$1001,0),MATCH(COLUMNS($AB$1006:AH1006),$AB$1006:$AQ$1006,0)), HYPERLINK("#",""), HYPERLINK(CONCATENATE("#metadata!", ADDRESS(INDEX($W$2:$W$1001,MATCH(ROWS($U$2:U764),$U$2:$U$1001,0),0), INDEX($AB$1004:$AQ$1004,1,MATCH(COLUMNS($AB$1006:AH1006),$AB$1006:$AQ$1006,0)))),"Fix")))</f>
        <v>0</v>
      </c>
      <c r="I764" s="4">
        <f>IF(OR(INDEX($V$2:$V$1001,MATCH(ROWS($U$2:U764),$U$2:$U$1001,0),1)&gt;=100000,INDEX($AB$1005:$AQ$1005,1,MATCH(COLUMNS($AB$1006:AI1006),$AB$1006:$AQ$1006,0))&gt;=100000), " ",IF(INDEX($AB$2:$AQ$1001,MATCH(ROWS($U$2:U764),$U$2:$U$1001,0),MATCH(COLUMNS($AB$1006:AI1006),$AB$1006:$AQ$1006,0)), HYPERLINK("#",""), HYPERLINK(CONCATENATE("#metadata!", ADDRESS(INDEX($W$2:$W$1001,MATCH(ROWS($U$2:U764),$U$2:$U$1001,0),0), INDEX($AB$1004:$AQ$1004,1,MATCH(COLUMNS($AB$1006:AI1006),$AB$1006:$AQ$1006,0)))),"Fix")))</f>
        <v>0</v>
      </c>
      <c r="J764" s="4">
        <f>IF(OR(INDEX($V$2:$V$1001,MATCH(ROWS($U$2:U764),$U$2:$U$1001,0),1)&gt;=100000,INDEX($AB$1005:$AQ$1005,1,MATCH(COLUMNS($AB$1006:AJ1006),$AB$1006:$AQ$1006,0))&gt;=100000), " ",IF(INDEX($AB$2:$AQ$1001,MATCH(ROWS($U$2:U764),$U$2:$U$1001,0),MATCH(COLUMNS($AB$1006:AJ1006),$AB$1006:$AQ$1006,0)), HYPERLINK("#",""), HYPERLINK(CONCATENATE("#metadata!", ADDRESS(INDEX($W$2:$W$1001,MATCH(ROWS($U$2:U764),$U$2:$U$1001,0),0), INDEX($AB$1004:$AQ$1004,1,MATCH(COLUMNS($AB$1006:AJ1006),$AB$1006:$AQ$1006,0)))),"Fix")))</f>
        <v>0</v>
      </c>
      <c r="K764" s="4">
        <f>IF(OR(INDEX($V$2:$V$1001,MATCH(ROWS($U$2:U764),$U$2:$U$1001,0),1)&gt;=100000,INDEX($AB$1005:$AQ$1005,1,MATCH(COLUMNS($AB$1006:AK1006),$AB$1006:$AQ$1006,0))&gt;=100000), " ",IF(INDEX($AB$2:$AQ$1001,MATCH(ROWS($U$2:U764),$U$2:$U$1001,0),MATCH(COLUMNS($AB$1006:AK1006),$AB$1006:$AQ$1006,0)), HYPERLINK("#",""), HYPERLINK(CONCATENATE("#metadata!", ADDRESS(INDEX($W$2:$W$1001,MATCH(ROWS($U$2:U764),$U$2:$U$1001,0),0), INDEX($AB$1004:$AQ$1004,1,MATCH(COLUMNS($AB$1006:AK1006),$AB$1006:$AQ$1006,0)))),"Fix")))</f>
        <v>0</v>
      </c>
      <c r="L764" s="4">
        <f>IF(OR(INDEX($V$2:$V$1001,MATCH(ROWS($U$2:U764),$U$2:$U$1001,0),1)&gt;=100000,INDEX($AB$1005:$AQ$1005,1,MATCH(COLUMNS($AB$1006:AL1006),$AB$1006:$AQ$1006,0))&gt;=100000), " ",IF(INDEX($AB$2:$AQ$1001,MATCH(ROWS($U$2:U764),$U$2:$U$1001,0),MATCH(COLUMNS($AB$1006:AL1006),$AB$1006:$AQ$1006,0)), HYPERLINK("#",""), HYPERLINK(CONCATENATE("#metadata!", ADDRESS(INDEX($W$2:$W$1001,MATCH(ROWS($U$2:U764),$U$2:$U$1001,0),0), INDEX($AB$1004:$AQ$1004,1,MATCH(COLUMNS($AB$1006:AL1006),$AB$1006:$AQ$1006,0)))),"Fix")))</f>
        <v>0</v>
      </c>
      <c r="M764" s="4">
        <f>IF(OR(INDEX($V$2:$V$1001,MATCH(ROWS($U$2:U764),$U$2:$U$1001,0),1)&gt;=100000,INDEX($AB$1005:$AQ$1005,1,MATCH(COLUMNS($AB$1006:AM1006),$AB$1006:$AQ$1006,0))&gt;=100000), " ",IF(INDEX($AB$2:$AQ$1001,MATCH(ROWS($U$2:U764),$U$2:$U$1001,0),MATCH(COLUMNS($AB$1006:AM1006),$AB$1006:$AQ$1006,0)), HYPERLINK("#",""), HYPERLINK(CONCATENATE("#metadata!", ADDRESS(INDEX($W$2:$W$1001,MATCH(ROWS($U$2:U764),$U$2:$U$1001,0),0), INDEX($AB$1004:$AQ$1004,1,MATCH(COLUMNS($AB$1006:AM1006),$AB$1006:$AQ$1006,0)))),"Fix")))</f>
        <v>0</v>
      </c>
      <c r="N764" s="4">
        <f>IF(OR(INDEX($V$2:$V$1001,MATCH(ROWS($U$2:U764),$U$2:$U$1001,0),1)&gt;=100000,INDEX($AB$1005:$AQ$1005,1,MATCH(COLUMNS($AB$1006:AN1006),$AB$1006:$AQ$1006,0))&gt;=100000), " ",IF(INDEX($AB$2:$AQ$1001,MATCH(ROWS($U$2:U764),$U$2:$U$1001,0),MATCH(COLUMNS($AB$1006:AN1006),$AB$1006:$AQ$1006,0)), HYPERLINK("#",""), HYPERLINK(CONCATENATE("#metadata!", ADDRESS(INDEX($W$2:$W$1001,MATCH(ROWS($U$2:U764),$U$2:$U$1001,0),0), INDEX($AB$1004:$AQ$1004,1,MATCH(COLUMNS($AB$1006:AN1006),$AB$1006:$AQ$1006,0)))),"Fix")))</f>
        <v>0</v>
      </c>
      <c r="O764" s="4">
        <f>IF(OR(INDEX($V$2:$V$1001,MATCH(ROWS($U$2:U764),$U$2:$U$1001,0),1)&gt;=100000,INDEX($AB$1005:$AQ$1005,1,MATCH(COLUMNS($AB$1006:AO1006),$AB$1006:$AQ$1006,0))&gt;=100000), " ",IF(INDEX($AB$2:$AQ$1001,MATCH(ROWS($U$2:U764),$U$2:$U$1001,0),MATCH(COLUMNS($AB$1006:AO1006),$AB$1006:$AQ$1006,0)), HYPERLINK("#",""), HYPERLINK(CONCATENATE("#metadata!", ADDRESS(INDEX($W$2:$W$1001,MATCH(ROWS($U$2:U764),$U$2:$U$1001,0),0), INDEX($AB$1004:$AQ$1004,1,MATCH(COLUMNS($AB$1006:AO1006),$AB$1006:$AQ$1006,0)))),"Fix")))</f>
        <v>0</v>
      </c>
      <c r="P764" s="4">
        <f>IF(OR(INDEX($V$2:$V$1001,MATCH(ROWS($U$2:U764),$U$2:$U$1001,0),1)&gt;=100000,INDEX($AB$1005:$AQ$1005,1,MATCH(COLUMNS($AB$1006:AP1006),$AB$1006:$AQ$1006,0))&gt;=100000), " ",IF(INDEX($AB$2:$AQ$1001,MATCH(ROWS($U$2:U764),$U$2:$U$1001,0),MATCH(COLUMNS($AB$1006:AP1006),$AB$1006:$AQ$1006,0)), HYPERLINK("#",""), HYPERLINK(CONCATENATE("#metadata!", ADDRESS(INDEX($W$2:$W$1001,MATCH(ROWS($U$2:U764),$U$2:$U$1001,0),0), INDEX($AB$1004:$AQ$1004,1,MATCH(COLUMNS($AB$1006:AP1006),$AB$1006:$AQ$1006,0)))),"Fix")))</f>
        <v>0</v>
      </c>
      <c r="Q764" s="4">
        <f>IF(OR(INDEX($V$2:$V$1001,MATCH(ROWS($U$2:U764),$U$2:$U$1001,0),1)&gt;=100000,INDEX($AB$1005:$AQ$1005,1,MATCH(COLUMNS($AB$1006:AQ1006),$AB$1006:$AQ$1006,0))&gt;=100000), " ",IF(INDEX($AB$2:$AQ$1001,MATCH(ROWS($U$2:U764),$U$2:$U$1001,0),MATCH(COLUMNS($AB$1006:AQ1006),$AB$1006:$AQ$1006,0)), HYPERLINK("#",""), HYPERLINK(CONCATENATE("#metadata!", ADDRESS(INDEX($W$2:$W$1001,MATCH(ROWS($U$2:U764),$U$2:$U$1001,0),0), INDEX($AB$1004:$AQ$1004,1,MATCH(COLUMNS($AB$1006:AQ1006),$AB$1006:$AQ$1006,0)))),"Fix")))</f>
        <v>0</v>
      </c>
      <c r="U764">
        <v>0</v>
      </c>
      <c r="V764">
        <v>0</v>
      </c>
      <c r="W764">
        <v>0</v>
      </c>
      <c r="X764">
        <f>IF(Y764,TRUE,AND(AB764:AQ764))</f>
        <v>0</v>
      </c>
      <c r="Y764">
        <f>COUNTBLANK(metadata!B764:Q764)=COLUMNS(metadata!B764:Q764)</f>
        <v>0</v>
      </c>
      <c r="Z764">
        <v>0</v>
      </c>
      <c r="AB764">
        <f>AND(IF(metadata!B764="",FALSE,TRUE),COUNTIF(metadata!B:B, metadata!B764) = 1,NOT(ISERROR(SUMPRODUCT(SEARCH(MID(metadata!B764,ROW(INDIRECT("1:"&amp;LEN(metadata!B764))), 1),"0123456789abcdefghijklmnopqrstuvwxyzABCDEFGHIJKLMNOPQRSTUVWXYZ.")))))</f>
        <v>0</v>
      </c>
      <c r="AC764">
        <f>OR(AND(IF(metadata!C764="",FALSE,TRUE),OR(exact(metadata!C764,"missing: not collected"),exact(metadata!C764,"missing: not provided"),exact(metadata!C764,"missing: restricted access"))),AND(IF(metadata!C764="",FALSE,TRUE),AND(AND(IFERROR(INT(LEFT(metadata!C764,4))&gt;1900,FALSE),IFERROR(INT(LEFT(metadata!C764,4))&lt;=YEAR(NOW()),FALSE)), OR(MID(metadata!C764,5,1)="", AND(AND(MID(metadata!C764,5,1)="-",IFERROR(INT(MID(metadata!C764,6,1))&gt;=0,FALSE),IFERROR(INT(MID(metadata!C764,6,1))&lt;=1,FALSE),NOT(MID(metadata!C764,7,1)=""),IFERROR(INT(MID(metadata!C764,6,2))&gt;=1,FALSE),IFERROR(INT(MID(metadata!C764,6,2))&lt;=12,FALSE)), OR(MID(metadata!C764,8,1)="", AND(AND(MID(metadata!C764,8,1)="-",IFERROR(INT(MID(metadata!C764,9,1))&gt;=0,FALSE),IFERROR(INT(MID(metadata!C764,9,1))&lt;=3,FALSE),NOT(MID(metadata!C764,10,1)=""),IFERROR(INT(MID(metadata!C764,9,2))&gt;=1,FALSE),IFERROR(INT(MID(metadata!C764,9,2))&lt;=31,FALSE)), OR(MID(metadata!C764,11,1)="", AND(AND(MID(metadata!C764,11,1)=" ",IFERROR(INT(MID(metadata!C764,12,1))&gt;=0,FALSE),IFERROR(INT(MID(metadata!C764,12,1))&lt;=2,FALSE),NOT(MID(metadata!C764,13,1)=""),IFERROR(INT(MID(metadata!C764,12,2))&gt;=0,FALSE),IFERROR(INT(MID(metadata!C764,12,2))&lt;=23,FALSE)), OR(MID(metadata!C764,14,1)="", AND(AND(MID(metadata!C764,14,1)=":",IFERROR(INT(MID(metadata!C764,15,1))&gt;=0,FALSE),IFERROR(INT(MID(metadata!C764,15,1))&lt;=5,FALSE),NOT(MID(metadata!C764,16,1)=""),IFERROR(INT(MID(metadata!C764,15,2))&gt;=0,FALSE),IFERROR(INT(MID(metadata!C764,15,2))&lt;=59,FALSE)), OR(MID(metadata!C764,17,1)="", AND(AND(MID(metadata!C764,17,1)=":",IFERROR(INT(MID(metadata!C764,18,1))&gt;=0,FALSE),IFERROR(INT(MID(metadata!C764,18,1))&lt;=5,FALSE),NOT(MID(metadata!C764,19,1)=""),IFERROR(INT(MID(metadata!C764,18,2))&gt;=0,FALSE),IFERROR(INT(MID(metadata!C764,18,2))&lt;=59,FALSE)), LEN(metadata!C764)&lt;=19)))))))))))))</f>
        <v>0</v>
      </c>
      <c r="AD764">
        <f>IF(metadata!D764="",FALSE,TRUE)</f>
        <v>0</v>
      </c>
      <c r="AE764">
        <f>OR(AND(IF(metadata!E764="",FALSE,TRUE),OR(exact(metadata!E764,"missing: not collected"),exact(metadata!E764,"missing: not provided"))),AND(IF(metadata!E764="",FALSE,TRUE),OR(exact(metadata!E764,"TRUE"),exact(metadata!E764,"FALSE"))))</f>
        <v>0</v>
      </c>
      <c r="AF764">
        <f>IF(metadata!F764="",FALSE,TRUE)</f>
        <v>0</v>
      </c>
      <c r="AG764">
        <f>IF(metadata!G764="",FALSE,TRUE)</f>
        <v>0</v>
      </c>
      <c r="AH764">
        <f>IF(metadata!H764="",FALSE,TRUE)</f>
        <v>0</v>
      </c>
      <c r="AI764">
        <f>OR(AND(IF(metadata!I764="",FALSE,TRUE),OR(exact(metadata!I764,"missing: not collected"),exact(metadata!I764,"missing: not provided"),exact(metadata!I764,"missing: restricted access"))),AND(IF(metadata!I764="",FALSE,TRUE),OR(exact(metadata!I764,"air"),exact(metadata!I764,"built environment"),exact(metadata!I764,"host-associated"),exact(metadata!I764,"human-associated"),exact(metadata!I764,"human-skin"),exact(metadata!I764,"human-oral"),exact(metadata!I764,"human-gut"),exact(metadata!I764,"human-vaginal"),exact(metadata!I764,"microbial mat/biofilm"),exact(metadata!I764,"misc environment"),exact(metadata!I764,"plant-associated"),exact(metadata!I764,"sediment"),exact(metadata!I764,"soil"),exact(metadata!I764,"wastewater/sludge"),exact(metadata!I764,"water"))))</f>
        <v>0</v>
      </c>
      <c r="AJ764">
        <f>IF(metadata!J764="",FALSE,TRUE)</f>
        <v>0</v>
      </c>
      <c r="AK764">
        <f>OR(AND(IF(metadata!K764="",FALSE,TRUE),OR(exact(metadata!K764,"missing: not collected"),exact(metadata!K764,"missing: not provided"),exact(metadata!K764,"missing: restricted access"))),AND(IF(metadata!K764="",FALSE,ISNUMBER(VALUE(metadata!K764))),metadata!K764&gt;=-90.00,metadata!K764&lt;=90.00))</f>
        <v>0</v>
      </c>
      <c r="AL764">
        <f>OR(AND(IF(metadata!L764="",FALSE,TRUE),OR(exact(metadata!L764,"missing: not collected"),exact(metadata!L764,"missing: not provided"),exact(metadata!L764,"missing: restricted access"))),AND(IF(metadata!L764="",FALSE,ISNUMBER(VALUE(metadata!L764))),metadata!L764&gt;=-180.00,metadata!L764&lt;=180.00))</f>
        <v>0</v>
      </c>
      <c r="AM764">
        <f>IF(metadata!M764="",FALSE,TRUE)</f>
        <v>0</v>
      </c>
      <c r="AN764">
        <f>OR(AND(IF(metadata!N764="",FALSE,TRUE),OR(exact(metadata!N764,"missing: not collected"),exact(metadata!N764,"missing: not provided"),exact(metadata!N764,"missing: restricted access"))),AND(IF(metadata!N764="",FALSE,TRUE),OR(exact(metadata!N764,"TRUE"),exact(metadata!N764,"FALSE"))))</f>
        <v>0</v>
      </c>
      <c r="AO764">
        <f>IF(metadata!O764="",FALSE,TRUE)</f>
        <v>0</v>
      </c>
      <c r="AP764">
        <f>OR(AND(IF(metadata!P764="",FALSE,TRUE),OR(exact(metadata!P764,"missing: not collected"),exact(metadata!P764,"missing: not provided"))),AND(IF(metadata!P764="",FALSE,IF(ISERROR(INT(metadata!P764)),FALSE,INT(metadata!P764)=metadata!P764)),metadata!P764&gt;0))</f>
        <v>0</v>
      </c>
      <c r="AQ764">
        <f>IF(metadata!Q764="",FALSE,TRUE)</f>
        <v>0</v>
      </c>
    </row>
    <row r="765" spans="1:43">
      <c r="A765" s="5">
        <f>IF(B765=" "," ",HYPERLINK(CONCATENATE("#metadata!",ADDRESS(INDEX($W$2:$W$1001,MATCH(ROWS($U$2:U765),$U$2:$U$1001,0),0),1)),INDEX($Z$2:$Z$1001,MATCH(ROWS($U$2:U765),$U$2:$U$1001,0),0)))</f>
        <v>0</v>
      </c>
      <c r="B765" s="4">
        <f>IF(OR(INDEX($V$2:$V$1001,MATCH(ROWS($U$2:U765),$U$2:$U$1001,0),1)&gt;=100000,INDEX($AB$1005:$AQ$1005,1,MATCH(COLUMNS($AB$1006:AB1006),$AB$1006:$AQ$1006,0))&gt;=100000), " ",IF(INDEX($AB$2:$AQ$1001,MATCH(ROWS($U$2:U765),$U$2:$U$1001,0),MATCH(COLUMNS($AB$1006:AB1006),$AB$1006:$AQ$1006,0)), HYPERLINK("#",""), HYPERLINK(CONCATENATE("#metadata!", ADDRESS(INDEX($W$2:$W$1001,MATCH(ROWS($U$2:U765),$U$2:$U$1001,0),0), INDEX($AB$1004:$AQ$1004,1,MATCH(COLUMNS($AB$1006:AB1006),$AB$1006:$AQ$1006,0)))),"Fix")))</f>
        <v>0</v>
      </c>
      <c r="C765" s="4">
        <f>IF(OR(INDEX($V$2:$V$1001,MATCH(ROWS($U$2:U765),$U$2:$U$1001,0),1)&gt;=100000,INDEX($AB$1005:$AQ$1005,1,MATCH(COLUMNS($AB$1006:AC1006),$AB$1006:$AQ$1006,0))&gt;=100000), " ",IF(INDEX($AB$2:$AQ$1001,MATCH(ROWS($U$2:U765),$U$2:$U$1001,0),MATCH(COLUMNS($AB$1006:AC1006),$AB$1006:$AQ$1006,0)), HYPERLINK("#",""), HYPERLINK(CONCATENATE("#metadata!", ADDRESS(INDEX($W$2:$W$1001,MATCH(ROWS($U$2:U765),$U$2:$U$1001,0),0), INDEX($AB$1004:$AQ$1004,1,MATCH(COLUMNS($AB$1006:AC1006),$AB$1006:$AQ$1006,0)))),"Fix")))</f>
        <v>0</v>
      </c>
      <c r="D765" s="4">
        <f>IF(OR(INDEX($V$2:$V$1001,MATCH(ROWS($U$2:U765),$U$2:$U$1001,0),1)&gt;=100000,INDEX($AB$1005:$AQ$1005,1,MATCH(COLUMNS($AB$1006:AD1006),$AB$1006:$AQ$1006,0))&gt;=100000), " ",IF(INDEX($AB$2:$AQ$1001,MATCH(ROWS($U$2:U765),$U$2:$U$1001,0),MATCH(COLUMNS($AB$1006:AD1006),$AB$1006:$AQ$1006,0)), HYPERLINK("#",""), HYPERLINK(CONCATENATE("#metadata!", ADDRESS(INDEX($W$2:$W$1001,MATCH(ROWS($U$2:U765),$U$2:$U$1001,0),0), INDEX($AB$1004:$AQ$1004,1,MATCH(COLUMNS($AB$1006:AD1006),$AB$1006:$AQ$1006,0)))),"Fix")))</f>
        <v>0</v>
      </c>
      <c r="E765" s="4">
        <f>IF(OR(INDEX($V$2:$V$1001,MATCH(ROWS($U$2:U765),$U$2:$U$1001,0),1)&gt;=100000,INDEX($AB$1005:$AQ$1005,1,MATCH(COLUMNS($AB$1006:AE1006),$AB$1006:$AQ$1006,0))&gt;=100000), " ",IF(INDEX($AB$2:$AQ$1001,MATCH(ROWS($U$2:U765),$U$2:$U$1001,0),MATCH(COLUMNS($AB$1006:AE1006),$AB$1006:$AQ$1006,0)), HYPERLINK("#",""), HYPERLINK(CONCATENATE("#metadata!", ADDRESS(INDEX($W$2:$W$1001,MATCH(ROWS($U$2:U765),$U$2:$U$1001,0),0), INDEX($AB$1004:$AQ$1004,1,MATCH(COLUMNS($AB$1006:AE1006),$AB$1006:$AQ$1006,0)))),"Fix")))</f>
        <v>0</v>
      </c>
      <c r="F765" s="4">
        <f>IF(OR(INDEX($V$2:$V$1001,MATCH(ROWS($U$2:U765),$U$2:$U$1001,0),1)&gt;=100000,INDEX($AB$1005:$AQ$1005,1,MATCH(COLUMNS($AB$1006:AF1006),$AB$1006:$AQ$1006,0))&gt;=100000), " ",IF(INDEX($AB$2:$AQ$1001,MATCH(ROWS($U$2:U765),$U$2:$U$1001,0),MATCH(COLUMNS($AB$1006:AF1006),$AB$1006:$AQ$1006,0)), HYPERLINK("#",""), HYPERLINK(CONCATENATE("#metadata!", ADDRESS(INDEX($W$2:$W$1001,MATCH(ROWS($U$2:U765),$U$2:$U$1001,0),0), INDEX($AB$1004:$AQ$1004,1,MATCH(COLUMNS($AB$1006:AF1006),$AB$1006:$AQ$1006,0)))),"Fix")))</f>
        <v>0</v>
      </c>
      <c r="G765" s="4">
        <f>IF(OR(INDEX($V$2:$V$1001,MATCH(ROWS($U$2:U765),$U$2:$U$1001,0),1)&gt;=100000,INDEX($AB$1005:$AQ$1005,1,MATCH(COLUMNS($AB$1006:AG1006),$AB$1006:$AQ$1006,0))&gt;=100000), " ",IF(INDEX($AB$2:$AQ$1001,MATCH(ROWS($U$2:U765),$U$2:$U$1001,0),MATCH(COLUMNS($AB$1006:AG1006),$AB$1006:$AQ$1006,0)), HYPERLINK("#",""), HYPERLINK(CONCATENATE("#metadata!", ADDRESS(INDEX($W$2:$W$1001,MATCH(ROWS($U$2:U765),$U$2:$U$1001,0),0), INDEX($AB$1004:$AQ$1004,1,MATCH(COLUMNS($AB$1006:AG1006),$AB$1006:$AQ$1006,0)))),"Fix")))</f>
        <v>0</v>
      </c>
      <c r="H765" s="4">
        <f>IF(OR(INDEX($V$2:$V$1001,MATCH(ROWS($U$2:U765),$U$2:$U$1001,0),1)&gt;=100000,INDEX($AB$1005:$AQ$1005,1,MATCH(COLUMNS($AB$1006:AH1006),$AB$1006:$AQ$1006,0))&gt;=100000), " ",IF(INDEX($AB$2:$AQ$1001,MATCH(ROWS($U$2:U765),$U$2:$U$1001,0),MATCH(COLUMNS($AB$1006:AH1006),$AB$1006:$AQ$1006,0)), HYPERLINK("#",""), HYPERLINK(CONCATENATE("#metadata!", ADDRESS(INDEX($W$2:$W$1001,MATCH(ROWS($U$2:U765),$U$2:$U$1001,0),0), INDEX($AB$1004:$AQ$1004,1,MATCH(COLUMNS($AB$1006:AH1006),$AB$1006:$AQ$1006,0)))),"Fix")))</f>
        <v>0</v>
      </c>
      <c r="I765" s="4">
        <f>IF(OR(INDEX($V$2:$V$1001,MATCH(ROWS($U$2:U765),$U$2:$U$1001,0),1)&gt;=100000,INDEX($AB$1005:$AQ$1005,1,MATCH(COLUMNS($AB$1006:AI1006),$AB$1006:$AQ$1006,0))&gt;=100000), " ",IF(INDEX($AB$2:$AQ$1001,MATCH(ROWS($U$2:U765),$U$2:$U$1001,0),MATCH(COLUMNS($AB$1006:AI1006),$AB$1006:$AQ$1006,0)), HYPERLINK("#",""), HYPERLINK(CONCATENATE("#metadata!", ADDRESS(INDEX($W$2:$W$1001,MATCH(ROWS($U$2:U765),$U$2:$U$1001,0),0), INDEX($AB$1004:$AQ$1004,1,MATCH(COLUMNS($AB$1006:AI1006),$AB$1006:$AQ$1006,0)))),"Fix")))</f>
        <v>0</v>
      </c>
      <c r="J765" s="4">
        <f>IF(OR(INDEX($V$2:$V$1001,MATCH(ROWS($U$2:U765),$U$2:$U$1001,0),1)&gt;=100000,INDEX($AB$1005:$AQ$1005,1,MATCH(COLUMNS($AB$1006:AJ1006),$AB$1006:$AQ$1006,0))&gt;=100000), " ",IF(INDEX($AB$2:$AQ$1001,MATCH(ROWS($U$2:U765),$U$2:$U$1001,0),MATCH(COLUMNS($AB$1006:AJ1006),$AB$1006:$AQ$1006,0)), HYPERLINK("#",""), HYPERLINK(CONCATENATE("#metadata!", ADDRESS(INDEX($W$2:$W$1001,MATCH(ROWS($U$2:U765),$U$2:$U$1001,0),0), INDEX($AB$1004:$AQ$1004,1,MATCH(COLUMNS($AB$1006:AJ1006),$AB$1006:$AQ$1006,0)))),"Fix")))</f>
        <v>0</v>
      </c>
      <c r="K765" s="4">
        <f>IF(OR(INDEX($V$2:$V$1001,MATCH(ROWS($U$2:U765),$U$2:$U$1001,0),1)&gt;=100000,INDEX($AB$1005:$AQ$1005,1,MATCH(COLUMNS($AB$1006:AK1006),$AB$1006:$AQ$1006,0))&gt;=100000), " ",IF(INDEX($AB$2:$AQ$1001,MATCH(ROWS($U$2:U765),$U$2:$U$1001,0),MATCH(COLUMNS($AB$1006:AK1006),$AB$1006:$AQ$1006,0)), HYPERLINK("#",""), HYPERLINK(CONCATENATE("#metadata!", ADDRESS(INDEX($W$2:$W$1001,MATCH(ROWS($U$2:U765),$U$2:$U$1001,0),0), INDEX($AB$1004:$AQ$1004,1,MATCH(COLUMNS($AB$1006:AK1006),$AB$1006:$AQ$1006,0)))),"Fix")))</f>
        <v>0</v>
      </c>
      <c r="L765" s="4">
        <f>IF(OR(INDEX($V$2:$V$1001,MATCH(ROWS($U$2:U765),$U$2:$U$1001,0),1)&gt;=100000,INDEX($AB$1005:$AQ$1005,1,MATCH(COLUMNS($AB$1006:AL1006),$AB$1006:$AQ$1006,0))&gt;=100000), " ",IF(INDEX($AB$2:$AQ$1001,MATCH(ROWS($U$2:U765),$U$2:$U$1001,0),MATCH(COLUMNS($AB$1006:AL1006),$AB$1006:$AQ$1006,0)), HYPERLINK("#",""), HYPERLINK(CONCATENATE("#metadata!", ADDRESS(INDEX($W$2:$W$1001,MATCH(ROWS($U$2:U765),$U$2:$U$1001,0),0), INDEX($AB$1004:$AQ$1004,1,MATCH(COLUMNS($AB$1006:AL1006),$AB$1006:$AQ$1006,0)))),"Fix")))</f>
        <v>0</v>
      </c>
      <c r="M765" s="4">
        <f>IF(OR(INDEX($V$2:$V$1001,MATCH(ROWS($U$2:U765),$U$2:$U$1001,0),1)&gt;=100000,INDEX($AB$1005:$AQ$1005,1,MATCH(COLUMNS($AB$1006:AM1006),$AB$1006:$AQ$1006,0))&gt;=100000), " ",IF(INDEX($AB$2:$AQ$1001,MATCH(ROWS($U$2:U765),$U$2:$U$1001,0),MATCH(COLUMNS($AB$1006:AM1006),$AB$1006:$AQ$1006,0)), HYPERLINK("#",""), HYPERLINK(CONCATENATE("#metadata!", ADDRESS(INDEX($W$2:$W$1001,MATCH(ROWS($U$2:U765),$U$2:$U$1001,0),0), INDEX($AB$1004:$AQ$1004,1,MATCH(COLUMNS($AB$1006:AM1006),$AB$1006:$AQ$1006,0)))),"Fix")))</f>
        <v>0</v>
      </c>
      <c r="N765" s="4">
        <f>IF(OR(INDEX($V$2:$V$1001,MATCH(ROWS($U$2:U765),$U$2:$U$1001,0),1)&gt;=100000,INDEX($AB$1005:$AQ$1005,1,MATCH(COLUMNS($AB$1006:AN1006),$AB$1006:$AQ$1006,0))&gt;=100000), " ",IF(INDEX($AB$2:$AQ$1001,MATCH(ROWS($U$2:U765),$U$2:$U$1001,0),MATCH(COLUMNS($AB$1006:AN1006),$AB$1006:$AQ$1006,0)), HYPERLINK("#",""), HYPERLINK(CONCATENATE("#metadata!", ADDRESS(INDEX($W$2:$W$1001,MATCH(ROWS($U$2:U765),$U$2:$U$1001,0),0), INDEX($AB$1004:$AQ$1004,1,MATCH(COLUMNS($AB$1006:AN1006),$AB$1006:$AQ$1006,0)))),"Fix")))</f>
        <v>0</v>
      </c>
      <c r="O765" s="4">
        <f>IF(OR(INDEX($V$2:$V$1001,MATCH(ROWS($U$2:U765),$U$2:$U$1001,0),1)&gt;=100000,INDEX($AB$1005:$AQ$1005,1,MATCH(COLUMNS($AB$1006:AO1006),$AB$1006:$AQ$1006,0))&gt;=100000), " ",IF(INDEX($AB$2:$AQ$1001,MATCH(ROWS($U$2:U765),$U$2:$U$1001,0),MATCH(COLUMNS($AB$1006:AO1006),$AB$1006:$AQ$1006,0)), HYPERLINK("#",""), HYPERLINK(CONCATENATE("#metadata!", ADDRESS(INDEX($W$2:$W$1001,MATCH(ROWS($U$2:U765),$U$2:$U$1001,0),0), INDEX($AB$1004:$AQ$1004,1,MATCH(COLUMNS($AB$1006:AO1006),$AB$1006:$AQ$1006,0)))),"Fix")))</f>
        <v>0</v>
      </c>
      <c r="P765" s="4">
        <f>IF(OR(INDEX($V$2:$V$1001,MATCH(ROWS($U$2:U765),$U$2:$U$1001,0),1)&gt;=100000,INDEX($AB$1005:$AQ$1005,1,MATCH(COLUMNS($AB$1006:AP1006),$AB$1006:$AQ$1006,0))&gt;=100000), " ",IF(INDEX($AB$2:$AQ$1001,MATCH(ROWS($U$2:U765),$U$2:$U$1001,0),MATCH(COLUMNS($AB$1006:AP1006),$AB$1006:$AQ$1006,0)), HYPERLINK("#",""), HYPERLINK(CONCATENATE("#metadata!", ADDRESS(INDEX($W$2:$W$1001,MATCH(ROWS($U$2:U765),$U$2:$U$1001,0),0), INDEX($AB$1004:$AQ$1004,1,MATCH(COLUMNS($AB$1006:AP1006),$AB$1006:$AQ$1006,0)))),"Fix")))</f>
        <v>0</v>
      </c>
      <c r="Q765" s="4">
        <f>IF(OR(INDEX($V$2:$V$1001,MATCH(ROWS($U$2:U765),$U$2:$U$1001,0),1)&gt;=100000,INDEX($AB$1005:$AQ$1005,1,MATCH(COLUMNS($AB$1006:AQ1006),$AB$1006:$AQ$1006,0))&gt;=100000), " ",IF(INDEX($AB$2:$AQ$1001,MATCH(ROWS($U$2:U765),$U$2:$U$1001,0),MATCH(COLUMNS($AB$1006:AQ1006),$AB$1006:$AQ$1006,0)), HYPERLINK("#",""), HYPERLINK(CONCATENATE("#metadata!", ADDRESS(INDEX($W$2:$W$1001,MATCH(ROWS($U$2:U765),$U$2:$U$1001,0),0), INDEX($AB$1004:$AQ$1004,1,MATCH(COLUMNS($AB$1006:AQ1006),$AB$1006:$AQ$1006,0)))),"Fix")))</f>
        <v>0</v>
      </c>
      <c r="U765">
        <v>0</v>
      </c>
      <c r="V765">
        <v>0</v>
      </c>
      <c r="W765">
        <v>0</v>
      </c>
      <c r="X765">
        <f>IF(Y765,TRUE,AND(AB765:AQ765))</f>
        <v>0</v>
      </c>
      <c r="Y765">
        <f>COUNTBLANK(metadata!B765:Q765)=COLUMNS(metadata!B765:Q765)</f>
        <v>0</v>
      </c>
      <c r="Z765">
        <v>0</v>
      </c>
      <c r="AB765">
        <f>AND(IF(metadata!B765="",FALSE,TRUE),COUNTIF(metadata!B:B, metadata!B765) = 1,NOT(ISERROR(SUMPRODUCT(SEARCH(MID(metadata!B765,ROW(INDIRECT("1:"&amp;LEN(metadata!B765))), 1),"0123456789abcdefghijklmnopqrstuvwxyzABCDEFGHIJKLMNOPQRSTUVWXYZ.")))))</f>
        <v>0</v>
      </c>
      <c r="AC765">
        <f>OR(AND(IF(metadata!C765="",FALSE,TRUE),OR(exact(metadata!C765,"missing: not collected"),exact(metadata!C765,"missing: not provided"),exact(metadata!C765,"missing: restricted access"))),AND(IF(metadata!C765="",FALSE,TRUE),AND(AND(IFERROR(INT(LEFT(metadata!C765,4))&gt;1900,FALSE),IFERROR(INT(LEFT(metadata!C765,4))&lt;=YEAR(NOW()),FALSE)), OR(MID(metadata!C765,5,1)="", AND(AND(MID(metadata!C765,5,1)="-",IFERROR(INT(MID(metadata!C765,6,1))&gt;=0,FALSE),IFERROR(INT(MID(metadata!C765,6,1))&lt;=1,FALSE),NOT(MID(metadata!C765,7,1)=""),IFERROR(INT(MID(metadata!C765,6,2))&gt;=1,FALSE),IFERROR(INT(MID(metadata!C765,6,2))&lt;=12,FALSE)), OR(MID(metadata!C765,8,1)="", AND(AND(MID(metadata!C765,8,1)="-",IFERROR(INT(MID(metadata!C765,9,1))&gt;=0,FALSE),IFERROR(INT(MID(metadata!C765,9,1))&lt;=3,FALSE),NOT(MID(metadata!C765,10,1)=""),IFERROR(INT(MID(metadata!C765,9,2))&gt;=1,FALSE),IFERROR(INT(MID(metadata!C765,9,2))&lt;=31,FALSE)), OR(MID(metadata!C765,11,1)="", AND(AND(MID(metadata!C765,11,1)=" ",IFERROR(INT(MID(metadata!C765,12,1))&gt;=0,FALSE),IFERROR(INT(MID(metadata!C765,12,1))&lt;=2,FALSE),NOT(MID(metadata!C765,13,1)=""),IFERROR(INT(MID(metadata!C765,12,2))&gt;=0,FALSE),IFERROR(INT(MID(metadata!C765,12,2))&lt;=23,FALSE)), OR(MID(metadata!C765,14,1)="", AND(AND(MID(metadata!C765,14,1)=":",IFERROR(INT(MID(metadata!C765,15,1))&gt;=0,FALSE),IFERROR(INT(MID(metadata!C765,15,1))&lt;=5,FALSE),NOT(MID(metadata!C765,16,1)=""),IFERROR(INT(MID(metadata!C765,15,2))&gt;=0,FALSE),IFERROR(INT(MID(metadata!C765,15,2))&lt;=59,FALSE)), OR(MID(metadata!C765,17,1)="", AND(AND(MID(metadata!C765,17,1)=":",IFERROR(INT(MID(metadata!C765,18,1))&gt;=0,FALSE),IFERROR(INT(MID(metadata!C765,18,1))&lt;=5,FALSE),NOT(MID(metadata!C765,19,1)=""),IFERROR(INT(MID(metadata!C765,18,2))&gt;=0,FALSE),IFERROR(INT(MID(metadata!C765,18,2))&lt;=59,FALSE)), LEN(metadata!C765)&lt;=19)))))))))))))</f>
        <v>0</v>
      </c>
      <c r="AD765">
        <f>IF(metadata!D765="",FALSE,TRUE)</f>
        <v>0</v>
      </c>
      <c r="AE765">
        <f>OR(AND(IF(metadata!E765="",FALSE,TRUE),OR(exact(metadata!E765,"missing: not collected"),exact(metadata!E765,"missing: not provided"))),AND(IF(metadata!E765="",FALSE,TRUE),OR(exact(metadata!E765,"TRUE"),exact(metadata!E765,"FALSE"))))</f>
        <v>0</v>
      </c>
      <c r="AF765">
        <f>IF(metadata!F765="",FALSE,TRUE)</f>
        <v>0</v>
      </c>
      <c r="AG765">
        <f>IF(metadata!G765="",FALSE,TRUE)</f>
        <v>0</v>
      </c>
      <c r="AH765">
        <f>IF(metadata!H765="",FALSE,TRUE)</f>
        <v>0</v>
      </c>
      <c r="AI765">
        <f>OR(AND(IF(metadata!I765="",FALSE,TRUE),OR(exact(metadata!I765,"missing: not collected"),exact(metadata!I765,"missing: not provided"),exact(metadata!I765,"missing: restricted access"))),AND(IF(metadata!I765="",FALSE,TRUE),OR(exact(metadata!I765,"air"),exact(metadata!I765,"built environment"),exact(metadata!I765,"host-associated"),exact(metadata!I765,"human-associated"),exact(metadata!I765,"human-skin"),exact(metadata!I765,"human-oral"),exact(metadata!I765,"human-gut"),exact(metadata!I765,"human-vaginal"),exact(metadata!I765,"microbial mat/biofilm"),exact(metadata!I765,"misc environment"),exact(metadata!I765,"plant-associated"),exact(metadata!I765,"sediment"),exact(metadata!I765,"soil"),exact(metadata!I765,"wastewater/sludge"),exact(metadata!I765,"water"))))</f>
        <v>0</v>
      </c>
      <c r="AJ765">
        <f>IF(metadata!J765="",FALSE,TRUE)</f>
        <v>0</v>
      </c>
      <c r="AK765">
        <f>OR(AND(IF(metadata!K765="",FALSE,TRUE),OR(exact(metadata!K765,"missing: not collected"),exact(metadata!K765,"missing: not provided"),exact(metadata!K765,"missing: restricted access"))),AND(IF(metadata!K765="",FALSE,ISNUMBER(VALUE(metadata!K765))),metadata!K765&gt;=-90.00,metadata!K765&lt;=90.00))</f>
        <v>0</v>
      </c>
      <c r="AL765">
        <f>OR(AND(IF(metadata!L765="",FALSE,TRUE),OR(exact(metadata!L765,"missing: not collected"),exact(metadata!L765,"missing: not provided"),exact(metadata!L765,"missing: restricted access"))),AND(IF(metadata!L765="",FALSE,ISNUMBER(VALUE(metadata!L765))),metadata!L765&gt;=-180.00,metadata!L765&lt;=180.00))</f>
        <v>0</v>
      </c>
      <c r="AM765">
        <f>IF(metadata!M765="",FALSE,TRUE)</f>
        <v>0</v>
      </c>
      <c r="AN765">
        <f>OR(AND(IF(metadata!N765="",FALSE,TRUE),OR(exact(metadata!N765,"missing: not collected"),exact(metadata!N765,"missing: not provided"),exact(metadata!N765,"missing: restricted access"))),AND(IF(metadata!N765="",FALSE,TRUE),OR(exact(metadata!N765,"TRUE"),exact(metadata!N765,"FALSE"))))</f>
        <v>0</v>
      </c>
      <c r="AO765">
        <f>IF(metadata!O765="",FALSE,TRUE)</f>
        <v>0</v>
      </c>
      <c r="AP765">
        <f>OR(AND(IF(metadata!P765="",FALSE,TRUE),OR(exact(metadata!P765,"missing: not collected"),exact(metadata!P765,"missing: not provided"))),AND(IF(metadata!P765="",FALSE,IF(ISERROR(INT(metadata!P765)),FALSE,INT(metadata!P765)=metadata!P765)),metadata!P765&gt;0))</f>
        <v>0</v>
      </c>
      <c r="AQ765">
        <f>IF(metadata!Q765="",FALSE,TRUE)</f>
        <v>0</v>
      </c>
    </row>
    <row r="766" spans="1:43">
      <c r="A766" s="5">
        <f>IF(B766=" "," ",HYPERLINK(CONCATENATE("#metadata!",ADDRESS(INDEX($W$2:$W$1001,MATCH(ROWS($U$2:U766),$U$2:$U$1001,0),0),1)),INDEX($Z$2:$Z$1001,MATCH(ROWS($U$2:U766),$U$2:$U$1001,0),0)))</f>
        <v>0</v>
      </c>
      <c r="B766" s="4">
        <f>IF(OR(INDEX($V$2:$V$1001,MATCH(ROWS($U$2:U766),$U$2:$U$1001,0),1)&gt;=100000,INDEX($AB$1005:$AQ$1005,1,MATCH(COLUMNS($AB$1006:AB1006),$AB$1006:$AQ$1006,0))&gt;=100000), " ",IF(INDEX($AB$2:$AQ$1001,MATCH(ROWS($U$2:U766),$U$2:$U$1001,0),MATCH(COLUMNS($AB$1006:AB1006),$AB$1006:$AQ$1006,0)), HYPERLINK("#",""), HYPERLINK(CONCATENATE("#metadata!", ADDRESS(INDEX($W$2:$W$1001,MATCH(ROWS($U$2:U766),$U$2:$U$1001,0),0), INDEX($AB$1004:$AQ$1004,1,MATCH(COLUMNS($AB$1006:AB1006),$AB$1006:$AQ$1006,0)))),"Fix")))</f>
        <v>0</v>
      </c>
      <c r="C766" s="4">
        <f>IF(OR(INDEX($V$2:$V$1001,MATCH(ROWS($U$2:U766),$U$2:$U$1001,0),1)&gt;=100000,INDEX($AB$1005:$AQ$1005,1,MATCH(COLUMNS($AB$1006:AC1006),$AB$1006:$AQ$1006,0))&gt;=100000), " ",IF(INDEX($AB$2:$AQ$1001,MATCH(ROWS($U$2:U766),$U$2:$U$1001,0),MATCH(COLUMNS($AB$1006:AC1006),$AB$1006:$AQ$1006,0)), HYPERLINK("#",""), HYPERLINK(CONCATENATE("#metadata!", ADDRESS(INDEX($W$2:$W$1001,MATCH(ROWS($U$2:U766),$U$2:$U$1001,0),0), INDEX($AB$1004:$AQ$1004,1,MATCH(COLUMNS($AB$1006:AC1006),$AB$1006:$AQ$1006,0)))),"Fix")))</f>
        <v>0</v>
      </c>
      <c r="D766" s="4">
        <f>IF(OR(INDEX($V$2:$V$1001,MATCH(ROWS($U$2:U766),$U$2:$U$1001,0),1)&gt;=100000,INDEX($AB$1005:$AQ$1005,1,MATCH(COLUMNS($AB$1006:AD1006),$AB$1006:$AQ$1006,0))&gt;=100000), " ",IF(INDEX($AB$2:$AQ$1001,MATCH(ROWS($U$2:U766),$U$2:$U$1001,0),MATCH(COLUMNS($AB$1006:AD1006),$AB$1006:$AQ$1006,0)), HYPERLINK("#",""), HYPERLINK(CONCATENATE("#metadata!", ADDRESS(INDEX($W$2:$W$1001,MATCH(ROWS($U$2:U766),$U$2:$U$1001,0),0), INDEX($AB$1004:$AQ$1004,1,MATCH(COLUMNS($AB$1006:AD1006),$AB$1006:$AQ$1006,0)))),"Fix")))</f>
        <v>0</v>
      </c>
      <c r="E766" s="4">
        <f>IF(OR(INDEX($V$2:$V$1001,MATCH(ROWS($U$2:U766),$U$2:$U$1001,0),1)&gt;=100000,INDEX($AB$1005:$AQ$1005,1,MATCH(COLUMNS($AB$1006:AE1006),$AB$1006:$AQ$1006,0))&gt;=100000), " ",IF(INDEX($AB$2:$AQ$1001,MATCH(ROWS($U$2:U766),$U$2:$U$1001,0),MATCH(COLUMNS($AB$1006:AE1006),$AB$1006:$AQ$1006,0)), HYPERLINK("#",""), HYPERLINK(CONCATENATE("#metadata!", ADDRESS(INDEX($W$2:$W$1001,MATCH(ROWS($U$2:U766),$U$2:$U$1001,0),0), INDEX($AB$1004:$AQ$1004,1,MATCH(COLUMNS($AB$1006:AE1006),$AB$1006:$AQ$1006,0)))),"Fix")))</f>
        <v>0</v>
      </c>
      <c r="F766" s="4">
        <f>IF(OR(INDEX($V$2:$V$1001,MATCH(ROWS($U$2:U766),$U$2:$U$1001,0),1)&gt;=100000,INDEX($AB$1005:$AQ$1005,1,MATCH(COLUMNS($AB$1006:AF1006),$AB$1006:$AQ$1006,0))&gt;=100000), " ",IF(INDEX($AB$2:$AQ$1001,MATCH(ROWS($U$2:U766),$U$2:$U$1001,0),MATCH(COLUMNS($AB$1006:AF1006),$AB$1006:$AQ$1006,0)), HYPERLINK("#",""), HYPERLINK(CONCATENATE("#metadata!", ADDRESS(INDEX($W$2:$W$1001,MATCH(ROWS($U$2:U766),$U$2:$U$1001,0),0), INDEX($AB$1004:$AQ$1004,1,MATCH(COLUMNS($AB$1006:AF1006),$AB$1006:$AQ$1006,0)))),"Fix")))</f>
        <v>0</v>
      </c>
      <c r="G766" s="4">
        <f>IF(OR(INDEX($V$2:$V$1001,MATCH(ROWS($U$2:U766),$U$2:$U$1001,0),1)&gt;=100000,INDEX($AB$1005:$AQ$1005,1,MATCH(COLUMNS($AB$1006:AG1006),$AB$1006:$AQ$1006,0))&gt;=100000), " ",IF(INDEX($AB$2:$AQ$1001,MATCH(ROWS($U$2:U766),$U$2:$U$1001,0),MATCH(COLUMNS($AB$1006:AG1006),$AB$1006:$AQ$1006,0)), HYPERLINK("#",""), HYPERLINK(CONCATENATE("#metadata!", ADDRESS(INDEX($W$2:$W$1001,MATCH(ROWS($U$2:U766),$U$2:$U$1001,0),0), INDEX($AB$1004:$AQ$1004,1,MATCH(COLUMNS($AB$1006:AG1006),$AB$1006:$AQ$1006,0)))),"Fix")))</f>
        <v>0</v>
      </c>
      <c r="H766" s="4">
        <f>IF(OR(INDEX($V$2:$V$1001,MATCH(ROWS($U$2:U766),$U$2:$U$1001,0),1)&gt;=100000,INDEX($AB$1005:$AQ$1005,1,MATCH(COLUMNS($AB$1006:AH1006),$AB$1006:$AQ$1006,0))&gt;=100000), " ",IF(INDEX($AB$2:$AQ$1001,MATCH(ROWS($U$2:U766),$U$2:$U$1001,0),MATCH(COLUMNS($AB$1006:AH1006),$AB$1006:$AQ$1006,0)), HYPERLINK("#",""), HYPERLINK(CONCATENATE("#metadata!", ADDRESS(INDEX($W$2:$W$1001,MATCH(ROWS($U$2:U766),$U$2:$U$1001,0),0), INDEX($AB$1004:$AQ$1004,1,MATCH(COLUMNS($AB$1006:AH1006),$AB$1006:$AQ$1006,0)))),"Fix")))</f>
        <v>0</v>
      </c>
      <c r="I766" s="4">
        <f>IF(OR(INDEX($V$2:$V$1001,MATCH(ROWS($U$2:U766),$U$2:$U$1001,0),1)&gt;=100000,INDEX($AB$1005:$AQ$1005,1,MATCH(COLUMNS($AB$1006:AI1006),$AB$1006:$AQ$1006,0))&gt;=100000), " ",IF(INDEX($AB$2:$AQ$1001,MATCH(ROWS($U$2:U766),$U$2:$U$1001,0),MATCH(COLUMNS($AB$1006:AI1006),$AB$1006:$AQ$1006,0)), HYPERLINK("#",""), HYPERLINK(CONCATENATE("#metadata!", ADDRESS(INDEX($W$2:$W$1001,MATCH(ROWS($U$2:U766),$U$2:$U$1001,0),0), INDEX($AB$1004:$AQ$1004,1,MATCH(COLUMNS($AB$1006:AI1006),$AB$1006:$AQ$1006,0)))),"Fix")))</f>
        <v>0</v>
      </c>
      <c r="J766" s="4">
        <f>IF(OR(INDEX($V$2:$V$1001,MATCH(ROWS($U$2:U766),$U$2:$U$1001,0),1)&gt;=100000,INDEX($AB$1005:$AQ$1005,1,MATCH(COLUMNS($AB$1006:AJ1006),$AB$1006:$AQ$1006,0))&gt;=100000), " ",IF(INDEX($AB$2:$AQ$1001,MATCH(ROWS($U$2:U766),$U$2:$U$1001,0),MATCH(COLUMNS($AB$1006:AJ1006),$AB$1006:$AQ$1006,0)), HYPERLINK("#",""), HYPERLINK(CONCATENATE("#metadata!", ADDRESS(INDEX($W$2:$W$1001,MATCH(ROWS($U$2:U766),$U$2:$U$1001,0),0), INDEX($AB$1004:$AQ$1004,1,MATCH(COLUMNS($AB$1006:AJ1006),$AB$1006:$AQ$1006,0)))),"Fix")))</f>
        <v>0</v>
      </c>
      <c r="K766" s="4">
        <f>IF(OR(INDEX($V$2:$V$1001,MATCH(ROWS($U$2:U766),$U$2:$U$1001,0),1)&gt;=100000,INDEX($AB$1005:$AQ$1005,1,MATCH(COLUMNS($AB$1006:AK1006),$AB$1006:$AQ$1006,0))&gt;=100000), " ",IF(INDEX($AB$2:$AQ$1001,MATCH(ROWS($U$2:U766),$U$2:$U$1001,0),MATCH(COLUMNS($AB$1006:AK1006),$AB$1006:$AQ$1006,0)), HYPERLINK("#",""), HYPERLINK(CONCATENATE("#metadata!", ADDRESS(INDEX($W$2:$W$1001,MATCH(ROWS($U$2:U766),$U$2:$U$1001,0),0), INDEX($AB$1004:$AQ$1004,1,MATCH(COLUMNS($AB$1006:AK1006),$AB$1006:$AQ$1006,0)))),"Fix")))</f>
        <v>0</v>
      </c>
      <c r="L766" s="4">
        <f>IF(OR(INDEX($V$2:$V$1001,MATCH(ROWS($U$2:U766),$U$2:$U$1001,0),1)&gt;=100000,INDEX($AB$1005:$AQ$1005,1,MATCH(COLUMNS($AB$1006:AL1006),$AB$1006:$AQ$1006,0))&gt;=100000), " ",IF(INDEX($AB$2:$AQ$1001,MATCH(ROWS($U$2:U766),$U$2:$U$1001,0),MATCH(COLUMNS($AB$1006:AL1006),$AB$1006:$AQ$1006,0)), HYPERLINK("#",""), HYPERLINK(CONCATENATE("#metadata!", ADDRESS(INDEX($W$2:$W$1001,MATCH(ROWS($U$2:U766),$U$2:$U$1001,0),0), INDEX($AB$1004:$AQ$1004,1,MATCH(COLUMNS($AB$1006:AL1006),$AB$1006:$AQ$1006,0)))),"Fix")))</f>
        <v>0</v>
      </c>
      <c r="M766" s="4">
        <f>IF(OR(INDEX($V$2:$V$1001,MATCH(ROWS($U$2:U766),$U$2:$U$1001,0),1)&gt;=100000,INDEX($AB$1005:$AQ$1005,1,MATCH(COLUMNS($AB$1006:AM1006),$AB$1006:$AQ$1006,0))&gt;=100000), " ",IF(INDEX($AB$2:$AQ$1001,MATCH(ROWS($U$2:U766),$U$2:$U$1001,0),MATCH(COLUMNS($AB$1006:AM1006),$AB$1006:$AQ$1006,0)), HYPERLINK("#",""), HYPERLINK(CONCATENATE("#metadata!", ADDRESS(INDEX($W$2:$W$1001,MATCH(ROWS($U$2:U766),$U$2:$U$1001,0),0), INDEX($AB$1004:$AQ$1004,1,MATCH(COLUMNS($AB$1006:AM1006),$AB$1006:$AQ$1006,0)))),"Fix")))</f>
        <v>0</v>
      </c>
      <c r="N766" s="4">
        <f>IF(OR(INDEX($V$2:$V$1001,MATCH(ROWS($U$2:U766),$U$2:$U$1001,0),1)&gt;=100000,INDEX($AB$1005:$AQ$1005,1,MATCH(COLUMNS($AB$1006:AN1006),$AB$1006:$AQ$1006,0))&gt;=100000), " ",IF(INDEX($AB$2:$AQ$1001,MATCH(ROWS($U$2:U766),$U$2:$U$1001,0),MATCH(COLUMNS($AB$1006:AN1006),$AB$1006:$AQ$1006,0)), HYPERLINK("#",""), HYPERLINK(CONCATENATE("#metadata!", ADDRESS(INDEX($W$2:$W$1001,MATCH(ROWS($U$2:U766),$U$2:$U$1001,0),0), INDEX($AB$1004:$AQ$1004,1,MATCH(COLUMNS($AB$1006:AN1006),$AB$1006:$AQ$1006,0)))),"Fix")))</f>
        <v>0</v>
      </c>
      <c r="O766" s="4">
        <f>IF(OR(INDEX($V$2:$V$1001,MATCH(ROWS($U$2:U766),$U$2:$U$1001,0),1)&gt;=100000,INDEX($AB$1005:$AQ$1005,1,MATCH(COLUMNS($AB$1006:AO1006),$AB$1006:$AQ$1006,0))&gt;=100000), " ",IF(INDEX($AB$2:$AQ$1001,MATCH(ROWS($U$2:U766),$U$2:$U$1001,0),MATCH(COLUMNS($AB$1006:AO1006),$AB$1006:$AQ$1006,0)), HYPERLINK("#",""), HYPERLINK(CONCATENATE("#metadata!", ADDRESS(INDEX($W$2:$W$1001,MATCH(ROWS($U$2:U766),$U$2:$U$1001,0),0), INDEX($AB$1004:$AQ$1004,1,MATCH(COLUMNS($AB$1006:AO1006),$AB$1006:$AQ$1006,0)))),"Fix")))</f>
        <v>0</v>
      </c>
      <c r="P766" s="4">
        <f>IF(OR(INDEX($V$2:$V$1001,MATCH(ROWS($U$2:U766),$U$2:$U$1001,0),1)&gt;=100000,INDEX($AB$1005:$AQ$1005,1,MATCH(COLUMNS($AB$1006:AP1006),$AB$1006:$AQ$1006,0))&gt;=100000), " ",IF(INDEX($AB$2:$AQ$1001,MATCH(ROWS($U$2:U766),$U$2:$U$1001,0),MATCH(COLUMNS($AB$1006:AP1006),$AB$1006:$AQ$1006,0)), HYPERLINK("#",""), HYPERLINK(CONCATENATE("#metadata!", ADDRESS(INDEX($W$2:$W$1001,MATCH(ROWS($U$2:U766),$U$2:$U$1001,0),0), INDEX($AB$1004:$AQ$1004,1,MATCH(COLUMNS($AB$1006:AP1006),$AB$1006:$AQ$1006,0)))),"Fix")))</f>
        <v>0</v>
      </c>
      <c r="Q766" s="4">
        <f>IF(OR(INDEX($V$2:$V$1001,MATCH(ROWS($U$2:U766),$U$2:$U$1001,0),1)&gt;=100000,INDEX($AB$1005:$AQ$1005,1,MATCH(COLUMNS($AB$1006:AQ1006),$AB$1006:$AQ$1006,0))&gt;=100000), " ",IF(INDEX($AB$2:$AQ$1001,MATCH(ROWS($U$2:U766),$U$2:$U$1001,0),MATCH(COLUMNS($AB$1006:AQ1006),$AB$1006:$AQ$1006,0)), HYPERLINK("#",""), HYPERLINK(CONCATENATE("#metadata!", ADDRESS(INDEX($W$2:$W$1001,MATCH(ROWS($U$2:U766),$U$2:$U$1001,0),0), INDEX($AB$1004:$AQ$1004,1,MATCH(COLUMNS($AB$1006:AQ1006),$AB$1006:$AQ$1006,0)))),"Fix")))</f>
        <v>0</v>
      </c>
      <c r="U766">
        <v>0</v>
      </c>
      <c r="V766">
        <v>0</v>
      </c>
      <c r="W766">
        <v>0</v>
      </c>
      <c r="X766">
        <f>IF(Y766,TRUE,AND(AB766:AQ766))</f>
        <v>0</v>
      </c>
      <c r="Y766">
        <f>COUNTBLANK(metadata!B766:Q766)=COLUMNS(metadata!B766:Q766)</f>
        <v>0</v>
      </c>
      <c r="Z766">
        <v>0</v>
      </c>
      <c r="AB766">
        <f>AND(IF(metadata!B766="",FALSE,TRUE),COUNTIF(metadata!B:B, metadata!B766) = 1,NOT(ISERROR(SUMPRODUCT(SEARCH(MID(metadata!B766,ROW(INDIRECT("1:"&amp;LEN(metadata!B766))), 1),"0123456789abcdefghijklmnopqrstuvwxyzABCDEFGHIJKLMNOPQRSTUVWXYZ.")))))</f>
        <v>0</v>
      </c>
      <c r="AC766">
        <f>OR(AND(IF(metadata!C766="",FALSE,TRUE),OR(exact(metadata!C766,"missing: not collected"),exact(metadata!C766,"missing: not provided"),exact(metadata!C766,"missing: restricted access"))),AND(IF(metadata!C766="",FALSE,TRUE),AND(AND(IFERROR(INT(LEFT(metadata!C766,4))&gt;1900,FALSE),IFERROR(INT(LEFT(metadata!C766,4))&lt;=YEAR(NOW()),FALSE)), OR(MID(metadata!C766,5,1)="", AND(AND(MID(metadata!C766,5,1)="-",IFERROR(INT(MID(metadata!C766,6,1))&gt;=0,FALSE),IFERROR(INT(MID(metadata!C766,6,1))&lt;=1,FALSE),NOT(MID(metadata!C766,7,1)=""),IFERROR(INT(MID(metadata!C766,6,2))&gt;=1,FALSE),IFERROR(INT(MID(metadata!C766,6,2))&lt;=12,FALSE)), OR(MID(metadata!C766,8,1)="", AND(AND(MID(metadata!C766,8,1)="-",IFERROR(INT(MID(metadata!C766,9,1))&gt;=0,FALSE),IFERROR(INT(MID(metadata!C766,9,1))&lt;=3,FALSE),NOT(MID(metadata!C766,10,1)=""),IFERROR(INT(MID(metadata!C766,9,2))&gt;=1,FALSE),IFERROR(INT(MID(metadata!C766,9,2))&lt;=31,FALSE)), OR(MID(metadata!C766,11,1)="", AND(AND(MID(metadata!C766,11,1)=" ",IFERROR(INT(MID(metadata!C766,12,1))&gt;=0,FALSE),IFERROR(INT(MID(metadata!C766,12,1))&lt;=2,FALSE),NOT(MID(metadata!C766,13,1)=""),IFERROR(INT(MID(metadata!C766,12,2))&gt;=0,FALSE),IFERROR(INT(MID(metadata!C766,12,2))&lt;=23,FALSE)), OR(MID(metadata!C766,14,1)="", AND(AND(MID(metadata!C766,14,1)=":",IFERROR(INT(MID(metadata!C766,15,1))&gt;=0,FALSE),IFERROR(INT(MID(metadata!C766,15,1))&lt;=5,FALSE),NOT(MID(metadata!C766,16,1)=""),IFERROR(INT(MID(metadata!C766,15,2))&gt;=0,FALSE),IFERROR(INT(MID(metadata!C766,15,2))&lt;=59,FALSE)), OR(MID(metadata!C766,17,1)="", AND(AND(MID(metadata!C766,17,1)=":",IFERROR(INT(MID(metadata!C766,18,1))&gt;=0,FALSE),IFERROR(INT(MID(metadata!C766,18,1))&lt;=5,FALSE),NOT(MID(metadata!C766,19,1)=""),IFERROR(INT(MID(metadata!C766,18,2))&gt;=0,FALSE),IFERROR(INT(MID(metadata!C766,18,2))&lt;=59,FALSE)), LEN(metadata!C766)&lt;=19)))))))))))))</f>
        <v>0</v>
      </c>
      <c r="AD766">
        <f>IF(metadata!D766="",FALSE,TRUE)</f>
        <v>0</v>
      </c>
      <c r="AE766">
        <f>OR(AND(IF(metadata!E766="",FALSE,TRUE),OR(exact(metadata!E766,"missing: not collected"),exact(metadata!E766,"missing: not provided"))),AND(IF(metadata!E766="",FALSE,TRUE),OR(exact(metadata!E766,"TRUE"),exact(metadata!E766,"FALSE"))))</f>
        <v>0</v>
      </c>
      <c r="AF766">
        <f>IF(metadata!F766="",FALSE,TRUE)</f>
        <v>0</v>
      </c>
      <c r="AG766">
        <f>IF(metadata!G766="",FALSE,TRUE)</f>
        <v>0</v>
      </c>
      <c r="AH766">
        <f>IF(metadata!H766="",FALSE,TRUE)</f>
        <v>0</v>
      </c>
      <c r="AI766">
        <f>OR(AND(IF(metadata!I766="",FALSE,TRUE),OR(exact(metadata!I766,"missing: not collected"),exact(metadata!I766,"missing: not provided"),exact(metadata!I766,"missing: restricted access"))),AND(IF(metadata!I766="",FALSE,TRUE),OR(exact(metadata!I766,"air"),exact(metadata!I766,"built environment"),exact(metadata!I766,"host-associated"),exact(metadata!I766,"human-associated"),exact(metadata!I766,"human-skin"),exact(metadata!I766,"human-oral"),exact(metadata!I766,"human-gut"),exact(metadata!I766,"human-vaginal"),exact(metadata!I766,"microbial mat/biofilm"),exact(metadata!I766,"misc environment"),exact(metadata!I766,"plant-associated"),exact(metadata!I766,"sediment"),exact(metadata!I766,"soil"),exact(metadata!I766,"wastewater/sludge"),exact(metadata!I766,"water"))))</f>
        <v>0</v>
      </c>
      <c r="AJ766">
        <f>IF(metadata!J766="",FALSE,TRUE)</f>
        <v>0</v>
      </c>
      <c r="AK766">
        <f>OR(AND(IF(metadata!K766="",FALSE,TRUE),OR(exact(metadata!K766,"missing: not collected"),exact(metadata!K766,"missing: not provided"),exact(metadata!K766,"missing: restricted access"))),AND(IF(metadata!K766="",FALSE,ISNUMBER(VALUE(metadata!K766))),metadata!K766&gt;=-90.00,metadata!K766&lt;=90.00))</f>
        <v>0</v>
      </c>
      <c r="AL766">
        <f>OR(AND(IF(metadata!L766="",FALSE,TRUE),OR(exact(metadata!L766,"missing: not collected"),exact(metadata!L766,"missing: not provided"),exact(metadata!L766,"missing: restricted access"))),AND(IF(metadata!L766="",FALSE,ISNUMBER(VALUE(metadata!L766))),metadata!L766&gt;=-180.00,metadata!L766&lt;=180.00))</f>
        <v>0</v>
      </c>
      <c r="AM766">
        <f>IF(metadata!M766="",FALSE,TRUE)</f>
        <v>0</v>
      </c>
      <c r="AN766">
        <f>OR(AND(IF(metadata!N766="",FALSE,TRUE),OR(exact(metadata!N766,"missing: not collected"),exact(metadata!N766,"missing: not provided"),exact(metadata!N766,"missing: restricted access"))),AND(IF(metadata!N766="",FALSE,TRUE),OR(exact(metadata!N766,"TRUE"),exact(metadata!N766,"FALSE"))))</f>
        <v>0</v>
      </c>
      <c r="AO766">
        <f>IF(metadata!O766="",FALSE,TRUE)</f>
        <v>0</v>
      </c>
      <c r="AP766">
        <f>OR(AND(IF(metadata!P766="",FALSE,TRUE),OR(exact(metadata!P766,"missing: not collected"),exact(metadata!P766,"missing: not provided"))),AND(IF(metadata!P766="",FALSE,IF(ISERROR(INT(metadata!P766)),FALSE,INT(metadata!P766)=metadata!P766)),metadata!P766&gt;0))</f>
        <v>0</v>
      </c>
      <c r="AQ766">
        <f>IF(metadata!Q766="",FALSE,TRUE)</f>
        <v>0</v>
      </c>
    </row>
    <row r="767" spans="1:43">
      <c r="A767" s="5">
        <f>IF(B767=" "," ",HYPERLINK(CONCATENATE("#metadata!",ADDRESS(INDEX($W$2:$W$1001,MATCH(ROWS($U$2:U767),$U$2:$U$1001,0),0),1)),INDEX($Z$2:$Z$1001,MATCH(ROWS($U$2:U767),$U$2:$U$1001,0),0)))</f>
        <v>0</v>
      </c>
      <c r="B767" s="4">
        <f>IF(OR(INDEX($V$2:$V$1001,MATCH(ROWS($U$2:U767),$U$2:$U$1001,0),1)&gt;=100000,INDEX($AB$1005:$AQ$1005,1,MATCH(COLUMNS($AB$1006:AB1006),$AB$1006:$AQ$1006,0))&gt;=100000), " ",IF(INDEX($AB$2:$AQ$1001,MATCH(ROWS($U$2:U767),$U$2:$U$1001,0),MATCH(COLUMNS($AB$1006:AB1006),$AB$1006:$AQ$1006,0)), HYPERLINK("#",""), HYPERLINK(CONCATENATE("#metadata!", ADDRESS(INDEX($W$2:$W$1001,MATCH(ROWS($U$2:U767),$U$2:$U$1001,0),0), INDEX($AB$1004:$AQ$1004,1,MATCH(COLUMNS($AB$1006:AB1006),$AB$1006:$AQ$1006,0)))),"Fix")))</f>
        <v>0</v>
      </c>
      <c r="C767" s="4">
        <f>IF(OR(INDEX($V$2:$V$1001,MATCH(ROWS($U$2:U767),$U$2:$U$1001,0),1)&gt;=100000,INDEX($AB$1005:$AQ$1005,1,MATCH(COLUMNS($AB$1006:AC1006),$AB$1006:$AQ$1006,0))&gt;=100000), " ",IF(INDEX($AB$2:$AQ$1001,MATCH(ROWS($U$2:U767),$U$2:$U$1001,0),MATCH(COLUMNS($AB$1006:AC1006),$AB$1006:$AQ$1006,0)), HYPERLINK("#",""), HYPERLINK(CONCATENATE("#metadata!", ADDRESS(INDEX($W$2:$W$1001,MATCH(ROWS($U$2:U767),$U$2:$U$1001,0),0), INDEX($AB$1004:$AQ$1004,1,MATCH(COLUMNS($AB$1006:AC1006),$AB$1006:$AQ$1006,0)))),"Fix")))</f>
        <v>0</v>
      </c>
      <c r="D767" s="4">
        <f>IF(OR(INDEX($V$2:$V$1001,MATCH(ROWS($U$2:U767),$U$2:$U$1001,0),1)&gt;=100000,INDEX($AB$1005:$AQ$1005,1,MATCH(COLUMNS($AB$1006:AD1006),$AB$1006:$AQ$1006,0))&gt;=100000), " ",IF(INDEX($AB$2:$AQ$1001,MATCH(ROWS($U$2:U767),$U$2:$U$1001,0),MATCH(COLUMNS($AB$1006:AD1006),$AB$1006:$AQ$1006,0)), HYPERLINK("#",""), HYPERLINK(CONCATENATE("#metadata!", ADDRESS(INDEX($W$2:$W$1001,MATCH(ROWS($U$2:U767),$U$2:$U$1001,0),0), INDEX($AB$1004:$AQ$1004,1,MATCH(COLUMNS($AB$1006:AD1006),$AB$1006:$AQ$1006,0)))),"Fix")))</f>
        <v>0</v>
      </c>
      <c r="E767" s="4">
        <f>IF(OR(INDEX($V$2:$V$1001,MATCH(ROWS($U$2:U767),$U$2:$U$1001,0),1)&gt;=100000,INDEX($AB$1005:$AQ$1005,1,MATCH(COLUMNS($AB$1006:AE1006),$AB$1006:$AQ$1006,0))&gt;=100000), " ",IF(INDEX($AB$2:$AQ$1001,MATCH(ROWS($U$2:U767),$U$2:$U$1001,0),MATCH(COLUMNS($AB$1006:AE1006),$AB$1006:$AQ$1006,0)), HYPERLINK("#",""), HYPERLINK(CONCATENATE("#metadata!", ADDRESS(INDEX($W$2:$W$1001,MATCH(ROWS($U$2:U767),$U$2:$U$1001,0),0), INDEX($AB$1004:$AQ$1004,1,MATCH(COLUMNS($AB$1006:AE1006),$AB$1006:$AQ$1006,0)))),"Fix")))</f>
        <v>0</v>
      </c>
      <c r="F767" s="4">
        <f>IF(OR(INDEX($V$2:$V$1001,MATCH(ROWS($U$2:U767),$U$2:$U$1001,0),1)&gt;=100000,INDEX($AB$1005:$AQ$1005,1,MATCH(COLUMNS($AB$1006:AF1006),$AB$1006:$AQ$1006,0))&gt;=100000), " ",IF(INDEX($AB$2:$AQ$1001,MATCH(ROWS($U$2:U767),$U$2:$U$1001,0),MATCH(COLUMNS($AB$1006:AF1006),$AB$1006:$AQ$1006,0)), HYPERLINK("#",""), HYPERLINK(CONCATENATE("#metadata!", ADDRESS(INDEX($W$2:$W$1001,MATCH(ROWS($U$2:U767),$U$2:$U$1001,0),0), INDEX($AB$1004:$AQ$1004,1,MATCH(COLUMNS($AB$1006:AF1006),$AB$1006:$AQ$1006,0)))),"Fix")))</f>
        <v>0</v>
      </c>
      <c r="G767" s="4">
        <f>IF(OR(INDEX($V$2:$V$1001,MATCH(ROWS($U$2:U767),$U$2:$U$1001,0),1)&gt;=100000,INDEX($AB$1005:$AQ$1005,1,MATCH(COLUMNS($AB$1006:AG1006),$AB$1006:$AQ$1006,0))&gt;=100000), " ",IF(INDEX($AB$2:$AQ$1001,MATCH(ROWS($U$2:U767),$U$2:$U$1001,0),MATCH(COLUMNS($AB$1006:AG1006),$AB$1006:$AQ$1006,0)), HYPERLINK("#",""), HYPERLINK(CONCATENATE("#metadata!", ADDRESS(INDEX($W$2:$W$1001,MATCH(ROWS($U$2:U767),$U$2:$U$1001,0),0), INDEX($AB$1004:$AQ$1004,1,MATCH(COLUMNS($AB$1006:AG1006),$AB$1006:$AQ$1006,0)))),"Fix")))</f>
        <v>0</v>
      </c>
      <c r="H767" s="4">
        <f>IF(OR(INDEX($V$2:$V$1001,MATCH(ROWS($U$2:U767),$U$2:$U$1001,0),1)&gt;=100000,INDEX($AB$1005:$AQ$1005,1,MATCH(COLUMNS($AB$1006:AH1006),$AB$1006:$AQ$1006,0))&gt;=100000), " ",IF(INDEX($AB$2:$AQ$1001,MATCH(ROWS($U$2:U767),$U$2:$U$1001,0),MATCH(COLUMNS($AB$1006:AH1006),$AB$1006:$AQ$1006,0)), HYPERLINK("#",""), HYPERLINK(CONCATENATE("#metadata!", ADDRESS(INDEX($W$2:$W$1001,MATCH(ROWS($U$2:U767),$U$2:$U$1001,0),0), INDEX($AB$1004:$AQ$1004,1,MATCH(COLUMNS($AB$1006:AH1006),$AB$1006:$AQ$1006,0)))),"Fix")))</f>
        <v>0</v>
      </c>
      <c r="I767" s="4">
        <f>IF(OR(INDEX($V$2:$V$1001,MATCH(ROWS($U$2:U767),$U$2:$U$1001,0),1)&gt;=100000,INDEX($AB$1005:$AQ$1005,1,MATCH(COLUMNS($AB$1006:AI1006),$AB$1006:$AQ$1006,0))&gt;=100000), " ",IF(INDEX($AB$2:$AQ$1001,MATCH(ROWS($U$2:U767),$U$2:$U$1001,0),MATCH(COLUMNS($AB$1006:AI1006),$AB$1006:$AQ$1006,0)), HYPERLINK("#",""), HYPERLINK(CONCATENATE("#metadata!", ADDRESS(INDEX($W$2:$W$1001,MATCH(ROWS($U$2:U767),$U$2:$U$1001,0),0), INDEX($AB$1004:$AQ$1004,1,MATCH(COLUMNS($AB$1006:AI1006),$AB$1006:$AQ$1006,0)))),"Fix")))</f>
        <v>0</v>
      </c>
      <c r="J767" s="4">
        <f>IF(OR(INDEX($V$2:$V$1001,MATCH(ROWS($U$2:U767),$U$2:$U$1001,0),1)&gt;=100000,INDEX($AB$1005:$AQ$1005,1,MATCH(COLUMNS($AB$1006:AJ1006),$AB$1006:$AQ$1006,0))&gt;=100000), " ",IF(INDEX($AB$2:$AQ$1001,MATCH(ROWS($U$2:U767),$U$2:$U$1001,0),MATCH(COLUMNS($AB$1006:AJ1006),$AB$1006:$AQ$1006,0)), HYPERLINK("#",""), HYPERLINK(CONCATENATE("#metadata!", ADDRESS(INDEX($W$2:$W$1001,MATCH(ROWS($U$2:U767),$U$2:$U$1001,0),0), INDEX($AB$1004:$AQ$1004,1,MATCH(COLUMNS($AB$1006:AJ1006),$AB$1006:$AQ$1006,0)))),"Fix")))</f>
        <v>0</v>
      </c>
      <c r="K767" s="4">
        <f>IF(OR(INDEX($V$2:$V$1001,MATCH(ROWS($U$2:U767),$U$2:$U$1001,0),1)&gt;=100000,INDEX($AB$1005:$AQ$1005,1,MATCH(COLUMNS($AB$1006:AK1006),$AB$1006:$AQ$1006,0))&gt;=100000), " ",IF(INDEX($AB$2:$AQ$1001,MATCH(ROWS($U$2:U767),$U$2:$U$1001,0),MATCH(COLUMNS($AB$1006:AK1006),$AB$1006:$AQ$1006,0)), HYPERLINK("#",""), HYPERLINK(CONCATENATE("#metadata!", ADDRESS(INDEX($W$2:$W$1001,MATCH(ROWS($U$2:U767),$U$2:$U$1001,0),0), INDEX($AB$1004:$AQ$1004,1,MATCH(COLUMNS($AB$1006:AK1006),$AB$1006:$AQ$1006,0)))),"Fix")))</f>
        <v>0</v>
      </c>
      <c r="L767" s="4">
        <f>IF(OR(INDEX($V$2:$V$1001,MATCH(ROWS($U$2:U767),$U$2:$U$1001,0),1)&gt;=100000,INDEX($AB$1005:$AQ$1005,1,MATCH(COLUMNS($AB$1006:AL1006),$AB$1006:$AQ$1006,0))&gt;=100000), " ",IF(INDEX($AB$2:$AQ$1001,MATCH(ROWS($U$2:U767),$U$2:$U$1001,0),MATCH(COLUMNS($AB$1006:AL1006),$AB$1006:$AQ$1006,0)), HYPERLINK("#",""), HYPERLINK(CONCATENATE("#metadata!", ADDRESS(INDEX($W$2:$W$1001,MATCH(ROWS($U$2:U767),$U$2:$U$1001,0),0), INDEX($AB$1004:$AQ$1004,1,MATCH(COLUMNS($AB$1006:AL1006),$AB$1006:$AQ$1006,0)))),"Fix")))</f>
        <v>0</v>
      </c>
      <c r="M767" s="4">
        <f>IF(OR(INDEX($V$2:$V$1001,MATCH(ROWS($U$2:U767),$U$2:$U$1001,0),1)&gt;=100000,INDEX($AB$1005:$AQ$1005,1,MATCH(COLUMNS($AB$1006:AM1006),$AB$1006:$AQ$1006,0))&gt;=100000), " ",IF(INDEX($AB$2:$AQ$1001,MATCH(ROWS($U$2:U767),$U$2:$U$1001,0),MATCH(COLUMNS($AB$1006:AM1006),$AB$1006:$AQ$1006,0)), HYPERLINK("#",""), HYPERLINK(CONCATENATE("#metadata!", ADDRESS(INDEX($W$2:$W$1001,MATCH(ROWS($U$2:U767),$U$2:$U$1001,0),0), INDEX($AB$1004:$AQ$1004,1,MATCH(COLUMNS($AB$1006:AM1006),$AB$1006:$AQ$1006,0)))),"Fix")))</f>
        <v>0</v>
      </c>
      <c r="N767" s="4">
        <f>IF(OR(INDEX($V$2:$V$1001,MATCH(ROWS($U$2:U767),$U$2:$U$1001,0),1)&gt;=100000,INDEX($AB$1005:$AQ$1005,1,MATCH(COLUMNS($AB$1006:AN1006),$AB$1006:$AQ$1006,0))&gt;=100000), " ",IF(INDEX($AB$2:$AQ$1001,MATCH(ROWS($U$2:U767),$U$2:$U$1001,0),MATCH(COLUMNS($AB$1006:AN1006),$AB$1006:$AQ$1006,0)), HYPERLINK("#",""), HYPERLINK(CONCATENATE("#metadata!", ADDRESS(INDEX($W$2:$W$1001,MATCH(ROWS($U$2:U767),$U$2:$U$1001,0),0), INDEX($AB$1004:$AQ$1004,1,MATCH(COLUMNS($AB$1006:AN1006),$AB$1006:$AQ$1006,0)))),"Fix")))</f>
        <v>0</v>
      </c>
      <c r="O767" s="4">
        <f>IF(OR(INDEX($V$2:$V$1001,MATCH(ROWS($U$2:U767),$U$2:$U$1001,0),1)&gt;=100000,INDEX($AB$1005:$AQ$1005,1,MATCH(COLUMNS($AB$1006:AO1006),$AB$1006:$AQ$1006,0))&gt;=100000), " ",IF(INDEX($AB$2:$AQ$1001,MATCH(ROWS($U$2:U767),$U$2:$U$1001,0),MATCH(COLUMNS($AB$1006:AO1006),$AB$1006:$AQ$1006,0)), HYPERLINK("#",""), HYPERLINK(CONCATENATE("#metadata!", ADDRESS(INDEX($W$2:$W$1001,MATCH(ROWS($U$2:U767),$U$2:$U$1001,0),0), INDEX($AB$1004:$AQ$1004,1,MATCH(COLUMNS($AB$1006:AO1006),$AB$1006:$AQ$1006,0)))),"Fix")))</f>
        <v>0</v>
      </c>
      <c r="P767" s="4">
        <f>IF(OR(INDEX($V$2:$V$1001,MATCH(ROWS($U$2:U767),$U$2:$U$1001,0),1)&gt;=100000,INDEX($AB$1005:$AQ$1005,1,MATCH(COLUMNS($AB$1006:AP1006),$AB$1006:$AQ$1006,0))&gt;=100000), " ",IF(INDEX($AB$2:$AQ$1001,MATCH(ROWS($U$2:U767),$U$2:$U$1001,0),MATCH(COLUMNS($AB$1006:AP1006),$AB$1006:$AQ$1006,0)), HYPERLINK("#",""), HYPERLINK(CONCATENATE("#metadata!", ADDRESS(INDEX($W$2:$W$1001,MATCH(ROWS($U$2:U767),$U$2:$U$1001,0),0), INDEX($AB$1004:$AQ$1004,1,MATCH(COLUMNS($AB$1006:AP1006),$AB$1006:$AQ$1006,0)))),"Fix")))</f>
        <v>0</v>
      </c>
      <c r="Q767" s="4">
        <f>IF(OR(INDEX($V$2:$V$1001,MATCH(ROWS($U$2:U767),$U$2:$U$1001,0),1)&gt;=100000,INDEX($AB$1005:$AQ$1005,1,MATCH(COLUMNS($AB$1006:AQ1006),$AB$1006:$AQ$1006,0))&gt;=100000), " ",IF(INDEX($AB$2:$AQ$1001,MATCH(ROWS($U$2:U767),$U$2:$U$1001,0),MATCH(COLUMNS($AB$1006:AQ1006),$AB$1006:$AQ$1006,0)), HYPERLINK("#",""), HYPERLINK(CONCATENATE("#metadata!", ADDRESS(INDEX($W$2:$W$1001,MATCH(ROWS($U$2:U767),$U$2:$U$1001,0),0), INDEX($AB$1004:$AQ$1004,1,MATCH(COLUMNS($AB$1006:AQ1006),$AB$1006:$AQ$1006,0)))),"Fix")))</f>
        <v>0</v>
      </c>
      <c r="U767">
        <v>0</v>
      </c>
      <c r="V767">
        <v>0</v>
      </c>
      <c r="W767">
        <v>0</v>
      </c>
      <c r="X767">
        <f>IF(Y767,TRUE,AND(AB767:AQ767))</f>
        <v>0</v>
      </c>
      <c r="Y767">
        <f>COUNTBLANK(metadata!B767:Q767)=COLUMNS(metadata!B767:Q767)</f>
        <v>0</v>
      </c>
      <c r="Z767">
        <v>0</v>
      </c>
      <c r="AB767">
        <f>AND(IF(metadata!B767="",FALSE,TRUE),COUNTIF(metadata!B:B, metadata!B767) = 1,NOT(ISERROR(SUMPRODUCT(SEARCH(MID(metadata!B767,ROW(INDIRECT("1:"&amp;LEN(metadata!B767))), 1),"0123456789abcdefghijklmnopqrstuvwxyzABCDEFGHIJKLMNOPQRSTUVWXYZ.")))))</f>
        <v>0</v>
      </c>
      <c r="AC767">
        <f>OR(AND(IF(metadata!C767="",FALSE,TRUE),OR(exact(metadata!C767,"missing: not collected"),exact(metadata!C767,"missing: not provided"),exact(metadata!C767,"missing: restricted access"))),AND(IF(metadata!C767="",FALSE,TRUE),AND(AND(IFERROR(INT(LEFT(metadata!C767,4))&gt;1900,FALSE),IFERROR(INT(LEFT(metadata!C767,4))&lt;=YEAR(NOW()),FALSE)), OR(MID(metadata!C767,5,1)="", AND(AND(MID(metadata!C767,5,1)="-",IFERROR(INT(MID(metadata!C767,6,1))&gt;=0,FALSE),IFERROR(INT(MID(metadata!C767,6,1))&lt;=1,FALSE),NOT(MID(metadata!C767,7,1)=""),IFERROR(INT(MID(metadata!C767,6,2))&gt;=1,FALSE),IFERROR(INT(MID(metadata!C767,6,2))&lt;=12,FALSE)), OR(MID(metadata!C767,8,1)="", AND(AND(MID(metadata!C767,8,1)="-",IFERROR(INT(MID(metadata!C767,9,1))&gt;=0,FALSE),IFERROR(INT(MID(metadata!C767,9,1))&lt;=3,FALSE),NOT(MID(metadata!C767,10,1)=""),IFERROR(INT(MID(metadata!C767,9,2))&gt;=1,FALSE),IFERROR(INT(MID(metadata!C767,9,2))&lt;=31,FALSE)), OR(MID(metadata!C767,11,1)="", AND(AND(MID(metadata!C767,11,1)=" ",IFERROR(INT(MID(metadata!C767,12,1))&gt;=0,FALSE),IFERROR(INT(MID(metadata!C767,12,1))&lt;=2,FALSE),NOT(MID(metadata!C767,13,1)=""),IFERROR(INT(MID(metadata!C767,12,2))&gt;=0,FALSE),IFERROR(INT(MID(metadata!C767,12,2))&lt;=23,FALSE)), OR(MID(metadata!C767,14,1)="", AND(AND(MID(metadata!C767,14,1)=":",IFERROR(INT(MID(metadata!C767,15,1))&gt;=0,FALSE),IFERROR(INT(MID(metadata!C767,15,1))&lt;=5,FALSE),NOT(MID(metadata!C767,16,1)=""),IFERROR(INT(MID(metadata!C767,15,2))&gt;=0,FALSE),IFERROR(INT(MID(metadata!C767,15,2))&lt;=59,FALSE)), OR(MID(metadata!C767,17,1)="", AND(AND(MID(metadata!C767,17,1)=":",IFERROR(INT(MID(metadata!C767,18,1))&gt;=0,FALSE),IFERROR(INT(MID(metadata!C767,18,1))&lt;=5,FALSE),NOT(MID(metadata!C767,19,1)=""),IFERROR(INT(MID(metadata!C767,18,2))&gt;=0,FALSE),IFERROR(INT(MID(metadata!C767,18,2))&lt;=59,FALSE)), LEN(metadata!C767)&lt;=19)))))))))))))</f>
        <v>0</v>
      </c>
      <c r="AD767">
        <f>IF(metadata!D767="",FALSE,TRUE)</f>
        <v>0</v>
      </c>
      <c r="AE767">
        <f>OR(AND(IF(metadata!E767="",FALSE,TRUE),OR(exact(metadata!E767,"missing: not collected"),exact(metadata!E767,"missing: not provided"))),AND(IF(metadata!E767="",FALSE,TRUE),OR(exact(metadata!E767,"TRUE"),exact(metadata!E767,"FALSE"))))</f>
        <v>0</v>
      </c>
      <c r="AF767">
        <f>IF(metadata!F767="",FALSE,TRUE)</f>
        <v>0</v>
      </c>
      <c r="AG767">
        <f>IF(metadata!G767="",FALSE,TRUE)</f>
        <v>0</v>
      </c>
      <c r="AH767">
        <f>IF(metadata!H767="",FALSE,TRUE)</f>
        <v>0</v>
      </c>
      <c r="AI767">
        <f>OR(AND(IF(metadata!I767="",FALSE,TRUE),OR(exact(metadata!I767,"missing: not collected"),exact(metadata!I767,"missing: not provided"),exact(metadata!I767,"missing: restricted access"))),AND(IF(metadata!I767="",FALSE,TRUE),OR(exact(metadata!I767,"air"),exact(metadata!I767,"built environment"),exact(metadata!I767,"host-associated"),exact(metadata!I767,"human-associated"),exact(metadata!I767,"human-skin"),exact(metadata!I767,"human-oral"),exact(metadata!I767,"human-gut"),exact(metadata!I767,"human-vaginal"),exact(metadata!I767,"microbial mat/biofilm"),exact(metadata!I767,"misc environment"),exact(metadata!I767,"plant-associated"),exact(metadata!I767,"sediment"),exact(metadata!I767,"soil"),exact(metadata!I767,"wastewater/sludge"),exact(metadata!I767,"water"))))</f>
        <v>0</v>
      </c>
      <c r="AJ767">
        <f>IF(metadata!J767="",FALSE,TRUE)</f>
        <v>0</v>
      </c>
      <c r="AK767">
        <f>OR(AND(IF(metadata!K767="",FALSE,TRUE),OR(exact(metadata!K767,"missing: not collected"),exact(metadata!K767,"missing: not provided"),exact(metadata!K767,"missing: restricted access"))),AND(IF(metadata!K767="",FALSE,ISNUMBER(VALUE(metadata!K767))),metadata!K767&gt;=-90.00,metadata!K767&lt;=90.00))</f>
        <v>0</v>
      </c>
      <c r="AL767">
        <f>OR(AND(IF(metadata!L767="",FALSE,TRUE),OR(exact(metadata!L767,"missing: not collected"),exact(metadata!L767,"missing: not provided"),exact(metadata!L767,"missing: restricted access"))),AND(IF(metadata!L767="",FALSE,ISNUMBER(VALUE(metadata!L767))),metadata!L767&gt;=-180.00,metadata!L767&lt;=180.00))</f>
        <v>0</v>
      </c>
      <c r="AM767">
        <f>IF(metadata!M767="",FALSE,TRUE)</f>
        <v>0</v>
      </c>
      <c r="AN767">
        <f>OR(AND(IF(metadata!N767="",FALSE,TRUE),OR(exact(metadata!N767,"missing: not collected"),exact(metadata!N767,"missing: not provided"),exact(metadata!N767,"missing: restricted access"))),AND(IF(metadata!N767="",FALSE,TRUE),OR(exact(metadata!N767,"TRUE"),exact(metadata!N767,"FALSE"))))</f>
        <v>0</v>
      </c>
      <c r="AO767">
        <f>IF(metadata!O767="",FALSE,TRUE)</f>
        <v>0</v>
      </c>
      <c r="AP767">
        <f>OR(AND(IF(metadata!P767="",FALSE,TRUE),OR(exact(metadata!P767,"missing: not collected"),exact(metadata!P767,"missing: not provided"))),AND(IF(metadata!P767="",FALSE,IF(ISERROR(INT(metadata!P767)),FALSE,INT(metadata!P767)=metadata!P767)),metadata!P767&gt;0))</f>
        <v>0</v>
      </c>
      <c r="AQ767">
        <f>IF(metadata!Q767="",FALSE,TRUE)</f>
        <v>0</v>
      </c>
    </row>
    <row r="768" spans="1:43">
      <c r="A768" s="5">
        <f>IF(B768=" "," ",HYPERLINK(CONCATENATE("#metadata!",ADDRESS(INDEX($W$2:$W$1001,MATCH(ROWS($U$2:U768),$U$2:$U$1001,0),0),1)),INDEX($Z$2:$Z$1001,MATCH(ROWS($U$2:U768),$U$2:$U$1001,0),0)))</f>
        <v>0</v>
      </c>
      <c r="B768" s="4">
        <f>IF(OR(INDEX($V$2:$V$1001,MATCH(ROWS($U$2:U768),$U$2:$U$1001,0),1)&gt;=100000,INDEX($AB$1005:$AQ$1005,1,MATCH(COLUMNS($AB$1006:AB1006),$AB$1006:$AQ$1006,0))&gt;=100000), " ",IF(INDEX($AB$2:$AQ$1001,MATCH(ROWS($U$2:U768),$U$2:$U$1001,0),MATCH(COLUMNS($AB$1006:AB1006),$AB$1006:$AQ$1006,0)), HYPERLINK("#",""), HYPERLINK(CONCATENATE("#metadata!", ADDRESS(INDEX($W$2:$W$1001,MATCH(ROWS($U$2:U768),$U$2:$U$1001,0),0), INDEX($AB$1004:$AQ$1004,1,MATCH(COLUMNS($AB$1006:AB1006),$AB$1006:$AQ$1006,0)))),"Fix")))</f>
        <v>0</v>
      </c>
      <c r="C768" s="4">
        <f>IF(OR(INDEX($V$2:$V$1001,MATCH(ROWS($U$2:U768),$U$2:$U$1001,0),1)&gt;=100000,INDEX($AB$1005:$AQ$1005,1,MATCH(COLUMNS($AB$1006:AC1006),$AB$1006:$AQ$1006,0))&gt;=100000), " ",IF(INDEX($AB$2:$AQ$1001,MATCH(ROWS($U$2:U768),$U$2:$U$1001,0),MATCH(COLUMNS($AB$1006:AC1006),$AB$1006:$AQ$1006,0)), HYPERLINK("#",""), HYPERLINK(CONCATENATE("#metadata!", ADDRESS(INDEX($W$2:$W$1001,MATCH(ROWS($U$2:U768),$U$2:$U$1001,0),0), INDEX($AB$1004:$AQ$1004,1,MATCH(COLUMNS($AB$1006:AC1006),$AB$1006:$AQ$1006,0)))),"Fix")))</f>
        <v>0</v>
      </c>
      <c r="D768" s="4">
        <f>IF(OR(INDEX($V$2:$V$1001,MATCH(ROWS($U$2:U768),$U$2:$U$1001,0),1)&gt;=100000,INDEX($AB$1005:$AQ$1005,1,MATCH(COLUMNS($AB$1006:AD1006),$AB$1006:$AQ$1006,0))&gt;=100000), " ",IF(INDEX($AB$2:$AQ$1001,MATCH(ROWS($U$2:U768),$U$2:$U$1001,0),MATCH(COLUMNS($AB$1006:AD1006),$AB$1006:$AQ$1006,0)), HYPERLINK("#",""), HYPERLINK(CONCATENATE("#metadata!", ADDRESS(INDEX($W$2:$W$1001,MATCH(ROWS($U$2:U768),$U$2:$U$1001,0),0), INDEX($AB$1004:$AQ$1004,1,MATCH(COLUMNS($AB$1006:AD1006),$AB$1006:$AQ$1006,0)))),"Fix")))</f>
        <v>0</v>
      </c>
      <c r="E768" s="4">
        <f>IF(OR(INDEX($V$2:$V$1001,MATCH(ROWS($U$2:U768),$U$2:$U$1001,0),1)&gt;=100000,INDEX($AB$1005:$AQ$1005,1,MATCH(COLUMNS($AB$1006:AE1006),$AB$1006:$AQ$1006,0))&gt;=100000), " ",IF(INDEX($AB$2:$AQ$1001,MATCH(ROWS($U$2:U768),$U$2:$U$1001,0),MATCH(COLUMNS($AB$1006:AE1006),$AB$1006:$AQ$1006,0)), HYPERLINK("#",""), HYPERLINK(CONCATENATE("#metadata!", ADDRESS(INDEX($W$2:$W$1001,MATCH(ROWS($U$2:U768),$U$2:$U$1001,0),0), INDEX($AB$1004:$AQ$1004,1,MATCH(COLUMNS($AB$1006:AE1006),$AB$1006:$AQ$1006,0)))),"Fix")))</f>
        <v>0</v>
      </c>
      <c r="F768" s="4">
        <f>IF(OR(INDEX($V$2:$V$1001,MATCH(ROWS($U$2:U768),$U$2:$U$1001,0),1)&gt;=100000,INDEX($AB$1005:$AQ$1005,1,MATCH(COLUMNS($AB$1006:AF1006),$AB$1006:$AQ$1006,0))&gt;=100000), " ",IF(INDEX($AB$2:$AQ$1001,MATCH(ROWS($U$2:U768),$U$2:$U$1001,0),MATCH(COLUMNS($AB$1006:AF1006),$AB$1006:$AQ$1006,0)), HYPERLINK("#",""), HYPERLINK(CONCATENATE("#metadata!", ADDRESS(INDEX($W$2:$W$1001,MATCH(ROWS($U$2:U768),$U$2:$U$1001,0),0), INDEX($AB$1004:$AQ$1004,1,MATCH(COLUMNS($AB$1006:AF1006),$AB$1006:$AQ$1006,0)))),"Fix")))</f>
        <v>0</v>
      </c>
      <c r="G768" s="4">
        <f>IF(OR(INDEX($V$2:$V$1001,MATCH(ROWS($U$2:U768),$U$2:$U$1001,0),1)&gt;=100000,INDEX($AB$1005:$AQ$1005,1,MATCH(COLUMNS($AB$1006:AG1006),$AB$1006:$AQ$1006,0))&gt;=100000), " ",IF(INDEX($AB$2:$AQ$1001,MATCH(ROWS($U$2:U768),$U$2:$U$1001,0),MATCH(COLUMNS($AB$1006:AG1006),$AB$1006:$AQ$1006,0)), HYPERLINK("#",""), HYPERLINK(CONCATENATE("#metadata!", ADDRESS(INDEX($W$2:$W$1001,MATCH(ROWS($U$2:U768),$U$2:$U$1001,0),0), INDEX($AB$1004:$AQ$1004,1,MATCH(COLUMNS($AB$1006:AG1006),$AB$1006:$AQ$1006,0)))),"Fix")))</f>
        <v>0</v>
      </c>
      <c r="H768" s="4">
        <f>IF(OR(INDEX($V$2:$V$1001,MATCH(ROWS($U$2:U768),$U$2:$U$1001,0),1)&gt;=100000,INDEX($AB$1005:$AQ$1005,1,MATCH(COLUMNS($AB$1006:AH1006),$AB$1006:$AQ$1006,0))&gt;=100000), " ",IF(INDEX($AB$2:$AQ$1001,MATCH(ROWS($U$2:U768),$U$2:$U$1001,0),MATCH(COLUMNS($AB$1006:AH1006),$AB$1006:$AQ$1006,0)), HYPERLINK("#",""), HYPERLINK(CONCATENATE("#metadata!", ADDRESS(INDEX($W$2:$W$1001,MATCH(ROWS($U$2:U768),$U$2:$U$1001,0),0), INDEX($AB$1004:$AQ$1004,1,MATCH(COLUMNS($AB$1006:AH1006),$AB$1006:$AQ$1006,0)))),"Fix")))</f>
        <v>0</v>
      </c>
      <c r="I768" s="4">
        <f>IF(OR(INDEX($V$2:$V$1001,MATCH(ROWS($U$2:U768),$U$2:$U$1001,0),1)&gt;=100000,INDEX($AB$1005:$AQ$1005,1,MATCH(COLUMNS($AB$1006:AI1006),$AB$1006:$AQ$1006,0))&gt;=100000), " ",IF(INDEX($AB$2:$AQ$1001,MATCH(ROWS($U$2:U768),$U$2:$U$1001,0),MATCH(COLUMNS($AB$1006:AI1006),$AB$1006:$AQ$1006,0)), HYPERLINK("#",""), HYPERLINK(CONCATENATE("#metadata!", ADDRESS(INDEX($W$2:$W$1001,MATCH(ROWS($U$2:U768),$U$2:$U$1001,0),0), INDEX($AB$1004:$AQ$1004,1,MATCH(COLUMNS($AB$1006:AI1006),$AB$1006:$AQ$1006,0)))),"Fix")))</f>
        <v>0</v>
      </c>
      <c r="J768" s="4">
        <f>IF(OR(INDEX($V$2:$V$1001,MATCH(ROWS($U$2:U768),$U$2:$U$1001,0),1)&gt;=100000,INDEX($AB$1005:$AQ$1005,1,MATCH(COLUMNS($AB$1006:AJ1006),$AB$1006:$AQ$1006,0))&gt;=100000), " ",IF(INDEX($AB$2:$AQ$1001,MATCH(ROWS($U$2:U768),$U$2:$U$1001,0),MATCH(COLUMNS($AB$1006:AJ1006),$AB$1006:$AQ$1006,0)), HYPERLINK("#",""), HYPERLINK(CONCATENATE("#metadata!", ADDRESS(INDEX($W$2:$W$1001,MATCH(ROWS($U$2:U768),$U$2:$U$1001,0),0), INDEX($AB$1004:$AQ$1004,1,MATCH(COLUMNS($AB$1006:AJ1006),$AB$1006:$AQ$1006,0)))),"Fix")))</f>
        <v>0</v>
      </c>
      <c r="K768" s="4">
        <f>IF(OR(INDEX($V$2:$V$1001,MATCH(ROWS($U$2:U768),$U$2:$U$1001,0),1)&gt;=100000,INDEX($AB$1005:$AQ$1005,1,MATCH(COLUMNS($AB$1006:AK1006),$AB$1006:$AQ$1006,0))&gt;=100000), " ",IF(INDEX($AB$2:$AQ$1001,MATCH(ROWS($U$2:U768),$U$2:$U$1001,0),MATCH(COLUMNS($AB$1006:AK1006),$AB$1006:$AQ$1006,0)), HYPERLINK("#",""), HYPERLINK(CONCATENATE("#metadata!", ADDRESS(INDEX($W$2:$W$1001,MATCH(ROWS($U$2:U768),$U$2:$U$1001,0),0), INDEX($AB$1004:$AQ$1004,1,MATCH(COLUMNS($AB$1006:AK1006),$AB$1006:$AQ$1006,0)))),"Fix")))</f>
        <v>0</v>
      </c>
      <c r="L768" s="4">
        <f>IF(OR(INDEX($V$2:$V$1001,MATCH(ROWS($U$2:U768),$U$2:$U$1001,0),1)&gt;=100000,INDEX($AB$1005:$AQ$1005,1,MATCH(COLUMNS($AB$1006:AL1006),$AB$1006:$AQ$1006,0))&gt;=100000), " ",IF(INDEX($AB$2:$AQ$1001,MATCH(ROWS($U$2:U768),$U$2:$U$1001,0),MATCH(COLUMNS($AB$1006:AL1006),$AB$1006:$AQ$1006,0)), HYPERLINK("#",""), HYPERLINK(CONCATENATE("#metadata!", ADDRESS(INDEX($W$2:$W$1001,MATCH(ROWS($U$2:U768),$U$2:$U$1001,0),0), INDEX($AB$1004:$AQ$1004,1,MATCH(COLUMNS($AB$1006:AL1006),$AB$1006:$AQ$1006,0)))),"Fix")))</f>
        <v>0</v>
      </c>
      <c r="M768" s="4">
        <f>IF(OR(INDEX($V$2:$V$1001,MATCH(ROWS($U$2:U768),$U$2:$U$1001,0),1)&gt;=100000,INDEX($AB$1005:$AQ$1005,1,MATCH(COLUMNS($AB$1006:AM1006),$AB$1006:$AQ$1006,0))&gt;=100000), " ",IF(INDEX($AB$2:$AQ$1001,MATCH(ROWS($U$2:U768),$U$2:$U$1001,0),MATCH(COLUMNS($AB$1006:AM1006),$AB$1006:$AQ$1006,0)), HYPERLINK("#",""), HYPERLINK(CONCATENATE("#metadata!", ADDRESS(INDEX($W$2:$W$1001,MATCH(ROWS($U$2:U768),$U$2:$U$1001,0),0), INDEX($AB$1004:$AQ$1004,1,MATCH(COLUMNS($AB$1006:AM1006),$AB$1006:$AQ$1006,0)))),"Fix")))</f>
        <v>0</v>
      </c>
      <c r="N768" s="4">
        <f>IF(OR(INDEX($V$2:$V$1001,MATCH(ROWS($U$2:U768),$U$2:$U$1001,0),1)&gt;=100000,INDEX($AB$1005:$AQ$1005,1,MATCH(COLUMNS($AB$1006:AN1006),$AB$1006:$AQ$1006,0))&gt;=100000), " ",IF(INDEX($AB$2:$AQ$1001,MATCH(ROWS($U$2:U768),$U$2:$U$1001,0),MATCH(COLUMNS($AB$1006:AN1006),$AB$1006:$AQ$1006,0)), HYPERLINK("#",""), HYPERLINK(CONCATENATE("#metadata!", ADDRESS(INDEX($W$2:$W$1001,MATCH(ROWS($U$2:U768),$U$2:$U$1001,0),0), INDEX($AB$1004:$AQ$1004,1,MATCH(COLUMNS($AB$1006:AN1006),$AB$1006:$AQ$1006,0)))),"Fix")))</f>
        <v>0</v>
      </c>
      <c r="O768" s="4">
        <f>IF(OR(INDEX($V$2:$V$1001,MATCH(ROWS($U$2:U768),$U$2:$U$1001,0),1)&gt;=100000,INDEX($AB$1005:$AQ$1005,1,MATCH(COLUMNS($AB$1006:AO1006),$AB$1006:$AQ$1006,0))&gt;=100000), " ",IF(INDEX($AB$2:$AQ$1001,MATCH(ROWS($U$2:U768),$U$2:$U$1001,0),MATCH(COLUMNS($AB$1006:AO1006),$AB$1006:$AQ$1006,0)), HYPERLINK("#",""), HYPERLINK(CONCATENATE("#metadata!", ADDRESS(INDEX($W$2:$W$1001,MATCH(ROWS($U$2:U768),$U$2:$U$1001,0),0), INDEX($AB$1004:$AQ$1004,1,MATCH(COLUMNS($AB$1006:AO1006),$AB$1006:$AQ$1006,0)))),"Fix")))</f>
        <v>0</v>
      </c>
      <c r="P768" s="4">
        <f>IF(OR(INDEX($V$2:$V$1001,MATCH(ROWS($U$2:U768),$U$2:$U$1001,0),1)&gt;=100000,INDEX($AB$1005:$AQ$1005,1,MATCH(COLUMNS($AB$1006:AP1006),$AB$1006:$AQ$1006,0))&gt;=100000), " ",IF(INDEX($AB$2:$AQ$1001,MATCH(ROWS($U$2:U768),$U$2:$U$1001,0),MATCH(COLUMNS($AB$1006:AP1006),$AB$1006:$AQ$1006,0)), HYPERLINK("#",""), HYPERLINK(CONCATENATE("#metadata!", ADDRESS(INDEX($W$2:$W$1001,MATCH(ROWS($U$2:U768),$U$2:$U$1001,0),0), INDEX($AB$1004:$AQ$1004,1,MATCH(COLUMNS($AB$1006:AP1006),$AB$1006:$AQ$1006,0)))),"Fix")))</f>
        <v>0</v>
      </c>
      <c r="Q768" s="4">
        <f>IF(OR(INDEX($V$2:$V$1001,MATCH(ROWS($U$2:U768),$U$2:$U$1001,0),1)&gt;=100000,INDEX($AB$1005:$AQ$1005,1,MATCH(COLUMNS($AB$1006:AQ1006),$AB$1006:$AQ$1006,0))&gt;=100000), " ",IF(INDEX($AB$2:$AQ$1001,MATCH(ROWS($U$2:U768),$U$2:$U$1001,0),MATCH(COLUMNS($AB$1006:AQ1006),$AB$1006:$AQ$1006,0)), HYPERLINK("#",""), HYPERLINK(CONCATENATE("#metadata!", ADDRESS(INDEX($W$2:$W$1001,MATCH(ROWS($U$2:U768),$U$2:$U$1001,0),0), INDEX($AB$1004:$AQ$1004,1,MATCH(COLUMNS($AB$1006:AQ1006),$AB$1006:$AQ$1006,0)))),"Fix")))</f>
        <v>0</v>
      </c>
      <c r="U768">
        <v>0</v>
      </c>
      <c r="V768">
        <v>0</v>
      </c>
      <c r="W768">
        <v>0</v>
      </c>
      <c r="X768">
        <f>IF(Y768,TRUE,AND(AB768:AQ768))</f>
        <v>0</v>
      </c>
      <c r="Y768">
        <f>COUNTBLANK(metadata!B768:Q768)=COLUMNS(metadata!B768:Q768)</f>
        <v>0</v>
      </c>
      <c r="Z768">
        <v>0</v>
      </c>
      <c r="AB768">
        <f>AND(IF(metadata!B768="",FALSE,TRUE),COUNTIF(metadata!B:B, metadata!B768) = 1,NOT(ISERROR(SUMPRODUCT(SEARCH(MID(metadata!B768,ROW(INDIRECT("1:"&amp;LEN(metadata!B768))), 1),"0123456789abcdefghijklmnopqrstuvwxyzABCDEFGHIJKLMNOPQRSTUVWXYZ.")))))</f>
        <v>0</v>
      </c>
      <c r="AC768">
        <f>OR(AND(IF(metadata!C768="",FALSE,TRUE),OR(exact(metadata!C768,"missing: not collected"),exact(metadata!C768,"missing: not provided"),exact(metadata!C768,"missing: restricted access"))),AND(IF(metadata!C768="",FALSE,TRUE),AND(AND(IFERROR(INT(LEFT(metadata!C768,4))&gt;1900,FALSE),IFERROR(INT(LEFT(metadata!C768,4))&lt;=YEAR(NOW()),FALSE)), OR(MID(metadata!C768,5,1)="", AND(AND(MID(metadata!C768,5,1)="-",IFERROR(INT(MID(metadata!C768,6,1))&gt;=0,FALSE),IFERROR(INT(MID(metadata!C768,6,1))&lt;=1,FALSE),NOT(MID(metadata!C768,7,1)=""),IFERROR(INT(MID(metadata!C768,6,2))&gt;=1,FALSE),IFERROR(INT(MID(metadata!C768,6,2))&lt;=12,FALSE)), OR(MID(metadata!C768,8,1)="", AND(AND(MID(metadata!C768,8,1)="-",IFERROR(INT(MID(metadata!C768,9,1))&gt;=0,FALSE),IFERROR(INT(MID(metadata!C768,9,1))&lt;=3,FALSE),NOT(MID(metadata!C768,10,1)=""),IFERROR(INT(MID(metadata!C768,9,2))&gt;=1,FALSE),IFERROR(INT(MID(metadata!C768,9,2))&lt;=31,FALSE)), OR(MID(metadata!C768,11,1)="", AND(AND(MID(metadata!C768,11,1)=" ",IFERROR(INT(MID(metadata!C768,12,1))&gt;=0,FALSE),IFERROR(INT(MID(metadata!C768,12,1))&lt;=2,FALSE),NOT(MID(metadata!C768,13,1)=""),IFERROR(INT(MID(metadata!C768,12,2))&gt;=0,FALSE),IFERROR(INT(MID(metadata!C768,12,2))&lt;=23,FALSE)), OR(MID(metadata!C768,14,1)="", AND(AND(MID(metadata!C768,14,1)=":",IFERROR(INT(MID(metadata!C768,15,1))&gt;=0,FALSE),IFERROR(INT(MID(metadata!C768,15,1))&lt;=5,FALSE),NOT(MID(metadata!C768,16,1)=""),IFERROR(INT(MID(metadata!C768,15,2))&gt;=0,FALSE),IFERROR(INT(MID(metadata!C768,15,2))&lt;=59,FALSE)), OR(MID(metadata!C768,17,1)="", AND(AND(MID(metadata!C768,17,1)=":",IFERROR(INT(MID(metadata!C768,18,1))&gt;=0,FALSE),IFERROR(INT(MID(metadata!C768,18,1))&lt;=5,FALSE),NOT(MID(metadata!C768,19,1)=""),IFERROR(INT(MID(metadata!C768,18,2))&gt;=0,FALSE),IFERROR(INT(MID(metadata!C768,18,2))&lt;=59,FALSE)), LEN(metadata!C768)&lt;=19)))))))))))))</f>
        <v>0</v>
      </c>
      <c r="AD768">
        <f>IF(metadata!D768="",FALSE,TRUE)</f>
        <v>0</v>
      </c>
      <c r="AE768">
        <f>OR(AND(IF(metadata!E768="",FALSE,TRUE),OR(exact(metadata!E768,"missing: not collected"),exact(metadata!E768,"missing: not provided"))),AND(IF(metadata!E768="",FALSE,TRUE),OR(exact(metadata!E768,"TRUE"),exact(metadata!E768,"FALSE"))))</f>
        <v>0</v>
      </c>
      <c r="AF768">
        <f>IF(metadata!F768="",FALSE,TRUE)</f>
        <v>0</v>
      </c>
      <c r="AG768">
        <f>IF(metadata!G768="",FALSE,TRUE)</f>
        <v>0</v>
      </c>
      <c r="AH768">
        <f>IF(metadata!H768="",FALSE,TRUE)</f>
        <v>0</v>
      </c>
      <c r="AI768">
        <f>OR(AND(IF(metadata!I768="",FALSE,TRUE),OR(exact(metadata!I768,"missing: not collected"),exact(metadata!I768,"missing: not provided"),exact(metadata!I768,"missing: restricted access"))),AND(IF(metadata!I768="",FALSE,TRUE),OR(exact(metadata!I768,"air"),exact(metadata!I768,"built environment"),exact(metadata!I768,"host-associated"),exact(metadata!I768,"human-associated"),exact(metadata!I768,"human-skin"),exact(metadata!I768,"human-oral"),exact(metadata!I768,"human-gut"),exact(metadata!I768,"human-vaginal"),exact(metadata!I768,"microbial mat/biofilm"),exact(metadata!I768,"misc environment"),exact(metadata!I768,"plant-associated"),exact(metadata!I768,"sediment"),exact(metadata!I768,"soil"),exact(metadata!I768,"wastewater/sludge"),exact(metadata!I768,"water"))))</f>
        <v>0</v>
      </c>
      <c r="AJ768">
        <f>IF(metadata!J768="",FALSE,TRUE)</f>
        <v>0</v>
      </c>
      <c r="AK768">
        <f>OR(AND(IF(metadata!K768="",FALSE,TRUE),OR(exact(metadata!K768,"missing: not collected"),exact(metadata!K768,"missing: not provided"),exact(metadata!K768,"missing: restricted access"))),AND(IF(metadata!K768="",FALSE,ISNUMBER(VALUE(metadata!K768))),metadata!K768&gt;=-90.00,metadata!K768&lt;=90.00))</f>
        <v>0</v>
      </c>
      <c r="AL768">
        <f>OR(AND(IF(metadata!L768="",FALSE,TRUE),OR(exact(metadata!L768,"missing: not collected"),exact(metadata!L768,"missing: not provided"),exact(metadata!L768,"missing: restricted access"))),AND(IF(metadata!L768="",FALSE,ISNUMBER(VALUE(metadata!L768))),metadata!L768&gt;=-180.00,metadata!L768&lt;=180.00))</f>
        <v>0</v>
      </c>
      <c r="AM768">
        <f>IF(metadata!M768="",FALSE,TRUE)</f>
        <v>0</v>
      </c>
      <c r="AN768">
        <f>OR(AND(IF(metadata!N768="",FALSE,TRUE),OR(exact(metadata!N768,"missing: not collected"),exact(metadata!N768,"missing: not provided"),exact(metadata!N768,"missing: restricted access"))),AND(IF(metadata!N768="",FALSE,TRUE),OR(exact(metadata!N768,"TRUE"),exact(metadata!N768,"FALSE"))))</f>
        <v>0</v>
      </c>
      <c r="AO768">
        <f>IF(metadata!O768="",FALSE,TRUE)</f>
        <v>0</v>
      </c>
      <c r="AP768">
        <f>OR(AND(IF(metadata!P768="",FALSE,TRUE),OR(exact(metadata!P768,"missing: not collected"),exact(metadata!P768,"missing: not provided"))),AND(IF(metadata!P768="",FALSE,IF(ISERROR(INT(metadata!P768)),FALSE,INT(metadata!P768)=metadata!P768)),metadata!P768&gt;0))</f>
        <v>0</v>
      </c>
      <c r="AQ768">
        <f>IF(metadata!Q768="",FALSE,TRUE)</f>
        <v>0</v>
      </c>
    </row>
    <row r="769" spans="1:43">
      <c r="A769" s="5">
        <f>IF(B769=" "," ",HYPERLINK(CONCATENATE("#metadata!",ADDRESS(INDEX($W$2:$W$1001,MATCH(ROWS($U$2:U769),$U$2:$U$1001,0),0),1)),INDEX($Z$2:$Z$1001,MATCH(ROWS($U$2:U769),$U$2:$U$1001,0),0)))</f>
        <v>0</v>
      </c>
      <c r="B769" s="4">
        <f>IF(OR(INDEX($V$2:$V$1001,MATCH(ROWS($U$2:U769),$U$2:$U$1001,0),1)&gt;=100000,INDEX($AB$1005:$AQ$1005,1,MATCH(COLUMNS($AB$1006:AB1006),$AB$1006:$AQ$1006,0))&gt;=100000), " ",IF(INDEX($AB$2:$AQ$1001,MATCH(ROWS($U$2:U769),$U$2:$U$1001,0),MATCH(COLUMNS($AB$1006:AB1006),$AB$1006:$AQ$1006,0)), HYPERLINK("#",""), HYPERLINK(CONCATENATE("#metadata!", ADDRESS(INDEX($W$2:$W$1001,MATCH(ROWS($U$2:U769),$U$2:$U$1001,0),0), INDEX($AB$1004:$AQ$1004,1,MATCH(COLUMNS($AB$1006:AB1006),$AB$1006:$AQ$1006,0)))),"Fix")))</f>
        <v>0</v>
      </c>
      <c r="C769" s="4">
        <f>IF(OR(INDEX($V$2:$V$1001,MATCH(ROWS($U$2:U769),$U$2:$U$1001,0),1)&gt;=100000,INDEX($AB$1005:$AQ$1005,1,MATCH(COLUMNS($AB$1006:AC1006),$AB$1006:$AQ$1006,0))&gt;=100000), " ",IF(INDEX($AB$2:$AQ$1001,MATCH(ROWS($U$2:U769),$U$2:$U$1001,0),MATCH(COLUMNS($AB$1006:AC1006),$AB$1006:$AQ$1006,0)), HYPERLINK("#",""), HYPERLINK(CONCATENATE("#metadata!", ADDRESS(INDEX($W$2:$W$1001,MATCH(ROWS($U$2:U769),$U$2:$U$1001,0),0), INDEX($AB$1004:$AQ$1004,1,MATCH(COLUMNS($AB$1006:AC1006),$AB$1006:$AQ$1006,0)))),"Fix")))</f>
        <v>0</v>
      </c>
      <c r="D769" s="4">
        <f>IF(OR(INDEX($V$2:$V$1001,MATCH(ROWS($U$2:U769),$U$2:$U$1001,0),1)&gt;=100000,INDEX($AB$1005:$AQ$1005,1,MATCH(COLUMNS($AB$1006:AD1006),$AB$1006:$AQ$1006,0))&gt;=100000), " ",IF(INDEX($AB$2:$AQ$1001,MATCH(ROWS($U$2:U769),$U$2:$U$1001,0),MATCH(COLUMNS($AB$1006:AD1006),$AB$1006:$AQ$1006,0)), HYPERLINK("#",""), HYPERLINK(CONCATENATE("#metadata!", ADDRESS(INDEX($W$2:$W$1001,MATCH(ROWS($U$2:U769),$U$2:$U$1001,0),0), INDEX($AB$1004:$AQ$1004,1,MATCH(COLUMNS($AB$1006:AD1006),$AB$1006:$AQ$1006,0)))),"Fix")))</f>
        <v>0</v>
      </c>
      <c r="E769" s="4">
        <f>IF(OR(INDEX($V$2:$V$1001,MATCH(ROWS($U$2:U769),$U$2:$U$1001,0),1)&gt;=100000,INDEX($AB$1005:$AQ$1005,1,MATCH(COLUMNS($AB$1006:AE1006),$AB$1006:$AQ$1006,0))&gt;=100000), " ",IF(INDEX($AB$2:$AQ$1001,MATCH(ROWS($U$2:U769),$U$2:$U$1001,0),MATCH(COLUMNS($AB$1006:AE1006),$AB$1006:$AQ$1006,0)), HYPERLINK("#",""), HYPERLINK(CONCATENATE("#metadata!", ADDRESS(INDEX($W$2:$W$1001,MATCH(ROWS($U$2:U769),$U$2:$U$1001,0),0), INDEX($AB$1004:$AQ$1004,1,MATCH(COLUMNS($AB$1006:AE1006),$AB$1006:$AQ$1006,0)))),"Fix")))</f>
        <v>0</v>
      </c>
      <c r="F769" s="4">
        <f>IF(OR(INDEX($V$2:$V$1001,MATCH(ROWS($U$2:U769),$U$2:$U$1001,0),1)&gt;=100000,INDEX($AB$1005:$AQ$1005,1,MATCH(COLUMNS($AB$1006:AF1006),$AB$1006:$AQ$1006,0))&gt;=100000), " ",IF(INDEX($AB$2:$AQ$1001,MATCH(ROWS($U$2:U769),$U$2:$U$1001,0),MATCH(COLUMNS($AB$1006:AF1006),$AB$1006:$AQ$1006,0)), HYPERLINK("#",""), HYPERLINK(CONCATENATE("#metadata!", ADDRESS(INDEX($W$2:$W$1001,MATCH(ROWS($U$2:U769),$U$2:$U$1001,0),0), INDEX($AB$1004:$AQ$1004,1,MATCH(COLUMNS($AB$1006:AF1006),$AB$1006:$AQ$1006,0)))),"Fix")))</f>
        <v>0</v>
      </c>
      <c r="G769" s="4">
        <f>IF(OR(INDEX($V$2:$V$1001,MATCH(ROWS($U$2:U769),$U$2:$U$1001,0),1)&gt;=100000,INDEX($AB$1005:$AQ$1005,1,MATCH(COLUMNS($AB$1006:AG1006),$AB$1006:$AQ$1006,0))&gt;=100000), " ",IF(INDEX($AB$2:$AQ$1001,MATCH(ROWS($U$2:U769),$U$2:$U$1001,0),MATCH(COLUMNS($AB$1006:AG1006),$AB$1006:$AQ$1006,0)), HYPERLINK("#",""), HYPERLINK(CONCATENATE("#metadata!", ADDRESS(INDEX($W$2:$W$1001,MATCH(ROWS($U$2:U769),$U$2:$U$1001,0),0), INDEX($AB$1004:$AQ$1004,1,MATCH(COLUMNS($AB$1006:AG1006),$AB$1006:$AQ$1006,0)))),"Fix")))</f>
        <v>0</v>
      </c>
      <c r="H769" s="4">
        <f>IF(OR(INDEX($V$2:$V$1001,MATCH(ROWS($U$2:U769),$U$2:$U$1001,0),1)&gt;=100000,INDEX($AB$1005:$AQ$1005,1,MATCH(COLUMNS($AB$1006:AH1006),$AB$1006:$AQ$1006,0))&gt;=100000), " ",IF(INDEX($AB$2:$AQ$1001,MATCH(ROWS($U$2:U769),$U$2:$U$1001,0),MATCH(COLUMNS($AB$1006:AH1006),$AB$1006:$AQ$1006,0)), HYPERLINK("#",""), HYPERLINK(CONCATENATE("#metadata!", ADDRESS(INDEX($W$2:$W$1001,MATCH(ROWS($U$2:U769),$U$2:$U$1001,0),0), INDEX($AB$1004:$AQ$1004,1,MATCH(COLUMNS($AB$1006:AH1006),$AB$1006:$AQ$1006,0)))),"Fix")))</f>
        <v>0</v>
      </c>
      <c r="I769" s="4">
        <f>IF(OR(INDEX($V$2:$V$1001,MATCH(ROWS($U$2:U769),$U$2:$U$1001,0),1)&gt;=100000,INDEX($AB$1005:$AQ$1005,1,MATCH(COLUMNS($AB$1006:AI1006),$AB$1006:$AQ$1006,0))&gt;=100000), " ",IF(INDEX($AB$2:$AQ$1001,MATCH(ROWS($U$2:U769),$U$2:$U$1001,0),MATCH(COLUMNS($AB$1006:AI1006),$AB$1006:$AQ$1006,0)), HYPERLINK("#",""), HYPERLINK(CONCATENATE("#metadata!", ADDRESS(INDEX($W$2:$W$1001,MATCH(ROWS($U$2:U769),$U$2:$U$1001,0),0), INDEX($AB$1004:$AQ$1004,1,MATCH(COLUMNS($AB$1006:AI1006),$AB$1006:$AQ$1006,0)))),"Fix")))</f>
        <v>0</v>
      </c>
      <c r="J769" s="4">
        <f>IF(OR(INDEX($V$2:$V$1001,MATCH(ROWS($U$2:U769),$U$2:$U$1001,0),1)&gt;=100000,INDEX($AB$1005:$AQ$1005,1,MATCH(COLUMNS($AB$1006:AJ1006),$AB$1006:$AQ$1006,0))&gt;=100000), " ",IF(INDEX($AB$2:$AQ$1001,MATCH(ROWS($U$2:U769),$U$2:$U$1001,0),MATCH(COLUMNS($AB$1006:AJ1006),$AB$1006:$AQ$1006,0)), HYPERLINK("#",""), HYPERLINK(CONCATENATE("#metadata!", ADDRESS(INDEX($W$2:$W$1001,MATCH(ROWS($U$2:U769),$U$2:$U$1001,0),0), INDEX($AB$1004:$AQ$1004,1,MATCH(COLUMNS($AB$1006:AJ1006),$AB$1006:$AQ$1006,0)))),"Fix")))</f>
        <v>0</v>
      </c>
      <c r="K769" s="4">
        <f>IF(OR(INDEX($V$2:$V$1001,MATCH(ROWS($U$2:U769),$U$2:$U$1001,0),1)&gt;=100000,INDEX($AB$1005:$AQ$1005,1,MATCH(COLUMNS($AB$1006:AK1006),$AB$1006:$AQ$1006,0))&gt;=100000), " ",IF(INDEX($AB$2:$AQ$1001,MATCH(ROWS($U$2:U769),$U$2:$U$1001,0),MATCH(COLUMNS($AB$1006:AK1006),$AB$1006:$AQ$1006,0)), HYPERLINK("#",""), HYPERLINK(CONCATENATE("#metadata!", ADDRESS(INDEX($W$2:$W$1001,MATCH(ROWS($U$2:U769),$U$2:$U$1001,0),0), INDEX($AB$1004:$AQ$1004,1,MATCH(COLUMNS($AB$1006:AK1006),$AB$1006:$AQ$1006,0)))),"Fix")))</f>
        <v>0</v>
      </c>
      <c r="L769" s="4">
        <f>IF(OR(INDEX($V$2:$V$1001,MATCH(ROWS($U$2:U769),$U$2:$U$1001,0),1)&gt;=100000,INDEX($AB$1005:$AQ$1005,1,MATCH(COLUMNS($AB$1006:AL1006),$AB$1006:$AQ$1006,0))&gt;=100000), " ",IF(INDEX($AB$2:$AQ$1001,MATCH(ROWS($U$2:U769),$U$2:$U$1001,0),MATCH(COLUMNS($AB$1006:AL1006),$AB$1006:$AQ$1006,0)), HYPERLINK("#",""), HYPERLINK(CONCATENATE("#metadata!", ADDRESS(INDEX($W$2:$W$1001,MATCH(ROWS($U$2:U769),$U$2:$U$1001,0),0), INDEX($AB$1004:$AQ$1004,1,MATCH(COLUMNS($AB$1006:AL1006),$AB$1006:$AQ$1006,0)))),"Fix")))</f>
        <v>0</v>
      </c>
      <c r="M769" s="4">
        <f>IF(OR(INDEX($V$2:$V$1001,MATCH(ROWS($U$2:U769),$U$2:$U$1001,0),1)&gt;=100000,INDEX($AB$1005:$AQ$1005,1,MATCH(COLUMNS($AB$1006:AM1006),$AB$1006:$AQ$1006,0))&gt;=100000), " ",IF(INDEX($AB$2:$AQ$1001,MATCH(ROWS($U$2:U769),$U$2:$U$1001,0),MATCH(COLUMNS($AB$1006:AM1006),$AB$1006:$AQ$1006,0)), HYPERLINK("#",""), HYPERLINK(CONCATENATE("#metadata!", ADDRESS(INDEX($W$2:$W$1001,MATCH(ROWS($U$2:U769),$U$2:$U$1001,0),0), INDEX($AB$1004:$AQ$1004,1,MATCH(COLUMNS($AB$1006:AM1006),$AB$1006:$AQ$1006,0)))),"Fix")))</f>
        <v>0</v>
      </c>
      <c r="N769" s="4">
        <f>IF(OR(INDEX($V$2:$V$1001,MATCH(ROWS($U$2:U769),$U$2:$U$1001,0),1)&gt;=100000,INDEX($AB$1005:$AQ$1005,1,MATCH(COLUMNS($AB$1006:AN1006),$AB$1006:$AQ$1006,0))&gt;=100000), " ",IF(INDEX($AB$2:$AQ$1001,MATCH(ROWS($U$2:U769),$U$2:$U$1001,0),MATCH(COLUMNS($AB$1006:AN1006),$AB$1006:$AQ$1006,0)), HYPERLINK("#",""), HYPERLINK(CONCATENATE("#metadata!", ADDRESS(INDEX($W$2:$W$1001,MATCH(ROWS($U$2:U769),$U$2:$U$1001,0),0), INDEX($AB$1004:$AQ$1004,1,MATCH(COLUMNS($AB$1006:AN1006),$AB$1006:$AQ$1006,0)))),"Fix")))</f>
        <v>0</v>
      </c>
      <c r="O769" s="4">
        <f>IF(OR(INDEX($V$2:$V$1001,MATCH(ROWS($U$2:U769),$U$2:$U$1001,0),1)&gt;=100000,INDEX($AB$1005:$AQ$1005,1,MATCH(COLUMNS($AB$1006:AO1006),$AB$1006:$AQ$1006,0))&gt;=100000), " ",IF(INDEX($AB$2:$AQ$1001,MATCH(ROWS($U$2:U769),$U$2:$U$1001,0),MATCH(COLUMNS($AB$1006:AO1006),$AB$1006:$AQ$1006,0)), HYPERLINK("#",""), HYPERLINK(CONCATENATE("#metadata!", ADDRESS(INDEX($W$2:$W$1001,MATCH(ROWS($U$2:U769),$U$2:$U$1001,0),0), INDEX($AB$1004:$AQ$1004,1,MATCH(COLUMNS($AB$1006:AO1006),$AB$1006:$AQ$1006,0)))),"Fix")))</f>
        <v>0</v>
      </c>
      <c r="P769" s="4">
        <f>IF(OR(INDEX($V$2:$V$1001,MATCH(ROWS($U$2:U769),$U$2:$U$1001,0),1)&gt;=100000,INDEX($AB$1005:$AQ$1005,1,MATCH(COLUMNS($AB$1006:AP1006),$AB$1006:$AQ$1006,0))&gt;=100000), " ",IF(INDEX($AB$2:$AQ$1001,MATCH(ROWS($U$2:U769),$U$2:$U$1001,0),MATCH(COLUMNS($AB$1006:AP1006),$AB$1006:$AQ$1006,0)), HYPERLINK("#",""), HYPERLINK(CONCATENATE("#metadata!", ADDRESS(INDEX($W$2:$W$1001,MATCH(ROWS($U$2:U769),$U$2:$U$1001,0),0), INDEX($AB$1004:$AQ$1004,1,MATCH(COLUMNS($AB$1006:AP1006),$AB$1006:$AQ$1006,0)))),"Fix")))</f>
        <v>0</v>
      </c>
      <c r="Q769" s="4">
        <f>IF(OR(INDEX($V$2:$V$1001,MATCH(ROWS($U$2:U769),$U$2:$U$1001,0),1)&gt;=100000,INDEX($AB$1005:$AQ$1005,1,MATCH(COLUMNS($AB$1006:AQ1006),$AB$1006:$AQ$1006,0))&gt;=100000), " ",IF(INDEX($AB$2:$AQ$1001,MATCH(ROWS($U$2:U769),$U$2:$U$1001,0),MATCH(COLUMNS($AB$1006:AQ1006),$AB$1006:$AQ$1006,0)), HYPERLINK("#",""), HYPERLINK(CONCATENATE("#metadata!", ADDRESS(INDEX($W$2:$W$1001,MATCH(ROWS($U$2:U769),$U$2:$U$1001,0),0), INDEX($AB$1004:$AQ$1004,1,MATCH(COLUMNS($AB$1006:AQ1006),$AB$1006:$AQ$1006,0)))),"Fix")))</f>
        <v>0</v>
      </c>
      <c r="U769">
        <v>0</v>
      </c>
      <c r="V769">
        <v>0</v>
      </c>
      <c r="W769">
        <v>0</v>
      </c>
      <c r="X769">
        <f>IF(Y769,TRUE,AND(AB769:AQ769))</f>
        <v>0</v>
      </c>
      <c r="Y769">
        <f>COUNTBLANK(metadata!B769:Q769)=COLUMNS(metadata!B769:Q769)</f>
        <v>0</v>
      </c>
      <c r="Z769">
        <v>0</v>
      </c>
      <c r="AB769">
        <f>AND(IF(metadata!B769="",FALSE,TRUE),COUNTIF(metadata!B:B, metadata!B769) = 1,NOT(ISERROR(SUMPRODUCT(SEARCH(MID(metadata!B769,ROW(INDIRECT("1:"&amp;LEN(metadata!B769))), 1),"0123456789abcdefghijklmnopqrstuvwxyzABCDEFGHIJKLMNOPQRSTUVWXYZ.")))))</f>
        <v>0</v>
      </c>
      <c r="AC769">
        <f>OR(AND(IF(metadata!C769="",FALSE,TRUE),OR(exact(metadata!C769,"missing: not collected"),exact(metadata!C769,"missing: not provided"),exact(metadata!C769,"missing: restricted access"))),AND(IF(metadata!C769="",FALSE,TRUE),AND(AND(IFERROR(INT(LEFT(metadata!C769,4))&gt;1900,FALSE),IFERROR(INT(LEFT(metadata!C769,4))&lt;=YEAR(NOW()),FALSE)), OR(MID(metadata!C769,5,1)="", AND(AND(MID(metadata!C769,5,1)="-",IFERROR(INT(MID(metadata!C769,6,1))&gt;=0,FALSE),IFERROR(INT(MID(metadata!C769,6,1))&lt;=1,FALSE),NOT(MID(metadata!C769,7,1)=""),IFERROR(INT(MID(metadata!C769,6,2))&gt;=1,FALSE),IFERROR(INT(MID(metadata!C769,6,2))&lt;=12,FALSE)), OR(MID(metadata!C769,8,1)="", AND(AND(MID(metadata!C769,8,1)="-",IFERROR(INT(MID(metadata!C769,9,1))&gt;=0,FALSE),IFERROR(INT(MID(metadata!C769,9,1))&lt;=3,FALSE),NOT(MID(metadata!C769,10,1)=""),IFERROR(INT(MID(metadata!C769,9,2))&gt;=1,FALSE),IFERROR(INT(MID(metadata!C769,9,2))&lt;=31,FALSE)), OR(MID(metadata!C769,11,1)="", AND(AND(MID(metadata!C769,11,1)=" ",IFERROR(INT(MID(metadata!C769,12,1))&gt;=0,FALSE),IFERROR(INT(MID(metadata!C769,12,1))&lt;=2,FALSE),NOT(MID(metadata!C769,13,1)=""),IFERROR(INT(MID(metadata!C769,12,2))&gt;=0,FALSE),IFERROR(INT(MID(metadata!C769,12,2))&lt;=23,FALSE)), OR(MID(metadata!C769,14,1)="", AND(AND(MID(metadata!C769,14,1)=":",IFERROR(INT(MID(metadata!C769,15,1))&gt;=0,FALSE),IFERROR(INT(MID(metadata!C769,15,1))&lt;=5,FALSE),NOT(MID(metadata!C769,16,1)=""),IFERROR(INT(MID(metadata!C769,15,2))&gt;=0,FALSE),IFERROR(INT(MID(metadata!C769,15,2))&lt;=59,FALSE)), OR(MID(metadata!C769,17,1)="", AND(AND(MID(metadata!C769,17,1)=":",IFERROR(INT(MID(metadata!C769,18,1))&gt;=0,FALSE),IFERROR(INT(MID(metadata!C769,18,1))&lt;=5,FALSE),NOT(MID(metadata!C769,19,1)=""),IFERROR(INT(MID(metadata!C769,18,2))&gt;=0,FALSE),IFERROR(INT(MID(metadata!C769,18,2))&lt;=59,FALSE)), LEN(metadata!C769)&lt;=19)))))))))))))</f>
        <v>0</v>
      </c>
      <c r="AD769">
        <f>IF(metadata!D769="",FALSE,TRUE)</f>
        <v>0</v>
      </c>
      <c r="AE769">
        <f>OR(AND(IF(metadata!E769="",FALSE,TRUE),OR(exact(metadata!E769,"missing: not collected"),exact(metadata!E769,"missing: not provided"))),AND(IF(metadata!E769="",FALSE,TRUE),OR(exact(metadata!E769,"TRUE"),exact(metadata!E769,"FALSE"))))</f>
        <v>0</v>
      </c>
      <c r="AF769">
        <f>IF(metadata!F769="",FALSE,TRUE)</f>
        <v>0</v>
      </c>
      <c r="AG769">
        <f>IF(metadata!G769="",FALSE,TRUE)</f>
        <v>0</v>
      </c>
      <c r="AH769">
        <f>IF(metadata!H769="",FALSE,TRUE)</f>
        <v>0</v>
      </c>
      <c r="AI769">
        <f>OR(AND(IF(metadata!I769="",FALSE,TRUE),OR(exact(metadata!I769,"missing: not collected"),exact(metadata!I769,"missing: not provided"),exact(metadata!I769,"missing: restricted access"))),AND(IF(metadata!I769="",FALSE,TRUE),OR(exact(metadata!I769,"air"),exact(metadata!I769,"built environment"),exact(metadata!I769,"host-associated"),exact(metadata!I769,"human-associated"),exact(metadata!I769,"human-skin"),exact(metadata!I769,"human-oral"),exact(metadata!I769,"human-gut"),exact(metadata!I769,"human-vaginal"),exact(metadata!I769,"microbial mat/biofilm"),exact(metadata!I769,"misc environment"),exact(metadata!I769,"plant-associated"),exact(metadata!I769,"sediment"),exact(metadata!I769,"soil"),exact(metadata!I769,"wastewater/sludge"),exact(metadata!I769,"water"))))</f>
        <v>0</v>
      </c>
      <c r="AJ769">
        <f>IF(metadata!J769="",FALSE,TRUE)</f>
        <v>0</v>
      </c>
      <c r="AK769">
        <f>OR(AND(IF(metadata!K769="",FALSE,TRUE),OR(exact(metadata!K769,"missing: not collected"),exact(metadata!K769,"missing: not provided"),exact(metadata!K769,"missing: restricted access"))),AND(IF(metadata!K769="",FALSE,ISNUMBER(VALUE(metadata!K769))),metadata!K769&gt;=-90.00,metadata!K769&lt;=90.00))</f>
        <v>0</v>
      </c>
      <c r="AL769">
        <f>OR(AND(IF(metadata!L769="",FALSE,TRUE),OR(exact(metadata!L769,"missing: not collected"),exact(metadata!L769,"missing: not provided"),exact(metadata!L769,"missing: restricted access"))),AND(IF(metadata!L769="",FALSE,ISNUMBER(VALUE(metadata!L769))),metadata!L769&gt;=-180.00,metadata!L769&lt;=180.00))</f>
        <v>0</v>
      </c>
      <c r="AM769">
        <f>IF(metadata!M769="",FALSE,TRUE)</f>
        <v>0</v>
      </c>
      <c r="AN769">
        <f>OR(AND(IF(metadata!N769="",FALSE,TRUE),OR(exact(metadata!N769,"missing: not collected"),exact(metadata!N769,"missing: not provided"),exact(metadata!N769,"missing: restricted access"))),AND(IF(metadata!N769="",FALSE,TRUE),OR(exact(metadata!N769,"TRUE"),exact(metadata!N769,"FALSE"))))</f>
        <v>0</v>
      </c>
      <c r="AO769">
        <f>IF(metadata!O769="",FALSE,TRUE)</f>
        <v>0</v>
      </c>
      <c r="AP769">
        <f>OR(AND(IF(metadata!P769="",FALSE,TRUE),OR(exact(metadata!P769,"missing: not collected"),exact(metadata!P769,"missing: not provided"))),AND(IF(metadata!P769="",FALSE,IF(ISERROR(INT(metadata!P769)),FALSE,INT(metadata!P769)=metadata!P769)),metadata!P769&gt;0))</f>
        <v>0</v>
      </c>
      <c r="AQ769">
        <f>IF(metadata!Q769="",FALSE,TRUE)</f>
        <v>0</v>
      </c>
    </row>
    <row r="770" spans="1:43">
      <c r="A770" s="5">
        <f>IF(B770=" "," ",HYPERLINK(CONCATENATE("#metadata!",ADDRESS(INDEX($W$2:$W$1001,MATCH(ROWS($U$2:U770),$U$2:$U$1001,0),0),1)),INDEX($Z$2:$Z$1001,MATCH(ROWS($U$2:U770),$U$2:$U$1001,0),0)))</f>
        <v>0</v>
      </c>
      <c r="B770" s="4">
        <f>IF(OR(INDEX($V$2:$V$1001,MATCH(ROWS($U$2:U770),$U$2:$U$1001,0),1)&gt;=100000,INDEX($AB$1005:$AQ$1005,1,MATCH(COLUMNS($AB$1006:AB1006),$AB$1006:$AQ$1006,0))&gt;=100000), " ",IF(INDEX($AB$2:$AQ$1001,MATCH(ROWS($U$2:U770),$U$2:$U$1001,0),MATCH(COLUMNS($AB$1006:AB1006),$AB$1006:$AQ$1006,0)), HYPERLINK("#",""), HYPERLINK(CONCATENATE("#metadata!", ADDRESS(INDEX($W$2:$W$1001,MATCH(ROWS($U$2:U770),$U$2:$U$1001,0),0), INDEX($AB$1004:$AQ$1004,1,MATCH(COLUMNS($AB$1006:AB1006),$AB$1006:$AQ$1006,0)))),"Fix")))</f>
        <v>0</v>
      </c>
      <c r="C770" s="4">
        <f>IF(OR(INDEX($V$2:$V$1001,MATCH(ROWS($U$2:U770),$U$2:$U$1001,0),1)&gt;=100000,INDEX($AB$1005:$AQ$1005,1,MATCH(COLUMNS($AB$1006:AC1006),$AB$1006:$AQ$1006,0))&gt;=100000), " ",IF(INDEX($AB$2:$AQ$1001,MATCH(ROWS($U$2:U770),$U$2:$U$1001,0),MATCH(COLUMNS($AB$1006:AC1006),$AB$1006:$AQ$1006,0)), HYPERLINK("#",""), HYPERLINK(CONCATENATE("#metadata!", ADDRESS(INDEX($W$2:$W$1001,MATCH(ROWS($U$2:U770),$U$2:$U$1001,0),0), INDEX($AB$1004:$AQ$1004,1,MATCH(COLUMNS($AB$1006:AC1006),$AB$1006:$AQ$1006,0)))),"Fix")))</f>
        <v>0</v>
      </c>
      <c r="D770" s="4">
        <f>IF(OR(INDEX($V$2:$V$1001,MATCH(ROWS($U$2:U770),$U$2:$U$1001,0),1)&gt;=100000,INDEX($AB$1005:$AQ$1005,1,MATCH(COLUMNS($AB$1006:AD1006),$AB$1006:$AQ$1006,0))&gt;=100000), " ",IF(INDEX($AB$2:$AQ$1001,MATCH(ROWS($U$2:U770),$U$2:$U$1001,0),MATCH(COLUMNS($AB$1006:AD1006),$AB$1006:$AQ$1006,0)), HYPERLINK("#",""), HYPERLINK(CONCATENATE("#metadata!", ADDRESS(INDEX($W$2:$W$1001,MATCH(ROWS($U$2:U770),$U$2:$U$1001,0),0), INDEX($AB$1004:$AQ$1004,1,MATCH(COLUMNS($AB$1006:AD1006),$AB$1006:$AQ$1006,0)))),"Fix")))</f>
        <v>0</v>
      </c>
      <c r="E770" s="4">
        <f>IF(OR(INDEX($V$2:$V$1001,MATCH(ROWS($U$2:U770),$U$2:$U$1001,0),1)&gt;=100000,INDEX($AB$1005:$AQ$1005,1,MATCH(COLUMNS($AB$1006:AE1006),$AB$1006:$AQ$1006,0))&gt;=100000), " ",IF(INDEX($AB$2:$AQ$1001,MATCH(ROWS($U$2:U770),$U$2:$U$1001,0),MATCH(COLUMNS($AB$1006:AE1006),$AB$1006:$AQ$1006,0)), HYPERLINK("#",""), HYPERLINK(CONCATENATE("#metadata!", ADDRESS(INDEX($W$2:$W$1001,MATCH(ROWS($U$2:U770),$U$2:$U$1001,0),0), INDEX($AB$1004:$AQ$1004,1,MATCH(COLUMNS($AB$1006:AE1006),$AB$1006:$AQ$1006,0)))),"Fix")))</f>
        <v>0</v>
      </c>
      <c r="F770" s="4">
        <f>IF(OR(INDEX($V$2:$V$1001,MATCH(ROWS($U$2:U770),$U$2:$U$1001,0),1)&gt;=100000,INDEX($AB$1005:$AQ$1005,1,MATCH(COLUMNS($AB$1006:AF1006),$AB$1006:$AQ$1006,0))&gt;=100000), " ",IF(INDEX($AB$2:$AQ$1001,MATCH(ROWS($U$2:U770),$U$2:$U$1001,0),MATCH(COLUMNS($AB$1006:AF1006),$AB$1006:$AQ$1006,0)), HYPERLINK("#",""), HYPERLINK(CONCATENATE("#metadata!", ADDRESS(INDEX($W$2:$W$1001,MATCH(ROWS($U$2:U770),$U$2:$U$1001,0),0), INDEX($AB$1004:$AQ$1004,1,MATCH(COLUMNS($AB$1006:AF1006),$AB$1006:$AQ$1006,0)))),"Fix")))</f>
        <v>0</v>
      </c>
      <c r="G770" s="4">
        <f>IF(OR(INDEX($V$2:$V$1001,MATCH(ROWS($U$2:U770),$U$2:$U$1001,0),1)&gt;=100000,INDEX($AB$1005:$AQ$1005,1,MATCH(COLUMNS($AB$1006:AG1006),$AB$1006:$AQ$1006,0))&gt;=100000), " ",IF(INDEX($AB$2:$AQ$1001,MATCH(ROWS($U$2:U770),$U$2:$U$1001,0),MATCH(COLUMNS($AB$1006:AG1006),$AB$1006:$AQ$1006,0)), HYPERLINK("#",""), HYPERLINK(CONCATENATE("#metadata!", ADDRESS(INDEX($W$2:$W$1001,MATCH(ROWS($U$2:U770),$U$2:$U$1001,0),0), INDEX($AB$1004:$AQ$1004,1,MATCH(COLUMNS($AB$1006:AG1006),$AB$1006:$AQ$1006,0)))),"Fix")))</f>
        <v>0</v>
      </c>
      <c r="H770" s="4">
        <f>IF(OR(INDEX($V$2:$V$1001,MATCH(ROWS($U$2:U770),$U$2:$U$1001,0),1)&gt;=100000,INDEX($AB$1005:$AQ$1005,1,MATCH(COLUMNS($AB$1006:AH1006),$AB$1006:$AQ$1006,0))&gt;=100000), " ",IF(INDEX($AB$2:$AQ$1001,MATCH(ROWS($U$2:U770),$U$2:$U$1001,0),MATCH(COLUMNS($AB$1006:AH1006),$AB$1006:$AQ$1006,0)), HYPERLINK("#",""), HYPERLINK(CONCATENATE("#metadata!", ADDRESS(INDEX($W$2:$W$1001,MATCH(ROWS($U$2:U770),$U$2:$U$1001,0),0), INDEX($AB$1004:$AQ$1004,1,MATCH(COLUMNS($AB$1006:AH1006),$AB$1006:$AQ$1006,0)))),"Fix")))</f>
        <v>0</v>
      </c>
      <c r="I770" s="4">
        <f>IF(OR(INDEX($V$2:$V$1001,MATCH(ROWS($U$2:U770),$U$2:$U$1001,0),1)&gt;=100000,INDEX($AB$1005:$AQ$1005,1,MATCH(COLUMNS($AB$1006:AI1006),$AB$1006:$AQ$1006,0))&gt;=100000), " ",IF(INDEX($AB$2:$AQ$1001,MATCH(ROWS($U$2:U770),$U$2:$U$1001,0),MATCH(COLUMNS($AB$1006:AI1006),$AB$1006:$AQ$1006,0)), HYPERLINK("#",""), HYPERLINK(CONCATENATE("#metadata!", ADDRESS(INDEX($W$2:$W$1001,MATCH(ROWS($U$2:U770),$U$2:$U$1001,0),0), INDEX($AB$1004:$AQ$1004,1,MATCH(COLUMNS($AB$1006:AI1006),$AB$1006:$AQ$1006,0)))),"Fix")))</f>
        <v>0</v>
      </c>
      <c r="J770" s="4">
        <f>IF(OR(INDEX($V$2:$V$1001,MATCH(ROWS($U$2:U770),$U$2:$U$1001,0),1)&gt;=100000,INDEX($AB$1005:$AQ$1005,1,MATCH(COLUMNS($AB$1006:AJ1006),$AB$1006:$AQ$1006,0))&gt;=100000), " ",IF(INDEX($AB$2:$AQ$1001,MATCH(ROWS($U$2:U770),$U$2:$U$1001,0),MATCH(COLUMNS($AB$1006:AJ1006),$AB$1006:$AQ$1006,0)), HYPERLINK("#",""), HYPERLINK(CONCATENATE("#metadata!", ADDRESS(INDEX($W$2:$W$1001,MATCH(ROWS($U$2:U770),$U$2:$U$1001,0),0), INDEX($AB$1004:$AQ$1004,1,MATCH(COLUMNS($AB$1006:AJ1006),$AB$1006:$AQ$1006,0)))),"Fix")))</f>
        <v>0</v>
      </c>
      <c r="K770" s="4">
        <f>IF(OR(INDEX($V$2:$V$1001,MATCH(ROWS($U$2:U770),$U$2:$U$1001,0),1)&gt;=100000,INDEX($AB$1005:$AQ$1005,1,MATCH(COLUMNS($AB$1006:AK1006),$AB$1006:$AQ$1006,0))&gt;=100000), " ",IF(INDEX($AB$2:$AQ$1001,MATCH(ROWS($U$2:U770),$U$2:$U$1001,0),MATCH(COLUMNS($AB$1006:AK1006),$AB$1006:$AQ$1006,0)), HYPERLINK("#",""), HYPERLINK(CONCATENATE("#metadata!", ADDRESS(INDEX($W$2:$W$1001,MATCH(ROWS($U$2:U770),$U$2:$U$1001,0),0), INDEX($AB$1004:$AQ$1004,1,MATCH(COLUMNS($AB$1006:AK1006),$AB$1006:$AQ$1006,0)))),"Fix")))</f>
        <v>0</v>
      </c>
      <c r="L770" s="4">
        <f>IF(OR(INDEX($V$2:$V$1001,MATCH(ROWS($U$2:U770),$U$2:$U$1001,0),1)&gt;=100000,INDEX($AB$1005:$AQ$1005,1,MATCH(COLUMNS($AB$1006:AL1006),$AB$1006:$AQ$1006,0))&gt;=100000), " ",IF(INDEX($AB$2:$AQ$1001,MATCH(ROWS($U$2:U770),$U$2:$U$1001,0),MATCH(COLUMNS($AB$1006:AL1006),$AB$1006:$AQ$1006,0)), HYPERLINK("#",""), HYPERLINK(CONCATENATE("#metadata!", ADDRESS(INDEX($W$2:$W$1001,MATCH(ROWS($U$2:U770),$U$2:$U$1001,0),0), INDEX($AB$1004:$AQ$1004,1,MATCH(COLUMNS($AB$1006:AL1006),$AB$1006:$AQ$1006,0)))),"Fix")))</f>
        <v>0</v>
      </c>
      <c r="M770" s="4">
        <f>IF(OR(INDEX($V$2:$V$1001,MATCH(ROWS($U$2:U770),$U$2:$U$1001,0),1)&gt;=100000,INDEX($AB$1005:$AQ$1005,1,MATCH(COLUMNS($AB$1006:AM1006),$AB$1006:$AQ$1006,0))&gt;=100000), " ",IF(INDEX($AB$2:$AQ$1001,MATCH(ROWS($U$2:U770),$U$2:$U$1001,0),MATCH(COLUMNS($AB$1006:AM1006),$AB$1006:$AQ$1006,0)), HYPERLINK("#",""), HYPERLINK(CONCATENATE("#metadata!", ADDRESS(INDEX($W$2:$W$1001,MATCH(ROWS($U$2:U770),$U$2:$U$1001,0),0), INDEX($AB$1004:$AQ$1004,1,MATCH(COLUMNS($AB$1006:AM1006),$AB$1006:$AQ$1006,0)))),"Fix")))</f>
        <v>0</v>
      </c>
      <c r="N770" s="4">
        <f>IF(OR(INDEX($V$2:$V$1001,MATCH(ROWS($U$2:U770),$U$2:$U$1001,0),1)&gt;=100000,INDEX($AB$1005:$AQ$1005,1,MATCH(COLUMNS($AB$1006:AN1006),$AB$1006:$AQ$1006,0))&gt;=100000), " ",IF(INDEX($AB$2:$AQ$1001,MATCH(ROWS($U$2:U770),$U$2:$U$1001,0),MATCH(COLUMNS($AB$1006:AN1006),$AB$1006:$AQ$1006,0)), HYPERLINK("#",""), HYPERLINK(CONCATENATE("#metadata!", ADDRESS(INDEX($W$2:$W$1001,MATCH(ROWS($U$2:U770),$U$2:$U$1001,0),0), INDEX($AB$1004:$AQ$1004,1,MATCH(COLUMNS($AB$1006:AN1006),$AB$1006:$AQ$1006,0)))),"Fix")))</f>
        <v>0</v>
      </c>
      <c r="O770" s="4">
        <f>IF(OR(INDEX($V$2:$V$1001,MATCH(ROWS($U$2:U770),$U$2:$U$1001,0),1)&gt;=100000,INDEX($AB$1005:$AQ$1005,1,MATCH(COLUMNS($AB$1006:AO1006),$AB$1006:$AQ$1006,0))&gt;=100000), " ",IF(INDEX($AB$2:$AQ$1001,MATCH(ROWS($U$2:U770),$U$2:$U$1001,0),MATCH(COLUMNS($AB$1006:AO1006),$AB$1006:$AQ$1006,0)), HYPERLINK("#",""), HYPERLINK(CONCATENATE("#metadata!", ADDRESS(INDEX($W$2:$W$1001,MATCH(ROWS($U$2:U770),$U$2:$U$1001,0),0), INDEX($AB$1004:$AQ$1004,1,MATCH(COLUMNS($AB$1006:AO1006),$AB$1006:$AQ$1006,0)))),"Fix")))</f>
        <v>0</v>
      </c>
      <c r="P770" s="4">
        <f>IF(OR(INDEX($V$2:$V$1001,MATCH(ROWS($U$2:U770),$U$2:$U$1001,0),1)&gt;=100000,INDEX($AB$1005:$AQ$1005,1,MATCH(COLUMNS($AB$1006:AP1006),$AB$1006:$AQ$1006,0))&gt;=100000), " ",IF(INDEX($AB$2:$AQ$1001,MATCH(ROWS($U$2:U770),$U$2:$U$1001,0),MATCH(COLUMNS($AB$1006:AP1006),$AB$1006:$AQ$1006,0)), HYPERLINK("#",""), HYPERLINK(CONCATENATE("#metadata!", ADDRESS(INDEX($W$2:$W$1001,MATCH(ROWS($U$2:U770),$U$2:$U$1001,0),0), INDEX($AB$1004:$AQ$1004,1,MATCH(COLUMNS($AB$1006:AP1006),$AB$1006:$AQ$1006,0)))),"Fix")))</f>
        <v>0</v>
      </c>
      <c r="Q770" s="4">
        <f>IF(OR(INDEX($V$2:$V$1001,MATCH(ROWS($U$2:U770),$U$2:$U$1001,0),1)&gt;=100000,INDEX($AB$1005:$AQ$1005,1,MATCH(COLUMNS($AB$1006:AQ1006),$AB$1006:$AQ$1006,0))&gt;=100000), " ",IF(INDEX($AB$2:$AQ$1001,MATCH(ROWS($U$2:U770),$U$2:$U$1001,0),MATCH(COLUMNS($AB$1006:AQ1006),$AB$1006:$AQ$1006,0)), HYPERLINK("#",""), HYPERLINK(CONCATENATE("#metadata!", ADDRESS(INDEX($W$2:$W$1001,MATCH(ROWS($U$2:U770),$U$2:$U$1001,0),0), INDEX($AB$1004:$AQ$1004,1,MATCH(COLUMNS($AB$1006:AQ1006),$AB$1006:$AQ$1006,0)))),"Fix")))</f>
        <v>0</v>
      </c>
      <c r="U770">
        <v>0</v>
      </c>
      <c r="V770">
        <v>0</v>
      </c>
      <c r="W770">
        <v>0</v>
      </c>
      <c r="X770">
        <f>IF(Y770,TRUE,AND(AB770:AQ770))</f>
        <v>0</v>
      </c>
      <c r="Y770">
        <f>COUNTBLANK(metadata!B770:Q770)=COLUMNS(metadata!B770:Q770)</f>
        <v>0</v>
      </c>
      <c r="Z770">
        <v>0</v>
      </c>
      <c r="AB770">
        <f>AND(IF(metadata!B770="",FALSE,TRUE),COUNTIF(metadata!B:B, metadata!B770) = 1,NOT(ISERROR(SUMPRODUCT(SEARCH(MID(metadata!B770,ROW(INDIRECT("1:"&amp;LEN(metadata!B770))), 1),"0123456789abcdefghijklmnopqrstuvwxyzABCDEFGHIJKLMNOPQRSTUVWXYZ.")))))</f>
        <v>0</v>
      </c>
      <c r="AC770">
        <f>OR(AND(IF(metadata!C770="",FALSE,TRUE),OR(exact(metadata!C770,"missing: not collected"),exact(metadata!C770,"missing: not provided"),exact(metadata!C770,"missing: restricted access"))),AND(IF(metadata!C770="",FALSE,TRUE),AND(AND(IFERROR(INT(LEFT(metadata!C770,4))&gt;1900,FALSE),IFERROR(INT(LEFT(metadata!C770,4))&lt;=YEAR(NOW()),FALSE)), OR(MID(metadata!C770,5,1)="", AND(AND(MID(metadata!C770,5,1)="-",IFERROR(INT(MID(metadata!C770,6,1))&gt;=0,FALSE),IFERROR(INT(MID(metadata!C770,6,1))&lt;=1,FALSE),NOT(MID(metadata!C770,7,1)=""),IFERROR(INT(MID(metadata!C770,6,2))&gt;=1,FALSE),IFERROR(INT(MID(metadata!C770,6,2))&lt;=12,FALSE)), OR(MID(metadata!C770,8,1)="", AND(AND(MID(metadata!C770,8,1)="-",IFERROR(INT(MID(metadata!C770,9,1))&gt;=0,FALSE),IFERROR(INT(MID(metadata!C770,9,1))&lt;=3,FALSE),NOT(MID(metadata!C770,10,1)=""),IFERROR(INT(MID(metadata!C770,9,2))&gt;=1,FALSE),IFERROR(INT(MID(metadata!C770,9,2))&lt;=31,FALSE)), OR(MID(metadata!C770,11,1)="", AND(AND(MID(metadata!C770,11,1)=" ",IFERROR(INT(MID(metadata!C770,12,1))&gt;=0,FALSE),IFERROR(INT(MID(metadata!C770,12,1))&lt;=2,FALSE),NOT(MID(metadata!C770,13,1)=""),IFERROR(INT(MID(metadata!C770,12,2))&gt;=0,FALSE),IFERROR(INT(MID(metadata!C770,12,2))&lt;=23,FALSE)), OR(MID(metadata!C770,14,1)="", AND(AND(MID(metadata!C770,14,1)=":",IFERROR(INT(MID(metadata!C770,15,1))&gt;=0,FALSE),IFERROR(INT(MID(metadata!C770,15,1))&lt;=5,FALSE),NOT(MID(metadata!C770,16,1)=""),IFERROR(INT(MID(metadata!C770,15,2))&gt;=0,FALSE),IFERROR(INT(MID(metadata!C770,15,2))&lt;=59,FALSE)), OR(MID(metadata!C770,17,1)="", AND(AND(MID(metadata!C770,17,1)=":",IFERROR(INT(MID(metadata!C770,18,1))&gt;=0,FALSE),IFERROR(INT(MID(metadata!C770,18,1))&lt;=5,FALSE),NOT(MID(metadata!C770,19,1)=""),IFERROR(INT(MID(metadata!C770,18,2))&gt;=0,FALSE),IFERROR(INT(MID(metadata!C770,18,2))&lt;=59,FALSE)), LEN(metadata!C770)&lt;=19)))))))))))))</f>
        <v>0</v>
      </c>
      <c r="AD770">
        <f>IF(metadata!D770="",FALSE,TRUE)</f>
        <v>0</v>
      </c>
      <c r="AE770">
        <f>OR(AND(IF(metadata!E770="",FALSE,TRUE),OR(exact(metadata!E770,"missing: not collected"),exact(metadata!E770,"missing: not provided"))),AND(IF(metadata!E770="",FALSE,TRUE),OR(exact(metadata!E770,"TRUE"),exact(metadata!E770,"FALSE"))))</f>
        <v>0</v>
      </c>
      <c r="AF770">
        <f>IF(metadata!F770="",FALSE,TRUE)</f>
        <v>0</v>
      </c>
      <c r="AG770">
        <f>IF(metadata!G770="",FALSE,TRUE)</f>
        <v>0</v>
      </c>
      <c r="AH770">
        <f>IF(metadata!H770="",FALSE,TRUE)</f>
        <v>0</v>
      </c>
      <c r="AI770">
        <f>OR(AND(IF(metadata!I770="",FALSE,TRUE),OR(exact(metadata!I770,"missing: not collected"),exact(metadata!I770,"missing: not provided"),exact(metadata!I770,"missing: restricted access"))),AND(IF(metadata!I770="",FALSE,TRUE),OR(exact(metadata!I770,"air"),exact(metadata!I770,"built environment"),exact(metadata!I770,"host-associated"),exact(metadata!I770,"human-associated"),exact(metadata!I770,"human-skin"),exact(metadata!I770,"human-oral"),exact(metadata!I770,"human-gut"),exact(metadata!I770,"human-vaginal"),exact(metadata!I770,"microbial mat/biofilm"),exact(metadata!I770,"misc environment"),exact(metadata!I770,"plant-associated"),exact(metadata!I770,"sediment"),exact(metadata!I770,"soil"),exact(metadata!I770,"wastewater/sludge"),exact(metadata!I770,"water"))))</f>
        <v>0</v>
      </c>
      <c r="AJ770">
        <f>IF(metadata!J770="",FALSE,TRUE)</f>
        <v>0</v>
      </c>
      <c r="AK770">
        <f>OR(AND(IF(metadata!K770="",FALSE,TRUE),OR(exact(metadata!K770,"missing: not collected"),exact(metadata!K770,"missing: not provided"),exact(metadata!K770,"missing: restricted access"))),AND(IF(metadata!K770="",FALSE,ISNUMBER(VALUE(metadata!K770))),metadata!K770&gt;=-90.00,metadata!K770&lt;=90.00))</f>
        <v>0</v>
      </c>
      <c r="AL770">
        <f>OR(AND(IF(metadata!L770="",FALSE,TRUE),OR(exact(metadata!L770,"missing: not collected"),exact(metadata!L770,"missing: not provided"),exact(metadata!L770,"missing: restricted access"))),AND(IF(metadata!L770="",FALSE,ISNUMBER(VALUE(metadata!L770))),metadata!L770&gt;=-180.00,metadata!L770&lt;=180.00))</f>
        <v>0</v>
      </c>
      <c r="AM770">
        <f>IF(metadata!M770="",FALSE,TRUE)</f>
        <v>0</v>
      </c>
      <c r="AN770">
        <f>OR(AND(IF(metadata!N770="",FALSE,TRUE),OR(exact(metadata!N770,"missing: not collected"),exact(metadata!N770,"missing: not provided"),exact(metadata!N770,"missing: restricted access"))),AND(IF(metadata!N770="",FALSE,TRUE),OR(exact(metadata!N770,"TRUE"),exact(metadata!N770,"FALSE"))))</f>
        <v>0</v>
      </c>
      <c r="AO770">
        <f>IF(metadata!O770="",FALSE,TRUE)</f>
        <v>0</v>
      </c>
      <c r="AP770">
        <f>OR(AND(IF(metadata!P770="",FALSE,TRUE),OR(exact(metadata!P770,"missing: not collected"),exact(metadata!P770,"missing: not provided"))),AND(IF(metadata!P770="",FALSE,IF(ISERROR(INT(metadata!P770)),FALSE,INT(metadata!P770)=metadata!P770)),metadata!P770&gt;0))</f>
        <v>0</v>
      </c>
      <c r="AQ770">
        <f>IF(metadata!Q770="",FALSE,TRUE)</f>
        <v>0</v>
      </c>
    </row>
    <row r="771" spans="1:43">
      <c r="A771" s="5">
        <f>IF(B771=" "," ",HYPERLINK(CONCATENATE("#metadata!",ADDRESS(INDEX($W$2:$W$1001,MATCH(ROWS($U$2:U771),$U$2:$U$1001,0),0),1)),INDEX($Z$2:$Z$1001,MATCH(ROWS($U$2:U771),$U$2:$U$1001,0),0)))</f>
        <v>0</v>
      </c>
      <c r="B771" s="4">
        <f>IF(OR(INDEX($V$2:$V$1001,MATCH(ROWS($U$2:U771),$U$2:$U$1001,0),1)&gt;=100000,INDEX($AB$1005:$AQ$1005,1,MATCH(COLUMNS($AB$1006:AB1006),$AB$1006:$AQ$1006,0))&gt;=100000), " ",IF(INDEX($AB$2:$AQ$1001,MATCH(ROWS($U$2:U771),$U$2:$U$1001,0),MATCH(COLUMNS($AB$1006:AB1006),$AB$1006:$AQ$1006,0)), HYPERLINK("#",""), HYPERLINK(CONCATENATE("#metadata!", ADDRESS(INDEX($W$2:$W$1001,MATCH(ROWS($U$2:U771),$U$2:$U$1001,0),0), INDEX($AB$1004:$AQ$1004,1,MATCH(COLUMNS($AB$1006:AB1006),$AB$1006:$AQ$1006,0)))),"Fix")))</f>
        <v>0</v>
      </c>
      <c r="C771" s="4">
        <f>IF(OR(INDEX($V$2:$V$1001,MATCH(ROWS($U$2:U771),$U$2:$U$1001,0),1)&gt;=100000,INDEX($AB$1005:$AQ$1005,1,MATCH(COLUMNS($AB$1006:AC1006),$AB$1006:$AQ$1006,0))&gt;=100000), " ",IF(INDEX($AB$2:$AQ$1001,MATCH(ROWS($U$2:U771),$U$2:$U$1001,0),MATCH(COLUMNS($AB$1006:AC1006),$AB$1006:$AQ$1006,0)), HYPERLINK("#",""), HYPERLINK(CONCATENATE("#metadata!", ADDRESS(INDEX($W$2:$W$1001,MATCH(ROWS($U$2:U771),$U$2:$U$1001,0),0), INDEX($AB$1004:$AQ$1004,1,MATCH(COLUMNS($AB$1006:AC1006),$AB$1006:$AQ$1006,0)))),"Fix")))</f>
        <v>0</v>
      </c>
      <c r="D771" s="4">
        <f>IF(OR(INDEX($V$2:$V$1001,MATCH(ROWS($U$2:U771),$U$2:$U$1001,0),1)&gt;=100000,INDEX($AB$1005:$AQ$1005,1,MATCH(COLUMNS($AB$1006:AD1006),$AB$1006:$AQ$1006,0))&gt;=100000), " ",IF(INDEX($AB$2:$AQ$1001,MATCH(ROWS($U$2:U771),$U$2:$U$1001,0),MATCH(COLUMNS($AB$1006:AD1006),$AB$1006:$AQ$1006,0)), HYPERLINK("#",""), HYPERLINK(CONCATENATE("#metadata!", ADDRESS(INDEX($W$2:$W$1001,MATCH(ROWS($U$2:U771),$U$2:$U$1001,0),0), INDEX($AB$1004:$AQ$1004,1,MATCH(COLUMNS($AB$1006:AD1006),$AB$1006:$AQ$1006,0)))),"Fix")))</f>
        <v>0</v>
      </c>
      <c r="E771" s="4">
        <f>IF(OR(INDEX($V$2:$V$1001,MATCH(ROWS($U$2:U771),$U$2:$U$1001,0),1)&gt;=100000,INDEX($AB$1005:$AQ$1005,1,MATCH(COLUMNS($AB$1006:AE1006),$AB$1006:$AQ$1006,0))&gt;=100000), " ",IF(INDEX($AB$2:$AQ$1001,MATCH(ROWS($U$2:U771),$U$2:$U$1001,0),MATCH(COLUMNS($AB$1006:AE1006),$AB$1006:$AQ$1006,0)), HYPERLINK("#",""), HYPERLINK(CONCATENATE("#metadata!", ADDRESS(INDEX($W$2:$W$1001,MATCH(ROWS($U$2:U771),$U$2:$U$1001,0),0), INDEX($AB$1004:$AQ$1004,1,MATCH(COLUMNS($AB$1006:AE1006),$AB$1006:$AQ$1006,0)))),"Fix")))</f>
        <v>0</v>
      </c>
      <c r="F771" s="4">
        <f>IF(OR(INDEX($V$2:$V$1001,MATCH(ROWS($U$2:U771),$U$2:$U$1001,0),1)&gt;=100000,INDEX($AB$1005:$AQ$1005,1,MATCH(COLUMNS($AB$1006:AF1006),$AB$1006:$AQ$1006,0))&gt;=100000), " ",IF(INDEX($AB$2:$AQ$1001,MATCH(ROWS($U$2:U771),$U$2:$U$1001,0),MATCH(COLUMNS($AB$1006:AF1006),$AB$1006:$AQ$1006,0)), HYPERLINK("#",""), HYPERLINK(CONCATENATE("#metadata!", ADDRESS(INDEX($W$2:$W$1001,MATCH(ROWS($U$2:U771),$U$2:$U$1001,0),0), INDEX($AB$1004:$AQ$1004,1,MATCH(COLUMNS($AB$1006:AF1006),$AB$1006:$AQ$1006,0)))),"Fix")))</f>
        <v>0</v>
      </c>
      <c r="G771" s="4">
        <f>IF(OR(INDEX($V$2:$V$1001,MATCH(ROWS($U$2:U771),$U$2:$U$1001,0),1)&gt;=100000,INDEX($AB$1005:$AQ$1005,1,MATCH(COLUMNS($AB$1006:AG1006),$AB$1006:$AQ$1006,0))&gt;=100000), " ",IF(INDEX($AB$2:$AQ$1001,MATCH(ROWS($U$2:U771),$U$2:$U$1001,0),MATCH(COLUMNS($AB$1006:AG1006),$AB$1006:$AQ$1006,0)), HYPERLINK("#",""), HYPERLINK(CONCATENATE("#metadata!", ADDRESS(INDEX($W$2:$W$1001,MATCH(ROWS($U$2:U771),$U$2:$U$1001,0),0), INDEX($AB$1004:$AQ$1004,1,MATCH(COLUMNS($AB$1006:AG1006),$AB$1006:$AQ$1006,0)))),"Fix")))</f>
        <v>0</v>
      </c>
      <c r="H771" s="4">
        <f>IF(OR(INDEX($V$2:$V$1001,MATCH(ROWS($U$2:U771),$U$2:$U$1001,0),1)&gt;=100000,INDEX($AB$1005:$AQ$1005,1,MATCH(COLUMNS($AB$1006:AH1006),$AB$1006:$AQ$1006,0))&gt;=100000), " ",IF(INDEX($AB$2:$AQ$1001,MATCH(ROWS($U$2:U771),$U$2:$U$1001,0),MATCH(COLUMNS($AB$1006:AH1006),$AB$1006:$AQ$1006,0)), HYPERLINK("#",""), HYPERLINK(CONCATENATE("#metadata!", ADDRESS(INDEX($W$2:$W$1001,MATCH(ROWS($U$2:U771),$U$2:$U$1001,0),0), INDEX($AB$1004:$AQ$1004,1,MATCH(COLUMNS($AB$1006:AH1006),$AB$1006:$AQ$1006,0)))),"Fix")))</f>
        <v>0</v>
      </c>
      <c r="I771" s="4">
        <f>IF(OR(INDEX($V$2:$V$1001,MATCH(ROWS($U$2:U771),$U$2:$U$1001,0),1)&gt;=100000,INDEX($AB$1005:$AQ$1005,1,MATCH(COLUMNS($AB$1006:AI1006),$AB$1006:$AQ$1006,0))&gt;=100000), " ",IF(INDEX($AB$2:$AQ$1001,MATCH(ROWS($U$2:U771),$U$2:$U$1001,0),MATCH(COLUMNS($AB$1006:AI1006),$AB$1006:$AQ$1006,0)), HYPERLINK("#",""), HYPERLINK(CONCATENATE("#metadata!", ADDRESS(INDEX($W$2:$W$1001,MATCH(ROWS($U$2:U771),$U$2:$U$1001,0),0), INDEX($AB$1004:$AQ$1004,1,MATCH(COLUMNS($AB$1006:AI1006),$AB$1006:$AQ$1006,0)))),"Fix")))</f>
        <v>0</v>
      </c>
      <c r="J771" s="4">
        <f>IF(OR(INDEX($V$2:$V$1001,MATCH(ROWS($U$2:U771),$U$2:$U$1001,0),1)&gt;=100000,INDEX($AB$1005:$AQ$1005,1,MATCH(COLUMNS($AB$1006:AJ1006),$AB$1006:$AQ$1006,0))&gt;=100000), " ",IF(INDEX($AB$2:$AQ$1001,MATCH(ROWS($U$2:U771),$U$2:$U$1001,0),MATCH(COLUMNS($AB$1006:AJ1006),$AB$1006:$AQ$1006,0)), HYPERLINK("#",""), HYPERLINK(CONCATENATE("#metadata!", ADDRESS(INDEX($W$2:$W$1001,MATCH(ROWS($U$2:U771),$U$2:$U$1001,0),0), INDEX($AB$1004:$AQ$1004,1,MATCH(COLUMNS($AB$1006:AJ1006),$AB$1006:$AQ$1006,0)))),"Fix")))</f>
        <v>0</v>
      </c>
      <c r="K771" s="4">
        <f>IF(OR(INDEX($V$2:$V$1001,MATCH(ROWS($U$2:U771),$U$2:$U$1001,0),1)&gt;=100000,INDEX($AB$1005:$AQ$1005,1,MATCH(COLUMNS($AB$1006:AK1006),$AB$1006:$AQ$1006,0))&gt;=100000), " ",IF(INDEX($AB$2:$AQ$1001,MATCH(ROWS($U$2:U771),$U$2:$U$1001,0),MATCH(COLUMNS($AB$1006:AK1006),$AB$1006:$AQ$1006,0)), HYPERLINK("#",""), HYPERLINK(CONCATENATE("#metadata!", ADDRESS(INDEX($W$2:$W$1001,MATCH(ROWS($U$2:U771),$U$2:$U$1001,0),0), INDEX($AB$1004:$AQ$1004,1,MATCH(COLUMNS($AB$1006:AK1006),$AB$1006:$AQ$1006,0)))),"Fix")))</f>
        <v>0</v>
      </c>
      <c r="L771" s="4">
        <f>IF(OR(INDEX($V$2:$V$1001,MATCH(ROWS($U$2:U771),$U$2:$U$1001,0),1)&gt;=100000,INDEX($AB$1005:$AQ$1005,1,MATCH(COLUMNS($AB$1006:AL1006),$AB$1006:$AQ$1006,0))&gt;=100000), " ",IF(INDEX($AB$2:$AQ$1001,MATCH(ROWS($U$2:U771),$U$2:$U$1001,0),MATCH(COLUMNS($AB$1006:AL1006),$AB$1006:$AQ$1006,0)), HYPERLINK("#",""), HYPERLINK(CONCATENATE("#metadata!", ADDRESS(INDEX($W$2:$W$1001,MATCH(ROWS($U$2:U771),$U$2:$U$1001,0),0), INDEX($AB$1004:$AQ$1004,1,MATCH(COLUMNS($AB$1006:AL1006),$AB$1006:$AQ$1006,0)))),"Fix")))</f>
        <v>0</v>
      </c>
      <c r="M771" s="4">
        <f>IF(OR(INDEX($V$2:$V$1001,MATCH(ROWS($U$2:U771),$U$2:$U$1001,0),1)&gt;=100000,INDEX($AB$1005:$AQ$1005,1,MATCH(COLUMNS($AB$1006:AM1006),$AB$1006:$AQ$1006,0))&gt;=100000), " ",IF(INDEX($AB$2:$AQ$1001,MATCH(ROWS($U$2:U771),$U$2:$U$1001,0),MATCH(COLUMNS($AB$1006:AM1006),$AB$1006:$AQ$1006,0)), HYPERLINK("#",""), HYPERLINK(CONCATENATE("#metadata!", ADDRESS(INDEX($W$2:$W$1001,MATCH(ROWS($U$2:U771),$U$2:$U$1001,0),0), INDEX($AB$1004:$AQ$1004,1,MATCH(COLUMNS($AB$1006:AM1006),$AB$1006:$AQ$1006,0)))),"Fix")))</f>
        <v>0</v>
      </c>
      <c r="N771" s="4">
        <f>IF(OR(INDEX($V$2:$V$1001,MATCH(ROWS($U$2:U771),$U$2:$U$1001,0),1)&gt;=100000,INDEX($AB$1005:$AQ$1005,1,MATCH(COLUMNS($AB$1006:AN1006),$AB$1006:$AQ$1006,0))&gt;=100000), " ",IF(INDEX($AB$2:$AQ$1001,MATCH(ROWS($U$2:U771),$U$2:$U$1001,0),MATCH(COLUMNS($AB$1006:AN1006),$AB$1006:$AQ$1006,0)), HYPERLINK("#",""), HYPERLINK(CONCATENATE("#metadata!", ADDRESS(INDEX($W$2:$W$1001,MATCH(ROWS($U$2:U771),$U$2:$U$1001,0),0), INDEX($AB$1004:$AQ$1004,1,MATCH(COLUMNS($AB$1006:AN1006),$AB$1006:$AQ$1006,0)))),"Fix")))</f>
        <v>0</v>
      </c>
      <c r="O771" s="4">
        <f>IF(OR(INDEX($V$2:$V$1001,MATCH(ROWS($U$2:U771),$U$2:$U$1001,0),1)&gt;=100000,INDEX($AB$1005:$AQ$1005,1,MATCH(COLUMNS($AB$1006:AO1006),$AB$1006:$AQ$1006,0))&gt;=100000), " ",IF(INDEX($AB$2:$AQ$1001,MATCH(ROWS($U$2:U771),$U$2:$U$1001,0),MATCH(COLUMNS($AB$1006:AO1006),$AB$1006:$AQ$1006,0)), HYPERLINK("#",""), HYPERLINK(CONCATENATE("#metadata!", ADDRESS(INDEX($W$2:$W$1001,MATCH(ROWS($U$2:U771),$U$2:$U$1001,0),0), INDEX($AB$1004:$AQ$1004,1,MATCH(COLUMNS($AB$1006:AO1006),$AB$1006:$AQ$1006,0)))),"Fix")))</f>
        <v>0</v>
      </c>
      <c r="P771" s="4">
        <f>IF(OR(INDEX($V$2:$V$1001,MATCH(ROWS($U$2:U771),$U$2:$U$1001,0),1)&gt;=100000,INDEX($AB$1005:$AQ$1005,1,MATCH(COLUMNS($AB$1006:AP1006),$AB$1006:$AQ$1006,0))&gt;=100000), " ",IF(INDEX($AB$2:$AQ$1001,MATCH(ROWS($U$2:U771),$U$2:$U$1001,0),MATCH(COLUMNS($AB$1006:AP1006),$AB$1006:$AQ$1006,0)), HYPERLINK("#",""), HYPERLINK(CONCATENATE("#metadata!", ADDRESS(INDEX($W$2:$W$1001,MATCH(ROWS($U$2:U771),$U$2:$U$1001,0),0), INDEX($AB$1004:$AQ$1004,1,MATCH(COLUMNS($AB$1006:AP1006),$AB$1006:$AQ$1006,0)))),"Fix")))</f>
        <v>0</v>
      </c>
      <c r="Q771" s="4">
        <f>IF(OR(INDEX($V$2:$V$1001,MATCH(ROWS($U$2:U771),$U$2:$U$1001,0),1)&gt;=100000,INDEX($AB$1005:$AQ$1005,1,MATCH(COLUMNS($AB$1006:AQ1006),$AB$1006:$AQ$1006,0))&gt;=100000), " ",IF(INDEX($AB$2:$AQ$1001,MATCH(ROWS($U$2:U771),$U$2:$U$1001,0),MATCH(COLUMNS($AB$1006:AQ1006),$AB$1006:$AQ$1006,0)), HYPERLINK("#",""), HYPERLINK(CONCATENATE("#metadata!", ADDRESS(INDEX($W$2:$W$1001,MATCH(ROWS($U$2:U771),$U$2:$U$1001,0),0), INDEX($AB$1004:$AQ$1004,1,MATCH(COLUMNS($AB$1006:AQ1006),$AB$1006:$AQ$1006,0)))),"Fix")))</f>
        <v>0</v>
      </c>
      <c r="U771">
        <v>0</v>
      </c>
      <c r="V771">
        <v>0</v>
      </c>
      <c r="W771">
        <v>0</v>
      </c>
      <c r="X771">
        <f>IF(Y771,TRUE,AND(AB771:AQ771))</f>
        <v>0</v>
      </c>
      <c r="Y771">
        <f>COUNTBLANK(metadata!B771:Q771)=COLUMNS(metadata!B771:Q771)</f>
        <v>0</v>
      </c>
      <c r="Z771">
        <v>0</v>
      </c>
      <c r="AB771">
        <f>AND(IF(metadata!B771="",FALSE,TRUE),COUNTIF(metadata!B:B, metadata!B771) = 1,NOT(ISERROR(SUMPRODUCT(SEARCH(MID(metadata!B771,ROW(INDIRECT("1:"&amp;LEN(metadata!B771))), 1),"0123456789abcdefghijklmnopqrstuvwxyzABCDEFGHIJKLMNOPQRSTUVWXYZ.")))))</f>
        <v>0</v>
      </c>
      <c r="AC771">
        <f>OR(AND(IF(metadata!C771="",FALSE,TRUE),OR(exact(metadata!C771,"missing: not collected"),exact(metadata!C771,"missing: not provided"),exact(metadata!C771,"missing: restricted access"))),AND(IF(metadata!C771="",FALSE,TRUE),AND(AND(IFERROR(INT(LEFT(metadata!C771,4))&gt;1900,FALSE),IFERROR(INT(LEFT(metadata!C771,4))&lt;=YEAR(NOW()),FALSE)), OR(MID(metadata!C771,5,1)="", AND(AND(MID(metadata!C771,5,1)="-",IFERROR(INT(MID(metadata!C771,6,1))&gt;=0,FALSE),IFERROR(INT(MID(metadata!C771,6,1))&lt;=1,FALSE),NOT(MID(metadata!C771,7,1)=""),IFERROR(INT(MID(metadata!C771,6,2))&gt;=1,FALSE),IFERROR(INT(MID(metadata!C771,6,2))&lt;=12,FALSE)), OR(MID(metadata!C771,8,1)="", AND(AND(MID(metadata!C771,8,1)="-",IFERROR(INT(MID(metadata!C771,9,1))&gt;=0,FALSE),IFERROR(INT(MID(metadata!C771,9,1))&lt;=3,FALSE),NOT(MID(metadata!C771,10,1)=""),IFERROR(INT(MID(metadata!C771,9,2))&gt;=1,FALSE),IFERROR(INT(MID(metadata!C771,9,2))&lt;=31,FALSE)), OR(MID(metadata!C771,11,1)="", AND(AND(MID(metadata!C771,11,1)=" ",IFERROR(INT(MID(metadata!C771,12,1))&gt;=0,FALSE),IFERROR(INT(MID(metadata!C771,12,1))&lt;=2,FALSE),NOT(MID(metadata!C771,13,1)=""),IFERROR(INT(MID(metadata!C771,12,2))&gt;=0,FALSE),IFERROR(INT(MID(metadata!C771,12,2))&lt;=23,FALSE)), OR(MID(metadata!C771,14,1)="", AND(AND(MID(metadata!C771,14,1)=":",IFERROR(INT(MID(metadata!C771,15,1))&gt;=0,FALSE),IFERROR(INT(MID(metadata!C771,15,1))&lt;=5,FALSE),NOT(MID(metadata!C771,16,1)=""),IFERROR(INT(MID(metadata!C771,15,2))&gt;=0,FALSE),IFERROR(INT(MID(metadata!C771,15,2))&lt;=59,FALSE)), OR(MID(metadata!C771,17,1)="", AND(AND(MID(metadata!C771,17,1)=":",IFERROR(INT(MID(metadata!C771,18,1))&gt;=0,FALSE),IFERROR(INT(MID(metadata!C771,18,1))&lt;=5,FALSE),NOT(MID(metadata!C771,19,1)=""),IFERROR(INT(MID(metadata!C771,18,2))&gt;=0,FALSE),IFERROR(INT(MID(metadata!C771,18,2))&lt;=59,FALSE)), LEN(metadata!C771)&lt;=19)))))))))))))</f>
        <v>0</v>
      </c>
      <c r="AD771">
        <f>IF(metadata!D771="",FALSE,TRUE)</f>
        <v>0</v>
      </c>
      <c r="AE771">
        <f>OR(AND(IF(metadata!E771="",FALSE,TRUE),OR(exact(metadata!E771,"missing: not collected"),exact(metadata!E771,"missing: not provided"))),AND(IF(metadata!E771="",FALSE,TRUE),OR(exact(metadata!E771,"TRUE"),exact(metadata!E771,"FALSE"))))</f>
        <v>0</v>
      </c>
      <c r="AF771">
        <f>IF(metadata!F771="",FALSE,TRUE)</f>
        <v>0</v>
      </c>
      <c r="AG771">
        <f>IF(metadata!G771="",FALSE,TRUE)</f>
        <v>0</v>
      </c>
      <c r="AH771">
        <f>IF(metadata!H771="",FALSE,TRUE)</f>
        <v>0</v>
      </c>
      <c r="AI771">
        <f>OR(AND(IF(metadata!I771="",FALSE,TRUE),OR(exact(metadata!I771,"missing: not collected"),exact(metadata!I771,"missing: not provided"),exact(metadata!I771,"missing: restricted access"))),AND(IF(metadata!I771="",FALSE,TRUE),OR(exact(metadata!I771,"air"),exact(metadata!I771,"built environment"),exact(metadata!I771,"host-associated"),exact(metadata!I771,"human-associated"),exact(metadata!I771,"human-skin"),exact(metadata!I771,"human-oral"),exact(metadata!I771,"human-gut"),exact(metadata!I771,"human-vaginal"),exact(metadata!I771,"microbial mat/biofilm"),exact(metadata!I771,"misc environment"),exact(metadata!I771,"plant-associated"),exact(metadata!I771,"sediment"),exact(metadata!I771,"soil"),exact(metadata!I771,"wastewater/sludge"),exact(metadata!I771,"water"))))</f>
        <v>0</v>
      </c>
      <c r="AJ771">
        <f>IF(metadata!J771="",FALSE,TRUE)</f>
        <v>0</v>
      </c>
      <c r="AK771">
        <f>OR(AND(IF(metadata!K771="",FALSE,TRUE),OR(exact(metadata!K771,"missing: not collected"),exact(metadata!K771,"missing: not provided"),exact(metadata!K771,"missing: restricted access"))),AND(IF(metadata!K771="",FALSE,ISNUMBER(VALUE(metadata!K771))),metadata!K771&gt;=-90.00,metadata!K771&lt;=90.00))</f>
        <v>0</v>
      </c>
      <c r="AL771">
        <f>OR(AND(IF(metadata!L771="",FALSE,TRUE),OR(exact(metadata!L771,"missing: not collected"),exact(metadata!L771,"missing: not provided"),exact(metadata!L771,"missing: restricted access"))),AND(IF(metadata!L771="",FALSE,ISNUMBER(VALUE(metadata!L771))),metadata!L771&gt;=-180.00,metadata!L771&lt;=180.00))</f>
        <v>0</v>
      </c>
      <c r="AM771">
        <f>IF(metadata!M771="",FALSE,TRUE)</f>
        <v>0</v>
      </c>
      <c r="AN771">
        <f>OR(AND(IF(metadata!N771="",FALSE,TRUE),OR(exact(metadata!N771,"missing: not collected"),exact(metadata!N771,"missing: not provided"),exact(metadata!N771,"missing: restricted access"))),AND(IF(metadata!N771="",FALSE,TRUE),OR(exact(metadata!N771,"TRUE"),exact(metadata!N771,"FALSE"))))</f>
        <v>0</v>
      </c>
      <c r="AO771">
        <f>IF(metadata!O771="",FALSE,TRUE)</f>
        <v>0</v>
      </c>
      <c r="AP771">
        <f>OR(AND(IF(metadata!P771="",FALSE,TRUE),OR(exact(metadata!P771,"missing: not collected"),exact(metadata!P771,"missing: not provided"))),AND(IF(metadata!P771="",FALSE,IF(ISERROR(INT(metadata!P771)),FALSE,INT(metadata!P771)=metadata!P771)),metadata!P771&gt;0))</f>
        <v>0</v>
      </c>
      <c r="AQ771">
        <f>IF(metadata!Q771="",FALSE,TRUE)</f>
        <v>0</v>
      </c>
    </row>
    <row r="772" spans="1:43">
      <c r="A772" s="5">
        <f>IF(B772=" "," ",HYPERLINK(CONCATENATE("#metadata!",ADDRESS(INDEX($W$2:$W$1001,MATCH(ROWS($U$2:U772),$U$2:$U$1001,0),0),1)),INDEX($Z$2:$Z$1001,MATCH(ROWS($U$2:U772),$U$2:$U$1001,0),0)))</f>
        <v>0</v>
      </c>
      <c r="B772" s="4">
        <f>IF(OR(INDEX($V$2:$V$1001,MATCH(ROWS($U$2:U772),$U$2:$U$1001,0),1)&gt;=100000,INDEX($AB$1005:$AQ$1005,1,MATCH(COLUMNS($AB$1006:AB1006),$AB$1006:$AQ$1006,0))&gt;=100000), " ",IF(INDEX($AB$2:$AQ$1001,MATCH(ROWS($U$2:U772),$U$2:$U$1001,0),MATCH(COLUMNS($AB$1006:AB1006),$AB$1006:$AQ$1006,0)), HYPERLINK("#",""), HYPERLINK(CONCATENATE("#metadata!", ADDRESS(INDEX($W$2:$W$1001,MATCH(ROWS($U$2:U772),$U$2:$U$1001,0),0), INDEX($AB$1004:$AQ$1004,1,MATCH(COLUMNS($AB$1006:AB1006),$AB$1006:$AQ$1006,0)))),"Fix")))</f>
        <v>0</v>
      </c>
      <c r="C772" s="4">
        <f>IF(OR(INDEX($V$2:$V$1001,MATCH(ROWS($U$2:U772),$U$2:$U$1001,0),1)&gt;=100000,INDEX($AB$1005:$AQ$1005,1,MATCH(COLUMNS($AB$1006:AC1006),$AB$1006:$AQ$1006,0))&gt;=100000), " ",IF(INDEX($AB$2:$AQ$1001,MATCH(ROWS($U$2:U772),$U$2:$U$1001,0),MATCH(COLUMNS($AB$1006:AC1006),$AB$1006:$AQ$1006,0)), HYPERLINK("#",""), HYPERLINK(CONCATENATE("#metadata!", ADDRESS(INDEX($W$2:$W$1001,MATCH(ROWS($U$2:U772),$U$2:$U$1001,0),0), INDEX($AB$1004:$AQ$1004,1,MATCH(COLUMNS($AB$1006:AC1006),$AB$1006:$AQ$1006,0)))),"Fix")))</f>
        <v>0</v>
      </c>
      <c r="D772" s="4">
        <f>IF(OR(INDEX($V$2:$V$1001,MATCH(ROWS($U$2:U772),$U$2:$U$1001,0),1)&gt;=100000,INDEX($AB$1005:$AQ$1005,1,MATCH(COLUMNS($AB$1006:AD1006),$AB$1006:$AQ$1006,0))&gt;=100000), " ",IF(INDEX($AB$2:$AQ$1001,MATCH(ROWS($U$2:U772),$U$2:$U$1001,0),MATCH(COLUMNS($AB$1006:AD1006),$AB$1006:$AQ$1006,0)), HYPERLINK("#",""), HYPERLINK(CONCATENATE("#metadata!", ADDRESS(INDEX($W$2:$W$1001,MATCH(ROWS($U$2:U772),$U$2:$U$1001,0),0), INDEX($AB$1004:$AQ$1004,1,MATCH(COLUMNS($AB$1006:AD1006),$AB$1006:$AQ$1006,0)))),"Fix")))</f>
        <v>0</v>
      </c>
      <c r="E772" s="4">
        <f>IF(OR(INDEX($V$2:$V$1001,MATCH(ROWS($U$2:U772),$U$2:$U$1001,0),1)&gt;=100000,INDEX($AB$1005:$AQ$1005,1,MATCH(COLUMNS($AB$1006:AE1006),$AB$1006:$AQ$1006,0))&gt;=100000), " ",IF(INDEX($AB$2:$AQ$1001,MATCH(ROWS($U$2:U772),$U$2:$U$1001,0),MATCH(COLUMNS($AB$1006:AE1006),$AB$1006:$AQ$1006,0)), HYPERLINK("#",""), HYPERLINK(CONCATENATE("#metadata!", ADDRESS(INDEX($W$2:$W$1001,MATCH(ROWS($U$2:U772),$U$2:$U$1001,0),0), INDEX($AB$1004:$AQ$1004,1,MATCH(COLUMNS($AB$1006:AE1006),$AB$1006:$AQ$1006,0)))),"Fix")))</f>
        <v>0</v>
      </c>
      <c r="F772" s="4">
        <f>IF(OR(INDEX($V$2:$V$1001,MATCH(ROWS($U$2:U772),$U$2:$U$1001,0),1)&gt;=100000,INDEX($AB$1005:$AQ$1005,1,MATCH(COLUMNS($AB$1006:AF1006),$AB$1006:$AQ$1006,0))&gt;=100000), " ",IF(INDEX($AB$2:$AQ$1001,MATCH(ROWS($U$2:U772),$U$2:$U$1001,0),MATCH(COLUMNS($AB$1006:AF1006),$AB$1006:$AQ$1006,0)), HYPERLINK("#",""), HYPERLINK(CONCATENATE("#metadata!", ADDRESS(INDEX($W$2:$W$1001,MATCH(ROWS($U$2:U772),$U$2:$U$1001,0),0), INDEX($AB$1004:$AQ$1004,1,MATCH(COLUMNS($AB$1006:AF1006),$AB$1006:$AQ$1006,0)))),"Fix")))</f>
        <v>0</v>
      </c>
      <c r="G772" s="4">
        <f>IF(OR(INDEX($V$2:$V$1001,MATCH(ROWS($U$2:U772),$U$2:$U$1001,0),1)&gt;=100000,INDEX($AB$1005:$AQ$1005,1,MATCH(COLUMNS($AB$1006:AG1006),$AB$1006:$AQ$1006,0))&gt;=100000), " ",IF(INDEX($AB$2:$AQ$1001,MATCH(ROWS($U$2:U772),$U$2:$U$1001,0),MATCH(COLUMNS($AB$1006:AG1006),$AB$1006:$AQ$1006,0)), HYPERLINK("#",""), HYPERLINK(CONCATENATE("#metadata!", ADDRESS(INDEX($W$2:$W$1001,MATCH(ROWS($U$2:U772),$U$2:$U$1001,0),0), INDEX($AB$1004:$AQ$1004,1,MATCH(COLUMNS($AB$1006:AG1006),$AB$1006:$AQ$1006,0)))),"Fix")))</f>
        <v>0</v>
      </c>
      <c r="H772" s="4">
        <f>IF(OR(INDEX($V$2:$V$1001,MATCH(ROWS($U$2:U772),$U$2:$U$1001,0),1)&gt;=100000,INDEX($AB$1005:$AQ$1005,1,MATCH(COLUMNS($AB$1006:AH1006),$AB$1006:$AQ$1006,0))&gt;=100000), " ",IF(INDEX($AB$2:$AQ$1001,MATCH(ROWS($U$2:U772),$U$2:$U$1001,0),MATCH(COLUMNS($AB$1006:AH1006),$AB$1006:$AQ$1006,0)), HYPERLINK("#",""), HYPERLINK(CONCATENATE("#metadata!", ADDRESS(INDEX($W$2:$W$1001,MATCH(ROWS($U$2:U772),$U$2:$U$1001,0),0), INDEX($AB$1004:$AQ$1004,1,MATCH(COLUMNS($AB$1006:AH1006),$AB$1006:$AQ$1006,0)))),"Fix")))</f>
        <v>0</v>
      </c>
      <c r="I772" s="4">
        <f>IF(OR(INDEX($V$2:$V$1001,MATCH(ROWS($U$2:U772),$U$2:$U$1001,0),1)&gt;=100000,INDEX($AB$1005:$AQ$1005,1,MATCH(COLUMNS($AB$1006:AI1006),$AB$1006:$AQ$1006,0))&gt;=100000), " ",IF(INDEX($AB$2:$AQ$1001,MATCH(ROWS($U$2:U772),$U$2:$U$1001,0),MATCH(COLUMNS($AB$1006:AI1006),$AB$1006:$AQ$1006,0)), HYPERLINK("#",""), HYPERLINK(CONCATENATE("#metadata!", ADDRESS(INDEX($W$2:$W$1001,MATCH(ROWS($U$2:U772),$U$2:$U$1001,0),0), INDEX($AB$1004:$AQ$1004,1,MATCH(COLUMNS($AB$1006:AI1006),$AB$1006:$AQ$1006,0)))),"Fix")))</f>
        <v>0</v>
      </c>
      <c r="J772" s="4">
        <f>IF(OR(INDEX($V$2:$V$1001,MATCH(ROWS($U$2:U772),$U$2:$U$1001,0),1)&gt;=100000,INDEX($AB$1005:$AQ$1005,1,MATCH(COLUMNS($AB$1006:AJ1006),$AB$1006:$AQ$1006,0))&gt;=100000), " ",IF(INDEX($AB$2:$AQ$1001,MATCH(ROWS($U$2:U772),$U$2:$U$1001,0),MATCH(COLUMNS($AB$1006:AJ1006),$AB$1006:$AQ$1006,0)), HYPERLINK("#",""), HYPERLINK(CONCATENATE("#metadata!", ADDRESS(INDEX($W$2:$W$1001,MATCH(ROWS($U$2:U772),$U$2:$U$1001,0),0), INDEX($AB$1004:$AQ$1004,1,MATCH(COLUMNS($AB$1006:AJ1006),$AB$1006:$AQ$1006,0)))),"Fix")))</f>
        <v>0</v>
      </c>
      <c r="K772" s="4">
        <f>IF(OR(INDEX($V$2:$V$1001,MATCH(ROWS($U$2:U772),$U$2:$U$1001,0),1)&gt;=100000,INDEX($AB$1005:$AQ$1005,1,MATCH(COLUMNS($AB$1006:AK1006),$AB$1006:$AQ$1006,0))&gt;=100000), " ",IF(INDEX($AB$2:$AQ$1001,MATCH(ROWS($U$2:U772),$U$2:$U$1001,0),MATCH(COLUMNS($AB$1006:AK1006),$AB$1006:$AQ$1006,0)), HYPERLINK("#",""), HYPERLINK(CONCATENATE("#metadata!", ADDRESS(INDEX($W$2:$W$1001,MATCH(ROWS($U$2:U772),$U$2:$U$1001,0),0), INDEX($AB$1004:$AQ$1004,1,MATCH(COLUMNS($AB$1006:AK1006),$AB$1006:$AQ$1006,0)))),"Fix")))</f>
        <v>0</v>
      </c>
      <c r="L772" s="4">
        <f>IF(OR(INDEX($V$2:$V$1001,MATCH(ROWS($U$2:U772),$U$2:$U$1001,0),1)&gt;=100000,INDEX($AB$1005:$AQ$1005,1,MATCH(COLUMNS($AB$1006:AL1006),$AB$1006:$AQ$1006,0))&gt;=100000), " ",IF(INDEX($AB$2:$AQ$1001,MATCH(ROWS($U$2:U772),$U$2:$U$1001,0),MATCH(COLUMNS($AB$1006:AL1006),$AB$1006:$AQ$1006,0)), HYPERLINK("#",""), HYPERLINK(CONCATENATE("#metadata!", ADDRESS(INDEX($W$2:$W$1001,MATCH(ROWS($U$2:U772),$U$2:$U$1001,0),0), INDEX($AB$1004:$AQ$1004,1,MATCH(COLUMNS($AB$1006:AL1006),$AB$1006:$AQ$1006,0)))),"Fix")))</f>
        <v>0</v>
      </c>
      <c r="M772" s="4">
        <f>IF(OR(INDEX($V$2:$V$1001,MATCH(ROWS($U$2:U772),$U$2:$U$1001,0),1)&gt;=100000,INDEX($AB$1005:$AQ$1005,1,MATCH(COLUMNS($AB$1006:AM1006),$AB$1006:$AQ$1006,0))&gt;=100000), " ",IF(INDEX($AB$2:$AQ$1001,MATCH(ROWS($U$2:U772),$U$2:$U$1001,0),MATCH(COLUMNS($AB$1006:AM1006),$AB$1006:$AQ$1006,0)), HYPERLINK("#",""), HYPERLINK(CONCATENATE("#metadata!", ADDRESS(INDEX($W$2:$W$1001,MATCH(ROWS($U$2:U772),$U$2:$U$1001,0),0), INDEX($AB$1004:$AQ$1004,1,MATCH(COLUMNS($AB$1006:AM1006),$AB$1006:$AQ$1006,0)))),"Fix")))</f>
        <v>0</v>
      </c>
      <c r="N772" s="4">
        <f>IF(OR(INDEX($V$2:$V$1001,MATCH(ROWS($U$2:U772),$U$2:$U$1001,0),1)&gt;=100000,INDEX($AB$1005:$AQ$1005,1,MATCH(COLUMNS($AB$1006:AN1006),$AB$1006:$AQ$1006,0))&gt;=100000), " ",IF(INDEX($AB$2:$AQ$1001,MATCH(ROWS($U$2:U772),$U$2:$U$1001,0),MATCH(COLUMNS($AB$1006:AN1006),$AB$1006:$AQ$1006,0)), HYPERLINK("#",""), HYPERLINK(CONCATENATE("#metadata!", ADDRESS(INDEX($W$2:$W$1001,MATCH(ROWS($U$2:U772),$U$2:$U$1001,0),0), INDEX($AB$1004:$AQ$1004,1,MATCH(COLUMNS($AB$1006:AN1006),$AB$1006:$AQ$1006,0)))),"Fix")))</f>
        <v>0</v>
      </c>
      <c r="O772" s="4">
        <f>IF(OR(INDEX($V$2:$V$1001,MATCH(ROWS($U$2:U772),$U$2:$U$1001,0),1)&gt;=100000,INDEX($AB$1005:$AQ$1005,1,MATCH(COLUMNS($AB$1006:AO1006),$AB$1006:$AQ$1006,0))&gt;=100000), " ",IF(INDEX($AB$2:$AQ$1001,MATCH(ROWS($U$2:U772),$U$2:$U$1001,0),MATCH(COLUMNS($AB$1006:AO1006),$AB$1006:$AQ$1006,0)), HYPERLINK("#",""), HYPERLINK(CONCATENATE("#metadata!", ADDRESS(INDEX($W$2:$W$1001,MATCH(ROWS($U$2:U772),$U$2:$U$1001,0),0), INDEX($AB$1004:$AQ$1004,1,MATCH(COLUMNS($AB$1006:AO1006),$AB$1006:$AQ$1006,0)))),"Fix")))</f>
        <v>0</v>
      </c>
      <c r="P772" s="4">
        <f>IF(OR(INDEX($V$2:$V$1001,MATCH(ROWS($U$2:U772),$U$2:$U$1001,0),1)&gt;=100000,INDEX($AB$1005:$AQ$1005,1,MATCH(COLUMNS($AB$1006:AP1006),$AB$1006:$AQ$1006,0))&gt;=100000), " ",IF(INDEX($AB$2:$AQ$1001,MATCH(ROWS($U$2:U772),$U$2:$U$1001,0),MATCH(COLUMNS($AB$1006:AP1006),$AB$1006:$AQ$1006,0)), HYPERLINK("#",""), HYPERLINK(CONCATENATE("#metadata!", ADDRESS(INDEX($W$2:$W$1001,MATCH(ROWS($U$2:U772),$U$2:$U$1001,0),0), INDEX($AB$1004:$AQ$1004,1,MATCH(COLUMNS($AB$1006:AP1006),$AB$1006:$AQ$1006,0)))),"Fix")))</f>
        <v>0</v>
      </c>
      <c r="Q772" s="4">
        <f>IF(OR(INDEX($V$2:$V$1001,MATCH(ROWS($U$2:U772),$U$2:$U$1001,0),1)&gt;=100000,INDEX($AB$1005:$AQ$1005,1,MATCH(COLUMNS($AB$1006:AQ1006),$AB$1006:$AQ$1006,0))&gt;=100000), " ",IF(INDEX($AB$2:$AQ$1001,MATCH(ROWS($U$2:U772),$U$2:$U$1001,0),MATCH(COLUMNS($AB$1006:AQ1006),$AB$1006:$AQ$1006,0)), HYPERLINK("#",""), HYPERLINK(CONCATENATE("#metadata!", ADDRESS(INDEX($W$2:$W$1001,MATCH(ROWS($U$2:U772),$U$2:$U$1001,0),0), INDEX($AB$1004:$AQ$1004,1,MATCH(COLUMNS($AB$1006:AQ1006),$AB$1006:$AQ$1006,0)))),"Fix")))</f>
        <v>0</v>
      </c>
      <c r="U772">
        <v>0</v>
      </c>
      <c r="V772">
        <v>0</v>
      </c>
      <c r="W772">
        <v>0</v>
      </c>
      <c r="X772">
        <f>IF(Y772,TRUE,AND(AB772:AQ772))</f>
        <v>0</v>
      </c>
      <c r="Y772">
        <f>COUNTBLANK(metadata!B772:Q772)=COLUMNS(metadata!B772:Q772)</f>
        <v>0</v>
      </c>
      <c r="Z772">
        <v>0</v>
      </c>
      <c r="AB772">
        <f>AND(IF(metadata!B772="",FALSE,TRUE),COUNTIF(metadata!B:B, metadata!B772) = 1,NOT(ISERROR(SUMPRODUCT(SEARCH(MID(metadata!B772,ROW(INDIRECT("1:"&amp;LEN(metadata!B772))), 1),"0123456789abcdefghijklmnopqrstuvwxyzABCDEFGHIJKLMNOPQRSTUVWXYZ.")))))</f>
        <v>0</v>
      </c>
      <c r="AC772">
        <f>OR(AND(IF(metadata!C772="",FALSE,TRUE),OR(exact(metadata!C772,"missing: not collected"),exact(metadata!C772,"missing: not provided"),exact(metadata!C772,"missing: restricted access"))),AND(IF(metadata!C772="",FALSE,TRUE),AND(AND(IFERROR(INT(LEFT(metadata!C772,4))&gt;1900,FALSE),IFERROR(INT(LEFT(metadata!C772,4))&lt;=YEAR(NOW()),FALSE)), OR(MID(metadata!C772,5,1)="", AND(AND(MID(metadata!C772,5,1)="-",IFERROR(INT(MID(metadata!C772,6,1))&gt;=0,FALSE),IFERROR(INT(MID(metadata!C772,6,1))&lt;=1,FALSE),NOT(MID(metadata!C772,7,1)=""),IFERROR(INT(MID(metadata!C772,6,2))&gt;=1,FALSE),IFERROR(INT(MID(metadata!C772,6,2))&lt;=12,FALSE)), OR(MID(metadata!C772,8,1)="", AND(AND(MID(metadata!C772,8,1)="-",IFERROR(INT(MID(metadata!C772,9,1))&gt;=0,FALSE),IFERROR(INT(MID(metadata!C772,9,1))&lt;=3,FALSE),NOT(MID(metadata!C772,10,1)=""),IFERROR(INT(MID(metadata!C772,9,2))&gt;=1,FALSE),IFERROR(INT(MID(metadata!C772,9,2))&lt;=31,FALSE)), OR(MID(metadata!C772,11,1)="", AND(AND(MID(metadata!C772,11,1)=" ",IFERROR(INT(MID(metadata!C772,12,1))&gt;=0,FALSE),IFERROR(INT(MID(metadata!C772,12,1))&lt;=2,FALSE),NOT(MID(metadata!C772,13,1)=""),IFERROR(INT(MID(metadata!C772,12,2))&gt;=0,FALSE),IFERROR(INT(MID(metadata!C772,12,2))&lt;=23,FALSE)), OR(MID(metadata!C772,14,1)="", AND(AND(MID(metadata!C772,14,1)=":",IFERROR(INT(MID(metadata!C772,15,1))&gt;=0,FALSE),IFERROR(INT(MID(metadata!C772,15,1))&lt;=5,FALSE),NOT(MID(metadata!C772,16,1)=""),IFERROR(INT(MID(metadata!C772,15,2))&gt;=0,FALSE),IFERROR(INT(MID(metadata!C772,15,2))&lt;=59,FALSE)), OR(MID(metadata!C772,17,1)="", AND(AND(MID(metadata!C772,17,1)=":",IFERROR(INT(MID(metadata!C772,18,1))&gt;=0,FALSE),IFERROR(INT(MID(metadata!C772,18,1))&lt;=5,FALSE),NOT(MID(metadata!C772,19,1)=""),IFERROR(INT(MID(metadata!C772,18,2))&gt;=0,FALSE),IFERROR(INT(MID(metadata!C772,18,2))&lt;=59,FALSE)), LEN(metadata!C772)&lt;=19)))))))))))))</f>
        <v>0</v>
      </c>
      <c r="AD772">
        <f>IF(metadata!D772="",FALSE,TRUE)</f>
        <v>0</v>
      </c>
      <c r="AE772">
        <f>OR(AND(IF(metadata!E772="",FALSE,TRUE),OR(exact(metadata!E772,"missing: not collected"),exact(metadata!E772,"missing: not provided"))),AND(IF(metadata!E772="",FALSE,TRUE),OR(exact(metadata!E772,"TRUE"),exact(metadata!E772,"FALSE"))))</f>
        <v>0</v>
      </c>
      <c r="AF772">
        <f>IF(metadata!F772="",FALSE,TRUE)</f>
        <v>0</v>
      </c>
      <c r="AG772">
        <f>IF(metadata!G772="",FALSE,TRUE)</f>
        <v>0</v>
      </c>
      <c r="AH772">
        <f>IF(metadata!H772="",FALSE,TRUE)</f>
        <v>0</v>
      </c>
      <c r="AI772">
        <f>OR(AND(IF(metadata!I772="",FALSE,TRUE),OR(exact(metadata!I772,"missing: not collected"),exact(metadata!I772,"missing: not provided"),exact(metadata!I772,"missing: restricted access"))),AND(IF(metadata!I772="",FALSE,TRUE),OR(exact(metadata!I772,"air"),exact(metadata!I772,"built environment"),exact(metadata!I772,"host-associated"),exact(metadata!I772,"human-associated"),exact(metadata!I772,"human-skin"),exact(metadata!I772,"human-oral"),exact(metadata!I772,"human-gut"),exact(metadata!I772,"human-vaginal"),exact(metadata!I772,"microbial mat/biofilm"),exact(metadata!I772,"misc environment"),exact(metadata!I772,"plant-associated"),exact(metadata!I772,"sediment"),exact(metadata!I772,"soil"),exact(metadata!I772,"wastewater/sludge"),exact(metadata!I772,"water"))))</f>
        <v>0</v>
      </c>
      <c r="AJ772">
        <f>IF(metadata!J772="",FALSE,TRUE)</f>
        <v>0</v>
      </c>
      <c r="AK772">
        <f>OR(AND(IF(metadata!K772="",FALSE,TRUE),OR(exact(metadata!K772,"missing: not collected"),exact(metadata!K772,"missing: not provided"),exact(metadata!K772,"missing: restricted access"))),AND(IF(metadata!K772="",FALSE,ISNUMBER(VALUE(metadata!K772))),metadata!K772&gt;=-90.00,metadata!K772&lt;=90.00))</f>
        <v>0</v>
      </c>
      <c r="AL772">
        <f>OR(AND(IF(metadata!L772="",FALSE,TRUE),OR(exact(metadata!L772,"missing: not collected"),exact(metadata!L772,"missing: not provided"),exact(metadata!L772,"missing: restricted access"))),AND(IF(metadata!L772="",FALSE,ISNUMBER(VALUE(metadata!L772))),metadata!L772&gt;=-180.00,metadata!L772&lt;=180.00))</f>
        <v>0</v>
      </c>
      <c r="AM772">
        <f>IF(metadata!M772="",FALSE,TRUE)</f>
        <v>0</v>
      </c>
      <c r="AN772">
        <f>OR(AND(IF(metadata!N772="",FALSE,TRUE),OR(exact(metadata!N772,"missing: not collected"),exact(metadata!N772,"missing: not provided"),exact(metadata!N772,"missing: restricted access"))),AND(IF(metadata!N772="",FALSE,TRUE),OR(exact(metadata!N772,"TRUE"),exact(metadata!N772,"FALSE"))))</f>
        <v>0</v>
      </c>
      <c r="AO772">
        <f>IF(metadata!O772="",FALSE,TRUE)</f>
        <v>0</v>
      </c>
      <c r="AP772">
        <f>OR(AND(IF(metadata!P772="",FALSE,TRUE),OR(exact(metadata!P772,"missing: not collected"),exact(metadata!P772,"missing: not provided"))),AND(IF(metadata!P772="",FALSE,IF(ISERROR(INT(metadata!P772)),FALSE,INT(metadata!P772)=metadata!P772)),metadata!P772&gt;0))</f>
        <v>0</v>
      </c>
      <c r="AQ772">
        <f>IF(metadata!Q772="",FALSE,TRUE)</f>
        <v>0</v>
      </c>
    </row>
    <row r="773" spans="1:43">
      <c r="A773" s="5">
        <f>IF(B773=" "," ",HYPERLINK(CONCATENATE("#metadata!",ADDRESS(INDEX($W$2:$W$1001,MATCH(ROWS($U$2:U773),$U$2:$U$1001,0),0),1)),INDEX($Z$2:$Z$1001,MATCH(ROWS($U$2:U773),$U$2:$U$1001,0),0)))</f>
        <v>0</v>
      </c>
      <c r="B773" s="4">
        <f>IF(OR(INDEX($V$2:$V$1001,MATCH(ROWS($U$2:U773),$U$2:$U$1001,0),1)&gt;=100000,INDEX($AB$1005:$AQ$1005,1,MATCH(COLUMNS($AB$1006:AB1006),$AB$1006:$AQ$1006,0))&gt;=100000), " ",IF(INDEX($AB$2:$AQ$1001,MATCH(ROWS($U$2:U773),$U$2:$U$1001,0),MATCH(COLUMNS($AB$1006:AB1006),$AB$1006:$AQ$1006,0)), HYPERLINK("#",""), HYPERLINK(CONCATENATE("#metadata!", ADDRESS(INDEX($W$2:$W$1001,MATCH(ROWS($U$2:U773),$U$2:$U$1001,0),0), INDEX($AB$1004:$AQ$1004,1,MATCH(COLUMNS($AB$1006:AB1006),$AB$1006:$AQ$1006,0)))),"Fix")))</f>
        <v>0</v>
      </c>
      <c r="C773" s="4">
        <f>IF(OR(INDEX($V$2:$V$1001,MATCH(ROWS($U$2:U773),$U$2:$U$1001,0),1)&gt;=100000,INDEX($AB$1005:$AQ$1005,1,MATCH(COLUMNS($AB$1006:AC1006),$AB$1006:$AQ$1006,0))&gt;=100000), " ",IF(INDEX($AB$2:$AQ$1001,MATCH(ROWS($U$2:U773),$U$2:$U$1001,0),MATCH(COLUMNS($AB$1006:AC1006),$AB$1006:$AQ$1006,0)), HYPERLINK("#",""), HYPERLINK(CONCATENATE("#metadata!", ADDRESS(INDEX($W$2:$W$1001,MATCH(ROWS($U$2:U773),$U$2:$U$1001,0),0), INDEX($AB$1004:$AQ$1004,1,MATCH(COLUMNS($AB$1006:AC1006),$AB$1006:$AQ$1006,0)))),"Fix")))</f>
        <v>0</v>
      </c>
      <c r="D773" s="4">
        <f>IF(OR(INDEX($V$2:$V$1001,MATCH(ROWS($U$2:U773),$U$2:$U$1001,0),1)&gt;=100000,INDEX($AB$1005:$AQ$1005,1,MATCH(COLUMNS($AB$1006:AD1006),$AB$1006:$AQ$1006,0))&gt;=100000), " ",IF(INDEX($AB$2:$AQ$1001,MATCH(ROWS($U$2:U773),$U$2:$U$1001,0),MATCH(COLUMNS($AB$1006:AD1006),$AB$1006:$AQ$1006,0)), HYPERLINK("#",""), HYPERLINK(CONCATENATE("#metadata!", ADDRESS(INDEX($W$2:$W$1001,MATCH(ROWS($U$2:U773),$U$2:$U$1001,0),0), INDEX($AB$1004:$AQ$1004,1,MATCH(COLUMNS($AB$1006:AD1006),$AB$1006:$AQ$1006,0)))),"Fix")))</f>
        <v>0</v>
      </c>
      <c r="E773" s="4">
        <f>IF(OR(INDEX($V$2:$V$1001,MATCH(ROWS($U$2:U773),$U$2:$U$1001,0),1)&gt;=100000,INDEX($AB$1005:$AQ$1005,1,MATCH(COLUMNS($AB$1006:AE1006),$AB$1006:$AQ$1006,0))&gt;=100000), " ",IF(INDEX($AB$2:$AQ$1001,MATCH(ROWS($U$2:U773),$U$2:$U$1001,0),MATCH(COLUMNS($AB$1006:AE1006),$AB$1006:$AQ$1006,0)), HYPERLINK("#",""), HYPERLINK(CONCATENATE("#metadata!", ADDRESS(INDEX($W$2:$W$1001,MATCH(ROWS($U$2:U773),$U$2:$U$1001,0),0), INDEX($AB$1004:$AQ$1004,1,MATCH(COLUMNS($AB$1006:AE1006),$AB$1006:$AQ$1006,0)))),"Fix")))</f>
        <v>0</v>
      </c>
      <c r="F773" s="4">
        <f>IF(OR(INDEX($V$2:$V$1001,MATCH(ROWS($U$2:U773),$U$2:$U$1001,0),1)&gt;=100000,INDEX($AB$1005:$AQ$1005,1,MATCH(COLUMNS($AB$1006:AF1006),$AB$1006:$AQ$1006,0))&gt;=100000), " ",IF(INDEX($AB$2:$AQ$1001,MATCH(ROWS($U$2:U773),$U$2:$U$1001,0),MATCH(COLUMNS($AB$1006:AF1006),$AB$1006:$AQ$1006,0)), HYPERLINK("#",""), HYPERLINK(CONCATENATE("#metadata!", ADDRESS(INDEX($W$2:$W$1001,MATCH(ROWS($U$2:U773),$U$2:$U$1001,0),0), INDEX($AB$1004:$AQ$1004,1,MATCH(COLUMNS($AB$1006:AF1006),$AB$1006:$AQ$1006,0)))),"Fix")))</f>
        <v>0</v>
      </c>
      <c r="G773" s="4">
        <f>IF(OR(INDEX($V$2:$V$1001,MATCH(ROWS($U$2:U773),$U$2:$U$1001,0),1)&gt;=100000,INDEX($AB$1005:$AQ$1005,1,MATCH(COLUMNS($AB$1006:AG1006),$AB$1006:$AQ$1006,0))&gt;=100000), " ",IF(INDEX($AB$2:$AQ$1001,MATCH(ROWS($U$2:U773),$U$2:$U$1001,0),MATCH(COLUMNS($AB$1006:AG1006),$AB$1006:$AQ$1006,0)), HYPERLINK("#",""), HYPERLINK(CONCATENATE("#metadata!", ADDRESS(INDEX($W$2:$W$1001,MATCH(ROWS($U$2:U773),$U$2:$U$1001,0),0), INDEX($AB$1004:$AQ$1004,1,MATCH(COLUMNS($AB$1006:AG1006),$AB$1006:$AQ$1006,0)))),"Fix")))</f>
        <v>0</v>
      </c>
      <c r="H773" s="4">
        <f>IF(OR(INDEX($V$2:$V$1001,MATCH(ROWS($U$2:U773),$U$2:$U$1001,0),1)&gt;=100000,INDEX($AB$1005:$AQ$1005,1,MATCH(COLUMNS($AB$1006:AH1006),$AB$1006:$AQ$1006,0))&gt;=100000), " ",IF(INDEX($AB$2:$AQ$1001,MATCH(ROWS($U$2:U773),$U$2:$U$1001,0),MATCH(COLUMNS($AB$1006:AH1006),$AB$1006:$AQ$1006,0)), HYPERLINK("#",""), HYPERLINK(CONCATENATE("#metadata!", ADDRESS(INDEX($W$2:$W$1001,MATCH(ROWS($U$2:U773),$U$2:$U$1001,0),0), INDEX($AB$1004:$AQ$1004,1,MATCH(COLUMNS($AB$1006:AH1006),$AB$1006:$AQ$1006,0)))),"Fix")))</f>
        <v>0</v>
      </c>
      <c r="I773" s="4">
        <f>IF(OR(INDEX($V$2:$V$1001,MATCH(ROWS($U$2:U773),$U$2:$U$1001,0),1)&gt;=100000,INDEX($AB$1005:$AQ$1005,1,MATCH(COLUMNS($AB$1006:AI1006),$AB$1006:$AQ$1006,0))&gt;=100000), " ",IF(INDEX($AB$2:$AQ$1001,MATCH(ROWS($U$2:U773),$U$2:$U$1001,0),MATCH(COLUMNS($AB$1006:AI1006),$AB$1006:$AQ$1006,0)), HYPERLINK("#",""), HYPERLINK(CONCATENATE("#metadata!", ADDRESS(INDEX($W$2:$W$1001,MATCH(ROWS($U$2:U773),$U$2:$U$1001,0),0), INDEX($AB$1004:$AQ$1004,1,MATCH(COLUMNS($AB$1006:AI1006),$AB$1006:$AQ$1006,0)))),"Fix")))</f>
        <v>0</v>
      </c>
      <c r="J773" s="4">
        <f>IF(OR(INDEX($V$2:$V$1001,MATCH(ROWS($U$2:U773),$U$2:$U$1001,0),1)&gt;=100000,INDEX($AB$1005:$AQ$1005,1,MATCH(COLUMNS($AB$1006:AJ1006),$AB$1006:$AQ$1006,0))&gt;=100000), " ",IF(INDEX($AB$2:$AQ$1001,MATCH(ROWS($U$2:U773),$U$2:$U$1001,0),MATCH(COLUMNS($AB$1006:AJ1006),$AB$1006:$AQ$1006,0)), HYPERLINK("#",""), HYPERLINK(CONCATENATE("#metadata!", ADDRESS(INDEX($W$2:$W$1001,MATCH(ROWS($U$2:U773),$U$2:$U$1001,0),0), INDEX($AB$1004:$AQ$1004,1,MATCH(COLUMNS($AB$1006:AJ1006),$AB$1006:$AQ$1006,0)))),"Fix")))</f>
        <v>0</v>
      </c>
      <c r="K773" s="4">
        <f>IF(OR(INDEX($V$2:$V$1001,MATCH(ROWS($U$2:U773),$U$2:$U$1001,0),1)&gt;=100000,INDEX($AB$1005:$AQ$1005,1,MATCH(COLUMNS($AB$1006:AK1006),$AB$1006:$AQ$1006,0))&gt;=100000), " ",IF(INDEX($AB$2:$AQ$1001,MATCH(ROWS($U$2:U773),$U$2:$U$1001,0),MATCH(COLUMNS($AB$1006:AK1006),$AB$1006:$AQ$1006,0)), HYPERLINK("#",""), HYPERLINK(CONCATENATE("#metadata!", ADDRESS(INDEX($W$2:$W$1001,MATCH(ROWS($U$2:U773),$U$2:$U$1001,0),0), INDEX($AB$1004:$AQ$1004,1,MATCH(COLUMNS($AB$1006:AK1006),$AB$1006:$AQ$1006,0)))),"Fix")))</f>
        <v>0</v>
      </c>
      <c r="L773" s="4">
        <f>IF(OR(INDEX($V$2:$V$1001,MATCH(ROWS($U$2:U773),$U$2:$U$1001,0),1)&gt;=100000,INDEX($AB$1005:$AQ$1005,1,MATCH(COLUMNS($AB$1006:AL1006),$AB$1006:$AQ$1006,0))&gt;=100000), " ",IF(INDEX($AB$2:$AQ$1001,MATCH(ROWS($U$2:U773),$U$2:$U$1001,0),MATCH(COLUMNS($AB$1006:AL1006),$AB$1006:$AQ$1006,0)), HYPERLINK("#",""), HYPERLINK(CONCATENATE("#metadata!", ADDRESS(INDEX($W$2:$W$1001,MATCH(ROWS($U$2:U773),$U$2:$U$1001,0),0), INDEX($AB$1004:$AQ$1004,1,MATCH(COLUMNS($AB$1006:AL1006),$AB$1006:$AQ$1006,0)))),"Fix")))</f>
        <v>0</v>
      </c>
      <c r="M773" s="4">
        <f>IF(OR(INDEX($V$2:$V$1001,MATCH(ROWS($U$2:U773),$U$2:$U$1001,0),1)&gt;=100000,INDEX($AB$1005:$AQ$1005,1,MATCH(COLUMNS($AB$1006:AM1006),$AB$1006:$AQ$1006,0))&gt;=100000), " ",IF(INDEX($AB$2:$AQ$1001,MATCH(ROWS($U$2:U773),$U$2:$U$1001,0),MATCH(COLUMNS($AB$1006:AM1006),$AB$1006:$AQ$1006,0)), HYPERLINK("#",""), HYPERLINK(CONCATENATE("#metadata!", ADDRESS(INDEX($W$2:$W$1001,MATCH(ROWS($U$2:U773),$U$2:$U$1001,0),0), INDEX($AB$1004:$AQ$1004,1,MATCH(COLUMNS($AB$1006:AM1006),$AB$1006:$AQ$1006,0)))),"Fix")))</f>
        <v>0</v>
      </c>
      <c r="N773" s="4">
        <f>IF(OR(INDEX($V$2:$V$1001,MATCH(ROWS($U$2:U773),$U$2:$U$1001,0),1)&gt;=100000,INDEX($AB$1005:$AQ$1005,1,MATCH(COLUMNS($AB$1006:AN1006),$AB$1006:$AQ$1006,0))&gt;=100000), " ",IF(INDEX($AB$2:$AQ$1001,MATCH(ROWS($U$2:U773),$U$2:$U$1001,0),MATCH(COLUMNS($AB$1006:AN1006),$AB$1006:$AQ$1006,0)), HYPERLINK("#",""), HYPERLINK(CONCATENATE("#metadata!", ADDRESS(INDEX($W$2:$W$1001,MATCH(ROWS($U$2:U773),$U$2:$U$1001,0),0), INDEX($AB$1004:$AQ$1004,1,MATCH(COLUMNS($AB$1006:AN1006),$AB$1006:$AQ$1006,0)))),"Fix")))</f>
        <v>0</v>
      </c>
      <c r="O773" s="4">
        <f>IF(OR(INDEX($V$2:$V$1001,MATCH(ROWS($U$2:U773),$U$2:$U$1001,0),1)&gt;=100000,INDEX($AB$1005:$AQ$1005,1,MATCH(COLUMNS($AB$1006:AO1006),$AB$1006:$AQ$1006,0))&gt;=100000), " ",IF(INDEX($AB$2:$AQ$1001,MATCH(ROWS($U$2:U773),$U$2:$U$1001,0),MATCH(COLUMNS($AB$1006:AO1006),$AB$1006:$AQ$1006,0)), HYPERLINK("#",""), HYPERLINK(CONCATENATE("#metadata!", ADDRESS(INDEX($W$2:$W$1001,MATCH(ROWS($U$2:U773),$U$2:$U$1001,0),0), INDEX($AB$1004:$AQ$1004,1,MATCH(COLUMNS($AB$1006:AO1006),$AB$1006:$AQ$1006,0)))),"Fix")))</f>
        <v>0</v>
      </c>
      <c r="P773" s="4">
        <f>IF(OR(INDEX($V$2:$V$1001,MATCH(ROWS($U$2:U773),$U$2:$U$1001,0),1)&gt;=100000,INDEX($AB$1005:$AQ$1005,1,MATCH(COLUMNS($AB$1006:AP1006),$AB$1006:$AQ$1006,0))&gt;=100000), " ",IF(INDEX($AB$2:$AQ$1001,MATCH(ROWS($U$2:U773),$U$2:$U$1001,0),MATCH(COLUMNS($AB$1006:AP1006),$AB$1006:$AQ$1006,0)), HYPERLINK("#",""), HYPERLINK(CONCATENATE("#metadata!", ADDRESS(INDEX($W$2:$W$1001,MATCH(ROWS($U$2:U773),$U$2:$U$1001,0),0), INDEX($AB$1004:$AQ$1004,1,MATCH(COLUMNS($AB$1006:AP1006),$AB$1006:$AQ$1006,0)))),"Fix")))</f>
        <v>0</v>
      </c>
      <c r="Q773" s="4">
        <f>IF(OR(INDEX($V$2:$V$1001,MATCH(ROWS($U$2:U773),$U$2:$U$1001,0),1)&gt;=100000,INDEX($AB$1005:$AQ$1005,1,MATCH(COLUMNS($AB$1006:AQ1006),$AB$1006:$AQ$1006,0))&gt;=100000), " ",IF(INDEX($AB$2:$AQ$1001,MATCH(ROWS($U$2:U773),$U$2:$U$1001,0),MATCH(COLUMNS($AB$1006:AQ1006),$AB$1006:$AQ$1006,0)), HYPERLINK("#",""), HYPERLINK(CONCATENATE("#metadata!", ADDRESS(INDEX($W$2:$W$1001,MATCH(ROWS($U$2:U773),$U$2:$U$1001,0),0), INDEX($AB$1004:$AQ$1004,1,MATCH(COLUMNS($AB$1006:AQ1006),$AB$1006:$AQ$1006,0)))),"Fix")))</f>
        <v>0</v>
      </c>
      <c r="U773">
        <v>0</v>
      </c>
      <c r="V773">
        <v>0</v>
      </c>
      <c r="W773">
        <v>0</v>
      </c>
      <c r="X773">
        <f>IF(Y773,TRUE,AND(AB773:AQ773))</f>
        <v>0</v>
      </c>
      <c r="Y773">
        <f>COUNTBLANK(metadata!B773:Q773)=COLUMNS(metadata!B773:Q773)</f>
        <v>0</v>
      </c>
      <c r="Z773">
        <v>0</v>
      </c>
      <c r="AB773">
        <f>AND(IF(metadata!B773="",FALSE,TRUE),COUNTIF(metadata!B:B, metadata!B773) = 1,NOT(ISERROR(SUMPRODUCT(SEARCH(MID(metadata!B773,ROW(INDIRECT("1:"&amp;LEN(metadata!B773))), 1),"0123456789abcdefghijklmnopqrstuvwxyzABCDEFGHIJKLMNOPQRSTUVWXYZ.")))))</f>
        <v>0</v>
      </c>
      <c r="AC773">
        <f>OR(AND(IF(metadata!C773="",FALSE,TRUE),OR(exact(metadata!C773,"missing: not collected"),exact(metadata!C773,"missing: not provided"),exact(metadata!C773,"missing: restricted access"))),AND(IF(metadata!C773="",FALSE,TRUE),AND(AND(IFERROR(INT(LEFT(metadata!C773,4))&gt;1900,FALSE),IFERROR(INT(LEFT(metadata!C773,4))&lt;=YEAR(NOW()),FALSE)), OR(MID(metadata!C773,5,1)="", AND(AND(MID(metadata!C773,5,1)="-",IFERROR(INT(MID(metadata!C773,6,1))&gt;=0,FALSE),IFERROR(INT(MID(metadata!C773,6,1))&lt;=1,FALSE),NOT(MID(metadata!C773,7,1)=""),IFERROR(INT(MID(metadata!C773,6,2))&gt;=1,FALSE),IFERROR(INT(MID(metadata!C773,6,2))&lt;=12,FALSE)), OR(MID(metadata!C773,8,1)="", AND(AND(MID(metadata!C773,8,1)="-",IFERROR(INT(MID(metadata!C773,9,1))&gt;=0,FALSE),IFERROR(INT(MID(metadata!C773,9,1))&lt;=3,FALSE),NOT(MID(metadata!C773,10,1)=""),IFERROR(INT(MID(metadata!C773,9,2))&gt;=1,FALSE),IFERROR(INT(MID(metadata!C773,9,2))&lt;=31,FALSE)), OR(MID(metadata!C773,11,1)="", AND(AND(MID(metadata!C773,11,1)=" ",IFERROR(INT(MID(metadata!C773,12,1))&gt;=0,FALSE),IFERROR(INT(MID(metadata!C773,12,1))&lt;=2,FALSE),NOT(MID(metadata!C773,13,1)=""),IFERROR(INT(MID(metadata!C773,12,2))&gt;=0,FALSE),IFERROR(INT(MID(metadata!C773,12,2))&lt;=23,FALSE)), OR(MID(metadata!C773,14,1)="", AND(AND(MID(metadata!C773,14,1)=":",IFERROR(INT(MID(metadata!C773,15,1))&gt;=0,FALSE),IFERROR(INT(MID(metadata!C773,15,1))&lt;=5,FALSE),NOT(MID(metadata!C773,16,1)=""),IFERROR(INT(MID(metadata!C773,15,2))&gt;=0,FALSE),IFERROR(INT(MID(metadata!C773,15,2))&lt;=59,FALSE)), OR(MID(metadata!C773,17,1)="", AND(AND(MID(metadata!C773,17,1)=":",IFERROR(INT(MID(metadata!C773,18,1))&gt;=0,FALSE),IFERROR(INT(MID(metadata!C773,18,1))&lt;=5,FALSE),NOT(MID(metadata!C773,19,1)=""),IFERROR(INT(MID(metadata!C773,18,2))&gt;=0,FALSE),IFERROR(INT(MID(metadata!C773,18,2))&lt;=59,FALSE)), LEN(metadata!C773)&lt;=19)))))))))))))</f>
        <v>0</v>
      </c>
      <c r="AD773">
        <f>IF(metadata!D773="",FALSE,TRUE)</f>
        <v>0</v>
      </c>
      <c r="AE773">
        <f>OR(AND(IF(metadata!E773="",FALSE,TRUE),OR(exact(metadata!E773,"missing: not collected"),exact(metadata!E773,"missing: not provided"))),AND(IF(metadata!E773="",FALSE,TRUE),OR(exact(metadata!E773,"TRUE"),exact(metadata!E773,"FALSE"))))</f>
        <v>0</v>
      </c>
      <c r="AF773">
        <f>IF(metadata!F773="",FALSE,TRUE)</f>
        <v>0</v>
      </c>
      <c r="AG773">
        <f>IF(metadata!G773="",FALSE,TRUE)</f>
        <v>0</v>
      </c>
      <c r="AH773">
        <f>IF(metadata!H773="",FALSE,TRUE)</f>
        <v>0</v>
      </c>
      <c r="AI773">
        <f>OR(AND(IF(metadata!I773="",FALSE,TRUE),OR(exact(metadata!I773,"missing: not collected"),exact(metadata!I773,"missing: not provided"),exact(metadata!I773,"missing: restricted access"))),AND(IF(metadata!I773="",FALSE,TRUE),OR(exact(metadata!I773,"air"),exact(metadata!I773,"built environment"),exact(metadata!I773,"host-associated"),exact(metadata!I773,"human-associated"),exact(metadata!I773,"human-skin"),exact(metadata!I773,"human-oral"),exact(metadata!I773,"human-gut"),exact(metadata!I773,"human-vaginal"),exact(metadata!I773,"microbial mat/biofilm"),exact(metadata!I773,"misc environment"),exact(metadata!I773,"plant-associated"),exact(metadata!I773,"sediment"),exact(metadata!I773,"soil"),exact(metadata!I773,"wastewater/sludge"),exact(metadata!I773,"water"))))</f>
        <v>0</v>
      </c>
      <c r="AJ773">
        <f>IF(metadata!J773="",FALSE,TRUE)</f>
        <v>0</v>
      </c>
      <c r="AK773">
        <f>OR(AND(IF(metadata!K773="",FALSE,TRUE),OR(exact(metadata!K773,"missing: not collected"),exact(metadata!K773,"missing: not provided"),exact(metadata!K773,"missing: restricted access"))),AND(IF(metadata!K773="",FALSE,ISNUMBER(VALUE(metadata!K773))),metadata!K773&gt;=-90.00,metadata!K773&lt;=90.00))</f>
        <v>0</v>
      </c>
      <c r="AL773">
        <f>OR(AND(IF(metadata!L773="",FALSE,TRUE),OR(exact(metadata!L773,"missing: not collected"),exact(metadata!L773,"missing: not provided"),exact(metadata!L773,"missing: restricted access"))),AND(IF(metadata!L773="",FALSE,ISNUMBER(VALUE(metadata!L773))),metadata!L773&gt;=-180.00,metadata!L773&lt;=180.00))</f>
        <v>0</v>
      </c>
      <c r="AM773">
        <f>IF(metadata!M773="",FALSE,TRUE)</f>
        <v>0</v>
      </c>
      <c r="AN773">
        <f>OR(AND(IF(metadata!N773="",FALSE,TRUE),OR(exact(metadata!N773,"missing: not collected"),exact(metadata!N773,"missing: not provided"),exact(metadata!N773,"missing: restricted access"))),AND(IF(metadata!N773="",FALSE,TRUE),OR(exact(metadata!N773,"TRUE"),exact(metadata!N773,"FALSE"))))</f>
        <v>0</v>
      </c>
      <c r="AO773">
        <f>IF(metadata!O773="",FALSE,TRUE)</f>
        <v>0</v>
      </c>
      <c r="AP773">
        <f>OR(AND(IF(metadata!P773="",FALSE,TRUE),OR(exact(metadata!P773,"missing: not collected"),exact(metadata!P773,"missing: not provided"))),AND(IF(metadata!P773="",FALSE,IF(ISERROR(INT(metadata!P773)),FALSE,INT(metadata!P773)=metadata!P773)),metadata!P773&gt;0))</f>
        <v>0</v>
      </c>
      <c r="AQ773">
        <f>IF(metadata!Q773="",FALSE,TRUE)</f>
        <v>0</v>
      </c>
    </row>
    <row r="774" spans="1:43">
      <c r="A774" s="5">
        <f>IF(B774=" "," ",HYPERLINK(CONCATENATE("#metadata!",ADDRESS(INDEX($W$2:$W$1001,MATCH(ROWS($U$2:U774),$U$2:$U$1001,0),0),1)),INDEX($Z$2:$Z$1001,MATCH(ROWS($U$2:U774),$U$2:$U$1001,0),0)))</f>
        <v>0</v>
      </c>
      <c r="B774" s="4">
        <f>IF(OR(INDEX($V$2:$V$1001,MATCH(ROWS($U$2:U774),$U$2:$U$1001,0),1)&gt;=100000,INDEX($AB$1005:$AQ$1005,1,MATCH(COLUMNS($AB$1006:AB1006),$AB$1006:$AQ$1006,0))&gt;=100000), " ",IF(INDEX($AB$2:$AQ$1001,MATCH(ROWS($U$2:U774),$U$2:$U$1001,0),MATCH(COLUMNS($AB$1006:AB1006),$AB$1006:$AQ$1006,0)), HYPERLINK("#",""), HYPERLINK(CONCATENATE("#metadata!", ADDRESS(INDEX($W$2:$W$1001,MATCH(ROWS($U$2:U774),$U$2:$U$1001,0),0), INDEX($AB$1004:$AQ$1004,1,MATCH(COLUMNS($AB$1006:AB1006),$AB$1006:$AQ$1006,0)))),"Fix")))</f>
        <v>0</v>
      </c>
      <c r="C774" s="4">
        <f>IF(OR(INDEX($V$2:$V$1001,MATCH(ROWS($U$2:U774),$U$2:$U$1001,0),1)&gt;=100000,INDEX($AB$1005:$AQ$1005,1,MATCH(COLUMNS($AB$1006:AC1006),$AB$1006:$AQ$1006,0))&gt;=100000), " ",IF(INDEX($AB$2:$AQ$1001,MATCH(ROWS($U$2:U774),$U$2:$U$1001,0),MATCH(COLUMNS($AB$1006:AC1006),$AB$1006:$AQ$1006,0)), HYPERLINK("#",""), HYPERLINK(CONCATENATE("#metadata!", ADDRESS(INDEX($W$2:$W$1001,MATCH(ROWS($U$2:U774),$U$2:$U$1001,0),0), INDEX($AB$1004:$AQ$1004,1,MATCH(COLUMNS($AB$1006:AC1006),$AB$1006:$AQ$1006,0)))),"Fix")))</f>
        <v>0</v>
      </c>
      <c r="D774" s="4">
        <f>IF(OR(INDEX($V$2:$V$1001,MATCH(ROWS($U$2:U774),$U$2:$U$1001,0),1)&gt;=100000,INDEX($AB$1005:$AQ$1005,1,MATCH(COLUMNS($AB$1006:AD1006),$AB$1006:$AQ$1006,0))&gt;=100000), " ",IF(INDEX($AB$2:$AQ$1001,MATCH(ROWS($U$2:U774),$U$2:$U$1001,0),MATCH(COLUMNS($AB$1006:AD1006),$AB$1006:$AQ$1006,0)), HYPERLINK("#",""), HYPERLINK(CONCATENATE("#metadata!", ADDRESS(INDEX($W$2:$W$1001,MATCH(ROWS($U$2:U774),$U$2:$U$1001,0),0), INDEX($AB$1004:$AQ$1004,1,MATCH(COLUMNS($AB$1006:AD1006),$AB$1006:$AQ$1006,0)))),"Fix")))</f>
        <v>0</v>
      </c>
      <c r="E774" s="4">
        <f>IF(OR(INDEX($V$2:$V$1001,MATCH(ROWS($U$2:U774),$U$2:$U$1001,0),1)&gt;=100000,INDEX($AB$1005:$AQ$1005,1,MATCH(COLUMNS($AB$1006:AE1006),$AB$1006:$AQ$1006,0))&gt;=100000), " ",IF(INDEX($AB$2:$AQ$1001,MATCH(ROWS($U$2:U774),$U$2:$U$1001,0),MATCH(COLUMNS($AB$1006:AE1006),$AB$1006:$AQ$1006,0)), HYPERLINK("#",""), HYPERLINK(CONCATENATE("#metadata!", ADDRESS(INDEX($W$2:$W$1001,MATCH(ROWS($U$2:U774),$U$2:$U$1001,0),0), INDEX($AB$1004:$AQ$1004,1,MATCH(COLUMNS($AB$1006:AE1006),$AB$1006:$AQ$1006,0)))),"Fix")))</f>
        <v>0</v>
      </c>
      <c r="F774" s="4">
        <f>IF(OR(INDEX($V$2:$V$1001,MATCH(ROWS($U$2:U774),$U$2:$U$1001,0),1)&gt;=100000,INDEX($AB$1005:$AQ$1005,1,MATCH(COLUMNS($AB$1006:AF1006),$AB$1006:$AQ$1006,0))&gt;=100000), " ",IF(INDEX($AB$2:$AQ$1001,MATCH(ROWS($U$2:U774),$U$2:$U$1001,0),MATCH(COLUMNS($AB$1006:AF1006),$AB$1006:$AQ$1006,0)), HYPERLINK("#",""), HYPERLINK(CONCATENATE("#metadata!", ADDRESS(INDEX($W$2:$W$1001,MATCH(ROWS($U$2:U774),$U$2:$U$1001,0),0), INDEX($AB$1004:$AQ$1004,1,MATCH(COLUMNS($AB$1006:AF1006),$AB$1006:$AQ$1006,0)))),"Fix")))</f>
        <v>0</v>
      </c>
      <c r="G774" s="4">
        <f>IF(OR(INDEX($V$2:$V$1001,MATCH(ROWS($U$2:U774),$U$2:$U$1001,0),1)&gt;=100000,INDEX($AB$1005:$AQ$1005,1,MATCH(COLUMNS($AB$1006:AG1006),$AB$1006:$AQ$1006,0))&gt;=100000), " ",IF(INDEX($AB$2:$AQ$1001,MATCH(ROWS($U$2:U774),$U$2:$U$1001,0),MATCH(COLUMNS($AB$1006:AG1006),$AB$1006:$AQ$1006,0)), HYPERLINK("#",""), HYPERLINK(CONCATENATE("#metadata!", ADDRESS(INDEX($W$2:$W$1001,MATCH(ROWS($U$2:U774),$U$2:$U$1001,0),0), INDEX($AB$1004:$AQ$1004,1,MATCH(COLUMNS($AB$1006:AG1006),$AB$1006:$AQ$1006,0)))),"Fix")))</f>
        <v>0</v>
      </c>
      <c r="H774" s="4">
        <f>IF(OR(INDEX($V$2:$V$1001,MATCH(ROWS($U$2:U774),$U$2:$U$1001,0),1)&gt;=100000,INDEX($AB$1005:$AQ$1005,1,MATCH(COLUMNS($AB$1006:AH1006),$AB$1006:$AQ$1006,0))&gt;=100000), " ",IF(INDEX($AB$2:$AQ$1001,MATCH(ROWS($U$2:U774),$U$2:$U$1001,0),MATCH(COLUMNS($AB$1006:AH1006),$AB$1006:$AQ$1006,0)), HYPERLINK("#",""), HYPERLINK(CONCATENATE("#metadata!", ADDRESS(INDEX($W$2:$W$1001,MATCH(ROWS($U$2:U774),$U$2:$U$1001,0),0), INDEX($AB$1004:$AQ$1004,1,MATCH(COLUMNS($AB$1006:AH1006),$AB$1006:$AQ$1006,0)))),"Fix")))</f>
        <v>0</v>
      </c>
      <c r="I774" s="4">
        <f>IF(OR(INDEX($V$2:$V$1001,MATCH(ROWS($U$2:U774),$U$2:$U$1001,0),1)&gt;=100000,INDEX($AB$1005:$AQ$1005,1,MATCH(COLUMNS($AB$1006:AI1006),$AB$1006:$AQ$1006,0))&gt;=100000), " ",IF(INDEX($AB$2:$AQ$1001,MATCH(ROWS($U$2:U774),$U$2:$U$1001,0),MATCH(COLUMNS($AB$1006:AI1006),$AB$1006:$AQ$1006,0)), HYPERLINK("#",""), HYPERLINK(CONCATENATE("#metadata!", ADDRESS(INDEX($W$2:$W$1001,MATCH(ROWS($U$2:U774),$U$2:$U$1001,0),0), INDEX($AB$1004:$AQ$1004,1,MATCH(COLUMNS($AB$1006:AI1006),$AB$1006:$AQ$1006,0)))),"Fix")))</f>
        <v>0</v>
      </c>
      <c r="J774" s="4">
        <f>IF(OR(INDEX($V$2:$V$1001,MATCH(ROWS($U$2:U774),$U$2:$U$1001,0),1)&gt;=100000,INDEX($AB$1005:$AQ$1005,1,MATCH(COLUMNS($AB$1006:AJ1006),$AB$1006:$AQ$1006,0))&gt;=100000), " ",IF(INDEX($AB$2:$AQ$1001,MATCH(ROWS($U$2:U774),$U$2:$U$1001,0),MATCH(COLUMNS($AB$1006:AJ1006),$AB$1006:$AQ$1006,0)), HYPERLINK("#",""), HYPERLINK(CONCATENATE("#metadata!", ADDRESS(INDEX($W$2:$W$1001,MATCH(ROWS($U$2:U774),$U$2:$U$1001,0),0), INDEX($AB$1004:$AQ$1004,1,MATCH(COLUMNS($AB$1006:AJ1006),$AB$1006:$AQ$1006,0)))),"Fix")))</f>
        <v>0</v>
      </c>
      <c r="K774" s="4">
        <f>IF(OR(INDEX($V$2:$V$1001,MATCH(ROWS($U$2:U774),$U$2:$U$1001,0),1)&gt;=100000,INDEX($AB$1005:$AQ$1005,1,MATCH(COLUMNS($AB$1006:AK1006),$AB$1006:$AQ$1006,0))&gt;=100000), " ",IF(INDEX($AB$2:$AQ$1001,MATCH(ROWS($U$2:U774),$U$2:$U$1001,0),MATCH(COLUMNS($AB$1006:AK1006),$AB$1006:$AQ$1006,0)), HYPERLINK("#",""), HYPERLINK(CONCATENATE("#metadata!", ADDRESS(INDEX($W$2:$W$1001,MATCH(ROWS($U$2:U774),$U$2:$U$1001,0),0), INDEX($AB$1004:$AQ$1004,1,MATCH(COLUMNS($AB$1006:AK1006),$AB$1006:$AQ$1006,0)))),"Fix")))</f>
        <v>0</v>
      </c>
      <c r="L774" s="4">
        <f>IF(OR(INDEX($V$2:$V$1001,MATCH(ROWS($U$2:U774),$U$2:$U$1001,0),1)&gt;=100000,INDEX($AB$1005:$AQ$1005,1,MATCH(COLUMNS($AB$1006:AL1006),$AB$1006:$AQ$1006,0))&gt;=100000), " ",IF(INDEX($AB$2:$AQ$1001,MATCH(ROWS($U$2:U774),$U$2:$U$1001,0),MATCH(COLUMNS($AB$1006:AL1006),$AB$1006:$AQ$1006,0)), HYPERLINK("#",""), HYPERLINK(CONCATENATE("#metadata!", ADDRESS(INDEX($W$2:$W$1001,MATCH(ROWS($U$2:U774),$U$2:$U$1001,0),0), INDEX($AB$1004:$AQ$1004,1,MATCH(COLUMNS($AB$1006:AL1006),$AB$1006:$AQ$1006,0)))),"Fix")))</f>
        <v>0</v>
      </c>
      <c r="M774" s="4">
        <f>IF(OR(INDEX($V$2:$V$1001,MATCH(ROWS($U$2:U774),$U$2:$U$1001,0),1)&gt;=100000,INDEX($AB$1005:$AQ$1005,1,MATCH(COLUMNS($AB$1006:AM1006),$AB$1006:$AQ$1006,0))&gt;=100000), " ",IF(INDEX($AB$2:$AQ$1001,MATCH(ROWS($U$2:U774),$U$2:$U$1001,0),MATCH(COLUMNS($AB$1006:AM1006),$AB$1006:$AQ$1006,0)), HYPERLINK("#",""), HYPERLINK(CONCATENATE("#metadata!", ADDRESS(INDEX($W$2:$W$1001,MATCH(ROWS($U$2:U774),$U$2:$U$1001,0),0), INDEX($AB$1004:$AQ$1004,1,MATCH(COLUMNS($AB$1006:AM1006),$AB$1006:$AQ$1006,0)))),"Fix")))</f>
        <v>0</v>
      </c>
      <c r="N774" s="4">
        <f>IF(OR(INDEX($V$2:$V$1001,MATCH(ROWS($U$2:U774),$U$2:$U$1001,0),1)&gt;=100000,INDEX($AB$1005:$AQ$1005,1,MATCH(COLUMNS($AB$1006:AN1006),$AB$1006:$AQ$1006,0))&gt;=100000), " ",IF(INDEX($AB$2:$AQ$1001,MATCH(ROWS($U$2:U774),$U$2:$U$1001,0),MATCH(COLUMNS($AB$1006:AN1006),$AB$1006:$AQ$1006,0)), HYPERLINK("#",""), HYPERLINK(CONCATENATE("#metadata!", ADDRESS(INDEX($W$2:$W$1001,MATCH(ROWS($U$2:U774),$U$2:$U$1001,0),0), INDEX($AB$1004:$AQ$1004,1,MATCH(COLUMNS($AB$1006:AN1006),$AB$1006:$AQ$1006,0)))),"Fix")))</f>
        <v>0</v>
      </c>
      <c r="O774" s="4">
        <f>IF(OR(INDEX($V$2:$V$1001,MATCH(ROWS($U$2:U774),$U$2:$U$1001,0),1)&gt;=100000,INDEX($AB$1005:$AQ$1005,1,MATCH(COLUMNS($AB$1006:AO1006),$AB$1006:$AQ$1006,0))&gt;=100000), " ",IF(INDEX($AB$2:$AQ$1001,MATCH(ROWS($U$2:U774),$U$2:$U$1001,0),MATCH(COLUMNS($AB$1006:AO1006),$AB$1006:$AQ$1006,0)), HYPERLINK("#",""), HYPERLINK(CONCATENATE("#metadata!", ADDRESS(INDEX($W$2:$W$1001,MATCH(ROWS($U$2:U774),$U$2:$U$1001,0),0), INDEX($AB$1004:$AQ$1004,1,MATCH(COLUMNS($AB$1006:AO1006),$AB$1006:$AQ$1006,0)))),"Fix")))</f>
        <v>0</v>
      </c>
      <c r="P774" s="4">
        <f>IF(OR(INDEX($V$2:$V$1001,MATCH(ROWS($U$2:U774),$U$2:$U$1001,0),1)&gt;=100000,INDEX($AB$1005:$AQ$1005,1,MATCH(COLUMNS($AB$1006:AP1006),$AB$1006:$AQ$1006,0))&gt;=100000), " ",IF(INDEX($AB$2:$AQ$1001,MATCH(ROWS($U$2:U774),$U$2:$U$1001,0),MATCH(COLUMNS($AB$1006:AP1006),$AB$1006:$AQ$1006,0)), HYPERLINK("#",""), HYPERLINK(CONCATENATE("#metadata!", ADDRESS(INDEX($W$2:$W$1001,MATCH(ROWS($U$2:U774),$U$2:$U$1001,0),0), INDEX($AB$1004:$AQ$1004,1,MATCH(COLUMNS($AB$1006:AP1006),$AB$1006:$AQ$1006,0)))),"Fix")))</f>
        <v>0</v>
      </c>
      <c r="Q774" s="4">
        <f>IF(OR(INDEX($V$2:$V$1001,MATCH(ROWS($U$2:U774),$U$2:$U$1001,0),1)&gt;=100000,INDEX($AB$1005:$AQ$1005,1,MATCH(COLUMNS($AB$1006:AQ1006),$AB$1006:$AQ$1006,0))&gt;=100000), " ",IF(INDEX($AB$2:$AQ$1001,MATCH(ROWS($U$2:U774),$U$2:$U$1001,0),MATCH(COLUMNS($AB$1006:AQ1006),$AB$1006:$AQ$1006,0)), HYPERLINK("#",""), HYPERLINK(CONCATENATE("#metadata!", ADDRESS(INDEX($W$2:$W$1001,MATCH(ROWS($U$2:U774),$U$2:$U$1001,0),0), INDEX($AB$1004:$AQ$1004,1,MATCH(COLUMNS($AB$1006:AQ1006),$AB$1006:$AQ$1006,0)))),"Fix")))</f>
        <v>0</v>
      </c>
      <c r="U774">
        <v>0</v>
      </c>
      <c r="V774">
        <v>0</v>
      </c>
      <c r="W774">
        <v>0</v>
      </c>
      <c r="X774">
        <f>IF(Y774,TRUE,AND(AB774:AQ774))</f>
        <v>0</v>
      </c>
      <c r="Y774">
        <f>COUNTBLANK(metadata!B774:Q774)=COLUMNS(metadata!B774:Q774)</f>
        <v>0</v>
      </c>
      <c r="Z774">
        <v>0</v>
      </c>
      <c r="AB774">
        <f>AND(IF(metadata!B774="",FALSE,TRUE),COUNTIF(metadata!B:B, metadata!B774) = 1,NOT(ISERROR(SUMPRODUCT(SEARCH(MID(metadata!B774,ROW(INDIRECT("1:"&amp;LEN(metadata!B774))), 1),"0123456789abcdefghijklmnopqrstuvwxyzABCDEFGHIJKLMNOPQRSTUVWXYZ.")))))</f>
        <v>0</v>
      </c>
      <c r="AC774">
        <f>OR(AND(IF(metadata!C774="",FALSE,TRUE),OR(exact(metadata!C774,"missing: not collected"),exact(metadata!C774,"missing: not provided"),exact(metadata!C774,"missing: restricted access"))),AND(IF(metadata!C774="",FALSE,TRUE),AND(AND(IFERROR(INT(LEFT(metadata!C774,4))&gt;1900,FALSE),IFERROR(INT(LEFT(metadata!C774,4))&lt;=YEAR(NOW()),FALSE)), OR(MID(metadata!C774,5,1)="", AND(AND(MID(metadata!C774,5,1)="-",IFERROR(INT(MID(metadata!C774,6,1))&gt;=0,FALSE),IFERROR(INT(MID(metadata!C774,6,1))&lt;=1,FALSE),NOT(MID(metadata!C774,7,1)=""),IFERROR(INT(MID(metadata!C774,6,2))&gt;=1,FALSE),IFERROR(INT(MID(metadata!C774,6,2))&lt;=12,FALSE)), OR(MID(metadata!C774,8,1)="", AND(AND(MID(metadata!C774,8,1)="-",IFERROR(INT(MID(metadata!C774,9,1))&gt;=0,FALSE),IFERROR(INT(MID(metadata!C774,9,1))&lt;=3,FALSE),NOT(MID(metadata!C774,10,1)=""),IFERROR(INT(MID(metadata!C774,9,2))&gt;=1,FALSE),IFERROR(INT(MID(metadata!C774,9,2))&lt;=31,FALSE)), OR(MID(metadata!C774,11,1)="", AND(AND(MID(metadata!C774,11,1)=" ",IFERROR(INT(MID(metadata!C774,12,1))&gt;=0,FALSE),IFERROR(INT(MID(metadata!C774,12,1))&lt;=2,FALSE),NOT(MID(metadata!C774,13,1)=""),IFERROR(INT(MID(metadata!C774,12,2))&gt;=0,FALSE),IFERROR(INT(MID(metadata!C774,12,2))&lt;=23,FALSE)), OR(MID(metadata!C774,14,1)="", AND(AND(MID(metadata!C774,14,1)=":",IFERROR(INT(MID(metadata!C774,15,1))&gt;=0,FALSE),IFERROR(INT(MID(metadata!C774,15,1))&lt;=5,FALSE),NOT(MID(metadata!C774,16,1)=""),IFERROR(INT(MID(metadata!C774,15,2))&gt;=0,FALSE),IFERROR(INT(MID(metadata!C774,15,2))&lt;=59,FALSE)), OR(MID(metadata!C774,17,1)="", AND(AND(MID(metadata!C774,17,1)=":",IFERROR(INT(MID(metadata!C774,18,1))&gt;=0,FALSE),IFERROR(INT(MID(metadata!C774,18,1))&lt;=5,FALSE),NOT(MID(metadata!C774,19,1)=""),IFERROR(INT(MID(metadata!C774,18,2))&gt;=0,FALSE),IFERROR(INT(MID(metadata!C774,18,2))&lt;=59,FALSE)), LEN(metadata!C774)&lt;=19)))))))))))))</f>
        <v>0</v>
      </c>
      <c r="AD774">
        <f>IF(metadata!D774="",FALSE,TRUE)</f>
        <v>0</v>
      </c>
      <c r="AE774">
        <f>OR(AND(IF(metadata!E774="",FALSE,TRUE),OR(exact(metadata!E774,"missing: not collected"),exact(metadata!E774,"missing: not provided"))),AND(IF(metadata!E774="",FALSE,TRUE),OR(exact(metadata!E774,"TRUE"),exact(metadata!E774,"FALSE"))))</f>
        <v>0</v>
      </c>
      <c r="AF774">
        <f>IF(metadata!F774="",FALSE,TRUE)</f>
        <v>0</v>
      </c>
      <c r="AG774">
        <f>IF(metadata!G774="",FALSE,TRUE)</f>
        <v>0</v>
      </c>
      <c r="AH774">
        <f>IF(metadata!H774="",FALSE,TRUE)</f>
        <v>0</v>
      </c>
      <c r="AI774">
        <f>OR(AND(IF(metadata!I774="",FALSE,TRUE),OR(exact(metadata!I774,"missing: not collected"),exact(metadata!I774,"missing: not provided"),exact(metadata!I774,"missing: restricted access"))),AND(IF(metadata!I774="",FALSE,TRUE),OR(exact(metadata!I774,"air"),exact(metadata!I774,"built environment"),exact(metadata!I774,"host-associated"),exact(metadata!I774,"human-associated"),exact(metadata!I774,"human-skin"),exact(metadata!I774,"human-oral"),exact(metadata!I774,"human-gut"),exact(metadata!I774,"human-vaginal"),exact(metadata!I774,"microbial mat/biofilm"),exact(metadata!I774,"misc environment"),exact(metadata!I774,"plant-associated"),exact(metadata!I774,"sediment"),exact(metadata!I774,"soil"),exact(metadata!I774,"wastewater/sludge"),exact(metadata!I774,"water"))))</f>
        <v>0</v>
      </c>
      <c r="AJ774">
        <f>IF(metadata!J774="",FALSE,TRUE)</f>
        <v>0</v>
      </c>
      <c r="AK774">
        <f>OR(AND(IF(metadata!K774="",FALSE,TRUE),OR(exact(metadata!K774,"missing: not collected"),exact(metadata!K774,"missing: not provided"),exact(metadata!K774,"missing: restricted access"))),AND(IF(metadata!K774="",FALSE,ISNUMBER(VALUE(metadata!K774))),metadata!K774&gt;=-90.00,metadata!K774&lt;=90.00))</f>
        <v>0</v>
      </c>
      <c r="AL774">
        <f>OR(AND(IF(metadata!L774="",FALSE,TRUE),OR(exact(metadata!L774,"missing: not collected"),exact(metadata!L774,"missing: not provided"),exact(metadata!L774,"missing: restricted access"))),AND(IF(metadata!L774="",FALSE,ISNUMBER(VALUE(metadata!L774))),metadata!L774&gt;=-180.00,metadata!L774&lt;=180.00))</f>
        <v>0</v>
      </c>
      <c r="AM774">
        <f>IF(metadata!M774="",FALSE,TRUE)</f>
        <v>0</v>
      </c>
      <c r="AN774">
        <f>OR(AND(IF(metadata!N774="",FALSE,TRUE),OR(exact(metadata!N774,"missing: not collected"),exact(metadata!N774,"missing: not provided"),exact(metadata!N774,"missing: restricted access"))),AND(IF(metadata!N774="",FALSE,TRUE),OR(exact(metadata!N774,"TRUE"),exact(metadata!N774,"FALSE"))))</f>
        <v>0</v>
      </c>
      <c r="AO774">
        <f>IF(metadata!O774="",FALSE,TRUE)</f>
        <v>0</v>
      </c>
      <c r="AP774">
        <f>OR(AND(IF(metadata!P774="",FALSE,TRUE),OR(exact(metadata!P774,"missing: not collected"),exact(metadata!P774,"missing: not provided"))),AND(IF(metadata!P774="",FALSE,IF(ISERROR(INT(metadata!P774)),FALSE,INT(metadata!P774)=metadata!P774)),metadata!P774&gt;0))</f>
        <v>0</v>
      </c>
      <c r="AQ774">
        <f>IF(metadata!Q774="",FALSE,TRUE)</f>
        <v>0</v>
      </c>
    </row>
    <row r="775" spans="1:43">
      <c r="A775" s="5">
        <f>IF(B775=" "," ",HYPERLINK(CONCATENATE("#metadata!",ADDRESS(INDEX($W$2:$W$1001,MATCH(ROWS($U$2:U775),$U$2:$U$1001,0),0),1)),INDEX($Z$2:$Z$1001,MATCH(ROWS($U$2:U775),$U$2:$U$1001,0),0)))</f>
        <v>0</v>
      </c>
      <c r="B775" s="4">
        <f>IF(OR(INDEX($V$2:$V$1001,MATCH(ROWS($U$2:U775),$U$2:$U$1001,0),1)&gt;=100000,INDEX($AB$1005:$AQ$1005,1,MATCH(COLUMNS($AB$1006:AB1006),$AB$1006:$AQ$1006,0))&gt;=100000), " ",IF(INDEX($AB$2:$AQ$1001,MATCH(ROWS($U$2:U775),$U$2:$U$1001,0),MATCH(COLUMNS($AB$1006:AB1006),$AB$1006:$AQ$1006,0)), HYPERLINK("#",""), HYPERLINK(CONCATENATE("#metadata!", ADDRESS(INDEX($W$2:$W$1001,MATCH(ROWS($U$2:U775),$U$2:$U$1001,0),0), INDEX($AB$1004:$AQ$1004,1,MATCH(COLUMNS($AB$1006:AB1006),$AB$1006:$AQ$1006,0)))),"Fix")))</f>
        <v>0</v>
      </c>
      <c r="C775" s="4">
        <f>IF(OR(INDEX($V$2:$V$1001,MATCH(ROWS($U$2:U775),$U$2:$U$1001,0),1)&gt;=100000,INDEX($AB$1005:$AQ$1005,1,MATCH(COLUMNS($AB$1006:AC1006),$AB$1006:$AQ$1006,0))&gt;=100000), " ",IF(INDEX($AB$2:$AQ$1001,MATCH(ROWS($U$2:U775),$U$2:$U$1001,0),MATCH(COLUMNS($AB$1006:AC1006),$AB$1006:$AQ$1006,0)), HYPERLINK("#",""), HYPERLINK(CONCATENATE("#metadata!", ADDRESS(INDEX($W$2:$W$1001,MATCH(ROWS($U$2:U775),$U$2:$U$1001,0),0), INDEX($AB$1004:$AQ$1004,1,MATCH(COLUMNS($AB$1006:AC1006),$AB$1006:$AQ$1006,0)))),"Fix")))</f>
        <v>0</v>
      </c>
      <c r="D775" s="4">
        <f>IF(OR(INDEX($V$2:$V$1001,MATCH(ROWS($U$2:U775),$U$2:$U$1001,0),1)&gt;=100000,INDEX($AB$1005:$AQ$1005,1,MATCH(COLUMNS($AB$1006:AD1006),$AB$1006:$AQ$1006,0))&gt;=100000), " ",IF(INDEX($AB$2:$AQ$1001,MATCH(ROWS($U$2:U775),$U$2:$U$1001,0),MATCH(COLUMNS($AB$1006:AD1006),$AB$1006:$AQ$1006,0)), HYPERLINK("#",""), HYPERLINK(CONCATENATE("#metadata!", ADDRESS(INDEX($W$2:$W$1001,MATCH(ROWS($U$2:U775),$U$2:$U$1001,0),0), INDEX($AB$1004:$AQ$1004,1,MATCH(COLUMNS($AB$1006:AD1006),$AB$1006:$AQ$1006,0)))),"Fix")))</f>
        <v>0</v>
      </c>
      <c r="E775" s="4">
        <f>IF(OR(INDEX($V$2:$V$1001,MATCH(ROWS($U$2:U775),$U$2:$U$1001,0),1)&gt;=100000,INDEX($AB$1005:$AQ$1005,1,MATCH(COLUMNS($AB$1006:AE1006),$AB$1006:$AQ$1006,0))&gt;=100000), " ",IF(INDEX($AB$2:$AQ$1001,MATCH(ROWS($U$2:U775),$U$2:$U$1001,0),MATCH(COLUMNS($AB$1006:AE1006),$AB$1006:$AQ$1006,0)), HYPERLINK("#",""), HYPERLINK(CONCATENATE("#metadata!", ADDRESS(INDEX($W$2:$W$1001,MATCH(ROWS($U$2:U775),$U$2:$U$1001,0),0), INDEX($AB$1004:$AQ$1004,1,MATCH(COLUMNS($AB$1006:AE1006),$AB$1006:$AQ$1006,0)))),"Fix")))</f>
        <v>0</v>
      </c>
      <c r="F775" s="4">
        <f>IF(OR(INDEX($V$2:$V$1001,MATCH(ROWS($U$2:U775),$U$2:$U$1001,0),1)&gt;=100000,INDEX($AB$1005:$AQ$1005,1,MATCH(COLUMNS($AB$1006:AF1006),$AB$1006:$AQ$1006,0))&gt;=100000), " ",IF(INDEX($AB$2:$AQ$1001,MATCH(ROWS($U$2:U775),$U$2:$U$1001,0),MATCH(COLUMNS($AB$1006:AF1006),$AB$1006:$AQ$1006,0)), HYPERLINK("#",""), HYPERLINK(CONCATENATE("#metadata!", ADDRESS(INDEX($W$2:$W$1001,MATCH(ROWS($U$2:U775),$U$2:$U$1001,0),0), INDEX($AB$1004:$AQ$1004,1,MATCH(COLUMNS($AB$1006:AF1006),$AB$1006:$AQ$1006,0)))),"Fix")))</f>
        <v>0</v>
      </c>
      <c r="G775" s="4">
        <f>IF(OR(INDEX($V$2:$V$1001,MATCH(ROWS($U$2:U775),$U$2:$U$1001,0),1)&gt;=100000,INDEX($AB$1005:$AQ$1005,1,MATCH(COLUMNS($AB$1006:AG1006),$AB$1006:$AQ$1006,0))&gt;=100000), " ",IF(INDEX($AB$2:$AQ$1001,MATCH(ROWS($U$2:U775),$U$2:$U$1001,0),MATCH(COLUMNS($AB$1006:AG1006),$AB$1006:$AQ$1006,0)), HYPERLINK("#",""), HYPERLINK(CONCATENATE("#metadata!", ADDRESS(INDEX($W$2:$W$1001,MATCH(ROWS($U$2:U775),$U$2:$U$1001,0),0), INDEX($AB$1004:$AQ$1004,1,MATCH(COLUMNS($AB$1006:AG1006),$AB$1006:$AQ$1006,0)))),"Fix")))</f>
        <v>0</v>
      </c>
      <c r="H775" s="4">
        <f>IF(OR(INDEX($V$2:$V$1001,MATCH(ROWS($U$2:U775),$U$2:$U$1001,0),1)&gt;=100000,INDEX($AB$1005:$AQ$1005,1,MATCH(COLUMNS($AB$1006:AH1006),$AB$1006:$AQ$1006,0))&gt;=100000), " ",IF(INDEX($AB$2:$AQ$1001,MATCH(ROWS($U$2:U775),$U$2:$U$1001,0),MATCH(COLUMNS($AB$1006:AH1006),$AB$1006:$AQ$1006,0)), HYPERLINK("#",""), HYPERLINK(CONCATENATE("#metadata!", ADDRESS(INDEX($W$2:$W$1001,MATCH(ROWS($U$2:U775),$U$2:$U$1001,0),0), INDEX($AB$1004:$AQ$1004,1,MATCH(COLUMNS($AB$1006:AH1006),$AB$1006:$AQ$1006,0)))),"Fix")))</f>
        <v>0</v>
      </c>
      <c r="I775" s="4">
        <f>IF(OR(INDEX($V$2:$V$1001,MATCH(ROWS($U$2:U775),$U$2:$U$1001,0),1)&gt;=100000,INDEX($AB$1005:$AQ$1005,1,MATCH(COLUMNS($AB$1006:AI1006),$AB$1006:$AQ$1006,0))&gt;=100000), " ",IF(INDEX($AB$2:$AQ$1001,MATCH(ROWS($U$2:U775),$U$2:$U$1001,0),MATCH(COLUMNS($AB$1006:AI1006),$AB$1006:$AQ$1006,0)), HYPERLINK("#",""), HYPERLINK(CONCATENATE("#metadata!", ADDRESS(INDEX($W$2:$W$1001,MATCH(ROWS($U$2:U775),$U$2:$U$1001,0),0), INDEX($AB$1004:$AQ$1004,1,MATCH(COLUMNS($AB$1006:AI1006),$AB$1006:$AQ$1006,0)))),"Fix")))</f>
        <v>0</v>
      </c>
      <c r="J775" s="4">
        <f>IF(OR(INDEX($V$2:$V$1001,MATCH(ROWS($U$2:U775),$U$2:$U$1001,0),1)&gt;=100000,INDEX($AB$1005:$AQ$1005,1,MATCH(COLUMNS($AB$1006:AJ1006),$AB$1006:$AQ$1006,0))&gt;=100000), " ",IF(INDEX($AB$2:$AQ$1001,MATCH(ROWS($U$2:U775),$U$2:$U$1001,0),MATCH(COLUMNS($AB$1006:AJ1006),$AB$1006:$AQ$1006,0)), HYPERLINK("#",""), HYPERLINK(CONCATENATE("#metadata!", ADDRESS(INDEX($W$2:$W$1001,MATCH(ROWS($U$2:U775),$U$2:$U$1001,0),0), INDEX($AB$1004:$AQ$1004,1,MATCH(COLUMNS($AB$1006:AJ1006),$AB$1006:$AQ$1006,0)))),"Fix")))</f>
        <v>0</v>
      </c>
      <c r="K775" s="4">
        <f>IF(OR(INDEX($V$2:$V$1001,MATCH(ROWS($U$2:U775),$U$2:$U$1001,0),1)&gt;=100000,INDEX($AB$1005:$AQ$1005,1,MATCH(COLUMNS($AB$1006:AK1006),$AB$1006:$AQ$1006,0))&gt;=100000), " ",IF(INDEX($AB$2:$AQ$1001,MATCH(ROWS($U$2:U775),$U$2:$U$1001,0),MATCH(COLUMNS($AB$1006:AK1006),$AB$1006:$AQ$1006,0)), HYPERLINK("#",""), HYPERLINK(CONCATENATE("#metadata!", ADDRESS(INDEX($W$2:$W$1001,MATCH(ROWS($U$2:U775),$U$2:$U$1001,0),0), INDEX($AB$1004:$AQ$1004,1,MATCH(COLUMNS($AB$1006:AK1006),$AB$1006:$AQ$1006,0)))),"Fix")))</f>
        <v>0</v>
      </c>
      <c r="L775" s="4">
        <f>IF(OR(INDEX($V$2:$V$1001,MATCH(ROWS($U$2:U775),$U$2:$U$1001,0),1)&gt;=100000,INDEX($AB$1005:$AQ$1005,1,MATCH(COLUMNS($AB$1006:AL1006),$AB$1006:$AQ$1006,0))&gt;=100000), " ",IF(INDEX($AB$2:$AQ$1001,MATCH(ROWS($U$2:U775),$U$2:$U$1001,0),MATCH(COLUMNS($AB$1006:AL1006),$AB$1006:$AQ$1006,0)), HYPERLINK("#",""), HYPERLINK(CONCATENATE("#metadata!", ADDRESS(INDEX($W$2:$W$1001,MATCH(ROWS($U$2:U775),$U$2:$U$1001,0),0), INDEX($AB$1004:$AQ$1004,1,MATCH(COLUMNS($AB$1006:AL1006),$AB$1006:$AQ$1006,0)))),"Fix")))</f>
        <v>0</v>
      </c>
      <c r="M775" s="4">
        <f>IF(OR(INDEX($V$2:$V$1001,MATCH(ROWS($U$2:U775),$U$2:$U$1001,0),1)&gt;=100000,INDEX($AB$1005:$AQ$1005,1,MATCH(COLUMNS($AB$1006:AM1006),$AB$1006:$AQ$1006,0))&gt;=100000), " ",IF(INDEX($AB$2:$AQ$1001,MATCH(ROWS($U$2:U775),$U$2:$U$1001,0),MATCH(COLUMNS($AB$1006:AM1006),$AB$1006:$AQ$1006,0)), HYPERLINK("#",""), HYPERLINK(CONCATENATE("#metadata!", ADDRESS(INDEX($W$2:$W$1001,MATCH(ROWS($U$2:U775),$U$2:$U$1001,0),0), INDEX($AB$1004:$AQ$1004,1,MATCH(COLUMNS($AB$1006:AM1006),$AB$1006:$AQ$1006,0)))),"Fix")))</f>
        <v>0</v>
      </c>
      <c r="N775" s="4">
        <f>IF(OR(INDEX($V$2:$V$1001,MATCH(ROWS($U$2:U775),$U$2:$U$1001,0),1)&gt;=100000,INDEX($AB$1005:$AQ$1005,1,MATCH(COLUMNS($AB$1006:AN1006),$AB$1006:$AQ$1006,0))&gt;=100000), " ",IF(INDEX($AB$2:$AQ$1001,MATCH(ROWS($U$2:U775),$U$2:$U$1001,0),MATCH(COLUMNS($AB$1006:AN1006),$AB$1006:$AQ$1006,0)), HYPERLINK("#",""), HYPERLINK(CONCATENATE("#metadata!", ADDRESS(INDEX($W$2:$W$1001,MATCH(ROWS($U$2:U775),$U$2:$U$1001,0),0), INDEX($AB$1004:$AQ$1004,1,MATCH(COLUMNS($AB$1006:AN1006),$AB$1006:$AQ$1006,0)))),"Fix")))</f>
        <v>0</v>
      </c>
      <c r="O775" s="4">
        <f>IF(OR(INDEX($V$2:$V$1001,MATCH(ROWS($U$2:U775),$U$2:$U$1001,0),1)&gt;=100000,INDEX($AB$1005:$AQ$1005,1,MATCH(COLUMNS($AB$1006:AO1006),$AB$1006:$AQ$1006,0))&gt;=100000), " ",IF(INDEX($AB$2:$AQ$1001,MATCH(ROWS($U$2:U775),$U$2:$U$1001,0),MATCH(COLUMNS($AB$1006:AO1006),$AB$1006:$AQ$1006,0)), HYPERLINK("#",""), HYPERLINK(CONCATENATE("#metadata!", ADDRESS(INDEX($W$2:$W$1001,MATCH(ROWS($U$2:U775),$U$2:$U$1001,0),0), INDEX($AB$1004:$AQ$1004,1,MATCH(COLUMNS($AB$1006:AO1006),$AB$1006:$AQ$1006,0)))),"Fix")))</f>
        <v>0</v>
      </c>
      <c r="P775" s="4">
        <f>IF(OR(INDEX($V$2:$V$1001,MATCH(ROWS($U$2:U775),$U$2:$U$1001,0),1)&gt;=100000,INDEX($AB$1005:$AQ$1005,1,MATCH(COLUMNS($AB$1006:AP1006),$AB$1006:$AQ$1006,0))&gt;=100000), " ",IF(INDEX($AB$2:$AQ$1001,MATCH(ROWS($U$2:U775),$U$2:$U$1001,0),MATCH(COLUMNS($AB$1006:AP1006),$AB$1006:$AQ$1006,0)), HYPERLINK("#",""), HYPERLINK(CONCATENATE("#metadata!", ADDRESS(INDEX($W$2:$W$1001,MATCH(ROWS($U$2:U775),$U$2:$U$1001,0),0), INDEX($AB$1004:$AQ$1004,1,MATCH(COLUMNS($AB$1006:AP1006),$AB$1006:$AQ$1006,0)))),"Fix")))</f>
        <v>0</v>
      </c>
      <c r="Q775" s="4">
        <f>IF(OR(INDEX($V$2:$V$1001,MATCH(ROWS($U$2:U775),$U$2:$U$1001,0),1)&gt;=100000,INDEX($AB$1005:$AQ$1005,1,MATCH(COLUMNS($AB$1006:AQ1006),$AB$1006:$AQ$1006,0))&gt;=100000), " ",IF(INDEX($AB$2:$AQ$1001,MATCH(ROWS($U$2:U775),$U$2:$U$1001,0),MATCH(COLUMNS($AB$1006:AQ1006),$AB$1006:$AQ$1006,0)), HYPERLINK("#",""), HYPERLINK(CONCATENATE("#metadata!", ADDRESS(INDEX($W$2:$W$1001,MATCH(ROWS($U$2:U775),$U$2:$U$1001,0),0), INDEX($AB$1004:$AQ$1004,1,MATCH(COLUMNS($AB$1006:AQ1006),$AB$1006:$AQ$1006,0)))),"Fix")))</f>
        <v>0</v>
      </c>
      <c r="U775">
        <v>0</v>
      </c>
      <c r="V775">
        <v>0</v>
      </c>
      <c r="W775">
        <v>0</v>
      </c>
      <c r="X775">
        <f>IF(Y775,TRUE,AND(AB775:AQ775))</f>
        <v>0</v>
      </c>
      <c r="Y775">
        <f>COUNTBLANK(metadata!B775:Q775)=COLUMNS(metadata!B775:Q775)</f>
        <v>0</v>
      </c>
      <c r="Z775">
        <v>0</v>
      </c>
      <c r="AB775">
        <f>AND(IF(metadata!B775="",FALSE,TRUE),COUNTIF(metadata!B:B, metadata!B775) = 1,NOT(ISERROR(SUMPRODUCT(SEARCH(MID(metadata!B775,ROW(INDIRECT("1:"&amp;LEN(metadata!B775))), 1),"0123456789abcdefghijklmnopqrstuvwxyzABCDEFGHIJKLMNOPQRSTUVWXYZ.")))))</f>
        <v>0</v>
      </c>
      <c r="AC775">
        <f>OR(AND(IF(metadata!C775="",FALSE,TRUE),OR(exact(metadata!C775,"missing: not collected"),exact(metadata!C775,"missing: not provided"),exact(metadata!C775,"missing: restricted access"))),AND(IF(metadata!C775="",FALSE,TRUE),AND(AND(IFERROR(INT(LEFT(metadata!C775,4))&gt;1900,FALSE),IFERROR(INT(LEFT(metadata!C775,4))&lt;=YEAR(NOW()),FALSE)), OR(MID(metadata!C775,5,1)="", AND(AND(MID(metadata!C775,5,1)="-",IFERROR(INT(MID(metadata!C775,6,1))&gt;=0,FALSE),IFERROR(INT(MID(metadata!C775,6,1))&lt;=1,FALSE),NOT(MID(metadata!C775,7,1)=""),IFERROR(INT(MID(metadata!C775,6,2))&gt;=1,FALSE),IFERROR(INT(MID(metadata!C775,6,2))&lt;=12,FALSE)), OR(MID(metadata!C775,8,1)="", AND(AND(MID(metadata!C775,8,1)="-",IFERROR(INT(MID(metadata!C775,9,1))&gt;=0,FALSE),IFERROR(INT(MID(metadata!C775,9,1))&lt;=3,FALSE),NOT(MID(metadata!C775,10,1)=""),IFERROR(INT(MID(metadata!C775,9,2))&gt;=1,FALSE),IFERROR(INT(MID(metadata!C775,9,2))&lt;=31,FALSE)), OR(MID(metadata!C775,11,1)="", AND(AND(MID(metadata!C775,11,1)=" ",IFERROR(INT(MID(metadata!C775,12,1))&gt;=0,FALSE),IFERROR(INT(MID(metadata!C775,12,1))&lt;=2,FALSE),NOT(MID(metadata!C775,13,1)=""),IFERROR(INT(MID(metadata!C775,12,2))&gt;=0,FALSE),IFERROR(INT(MID(metadata!C775,12,2))&lt;=23,FALSE)), OR(MID(metadata!C775,14,1)="", AND(AND(MID(metadata!C775,14,1)=":",IFERROR(INT(MID(metadata!C775,15,1))&gt;=0,FALSE),IFERROR(INT(MID(metadata!C775,15,1))&lt;=5,FALSE),NOT(MID(metadata!C775,16,1)=""),IFERROR(INT(MID(metadata!C775,15,2))&gt;=0,FALSE),IFERROR(INT(MID(metadata!C775,15,2))&lt;=59,FALSE)), OR(MID(metadata!C775,17,1)="", AND(AND(MID(metadata!C775,17,1)=":",IFERROR(INT(MID(metadata!C775,18,1))&gt;=0,FALSE),IFERROR(INT(MID(metadata!C775,18,1))&lt;=5,FALSE),NOT(MID(metadata!C775,19,1)=""),IFERROR(INT(MID(metadata!C775,18,2))&gt;=0,FALSE),IFERROR(INT(MID(metadata!C775,18,2))&lt;=59,FALSE)), LEN(metadata!C775)&lt;=19)))))))))))))</f>
        <v>0</v>
      </c>
      <c r="AD775">
        <f>IF(metadata!D775="",FALSE,TRUE)</f>
        <v>0</v>
      </c>
      <c r="AE775">
        <f>OR(AND(IF(metadata!E775="",FALSE,TRUE),OR(exact(metadata!E775,"missing: not collected"),exact(metadata!E775,"missing: not provided"))),AND(IF(metadata!E775="",FALSE,TRUE),OR(exact(metadata!E775,"TRUE"),exact(metadata!E775,"FALSE"))))</f>
        <v>0</v>
      </c>
      <c r="AF775">
        <f>IF(metadata!F775="",FALSE,TRUE)</f>
        <v>0</v>
      </c>
      <c r="AG775">
        <f>IF(metadata!G775="",FALSE,TRUE)</f>
        <v>0</v>
      </c>
      <c r="AH775">
        <f>IF(metadata!H775="",FALSE,TRUE)</f>
        <v>0</v>
      </c>
      <c r="AI775">
        <f>OR(AND(IF(metadata!I775="",FALSE,TRUE),OR(exact(metadata!I775,"missing: not collected"),exact(metadata!I775,"missing: not provided"),exact(metadata!I775,"missing: restricted access"))),AND(IF(metadata!I775="",FALSE,TRUE),OR(exact(metadata!I775,"air"),exact(metadata!I775,"built environment"),exact(metadata!I775,"host-associated"),exact(metadata!I775,"human-associated"),exact(metadata!I775,"human-skin"),exact(metadata!I775,"human-oral"),exact(metadata!I775,"human-gut"),exact(metadata!I775,"human-vaginal"),exact(metadata!I775,"microbial mat/biofilm"),exact(metadata!I775,"misc environment"),exact(metadata!I775,"plant-associated"),exact(metadata!I775,"sediment"),exact(metadata!I775,"soil"),exact(metadata!I775,"wastewater/sludge"),exact(metadata!I775,"water"))))</f>
        <v>0</v>
      </c>
      <c r="AJ775">
        <f>IF(metadata!J775="",FALSE,TRUE)</f>
        <v>0</v>
      </c>
      <c r="AK775">
        <f>OR(AND(IF(metadata!K775="",FALSE,TRUE),OR(exact(metadata!K775,"missing: not collected"),exact(metadata!K775,"missing: not provided"),exact(metadata!K775,"missing: restricted access"))),AND(IF(metadata!K775="",FALSE,ISNUMBER(VALUE(metadata!K775))),metadata!K775&gt;=-90.00,metadata!K775&lt;=90.00))</f>
        <v>0</v>
      </c>
      <c r="AL775">
        <f>OR(AND(IF(metadata!L775="",FALSE,TRUE),OR(exact(metadata!L775,"missing: not collected"),exact(metadata!L775,"missing: not provided"),exact(metadata!L775,"missing: restricted access"))),AND(IF(metadata!L775="",FALSE,ISNUMBER(VALUE(metadata!L775))),metadata!L775&gt;=-180.00,metadata!L775&lt;=180.00))</f>
        <v>0</v>
      </c>
      <c r="AM775">
        <f>IF(metadata!M775="",FALSE,TRUE)</f>
        <v>0</v>
      </c>
      <c r="AN775">
        <f>OR(AND(IF(metadata!N775="",FALSE,TRUE),OR(exact(metadata!N775,"missing: not collected"),exact(metadata!N775,"missing: not provided"),exact(metadata!N775,"missing: restricted access"))),AND(IF(metadata!N775="",FALSE,TRUE),OR(exact(metadata!N775,"TRUE"),exact(metadata!N775,"FALSE"))))</f>
        <v>0</v>
      </c>
      <c r="AO775">
        <f>IF(metadata!O775="",FALSE,TRUE)</f>
        <v>0</v>
      </c>
      <c r="AP775">
        <f>OR(AND(IF(metadata!P775="",FALSE,TRUE),OR(exact(metadata!P775,"missing: not collected"),exact(metadata!P775,"missing: not provided"))),AND(IF(metadata!P775="",FALSE,IF(ISERROR(INT(metadata!P775)),FALSE,INT(metadata!P775)=metadata!P775)),metadata!P775&gt;0))</f>
        <v>0</v>
      </c>
      <c r="AQ775">
        <f>IF(metadata!Q775="",FALSE,TRUE)</f>
        <v>0</v>
      </c>
    </row>
    <row r="776" spans="1:43">
      <c r="A776" s="5">
        <f>IF(B776=" "," ",HYPERLINK(CONCATENATE("#metadata!",ADDRESS(INDEX($W$2:$W$1001,MATCH(ROWS($U$2:U776),$U$2:$U$1001,0),0),1)),INDEX($Z$2:$Z$1001,MATCH(ROWS($U$2:U776),$U$2:$U$1001,0),0)))</f>
        <v>0</v>
      </c>
      <c r="B776" s="4">
        <f>IF(OR(INDEX($V$2:$V$1001,MATCH(ROWS($U$2:U776),$U$2:$U$1001,0),1)&gt;=100000,INDEX($AB$1005:$AQ$1005,1,MATCH(COLUMNS($AB$1006:AB1006),$AB$1006:$AQ$1006,0))&gt;=100000), " ",IF(INDEX($AB$2:$AQ$1001,MATCH(ROWS($U$2:U776),$U$2:$U$1001,0),MATCH(COLUMNS($AB$1006:AB1006),$AB$1006:$AQ$1006,0)), HYPERLINK("#",""), HYPERLINK(CONCATENATE("#metadata!", ADDRESS(INDEX($W$2:$W$1001,MATCH(ROWS($U$2:U776),$U$2:$U$1001,0),0), INDEX($AB$1004:$AQ$1004,1,MATCH(COLUMNS($AB$1006:AB1006),$AB$1006:$AQ$1006,0)))),"Fix")))</f>
        <v>0</v>
      </c>
      <c r="C776" s="4">
        <f>IF(OR(INDEX($V$2:$V$1001,MATCH(ROWS($U$2:U776),$U$2:$U$1001,0),1)&gt;=100000,INDEX($AB$1005:$AQ$1005,1,MATCH(COLUMNS($AB$1006:AC1006),$AB$1006:$AQ$1006,0))&gt;=100000), " ",IF(INDEX($AB$2:$AQ$1001,MATCH(ROWS($U$2:U776),$U$2:$U$1001,0),MATCH(COLUMNS($AB$1006:AC1006),$AB$1006:$AQ$1006,0)), HYPERLINK("#",""), HYPERLINK(CONCATENATE("#metadata!", ADDRESS(INDEX($W$2:$W$1001,MATCH(ROWS($U$2:U776),$U$2:$U$1001,0),0), INDEX($AB$1004:$AQ$1004,1,MATCH(COLUMNS($AB$1006:AC1006),$AB$1006:$AQ$1006,0)))),"Fix")))</f>
        <v>0</v>
      </c>
      <c r="D776" s="4">
        <f>IF(OR(INDEX($V$2:$V$1001,MATCH(ROWS($U$2:U776),$U$2:$U$1001,0),1)&gt;=100000,INDEX($AB$1005:$AQ$1005,1,MATCH(COLUMNS($AB$1006:AD1006),$AB$1006:$AQ$1006,0))&gt;=100000), " ",IF(INDEX($AB$2:$AQ$1001,MATCH(ROWS($U$2:U776),$U$2:$U$1001,0),MATCH(COLUMNS($AB$1006:AD1006),$AB$1006:$AQ$1006,0)), HYPERLINK("#",""), HYPERLINK(CONCATENATE("#metadata!", ADDRESS(INDEX($W$2:$W$1001,MATCH(ROWS($U$2:U776),$U$2:$U$1001,0),0), INDEX($AB$1004:$AQ$1004,1,MATCH(COLUMNS($AB$1006:AD1006),$AB$1006:$AQ$1006,0)))),"Fix")))</f>
        <v>0</v>
      </c>
      <c r="E776" s="4">
        <f>IF(OR(INDEX($V$2:$V$1001,MATCH(ROWS($U$2:U776),$U$2:$U$1001,0),1)&gt;=100000,INDEX($AB$1005:$AQ$1005,1,MATCH(COLUMNS($AB$1006:AE1006),$AB$1006:$AQ$1006,0))&gt;=100000), " ",IF(INDEX($AB$2:$AQ$1001,MATCH(ROWS($U$2:U776),$U$2:$U$1001,0),MATCH(COLUMNS($AB$1006:AE1006),$AB$1006:$AQ$1006,0)), HYPERLINK("#",""), HYPERLINK(CONCATENATE("#metadata!", ADDRESS(INDEX($W$2:$W$1001,MATCH(ROWS($U$2:U776),$U$2:$U$1001,0),0), INDEX($AB$1004:$AQ$1004,1,MATCH(COLUMNS($AB$1006:AE1006),$AB$1006:$AQ$1006,0)))),"Fix")))</f>
        <v>0</v>
      </c>
      <c r="F776" s="4">
        <f>IF(OR(INDEX($V$2:$V$1001,MATCH(ROWS($U$2:U776),$U$2:$U$1001,0),1)&gt;=100000,INDEX($AB$1005:$AQ$1005,1,MATCH(COLUMNS($AB$1006:AF1006),$AB$1006:$AQ$1006,0))&gt;=100000), " ",IF(INDEX($AB$2:$AQ$1001,MATCH(ROWS($U$2:U776),$U$2:$U$1001,0),MATCH(COLUMNS($AB$1006:AF1006),$AB$1006:$AQ$1006,0)), HYPERLINK("#",""), HYPERLINK(CONCATENATE("#metadata!", ADDRESS(INDEX($W$2:$W$1001,MATCH(ROWS($U$2:U776),$U$2:$U$1001,0),0), INDEX($AB$1004:$AQ$1004,1,MATCH(COLUMNS($AB$1006:AF1006),$AB$1006:$AQ$1006,0)))),"Fix")))</f>
        <v>0</v>
      </c>
      <c r="G776" s="4">
        <f>IF(OR(INDEX($V$2:$V$1001,MATCH(ROWS($U$2:U776),$U$2:$U$1001,0),1)&gt;=100000,INDEX($AB$1005:$AQ$1005,1,MATCH(COLUMNS($AB$1006:AG1006),$AB$1006:$AQ$1006,0))&gt;=100000), " ",IF(INDEX($AB$2:$AQ$1001,MATCH(ROWS($U$2:U776),$U$2:$U$1001,0),MATCH(COLUMNS($AB$1006:AG1006),$AB$1006:$AQ$1006,0)), HYPERLINK("#",""), HYPERLINK(CONCATENATE("#metadata!", ADDRESS(INDEX($W$2:$W$1001,MATCH(ROWS($U$2:U776),$U$2:$U$1001,0),0), INDEX($AB$1004:$AQ$1004,1,MATCH(COLUMNS($AB$1006:AG1006),$AB$1006:$AQ$1006,0)))),"Fix")))</f>
        <v>0</v>
      </c>
      <c r="H776" s="4">
        <f>IF(OR(INDEX($V$2:$V$1001,MATCH(ROWS($U$2:U776),$U$2:$U$1001,0),1)&gt;=100000,INDEX($AB$1005:$AQ$1005,1,MATCH(COLUMNS($AB$1006:AH1006),$AB$1006:$AQ$1006,0))&gt;=100000), " ",IF(INDEX($AB$2:$AQ$1001,MATCH(ROWS($U$2:U776),$U$2:$U$1001,0),MATCH(COLUMNS($AB$1006:AH1006),$AB$1006:$AQ$1006,0)), HYPERLINK("#",""), HYPERLINK(CONCATENATE("#metadata!", ADDRESS(INDEX($W$2:$W$1001,MATCH(ROWS($U$2:U776),$U$2:$U$1001,0),0), INDEX($AB$1004:$AQ$1004,1,MATCH(COLUMNS($AB$1006:AH1006),$AB$1006:$AQ$1006,0)))),"Fix")))</f>
        <v>0</v>
      </c>
      <c r="I776" s="4">
        <f>IF(OR(INDEX($V$2:$V$1001,MATCH(ROWS($U$2:U776),$U$2:$U$1001,0),1)&gt;=100000,INDEX($AB$1005:$AQ$1005,1,MATCH(COLUMNS($AB$1006:AI1006),$AB$1006:$AQ$1006,0))&gt;=100000), " ",IF(INDEX($AB$2:$AQ$1001,MATCH(ROWS($U$2:U776),$U$2:$U$1001,0),MATCH(COLUMNS($AB$1006:AI1006),$AB$1006:$AQ$1006,0)), HYPERLINK("#",""), HYPERLINK(CONCATENATE("#metadata!", ADDRESS(INDEX($W$2:$W$1001,MATCH(ROWS($U$2:U776),$U$2:$U$1001,0),0), INDEX($AB$1004:$AQ$1004,1,MATCH(COLUMNS($AB$1006:AI1006),$AB$1006:$AQ$1006,0)))),"Fix")))</f>
        <v>0</v>
      </c>
      <c r="J776" s="4">
        <f>IF(OR(INDEX($V$2:$V$1001,MATCH(ROWS($U$2:U776),$U$2:$U$1001,0),1)&gt;=100000,INDEX($AB$1005:$AQ$1005,1,MATCH(COLUMNS($AB$1006:AJ1006),$AB$1006:$AQ$1006,0))&gt;=100000), " ",IF(INDEX($AB$2:$AQ$1001,MATCH(ROWS($U$2:U776),$U$2:$U$1001,0),MATCH(COLUMNS($AB$1006:AJ1006),$AB$1006:$AQ$1006,0)), HYPERLINK("#",""), HYPERLINK(CONCATENATE("#metadata!", ADDRESS(INDEX($W$2:$W$1001,MATCH(ROWS($U$2:U776),$U$2:$U$1001,0),0), INDEX($AB$1004:$AQ$1004,1,MATCH(COLUMNS($AB$1006:AJ1006),$AB$1006:$AQ$1006,0)))),"Fix")))</f>
        <v>0</v>
      </c>
      <c r="K776" s="4">
        <f>IF(OR(INDEX($V$2:$V$1001,MATCH(ROWS($U$2:U776),$U$2:$U$1001,0),1)&gt;=100000,INDEX($AB$1005:$AQ$1005,1,MATCH(COLUMNS($AB$1006:AK1006),$AB$1006:$AQ$1006,0))&gt;=100000), " ",IF(INDEX($AB$2:$AQ$1001,MATCH(ROWS($U$2:U776),$U$2:$U$1001,0),MATCH(COLUMNS($AB$1006:AK1006),$AB$1006:$AQ$1006,0)), HYPERLINK("#",""), HYPERLINK(CONCATENATE("#metadata!", ADDRESS(INDEX($W$2:$W$1001,MATCH(ROWS($U$2:U776),$U$2:$U$1001,0),0), INDEX($AB$1004:$AQ$1004,1,MATCH(COLUMNS($AB$1006:AK1006),$AB$1006:$AQ$1006,0)))),"Fix")))</f>
        <v>0</v>
      </c>
      <c r="L776" s="4">
        <f>IF(OR(INDEX($V$2:$V$1001,MATCH(ROWS($U$2:U776),$U$2:$U$1001,0),1)&gt;=100000,INDEX($AB$1005:$AQ$1005,1,MATCH(COLUMNS($AB$1006:AL1006),$AB$1006:$AQ$1006,0))&gt;=100000), " ",IF(INDEX($AB$2:$AQ$1001,MATCH(ROWS($U$2:U776),$U$2:$U$1001,0),MATCH(COLUMNS($AB$1006:AL1006),$AB$1006:$AQ$1006,0)), HYPERLINK("#",""), HYPERLINK(CONCATENATE("#metadata!", ADDRESS(INDEX($W$2:$W$1001,MATCH(ROWS($U$2:U776),$U$2:$U$1001,0),0), INDEX($AB$1004:$AQ$1004,1,MATCH(COLUMNS($AB$1006:AL1006),$AB$1006:$AQ$1006,0)))),"Fix")))</f>
        <v>0</v>
      </c>
      <c r="M776" s="4">
        <f>IF(OR(INDEX($V$2:$V$1001,MATCH(ROWS($U$2:U776),$U$2:$U$1001,0),1)&gt;=100000,INDEX($AB$1005:$AQ$1005,1,MATCH(COLUMNS($AB$1006:AM1006),$AB$1006:$AQ$1006,0))&gt;=100000), " ",IF(INDEX($AB$2:$AQ$1001,MATCH(ROWS($U$2:U776),$U$2:$U$1001,0),MATCH(COLUMNS($AB$1006:AM1006),$AB$1006:$AQ$1006,0)), HYPERLINK("#",""), HYPERLINK(CONCATENATE("#metadata!", ADDRESS(INDEX($W$2:$W$1001,MATCH(ROWS($U$2:U776),$U$2:$U$1001,0),0), INDEX($AB$1004:$AQ$1004,1,MATCH(COLUMNS($AB$1006:AM1006),$AB$1006:$AQ$1006,0)))),"Fix")))</f>
        <v>0</v>
      </c>
      <c r="N776" s="4">
        <f>IF(OR(INDEX($V$2:$V$1001,MATCH(ROWS($U$2:U776),$U$2:$U$1001,0),1)&gt;=100000,INDEX($AB$1005:$AQ$1005,1,MATCH(COLUMNS($AB$1006:AN1006),$AB$1006:$AQ$1006,0))&gt;=100000), " ",IF(INDEX($AB$2:$AQ$1001,MATCH(ROWS($U$2:U776),$U$2:$U$1001,0),MATCH(COLUMNS($AB$1006:AN1006),$AB$1006:$AQ$1006,0)), HYPERLINK("#",""), HYPERLINK(CONCATENATE("#metadata!", ADDRESS(INDEX($W$2:$W$1001,MATCH(ROWS($U$2:U776),$U$2:$U$1001,0),0), INDEX($AB$1004:$AQ$1004,1,MATCH(COLUMNS($AB$1006:AN1006),$AB$1006:$AQ$1006,0)))),"Fix")))</f>
        <v>0</v>
      </c>
      <c r="O776" s="4">
        <f>IF(OR(INDEX($V$2:$V$1001,MATCH(ROWS($U$2:U776),$U$2:$U$1001,0),1)&gt;=100000,INDEX($AB$1005:$AQ$1005,1,MATCH(COLUMNS($AB$1006:AO1006),$AB$1006:$AQ$1006,0))&gt;=100000), " ",IF(INDEX($AB$2:$AQ$1001,MATCH(ROWS($U$2:U776),$U$2:$U$1001,0),MATCH(COLUMNS($AB$1006:AO1006),$AB$1006:$AQ$1006,0)), HYPERLINK("#",""), HYPERLINK(CONCATENATE("#metadata!", ADDRESS(INDEX($W$2:$W$1001,MATCH(ROWS($U$2:U776),$U$2:$U$1001,0),0), INDEX($AB$1004:$AQ$1004,1,MATCH(COLUMNS($AB$1006:AO1006),$AB$1006:$AQ$1006,0)))),"Fix")))</f>
        <v>0</v>
      </c>
      <c r="P776" s="4">
        <f>IF(OR(INDEX($V$2:$V$1001,MATCH(ROWS($U$2:U776),$U$2:$U$1001,0),1)&gt;=100000,INDEX($AB$1005:$AQ$1005,1,MATCH(COLUMNS($AB$1006:AP1006),$AB$1006:$AQ$1006,0))&gt;=100000), " ",IF(INDEX($AB$2:$AQ$1001,MATCH(ROWS($U$2:U776),$U$2:$U$1001,0),MATCH(COLUMNS($AB$1006:AP1006),$AB$1006:$AQ$1006,0)), HYPERLINK("#",""), HYPERLINK(CONCATENATE("#metadata!", ADDRESS(INDEX($W$2:$W$1001,MATCH(ROWS($U$2:U776),$U$2:$U$1001,0),0), INDEX($AB$1004:$AQ$1004,1,MATCH(COLUMNS($AB$1006:AP1006),$AB$1006:$AQ$1006,0)))),"Fix")))</f>
        <v>0</v>
      </c>
      <c r="Q776" s="4">
        <f>IF(OR(INDEX($V$2:$V$1001,MATCH(ROWS($U$2:U776),$U$2:$U$1001,0),1)&gt;=100000,INDEX($AB$1005:$AQ$1005,1,MATCH(COLUMNS($AB$1006:AQ1006),$AB$1006:$AQ$1006,0))&gt;=100000), " ",IF(INDEX($AB$2:$AQ$1001,MATCH(ROWS($U$2:U776),$U$2:$U$1001,0),MATCH(COLUMNS($AB$1006:AQ1006),$AB$1006:$AQ$1006,0)), HYPERLINK("#",""), HYPERLINK(CONCATENATE("#metadata!", ADDRESS(INDEX($W$2:$W$1001,MATCH(ROWS($U$2:U776),$U$2:$U$1001,0),0), INDEX($AB$1004:$AQ$1004,1,MATCH(COLUMNS($AB$1006:AQ1006),$AB$1006:$AQ$1006,0)))),"Fix")))</f>
        <v>0</v>
      </c>
      <c r="U776">
        <v>0</v>
      </c>
      <c r="V776">
        <v>0</v>
      </c>
      <c r="W776">
        <v>0</v>
      </c>
      <c r="X776">
        <f>IF(Y776,TRUE,AND(AB776:AQ776))</f>
        <v>0</v>
      </c>
      <c r="Y776">
        <f>COUNTBLANK(metadata!B776:Q776)=COLUMNS(metadata!B776:Q776)</f>
        <v>0</v>
      </c>
      <c r="Z776">
        <v>0</v>
      </c>
      <c r="AB776">
        <f>AND(IF(metadata!B776="",FALSE,TRUE),COUNTIF(metadata!B:B, metadata!B776) = 1,NOT(ISERROR(SUMPRODUCT(SEARCH(MID(metadata!B776,ROW(INDIRECT("1:"&amp;LEN(metadata!B776))), 1),"0123456789abcdefghijklmnopqrstuvwxyzABCDEFGHIJKLMNOPQRSTUVWXYZ.")))))</f>
        <v>0</v>
      </c>
      <c r="AC776">
        <f>OR(AND(IF(metadata!C776="",FALSE,TRUE),OR(exact(metadata!C776,"missing: not collected"),exact(metadata!C776,"missing: not provided"),exact(metadata!C776,"missing: restricted access"))),AND(IF(metadata!C776="",FALSE,TRUE),AND(AND(IFERROR(INT(LEFT(metadata!C776,4))&gt;1900,FALSE),IFERROR(INT(LEFT(metadata!C776,4))&lt;=YEAR(NOW()),FALSE)), OR(MID(metadata!C776,5,1)="", AND(AND(MID(metadata!C776,5,1)="-",IFERROR(INT(MID(metadata!C776,6,1))&gt;=0,FALSE),IFERROR(INT(MID(metadata!C776,6,1))&lt;=1,FALSE),NOT(MID(metadata!C776,7,1)=""),IFERROR(INT(MID(metadata!C776,6,2))&gt;=1,FALSE),IFERROR(INT(MID(metadata!C776,6,2))&lt;=12,FALSE)), OR(MID(metadata!C776,8,1)="", AND(AND(MID(metadata!C776,8,1)="-",IFERROR(INT(MID(metadata!C776,9,1))&gt;=0,FALSE),IFERROR(INT(MID(metadata!C776,9,1))&lt;=3,FALSE),NOT(MID(metadata!C776,10,1)=""),IFERROR(INT(MID(metadata!C776,9,2))&gt;=1,FALSE),IFERROR(INT(MID(metadata!C776,9,2))&lt;=31,FALSE)), OR(MID(metadata!C776,11,1)="", AND(AND(MID(metadata!C776,11,1)=" ",IFERROR(INT(MID(metadata!C776,12,1))&gt;=0,FALSE),IFERROR(INT(MID(metadata!C776,12,1))&lt;=2,FALSE),NOT(MID(metadata!C776,13,1)=""),IFERROR(INT(MID(metadata!C776,12,2))&gt;=0,FALSE),IFERROR(INT(MID(metadata!C776,12,2))&lt;=23,FALSE)), OR(MID(metadata!C776,14,1)="", AND(AND(MID(metadata!C776,14,1)=":",IFERROR(INT(MID(metadata!C776,15,1))&gt;=0,FALSE),IFERROR(INT(MID(metadata!C776,15,1))&lt;=5,FALSE),NOT(MID(metadata!C776,16,1)=""),IFERROR(INT(MID(metadata!C776,15,2))&gt;=0,FALSE),IFERROR(INT(MID(metadata!C776,15,2))&lt;=59,FALSE)), OR(MID(metadata!C776,17,1)="", AND(AND(MID(metadata!C776,17,1)=":",IFERROR(INT(MID(metadata!C776,18,1))&gt;=0,FALSE),IFERROR(INT(MID(metadata!C776,18,1))&lt;=5,FALSE),NOT(MID(metadata!C776,19,1)=""),IFERROR(INT(MID(metadata!C776,18,2))&gt;=0,FALSE),IFERROR(INT(MID(metadata!C776,18,2))&lt;=59,FALSE)), LEN(metadata!C776)&lt;=19)))))))))))))</f>
        <v>0</v>
      </c>
      <c r="AD776">
        <f>IF(metadata!D776="",FALSE,TRUE)</f>
        <v>0</v>
      </c>
      <c r="AE776">
        <f>OR(AND(IF(metadata!E776="",FALSE,TRUE),OR(exact(metadata!E776,"missing: not collected"),exact(metadata!E776,"missing: not provided"))),AND(IF(metadata!E776="",FALSE,TRUE),OR(exact(metadata!E776,"TRUE"),exact(metadata!E776,"FALSE"))))</f>
        <v>0</v>
      </c>
      <c r="AF776">
        <f>IF(metadata!F776="",FALSE,TRUE)</f>
        <v>0</v>
      </c>
      <c r="AG776">
        <f>IF(metadata!G776="",FALSE,TRUE)</f>
        <v>0</v>
      </c>
      <c r="AH776">
        <f>IF(metadata!H776="",FALSE,TRUE)</f>
        <v>0</v>
      </c>
      <c r="AI776">
        <f>OR(AND(IF(metadata!I776="",FALSE,TRUE),OR(exact(metadata!I776,"missing: not collected"),exact(metadata!I776,"missing: not provided"),exact(metadata!I776,"missing: restricted access"))),AND(IF(metadata!I776="",FALSE,TRUE),OR(exact(metadata!I776,"air"),exact(metadata!I776,"built environment"),exact(metadata!I776,"host-associated"),exact(metadata!I776,"human-associated"),exact(metadata!I776,"human-skin"),exact(metadata!I776,"human-oral"),exact(metadata!I776,"human-gut"),exact(metadata!I776,"human-vaginal"),exact(metadata!I776,"microbial mat/biofilm"),exact(metadata!I776,"misc environment"),exact(metadata!I776,"plant-associated"),exact(metadata!I776,"sediment"),exact(metadata!I776,"soil"),exact(metadata!I776,"wastewater/sludge"),exact(metadata!I776,"water"))))</f>
        <v>0</v>
      </c>
      <c r="AJ776">
        <f>IF(metadata!J776="",FALSE,TRUE)</f>
        <v>0</v>
      </c>
      <c r="AK776">
        <f>OR(AND(IF(metadata!K776="",FALSE,TRUE),OR(exact(metadata!K776,"missing: not collected"),exact(metadata!K776,"missing: not provided"),exact(metadata!K776,"missing: restricted access"))),AND(IF(metadata!K776="",FALSE,ISNUMBER(VALUE(metadata!K776))),metadata!K776&gt;=-90.00,metadata!K776&lt;=90.00))</f>
        <v>0</v>
      </c>
      <c r="AL776">
        <f>OR(AND(IF(metadata!L776="",FALSE,TRUE),OR(exact(metadata!L776,"missing: not collected"),exact(metadata!L776,"missing: not provided"),exact(metadata!L776,"missing: restricted access"))),AND(IF(metadata!L776="",FALSE,ISNUMBER(VALUE(metadata!L776))),metadata!L776&gt;=-180.00,metadata!L776&lt;=180.00))</f>
        <v>0</v>
      </c>
      <c r="AM776">
        <f>IF(metadata!M776="",FALSE,TRUE)</f>
        <v>0</v>
      </c>
      <c r="AN776">
        <f>OR(AND(IF(metadata!N776="",FALSE,TRUE),OR(exact(metadata!N776,"missing: not collected"),exact(metadata!N776,"missing: not provided"),exact(metadata!N776,"missing: restricted access"))),AND(IF(metadata!N776="",FALSE,TRUE),OR(exact(metadata!N776,"TRUE"),exact(metadata!N776,"FALSE"))))</f>
        <v>0</v>
      </c>
      <c r="AO776">
        <f>IF(metadata!O776="",FALSE,TRUE)</f>
        <v>0</v>
      </c>
      <c r="AP776">
        <f>OR(AND(IF(metadata!P776="",FALSE,TRUE),OR(exact(metadata!P776,"missing: not collected"),exact(metadata!P776,"missing: not provided"))),AND(IF(metadata!P776="",FALSE,IF(ISERROR(INT(metadata!P776)),FALSE,INT(metadata!P776)=metadata!P776)),metadata!P776&gt;0))</f>
        <v>0</v>
      </c>
      <c r="AQ776">
        <f>IF(metadata!Q776="",FALSE,TRUE)</f>
        <v>0</v>
      </c>
    </row>
    <row r="777" spans="1:43">
      <c r="A777" s="5">
        <f>IF(B777=" "," ",HYPERLINK(CONCATENATE("#metadata!",ADDRESS(INDEX($W$2:$W$1001,MATCH(ROWS($U$2:U777),$U$2:$U$1001,0),0),1)),INDEX($Z$2:$Z$1001,MATCH(ROWS($U$2:U777),$U$2:$U$1001,0),0)))</f>
        <v>0</v>
      </c>
      <c r="B777" s="4">
        <f>IF(OR(INDEX($V$2:$V$1001,MATCH(ROWS($U$2:U777),$U$2:$U$1001,0),1)&gt;=100000,INDEX($AB$1005:$AQ$1005,1,MATCH(COLUMNS($AB$1006:AB1006),$AB$1006:$AQ$1006,0))&gt;=100000), " ",IF(INDEX($AB$2:$AQ$1001,MATCH(ROWS($U$2:U777),$U$2:$U$1001,0),MATCH(COLUMNS($AB$1006:AB1006),$AB$1006:$AQ$1006,0)), HYPERLINK("#",""), HYPERLINK(CONCATENATE("#metadata!", ADDRESS(INDEX($W$2:$W$1001,MATCH(ROWS($U$2:U777),$U$2:$U$1001,0),0), INDEX($AB$1004:$AQ$1004,1,MATCH(COLUMNS($AB$1006:AB1006),$AB$1006:$AQ$1006,0)))),"Fix")))</f>
        <v>0</v>
      </c>
      <c r="C777" s="4">
        <f>IF(OR(INDEX($V$2:$V$1001,MATCH(ROWS($U$2:U777),$U$2:$U$1001,0),1)&gt;=100000,INDEX($AB$1005:$AQ$1005,1,MATCH(COLUMNS($AB$1006:AC1006),$AB$1006:$AQ$1006,0))&gt;=100000), " ",IF(INDEX($AB$2:$AQ$1001,MATCH(ROWS($U$2:U777),$U$2:$U$1001,0),MATCH(COLUMNS($AB$1006:AC1006),$AB$1006:$AQ$1006,0)), HYPERLINK("#",""), HYPERLINK(CONCATENATE("#metadata!", ADDRESS(INDEX($W$2:$W$1001,MATCH(ROWS($U$2:U777),$U$2:$U$1001,0),0), INDEX($AB$1004:$AQ$1004,1,MATCH(COLUMNS($AB$1006:AC1006),$AB$1006:$AQ$1006,0)))),"Fix")))</f>
        <v>0</v>
      </c>
      <c r="D777" s="4">
        <f>IF(OR(INDEX($V$2:$V$1001,MATCH(ROWS($U$2:U777),$U$2:$U$1001,0),1)&gt;=100000,INDEX($AB$1005:$AQ$1005,1,MATCH(COLUMNS($AB$1006:AD1006),$AB$1006:$AQ$1006,0))&gt;=100000), " ",IF(INDEX($AB$2:$AQ$1001,MATCH(ROWS($U$2:U777),$U$2:$U$1001,0),MATCH(COLUMNS($AB$1006:AD1006),$AB$1006:$AQ$1006,0)), HYPERLINK("#",""), HYPERLINK(CONCATENATE("#metadata!", ADDRESS(INDEX($W$2:$W$1001,MATCH(ROWS($U$2:U777),$U$2:$U$1001,0),0), INDEX($AB$1004:$AQ$1004,1,MATCH(COLUMNS($AB$1006:AD1006),$AB$1006:$AQ$1006,0)))),"Fix")))</f>
        <v>0</v>
      </c>
      <c r="E777" s="4">
        <f>IF(OR(INDEX($V$2:$V$1001,MATCH(ROWS($U$2:U777),$U$2:$U$1001,0),1)&gt;=100000,INDEX($AB$1005:$AQ$1005,1,MATCH(COLUMNS($AB$1006:AE1006),$AB$1006:$AQ$1006,0))&gt;=100000), " ",IF(INDEX($AB$2:$AQ$1001,MATCH(ROWS($U$2:U777),$U$2:$U$1001,0),MATCH(COLUMNS($AB$1006:AE1006),$AB$1006:$AQ$1006,0)), HYPERLINK("#",""), HYPERLINK(CONCATENATE("#metadata!", ADDRESS(INDEX($W$2:$W$1001,MATCH(ROWS($U$2:U777),$U$2:$U$1001,0),0), INDEX($AB$1004:$AQ$1004,1,MATCH(COLUMNS($AB$1006:AE1006),$AB$1006:$AQ$1006,0)))),"Fix")))</f>
        <v>0</v>
      </c>
      <c r="F777" s="4">
        <f>IF(OR(INDEX($V$2:$V$1001,MATCH(ROWS($U$2:U777),$U$2:$U$1001,0),1)&gt;=100000,INDEX($AB$1005:$AQ$1005,1,MATCH(COLUMNS($AB$1006:AF1006),$AB$1006:$AQ$1006,0))&gt;=100000), " ",IF(INDEX($AB$2:$AQ$1001,MATCH(ROWS($U$2:U777),$U$2:$U$1001,0),MATCH(COLUMNS($AB$1006:AF1006),$AB$1006:$AQ$1006,0)), HYPERLINK("#",""), HYPERLINK(CONCATENATE("#metadata!", ADDRESS(INDEX($W$2:$W$1001,MATCH(ROWS($U$2:U777),$U$2:$U$1001,0),0), INDEX($AB$1004:$AQ$1004,1,MATCH(COLUMNS($AB$1006:AF1006),$AB$1006:$AQ$1006,0)))),"Fix")))</f>
        <v>0</v>
      </c>
      <c r="G777" s="4">
        <f>IF(OR(INDEX($V$2:$V$1001,MATCH(ROWS($U$2:U777),$U$2:$U$1001,0),1)&gt;=100000,INDEX($AB$1005:$AQ$1005,1,MATCH(COLUMNS($AB$1006:AG1006),$AB$1006:$AQ$1006,0))&gt;=100000), " ",IF(INDEX($AB$2:$AQ$1001,MATCH(ROWS($U$2:U777),$U$2:$U$1001,0),MATCH(COLUMNS($AB$1006:AG1006),$AB$1006:$AQ$1006,0)), HYPERLINK("#",""), HYPERLINK(CONCATENATE("#metadata!", ADDRESS(INDEX($W$2:$W$1001,MATCH(ROWS($U$2:U777),$U$2:$U$1001,0),0), INDEX($AB$1004:$AQ$1004,1,MATCH(COLUMNS($AB$1006:AG1006),$AB$1006:$AQ$1006,0)))),"Fix")))</f>
        <v>0</v>
      </c>
      <c r="H777" s="4">
        <f>IF(OR(INDEX($V$2:$V$1001,MATCH(ROWS($U$2:U777),$U$2:$U$1001,0),1)&gt;=100000,INDEX($AB$1005:$AQ$1005,1,MATCH(COLUMNS($AB$1006:AH1006),$AB$1006:$AQ$1006,0))&gt;=100000), " ",IF(INDEX($AB$2:$AQ$1001,MATCH(ROWS($U$2:U777),$U$2:$U$1001,0),MATCH(COLUMNS($AB$1006:AH1006),$AB$1006:$AQ$1006,0)), HYPERLINK("#",""), HYPERLINK(CONCATENATE("#metadata!", ADDRESS(INDEX($W$2:$W$1001,MATCH(ROWS($U$2:U777),$U$2:$U$1001,0),0), INDEX($AB$1004:$AQ$1004,1,MATCH(COLUMNS($AB$1006:AH1006),$AB$1006:$AQ$1006,0)))),"Fix")))</f>
        <v>0</v>
      </c>
      <c r="I777" s="4">
        <f>IF(OR(INDEX($V$2:$V$1001,MATCH(ROWS($U$2:U777),$U$2:$U$1001,0),1)&gt;=100000,INDEX($AB$1005:$AQ$1005,1,MATCH(COLUMNS($AB$1006:AI1006),$AB$1006:$AQ$1006,0))&gt;=100000), " ",IF(INDEX($AB$2:$AQ$1001,MATCH(ROWS($U$2:U777),$U$2:$U$1001,0),MATCH(COLUMNS($AB$1006:AI1006),$AB$1006:$AQ$1006,0)), HYPERLINK("#",""), HYPERLINK(CONCATENATE("#metadata!", ADDRESS(INDEX($W$2:$W$1001,MATCH(ROWS($U$2:U777),$U$2:$U$1001,0),0), INDEX($AB$1004:$AQ$1004,1,MATCH(COLUMNS($AB$1006:AI1006),$AB$1006:$AQ$1006,0)))),"Fix")))</f>
        <v>0</v>
      </c>
      <c r="J777" s="4">
        <f>IF(OR(INDEX($V$2:$V$1001,MATCH(ROWS($U$2:U777),$U$2:$U$1001,0),1)&gt;=100000,INDEX($AB$1005:$AQ$1005,1,MATCH(COLUMNS($AB$1006:AJ1006),$AB$1006:$AQ$1006,0))&gt;=100000), " ",IF(INDEX($AB$2:$AQ$1001,MATCH(ROWS($U$2:U777),$U$2:$U$1001,0),MATCH(COLUMNS($AB$1006:AJ1006),$AB$1006:$AQ$1006,0)), HYPERLINK("#",""), HYPERLINK(CONCATENATE("#metadata!", ADDRESS(INDEX($W$2:$W$1001,MATCH(ROWS($U$2:U777),$U$2:$U$1001,0),0), INDEX($AB$1004:$AQ$1004,1,MATCH(COLUMNS($AB$1006:AJ1006),$AB$1006:$AQ$1006,0)))),"Fix")))</f>
        <v>0</v>
      </c>
      <c r="K777" s="4">
        <f>IF(OR(INDEX($V$2:$V$1001,MATCH(ROWS($U$2:U777),$U$2:$U$1001,0),1)&gt;=100000,INDEX($AB$1005:$AQ$1005,1,MATCH(COLUMNS($AB$1006:AK1006),$AB$1006:$AQ$1006,0))&gt;=100000), " ",IF(INDEX($AB$2:$AQ$1001,MATCH(ROWS($U$2:U777),$U$2:$U$1001,0),MATCH(COLUMNS($AB$1006:AK1006),$AB$1006:$AQ$1006,0)), HYPERLINK("#",""), HYPERLINK(CONCATENATE("#metadata!", ADDRESS(INDEX($W$2:$W$1001,MATCH(ROWS($U$2:U777),$U$2:$U$1001,0),0), INDEX($AB$1004:$AQ$1004,1,MATCH(COLUMNS($AB$1006:AK1006),$AB$1006:$AQ$1006,0)))),"Fix")))</f>
        <v>0</v>
      </c>
      <c r="L777" s="4">
        <f>IF(OR(INDEX($V$2:$V$1001,MATCH(ROWS($U$2:U777),$U$2:$U$1001,0),1)&gt;=100000,INDEX($AB$1005:$AQ$1005,1,MATCH(COLUMNS($AB$1006:AL1006),$AB$1006:$AQ$1006,0))&gt;=100000), " ",IF(INDEX($AB$2:$AQ$1001,MATCH(ROWS($U$2:U777),$U$2:$U$1001,0),MATCH(COLUMNS($AB$1006:AL1006),$AB$1006:$AQ$1006,0)), HYPERLINK("#",""), HYPERLINK(CONCATENATE("#metadata!", ADDRESS(INDEX($W$2:$W$1001,MATCH(ROWS($U$2:U777),$U$2:$U$1001,0),0), INDEX($AB$1004:$AQ$1004,1,MATCH(COLUMNS($AB$1006:AL1006),$AB$1006:$AQ$1006,0)))),"Fix")))</f>
        <v>0</v>
      </c>
      <c r="M777" s="4">
        <f>IF(OR(INDEX($V$2:$V$1001,MATCH(ROWS($U$2:U777),$U$2:$U$1001,0),1)&gt;=100000,INDEX($AB$1005:$AQ$1005,1,MATCH(COLUMNS($AB$1006:AM1006),$AB$1006:$AQ$1006,0))&gt;=100000), " ",IF(INDEX($AB$2:$AQ$1001,MATCH(ROWS($U$2:U777),$U$2:$U$1001,0),MATCH(COLUMNS($AB$1006:AM1006),$AB$1006:$AQ$1006,0)), HYPERLINK("#",""), HYPERLINK(CONCATENATE("#metadata!", ADDRESS(INDEX($W$2:$W$1001,MATCH(ROWS($U$2:U777),$U$2:$U$1001,0),0), INDEX($AB$1004:$AQ$1004,1,MATCH(COLUMNS($AB$1006:AM1006),$AB$1006:$AQ$1006,0)))),"Fix")))</f>
        <v>0</v>
      </c>
      <c r="N777" s="4">
        <f>IF(OR(INDEX($V$2:$V$1001,MATCH(ROWS($U$2:U777),$U$2:$U$1001,0),1)&gt;=100000,INDEX($AB$1005:$AQ$1005,1,MATCH(COLUMNS($AB$1006:AN1006),$AB$1006:$AQ$1006,0))&gt;=100000), " ",IF(INDEX($AB$2:$AQ$1001,MATCH(ROWS($U$2:U777),$U$2:$U$1001,0),MATCH(COLUMNS($AB$1006:AN1006),$AB$1006:$AQ$1006,0)), HYPERLINK("#",""), HYPERLINK(CONCATENATE("#metadata!", ADDRESS(INDEX($W$2:$W$1001,MATCH(ROWS($U$2:U777),$U$2:$U$1001,0),0), INDEX($AB$1004:$AQ$1004,1,MATCH(COLUMNS($AB$1006:AN1006),$AB$1006:$AQ$1006,0)))),"Fix")))</f>
        <v>0</v>
      </c>
      <c r="O777" s="4">
        <f>IF(OR(INDEX($V$2:$V$1001,MATCH(ROWS($U$2:U777),$U$2:$U$1001,0),1)&gt;=100000,INDEX($AB$1005:$AQ$1005,1,MATCH(COLUMNS($AB$1006:AO1006),$AB$1006:$AQ$1006,0))&gt;=100000), " ",IF(INDEX($AB$2:$AQ$1001,MATCH(ROWS($U$2:U777),$U$2:$U$1001,0),MATCH(COLUMNS($AB$1006:AO1006),$AB$1006:$AQ$1006,0)), HYPERLINK("#",""), HYPERLINK(CONCATENATE("#metadata!", ADDRESS(INDEX($W$2:$W$1001,MATCH(ROWS($U$2:U777),$U$2:$U$1001,0),0), INDEX($AB$1004:$AQ$1004,1,MATCH(COLUMNS($AB$1006:AO1006),$AB$1006:$AQ$1006,0)))),"Fix")))</f>
        <v>0</v>
      </c>
      <c r="P777" s="4">
        <f>IF(OR(INDEX($V$2:$V$1001,MATCH(ROWS($U$2:U777),$U$2:$U$1001,0),1)&gt;=100000,INDEX($AB$1005:$AQ$1005,1,MATCH(COLUMNS($AB$1006:AP1006),$AB$1006:$AQ$1006,0))&gt;=100000), " ",IF(INDEX($AB$2:$AQ$1001,MATCH(ROWS($U$2:U777),$U$2:$U$1001,0),MATCH(COLUMNS($AB$1006:AP1006),$AB$1006:$AQ$1006,0)), HYPERLINK("#",""), HYPERLINK(CONCATENATE("#metadata!", ADDRESS(INDEX($W$2:$W$1001,MATCH(ROWS($U$2:U777),$U$2:$U$1001,0),0), INDEX($AB$1004:$AQ$1004,1,MATCH(COLUMNS($AB$1006:AP1006),$AB$1006:$AQ$1006,0)))),"Fix")))</f>
        <v>0</v>
      </c>
      <c r="Q777" s="4">
        <f>IF(OR(INDEX($V$2:$V$1001,MATCH(ROWS($U$2:U777),$U$2:$U$1001,0),1)&gt;=100000,INDEX($AB$1005:$AQ$1005,1,MATCH(COLUMNS($AB$1006:AQ1006),$AB$1006:$AQ$1006,0))&gt;=100000), " ",IF(INDEX($AB$2:$AQ$1001,MATCH(ROWS($U$2:U777),$U$2:$U$1001,0),MATCH(COLUMNS($AB$1006:AQ1006),$AB$1006:$AQ$1006,0)), HYPERLINK("#",""), HYPERLINK(CONCATENATE("#metadata!", ADDRESS(INDEX($W$2:$W$1001,MATCH(ROWS($U$2:U777),$U$2:$U$1001,0),0), INDEX($AB$1004:$AQ$1004,1,MATCH(COLUMNS($AB$1006:AQ1006),$AB$1006:$AQ$1006,0)))),"Fix")))</f>
        <v>0</v>
      </c>
      <c r="U777">
        <v>0</v>
      </c>
      <c r="V777">
        <v>0</v>
      </c>
      <c r="W777">
        <v>0</v>
      </c>
      <c r="X777">
        <f>IF(Y777,TRUE,AND(AB777:AQ777))</f>
        <v>0</v>
      </c>
      <c r="Y777">
        <f>COUNTBLANK(metadata!B777:Q777)=COLUMNS(metadata!B777:Q777)</f>
        <v>0</v>
      </c>
      <c r="Z777">
        <v>0</v>
      </c>
      <c r="AB777">
        <f>AND(IF(metadata!B777="",FALSE,TRUE),COUNTIF(metadata!B:B, metadata!B777) = 1,NOT(ISERROR(SUMPRODUCT(SEARCH(MID(metadata!B777,ROW(INDIRECT("1:"&amp;LEN(metadata!B777))), 1),"0123456789abcdefghijklmnopqrstuvwxyzABCDEFGHIJKLMNOPQRSTUVWXYZ.")))))</f>
        <v>0</v>
      </c>
      <c r="AC777">
        <f>OR(AND(IF(metadata!C777="",FALSE,TRUE),OR(exact(metadata!C777,"missing: not collected"),exact(metadata!C777,"missing: not provided"),exact(metadata!C777,"missing: restricted access"))),AND(IF(metadata!C777="",FALSE,TRUE),AND(AND(IFERROR(INT(LEFT(metadata!C777,4))&gt;1900,FALSE),IFERROR(INT(LEFT(metadata!C777,4))&lt;=YEAR(NOW()),FALSE)), OR(MID(metadata!C777,5,1)="", AND(AND(MID(metadata!C777,5,1)="-",IFERROR(INT(MID(metadata!C777,6,1))&gt;=0,FALSE),IFERROR(INT(MID(metadata!C777,6,1))&lt;=1,FALSE),NOT(MID(metadata!C777,7,1)=""),IFERROR(INT(MID(metadata!C777,6,2))&gt;=1,FALSE),IFERROR(INT(MID(metadata!C777,6,2))&lt;=12,FALSE)), OR(MID(metadata!C777,8,1)="", AND(AND(MID(metadata!C777,8,1)="-",IFERROR(INT(MID(metadata!C777,9,1))&gt;=0,FALSE),IFERROR(INT(MID(metadata!C777,9,1))&lt;=3,FALSE),NOT(MID(metadata!C777,10,1)=""),IFERROR(INT(MID(metadata!C777,9,2))&gt;=1,FALSE),IFERROR(INT(MID(metadata!C777,9,2))&lt;=31,FALSE)), OR(MID(metadata!C777,11,1)="", AND(AND(MID(metadata!C777,11,1)=" ",IFERROR(INT(MID(metadata!C777,12,1))&gt;=0,FALSE),IFERROR(INT(MID(metadata!C777,12,1))&lt;=2,FALSE),NOT(MID(metadata!C777,13,1)=""),IFERROR(INT(MID(metadata!C777,12,2))&gt;=0,FALSE),IFERROR(INT(MID(metadata!C777,12,2))&lt;=23,FALSE)), OR(MID(metadata!C777,14,1)="", AND(AND(MID(metadata!C777,14,1)=":",IFERROR(INT(MID(metadata!C777,15,1))&gt;=0,FALSE),IFERROR(INT(MID(metadata!C777,15,1))&lt;=5,FALSE),NOT(MID(metadata!C777,16,1)=""),IFERROR(INT(MID(metadata!C777,15,2))&gt;=0,FALSE),IFERROR(INT(MID(metadata!C777,15,2))&lt;=59,FALSE)), OR(MID(metadata!C777,17,1)="", AND(AND(MID(metadata!C777,17,1)=":",IFERROR(INT(MID(metadata!C777,18,1))&gt;=0,FALSE),IFERROR(INT(MID(metadata!C777,18,1))&lt;=5,FALSE),NOT(MID(metadata!C777,19,1)=""),IFERROR(INT(MID(metadata!C777,18,2))&gt;=0,FALSE),IFERROR(INT(MID(metadata!C777,18,2))&lt;=59,FALSE)), LEN(metadata!C777)&lt;=19)))))))))))))</f>
        <v>0</v>
      </c>
      <c r="AD777">
        <f>IF(metadata!D777="",FALSE,TRUE)</f>
        <v>0</v>
      </c>
      <c r="AE777">
        <f>OR(AND(IF(metadata!E777="",FALSE,TRUE),OR(exact(metadata!E777,"missing: not collected"),exact(metadata!E777,"missing: not provided"))),AND(IF(metadata!E777="",FALSE,TRUE),OR(exact(metadata!E777,"TRUE"),exact(metadata!E777,"FALSE"))))</f>
        <v>0</v>
      </c>
      <c r="AF777">
        <f>IF(metadata!F777="",FALSE,TRUE)</f>
        <v>0</v>
      </c>
      <c r="AG777">
        <f>IF(metadata!G777="",FALSE,TRUE)</f>
        <v>0</v>
      </c>
      <c r="AH777">
        <f>IF(metadata!H777="",FALSE,TRUE)</f>
        <v>0</v>
      </c>
      <c r="AI777">
        <f>OR(AND(IF(metadata!I777="",FALSE,TRUE),OR(exact(metadata!I777,"missing: not collected"),exact(metadata!I777,"missing: not provided"),exact(metadata!I777,"missing: restricted access"))),AND(IF(metadata!I777="",FALSE,TRUE),OR(exact(metadata!I777,"air"),exact(metadata!I777,"built environment"),exact(metadata!I777,"host-associated"),exact(metadata!I777,"human-associated"),exact(metadata!I777,"human-skin"),exact(metadata!I777,"human-oral"),exact(metadata!I777,"human-gut"),exact(metadata!I777,"human-vaginal"),exact(metadata!I777,"microbial mat/biofilm"),exact(metadata!I777,"misc environment"),exact(metadata!I777,"plant-associated"),exact(metadata!I777,"sediment"),exact(metadata!I777,"soil"),exact(metadata!I777,"wastewater/sludge"),exact(metadata!I777,"water"))))</f>
        <v>0</v>
      </c>
      <c r="AJ777">
        <f>IF(metadata!J777="",FALSE,TRUE)</f>
        <v>0</v>
      </c>
      <c r="AK777">
        <f>OR(AND(IF(metadata!K777="",FALSE,TRUE),OR(exact(metadata!K777,"missing: not collected"),exact(metadata!K777,"missing: not provided"),exact(metadata!K777,"missing: restricted access"))),AND(IF(metadata!K777="",FALSE,ISNUMBER(VALUE(metadata!K777))),metadata!K777&gt;=-90.00,metadata!K777&lt;=90.00))</f>
        <v>0</v>
      </c>
      <c r="AL777">
        <f>OR(AND(IF(metadata!L777="",FALSE,TRUE),OR(exact(metadata!L777,"missing: not collected"),exact(metadata!L777,"missing: not provided"),exact(metadata!L777,"missing: restricted access"))),AND(IF(metadata!L777="",FALSE,ISNUMBER(VALUE(metadata!L777))),metadata!L777&gt;=-180.00,metadata!L777&lt;=180.00))</f>
        <v>0</v>
      </c>
      <c r="AM777">
        <f>IF(metadata!M777="",FALSE,TRUE)</f>
        <v>0</v>
      </c>
      <c r="AN777">
        <f>OR(AND(IF(metadata!N777="",FALSE,TRUE),OR(exact(metadata!N777,"missing: not collected"),exact(metadata!N777,"missing: not provided"),exact(metadata!N777,"missing: restricted access"))),AND(IF(metadata!N777="",FALSE,TRUE),OR(exact(metadata!N777,"TRUE"),exact(metadata!N777,"FALSE"))))</f>
        <v>0</v>
      </c>
      <c r="AO777">
        <f>IF(metadata!O777="",FALSE,TRUE)</f>
        <v>0</v>
      </c>
      <c r="AP777">
        <f>OR(AND(IF(metadata!P777="",FALSE,TRUE),OR(exact(metadata!P777,"missing: not collected"),exact(metadata!P777,"missing: not provided"))),AND(IF(metadata!P777="",FALSE,IF(ISERROR(INT(metadata!P777)),FALSE,INT(metadata!P777)=metadata!P777)),metadata!P777&gt;0))</f>
        <v>0</v>
      </c>
      <c r="AQ777">
        <f>IF(metadata!Q777="",FALSE,TRUE)</f>
        <v>0</v>
      </c>
    </row>
    <row r="778" spans="1:43">
      <c r="A778" s="5">
        <f>IF(B778=" "," ",HYPERLINK(CONCATENATE("#metadata!",ADDRESS(INDEX($W$2:$W$1001,MATCH(ROWS($U$2:U778),$U$2:$U$1001,0),0),1)),INDEX($Z$2:$Z$1001,MATCH(ROWS($U$2:U778),$U$2:$U$1001,0),0)))</f>
        <v>0</v>
      </c>
      <c r="B778" s="4">
        <f>IF(OR(INDEX($V$2:$V$1001,MATCH(ROWS($U$2:U778),$U$2:$U$1001,0),1)&gt;=100000,INDEX($AB$1005:$AQ$1005,1,MATCH(COLUMNS($AB$1006:AB1006),$AB$1006:$AQ$1006,0))&gt;=100000), " ",IF(INDEX($AB$2:$AQ$1001,MATCH(ROWS($U$2:U778),$U$2:$U$1001,0),MATCH(COLUMNS($AB$1006:AB1006),$AB$1006:$AQ$1006,0)), HYPERLINK("#",""), HYPERLINK(CONCATENATE("#metadata!", ADDRESS(INDEX($W$2:$W$1001,MATCH(ROWS($U$2:U778),$U$2:$U$1001,0),0), INDEX($AB$1004:$AQ$1004,1,MATCH(COLUMNS($AB$1006:AB1006),$AB$1006:$AQ$1006,0)))),"Fix")))</f>
        <v>0</v>
      </c>
      <c r="C778" s="4">
        <f>IF(OR(INDEX($V$2:$V$1001,MATCH(ROWS($U$2:U778),$U$2:$U$1001,0),1)&gt;=100000,INDEX($AB$1005:$AQ$1005,1,MATCH(COLUMNS($AB$1006:AC1006),$AB$1006:$AQ$1006,0))&gt;=100000), " ",IF(INDEX($AB$2:$AQ$1001,MATCH(ROWS($U$2:U778),$U$2:$U$1001,0),MATCH(COLUMNS($AB$1006:AC1006),$AB$1006:$AQ$1006,0)), HYPERLINK("#",""), HYPERLINK(CONCATENATE("#metadata!", ADDRESS(INDEX($W$2:$W$1001,MATCH(ROWS($U$2:U778),$U$2:$U$1001,0),0), INDEX($AB$1004:$AQ$1004,1,MATCH(COLUMNS($AB$1006:AC1006),$AB$1006:$AQ$1006,0)))),"Fix")))</f>
        <v>0</v>
      </c>
      <c r="D778" s="4">
        <f>IF(OR(INDEX($V$2:$V$1001,MATCH(ROWS($U$2:U778),$U$2:$U$1001,0),1)&gt;=100000,INDEX($AB$1005:$AQ$1005,1,MATCH(COLUMNS($AB$1006:AD1006),$AB$1006:$AQ$1006,0))&gt;=100000), " ",IF(INDEX($AB$2:$AQ$1001,MATCH(ROWS($U$2:U778),$U$2:$U$1001,0),MATCH(COLUMNS($AB$1006:AD1006),$AB$1006:$AQ$1006,0)), HYPERLINK("#",""), HYPERLINK(CONCATENATE("#metadata!", ADDRESS(INDEX($W$2:$W$1001,MATCH(ROWS($U$2:U778),$U$2:$U$1001,0),0), INDEX($AB$1004:$AQ$1004,1,MATCH(COLUMNS($AB$1006:AD1006),$AB$1006:$AQ$1006,0)))),"Fix")))</f>
        <v>0</v>
      </c>
      <c r="E778" s="4">
        <f>IF(OR(INDEX($V$2:$V$1001,MATCH(ROWS($U$2:U778),$U$2:$U$1001,0),1)&gt;=100000,INDEX($AB$1005:$AQ$1005,1,MATCH(COLUMNS($AB$1006:AE1006),$AB$1006:$AQ$1006,0))&gt;=100000), " ",IF(INDEX($AB$2:$AQ$1001,MATCH(ROWS($U$2:U778),$U$2:$U$1001,0),MATCH(COLUMNS($AB$1006:AE1006),$AB$1006:$AQ$1006,0)), HYPERLINK("#",""), HYPERLINK(CONCATENATE("#metadata!", ADDRESS(INDEX($W$2:$W$1001,MATCH(ROWS($U$2:U778),$U$2:$U$1001,0),0), INDEX($AB$1004:$AQ$1004,1,MATCH(COLUMNS($AB$1006:AE1006),$AB$1006:$AQ$1006,0)))),"Fix")))</f>
        <v>0</v>
      </c>
      <c r="F778" s="4">
        <f>IF(OR(INDEX($V$2:$V$1001,MATCH(ROWS($U$2:U778),$U$2:$U$1001,0),1)&gt;=100000,INDEX($AB$1005:$AQ$1005,1,MATCH(COLUMNS($AB$1006:AF1006),$AB$1006:$AQ$1006,0))&gt;=100000), " ",IF(INDEX($AB$2:$AQ$1001,MATCH(ROWS($U$2:U778),$U$2:$U$1001,0),MATCH(COLUMNS($AB$1006:AF1006),$AB$1006:$AQ$1006,0)), HYPERLINK("#",""), HYPERLINK(CONCATENATE("#metadata!", ADDRESS(INDEX($W$2:$W$1001,MATCH(ROWS($U$2:U778),$U$2:$U$1001,0),0), INDEX($AB$1004:$AQ$1004,1,MATCH(COLUMNS($AB$1006:AF1006),$AB$1006:$AQ$1006,0)))),"Fix")))</f>
        <v>0</v>
      </c>
      <c r="G778" s="4">
        <f>IF(OR(INDEX($V$2:$V$1001,MATCH(ROWS($U$2:U778),$U$2:$U$1001,0),1)&gt;=100000,INDEX($AB$1005:$AQ$1005,1,MATCH(COLUMNS($AB$1006:AG1006),$AB$1006:$AQ$1006,0))&gt;=100000), " ",IF(INDEX($AB$2:$AQ$1001,MATCH(ROWS($U$2:U778),$U$2:$U$1001,0),MATCH(COLUMNS($AB$1006:AG1006),$AB$1006:$AQ$1006,0)), HYPERLINK("#",""), HYPERLINK(CONCATENATE("#metadata!", ADDRESS(INDEX($W$2:$W$1001,MATCH(ROWS($U$2:U778),$U$2:$U$1001,0),0), INDEX($AB$1004:$AQ$1004,1,MATCH(COLUMNS($AB$1006:AG1006),$AB$1006:$AQ$1006,0)))),"Fix")))</f>
        <v>0</v>
      </c>
      <c r="H778" s="4">
        <f>IF(OR(INDEX($V$2:$V$1001,MATCH(ROWS($U$2:U778),$U$2:$U$1001,0),1)&gt;=100000,INDEX($AB$1005:$AQ$1005,1,MATCH(COLUMNS($AB$1006:AH1006),$AB$1006:$AQ$1006,0))&gt;=100000), " ",IF(INDEX($AB$2:$AQ$1001,MATCH(ROWS($U$2:U778),$U$2:$U$1001,0),MATCH(COLUMNS($AB$1006:AH1006),$AB$1006:$AQ$1006,0)), HYPERLINK("#",""), HYPERLINK(CONCATENATE("#metadata!", ADDRESS(INDEX($W$2:$W$1001,MATCH(ROWS($U$2:U778),$U$2:$U$1001,0),0), INDEX($AB$1004:$AQ$1004,1,MATCH(COLUMNS($AB$1006:AH1006),$AB$1006:$AQ$1006,0)))),"Fix")))</f>
        <v>0</v>
      </c>
      <c r="I778" s="4">
        <f>IF(OR(INDEX($V$2:$V$1001,MATCH(ROWS($U$2:U778),$U$2:$U$1001,0),1)&gt;=100000,INDEX($AB$1005:$AQ$1005,1,MATCH(COLUMNS($AB$1006:AI1006),$AB$1006:$AQ$1006,0))&gt;=100000), " ",IF(INDEX($AB$2:$AQ$1001,MATCH(ROWS($U$2:U778),$U$2:$U$1001,0),MATCH(COLUMNS($AB$1006:AI1006),$AB$1006:$AQ$1006,0)), HYPERLINK("#",""), HYPERLINK(CONCATENATE("#metadata!", ADDRESS(INDEX($W$2:$W$1001,MATCH(ROWS($U$2:U778),$U$2:$U$1001,0),0), INDEX($AB$1004:$AQ$1004,1,MATCH(COLUMNS($AB$1006:AI1006),$AB$1006:$AQ$1006,0)))),"Fix")))</f>
        <v>0</v>
      </c>
      <c r="J778" s="4">
        <f>IF(OR(INDEX($V$2:$V$1001,MATCH(ROWS($U$2:U778),$U$2:$U$1001,0),1)&gt;=100000,INDEX($AB$1005:$AQ$1005,1,MATCH(COLUMNS($AB$1006:AJ1006),$AB$1006:$AQ$1006,0))&gt;=100000), " ",IF(INDEX($AB$2:$AQ$1001,MATCH(ROWS($U$2:U778),$U$2:$U$1001,0),MATCH(COLUMNS($AB$1006:AJ1006),$AB$1006:$AQ$1006,0)), HYPERLINK("#",""), HYPERLINK(CONCATENATE("#metadata!", ADDRESS(INDEX($W$2:$W$1001,MATCH(ROWS($U$2:U778),$U$2:$U$1001,0),0), INDEX($AB$1004:$AQ$1004,1,MATCH(COLUMNS($AB$1006:AJ1006),$AB$1006:$AQ$1006,0)))),"Fix")))</f>
        <v>0</v>
      </c>
      <c r="K778" s="4">
        <f>IF(OR(INDEX($V$2:$V$1001,MATCH(ROWS($U$2:U778),$U$2:$U$1001,0),1)&gt;=100000,INDEX($AB$1005:$AQ$1005,1,MATCH(COLUMNS($AB$1006:AK1006),$AB$1006:$AQ$1006,0))&gt;=100000), " ",IF(INDEX($AB$2:$AQ$1001,MATCH(ROWS($U$2:U778),$U$2:$U$1001,0),MATCH(COLUMNS($AB$1006:AK1006),$AB$1006:$AQ$1006,0)), HYPERLINK("#",""), HYPERLINK(CONCATENATE("#metadata!", ADDRESS(INDEX($W$2:$W$1001,MATCH(ROWS($U$2:U778),$U$2:$U$1001,0),0), INDEX($AB$1004:$AQ$1004,1,MATCH(COLUMNS($AB$1006:AK1006),$AB$1006:$AQ$1006,0)))),"Fix")))</f>
        <v>0</v>
      </c>
      <c r="L778" s="4">
        <f>IF(OR(INDEX($V$2:$V$1001,MATCH(ROWS($U$2:U778),$U$2:$U$1001,0),1)&gt;=100000,INDEX($AB$1005:$AQ$1005,1,MATCH(COLUMNS($AB$1006:AL1006),$AB$1006:$AQ$1006,0))&gt;=100000), " ",IF(INDEX($AB$2:$AQ$1001,MATCH(ROWS($U$2:U778),$U$2:$U$1001,0),MATCH(COLUMNS($AB$1006:AL1006),$AB$1006:$AQ$1006,0)), HYPERLINK("#",""), HYPERLINK(CONCATENATE("#metadata!", ADDRESS(INDEX($W$2:$W$1001,MATCH(ROWS($U$2:U778),$U$2:$U$1001,0),0), INDEX($AB$1004:$AQ$1004,1,MATCH(COLUMNS($AB$1006:AL1006),$AB$1006:$AQ$1006,0)))),"Fix")))</f>
        <v>0</v>
      </c>
      <c r="M778" s="4">
        <f>IF(OR(INDEX($V$2:$V$1001,MATCH(ROWS($U$2:U778),$U$2:$U$1001,0),1)&gt;=100000,INDEX($AB$1005:$AQ$1005,1,MATCH(COLUMNS($AB$1006:AM1006),$AB$1006:$AQ$1006,0))&gt;=100000), " ",IF(INDEX($AB$2:$AQ$1001,MATCH(ROWS($U$2:U778),$U$2:$U$1001,0),MATCH(COLUMNS($AB$1006:AM1006),$AB$1006:$AQ$1006,0)), HYPERLINK("#",""), HYPERLINK(CONCATENATE("#metadata!", ADDRESS(INDEX($W$2:$W$1001,MATCH(ROWS($U$2:U778),$U$2:$U$1001,0),0), INDEX($AB$1004:$AQ$1004,1,MATCH(COLUMNS($AB$1006:AM1006),$AB$1006:$AQ$1006,0)))),"Fix")))</f>
        <v>0</v>
      </c>
      <c r="N778" s="4">
        <f>IF(OR(INDEX($V$2:$V$1001,MATCH(ROWS($U$2:U778),$U$2:$U$1001,0),1)&gt;=100000,INDEX($AB$1005:$AQ$1005,1,MATCH(COLUMNS($AB$1006:AN1006),$AB$1006:$AQ$1006,0))&gt;=100000), " ",IF(INDEX($AB$2:$AQ$1001,MATCH(ROWS($U$2:U778),$U$2:$U$1001,0),MATCH(COLUMNS($AB$1006:AN1006),$AB$1006:$AQ$1006,0)), HYPERLINK("#",""), HYPERLINK(CONCATENATE("#metadata!", ADDRESS(INDEX($W$2:$W$1001,MATCH(ROWS($U$2:U778),$U$2:$U$1001,0),0), INDEX($AB$1004:$AQ$1004,1,MATCH(COLUMNS($AB$1006:AN1006),$AB$1006:$AQ$1006,0)))),"Fix")))</f>
        <v>0</v>
      </c>
      <c r="O778" s="4">
        <f>IF(OR(INDEX($V$2:$V$1001,MATCH(ROWS($U$2:U778),$U$2:$U$1001,0),1)&gt;=100000,INDEX($AB$1005:$AQ$1005,1,MATCH(COLUMNS($AB$1006:AO1006),$AB$1006:$AQ$1006,0))&gt;=100000), " ",IF(INDEX($AB$2:$AQ$1001,MATCH(ROWS($U$2:U778),$U$2:$U$1001,0),MATCH(COLUMNS($AB$1006:AO1006),$AB$1006:$AQ$1006,0)), HYPERLINK("#",""), HYPERLINK(CONCATENATE("#metadata!", ADDRESS(INDEX($W$2:$W$1001,MATCH(ROWS($U$2:U778),$U$2:$U$1001,0),0), INDEX($AB$1004:$AQ$1004,1,MATCH(COLUMNS($AB$1006:AO1006),$AB$1006:$AQ$1006,0)))),"Fix")))</f>
        <v>0</v>
      </c>
      <c r="P778" s="4">
        <f>IF(OR(INDEX($V$2:$V$1001,MATCH(ROWS($U$2:U778),$U$2:$U$1001,0),1)&gt;=100000,INDEX($AB$1005:$AQ$1005,1,MATCH(COLUMNS($AB$1006:AP1006),$AB$1006:$AQ$1006,0))&gt;=100000), " ",IF(INDEX($AB$2:$AQ$1001,MATCH(ROWS($U$2:U778),$U$2:$U$1001,0),MATCH(COLUMNS($AB$1006:AP1006),$AB$1006:$AQ$1006,0)), HYPERLINK("#",""), HYPERLINK(CONCATENATE("#metadata!", ADDRESS(INDEX($W$2:$W$1001,MATCH(ROWS($U$2:U778),$U$2:$U$1001,0),0), INDEX($AB$1004:$AQ$1004,1,MATCH(COLUMNS($AB$1006:AP1006),$AB$1006:$AQ$1006,0)))),"Fix")))</f>
        <v>0</v>
      </c>
      <c r="Q778" s="4">
        <f>IF(OR(INDEX($V$2:$V$1001,MATCH(ROWS($U$2:U778),$U$2:$U$1001,0),1)&gt;=100000,INDEX($AB$1005:$AQ$1005,1,MATCH(COLUMNS($AB$1006:AQ1006),$AB$1006:$AQ$1006,0))&gt;=100000), " ",IF(INDEX($AB$2:$AQ$1001,MATCH(ROWS($U$2:U778),$U$2:$U$1001,0),MATCH(COLUMNS($AB$1006:AQ1006),$AB$1006:$AQ$1006,0)), HYPERLINK("#",""), HYPERLINK(CONCATENATE("#metadata!", ADDRESS(INDEX($W$2:$W$1001,MATCH(ROWS($U$2:U778),$U$2:$U$1001,0),0), INDEX($AB$1004:$AQ$1004,1,MATCH(COLUMNS($AB$1006:AQ1006),$AB$1006:$AQ$1006,0)))),"Fix")))</f>
        <v>0</v>
      </c>
      <c r="U778">
        <v>0</v>
      </c>
      <c r="V778">
        <v>0</v>
      </c>
      <c r="W778">
        <v>0</v>
      </c>
      <c r="X778">
        <f>IF(Y778,TRUE,AND(AB778:AQ778))</f>
        <v>0</v>
      </c>
      <c r="Y778">
        <f>COUNTBLANK(metadata!B778:Q778)=COLUMNS(metadata!B778:Q778)</f>
        <v>0</v>
      </c>
      <c r="Z778">
        <v>0</v>
      </c>
      <c r="AB778">
        <f>AND(IF(metadata!B778="",FALSE,TRUE),COUNTIF(metadata!B:B, metadata!B778) = 1,NOT(ISERROR(SUMPRODUCT(SEARCH(MID(metadata!B778,ROW(INDIRECT("1:"&amp;LEN(metadata!B778))), 1),"0123456789abcdefghijklmnopqrstuvwxyzABCDEFGHIJKLMNOPQRSTUVWXYZ.")))))</f>
        <v>0</v>
      </c>
      <c r="AC778">
        <f>OR(AND(IF(metadata!C778="",FALSE,TRUE),OR(exact(metadata!C778,"missing: not collected"),exact(metadata!C778,"missing: not provided"),exact(metadata!C778,"missing: restricted access"))),AND(IF(metadata!C778="",FALSE,TRUE),AND(AND(IFERROR(INT(LEFT(metadata!C778,4))&gt;1900,FALSE),IFERROR(INT(LEFT(metadata!C778,4))&lt;=YEAR(NOW()),FALSE)), OR(MID(metadata!C778,5,1)="", AND(AND(MID(metadata!C778,5,1)="-",IFERROR(INT(MID(metadata!C778,6,1))&gt;=0,FALSE),IFERROR(INT(MID(metadata!C778,6,1))&lt;=1,FALSE),NOT(MID(metadata!C778,7,1)=""),IFERROR(INT(MID(metadata!C778,6,2))&gt;=1,FALSE),IFERROR(INT(MID(metadata!C778,6,2))&lt;=12,FALSE)), OR(MID(metadata!C778,8,1)="", AND(AND(MID(metadata!C778,8,1)="-",IFERROR(INT(MID(metadata!C778,9,1))&gt;=0,FALSE),IFERROR(INT(MID(metadata!C778,9,1))&lt;=3,FALSE),NOT(MID(metadata!C778,10,1)=""),IFERROR(INT(MID(metadata!C778,9,2))&gt;=1,FALSE),IFERROR(INT(MID(metadata!C778,9,2))&lt;=31,FALSE)), OR(MID(metadata!C778,11,1)="", AND(AND(MID(metadata!C778,11,1)=" ",IFERROR(INT(MID(metadata!C778,12,1))&gt;=0,FALSE),IFERROR(INT(MID(metadata!C778,12,1))&lt;=2,FALSE),NOT(MID(metadata!C778,13,1)=""),IFERROR(INT(MID(metadata!C778,12,2))&gt;=0,FALSE),IFERROR(INT(MID(metadata!C778,12,2))&lt;=23,FALSE)), OR(MID(metadata!C778,14,1)="", AND(AND(MID(metadata!C778,14,1)=":",IFERROR(INT(MID(metadata!C778,15,1))&gt;=0,FALSE),IFERROR(INT(MID(metadata!C778,15,1))&lt;=5,FALSE),NOT(MID(metadata!C778,16,1)=""),IFERROR(INT(MID(metadata!C778,15,2))&gt;=0,FALSE),IFERROR(INT(MID(metadata!C778,15,2))&lt;=59,FALSE)), OR(MID(metadata!C778,17,1)="", AND(AND(MID(metadata!C778,17,1)=":",IFERROR(INT(MID(metadata!C778,18,1))&gt;=0,FALSE),IFERROR(INT(MID(metadata!C778,18,1))&lt;=5,FALSE),NOT(MID(metadata!C778,19,1)=""),IFERROR(INT(MID(metadata!C778,18,2))&gt;=0,FALSE),IFERROR(INT(MID(metadata!C778,18,2))&lt;=59,FALSE)), LEN(metadata!C778)&lt;=19)))))))))))))</f>
        <v>0</v>
      </c>
      <c r="AD778">
        <f>IF(metadata!D778="",FALSE,TRUE)</f>
        <v>0</v>
      </c>
      <c r="AE778">
        <f>OR(AND(IF(metadata!E778="",FALSE,TRUE),OR(exact(metadata!E778,"missing: not collected"),exact(metadata!E778,"missing: not provided"))),AND(IF(metadata!E778="",FALSE,TRUE),OR(exact(metadata!E778,"TRUE"),exact(metadata!E778,"FALSE"))))</f>
        <v>0</v>
      </c>
      <c r="AF778">
        <f>IF(metadata!F778="",FALSE,TRUE)</f>
        <v>0</v>
      </c>
      <c r="AG778">
        <f>IF(metadata!G778="",FALSE,TRUE)</f>
        <v>0</v>
      </c>
      <c r="AH778">
        <f>IF(metadata!H778="",FALSE,TRUE)</f>
        <v>0</v>
      </c>
      <c r="AI778">
        <f>OR(AND(IF(metadata!I778="",FALSE,TRUE),OR(exact(metadata!I778,"missing: not collected"),exact(metadata!I778,"missing: not provided"),exact(metadata!I778,"missing: restricted access"))),AND(IF(metadata!I778="",FALSE,TRUE),OR(exact(metadata!I778,"air"),exact(metadata!I778,"built environment"),exact(metadata!I778,"host-associated"),exact(metadata!I778,"human-associated"),exact(metadata!I778,"human-skin"),exact(metadata!I778,"human-oral"),exact(metadata!I778,"human-gut"),exact(metadata!I778,"human-vaginal"),exact(metadata!I778,"microbial mat/biofilm"),exact(metadata!I778,"misc environment"),exact(metadata!I778,"plant-associated"),exact(metadata!I778,"sediment"),exact(metadata!I778,"soil"),exact(metadata!I778,"wastewater/sludge"),exact(metadata!I778,"water"))))</f>
        <v>0</v>
      </c>
      <c r="AJ778">
        <f>IF(metadata!J778="",FALSE,TRUE)</f>
        <v>0</v>
      </c>
      <c r="AK778">
        <f>OR(AND(IF(metadata!K778="",FALSE,TRUE),OR(exact(metadata!K778,"missing: not collected"),exact(metadata!K778,"missing: not provided"),exact(metadata!K778,"missing: restricted access"))),AND(IF(metadata!K778="",FALSE,ISNUMBER(VALUE(metadata!K778))),metadata!K778&gt;=-90.00,metadata!K778&lt;=90.00))</f>
        <v>0</v>
      </c>
      <c r="AL778">
        <f>OR(AND(IF(metadata!L778="",FALSE,TRUE),OR(exact(metadata!L778,"missing: not collected"),exact(metadata!L778,"missing: not provided"),exact(metadata!L778,"missing: restricted access"))),AND(IF(metadata!L778="",FALSE,ISNUMBER(VALUE(metadata!L778))),metadata!L778&gt;=-180.00,metadata!L778&lt;=180.00))</f>
        <v>0</v>
      </c>
      <c r="AM778">
        <f>IF(metadata!M778="",FALSE,TRUE)</f>
        <v>0</v>
      </c>
      <c r="AN778">
        <f>OR(AND(IF(metadata!N778="",FALSE,TRUE),OR(exact(metadata!N778,"missing: not collected"),exact(metadata!N778,"missing: not provided"),exact(metadata!N778,"missing: restricted access"))),AND(IF(metadata!N778="",FALSE,TRUE),OR(exact(metadata!N778,"TRUE"),exact(metadata!N778,"FALSE"))))</f>
        <v>0</v>
      </c>
      <c r="AO778">
        <f>IF(metadata!O778="",FALSE,TRUE)</f>
        <v>0</v>
      </c>
      <c r="AP778">
        <f>OR(AND(IF(metadata!P778="",FALSE,TRUE),OR(exact(metadata!P778,"missing: not collected"),exact(metadata!P778,"missing: not provided"))),AND(IF(metadata!P778="",FALSE,IF(ISERROR(INT(metadata!P778)),FALSE,INT(metadata!P778)=metadata!P778)),metadata!P778&gt;0))</f>
        <v>0</v>
      </c>
      <c r="AQ778">
        <f>IF(metadata!Q778="",FALSE,TRUE)</f>
        <v>0</v>
      </c>
    </row>
    <row r="779" spans="1:43">
      <c r="A779" s="5">
        <f>IF(B779=" "," ",HYPERLINK(CONCATENATE("#metadata!",ADDRESS(INDEX($W$2:$W$1001,MATCH(ROWS($U$2:U779),$U$2:$U$1001,0),0),1)),INDEX($Z$2:$Z$1001,MATCH(ROWS($U$2:U779),$U$2:$U$1001,0),0)))</f>
        <v>0</v>
      </c>
      <c r="B779" s="4">
        <f>IF(OR(INDEX($V$2:$V$1001,MATCH(ROWS($U$2:U779),$U$2:$U$1001,0),1)&gt;=100000,INDEX($AB$1005:$AQ$1005,1,MATCH(COLUMNS($AB$1006:AB1006),$AB$1006:$AQ$1006,0))&gt;=100000), " ",IF(INDEX($AB$2:$AQ$1001,MATCH(ROWS($U$2:U779),$U$2:$U$1001,0),MATCH(COLUMNS($AB$1006:AB1006),$AB$1006:$AQ$1006,0)), HYPERLINK("#",""), HYPERLINK(CONCATENATE("#metadata!", ADDRESS(INDEX($W$2:$W$1001,MATCH(ROWS($U$2:U779),$U$2:$U$1001,0),0), INDEX($AB$1004:$AQ$1004,1,MATCH(COLUMNS($AB$1006:AB1006),$AB$1006:$AQ$1006,0)))),"Fix")))</f>
        <v>0</v>
      </c>
      <c r="C779" s="4">
        <f>IF(OR(INDEX($V$2:$V$1001,MATCH(ROWS($U$2:U779),$U$2:$U$1001,0),1)&gt;=100000,INDEX($AB$1005:$AQ$1005,1,MATCH(COLUMNS($AB$1006:AC1006),$AB$1006:$AQ$1006,0))&gt;=100000), " ",IF(INDEX($AB$2:$AQ$1001,MATCH(ROWS($U$2:U779),$U$2:$U$1001,0),MATCH(COLUMNS($AB$1006:AC1006),$AB$1006:$AQ$1006,0)), HYPERLINK("#",""), HYPERLINK(CONCATENATE("#metadata!", ADDRESS(INDEX($W$2:$W$1001,MATCH(ROWS($U$2:U779),$U$2:$U$1001,0),0), INDEX($AB$1004:$AQ$1004,1,MATCH(COLUMNS($AB$1006:AC1006),$AB$1006:$AQ$1006,0)))),"Fix")))</f>
        <v>0</v>
      </c>
      <c r="D779" s="4">
        <f>IF(OR(INDEX($V$2:$V$1001,MATCH(ROWS($U$2:U779),$U$2:$U$1001,0),1)&gt;=100000,INDEX($AB$1005:$AQ$1005,1,MATCH(COLUMNS($AB$1006:AD1006),$AB$1006:$AQ$1006,0))&gt;=100000), " ",IF(INDEX($AB$2:$AQ$1001,MATCH(ROWS($U$2:U779),$U$2:$U$1001,0),MATCH(COLUMNS($AB$1006:AD1006),$AB$1006:$AQ$1006,0)), HYPERLINK("#",""), HYPERLINK(CONCATENATE("#metadata!", ADDRESS(INDEX($W$2:$W$1001,MATCH(ROWS($U$2:U779),$U$2:$U$1001,0),0), INDEX($AB$1004:$AQ$1004,1,MATCH(COLUMNS($AB$1006:AD1006),$AB$1006:$AQ$1006,0)))),"Fix")))</f>
        <v>0</v>
      </c>
      <c r="E779" s="4">
        <f>IF(OR(INDEX($V$2:$V$1001,MATCH(ROWS($U$2:U779),$U$2:$U$1001,0),1)&gt;=100000,INDEX($AB$1005:$AQ$1005,1,MATCH(COLUMNS($AB$1006:AE1006),$AB$1006:$AQ$1006,0))&gt;=100000), " ",IF(INDEX($AB$2:$AQ$1001,MATCH(ROWS($U$2:U779),$U$2:$U$1001,0),MATCH(COLUMNS($AB$1006:AE1006),$AB$1006:$AQ$1006,0)), HYPERLINK("#",""), HYPERLINK(CONCATENATE("#metadata!", ADDRESS(INDEX($W$2:$W$1001,MATCH(ROWS($U$2:U779),$U$2:$U$1001,0),0), INDEX($AB$1004:$AQ$1004,1,MATCH(COLUMNS($AB$1006:AE1006),$AB$1006:$AQ$1006,0)))),"Fix")))</f>
        <v>0</v>
      </c>
      <c r="F779" s="4">
        <f>IF(OR(INDEX($V$2:$V$1001,MATCH(ROWS($U$2:U779),$U$2:$U$1001,0),1)&gt;=100000,INDEX($AB$1005:$AQ$1005,1,MATCH(COLUMNS($AB$1006:AF1006),$AB$1006:$AQ$1006,0))&gt;=100000), " ",IF(INDEX($AB$2:$AQ$1001,MATCH(ROWS($U$2:U779),$U$2:$U$1001,0),MATCH(COLUMNS($AB$1006:AF1006),$AB$1006:$AQ$1006,0)), HYPERLINK("#",""), HYPERLINK(CONCATENATE("#metadata!", ADDRESS(INDEX($W$2:$W$1001,MATCH(ROWS($U$2:U779),$U$2:$U$1001,0),0), INDEX($AB$1004:$AQ$1004,1,MATCH(COLUMNS($AB$1006:AF1006),$AB$1006:$AQ$1006,0)))),"Fix")))</f>
        <v>0</v>
      </c>
      <c r="G779" s="4">
        <f>IF(OR(INDEX($V$2:$V$1001,MATCH(ROWS($U$2:U779),$U$2:$U$1001,0),1)&gt;=100000,INDEX($AB$1005:$AQ$1005,1,MATCH(COLUMNS($AB$1006:AG1006),$AB$1006:$AQ$1006,0))&gt;=100000), " ",IF(INDEX($AB$2:$AQ$1001,MATCH(ROWS($U$2:U779),$U$2:$U$1001,0),MATCH(COLUMNS($AB$1006:AG1006),$AB$1006:$AQ$1006,0)), HYPERLINK("#",""), HYPERLINK(CONCATENATE("#metadata!", ADDRESS(INDEX($W$2:$W$1001,MATCH(ROWS($U$2:U779),$U$2:$U$1001,0),0), INDEX($AB$1004:$AQ$1004,1,MATCH(COLUMNS($AB$1006:AG1006),$AB$1006:$AQ$1006,0)))),"Fix")))</f>
        <v>0</v>
      </c>
      <c r="H779" s="4">
        <f>IF(OR(INDEX($V$2:$V$1001,MATCH(ROWS($U$2:U779),$U$2:$U$1001,0),1)&gt;=100000,INDEX($AB$1005:$AQ$1005,1,MATCH(COLUMNS($AB$1006:AH1006),$AB$1006:$AQ$1006,0))&gt;=100000), " ",IF(INDEX($AB$2:$AQ$1001,MATCH(ROWS($U$2:U779),$U$2:$U$1001,0),MATCH(COLUMNS($AB$1006:AH1006),$AB$1006:$AQ$1006,0)), HYPERLINK("#",""), HYPERLINK(CONCATENATE("#metadata!", ADDRESS(INDEX($W$2:$W$1001,MATCH(ROWS($U$2:U779),$U$2:$U$1001,0),0), INDEX($AB$1004:$AQ$1004,1,MATCH(COLUMNS($AB$1006:AH1006),$AB$1006:$AQ$1006,0)))),"Fix")))</f>
        <v>0</v>
      </c>
      <c r="I779" s="4">
        <f>IF(OR(INDEX($V$2:$V$1001,MATCH(ROWS($U$2:U779),$U$2:$U$1001,0),1)&gt;=100000,INDEX($AB$1005:$AQ$1005,1,MATCH(COLUMNS($AB$1006:AI1006),$AB$1006:$AQ$1006,0))&gt;=100000), " ",IF(INDEX($AB$2:$AQ$1001,MATCH(ROWS($U$2:U779),$U$2:$U$1001,0),MATCH(COLUMNS($AB$1006:AI1006),$AB$1006:$AQ$1006,0)), HYPERLINK("#",""), HYPERLINK(CONCATENATE("#metadata!", ADDRESS(INDEX($W$2:$W$1001,MATCH(ROWS($U$2:U779),$U$2:$U$1001,0),0), INDEX($AB$1004:$AQ$1004,1,MATCH(COLUMNS($AB$1006:AI1006),$AB$1006:$AQ$1006,0)))),"Fix")))</f>
        <v>0</v>
      </c>
      <c r="J779" s="4">
        <f>IF(OR(INDEX($V$2:$V$1001,MATCH(ROWS($U$2:U779),$U$2:$U$1001,0),1)&gt;=100000,INDEX($AB$1005:$AQ$1005,1,MATCH(COLUMNS($AB$1006:AJ1006),$AB$1006:$AQ$1006,0))&gt;=100000), " ",IF(INDEX($AB$2:$AQ$1001,MATCH(ROWS($U$2:U779),$U$2:$U$1001,0),MATCH(COLUMNS($AB$1006:AJ1006),$AB$1006:$AQ$1006,0)), HYPERLINK("#",""), HYPERLINK(CONCATENATE("#metadata!", ADDRESS(INDEX($W$2:$W$1001,MATCH(ROWS($U$2:U779),$U$2:$U$1001,0),0), INDEX($AB$1004:$AQ$1004,1,MATCH(COLUMNS($AB$1006:AJ1006),$AB$1006:$AQ$1006,0)))),"Fix")))</f>
        <v>0</v>
      </c>
      <c r="K779" s="4">
        <f>IF(OR(INDEX($V$2:$V$1001,MATCH(ROWS($U$2:U779),$U$2:$U$1001,0),1)&gt;=100000,INDEX($AB$1005:$AQ$1005,1,MATCH(COLUMNS($AB$1006:AK1006),$AB$1006:$AQ$1006,0))&gt;=100000), " ",IF(INDEX($AB$2:$AQ$1001,MATCH(ROWS($U$2:U779),$U$2:$U$1001,0),MATCH(COLUMNS($AB$1006:AK1006),$AB$1006:$AQ$1006,0)), HYPERLINK("#",""), HYPERLINK(CONCATENATE("#metadata!", ADDRESS(INDEX($W$2:$W$1001,MATCH(ROWS($U$2:U779),$U$2:$U$1001,0),0), INDEX($AB$1004:$AQ$1004,1,MATCH(COLUMNS($AB$1006:AK1006),$AB$1006:$AQ$1006,0)))),"Fix")))</f>
        <v>0</v>
      </c>
      <c r="L779" s="4">
        <f>IF(OR(INDEX($V$2:$V$1001,MATCH(ROWS($U$2:U779),$U$2:$U$1001,0),1)&gt;=100000,INDEX($AB$1005:$AQ$1005,1,MATCH(COLUMNS($AB$1006:AL1006),$AB$1006:$AQ$1006,0))&gt;=100000), " ",IF(INDEX($AB$2:$AQ$1001,MATCH(ROWS($U$2:U779),$U$2:$U$1001,0),MATCH(COLUMNS($AB$1006:AL1006),$AB$1006:$AQ$1006,0)), HYPERLINK("#",""), HYPERLINK(CONCATENATE("#metadata!", ADDRESS(INDEX($W$2:$W$1001,MATCH(ROWS($U$2:U779),$U$2:$U$1001,0),0), INDEX($AB$1004:$AQ$1004,1,MATCH(COLUMNS($AB$1006:AL1006),$AB$1006:$AQ$1006,0)))),"Fix")))</f>
        <v>0</v>
      </c>
      <c r="M779" s="4">
        <f>IF(OR(INDEX($V$2:$V$1001,MATCH(ROWS($U$2:U779),$U$2:$U$1001,0),1)&gt;=100000,INDEX($AB$1005:$AQ$1005,1,MATCH(COLUMNS($AB$1006:AM1006),$AB$1006:$AQ$1006,0))&gt;=100000), " ",IF(INDEX($AB$2:$AQ$1001,MATCH(ROWS($U$2:U779),$U$2:$U$1001,0),MATCH(COLUMNS($AB$1006:AM1006),$AB$1006:$AQ$1006,0)), HYPERLINK("#",""), HYPERLINK(CONCATENATE("#metadata!", ADDRESS(INDEX($W$2:$W$1001,MATCH(ROWS($U$2:U779),$U$2:$U$1001,0),0), INDEX($AB$1004:$AQ$1004,1,MATCH(COLUMNS($AB$1006:AM1006),$AB$1006:$AQ$1006,0)))),"Fix")))</f>
        <v>0</v>
      </c>
      <c r="N779" s="4">
        <f>IF(OR(INDEX($V$2:$V$1001,MATCH(ROWS($U$2:U779),$U$2:$U$1001,0),1)&gt;=100000,INDEX($AB$1005:$AQ$1005,1,MATCH(COLUMNS($AB$1006:AN1006),$AB$1006:$AQ$1006,0))&gt;=100000), " ",IF(INDEX($AB$2:$AQ$1001,MATCH(ROWS($U$2:U779),$U$2:$U$1001,0),MATCH(COLUMNS($AB$1006:AN1006),$AB$1006:$AQ$1006,0)), HYPERLINK("#",""), HYPERLINK(CONCATENATE("#metadata!", ADDRESS(INDEX($W$2:$W$1001,MATCH(ROWS($U$2:U779),$U$2:$U$1001,0),0), INDEX($AB$1004:$AQ$1004,1,MATCH(COLUMNS($AB$1006:AN1006),$AB$1006:$AQ$1006,0)))),"Fix")))</f>
        <v>0</v>
      </c>
      <c r="O779" s="4">
        <f>IF(OR(INDEX($V$2:$V$1001,MATCH(ROWS($U$2:U779),$U$2:$U$1001,0),1)&gt;=100000,INDEX($AB$1005:$AQ$1005,1,MATCH(COLUMNS($AB$1006:AO1006),$AB$1006:$AQ$1006,0))&gt;=100000), " ",IF(INDEX($AB$2:$AQ$1001,MATCH(ROWS($U$2:U779),$U$2:$U$1001,0),MATCH(COLUMNS($AB$1006:AO1006),$AB$1006:$AQ$1006,0)), HYPERLINK("#",""), HYPERLINK(CONCATENATE("#metadata!", ADDRESS(INDEX($W$2:$W$1001,MATCH(ROWS($U$2:U779),$U$2:$U$1001,0),0), INDEX($AB$1004:$AQ$1004,1,MATCH(COLUMNS($AB$1006:AO1006),$AB$1006:$AQ$1006,0)))),"Fix")))</f>
        <v>0</v>
      </c>
      <c r="P779" s="4">
        <f>IF(OR(INDEX($V$2:$V$1001,MATCH(ROWS($U$2:U779),$U$2:$U$1001,0),1)&gt;=100000,INDEX($AB$1005:$AQ$1005,1,MATCH(COLUMNS($AB$1006:AP1006),$AB$1006:$AQ$1006,0))&gt;=100000), " ",IF(INDEX($AB$2:$AQ$1001,MATCH(ROWS($U$2:U779),$U$2:$U$1001,0),MATCH(COLUMNS($AB$1006:AP1006),$AB$1006:$AQ$1006,0)), HYPERLINK("#",""), HYPERLINK(CONCATENATE("#metadata!", ADDRESS(INDEX($W$2:$W$1001,MATCH(ROWS($U$2:U779),$U$2:$U$1001,0),0), INDEX($AB$1004:$AQ$1004,1,MATCH(COLUMNS($AB$1006:AP1006),$AB$1006:$AQ$1006,0)))),"Fix")))</f>
        <v>0</v>
      </c>
      <c r="Q779" s="4">
        <f>IF(OR(INDEX($V$2:$V$1001,MATCH(ROWS($U$2:U779),$U$2:$U$1001,0),1)&gt;=100000,INDEX($AB$1005:$AQ$1005,1,MATCH(COLUMNS($AB$1006:AQ1006),$AB$1006:$AQ$1006,0))&gt;=100000), " ",IF(INDEX($AB$2:$AQ$1001,MATCH(ROWS($U$2:U779),$U$2:$U$1001,0),MATCH(COLUMNS($AB$1006:AQ1006),$AB$1006:$AQ$1006,0)), HYPERLINK("#",""), HYPERLINK(CONCATENATE("#metadata!", ADDRESS(INDEX($W$2:$W$1001,MATCH(ROWS($U$2:U779),$U$2:$U$1001,0),0), INDEX($AB$1004:$AQ$1004,1,MATCH(COLUMNS($AB$1006:AQ1006),$AB$1006:$AQ$1006,0)))),"Fix")))</f>
        <v>0</v>
      </c>
      <c r="U779">
        <v>0</v>
      </c>
      <c r="V779">
        <v>0</v>
      </c>
      <c r="W779">
        <v>0</v>
      </c>
      <c r="X779">
        <f>IF(Y779,TRUE,AND(AB779:AQ779))</f>
        <v>0</v>
      </c>
      <c r="Y779">
        <f>COUNTBLANK(metadata!B779:Q779)=COLUMNS(metadata!B779:Q779)</f>
        <v>0</v>
      </c>
      <c r="Z779">
        <v>0</v>
      </c>
      <c r="AB779">
        <f>AND(IF(metadata!B779="",FALSE,TRUE),COUNTIF(metadata!B:B, metadata!B779) = 1,NOT(ISERROR(SUMPRODUCT(SEARCH(MID(metadata!B779,ROW(INDIRECT("1:"&amp;LEN(metadata!B779))), 1),"0123456789abcdefghijklmnopqrstuvwxyzABCDEFGHIJKLMNOPQRSTUVWXYZ.")))))</f>
        <v>0</v>
      </c>
      <c r="AC779">
        <f>OR(AND(IF(metadata!C779="",FALSE,TRUE),OR(exact(metadata!C779,"missing: not collected"),exact(metadata!C779,"missing: not provided"),exact(metadata!C779,"missing: restricted access"))),AND(IF(metadata!C779="",FALSE,TRUE),AND(AND(IFERROR(INT(LEFT(metadata!C779,4))&gt;1900,FALSE),IFERROR(INT(LEFT(metadata!C779,4))&lt;=YEAR(NOW()),FALSE)), OR(MID(metadata!C779,5,1)="", AND(AND(MID(metadata!C779,5,1)="-",IFERROR(INT(MID(metadata!C779,6,1))&gt;=0,FALSE),IFERROR(INT(MID(metadata!C779,6,1))&lt;=1,FALSE),NOT(MID(metadata!C779,7,1)=""),IFERROR(INT(MID(metadata!C779,6,2))&gt;=1,FALSE),IFERROR(INT(MID(metadata!C779,6,2))&lt;=12,FALSE)), OR(MID(metadata!C779,8,1)="", AND(AND(MID(metadata!C779,8,1)="-",IFERROR(INT(MID(metadata!C779,9,1))&gt;=0,FALSE),IFERROR(INT(MID(metadata!C779,9,1))&lt;=3,FALSE),NOT(MID(metadata!C779,10,1)=""),IFERROR(INT(MID(metadata!C779,9,2))&gt;=1,FALSE),IFERROR(INT(MID(metadata!C779,9,2))&lt;=31,FALSE)), OR(MID(metadata!C779,11,1)="", AND(AND(MID(metadata!C779,11,1)=" ",IFERROR(INT(MID(metadata!C779,12,1))&gt;=0,FALSE),IFERROR(INT(MID(metadata!C779,12,1))&lt;=2,FALSE),NOT(MID(metadata!C779,13,1)=""),IFERROR(INT(MID(metadata!C779,12,2))&gt;=0,FALSE),IFERROR(INT(MID(metadata!C779,12,2))&lt;=23,FALSE)), OR(MID(metadata!C779,14,1)="", AND(AND(MID(metadata!C779,14,1)=":",IFERROR(INT(MID(metadata!C779,15,1))&gt;=0,FALSE),IFERROR(INT(MID(metadata!C779,15,1))&lt;=5,FALSE),NOT(MID(metadata!C779,16,1)=""),IFERROR(INT(MID(metadata!C779,15,2))&gt;=0,FALSE),IFERROR(INT(MID(metadata!C779,15,2))&lt;=59,FALSE)), OR(MID(metadata!C779,17,1)="", AND(AND(MID(metadata!C779,17,1)=":",IFERROR(INT(MID(metadata!C779,18,1))&gt;=0,FALSE),IFERROR(INT(MID(metadata!C779,18,1))&lt;=5,FALSE),NOT(MID(metadata!C779,19,1)=""),IFERROR(INT(MID(metadata!C779,18,2))&gt;=0,FALSE),IFERROR(INT(MID(metadata!C779,18,2))&lt;=59,FALSE)), LEN(metadata!C779)&lt;=19)))))))))))))</f>
        <v>0</v>
      </c>
      <c r="AD779">
        <f>IF(metadata!D779="",FALSE,TRUE)</f>
        <v>0</v>
      </c>
      <c r="AE779">
        <f>OR(AND(IF(metadata!E779="",FALSE,TRUE),OR(exact(metadata!E779,"missing: not collected"),exact(metadata!E779,"missing: not provided"))),AND(IF(metadata!E779="",FALSE,TRUE),OR(exact(metadata!E779,"TRUE"),exact(metadata!E779,"FALSE"))))</f>
        <v>0</v>
      </c>
      <c r="AF779">
        <f>IF(metadata!F779="",FALSE,TRUE)</f>
        <v>0</v>
      </c>
      <c r="AG779">
        <f>IF(metadata!G779="",FALSE,TRUE)</f>
        <v>0</v>
      </c>
      <c r="AH779">
        <f>IF(metadata!H779="",FALSE,TRUE)</f>
        <v>0</v>
      </c>
      <c r="AI779">
        <f>OR(AND(IF(metadata!I779="",FALSE,TRUE),OR(exact(metadata!I779,"missing: not collected"),exact(metadata!I779,"missing: not provided"),exact(metadata!I779,"missing: restricted access"))),AND(IF(metadata!I779="",FALSE,TRUE),OR(exact(metadata!I779,"air"),exact(metadata!I779,"built environment"),exact(metadata!I779,"host-associated"),exact(metadata!I779,"human-associated"),exact(metadata!I779,"human-skin"),exact(metadata!I779,"human-oral"),exact(metadata!I779,"human-gut"),exact(metadata!I779,"human-vaginal"),exact(metadata!I779,"microbial mat/biofilm"),exact(metadata!I779,"misc environment"),exact(metadata!I779,"plant-associated"),exact(metadata!I779,"sediment"),exact(metadata!I779,"soil"),exact(metadata!I779,"wastewater/sludge"),exact(metadata!I779,"water"))))</f>
        <v>0</v>
      </c>
      <c r="AJ779">
        <f>IF(metadata!J779="",FALSE,TRUE)</f>
        <v>0</v>
      </c>
      <c r="AK779">
        <f>OR(AND(IF(metadata!K779="",FALSE,TRUE),OR(exact(metadata!K779,"missing: not collected"),exact(metadata!K779,"missing: not provided"),exact(metadata!K779,"missing: restricted access"))),AND(IF(metadata!K779="",FALSE,ISNUMBER(VALUE(metadata!K779))),metadata!K779&gt;=-90.00,metadata!K779&lt;=90.00))</f>
        <v>0</v>
      </c>
      <c r="AL779">
        <f>OR(AND(IF(metadata!L779="",FALSE,TRUE),OR(exact(metadata!L779,"missing: not collected"),exact(metadata!L779,"missing: not provided"),exact(metadata!L779,"missing: restricted access"))),AND(IF(metadata!L779="",FALSE,ISNUMBER(VALUE(metadata!L779))),metadata!L779&gt;=-180.00,metadata!L779&lt;=180.00))</f>
        <v>0</v>
      </c>
      <c r="AM779">
        <f>IF(metadata!M779="",FALSE,TRUE)</f>
        <v>0</v>
      </c>
      <c r="AN779">
        <f>OR(AND(IF(metadata!N779="",FALSE,TRUE),OR(exact(metadata!N779,"missing: not collected"),exact(metadata!N779,"missing: not provided"),exact(metadata!N779,"missing: restricted access"))),AND(IF(metadata!N779="",FALSE,TRUE),OR(exact(metadata!N779,"TRUE"),exact(metadata!N779,"FALSE"))))</f>
        <v>0</v>
      </c>
      <c r="AO779">
        <f>IF(metadata!O779="",FALSE,TRUE)</f>
        <v>0</v>
      </c>
      <c r="AP779">
        <f>OR(AND(IF(metadata!P779="",FALSE,TRUE),OR(exact(metadata!P779,"missing: not collected"),exact(metadata!P779,"missing: not provided"))),AND(IF(metadata!P779="",FALSE,IF(ISERROR(INT(metadata!P779)),FALSE,INT(metadata!P779)=metadata!P779)),metadata!P779&gt;0))</f>
        <v>0</v>
      </c>
      <c r="AQ779">
        <f>IF(metadata!Q779="",FALSE,TRUE)</f>
        <v>0</v>
      </c>
    </row>
    <row r="780" spans="1:43">
      <c r="A780" s="5">
        <f>IF(B780=" "," ",HYPERLINK(CONCATENATE("#metadata!",ADDRESS(INDEX($W$2:$W$1001,MATCH(ROWS($U$2:U780),$U$2:$U$1001,0),0),1)),INDEX($Z$2:$Z$1001,MATCH(ROWS($U$2:U780),$U$2:$U$1001,0),0)))</f>
        <v>0</v>
      </c>
      <c r="B780" s="4">
        <f>IF(OR(INDEX($V$2:$V$1001,MATCH(ROWS($U$2:U780),$U$2:$U$1001,0),1)&gt;=100000,INDEX($AB$1005:$AQ$1005,1,MATCH(COLUMNS($AB$1006:AB1006),$AB$1006:$AQ$1006,0))&gt;=100000), " ",IF(INDEX($AB$2:$AQ$1001,MATCH(ROWS($U$2:U780),$U$2:$U$1001,0),MATCH(COLUMNS($AB$1006:AB1006),$AB$1006:$AQ$1006,0)), HYPERLINK("#",""), HYPERLINK(CONCATENATE("#metadata!", ADDRESS(INDEX($W$2:$W$1001,MATCH(ROWS($U$2:U780),$U$2:$U$1001,0),0), INDEX($AB$1004:$AQ$1004,1,MATCH(COLUMNS($AB$1006:AB1006),$AB$1006:$AQ$1006,0)))),"Fix")))</f>
        <v>0</v>
      </c>
      <c r="C780" s="4">
        <f>IF(OR(INDEX($V$2:$V$1001,MATCH(ROWS($U$2:U780),$U$2:$U$1001,0),1)&gt;=100000,INDEX($AB$1005:$AQ$1005,1,MATCH(COLUMNS($AB$1006:AC1006),$AB$1006:$AQ$1006,0))&gt;=100000), " ",IF(INDEX($AB$2:$AQ$1001,MATCH(ROWS($U$2:U780),$U$2:$U$1001,0),MATCH(COLUMNS($AB$1006:AC1006),$AB$1006:$AQ$1006,0)), HYPERLINK("#",""), HYPERLINK(CONCATENATE("#metadata!", ADDRESS(INDEX($W$2:$W$1001,MATCH(ROWS($U$2:U780),$U$2:$U$1001,0),0), INDEX($AB$1004:$AQ$1004,1,MATCH(COLUMNS($AB$1006:AC1006),$AB$1006:$AQ$1006,0)))),"Fix")))</f>
        <v>0</v>
      </c>
      <c r="D780" s="4">
        <f>IF(OR(INDEX($V$2:$V$1001,MATCH(ROWS($U$2:U780),$U$2:$U$1001,0),1)&gt;=100000,INDEX($AB$1005:$AQ$1005,1,MATCH(COLUMNS($AB$1006:AD1006),$AB$1006:$AQ$1006,0))&gt;=100000), " ",IF(INDEX($AB$2:$AQ$1001,MATCH(ROWS($U$2:U780),$U$2:$U$1001,0),MATCH(COLUMNS($AB$1006:AD1006),$AB$1006:$AQ$1006,0)), HYPERLINK("#",""), HYPERLINK(CONCATENATE("#metadata!", ADDRESS(INDEX($W$2:$W$1001,MATCH(ROWS($U$2:U780),$U$2:$U$1001,0),0), INDEX($AB$1004:$AQ$1004,1,MATCH(COLUMNS($AB$1006:AD1006),$AB$1006:$AQ$1006,0)))),"Fix")))</f>
        <v>0</v>
      </c>
      <c r="E780" s="4">
        <f>IF(OR(INDEX($V$2:$V$1001,MATCH(ROWS($U$2:U780),$U$2:$U$1001,0),1)&gt;=100000,INDEX($AB$1005:$AQ$1005,1,MATCH(COLUMNS($AB$1006:AE1006),$AB$1006:$AQ$1006,0))&gt;=100000), " ",IF(INDEX($AB$2:$AQ$1001,MATCH(ROWS($U$2:U780),$U$2:$U$1001,0),MATCH(COLUMNS($AB$1006:AE1006),$AB$1006:$AQ$1006,0)), HYPERLINK("#",""), HYPERLINK(CONCATENATE("#metadata!", ADDRESS(INDEX($W$2:$W$1001,MATCH(ROWS($U$2:U780),$U$2:$U$1001,0),0), INDEX($AB$1004:$AQ$1004,1,MATCH(COLUMNS($AB$1006:AE1006),$AB$1006:$AQ$1006,0)))),"Fix")))</f>
        <v>0</v>
      </c>
      <c r="F780" s="4">
        <f>IF(OR(INDEX($V$2:$V$1001,MATCH(ROWS($U$2:U780),$U$2:$U$1001,0),1)&gt;=100000,INDEX($AB$1005:$AQ$1005,1,MATCH(COLUMNS($AB$1006:AF1006),$AB$1006:$AQ$1006,0))&gt;=100000), " ",IF(INDEX($AB$2:$AQ$1001,MATCH(ROWS($U$2:U780),$U$2:$U$1001,0),MATCH(COLUMNS($AB$1006:AF1006),$AB$1006:$AQ$1006,0)), HYPERLINK("#",""), HYPERLINK(CONCATENATE("#metadata!", ADDRESS(INDEX($W$2:$W$1001,MATCH(ROWS($U$2:U780),$U$2:$U$1001,0),0), INDEX($AB$1004:$AQ$1004,1,MATCH(COLUMNS($AB$1006:AF1006),$AB$1006:$AQ$1006,0)))),"Fix")))</f>
        <v>0</v>
      </c>
      <c r="G780" s="4">
        <f>IF(OR(INDEX($V$2:$V$1001,MATCH(ROWS($U$2:U780),$U$2:$U$1001,0),1)&gt;=100000,INDEX($AB$1005:$AQ$1005,1,MATCH(COLUMNS($AB$1006:AG1006),$AB$1006:$AQ$1006,0))&gt;=100000), " ",IF(INDEX($AB$2:$AQ$1001,MATCH(ROWS($U$2:U780),$U$2:$U$1001,0),MATCH(COLUMNS($AB$1006:AG1006),$AB$1006:$AQ$1006,0)), HYPERLINK("#",""), HYPERLINK(CONCATENATE("#metadata!", ADDRESS(INDEX($W$2:$W$1001,MATCH(ROWS($U$2:U780),$U$2:$U$1001,0),0), INDEX($AB$1004:$AQ$1004,1,MATCH(COLUMNS($AB$1006:AG1006),$AB$1006:$AQ$1006,0)))),"Fix")))</f>
        <v>0</v>
      </c>
      <c r="H780" s="4">
        <f>IF(OR(INDEX($V$2:$V$1001,MATCH(ROWS($U$2:U780),$U$2:$U$1001,0),1)&gt;=100000,INDEX($AB$1005:$AQ$1005,1,MATCH(COLUMNS($AB$1006:AH1006),$AB$1006:$AQ$1006,0))&gt;=100000), " ",IF(INDEX($AB$2:$AQ$1001,MATCH(ROWS($U$2:U780),$U$2:$U$1001,0),MATCH(COLUMNS($AB$1006:AH1006),$AB$1006:$AQ$1006,0)), HYPERLINK("#",""), HYPERLINK(CONCATENATE("#metadata!", ADDRESS(INDEX($W$2:$W$1001,MATCH(ROWS($U$2:U780),$U$2:$U$1001,0),0), INDEX($AB$1004:$AQ$1004,1,MATCH(COLUMNS($AB$1006:AH1006),$AB$1006:$AQ$1006,0)))),"Fix")))</f>
        <v>0</v>
      </c>
      <c r="I780" s="4">
        <f>IF(OR(INDEX($V$2:$V$1001,MATCH(ROWS($U$2:U780),$U$2:$U$1001,0),1)&gt;=100000,INDEX($AB$1005:$AQ$1005,1,MATCH(COLUMNS($AB$1006:AI1006),$AB$1006:$AQ$1006,0))&gt;=100000), " ",IF(INDEX($AB$2:$AQ$1001,MATCH(ROWS($U$2:U780),$U$2:$U$1001,0),MATCH(COLUMNS($AB$1006:AI1006),$AB$1006:$AQ$1006,0)), HYPERLINK("#",""), HYPERLINK(CONCATENATE("#metadata!", ADDRESS(INDEX($W$2:$W$1001,MATCH(ROWS($U$2:U780),$U$2:$U$1001,0),0), INDEX($AB$1004:$AQ$1004,1,MATCH(COLUMNS($AB$1006:AI1006),$AB$1006:$AQ$1006,0)))),"Fix")))</f>
        <v>0</v>
      </c>
      <c r="J780" s="4">
        <f>IF(OR(INDEX($V$2:$V$1001,MATCH(ROWS($U$2:U780),$U$2:$U$1001,0),1)&gt;=100000,INDEX($AB$1005:$AQ$1005,1,MATCH(COLUMNS($AB$1006:AJ1006),$AB$1006:$AQ$1006,0))&gt;=100000), " ",IF(INDEX($AB$2:$AQ$1001,MATCH(ROWS($U$2:U780),$U$2:$U$1001,0),MATCH(COLUMNS($AB$1006:AJ1006),$AB$1006:$AQ$1006,0)), HYPERLINK("#",""), HYPERLINK(CONCATENATE("#metadata!", ADDRESS(INDEX($W$2:$W$1001,MATCH(ROWS($U$2:U780),$U$2:$U$1001,0),0), INDEX($AB$1004:$AQ$1004,1,MATCH(COLUMNS($AB$1006:AJ1006),$AB$1006:$AQ$1006,0)))),"Fix")))</f>
        <v>0</v>
      </c>
      <c r="K780" s="4">
        <f>IF(OR(INDEX($V$2:$V$1001,MATCH(ROWS($U$2:U780),$U$2:$U$1001,0),1)&gt;=100000,INDEX($AB$1005:$AQ$1005,1,MATCH(COLUMNS($AB$1006:AK1006),$AB$1006:$AQ$1006,0))&gt;=100000), " ",IF(INDEX($AB$2:$AQ$1001,MATCH(ROWS($U$2:U780),$U$2:$U$1001,0),MATCH(COLUMNS($AB$1006:AK1006),$AB$1006:$AQ$1006,0)), HYPERLINK("#",""), HYPERLINK(CONCATENATE("#metadata!", ADDRESS(INDEX($W$2:$W$1001,MATCH(ROWS($U$2:U780),$U$2:$U$1001,0),0), INDEX($AB$1004:$AQ$1004,1,MATCH(COLUMNS($AB$1006:AK1006),$AB$1006:$AQ$1006,0)))),"Fix")))</f>
        <v>0</v>
      </c>
      <c r="L780" s="4">
        <f>IF(OR(INDEX($V$2:$V$1001,MATCH(ROWS($U$2:U780),$U$2:$U$1001,0),1)&gt;=100000,INDEX($AB$1005:$AQ$1005,1,MATCH(COLUMNS($AB$1006:AL1006),$AB$1006:$AQ$1006,0))&gt;=100000), " ",IF(INDEX($AB$2:$AQ$1001,MATCH(ROWS($U$2:U780),$U$2:$U$1001,0),MATCH(COLUMNS($AB$1006:AL1006),$AB$1006:$AQ$1006,0)), HYPERLINK("#",""), HYPERLINK(CONCATENATE("#metadata!", ADDRESS(INDEX($W$2:$W$1001,MATCH(ROWS($U$2:U780),$U$2:$U$1001,0),0), INDEX($AB$1004:$AQ$1004,1,MATCH(COLUMNS($AB$1006:AL1006),$AB$1006:$AQ$1006,0)))),"Fix")))</f>
        <v>0</v>
      </c>
      <c r="M780" s="4">
        <f>IF(OR(INDEX($V$2:$V$1001,MATCH(ROWS($U$2:U780),$U$2:$U$1001,0),1)&gt;=100000,INDEX($AB$1005:$AQ$1005,1,MATCH(COLUMNS($AB$1006:AM1006),$AB$1006:$AQ$1006,0))&gt;=100000), " ",IF(INDEX($AB$2:$AQ$1001,MATCH(ROWS($U$2:U780),$U$2:$U$1001,0),MATCH(COLUMNS($AB$1006:AM1006),$AB$1006:$AQ$1006,0)), HYPERLINK("#",""), HYPERLINK(CONCATENATE("#metadata!", ADDRESS(INDEX($W$2:$W$1001,MATCH(ROWS($U$2:U780),$U$2:$U$1001,0),0), INDEX($AB$1004:$AQ$1004,1,MATCH(COLUMNS($AB$1006:AM1006),$AB$1006:$AQ$1006,0)))),"Fix")))</f>
        <v>0</v>
      </c>
      <c r="N780" s="4">
        <f>IF(OR(INDEX($V$2:$V$1001,MATCH(ROWS($U$2:U780),$U$2:$U$1001,0),1)&gt;=100000,INDEX($AB$1005:$AQ$1005,1,MATCH(COLUMNS($AB$1006:AN1006),$AB$1006:$AQ$1006,0))&gt;=100000), " ",IF(INDEX($AB$2:$AQ$1001,MATCH(ROWS($U$2:U780),$U$2:$U$1001,0),MATCH(COLUMNS($AB$1006:AN1006),$AB$1006:$AQ$1006,0)), HYPERLINK("#",""), HYPERLINK(CONCATENATE("#metadata!", ADDRESS(INDEX($W$2:$W$1001,MATCH(ROWS($U$2:U780),$U$2:$U$1001,0),0), INDEX($AB$1004:$AQ$1004,1,MATCH(COLUMNS($AB$1006:AN1006),$AB$1006:$AQ$1006,0)))),"Fix")))</f>
        <v>0</v>
      </c>
      <c r="O780" s="4">
        <f>IF(OR(INDEX($V$2:$V$1001,MATCH(ROWS($U$2:U780),$U$2:$U$1001,0),1)&gt;=100000,INDEX($AB$1005:$AQ$1005,1,MATCH(COLUMNS($AB$1006:AO1006),$AB$1006:$AQ$1006,0))&gt;=100000), " ",IF(INDEX($AB$2:$AQ$1001,MATCH(ROWS($U$2:U780),$U$2:$U$1001,0),MATCH(COLUMNS($AB$1006:AO1006),$AB$1006:$AQ$1006,0)), HYPERLINK("#",""), HYPERLINK(CONCATENATE("#metadata!", ADDRESS(INDEX($W$2:$W$1001,MATCH(ROWS($U$2:U780),$U$2:$U$1001,0),0), INDEX($AB$1004:$AQ$1004,1,MATCH(COLUMNS($AB$1006:AO1006),$AB$1006:$AQ$1006,0)))),"Fix")))</f>
        <v>0</v>
      </c>
      <c r="P780" s="4">
        <f>IF(OR(INDEX($V$2:$V$1001,MATCH(ROWS($U$2:U780),$U$2:$U$1001,0),1)&gt;=100000,INDEX($AB$1005:$AQ$1005,1,MATCH(COLUMNS($AB$1006:AP1006),$AB$1006:$AQ$1006,0))&gt;=100000), " ",IF(INDEX($AB$2:$AQ$1001,MATCH(ROWS($U$2:U780),$U$2:$U$1001,0),MATCH(COLUMNS($AB$1006:AP1006),$AB$1006:$AQ$1006,0)), HYPERLINK("#",""), HYPERLINK(CONCATENATE("#metadata!", ADDRESS(INDEX($W$2:$W$1001,MATCH(ROWS($U$2:U780),$U$2:$U$1001,0),0), INDEX($AB$1004:$AQ$1004,1,MATCH(COLUMNS($AB$1006:AP1006),$AB$1006:$AQ$1006,0)))),"Fix")))</f>
        <v>0</v>
      </c>
      <c r="Q780" s="4">
        <f>IF(OR(INDEX($V$2:$V$1001,MATCH(ROWS($U$2:U780),$U$2:$U$1001,0),1)&gt;=100000,INDEX($AB$1005:$AQ$1005,1,MATCH(COLUMNS($AB$1006:AQ1006),$AB$1006:$AQ$1006,0))&gt;=100000), " ",IF(INDEX($AB$2:$AQ$1001,MATCH(ROWS($U$2:U780),$U$2:$U$1001,0),MATCH(COLUMNS($AB$1006:AQ1006),$AB$1006:$AQ$1006,0)), HYPERLINK("#",""), HYPERLINK(CONCATENATE("#metadata!", ADDRESS(INDEX($W$2:$W$1001,MATCH(ROWS($U$2:U780),$U$2:$U$1001,0),0), INDEX($AB$1004:$AQ$1004,1,MATCH(COLUMNS($AB$1006:AQ1006),$AB$1006:$AQ$1006,0)))),"Fix")))</f>
        <v>0</v>
      </c>
      <c r="U780">
        <v>0</v>
      </c>
      <c r="V780">
        <v>0</v>
      </c>
      <c r="W780">
        <v>0</v>
      </c>
      <c r="X780">
        <f>IF(Y780,TRUE,AND(AB780:AQ780))</f>
        <v>0</v>
      </c>
      <c r="Y780">
        <f>COUNTBLANK(metadata!B780:Q780)=COLUMNS(metadata!B780:Q780)</f>
        <v>0</v>
      </c>
      <c r="Z780">
        <v>0</v>
      </c>
      <c r="AB780">
        <f>AND(IF(metadata!B780="",FALSE,TRUE),COUNTIF(metadata!B:B, metadata!B780) = 1,NOT(ISERROR(SUMPRODUCT(SEARCH(MID(metadata!B780,ROW(INDIRECT("1:"&amp;LEN(metadata!B780))), 1),"0123456789abcdefghijklmnopqrstuvwxyzABCDEFGHIJKLMNOPQRSTUVWXYZ.")))))</f>
        <v>0</v>
      </c>
      <c r="AC780">
        <f>OR(AND(IF(metadata!C780="",FALSE,TRUE),OR(exact(metadata!C780,"missing: not collected"),exact(metadata!C780,"missing: not provided"),exact(metadata!C780,"missing: restricted access"))),AND(IF(metadata!C780="",FALSE,TRUE),AND(AND(IFERROR(INT(LEFT(metadata!C780,4))&gt;1900,FALSE),IFERROR(INT(LEFT(metadata!C780,4))&lt;=YEAR(NOW()),FALSE)), OR(MID(metadata!C780,5,1)="", AND(AND(MID(metadata!C780,5,1)="-",IFERROR(INT(MID(metadata!C780,6,1))&gt;=0,FALSE),IFERROR(INT(MID(metadata!C780,6,1))&lt;=1,FALSE),NOT(MID(metadata!C780,7,1)=""),IFERROR(INT(MID(metadata!C780,6,2))&gt;=1,FALSE),IFERROR(INT(MID(metadata!C780,6,2))&lt;=12,FALSE)), OR(MID(metadata!C780,8,1)="", AND(AND(MID(metadata!C780,8,1)="-",IFERROR(INT(MID(metadata!C780,9,1))&gt;=0,FALSE),IFERROR(INT(MID(metadata!C780,9,1))&lt;=3,FALSE),NOT(MID(metadata!C780,10,1)=""),IFERROR(INT(MID(metadata!C780,9,2))&gt;=1,FALSE),IFERROR(INT(MID(metadata!C780,9,2))&lt;=31,FALSE)), OR(MID(metadata!C780,11,1)="", AND(AND(MID(metadata!C780,11,1)=" ",IFERROR(INT(MID(metadata!C780,12,1))&gt;=0,FALSE),IFERROR(INT(MID(metadata!C780,12,1))&lt;=2,FALSE),NOT(MID(metadata!C780,13,1)=""),IFERROR(INT(MID(metadata!C780,12,2))&gt;=0,FALSE),IFERROR(INT(MID(metadata!C780,12,2))&lt;=23,FALSE)), OR(MID(metadata!C780,14,1)="", AND(AND(MID(metadata!C780,14,1)=":",IFERROR(INT(MID(metadata!C780,15,1))&gt;=0,FALSE),IFERROR(INT(MID(metadata!C780,15,1))&lt;=5,FALSE),NOT(MID(metadata!C780,16,1)=""),IFERROR(INT(MID(metadata!C780,15,2))&gt;=0,FALSE),IFERROR(INT(MID(metadata!C780,15,2))&lt;=59,FALSE)), OR(MID(metadata!C780,17,1)="", AND(AND(MID(metadata!C780,17,1)=":",IFERROR(INT(MID(metadata!C780,18,1))&gt;=0,FALSE),IFERROR(INT(MID(metadata!C780,18,1))&lt;=5,FALSE),NOT(MID(metadata!C780,19,1)=""),IFERROR(INT(MID(metadata!C780,18,2))&gt;=0,FALSE),IFERROR(INT(MID(metadata!C780,18,2))&lt;=59,FALSE)), LEN(metadata!C780)&lt;=19)))))))))))))</f>
        <v>0</v>
      </c>
      <c r="AD780">
        <f>IF(metadata!D780="",FALSE,TRUE)</f>
        <v>0</v>
      </c>
      <c r="AE780">
        <f>OR(AND(IF(metadata!E780="",FALSE,TRUE),OR(exact(metadata!E780,"missing: not collected"),exact(metadata!E780,"missing: not provided"))),AND(IF(metadata!E780="",FALSE,TRUE),OR(exact(metadata!E780,"TRUE"),exact(metadata!E780,"FALSE"))))</f>
        <v>0</v>
      </c>
      <c r="AF780">
        <f>IF(metadata!F780="",FALSE,TRUE)</f>
        <v>0</v>
      </c>
      <c r="AG780">
        <f>IF(metadata!G780="",FALSE,TRUE)</f>
        <v>0</v>
      </c>
      <c r="AH780">
        <f>IF(metadata!H780="",FALSE,TRUE)</f>
        <v>0</v>
      </c>
      <c r="AI780">
        <f>OR(AND(IF(metadata!I780="",FALSE,TRUE),OR(exact(metadata!I780,"missing: not collected"),exact(metadata!I780,"missing: not provided"),exact(metadata!I780,"missing: restricted access"))),AND(IF(metadata!I780="",FALSE,TRUE),OR(exact(metadata!I780,"air"),exact(metadata!I780,"built environment"),exact(metadata!I780,"host-associated"),exact(metadata!I780,"human-associated"),exact(metadata!I780,"human-skin"),exact(metadata!I780,"human-oral"),exact(metadata!I780,"human-gut"),exact(metadata!I780,"human-vaginal"),exact(metadata!I780,"microbial mat/biofilm"),exact(metadata!I780,"misc environment"),exact(metadata!I780,"plant-associated"),exact(metadata!I780,"sediment"),exact(metadata!I780,"soil"),exact(metadata!I780,"wastewater/sludge"),exact(metadata!I780,"water"))))</f>
        <v>0</v>
      </c>
      <c r="AJ780">
        <f>IF(metadata!J780="",FALSE,TRUE)</f>
        <v>0</v>
      </c>
      <c r="AK780">
        <f>OR(AND(IF(metadata!K780="",FALSE,TRUE),OR(exact(metadata!K780,"missing: not collected"),exact(metadata!K780,"missing: not provided"),exact(metadata!K780,"missing: restricted access"))),AND(IF(metadata!K780="",FALSE,ISNUMBER(VALUE(metadata!K780))),metadata!K780&gt;=-90.00,metadata!K780&lt;=90.00))</f>
        <v>0</v>
      </c>
      <c r="AL780">
        <f>OR(AND(IF(metadata!L780="",FALSE,TRUE),OR(exact(metadata!L780,"missing: not collected"),exact(metadata!L780,"missing: not provided"),exact(metadata!L780,"missing: restricted access"))),AND(IF(metadata!L780="",FALSE,ISNUMBER(VALUE(metadata!L780))),metadata!L780&gt;=-180.00,metadata!L780&lt;=180.00))</f>
        <v>0</v>
      </c>
      <c r="AM780">
        <f>IF(metadata!M780="",FALSE,TRUE)</f>
        <v>0</v>
      </c>
      <c r="AN780">
        <f>OR(AND(IF(metadata!N780="",FALSE,TRUE),OR(exact(metadata!N780,"missing: not collected"),exact(metadata!N780,"missing: not provided"),exact(metadata!N780,"missing: restricted access"))),AND(IF(metadata!N780="",FALSE,TRUE),OR(exact(metadata!N780,"TRUE"),exact(metadata!N780,"FALSE"))))</f>
        <v>0</v>
      </c>
      <c r="AO780">
        <f>IF(metadata!O780="",FALSE,TRUE)</f>
        <v>0</v>
      </c>
      <c r="AP780">
        <f>OR(AND(IF(metadata!P780="",FALSE,TRUE),OR(exact(metadata!P780,"missing: not collected"),exact(metadata!P780,"missing: not provided"))),AND(IF(metadata!P780="",FALSE,IF(ISERROR(INT(metadata!P780)),FALSE,INT(metadata!P780)=metadata!P780)),metadata!P780&gt;0))</f>
        <v>0</v>
      </c>
      <c r="AQ780">
        <f>IF(metadata!Q780="",FALSE,TRUE)</f>
        <v>0</v>
      </c>
    </row>
    <row r="781" spans="1:43">
      <c r="A781" s="5">
        <f>IF(B781=" "," ",HYPERLINK(CONCATENATE("#metadata!",ADDRESS(INDEX($W$2:$W$1001,MATCH(ROWS($U$2:U781),$U$2:$U$1001,0),0),1)),INDEX($Z$2:$Z$1001,MATCH(ROWS($U$2:U781),$U$2:$U$1001,0),0)))</f>
        <v>0</v>
      </c>
      <c r="B781" s="4">
        <f>IF(OR(INDEX($V$2:$V$1001,MATCH(ROWS($U$2:U781),$U$2:$U$1001,0),1)&gt;=100000,INDEX($AB$1005:$AQ$1005,1,MATCH(COLUMNS($AB$1006:AB1006),$AB$1006:$AQ$1006,0))&gt;=100000), " ",IF(INDEX($AB$2:$AQ$1001,MATCH(ROWS($U$2:U781),$U$2:$U$1001,0),MATCH(COLUMNS($AB$1006:AB1006),$AB$1006:$AQ$1006,0)), HYPERLINK("#",""), HYPERLINK(CONCATENATE("#metadata!", ADDRESS(INDEX($W$2:$W$1001,MATCH(ROWS($U$2:U781),$U$2:$U$1001,0),0), INDEX($AB$1004:$AQ$1004,1,MATCH(COLUMNS($AB$1006:AB1006),$AB$1006:$AQ$1006,0)))),"Fix")))</f>
        <v>0</v>
      </c>
      <c r="C781" s="4">
        <f>IF(OR(INDEX($V$2:$V$1001,MATCH(ROWS($U$2:U781),$U$2:$U$1001,0),1)&gt;=100000,INDEX($AB$1005:$AQ$1005,1,MATCH(COLUMNS($AB$1006:AC1006),$AB$1006:$AQ$1006,0))&gt;=100000), " ",IF(INDEX($AB$2:$AQ$1001,MATCH(ROWS($U$2:U781),$U$2:$U$1001,0),MATCH(COLUMNS($AB$1006:AC1006),$AB$1006:$AQ$1006,0)), HYPERLINK("#",""), HYPERLINK(CONCATENATE("#metadata!", ADDRESS(INDEX($W$2:$W$1001,MATCH(ROWS($U$2:U781),$U$2:$U$1001,0),0), INDEX($AB$1004:$AQ$1004,1,MATCH(COLUMNS($AB$1006:AC1006),$AB$1006:$AQ$1006,0)))),"Fix")))</f>
        <v>0</v>
      </c>
      <c r="D781" s="4">
        <f>IF(OR(INDEX($V$2:$V$1001,MATCH(ROWS($U$2:U781),$U$2:$U$1001,0),1)&gt;=100000,INDEX($AB$1005:$AQ$1005,1,MATCH(COLUMNS($AB$1006:AD1006),$AB$1006:$AQ$1006,0))&gt;=100000), " ",IF(INDEX($AB$2:$AQ$1001,MATCH(ROWS($U$2:U781),$U$2:$U$1001,0),MATCH(COLUMNS($AB$1006:AD1006),$AB$1006:$AQ$1006,0)), HYPERLINK("#",""), HYPERLINK(CONCATENATE("#metadata!", ADDRESS(INDEX($W$2:$W$1001,MATCH(ROWS($U$2:U781),$U$2:$U$1001,0),0), INDEX($AB$1004:$AQ$1004,1,MATCH(COLUMNS($AB$1006:AD1006),$AB$1006:$AQ$1006,0)))),"Fix")))</f>
        <v>0</v>
      </c>
      <c r="E781" s="4">
        <f>IF(OR(INDEX($V$2:$V$1001,MATCH(ROWS($U$2:U781),$U$2:$U$1001,0),1)&gt;=100000,INDEX($AB$1005:$AQ$1005,1,MATCH(COLUMNS($AB$1006:AE1006),$AB$1006:$AQ$1006,0))&gt;=100000), " ",IF(INDEX($AB$2:$AQ$1001,MATCH(ROWS($U$2:U781),$U$2:$U$1001,0),MATCH(COLUMNS($AB$1006:AE1006),$AB$1006:$AQ$1006,0)), HYPERLINK("#",""), HYPERLINK(CONCATENATE("#metadata!", ADDRESS(INDEX($W$2:$W$1001,MATCH(ROWS($U$2:U781),$U$2:$U$1001,0),0), INDEX($AB$1004:$AQ$1004,1,MATCH(COLUMNS($AB$1006:AE1006),$AB$1006:$AQ$1006,0)))),"Fix")))</f>
        <v>0</v>
      </c>
      <c r="F781" s="4">
        <f>IF(OR(INDEX($V$2:$V$1001,MATCH(ROWS($U$2:U781),$U$2:$U$1001,0),1)&gt;=100000,INDEX($AB$1005:$AQ$1005,1,MATCH(COLUMNS($AB$1006:AF1006),$AB$1006:$AQ$1006,0))&gt;=100000), " ",IF(INDEX($AB$2:$AQ$1001,MATCH(ROWS($U$2:U781),$U$2:$U$1001,0),MATCH(COLUMNS($AB$1006:AF1006),$AB$1006:$AQ$1006,0)), HYPERLINK("#",""), HYPERLINK(CONCATENATE("#metadata!", ADDRESS(INDEX($W$2:$W$1001,MATCH(ROWS($U$2:U781),$U$2:$U$1001,0),0), INDEX($AB$1004:$AQ$1004,1,MATCH(COLUMNS($AB$1006:AF1006),$AB$1006:$AQ$1006,0)))),"Fix")))</f>
        <v>0</v>
      </c>
      <c r="G781" s="4">
        <f>IF(OR(INDEX($V$2:$V$1001,MATCH(ROWS($U$2:U781),$U$2:$U$1001,0),1)&gt;=100000,INDEX($AB$1005:$AQ$1005,1,MATCH(COLUMNS($AB$1006:AG1006),$AB$1006:$AQ$1006,0))&gt;=100000), " ",IF(INDEX($AB$2:$AQ$1001,MATCH(ROWS($U$2:U781),$U$2:$U$1001,0),MATCH(COLUMNS($AB$1006:AG1006),$AB$1006:$AQ$1006,0)), HYPERLINK("#",""), HYPERLINK(CONCATENATE("#metadata!", ADDRESS(INDEX($W$2:$W$1001,MATCH(ROWS($U$2:U781),$U$2:$U$1001,0),0), INDEX($AB$1004:$AQ$1004,1,MATCH(COLUMNS($AB$1006:AG1006),$AB$1006:$AQ$1006,0)))),"Fix")))</f>
        <v>0</v>
      </c>
      <c r="H781" s="4">
        <f>IF(OR(INDEX($V$2:$V$1001,MATCH(ROWS($U$2:U781),$U$2:$U$1001,0),1)&gt;=100000,INDEX($AB$1005:$AQ$1005,1,MATCH(COLUMNS($AB$1006:AH1006),$AB$1006:$AQ$1006,0))&gt;=100000), " ",IF(INDEX($AB$2:$AQ$1001,MATCH(ROWS($U$2:U781),$U$2:$U$1001,0),MATCH(COLUMNS($AB$1006:AH1006),$AB$1006:$AQ$1006,0)), HYPERLINK("#",""), HYPERLINK(CONCATENATE("#metadata!", ADDRESS(INDEX($W$2:$W$1001,MATCH(ROWS($U$2:U781),$U$2:$U$1001,0),0), INDEX($AB$1004:$AQ$1004,1,MATCH(COLUMNS($AB$1006:AH1006),$AB$1006:$AQ$1006,0)))),"Fix")))</f>
        <v>0</v>
      </c>
      <c r="I781" s="4">
        <f>IF(OR(INDEX($V$2:$V$1001,MATCH(ROWS($U$2:U781),$U$2:$U$1001,0),1)&gt;=100000,INDEX($AB$1005:$AQ$1005,1,MATCH(COLUMNS($AB$1006:AI1006),$AB$1006:$AQ$1006,0))&gt;=100000), " ",IF(INDEX($AB$2:$AQ$1001,MATCH(ROWS($U$2:U781),$U$2:$U$1001,0),MATCH(COLUMNS($AB$1006:AI1006),$AB$1006:$AQ$1006,0)), HYPERLINK("#",""), HYPERLINK(CONCATENATE("#metadata!", ADDRESS(INDEX($W$2:$W$1001,MATCH(ROWS($U$2:U781),$U$2:$U$1001,0),0), INDEX($AB$1004:$AQ$1004,1,MATCH(COLUMNS($AB$1006:AI1006),$AB$1006:$AQ$1006,0)))),"Fix")))</f>
        <v>0</v>
      </c>
      <c r="J781" s="4">
        <f>IF(OR(INDEX($V$2:$V$1001,MATCH(ROWS($U$2:U781),$U$2:$U$1001,0),1)&gt;=100000,INDEX($AB$1005:$AQ$1005,1,MATCH(COLUMNS($AB$1006:AJ1006),$AB$1006:$AQ$1006,0))&gt;=100000), " ",IF(INDEX($AB$2:$AQ$1001,MATCH(ROWS($U$2:U781),$U$2:$U$1001,0),MATCH(COLUMNS($AB$1006:AJ1006),$AB$1006:$AQ$1006,0)), HYPERLINK("#",""), HYPERLINK(CONCATENATE("#metadata!", ADDRESS(INDEX($W$2:$W$1001,MATCH(ROWS($U$2:U781),$U$2:$U$1001,0),0), INDEX($AB$1004:$AQ$1004,1,MATCH(COLUMNS($AB$1006:AJ1006),$AB$1006:$AQ$1006,0)))),"Fix")))</f>
        <v>0</v>
      </c>
      <c r="K781" s="4">
        <f>IF(OR(INDEX($V$2:$V$1001,MATCH(ROWS($U$2:U781),$U$2:$U$1001,0),1)&gt;=100000,INDEX($AB$1005:$AQ$1005,1,MATCH(COLUMNS($AB$1006:AK1006),$AB$1006:$AQ$1006,0))&gt;=100000), " ",IF(INDEX($AB$2:$AQ$1001,MATCH(ROWS($U$2:U781),$U$2:$U$1001,0),MATCH(COLUMNS($AB$1006:AK1006),$AB$1006:$AQ$1006,0)), HYPERLINK("#",""), HYPERLINK(CONCATENATE("#metadata!", ADDRESS(INDEX($W$2:$W$1001,MATCH(ROWS($U$2:U781),$U$2:$U$1001,0),0), INDEX($AB$1004:$AQ$1004,1,MATCH(COLUMNS($AB$1006:AK1006),$AB$1006:$AQ$1006,0)))),"Fix")))</f>
        <v>0</v>
      </c>
      <c r="L781" s="4">
        <f>IF(OR(INDEX($V$2:$V$1001,MATCH(ROWS($U$2:U781),$U$2:$U$1001,0),1)&gt;=100000,INDEX($AB$1005:$AQ$1005,1,MATCH(COLUMNS($AB$1006:AL1006),$AB$1006:$AQ$1006,0))&gt;=100000), " ",IF(INDEX($AB$2:$AQ$1001,MATCH(ROWS($U$2:U781),$U$2:$U$1001,0),MATCH(COLUMNS($AB$1006:AL1006),$AB$1006:$AQ$1006,0)), HYPERLINK("#",""), HYPERLINK(CONCATENATE("#metadata!", ADDRESS(INDEX($W$2:$W$1001,MATCH(ROWS($U$2:U781),$U$2:$U$1001,0),0), INDEX($AB$1004:$AQ$1004,1,MATCH(COLUMNS($AB$1006:AL1006),$AB$1006:$AQ$1006,0)))),"Fix")))</f>
        <v>0</v>
      </c>
      <c r="M781" s="4">
        <f>IF(OR(INDEX($V$2:$V$1001,MATCH(ROWS($U$2:U781),$U$2:$U$1001,0),1)&gt;=100000,INDEX($AB$1005:$AQ$1005,1,MATCH(COLUMNS($AB$1006:AM1006),$AB$1006:$AQ$1006,0))&gt;=100000), " ",IF(INDEX($AB$2:$AQ$1001,MATCH(ROWS($U$2:U781),$U$2:$U$1001,0),MATCH(COLUMNS($AB$1006:AM1006),$AB$1006:$AQ$1006,0)), HYPERLINK("#",""), HYPERLINK(CONCATENATE("#metadata!", ADDRESS(INDEX($W$2:$W$1001,MATCH(ROWS($U$2:U781),$U$2:$U$1001,0),0), INDEX($AB$1004:$AQ$1004,1,MATCH(COLUMNS($AB$1006:AM1006),$AB$1006:$AQ$1006,0)))),"Fix")))</f>
        <v>0</v>
      </c>
      <c r="N781" s="4">
        <f>IF(OR(INDEX($V$2:$V$1001,MATCH(ROWS($U$2:U781),$U$2:$U$1001,0),1)&gt;=100000,INDEX($AB$1005:$AQ$1005,1,MATCH(COLUMNS($AB$1006:AN1006),$AB$1006:$AQ$1006,0))&gt;=100000), " ",IF(INDEX($AB$2:$AQ$1001,MATCH(ROWS($U$2:U781),$U$2:$U$1001,0),MATCH(COLUMNS($AB$1006:AN1006),$AB$1006:$AQ$1006,0)), HYPERLINK("#",""), HYPERLINK(CONCATENATE("#metadata!", ADDRESS(INDEX($W$2:$W$1001,MATCH(ROWS($U$2:U781),$U$2:$U$1001,0),0), INDEX($AB$1004:$AQ$1004,1,MATCH(COLUMNS($AB$1006:AN1006),$AB$1006:$AQ$1006,0)))),"Fix")))</f>
        <v>0</v>
      </c>
      <c r="O781" s="4">
        <f>IF(OR(INDEX($V$2:$V$1001,MATCH(ROWS($U$2:U781),$U$2:$U$1001,0),1)&gt;=100000,INDEX($AB$1005:$AQ$1005,1,MATCH(COLUMNS($AB$1006:AO1006),$AB$1006:$AQ$1006,0))&gt;=100000), " ",IF(INDEX($AB$2:$AQ$1001,MATCH(ROWS($U$2:U781),$U$2:$U$1001,0),MATCH(COLUMNS($AB$1006:AO1006),$AB$1006:$AQ$1006,0)), HYPERLINK("#",""), HYPERLINK(CONCATENATE("#metadata!", ADDRESS(INDEX($W$2:$W$1001,MATCH(ROWS($U$2:U781),$U$2:$U$1001,0),0), INDEX($AB$1004:$AQ$1004,1,MATCH(COLUMNS($AB$1006:AO1006),$AB$1006:$AQ$1006,0)))),"Fix")))</f>
        <v>0</v>
      </c>
      <c r="P781" s="4">
        <f>IF(OR(INDEX($V$2:$V$1001,MATCH(ROWS($U$2:U781),$U$2:$U$1001,0),1)&gt;=100000,INDEX($AB$1005:$AQ$1005,1,MATCH(COLUMNS($AB$1006:AP1006),$AB$1006:$AQ$1006,0))&gt;=100000), " ",IF(INDEX($AB$2:$AQ$1001,MATCH(ROWS($U$2:U781),$U$2:$U$1001,0),MATCH(COLUMNS($AB$1006:AP1006),$AB$1006:$AQ$1006,0)), HYPERLINK("#",""), HYPERLINK(CONCATENATE("#metadata!", ADDRESS(INDEX($W$2:$W$1001,MATCH(ROWS($U$2:U781),$U$2:$U$1001,0),0), INDEX($AB$1004:$AQ$1004,1,MATCH(COLUMNS($AB$1006:AP1006),$AB$1006:$AQ$1006,0)))),"Fix")))</f>
        <v>0</v>
      </c>
      <c r="Q781" s="4">
        <f>IF(OR(INDEX($V$2:$V$1001,MATCH(ROWS($U$2:U781),$U$2:$U$1001,0),1)&gt;=100000,INDEX($AB$1005:$AQ$1005,1,MATCH(COLUMNS($AB$1006:AQ1006),$AB$1006:$AQ$1006,0))&gt;=100000), " ",IF(INDEX($AB$2:$AQ$1001,MATCH(ROWS($U$2:U781),$U$2:$U$1001,0),MATCH(COLUMNS($AB$1006:AQ1006),$AB$1006:$AQ$1006,0)), HYPERLINK("#",""), HYPERLINK(CONCATENATE("#metadata!", ADDRESS(INDEX($W$2:$W$1001,MATCH(ROWS($U$2:U781),$U$2:$U$1001,0),0), INDEX($AB$1004:$AQ$1004,1,MATCH(COLUMNS($AB$1006:AQ1006),$AB$1006:$AQ$1006,0)))),"Fix")))</f>
        <v>0</v>
      </c>
      <c r="U781">
        <v>0</v>
      </c>
      <c r="V781">
        <v>0</v>
      </c>
      <c r="W781">
        <v>0</v>
      </c>
      <c r="X781">
        <f>IF(Y781,TRUE,AND(AB781:AQ781))</f>
        <v>0</v>
      </c>
      <c r="Y781">
        <f>COUNTBLANK(metadata!B781:Q781)=COLUMNS(metadata!B781:Q781)</f>
        <v>0</v>
      </c>
      <c r="Z781">
        <v>0</v>
      </c>
      <c r="AB781">
        <f>AND(IF(metadata!B781="",FALSE,TRUE),COUNTIF(metadata!B:B, metadata!B781) = 1,NOT(ISERROR(SUMPRODUCT(SEARCH(MID(metadata!B781,ROW(INDIRECT("1:"&amp;LEN(metadata!B781))), 1),"0123456789abcdefghijklmnopqrstuvwxyzABCDEFGHIJKLMNOPQRSTUVWXYZ.")))))</f>
        <v>0</v>
      </c>
      <c r="AC781">
        <f>OR(AND(IF(metadata!C781="",FALSE,TRUE),OR(exact(metadata!C781,"missing: not collected"),exact(metadata!C781,"missing: not provided"),exact(metadata!C781,"missing: restricted access"))),AND(IF(metadata!C781="",FALSE,TRUE),AND(AND(IFERROR(INT(LEFT(metadata!C781,4))&gt;1900,FALSE),IFERROR(INT(LEFT(metadata!C781,4))&lt;=YEAR(NOW()),FALSE)), OR(MID(metadata!C781,5,1)="", AND(AND(MID(metadata!C781,5,1)="-",IFERROR(INT(MID(metadata!C781,6,1))&gt;=0,FALSE),IFERROR(INT(MID(metadata!C781,6,1))&lt;=1,FALSE),NOT(MID(metadata!C781,7,1)=""),IFERROR(INT(MID(metadata!C781,6,2))&gt;=1,FALSE),IFERROR(INT(MID(metadata!C781,6,2))&lt;=12,FALSE)), OR(MID(metadata!C781,8,1)="", AND(AND(MID(metadata!C781,8,1)="-",IFERROR(INT(MID(metadata!C781,9,1))&gt;=0,FALSE),IFERROR(INT(MID(metadata!C781,9,1))&lt;=3,FALSE),NOT(MID(metadata!C781,10,1)=""),IFERROR(INT(MID(metadata!C781,9,2))&gt;=1,FALSE),IFERROR(INT(MID(metadata!C781,9,2))&lt;=31,FALSE)), OR(MID(metadata!C781,11,1)="", AND(AND(MID(metadata!C781,11,1)=" ",IFERROR(INT(MID(metadata!C781,12,1))&gt;=0,FALSE),IFERROR(INT(MID(metadata!C781,12,1))&lt;=2,FALSE),NOT(MID(metadata!C781,13,1)=""),IFERROR(INT(MID(metadata!C781,12,2))&gt;=0,FALSE),IFERROR(INT(MID(metadata!C781,12,2))&lt;=23,FALSE)), OR(MID(metadata!C781,14,1)="", AND(AND(MID(metadata!C781,14,1)=":",IFERROR(INT(MID(metadata!C781,15,1))&gt;=0,FALSE),IFERROR(INT(MID(metadata!C781,15,1))&lt;=5,FALSE),NOT(MID(metadata!C781,16,1)=""),IFERROR(INT(MID(metadata!C781,15,2))&gt;=0,FALSE),IFERROR(INT(MID(metadata!C781,15,2))&lt;=59,FALSE)), OR(MID(metadata!C781,17,1)="", AND(AND(MID(metadata!C781,17,1)=":",IFERROR(INT(MID(metadata!C781,18,1))&gt;=0,FALSE),IFERROR(INT(MID(metadata!C781,18,1))&lt;=5,FALSE),NOT(MID(metadata!C781,19,1)=""),IFERROR(INT(MID(metadata!C781,18,2))&gt;=0,FALSE),IFERROR(INT(MID(metadata!C781,18,2))&lt;=59,FALSE)), LEN(metadata!C781)&lt;=19)))))))))))))</f>
        <v>0</v>
      </c>
      <c r="AD781">
        <f>IF(metadata!D781="",FALSE,TRUE)</f>
        <v>0</v>
      </c>
      <c r="AE781">
        <f>OR(AND(IF(metadata!E781="",FALSE,TRUE),OR(exact(metadata!E781,"missing: not collected"),exact(metadata!E781,"missing: not provided"))),AND(IF(metadata!E781="",FALSE,TRUE),OR(exact(metadata!E781,"TRUE"),exact(metadata!E781,"FALSE"))))</f>
        <v>0</v>
      </c>
      <c r="AF781">
        <f>IF(metadata!F781="",FALSE,TRUE)</f>
        <v>0</v>
      </c>
      <c r="AG781">
        <f>IF(metadata!G781="",FALSE,TRUE)</f>
        <v>0</v>
      </c>
      <c r="AH781">
        <f>IF(metadata!H781="",FALSE,TRUE)</f>
        <v>0</v>
      </c>
      <c r="AI781">
        <f>OR(AND(IF(metadata!I781="",FALSE,TRUE),OR(exact(metadata!I781,"missing: not collected"),exact(metadata!I781,"missing: not provided"),exact(metadata!I781,"missing: restricted access"))),AND(IF(metadata!I781="",FALSE,TRUE),OR(exact(metadata!I781,"air"),exact(metadata!I781,"built environment"),exact(metadata!I781,"host-associated"),exact(metadata!I781,"human-associated"),exact(metadata!I781,"human-skin"),exact(metadata!I781,"human-oral"),exact(metadata!I781,"human-gut"),exact(metadata!I781,"human-vaginal"),exact(metadata!I781,"microbial mat/biofilm"),exact(metadata!I781,"misc environment"),exact(metadata!I781,"plant-associated"),exact(metadata!I781,"sediment"),exact(metadata!I781,"soil"),exact(metadata!I781,"wastewater/sludge"),exact(metadata!I781,"water"))))</f>
        <v>0</v>
      </c>
      <c r="AJ781">
        <f>IF(metadata!J781="",FALSE,TRUE)</f>
        <v>0</v>
      </c>
      <c r="AK781">
        <f>OR(AND(IF(metadata!K781="",FALSE,TRUE),OR(exact(metadata!K781,"missing: not collected"),exact(metadata!K781,"missing: not provided"),exact(metadata!K781,"missing: restricted access"))),AND(IF(metadata!K781="",FALSE,ISNUMBER(VALUE(metadata!K781))),metadata!K781&gt;=-90.00,metadata!K781&lt;=90.00))</f>
        <v>0</v>
      </c>
      <c r="AL781">
        <f>OR(AND(IF(metadata!L781="",FALSE,TRUE),OR(exact(metadata!L781,"missing: not collected"),exact(metadata!L781,"missing: not provided"),exact(metadata!L781,"missing: restricted access"))),AND(IF(metadata!L781="",FALSE,ISNUMBER(VALUE(metadata!L781))),metadata!L781&gt;=-180.00,metadata!L781&lt;=180.00))</f>
        <v>0</v>
      </c>
      <c r="AM781">
        <f>IF(metadata!M781="",FALSE,TRUE)</f>
        <v>0</v>
      </c>
      <c r="AN781">
        <f>OR(AND(IF(metadata!N781="",FALSE,TRUE),OR(exact(metadata!N781,"missing: not collected"),exact(metadata!N781,"missing: not provided"),exact(metadata!N781,"missing: restricted access"))),AND(IF(metadata!N781="",FALSE,TRUE),OR(exact(metadata!N781,"TRUE"),exact(metadata!N781,"FALSE"))))</f>
        <v>0</v>
      </c>
      <c r="AO781">
        <f>IF(metadata!O781="",FALSE,TRUE)</f>
        <v>0</v>
      </c>
      <c r="AP781">
        <f>OR(AND(IF(metadata!P781="",FALSE,TRUE),OR(exact(metadata!P781,"missing: not collected"),exact(metadata!P781,"missing: not provided"))),AND(IF(metadata!P781="",FALSE,IF(ISERROR(INT(metadata!P781)),FALSE,INT(metadata!P781)=metadata!P781)),metadata!P781&gt;0))</f>
        <v>0</v>
      </c>
      <c r="AQ781">
        <f>IF(metadata!Q781="",FALSE,TRUE)</f>
        <v>0</v>
      </c>
    </row>
    <row r="782" spans="1:43">
      <c r="A782" s="5">
        <f>IF(B782=" "," ",HYPERLINK(CONCATENATE("#metadata!",ADDRESS(INDEX($W$2:$W$1001,MATCH(ROWS($U$2:U782),$U$2:$U$1001,0),0),1)),INDEX($Z$2:$Z$1001,MATCH(ROWS($U$2:U782),$U$2:$U$1001,0),0)))</f>
        <v>0</v>
      </c>
      <c r="B782" s="4">
        <f>IF(OR(INDEX($V$2:$V$1001,MATCH(ROWS($U$2:U782),$U$2:$U$1001,0),1)&gt;=100000,INDEX($AB$1005:$AQ$1005,1,MATCH(COLUMNS($AB$1006:AB1006),$AB$1006:$AQ$1006,0))&gt;=100000), " ",IF(INDEX($AB$2:$AQ$1001,MATCH(ROWS($U$2:U782),$U$2:$U$1001,0),MATCH(COLUMNS($AB$1006:AB1006),$AB$1006:$AQ$1006,0)), HYPERLINK("#",""), HYPERLINK(CONCATENATE("#metadata!", ADDRESS(INDEX($W$2:$W$1001,MATCH(ROWS($U$2:U782),$U$2:$U$1001,0),0), INDEX($AB$1004:$AQ$1004,1,MATCH(COLUMNS($AB$1006:AB1006),$AB$1006:$AQ$1006,0)))),"Fix")))</f>
        <v>0</v>
      </c>
      <c r="C782" s="4">
        <f>IF(OR(INDEX($V$2:$V$1001,MATCH(ROWS($U$2:U782),$U$2:$U$1001,0),1)&gt;=100000,INDEX($AB$1005:$AQ$1005,1,MATCH(COLUMNS($AB$1006:AC1006),$AB$1006:$AQ$1006,0))&gt;=100000), " ",IF(INDEX($AB$2:$AQ$1001,MATCH(ROWS($U$2:U782),$U$2:$U$1001,0),MATCH(COLUMNS($AB$1006:AC1006),$AB$1006:$AQ$1006,0)), HYPERLINK("#",""), HYPERLINK(CONCATENATE("#metadata!", ADDRESS(INDEX($W$2:$W$1001,MATCH(ROWS($U$2:U782),$U$2:$U$1001,0),0), INDEX($AB$1004:$AQ$1004,1,MATCH(COLUMNS($AB$1006:AC1006),$AB$1006:$AQ$1006,0)))),"Fix")))</f>
        <v>0</v>
      </c>
      <c r="D782" s="4">
        <f>IF(OR(INDEX($V$2:$V$1001,MATCH(ROWS($U$2:U782),$U$2:$U$1001,0),1)&gt;=100000,INDEX($AB$1005:$AQ$1005,1,MATCH(COLUMNS($AB$1006:AD1006),$AB$1006:$AQ$1006,0))&gt;=100000), " ",IF(INDEX($AB$2:$AQ$1001,MATCH(ROWS($U$2:U782),$U$2:$U$1001,0),MATCH(COLUMNS($AB$1006:AD1006),$AB$1006:$AQ$1006,0)), HYPERLINK("#",""), HYPERLINK(CONCATENATE("#metadata!", ADDRESS(INDEX($W$2:$W$1001,MATCH(ROWS($U$2:U782),$U$2:$U$1001,0),0), INDEX($AB$1004:$AQ$1004,1,MATCH(COLUMNS($AB$1006:AD1006),$AB$1006:$AQ$1006,0)))),"Fix")))</f>
        <v>0</v>
      </c>
      <c r="E782" s="4">
        <f>IF(OR(INDEX($V$2:$V$1001,MATCH(ROWS($U$2:U782),$U$2:$U$1001,0),1)&gt;=100000,INDEX($AB$1005:$AQ$1005,1,MATCH(COLUMNS($AB$1006:AE1006),$AB$1006:$AQ$1006,0))&gt;=100000), " ",IF(INDEX($AB$2:$AQ$1001,MATCH(ROWS($U$2:U782),$U$2:$U$1001,0),MATCH(COLUMNS($AB$1006:AE1006),$AB$1006:$AQ$1006,0)), HYPERLINK("#",""), HYPERLINK(CONCATENATE("#metadata!", ADDRESS(INDEX($W$2:$W$1001,MATCH(ROWS($U$2:U782),$U$2:$U$1001,0),0), INDEX($AB$1004:$AQ$1004,1,MATCH(COLUMNS($AB$1006:AE1006),$AB$1006:$AQ$1006,0)))),"Fix")))</f>
        <v>0</v>
      </c>
      <c r="F782" s="4">
        <f>IF(OR(INDEX($V$2:$V$1001,MATCH(ROWS($U$2:U782),$U$2:$U$1001,0),1)&gt;=100000,INDEX($AB$1005:$AQ$1005,1,MATCH(COLUMNS($AB$1006:AF1006),$AB$1006:$AQ$1006,0))&gt;=100000), " ",IF(INDEX($AB$2:$AQ$1001,MATCH(ROWS($U$2:U782),$U$2:$U$1001,0),MATCH(COLUMNS($AB$1006:AF1006),$AB$1006:$AQ$1006,0)), HYPERLINK("#",""), HYPERLINK(CONCATENATE("#metadata!", ADDRESS(INDEX($W$2:$W$1001,MATCH(ROWS($U$2:U782),$U$2:$U$1001,0),0), INDEX($AB$1004:$AQ$1004,1,MATCH(COLUMNS($AB$1006:AF1006),$AB$1006:$AQ$1006,0)))),"Fix")))</f>
        <v>0</v>
      </c>
      <c r="G782" s="4">
        <f>IF(OR(INDEX($V$2:$V$1001,MATCH(ROWS($U$2:U782),$U$2:$U$1001,0),1)&gt;=100000,INDEX($AB$1005:$AQ$1005,1,MATCH(COLUMNS($AB$1006:AG1006),$AB$1006:$AQ$1006,0))&gt;=100000), " ",IF(INDEX($AB$2:$AQ$1001,MATCH(ROWS($U$2:U782),$U$2:$U$1001,0),MATCH(COLUMNS($AB$1006:AG1006),$AB$1006:$AQ$1006,0)), HYPERLINK("#",""), HYPERLINK(CONCATENATE("#metadata!", ADDRESS(INDEX($W$2:$W$1001,MATCH(ROWS($U$2:U782),$U$2:$U$1001,0),0), INDEX($AB$1004:$AQ$1004,1,MATCH(COLUMNS($AB$1006:AG1006),$AB$1006:$AQ$1006,0)))),"Fix")))</f>
        <v>0</v>
      </c>
      <c r="H782" s="4">
        <f>IF(OR(INDEX($V$2:$V$1001,MATCH(ROWS($U$2:U782),$U$2:$U$1001,0),1)&gt;=100000,INDEX($AB$1005:$AQ$1005,1,MATCH(COLUMNS($AB$1006:AH1006),$AB$1006:$AQ$1006,0))&gt;=100000), " ",IF(INDEX($AB$2:$AQ$1001,MATCH(ROWS($U$2:U782),$U$2:$U$1001,0),MATCH(COLUMNS($AB$1006:AH1006),$AB$1006:$AQ$1006,0)), HYPERLINK("#",""), HYPERLINK(CONCATENATE("#metadata!", ADDRESS(INDEX($W$2:$W$1001,MATCH(ROWS($U$2:U782),$U$2:$U$1001,0),0), INDEX($AB$1004:$AQ$1004,1,MATCH(COLUMNS($AB$1006:AH1006),$AB$1006:$AQ$1006,0)))),"Fix")))</f>
        <v>0</v>
      </c>
      <c r="I782" s="4">
        <f>IF(OR(INDEX($V$2:$V$1001,MATCH(ROWS($U$2:U782),$U$2:$U$1001,0),1)&gt;=100000,INDEX($AB$1005:$AQ$1005,1,MATCH(COLUMNS($AB$1006:AI1006),$AB$1006:$AQ$1006,0))&gt;=100000), " ",IF(INDEX($AB$2:$AQ$1001,MATCH(ROWS($U$2:U782),$U$2:$U$1001,0),MATCH(COLUMNS($AB$1006:AI1006),$AB$1006:$AQ$1006,0)), HYPERLINK("#",""), HYPERLINK(CONCATENATE("#metadata!", ADDRESS(INDEX($W$2:$W$1001,MATCH(ROWS($U$2:U782),$U$2:$U$1001,0),0), INDEX($AB$1004:$AQ$1004,1,MATCH(COLUMNS($AB$1006:AI1006),$AB$1006:$AQ$1006,0)))),"Fix")))</f>
        <v>0</v>
      </c>
      <c r="J782" s="4">
        <f>IF(OR(INDEX($V$2:$V$1001,MATCH(ROWS($U$2:U782),$U$2:$U$1001,0),1)&gt;=100000,INDEX($AB$1005:$AQ$1005,1,MATCH(COLUMNS($AB$1006:AJ1006),$AB$1006:$AQ$1006,0))&gt;=100000), " ",IF(INDEX($AB$2:$AQ$1001,MATCH(ROWS($U$2:U782),$U$2:$U$1001,0),MATCH(COLUMNS($AB$1006:AJ1006),$AB$1006:$AQ$1006,0)), HYPERLINK("#",""), HYPERLINK(CONCATENATE("#metadata!", ADDRESS(INDEX($W$2:$W$1001,MATCH(ROWS($U$2:U782),$U$2:$U$1001,0),0), INDEX($AB$1004:$AQ$1004,1,MATCH(COLUMNS($AB$1006:AJ1006),$AB$1006:$AQ$1006,0)))),"Fix")))</f>
        <v>0</v>
      </c>
      <c r="K782" s="4">
        <f>IF(OR(INDEX($V$2:$V$1001,MATCH(ROWS($U$2:U782),$U$2:$U$1001,0),1)&gt;=100000,INDEX($AB$1005:$AQ$1005,1,MATCH(COLUMNS($AB$1006:AK1006),$AB$1006:$AQ$1006,0))&gt;=100000), " ",IF(INDEX($AB$2:$AQ$1001,MATCH(ROWS($U$2:U782),$U$2:$U$1001,0),MATCH(COLUMNS($AB$1006:AK1006),$AB$1006:$AQ$1006,0)), HYPERLINK("#",""), HYPERLINK(CONCATENATE("#metadata!", ADDRESS(INDEX($W$2:$W$1001,MATCH(ROWS($U$2:U782),$U$2:$U$1001,0),0), INDEX($AB$1004:$AQ$1004,1,MATCH(COLUMNS($AB$1006:AK1006),$AB$1006:$AQ$1006,0)))),"Fix")))</f>
        <v>0</v>
      </c>
      <c r="L782" s="4">
        <f>IF(OR(INDEX($V$2:$V$1001,MATCH(ROWS($U$2:U782),$U$2:$U$1001,0),1)&gt;=100000,INDEX($AB$1005:$AQ$1005,1,MATCH(COLUMNS($AB$1006:AL1006),$AB$1006:$AQ$1006,0))&gt;=100000), " ",IF(INDEX($AB$2:$AQ$1001,MATCH(ROWS($U$2:U782),$U$2:$U$1001,0),MATCH(COLUMNS($AB$1006:AL1006),$AB$1006:$AQ$1006,0)), HYPERLINK("#",""), HYPERLINK(CONCATENATE("#metadata!", ADDRESS(INDEX($W$2:$W$1001,MATCH(ROWS($U$2:U782),$U$2:$U$1001,0),0), INDEX($AB$1004:$AQ$1004,1,MATCH(COLUMNS($AB$1006:AL1006),$AB$1006:$AQ$1006,0)))),"Fix")))</f>
        <v>0</v>
      </c>
      <c r="M782" s="4">
        <f>IF(OR(INDEX($V$2:$V$1001,MATCH(ROWS($U$2:U782),$U$2:$U$1001,0),1)&gt;=100000,INDEX($AB$1005:$AQ$1005,1,MATCH(COLUMNS($AB$1006:AM1006),$AB$1006:$AQ$1006,0))&gt;=100000), " ",IF(INDEX($AB$2:$AQ$1001,MATCH(ROWS($U$2:U782),$U$2:$U$1001,0),MATCH(COLUMNS($AB$1006:AM1006),$AB$1006:$AQ$1006,0)), HYPERLINK("#",""), HYPERLINK(CONCATENATE("#metadata!", ADDRESS(INDEX($W$2:$W$1001,MATCH(ROWS($U$2:U782),$U$2:$U$1001,0),0), INDEX($AB$1004:$AQ$1004,1,MATCH(COLUMNS($AB$1006:AM1006),$AB$1006:$AQ$1006,0)))),"Fix")))</f>
        <v>0</v>
      </c>
      <c r="N782" s="4">
        <f>IF(OR(INDEX($V$2:$V$1001,MATCH(ROWS($U$2:U782),$U$2:$U$1001,0),1)&gt;=100000,INDEX($AB$1005:$AQ$1005,1,MATCH(COLUMNS($AB$1006:AN1006),$AB$1006:$AQ$1006,0))&gt;=100000), " ",IF(INDEX($AB$2:$AQ$1001,MATCH(ROWS($U$2:U782),$U$2:$U$1001,0),MATCH(COLUMNS($AB$1006:AN1006),$AB$1006:$AQ$1006,0)), HYPERLINK("#",""), HYPERLINK(CONCATENATE("#metadata!", ADDRESS(INDEX($W$2:$W$1001,MATCH(ROWS($U$2:U782),$U$2:$U$1001,0),0), INDEX($AB$1004:$AQ$1004,1,MATCH(COLUMNS($AB$1006:AN1006),$AB$1006:$AQ$1006,0)))),"Fix")))</f>
        <v>0</v>
      </c>
      <c r="O782" s="4">
        <f>IF(OR(INDEX($V$2:$V$1001,MATCH(ROWS($U$2:U782),$U$2:$U$1001,0),1)&gt;=100000,INDEX($AB$1005:$AQ$1005,1,MATCH(COLUMNS($AB$1006:AO1006),$AB$1006:$AQ$1006,0))&gt;=100000), " ",IF(INDEX($AB$2:$AQ$1001,MATCH(ROWS($U$2:U782),$U$2:$U$1001,0),MATCH(COLUMNS($AB$1006:AO1006),$AB$1006:$AQ$1006,0)), HYPERLINK("#",""), HYPERLINK(CONCATENATE("#metadata!", ADDRESS(INDEX($W$2:$W$1001,MATCH(ROWS($U$2:U782),$U$2:$U$1001,0),0), INDEX($AB$1004:$AQ$1004,1,MATCH(COLUMNS($AB$1006:AO1006),$AB$1006:$AQ$1006,0)))),"Fix")))</f>
        <v>0</v>
      </c>
      <c r="P782" s="4">
        <f>IF(OR(INDEX($V$2:$V$1001,MATCH(ROWS($U$2:U782),$U$2:$U$1001,0),1)&gt;=100000,INDEX($AB$1005:$AQ$1005,1,MATCH(COLUMNS($AB$1006:AP1006),$AB$1006:$AQ$1006,0))&gt;=100000), " ",IF(INDEX($AB$2:$AQ$1001,MATCH(ROWS($U$2:U782),$U$2:$U$1001,0),MATCH(COLUMNS($AB$1006:AP1006),$AB$1006:$AQ$1006,0)), HYPERLINK("#",""), HYPERLINK(CONCATENATE("#metadata!", ADDRESS(INDEX($W$2:$W$1001,MATCH(ROWS($U$2:U782),$U$2:$U$1001,0),0), INDEX($AB$1004:$AQ$1004,1,MATCH(COLUMNS($AB$1006:AP1006),$AB$1006:$AQ$1006,0)))),"Fix")))</f>
        <v>0</v>
      </c>
      <c r="Q782" s="4">
        <f>IF(OR(INDEX($V$2:$V$1001,MATCH(ROWS($U$2:U782),$U$2:$U$1001,0),1)&gt;=100000,INDEX($AB$1005:$AQ$1005,1,MATCH(COLUMNS($AB$1006:AQ1006),$AB$1006:$AQ$1006,0))&gt;=100000), " ",IF(INDEX($AB$2:$AQ$1001,MATCH(ROWS($U$2:U782),$U$2:$U$1001,0),MATCH(COLUMNS($AB$1006:AQ1006),$AB$1006:$AQ$1006,0)), HYPERLINK("#",""), HYPERLINK(CONCATENATE("#metadata!", ADDRESS(INDEX($W$2:$W$1001,MATCH(ROWS($U$2:U782),$U$2:$U$1001,0),0), INDEX($AB$1004:$AQ$1004,1,MATCH(COLUMNS($AB$1006:AQ1006),$AB$1006:$AQ$1006,0)))),"Fix")))</f>
        <v>0</v>
      </c>
      <c r="U782">
        <v>0</v>
      </c>
      <c r="V782">
        <v>0</v>
      </c>
      <c r="W782">
        <v>0</v>
      </c>
      <c r="X782">
        <f>IF(Y782,TRUE,AND(AB782:AQ782))</f>
        <v>0</v>
      </c>
      <c r="Y782">
        <f>COUNTBLANK(metadata!B782:Q782)=COLUMNS(metadata!B782:Q782)</f>
        <v>0</v>
      </c>
      <c r="Z782">
        <v>0</v>
      </c>
      <c r="AB782">
        <f>AND(IF(metadata!B782="",FALSE,TRUE),COUNTIF(metadata!B:B, metadata!B782) = 1,NOT(ISERROR(SUMPRODUCT(SEARCH(MID(metadata!B782,ROW(INDIRECT("1:"&amp;LEN(metadata!B782))), 1),"0123456789abcdefghijklmnopqrstuvwxyzABCDEFGHIJKLMNOPQRSTUVWXYZ.")))))</f>
        <v>0</v>
      </c>
      <c r="AC782">
        <f>OR(AND(IF(metadata!C782="",FALSE,TRUE),OR(exact(metadata!C782,"missing: not collected"),exact(metadata!C782,"missing: not provided"),exact(metadata!C782,"missing: restricted access"))),AND(IF(metadata!C782="",FALSE,TRUE),AND(AND(IFERROR(INT(LEFT(metadata!C782,4))&gt;1900,FALSE),IFERROR(INT(LEFT(metadata!C782,4))&lt;=YEAR(NOW()),FALSE)), OR(MID(metadata!C782,5,1)="", AND(AND(MID(metadata!C782,5,1)="-",IFERROR(INT(MID(metadata!C782,6,1))&gt;=0,FALSE),IFERROR(INT(MID(metadata!C782,6,1))&lt;=1,FALSE),NOT(MID(metadata!C782,7,1)=""),IFERROR(INT(MID(metadata!C782,6,2))&gt;=1,FALSE),IFERROR(INT(MID(metadata!C782,6,2))&lt;=12,FALSE)), OR(MID(metadata!C782,8,1)="", AND(AND(MID(metadata!C782,8,1)="-",IFERROR(INT(MID(metadata!C782,9,1))&gt;=0,FALSE),IFERROR(INT(MID(metadata!C782,9,1))&lt;=3,FALSE),NOT(MID(metadata!C782,10,1)=""),IFERROR(INT(MID(metadata!C782,9,2))&gt;=1,FALSE),IFERROR(INT(MID(metadata!C782,9,2))&lt;=31,FALSE)), OR(MID(metadata!C782,11,1)="", AND(AND(MID(metadata!C782,11,1)=" ",IFERROR(INT(MID(metadata!C782,12,1))&gt;=0,FALSE),IFERROR(INT(MID(metadata!C782,12,1))&lt;=2,FALSE),NOT(MID(metadata!C782,13,1)=""),IFERROR(INT(MID(metadata!C782,12,2))&gt;=0,FALSE),IFERROR(INT(MID(metadata!C782,12,2))&lt;=23,FALSE)), OR(MID(metadata!C782,14,1)="", AND(AND(MID(metadata!C782,14,1)=":",IFERROR(INT(MID(metadata!C782,15,1))&gt;=0,FALSE),IFERROR(INT(MID(metadata!C782,15,1))&lt;=5,FALSE),NOT(MID(metadata!C782,16,1)=""),IFERROR(INT(MID(metadata!C782,15,2))&gt;=0,FALSE),IFERROR(INT(MID(metadata!C782,15,2))&lt;=59,FALSE)), OR(MID(metadata!C782,17,1)="", AND(AND(MID(metadata!C782,17,1)=":",IFERROR(INT(MID(metadata!C782,18,1))&gt;=0,FALSE),IFERROR(INT(MID(metadata!C782,18,1))&lt;=5,FALSE),NOT(MID(metadata!C782,19,1)=""),IFERROR(INT(MID(metadata!C782,18,2))&gt;=0,FALSE),IFERROR(INT(MID(metadata!C782,18,2))&lt;=59,FALSE)), LEN(metadata!C782)&lt;=19)))))))))))))</f>
        <v>0</v>
      </c>
      <c r="AD782">
        <f>IF(metadata!D782="",FALSE,TRUE)</f>
        <v>0</v>
      </c>
      <c r="AE782">
        <f>OR(AND(IF(metadata!E782="",FALSE,TRUE),OR(exact(metadata!E782,"missing: not collected"),exact(metadata!E782,"missing: not provided"))),AND(IF(metadata!E782="",FALSE,TRUE),OR(exact(metadata!E782,"TRUE"),exact(metadata!E782,"FALSE"))))</f>
        <v>0</v>
      </c>
      <c r="AF782">
        <f>IF(metadata!F782="",FALSE,TRUE)</f>
        <v>0</v>
      </c>
      <c r="AG782">
        <f>IF(metadata!G782="",FALSE,TRUE)</f>
        <v>0</v>
      </c>
      <c r="AH782">
        <f>IF(metadata!H782="",FALSE,TRUE)</f>
        <v>0</v>
      </c>
      <c r="AI782">
        <f>OR(AND(IF(metadata!I782="",FALSE,TRUE),OR(exact(metadata!I782,"missing: not collected"),exact(metadata!I782,"missing: not provided"),exact(metadata!I782,"missing: restricted access"))),AND(IF(metadata!I782="",FALSE,TRUE),OR(exact(metadata!I782,"air"),exact(metadata!I782,"built environment"),exact(metadata!I782,"host-associated"),exact(metadata!I782,"human-associated"),exact(metadata!I782,"human-skin"),exact(metadata!I782,"human-oral"),exact(metadata!I782,"human-gut"),exact(metadata!I782,"human-vaginal"),exact(metadata!I782,"microbial mat/biofilm"),exact(metadata!I782,"misc environment"),exact(metadata!I782,"plant-associated"),exact(metadata!I782,"sediment"),exact(metadata!I782,"soil"),exact(metadata!I782,"wastewater/sludge"),exact(metadata!I782,"water"))))</f>
        <v>0</v>
      </c>
      <c r="AJ782">
        <f>IF(metadata!J782="",FALSE,TRUE)</f>
        <v>0</v>
      </c>
      <c r="AK782">
        <f>OR(AND(IF(metadata!K782="",FALSE,TRUE),OR(exact(metadata!K782,"missing: not collected"),exact(metadata!K782,"missing: not provided"),exact(metadata!K782,"missing: restricted access"))),AND(IF(metadata!K782="",FALSE,ISNUMBER(VALUE(metadata!K782))),metadata!K782&gt;=-90.00,metadata!K782&lt;=90.00))</f>
        <v>0</v>
      </c>
      <c r="AL782">
        <f>OR(AND(IF(metadata!L782="",FALSE,TRUE),OR(exact(metadata!L782,"missing: not collected"),exact(metadata!L782,"missing: not provided"),exact(metadata!L782,"missing: restricted access"))),AND(IF(metadata!L782="",FALSE,ISNUMBER(VALUE(metadata!L782))),metadata!L782&gt;=-180.00,metadata!L782&lt;=180.00))</f>
        <v>0</v>
      </c>
      <c r="AM782">
        <f>IF(metadata!M782="",FALSE,TRUE)</f>
        <v>0</v>
      </c>
      <c r="AN782">
        <f>OR(AND(IF(metadata!N782="",FALSE,TRUE),OR(exact(metadata!N782,"missing: not collected"),exact(metadata!N782,"missing: not provided"),exact(metadata!N782,"missing: restricted access"))),AND(IF(metadata!N782="",FALSE,TRUE),OR(exact(metadata!N782,"TRUE"),exact(metadata!N782,"FALSE"))))</f>
        <v>0</v>
      </c>
      <c r="AO782">
        <f>IF(metadata!O782="",FALSE,TRUE)</f>
        <v>0</v>
      </c>
      <c r="AP782">
        <f>OR(AND(IF(metadata!P782="",FALSE,TRUE),OR(exact(metadata!P782,"missing: not collected"),exact(metadata!P782,"missing: not provided"))),AND(IF(metadata!P782="",FALSE,IF(ISERROR(INT(metadata!P782)),FALSE,INT(metadata!P782)=metadata!P782)),metadata!P782&gt;0))</f>
        <v>0</v>
      </c>
      <c r="AQ782">
        <f>IF(metadata!Q782="",FALSE,TRUE)</f>
        <v>0</v>
      </c>
    </row>
    <row r="783" spans="1:43">
      <c r="A783" s="5">
        <f>IF(B783=" "," ",HYPERLINK(CONCATENATE("#metadata!",ADDRESS(INDEX($W$2:$W$1001,MATCH(ROWS($U$2:U783),$U$2:$U$1001,0),0),1)),INDEX($Z$2:$Z$1001,MATCH(ROWS($U$2:U783),$U$2:$U$1001,0),0)))</f>
        <v>0</v>
      </c>
      <c r="B783" s="4">
        <f>IF(OR(INDEX($V$2:$V$1001,MATCH(ROWS($U$2:U783),$U$2:$U$1001,0),1)&gt;=100000,INDEX($AB$1005:$AQ$1005,1,MATCH(COLUMNS($AB$1006:AB1006),$AB$1006:$AQ$1006,0))&gt;=100000), " ",IF(INDEX($AB$2:$AQ$1001,MATCH(ROWS($U$2:U783),$U$2:$U$1001,0),MATCH(COLUMNS($AB$1006:AB1006),$AB$1006:$AQ$1006,0)), HYPERLINK("#",""), HYPERLINK(CONCATENATE("#metadata!", ADDRESS(INDEX($W$2:$W$1001,MATCH(ROWS($U$2:U783),$U$2:$U$1001,0),0), INDEX($AB$1004:$AQ$1004,1,MATCH(COLUMNS($AB$1006:AB1006),$AB$1006:$AQ$1006,0)))),"Fix")))</f>
        <v>0</v>
      </c>
      <c r="C783" s="4">
        <f>IF(OR(INDEX($V$2:$V$1001,MATCH(ROWS($U$2:U783),$U$2:$U$1001,0),1)&gt;=100000,INDEX($AB$1005:$AQ$1005,1,MATCH(COLUMNS($AB$1006:AC1006),$AB$1006:$AQ$1006,0))&gt;=100000), " ",IF(INDEX($AB$2:$AQ$1001,MATCH(ROWS($U$2:U783),$U$2:$U$1001,0),MATCH(COLUMNS($AB$1006:AC1006),$AB$1006:$AQ$1006,0)), HYPERLINK("#",""), HYPERLINK(CONCATENATE("#metadata!", ADDRESS(INDEX($W$2:$W$1001,MATCH(ROWS($U$2:U783),$U$2:$U$1001,0),0), INDEX($AB$1004:$AQ$1004,1,MATCH(COLUMNS($AB$1006:AC1006),$AB$1006:$AQ$1006,0)))),"Fix")))</f>
        <v>0</v>
      </c>
      <c r="D783" s="4">
        <f>IF(OR(INDEX($V$2:$V$1001,MATCH(ROWS($U$2:U783),$U$2:$U$1001,0),1)&gt;=100000,INDEX($AB$1005:$AQ$1005,1,MATCH(COLUMNS($AB$1006:AD1006),$AB$1006:$AQ$1006,0))&gt;=100000), " ",IF(INDEX($AB$2:$AQ$1001,MATCH(ROWS($U$2:U783),$U$2:$U$1001,0),MATCH(COLUMNS($AB$1006:AD1006),$AB$1006:$AQ$1006,0)), HYPERLINK("#",""), HYPERLINK(CONCATENATE("#metadata!", ADDRESS(INDEX($W$2:$W$1001,MATCH(ROWS($U$2:U783),$U$2:$U$1001,0),0), INDEX($AB$1004:$AQ$1004,1,MATCH(COLUMNS($AB$1006:AD1006),$AB$1006:$AQ$1006,0)))),"Fix")))</f>
        <v>0</v>
      </c>
      <c r="E783" s="4">
        <f>IF(OR(INDEX($V$2:$V$1001,MATCH(ROWS($U$2:U783),$U$2:$U$1001,0),1)&gt;=100000,INDEX($AB$1005:$AQ$1005,1,MATCH(COLUMNS($AB$1006:AE1006),$AB$1006:$AQ$1006,0))&gt;=100000), " ",IF(INDEX($AB$2:$AQ$1001,MATCH(ROWS($U$2:U783),$U$2:$U$1001,0),MATCH(COLUMNS($AB$1006:AE1006),$AB$1006:$AQ$1006,0)), HYPERLINK("#",""), HYPERLINK(CONCATENATE("#metadata!", ADDRESS(INDEX($W$2:$W$1001,MATCH(ROWS($U$2:U783),$U$2:$U$1001,0),0), INDEX($AB$1004:$AQ$1004,1,MATCH(COLUMNS($AB$1006:AE1006),$AB$1006:$AQ$1006,0)))),"Fix")))</f>
        <v>0</v>
      </c>
      <c r="F783" s="4">
        <f>IF(OR(INDEX($V$2:$V$1001,MATCH(ROWS($U$2:U783),$U$2:$U$1001,0),1)&gt;=100000,INDEX($AB$1005:$AQ$1005,1,MATCH(COLUMNS($AB$1006:AF1006),$AB$1006:$AQ$1006,0))&gt;=100000), " ",IF(INDEX($AB$2:$AQ$1001,MATCH(ROWS($U$2:U783),$U$2:$U$1001,0),MATCH(COLUMNS($AB$1006:AF1006),$AB$1006:$AQ$1006,0)), HYPERLINK("#",""), HYPERLINK(CONCATENATE("#metadata!", ADDRESS(INDEX($W$2:$W$1001,MATCH(ROWS($U$2:U783),$U$2:$U$1001,0),0), INDEX($AB$1004:$AQ$1004,1,MATCH(COLUMNS($AB$1006:AF1006),$AB$1006:$AQ$1006,0)))),"Fix")))</f>
        <v>0</v>
      </c>
      <c r="G783" s="4">
        <f>IF(OR(INDEX($V$2:$V$1001,MATCH(ROWS($U$2:U783),$U$2:$U$1001,0),1)&gt;=100000,INDEX($AB$1005:$AQ$1005,1,MATCH(COLUMNS($AB$1006:AG1006),$AB$1006:$AQ$1006,0))&gt;=100000), " ",IF(INDEX($AB$2:$AQ$1001,MATCH(ROWS($U$2:U783),$U$2:$U$1001,0),MATCH(COLUMNS($AB$1006:AG1006),$AB$1006:$AQ$1006,0)), HYPERLINK("#",""), HYPERLINK(CONCATENATE("#metadata!", ADDRESS(INDEX($W$2:$W$1001,MATCH(ROWS($U$2:U783),$U$2:$U$1001,0),0), INDEX($AB$1004:$AQ$1004,1,MATCH(COLUMNS($AB$1006:AG1006),$AB$1006:$AQ$1006,0)))),"Fix")))</f>
        <v>0</v>
      </c>
      <c r="H783" s="4">
        <f>IF(OR(INDEX($V$2:$V$1001,MATCH(ROWS($U$2:U783),$U$2:$U$1001,0),1)&gt;=100000,INDEX($AB$1005:$AQ$1005,1,MATCH(COLUMNS($AB$1006:AH1006),$AB$1006:$AQ$1006,0))&gt;=100000), " ",IF(INDEX($AB$2:$AQ$1001,MATCH(ROWS($U$2:U783),$U$2:$U$1001,0),MATCH(COLUMNS($AB$1006:AH1006),$AB$1006:$AQ$1006,0)), HYPERLINK("#",""), HYPERLINK(CONCATENATE("#metadata!", ADDRESS(INDEX($W$2:$W$1001,MATCH(ROWS($U$2:U783),$U$2:$U$1001,0),0), INDEX($AB$1004:$AQ$1004,1,MATCH(COLUMNS($AB$1006:AH1006),$AB$1006:$AQ$1006,0)))),"Fix")))</f>
        <v>0</v>
      </c>
      <c r="I783" s="4">
        <f>IF(OR(INDEX($V$2:$V$1001,MATCH(ROWS($U$2:U783),$U$2:$U$1001,0),1)&gt;=100000,INDEX($AB$1005:$AQ$1005,1,MATCH(COLUMNS($AB$1006:AI1006),$AB$1006:$AQ$1006,0))&gt;=100000), " ",IF(INDEX($AB$2:$AQ$1001,MATCH(ROWS($U$2:U783),$U$2:$U$1001,0),MATCH(COLUMNS($AB$1006:AI1006),$AB$1006:$AQ$1006,0)), HYPERLINK("#",""), HYPERLINK(CONCATENATE("#metadata!", ADDRESS(INDEX($W$2:$W$1001,MATCH(ROWS($U$2:U783),$U$2:$U$1001,0),0), INDEX($AB$1004:$AQ$1004,1,MATCH(COLUMNS($AB$1006:AI1006),$AB$1006:$AQ$1006,0)))),"Fix")))</f>
        <v>0</v>
      </c>
      <c r="J783" s="4">
        <f>IF(OR(INDEX($V$2:$V$1001,MATCH(ROWS($U$2:U783),$U$2:$U$1001,0),1)&gt;=100000,INDEX($AB$1005:$AQ$1005,1,MATCH(COLUMNS($AB$1006:AJ1006),$AB$1006:$AQ$1006,0))&gt;=100000), " ",IF(INDEX($AB$2:$AQ$1001,MATCH(ROWS($U$2:U783),$U$2:$U$1001,0),MATCH(COLUMNS($AB$1006:AJ1006),$AB$1006:$AQ$1006,0)), HYPERLINK("#",""), HYPERLINK(CONCATENATE("#metadata!", ADDRESS(INDEX($W$2:$W$1001,MATCH(ROWS($U$2:U783),$U$2:$U$1001,0),0), INDEX($AB$1004:$AQ$1004,1,MATCH(COLUMNS($AB$1006:AJ1006),$AB$1006:$AQ$1006,0)))),"Fix")))</f>
        <v>0</v>
      </c>
      <c r="K783" s="4">
        <f>IF(OR(INDEX($V$2:$V$1001,MATCH(ROWS($U$2:U783),$U$2:$U$1001,0),1)&gt;=100000,INDEX($AB$1005:$AQ$1005,1,MATCH(COLUMNS($AB$1006:AK1006),$AB$1006:$AQ$1006,0))&gt;=100000), " ",IF(INDEX($AB$2:$AQ$1001,MATCH(ROWS($U$2:U783),$U$2:$U$1001,0),MATCH(COLUMNS($AB$1006:AK1006),$AB$1006:$AQ$1006,0)), HYPERLINK("#",""), HYPERLINK(CONCATENATE("#metadata!", ADDRESS(INDEX($W$2:$W$1001,MATCH(ROWS($U$2:U783),$U$2:$U$1001,0),0), INDEX($AB$1004:$AQ$1004,1,MATCH(COLUMNS($AB$1006:AK1006),$AB$1006:$AQ$1006,0)))),"Fix")))</f>
        <v>0</v>
      </c>
      <c r="L783" s="4">
        <f>IF(OR(INDEX($V$2:$V$1001,MATCH(ROWS($U$2:U783),$U$2:$U$1001,0),1)&gt;=100000,INDEX($AB$1005:$AQ$1005,1,MATCH(COLUMNS($AB$1006:AL1006),$AB$1006:$AQ$1006,0))&gt;=100000), " ",IF(INDEX($AB$2:$AQ$1001,MATCH(ROWS($U$2:U783),$U$2:$U$1001,0),MATCH(COLUMNS($AB$1006:AL1006),$AB$1006:$AQ$1006,0)), HYPERLINK("#",""), HYPERLINK(CONCATENATE("#metadata!", ADDRESS(INDEX($W$2:$W$1001,MATCH(ROWS($U$2:U783),$U$2:$U$1001,0),0), INDEX($AB$1004:$AQ$1004,1,MATCH(COLUMNS($AB$1006:AL1006),$AB$1006:$AQ$1006,0)))),"Fix")))</f>
        <v>0</v>
      </c>
      <c r="M783" s="4">
        <f>IF(OR(INDEX($V$2:$V$1001,MATCH(ROWS($U$2:U783),$U$2:$U$1001,0),1)&gt;=100000,INDEX($AB$1005:$AQ$1005,1,MATCH(COLUMNS($AB$1006:AM1006),$AB$1006:$AQ$1006,0))&gt;=100000), " ",IF(INDEX($AB$2:$AQ$1001,MATCH(ROWS($U$2:U783),$U$2:$U$1001,0),MATCH(COLUMNS($AB$1006:AM1006),$AB$1006:$AQ$1006,0)), HYPERLINK("#",""), HYPERLINK(CONCATENATE("#metadata!", ADDRESS(INDEX($W$2:$W$1001,MATCH(ROWS($U$2:U783),$U$2:$U$1001,0),0), INDEX($AB$1004:$AQ$1004,1,MATCH(COLUMNS($AB$1006:AM1006),$AB$1006:$AQ$1006,0)))),"Fix")))</f>
        <v>0</v>
      </c>
      <c r="N783" s="4">
        <f>IF(OR(INDEX($V$2:$V$1001,MATCH(ROWS($U$2:U783),$U$2:$U$1001,0),1)&gt;=100000,INDEX($AB$1005:$AQ$1005,1,MATCH(COLUMNS($AB$1006:AN1006),$AB$1006:$AQ$1006,0))&gt;=100000), " ",IF(INDEX($AB$2:$AQ$1001,MATCH(ROWS($U$2:U783),$U$2:$U$1001,0),MATCH(COLUMNS($AB$1006:AN1006),$AB$1006:$AQ$1006,0)), HYPERLINK("#",""), HYPERLINK(CONCATENATE("#metadata!", ADDRESS(INDEX($W$2:$W$1001,MATCH(ROWS($U$2:U783),$U$2:$U$1001,0),0), INDEX($AB$1004:$AQ$1004,1,MATCH(COLUMNS($AB$1006:AN1006),$AB$1006:$AQ$1006,0)))),"Fix")))</f>
        <v>0</v>
      </c>
      <c r="O783" s="4">
        <f>IF(OR(INDEX($V$2:$V$1001,MATCH(ROWS($U$2:U783),$U$2:$U$1001,0),1)&gt;=100000,INDEX($AB$1005:$AQ$1005,1,MATCH(COLUMNS($AB$1006:AO1006),$AB$1006:$AQ$1006,0))&gt;=100000), " ",IF(INDEX($AB$2:$AQ$1001,MATCH(ROWS($U$2:U783),$U$2:$U$1001,0),MATCH(COLUMNS($AB$1006:AO1006),$AB$1006:$AQ$1006,0)), HYPERLINK("#",""), HYPERLINK(CONCATENATE("#metadata!", ADDRESS(INDEX($W$2:$W$1001,MATCH(ROWS($U$2:U783),$U$2:$U$1001,0),0), INDEX($AB$1004:$AQ$1004,1,MATCH(COLUMNS($AB$1006:AO1006),$AB$1006:$AQ$1006,0)))),"Fix")))</f>
        <v>0</v>
      </c>
      <c r="P783" s="4">
        <f>IF(OR(INDEX($V$2:$V$1001,MATCH(ROWS($U$2:U783),$U$2:$U$1001,0),1)&gt;=100000,INDEX($AB$1005:$AQ$1005,1,MATCH(COLUMNS($AB$1006:AP1006),$AB$1006:$AQ$1006,0))&gt;=100000), " ",IF(INDEX($AB$2:$AQ$1001,MATCH(ROWS($U$2:U783),$U$2:$U$1001,0),MATCH(COLUMNS($AB$1006:AP1006),$AB$1006:$AQ$1006,0)), HYPERLINK("#",""), HYPERLINK(CONCATENATE("#metadata!", ADDRESS(INDEX($W$2:$W$1001,MATCH(ROWS($U$2:U783),$U$2:$U$1001,0),0), INDEX($AB$1004:$AQ$1004,1,MATCH(COLUMNS($AB$1006:AP1006),$AB$1006:$AQ$1006,0)))),"Fix")))</f>
        <v>0</v>
      </c>
      <c r="Q783" s="4">
        <f>IF(OR(INDEX($V$2:$V$1001,MATCH(ROWS($U$2:U783),$U$2:$U$1001,0),1)&gt;=100000,INDEX($AB$1005:$AQ$1005,1,MATCH(COLUMNS($AB$1006:AQ1006),$AB$1006:$AQ$1006,0))&gt;=100000), " ",IF(INDEX($AB$2:$AQ$1001,MATCH(ROWS($U$2:U783),$U$2:$U$1001,0),MATCH(COLUMNS($AB$1006:AQ1006),$AB$1006:$AQ$1006,0)), HYPERLINK("#",""), HYPERLINK(CONCATENATE("#metadata!", ADDRESS(INDEX($W$2:$W$1001,MATCH(ROWS($U$2:U783),$U$2:$U$1001,0),0), INDEX($AB$1004:$AQ$1004,1,MATCH(COLUMNS($AB$1006:AQ1006),$AB$1006:$AQ$1006,0)))),"Fix")))</f>
        <v>0</v>
      </c>
      <c r="U783">
        <v>0</v>
      </c>
      <c r="V783">
        <v>0</v>
      </c>
      <c r="W783">
        <v>0</v>
      </c>
      <c r="X783">
        <f>IF(Y783,TRUE,AND(AB783:AQ783))</f>
        <v>0</v>
      </c>
      <c r="Y783">
        <f>COUNTBLANK(metadata!B783:Q783)=COLUMNS(metadata!B783:Q783)</f>
        <v>0</v>
      </c>
      <c r="Z783">
        <v>0</v>
      </c>
      <c r="AB783">
        <f>AND(IF(metadata!B783="",FALSE,TRUE),COUNTIF(metadata!B:B, metadata!B783) = 1,NOT(ISERROR(SUMPRODUCT(SEARCH(MID(metadata!B783,ROW(INDIRECT("1:"&amp;LEN(metadata!B783))), 1),"0123456789abcdefghijklmnopqrstuvwxyzABCDEFGHIJKLMNOPQRSTUVWXYZ.")))))</f>
        <v>0</v>
      </c>
      <c r="AC783">
        <f>OR(AND(IF(metadata!C783="",FALSE,TRUE),OR(exact(metadata!C783,"missing: not collected"),exact(metadata!C783,"missing: not provided"),exact(metadata!C783,"missing: restricted access"))),AND(IF(metadata!C783="",FALSE,TRUE),AND(AND(IFERROR(INT(LEFT(metadata!C783,4))&gt;1900,FALSE),IFERROR(INT(LEFT(metadata!C783,4))&lt;=YEAR(NOW()),FALSE)), OR(MID(metadata!C783,5,1)="", AND(AND(MID(metadata!C783,5,1)="-",IFERROR(INT(MID(metadata!C783,6,1))&gt;=0,FALSE),IFERROR(INT(MID(metadata!C783,6,1))&lt;=1,FALSE),NOT(MID(metadata!C783,7,1)=""),IFERROR(INT(MID(metadata!C783,6,2))&gt;=1,FALSE),IFERROR(INT(MID(metadata!C783,6,2))&lt;=12,FALSE)), OR(MID(metadata!C783,8,1)="", AND(AND(MID(metadata!C783,8,1)="-",IFERROR(INT(MID(metadata!C783,9,1))&gt;=0,FALSE),IFERROR(INT(MID(metadata!C783,9,1))&lt;=3,FALSE),NOT(MID(metadata!C783,10,1)=""),IFERROR(INT(MID(metadata!C783,9,2))&gt;=1,FALSE),IFERROR(INT(MID(metadata!C783,9,2))&lt;=31,FALSE)), OR(MID(metadata!C783,11,1)="", AND(AND(MID(metadata!C783,11,1)=" ",IFERROR(INT(MID(metadata!C783,12,1))&gt;=0,FALSE),IFERROR(INT(MID(metadata!C783,12,1))&lt;=2,FALSE),NOT(MID(metadata!C783,13,1)=""),IFERROR(INT(MID(metadata!C783,12,2))&gt;=0,FALSE),IFERROR(INT(MID(metadata!C783,12,2))&lt;=23,FALSE)), OR(MID(metadata!C783,14,1)="", AND(AND(MID(metadata!C783,14,1)=":",IFERROR(INT(MID(metadata!C783,15,1))&gt;=0,FALSE),IFERROR(INT(MID(metadata!C783,15,1))&lt;=5,FALSE),NOT(MID(metadata!C783,16,1)=""),IFERROR(INT(MID(metadata!C783,15,2))&gt;=0,FALSE),IFERROR(INT(MID(metadata!C783,15,2))&lt;=59,FALSE)), OR(MID(metadata!C783,17,1)="", AND(AND(MID(metadata!C783,17,1)=":",IFERROR(INT(MID(metadata!C783,18,1))&gt;=0,FALSE),IFERROR(INT(MID(metadata!C783,18,1))&lt;=5,FALSE),NOT(MID(metadata!C783,19,1)=""),IFERROR(INT(MID(metadata!C783,18,2))&gt;=0,FALSE),IFERROR(INT(MID(metadata!C783,18,2))&lt;=59,FALSE)), LEN(metadata!C783)&lt;=19)))))))))))))</f>
        <v>0</v>
      </c>
      <c r="AD783">
        <f>IF(metadata!D783="",FALSE,TRUE)</f>
        <v>0</v>
      </c>
      <c r="AE783">
        <f>OR(AND(IF(metadata!E783="",FALSE,TRUE),OR(exact(metadata!E783,"missing: not collected"),exact(metadata!E783,"missing: not provided"))),AND(IF(metadata!E783="",FALSE,TRUE),OR(exact(metadata!E783,"TRUE"),exact(metadata!E783,"FALSE"))))</f>
        <v>0</v>
      </c>
      <c r="AF783">
        <f>IF(metadata!F783="",FALSE,TRUE)</f>
        <v>0</v>
      </c>
      <c r="AG783">
        <f>IF(metadata!G783="",FALSE,TRUE)</f>
        <v>0</v>
      </c>
      <c r="AH783">
        <f>IF(metadata!H783="",FALSE,TRUE)</f>
        <v>0</v>
      </c>
      <c r="AI783">
        <f>OR(AND(IF(metadata!I783="",FALSE,TRUE),OR(exact(metadata!I783,"missing: not collected"),exact(metadata!I783,"missing: not provided"),exact(metadata!I783,"missing: restricted access"))),AND(IF(metadata!I783="",FALSE,TRUE),OR(exact(metadata!I783,"air"),exact(metadata!I783,"built environment"),exact(metadata!I783,"host-associated"),exact(metadata!I783,"human-associated"),exact(metadata!I783,"human-skin"),exact(metadata!I783,"human-oral"),exact(metadata!I783,"human-gut"),exact(metadata!I783,"human-vaginal"),exact(metadata!I783,"microbial mat/biofilm"),exact(metadata!I783,"misc environment"),exact(metadata!I783,"plant-associated"),exact(metadata!I783,"sediment"),exact(metadata!I783,"soil"),exact(metadata!I783,"wastewater/sludge"),exact(metadata!I783,"water"))))</f>
        <v>0</v>
      </c>
      <c r="AJ783">
        <f>IF(metadata!J783="",FALSE,TRUE)</f>
        <v>0</v>
      </c>
      <c r="AK783">
        <f>OR(AND(IF(metadata!K783="",FALSE,TRUE),OR(exact(metadata!K783,"missing: not collected"),exact(metadata!K783,"missing: not provided"),exact(metadata!K783,"missing: restricted access"))),AND(IF(metadata!K783="",FALSE,ISNUMBER(VALUE(metadata!K783))),metadata!K783&gt;=-90.00,metadata!K783&lt;=90.00))</f>
        <v>0</v>
      </c>
      <c r="AL783">
        <f>OR(AND(IF(metadata!L783="",FALSE,TRUE),OR(exact(metadata!L783,"missing: not collected"),exact(metadata!L783,"missing: not provided"),exact(metadata!L783,"missing: restricted access"))),AND(IF(metadata!L783="",FALSE,ISNUMBER(VALUE(metadata!L783))),metadata!L783&gt;=-180.00,metadata!L783&lt;=180.00))</f>
        <v>0</v>
      </c>
      <c r="AM783">
        <f>IF(metadata!M783="",FALSE,TRUE)</f>
        <v>0</v>
      </c>
      <c r="AN783">
        <f>OR(AND(IF(metadata!N783="",FALSE,TRUE),OR(exact(metadata!N783,"missing: not collected"),exact(metadata!N783,"missing: not provided"),exact(metadata!N783,"missing: restricted access"))),AND(IF(metadata!N783="",FALSE,TRUE),OR(exact(metadata!N783,"TRUE"),exact(metadata!N783,"FALSE"))))</f>
        <v>0</v>
      </c>
      <c r="AO783">
        <f>IF(metadata!O783="",FALSE,TRUE)</f>
        <v>0</v>
      </c>
      <c r="AP783">
        <f>OR(AND(IF(metadata!P783="",FALSE,TRUE),OR(exact(metadata!P783,"missing: not collected"),exact(metadata!P783,"missing: not provided"))),AND(IF(metadata!P783="",FALSE,IF(ISERROR(INT(metadata!P783)),FALSE,INT(metadata!P783)=metadata!P783)),metadata!P783&gt;0))</f>
        <v>0</v>
      </c>
      <c r="AQ783">
        <f>IF(metadata!Q783="",FALSE,TRUE)</f>
        <v>0</v>
      </c>
    </row>
    <row r="784" spans="1:43">
      <c r="A784" s="5">
        <f>IF(B784=" "," ",HYPERLINK(CONCATENATE("#metadata!",ADDRESS(INDEX($W$2:$W$1001,MATCH(ROWS($U$2:U784),$U$2:$U$1001,0),0),1)),INDEX($Z$2:$Z$1001,MATCH(ROWS($U$2:U784),$U$2:$U$1001,0),0)))</f>
        <v>0</v>
      </c>
      <c r="B784" s="4">
        <f>IF(OR(INDEX($V$2:$V$1001,MATCH(ROWS($U$2:U784),$U$2:$U$1001,0),1)&gt;=100000,INDEX($AB$1005:$AQ$1005,1,MATCH(COLUMNS($AB$1006:AB1006),$AB$1006:$AQ$1006,0))&gt;=100000), " ",IF(INDEX($AB$2:$AQ$1001,MATCH(ROWS($U$2:U784),$U$2:$U$1001,0),MATCH(COLUMNS($AB$1006:AB1006),$AB$1006:$AQ$1006,0)), HYPERLINK("#",""), HYPERLINK(CONCATENATE("#metadata!", ADDRESS(INDEX($W$2:$W$1001,MATCH(ROWS($U$2:U784),$U$2:$U$1001,0),0), INDEX($AB$1004:$AQ$1004,1,MATCH(COLUMNS($AB$1006:AB1006),$AB$1006:$AQ$1006,0)))),"Fix")))</f>
        <v>0</v>
      </c>
      <c r="C784" s="4">
        <f>IF(OR(INDEX($V$2:$V$1001,MATCH(ROWS($U$2:U784),$U$2:$U$1001,0),1)&gt;=100000,INDEX($AB$1005:$AQ$1005,1,MATCH(COLUMNS($AB$1006:AC1006),$AB$1006:$AQ$1006,0))&gt;=100000), " ",IF(INDEX($AB$2:$AQ$1001,MATCH(ROWS($U$2:U784),$U$2:$U$1001,0),MATCH(COLUMNS($AB$1006:AC1006),$AB$1006:$AQ$1006,0)), HYPERLINK("#",""), HYPERLINK(CONCATENATE("#metadata!", ADDRESS(INDEX($W$2:$W$1001,MATCH(ROWS($U$2:U784),$U$2:$U$1001,0),0), INDEX($AB$1004:$AQ$1004,1,MATCH(COLUMNS($AB$1006:AC1006),$AB$1006:$AQ$1006,0)))),"Fix")))</f>
        <v>0</v>
      </c>
      <c r="D784" s="4">
        <f>IF(OR(INDEX($V$2:$V$1001,MATCH(ROWS($U$2:U784),$U$2:$U$1001,0),1)&gt;=100000,INDEX($AB$1005:$AQ$1005,1,MATCH(COLUMNS($AB$1006:AD1006),$AB$1006:$AQ$1006,0))&gt;=100000), " ",IF(INDEX($AB$2:$AQ$1001,MATCH(ROWS($U$2:U784),$U$2:$U$1001,0),MATCH(COLUMNS($AB$1006:AD1006),$AB$1006:$AQ$1006,0)), HYPERLINK("#",""), HYPERLINK(CONCATENATE("#metadata!", ADDRESS(INDEX($W$2:$W$1001,MATCH(ROWS($U$2:U784),$U$2:$U$1001,0),0), INDEX($AB$1004:$AQ$1004,1,MATCH(COLUMNS($AB$1006:AD1006),$AB$1006:$AQ$1006,0)))),"Fix")))</f>
        <v>0</v>
      </c>
      <c r="E784" s="4">
        <f>IF(OR(INDEX($V$2:$V$1001,MATCH(ROWS($U$2:U784),$U$2:$U$1001,0),1)&gt;=100000,INDEX($AB$1005:$AQ$1005,1,MATCH(COLUMNS($AB$1006:AE1006),$AB$1006:$AQ$1006,0))&gt;=100000), " ",IF(INDEX($AB$2:$AQ$1001,MATCH(ROWS($U$2:U784),$U$2:$U$1001,0),MATCH(COLUMNS($AB$1006:AE1006),$AB$1006:$AQ$1006,0)), HYPERLINK("#",""), HYPERLINK(CONCATENATE("#metadata!", ADDRESS(INDEX($W$2:$W$1001,MATCH(ROWS($U$2:U784),$U$2:$U$1001,0),0), INDEX($AB$1004:$AQ$1004,1,MATCH(COLUMNS($AB$1006:AE1006),$AB$1006:$AQ$1006,0)))),"Fix")))</f>
        <v>0</v>
      </c>
      <c r="F784" s="4">
        <f>IF(OR(INDEX($V$2:$V$1001,MATCH(ROWS($U$2:U784),$U$2:$U$1001,0),1)&gt;=100000,INDEX($AB$1005:$AQ$1005,1,MATCH(COLUMNS($AB$1006:AF1006),$AB$1006:$AQ$1006,0))&gt;=100000), " ",IF(INDEX($AB$2:$AQ$1001,MATCH(ROWS($U$2:U784),$U$2:$U$1001,0),MATCH(COLUMNS($AB$1006:AF1006),$AB$1006:$AQ$1006,0)), HYPERLINK("#",""), HYPERLINK(CONCATENATE("#metadata!", ADDRESS(INDEX($W$2:$W$1001,MATCH(ROWS($U$2:U784),$U$2:$U$1001,0),0), INDEX($AB$1004:$AQ$1004,1,MATCH(COLUMNS($AB$1006:AF1006),$AB$1006:$AQ$1006,0)))),"Fix")))</f>
        <v>0</v>
      </c>
      <c r="G784" s="4">
        <f>IF(OR(INDEX($V$2:$V$1001,MATCH(ROWS($U$2:U784),$U$2:$U$1001,0),1)&gt;=100000,INDEX($AB$1005:$AQ$1005,1,MATCH(COLUMNS($AB$1006:AG1006),$AB$1006:$AQ$1006,0))&gt;=100000), " ",IF(INDEX($AB$2:$AQ$1001,MATCH(ROWS($U$2:U784),$U$2:$U$1001,0),MATCH(COLUMNS($AB$1006:AG1006),$AB$1006:$AQ$1006,0)), HYPERLINK("#",""), HYPERLINK(CONCATENATE("#metadata!", ADDRESS(INDEX($W$2:$W$1001,MATCH(ROWS($U$2:U784),$U$2:$U$1001,0),0), INDEX($AB$1004:$AQ$1004,1,MATCH(COLUMNS($AB$1006:AG1006),$AB$1006:$AQ$1006,0)))),"Fix")))</f>
        <v>0</v>
      </c>
      <c r="H784" s="4">
        <f>IF(OR(INDEX($V$2:$V$1001,MATCH(ROWS($U$2:U784),$U$2:$U$1001,0),1)&gt;=100000,INDEX($AB$1005:$AQ$1005,1,MATCH(COLUMNS($AB$1006:AH1006),$AB$1006:$AQ$1006,0))&gt;=100000), " ",IF(INDEX($AB$2:$AQ$1001,MATCH(ROWS($U$2:U784),$U$2:$U$1001,0),MATCH(COLUMNS($AB$1006:AH1006),$AB$1006:$AQ$1006,0)), HYPERLINK("#",""), HYPERLINK(CONCATENATE("#metadata!", ADDRESS(INDEX($W$2:$W$1001,MATCH(ROWS($U$2:U784),$U$2:$U$1001,0),0), INDEX($AB$1004:$AQ$1004,1,MATCH(COLUMNS($AB$1006:AH1006),$AB$1006:$AQ$1006,0)))),"Fix")))</f>
        <v>0</v>
      </c>
      <c r="I784" s="4">
        <f>IF(OR(INDEX($V$2:$V$1001,MATCH(ROWS($U$2:U784),$U$2:$U$1001,0),1)&gt;=100000,INDEX($AB$1005:$AQ$1005,1,MATCH(COLUMNS($AB$1006:AI1006),$AB$1006:$AQ$1006,0))&gt;=100000), " ",IF(INDEX($AB$2:$AQ$1001,MATCH(ROWS($U$2:U784),$U$2:$U$1001,0),MATCH(COLUMNS($AB$1006:AI1006),$AB$1006:$AQ$1006,0)), HYPERLINK("#",""), HYPERLINK(CONCATENATE("#metadata!", ADDRESS(INDEX($W$2:$W$1001,MATCH(ROWS($U$2:U784),$U$2:$U$1001,0),0), INDEX($AB$1004:$AQ$1004,1,MATCH(COLUMNS($AB$1006:AI1006),$AB$1006:$AQ$1006,0)))),"Fix")))</f>
        <v>0</v>
      </c>
      <c r="J784" s="4">
        <f>IF(OR(INDEX($V$2:$V$1001,MATCH(ROWS($U$2:U784),$U$2:$U$1001,0),1)&gt;=100000,INDEX($AB$1005:$AQ$1005,1,MATCH(COLUMNS($AB$1006:AJ1006),$AB$1006:$AQ$1006,0))&gt;=100000), " ",IF(INDEX($AB$2:$AQ$1001,MATCH(ROWS($U$2:U784),$U$2:$U$1001,0),MATCH(COLUMNS($AB$1006:AJ1006),$AB$1006:$AQ$1006,0)), HYPERLINK("#",""), HYPERLINK(CONCATENATE("#metadata!", ADDRESS(INDEX($W$2:$W$1001,MATCH(ROWS($U$2:U784),$U$2:$U$1001,0),0), INDEX($AB$1004:$AQ$1004,1,MATCH(COLUMNS($AB$1006:AJ1006),$AB$1006:$AQ$1006,0)))),"Fix")))</f>
        <v>0</v>
      </c>
      <c r="K784" s="4">
        <f>IF(OR(INDEX($V$2:$V$1001,MATCH(ROWS($U$2:U784),$U$2:$U$1001,0),1)&gt;=100000,INDEX($AB$1005:$AQ$1005,1,MATCH(COLUMNS($AB$1006:AK1006),$AB$1006:$AQ$1006,0))&gt;=100000), " ",IF(INDEX($AB$2:$AQ$1001,MATCH(ROWS($U$2:U784),$U$2:$U$1001,0),MATCH(COLUMNS($AB$1006:AK1006),$AB$1006:$AQ$1006,0)), HYPERLINK("#",""), HYPERLINK(CONCATENATE("#metadata!", ADDRESS(INDEX($W$2:$W$1001,MATCH(ROWS($U$2:U784),$U$2:$U$1001,0),0), INDEX($AB$1004:$AQ$1004,1,MATCH(COLUMNS($AB$1006:AK1006),$AB$1006:$AQ$1006,0)))),"Fix")))</f>
        <v>0</v>
      </c>
      <c r="L784" s="4">
        <f>IF(OR(INDEX($V$2:$V$1001,MATCH(ROWS($U$2:U784),$U$2:$U$1001,0),1)&gt;=100000,INDEX($AB$1005:$AQ$1005,1,MATCH(COLUMNS($AB$1006:AL1006),$AB$1006:$AQ$1006,0))&gt;=100000), " ",IF(INDEX($AB$2:$AQ$1001,MATCH(ROWS($U$2:U784),$U$2:$U$1001,0),MATCH(COLUMNS($AB$1006:AL1006),$AB$1006:$AQ$1006,0)), HYPERLINK("#",""), HYPERLINK(CONCATENATE("#metadata!", ADDRESS(INDEX($W$2:$W$1001,MATCH(ROWS($U$2:U784),$U$2:$U$1001,0),0), INDEX($AB$1004:$AQ$1004,1,MATCH(COLUMNS($AB$1006:AL1006),$AB$1006:$AQ$1006,0)))),"Fix")))</f>
        <v>0</v>
      </c>
      <c r="M784" s="4">
        <f>IF(OR(INDEX($V$2:$V$1001,MATCH(ROWS($U$2:U784),$U$2:$U$1001,0),1)&gt;=100000,INDEX($AB$1005:$AQ$1005,1,MATCH(COLUMNS($AB$1006:AM1006),$AB$1006:$AQ$1006,0))&gt;=100000), " ",IF(INDEX($AB$2:$AQ$1001,MATCH(ROWS($U$2:U784),$U$2:$U$1001,0),MATCH(COLUMNS($AB$1006:AM1006),$AB$1006:$AQ$1006,0)), HYPERLINK("#",""), HYPERLINK(CONCATENATE("#metadata!", ADDRESS(INDEX($W$2:$W$1001,MATCH(ROWS($U$2:U784),$U$2:$U$1001,0),0), INDEX($AB$1004:$AQ$1004,1,MATCH(COLUMNS($AB$1006:AM1006),$AB$1006:$AQ$1006,0)))),"Fix")))</f>
        <v>0</v>
      </c>
      <c r="N784" s="4">
        <f>IF(OR(INDEX($V$2:$V$1001,MATCH(ROWS($U$2:U784),$U$2:$U$1001,0),1)&gt;=100000,INDEX($AB$1005:$AQ$1005,1,MATCH(COLUMNS($AB$1006:AN1006),$AB$1006:$AQ$1006,0))&gt;=100000), " ",IF(INDEX($AB$2:$AQ$1001,MATCH(ROWS($U$2:U784),$U$2:$U$1001,0),MATCH(COLUMNS($AB$1006:AN1006),$AB$1006:$AQ$1006,0)), HYPERLINK("#",""), HYPERLINK(CONCATENATE("#metadata!", ADDRESS(INDEX($W$2:$W$1001,MATCH(ROWS($U$2:U784),$U$2:$U$1001,0),0), INDEX($AB$1004:$AQ$1004,1,MATCH(COLUMNS($AB$1006:AN1006),$AB$1006:$AQ$1006,0)))),"Fix")))</f>
        <v>0</v>
      </c>
      <c r="O784" s="4">
        <f>IF(OR(INDEX($V$2:$V$1001,MATCH(ROWS($U$2:U784),$U$2:$U$1001,0),1)&gt;=100000,INDEX($AB$1005:$AQ$1005,1,MATCH(COLUMNS($AB$1006:AO1006),$AB$1006:$AQ$1006,0))&gt;=100000), " ",IF(INDEX($AB$2:$AQ$1001,MATCH(ROWS($U$2:U784),$U$2:$U$1001,0),MATCH(COLUMNS($AB$1006:AO1006),$AB$1006:$AQ$1006,0)), HYPERLINK("#",""), HYPERLINK(CONCATENATE("#metadata!", ADDRESS(INDEX($W$2:$W$1001,MATCH(ROWS($U$2:U784),$U$2:$U$1001,0),0), INDEX($AB$1004:$AQ$1004,1,MATCH(COLUMNS($AB$1006:AO1006),$AB$1006:$AQ$1006,0)))),"Fix")))</f>
        <v>0</v>
      </c>
      <c r="P784" s="4">
        <f>IF(OR(INDEX($V$2:$V$1001,MATCH(ROWS($U$2:U784),$U$2:$U$1001,0),1)&gt;=100000,INDEX($AB$1005:$AQ$1005,1,MATCH(COLUMNS($AB$1006:AP1006),$AB$1006:$AQ$1006,0))&gt;=100000), " ",IF(INDEX($AB$2:$AQ$1001,MATCH(ROWS($U$2:U784),$U$2:$U$1001,0),MATCH(COLUMNS($AB$1006:AP1006),$AB$1006:$AQ$1006,0)), HYPERLINK("#",""), HYPERLINK(CONCATENATE("#metadata!", ADDRESS(INDEX($W$2:$W$1001,MATCH(ROWS($U$2:U784),$U$2:$U$1001,0),0), INDEX($AB$1004:$AQ$1004,1,MATCH(COLUMNS($AB$1006:AP1006),$AB$1006:$AQ$1006,0)))),"Fix")))</f>
        <v>0</v>
      </c>
      <c r="Q784" s="4">
        <f>IF(OR(INDEX($V$2:$V$1001,MATCH(ROWS($U$2:U784),$U$2:$U$1001,0),1)&gt;=100000,INDEX($AB$1005:$AQ$1005,1,MATCH(COLUMNS($AB$1006:AQ1006),$AB$1006:$AQ$1006,0))&gt;=100000), " ",IF(INDEX($AB$2:$AQ$1001,MATCH(ROWS($U$2:U784),$U$2:$U$1001,0),MATCH(COLUMNS($AB$1006:AQ1006),$AB$1006:$AQ$1006,0)), HYPERLINK("#",""), HYPERLINK(CONCATENATE("#metadata!", ADDRESS(INDEX($W$2:$W$1001,MATCH(ROWS($U$2:U784),$U$2:$U$1001,0),0), INDEX($AB$1004:$AQ$1004,1,MATCH(COLUMNS($AB$1006:AQ1006),$AB$1006:$AQ$1006,0)))),"Fix")))</f>
        <v>0</v>
      </c>
      <c r="U784">
        <v>0</v>
      </c>
      <c r="V784">
        <v>0</v>
      </c>
      <c r="W784">
        <v>0</v>
      </c>
      <c r="X784">
        <f>IF(Y784,TRUE,AND(AB784:AQ784))</f>
        <v>0</v>
      </c>
      <c r="Y784">
        <f>COUNTBLANK(metadata!B784:Q784)=COLUMNS(metadata!B784:Q784)</f>
        <v>0</v>
      </c>
      <c r="Z784">
        <v>0</v>
      </c>
      <c r="AB784">
        <f>AND(IF(metadata!B784="",FALSE,TRUE),COUNTIF(metadata!B:B, metadata!B784) = 1,NOT(ISERROR(SUMPRODUCT(SEARCH(MID(metadata!B784,ROW(INDIRECT("1:"&amp;LEN(metadata!B784))), 1),"0123456789abcdefghijklmnopqrstuvwxyzABCDEFGHIJKLMNOPQRSTUVWXYZ.")))))</f>
        <v>0</v>
      </c>
      <c r="AC784">
        <f>OR(AND(IF(metadata!C784="",FALSE,TRUE),OR(exact(metadata!C784,"missing: not collected"),exact(metadata!C784,"missing: not provided"),exact(metadata!C784,"missing: restricted access"))),AND(IF(metadata!C784="",FALSE,TRUE),AND(AND(IFERROR(INT(LEFT(metadata!C784,4))&gt;1900,FALSE),IFERROR(INT(LEFT(metadata!C784,4))&lt;=YEAR(NOW()),FALSE)), OR(MID(metadata!C784,5,1)="", AND(AND(MID(metadata!C784,5,1)="-",IFERROR(INT(MID(metadata!C784,6,1))&gt;=0,FALSE),IFERROR(INT(MID(metadata!C784,6,1))&lt;=1,FALSE),NOT(MID(metadata!C784,7,1)=""),IFERROR(INT(MID(metadata!C784,6,2))&gt;=1,FALSE),IFERROR(INT(MID(metadata!C784,6,2))&lt;=12,FALSE)), OR(MID(metadata!C784,8,1)="", AND(AND(MID(metadata!C784,8,1)="-",IFERROR(INT(MID(metadata!C784,9,1))&gt;=0,FALSE),IFERROR(INT(MID(metadata!C784,9,1))&lt;=3,FALSE),NOT(MID(metadata!C784,10,1)=""),IFERROR(INT(MID(metadata!C784,9,2))&gt;=1,FALSE),IFERROR(INT(MID(metadata!C784,9,2))&lt;=31,FALSE)), OR(MID(metadata!C784,11,1)="", AND(AND(MID(metadata!C784,11,1)=" ",IFERROR(INT(MID(metadata!C784,12,1))&gt;=0,FALSE),IFERROR(INT(MID(metadata!C784,12,1))&lt;=2,FALSE),NOT(MID(metadata!C784,13,1)=""),IFERROR(INT(MID(metadata!C784,12,2))&gt;=0,FALSE),IFERROR(INT(MID(metadata!C784,12,2))&lt;=23,FALSE)), OR(MID(metadata!C784,14,1)="", AND(AND(MID(metadata!C784,14,1)=":",IFERROR(INT(MID(metadata!C784,15,1))&gt;=0,FALSE),IFERROR(INT(MID(metadata!C784,15,1))&lt;=5,FALSE),NOT(MID(metadata!C784,16,1)=""),IFERROR(INT(MID(metadata!C784,15,2))&gt;=0,FALSE),IFERROR(INT(MID(metadata!C784,15,2))&lt;=59,FALSE)), OR(MID(metadata!C784,17,1)="", AND(AND(MID(metadata!C784,17,1)=":",IFERROR(INT(MID(metadata!C784,18,1))&gt;=0,FALSE),IFERROR(INT(MID(metadata!C784,18,1))&lt;=5,FALSE),NOT(MID(metadata!C784,19,1)=""),IFERROR(INT(MID(metadata!C784,18,2))&gt;=0,FALSE),IFERROR(INT(MID(metadata!C784,18,2))&lt;=59,FALSE)), LEN(metadata!C784)&lt;=19)))))))))))))</f>
        <v>0</v>
      </c>
      <c r="AD784">
        <f>IF(metadata!D784="",FALSE,TRUE)</f>
        <v>0</v>
      </c>
      <c r="AE784">
        <f>OR(AND(IF(metadata!E784="",FALSE,TRUE),OR(exact(metadata!E784,"missing: not collected"),exact(metadata!E784,"missing: not provided"))),AND(IF(metadata!E784="",FALSE,TRUE),OR(exact(metadata!E784,"TRUE"),exact(metadata!E784,"FALSE"))))</f>
        <v>0</v>
      </c>
      <c r="AF784">
        <f>IF(metadata!F784="",FALSE,TRUE)</f>
        <v>0</v>
      </c>
      <c r="AG784">
        <f>IF(metadata!G784="",FALSE,TRUE)</f>
        <v>0</v>
      </c>
      <c r="AH784">
        <f>IF(metadata!H784="",FALSE,TRUE)</f>
        <v>0</v>
      </c>
      <c r="AI784">
        <f>OR(AND(IF(metadata!I784="",FALSE,TRUE),OR(exact(metadata!I784,"missing: not collected"),exact(metadata!I784,"missing: not provided"),exact(metadata!I784,"missing: restricted access"))),AND(IF(metadata!I784="",FALSE,TRUE),OR(exact(metadata!I784,"air"),exact(metadata!I784,"built environment"),exact(metadata!I784,"host-associated"),exact(metadata!I784,"human-associated"),exact(metadata!I784,"human-skin"),exact(metadata!I784,"human-oral"),exact(metadata!I784,"human-gut"),exact(metadata!I784,"human-vaginal"),exact(metadata!I784,"microbial mat/biofilm"),exact(metadata!I784,"misc environment"),exact(metadata!I784,"plant-associated"),exact(metadata!I784,"sediment"),exact(metadata!I784,"soil"),exact(metadata!I784,"wastewater/sludge"),exact(metadata!I784,"water"))))</f>
        <v>0</v>
      </c>
      <c r="AJ784">
        <f>IF(metadata!J784="",FALSE,TRUE)</f>
        <v>0</v>
      </c>
      <c r="AK784">
        <f>OR(AND(IF(metadata!K784="",FALSE,TRUE),OR(exact(metadata!K784,"missing: not collected"),exact(metadata!K784,"missing: not provided"),exact(metadata!K784,"missing: restricted access"))),AND(IF(metadata!K784="",FALSE,ISNUMBER(VALUE(metadata!K784))),metadata!K784&gt;=-90.00,metadata!K784&lt;=90.00))</f>
        <v>0</v>
      </c>
      <c r="AL784">
        <f>OR(AND(IF(metadata!L784="",FALSE,TRUE),OR(exact(metadata!L784,"missing: not collected"),exact(metadata!L784,"missing: not provided"),exact(metadata!L784,"missing: restricted access"))),AND(IF(metadata!L784="",FALSE,ISNUMBER(VALUE(metadata!L784))),metadata!L784&gt;=-180.00,metadata!L784&lt;=180.00))</f>
        <v>0</v>
      </c>
      <c r="AM784">
        <f>IF(metadata!M784="",FALSE,TRUE)</f>
        <v>0</v>
      </c>
      <c r="AN784">
        <f>OR(AND(IF(metadata!N784="",FALSE,TRUE),OR(exact(metadata!N784,"missing: not collected"),exact(metadata!N784,"missing: not provided"),exact(metadata!N784,"missing: restricted access"))),AND(IF(metadata!N784="",FALSE,TRUE),OR(exact(metadata!N784,"TRUE"),exact(metadata!N784,"FALSE"))))</f>
        <v>0</v>
      </c>
      <c r="AO784">
        <f>IF(metadata!O784="",FALSE,TRUE)</f>
        <v>0</v>
      </c>
      <c r="AP784">
        <f>OR(AND(IF(metadata!P784="",FALSE,TRUE),OR(exact(metadata!P784,"missing: not collected"),exact(metadata!P784,"missing: not provided"))),AND(IF(metadata!P784="",FALSE,IF(ISERROR(INT(metadata!P784)),FALSE,INT(metadata!P784)=metadata!P784)),metadata!P784&gt;0))</f>
        <v>0</v>
      </c>
      <c r="AQ784">
        <f>IF(metadata!Q784="",FALSE,TRUE)</f>
        <v>0</v>
      </c>
    </row>
    <row r="785" spans="1:43">
      <c r="A785" s="5">
        <f>IF(B785=" "," ",HYPERLINK(CONCATENATE("#metadata!",ADDRESS(INDEX($W$2:$W$1001,MATCH(ROWS($U$2:U785),$U$2:$U$1001,0),0),1)),INDEX($Z$2:$Z$1001,MATCH(ROWS($U$2:U785),$U$2:$U$1001,0),0)))</f>
        <v>0</v>
      </c>
      <c r="B785" s="4">
        <f>IF(OR(INDEX($V$2:$V$1001,MATCH(ROWS($U$2:U785),$U$2:$U$1001,0),1)&gt;=100000,INDEX($AB$1005:$AQ$1005,1,MATCH(COLUMNS($AB$1006:AB1006),$AB$1006:$AQ$1006,0))&gt;=100000), " ",IF(INDEX($AB$2:$AQ$1001,MATCH(ROWS($U$2:U785),$U$2:$U$1001,0),MATCH(COLUMNS($AB$1006:AB1006),$AB$1006:$AQ$1006,0)), HYPERLINK("#",""), HYPERLINK(CONCATENATE("#metadata!", ADDRESS(INDEX($W$2:$W$1001,MATCH(ROWS($U$2:U785),$U$2:$U$1001,0),0), INDEX($AB$1004:$AQ$1004,1,MATCH(COLUMNS($AB$1006:AB1006),$AB$1006:$AQ$1006,0)))),"Fix")))</f>
        <v>0</v>
      </c>
      <c r="C785" s="4">
        <f>IF(OR(INDEX($V$2:$V$1001,MATCH(ROWS($U$2:U785),$U$2:$U$1001,0),1)&gt;=100000,INDEX($AB$1005:$AQ$1005,1,MATCH(COLUMNS($AB$1006:AC1006),$AB$1006:$AQ$1006,0))&gt;=100000), " ",IF(INDEX($AB$2:$AQ$1001,MATCH(ROWS($U$2:U785),$U$2:$U$1001,0),MATCH(COLUMNS($AB$1006:AC1006),$AB$1006:$AQ$1006,0)), HYPERLINK("#",""), HYPERLINK(CONCATENATE("#metadata!", ADDRESS(INDEX($W$2:$W$1001,MATCH(ROWS($U$2:U785),$U$2:$U$1001,0),0), INDEX($AB$1004:$AQ$1004,1,MATCH(COLUMNS($AB$1006:AC1006),$AB$1006:$AQ$1006,0)))),"Fix")))</f>
        <v>0</v>
      </c>
      <c r="D785" s="4">
        <f>IF(OR(INDEX($V$2:$V$1001,MATCH(ROWS($U$2:U785),$U$2:$U$1001,0),1)&gt;=100000,INDEX($AB$1005:$AQ$1005,1,MATCH(COLUMNS($AB$1006:AD1006),$AB$1006:$AQ$1006,0))&gt;=100000), " ",IF(INDEX($AB$2:$AQ$1001,MATCH(ROWS($U$2:U785),$U$2:$U$1001,0),MATCH(COLUMNS($AB$1006:AD1006),$AB$1006:$AQ$1006,0)), HYPERLINK("#",""), HYPERLINK(CONCATENATE("#metadata!", ADDRESS(INDEX($W$2:$W$1001,MATCH(ROWS($U$2:U785),$U$2:$U$1001,0),0), INDEX($AB$1004:$AQ$1004,1,MATCH(COLUMNS($AB$1006:AD1006),$AB$1006:$AQ$1006,0)))),"Fix")))</f>
        <v>0</v>
      </c>
      <c r="E785" s="4">
        <f>IF(OR(INDEX($V$2:$V$1001,MATCH(ROWS($U$2:U785),$U$2:$U$1001,0),1)&gt;=100000,INDEX($AB$1005:$AQ$1005,1,MATCH(COLUMNS($AB$1006:AE1006),$AB$1006:$AQ$1006,0))&gt;=100000), " ",IF(INDEX($AB$2:$AQ$1001,MATCH(ROWS($U$2:U785),$U$2:$U$1001,0),MATCH(COLUMNS($AB$1006:AE1006),$AB$1006:$AQ$1006,0)), HYPERLINK("#",""), HYPERLINK(CONCATENATE("#metadata!", ADDRESS(INDEX($W$2:$W$1001,MATCH(ROWS($U$2:U785),$U$2:$U$1001,0),0), INDEX($AB$1004:$AQ$1004,1,MATCH(COLUMNS($AB$1006:AE1006),$AB$1006:$AQ$1006,0)))),"Fix")))</f>
        <v>0</v>
      </c>
      <c r="F785" s="4">
        <f>IF(OR(INDEX($V$2:$V$1001,MATCH(ROWS($U$2:U785),$U$2:$U$1001,0),1)&gt;=100000,INDEX($AB$1005:$AQ$1005,1,MATCH(COLUMNS($AB$1006:AF1006),$AB$1006:$AQ$1006,0))&gt;=100000), " ",IF(INDEX($AB$2:$AQ$1001,MATCH(ROWS($U$2:U785),$U$2:$U$1001,0),MATCH(COLUMNS($AB$1006:AF1006),$AB$1006:$AQ$1006,0)), HYPERLINK("#",""), HYPERLINK(CONCATENATE("#metadata!", ADDRESS(INDEX($W$2:$W$1001,MATCH(ROWS($U$2:U785),$U$2:$U$1001,0),0), INDEX($AB$1004:$AQ$1004,1,MATCH(COLUMNS($AB$1006:AF1006),$AB$1006:$AQ$1006,0)))),"Fix")))</f>
        <v>0</v>
      </c>
      <c r="G785" s="4">
        <f>IF(OR(INDEX($V$2:$V$1001,MATCH(ROWS($U$2:U785),$U$2:$U$1001,0),1)&gt;=100000,INDEX($AB$1005:$AQ$1005,1,MATCH(COLUMNS($AB$1006:AG1006),$AB$1006:$AQ$1006,0))&gt;=100000), " ",IF(INDEX($AB$2:$AQ$1001,MATCH(ROWS($U$2:U785),$U$2:$U$1001,0),MATCH(COLUMNS($AB$1006:AG1006),$AB$1006:$AQ$1006,0)), HYPERLINK("#",""), HYPERLINK(CONCATENATE("#metadata!", ADDRESS(INDEX($W$2:$W$1001,MATCH(ROWS($U$2:U785),$U$2:$U$1001,0),0), INDEX($AB$1004:$AQ$1004,1,MATCH(COLUMNS($AB$1006:AG1006),$AB$1006:$AQ$1006,0)))),"Fix")))</f>
        <v>0</v>
      </c>
      <c r="H785" s="4">
        <f>IF(OR(INDEX($V$2:$V$1001,MATCH(ROWS($U$2:U785),$U$2:$U$1001,0),1)&gt;=100000,INDEX($AB$1005:$AQ$1005,1,MATCH(COLUMNS($AB$1006:AH1006),$AB$1006:$AQ$1006,0))&gt;=100000), " ",IF(INDEX($AB$2:$AQ$1001,MATCH(ROWS($U$2:U785),$U$2:$U$1001,0),MATCH(COLUMNS($AB$1006:AH1006),$AB$1006:$AQ$1006,0)), HYPERLINK("#",""), HYPERLINK(CONCATENATE("#metadata!", ADDRESS(INDEX($W$2:$W$1001,MATCH(ROWS($U$2:U785),$U$2:$U$1001,0),0), INDEX($AB$1004:$AQ$1004,1,MATCH(COLUMNS($AB$1006:AH1006),$AB$1006:$AQ$1006,0)))),"Fix")))</f>
        <v>0</v>
      </c>
      <c r="I785" s="4">
        <f>IF(OR(INDEX($V$2:$V$1001,MATCH(ROWS($U$2:U785),$U$2:$U$1001,0),1)&gt;=100000,INDEX($AB$1005:$AQ$1005,1,MATCH(COLUMNS($AB$1006:AI1006),$AB$1006:$AQ$1006,0))&gt;=100000), " ",IF(INDEX($AB$2:$AQ$1001,MATCH(ROWS($U$2:U785),$U$2:$U$1001,0),MATCH(COLUMNS($AB$1006:AI1006),$AB$1006:$AQ$1006,0)), HYPERLINK("#",""), HYPERLINK(CONCATENATE("#metadata!", ADDRESS(INDEX($W$2:$W$1001,MATCH(ROWS($U$2:U785),$U$2:$U$1001,0),0), INDEX($AB$1004:$AQ$1004,1,MATCH(COLUMNS($AB$1006:AI1006),$AB$1006:$AQ$1006,0)))),"Fix")))</f>
        <v>0</v>
      </c>
      <c r="J785" s="4">
        <f>IF(OR(INDEX($V$2:$V$1001,MATCH(ROWS($U$2:U785),$U$2:$U$1001,0),1)&gt;=100000,INDEX($AB$1005:$AQ$1005,1,MATCH(COLUMNS($AB$1006:AJ1006),$AB$1006:$AQ$1006,0))&gt;=100000), " ",IF(INDEX($AB$2:$AQ$1001,MATCH(ROWS($U$2:U785),$U$2:$U$1001,0),MATCH(COLUMNS($AB$1006:AJ1006),$AB$1006:$AQ$1006,0)), HYPERLINK("#",""), HYPERLINK(CONCATENATE("#metadata!", ADDRESS(INDEX($W$2:$W$1001,MATCH(ROWS($U$2:U785),$U$2:$U$1001,0),0), INDEX($AB$1004:$AQ$1004,1,MATCH(COLUMNS($AB$1006:AJ1006),$AB$1006:$AQ$1006,0)))),"Fix")))</f>
        <v>0</v>
      </c>
      <c r="K785" s="4">
        <f>IF(OR(INDEX($V$2:$V$1001,MATCH(ROWS($U$2:U785),$U$2:$U$1001,0),1)&gt;=100000,INDEX($AB$1005:$AQ$1005,1,MATCH(COLUMNS($AB$1006:AK1006),$AB$1006:$AQ$1006,0))&gt;=100000), " ",IF(INDEX($AB$2:$AQ$1001,MATCH(ROWS($U$2:U785),$U$2:$U$1001,0),MATCH(COLUMNS($AB$1006:AK1006),$AB$1006:$AQ$1006,0)), HYPERLINK("#",""), HYPERLINK(CONCATENATE("#metadata!", ADDRESS(INDEX($W$2:$W$1001,MATCH(ROWS($U$2:U785),$U$2:$U$1001,0),0), INDEX($AB$1004:$AQ$1004,1,MATCH(COLUMNS($AB$1006:AK1006),$AB$1006:$AQ$1006,0)))),"Fix")))</f>
        <v>0</v>
      </c>
      <c r="L785" s="4">
        <f>IF(OR(INDEX($V$2:$V$1001,MATCH(ROWS($U$2:U785),$U$2:$U$1001,0),1)&gt;=100000,INDEX($AB$1005:$AQ$1005,1,MATCH(COLUMNS($AB$1006:AL1006),$AB$1006:$AQ$1006,0))&gt;=100000), " ",IF(INDEX($AB$2:$AQ$1001,MATCH(ROWS($U$2:U785),$U$2:$U$1001,0),MATCH(COLUMNS($AB$1006:AL1006),$AB$1006:$AQ$1006,0)), HYPERLINK("#",""), HYPERLINK(CONCATENATE("#metadata!", ADDRESS(INDEX($W$2:$W$1001,MATCH(ROWS($U$2:U785),$U$2:$U$1001,0),0), INDEX($AB$1004:$AQ$1004,1,MATCH(COLUMNS($AB$1006:AL1006),$AB$1006:$AQ$1006,0)))),"Fix")))</f>
        <v>0</v>
      </c>
      <c r="M785" s="4">
        <f>IF(OR(INDEX($V$2:$V$1001,MATCH(ROWS($U$2:U785),$U$2:$U$1001,0),1)&gt;=100000,INDEX($AB$1005:$AQ$1005,1,MATCH(COLUMNS($AB$1006:AM1006),$AB$1006:$AQ$1006,0))&gt;=100000), " ",IF(INDEX($AB$2:$AQ$1001,MATCH(ROWS($U$2:U785),$U$2:$U$1001,0),MATCH(COLUMNS($AB$1006:AM1006),$AB$1006:$AQ$1006,0)), HYPERLINK("#",""), HYPERLINK(CONCATENATE("#metadata!", ADDRESS(INDEX($W$2:$W$1001,MATCH(ROWS($U$2:U785),$U$2:$U$1001,0),0), INDEX($AB$1004:$AQ$1004,1,MATCH(COLUMNS($AB$1006:AM1006),$AB$1006:$AQ$1006,0)))),"Fix")))</f>
        <v>0</v>
      </c>
      <c r="N785" s="4">
        <f>IF(OR(INDEX($V$2:$V$1001,MATCH(ROWS($U$2:U785),$U$2:$U$1001,0),1)&gt;=100000,INDEX($AB$1005:$AQ$1005,1,MATCH(COLUMNS($AB$1006:AN1006),$AB$1006:$AQ$1006,0))&gt;=100000), " ",IF(INDEX($AB$2:$AQ$1001,MATCH(ROWS($U$2:U785),$U$2:$U$1001,0),MATCH(COLUMNS($AB$1006:AN1006),$AB$1006:$AQ$1006,0)), HYPERLINK("#",""), HYPERLINK(CONCATENATE("#metadata!", ADDRESS(INDEX($W$2:$W$1001,MATCH(ROWS($U$2:U785),$U$2:$U$1001,0),0), INDEX($AB$1004:$AQ$1004,1,MATCH(COLUMNS($AB$1006:AN1006),$AB$1006:$AQ$1006,0)))),"Fix")))</f>
        <v>0</v>
      </c>
      <c r="O785" s="4">
        <f>IF(OR(INDEX($V$2:$V$1001,MATCH(ROWS($U$2:U785),$U$2:$U$1001,0),1)&gt;=100000,INDEX($AB$1005:$AQ$1005,1,MATCH(COLUMNS($AB$1006:AO1006),$AB$1006:$AQ$1006,0))&gt;=100000), " ",IF(INDEX($AB$2:$AQ$1001,MATCH(ROWS($U$2:U785),$U$2:$U$1001,0),MATCH(COLUMNS($AB$1006:AO1006),$AB$1006:$AQ$1006,0)), HYPERLINK("#",""), HYPERLINK(CONCATENATE("#metadata!", ADDRESS(INDEX($W$2:$W$1001,MATCH(ROWS($U$2:U785),$U$2:$U$1001,0),0), INDEX($AB$1004:$AQ$1004,1,MATCH(COLUMNS($AB$1006:AO1006),$AB$1006:$AQ$1006,0)))),"Fix")))</f>
        <v>0</v>
      </c>
      <c r="P785" s="4">
        <f>IF(OR(INDEX($V$2:$V$1001,MATCH(ROWS($U$2:U785),$U$2:$U$1001,0),1)&gt;=100000,INDEX($AB$1005:$AQ$1005,1,MATCH(COLUMNS($AB$1006:AP1006),$AB$1006:$AQ$1006,0))&gt;=100000), " ",IF(INDEX($AB$2:$AQ$1001,MATCH(ROWS($U$2:U785),$U$2:$U$1001,0),MATCH(COLUMNS($AB$1006:AP1006),$AB$1006:$AQ$1006,0)), HYPERLINK("#",""), HYPERLINK(CONCATENATE("#metadata!", ADDRESS(INDEX($W$2:$W$1001,MATCH(ROWS($U$2:U785),$U$2:$U$1001,0),0), INDEX($AB$1004:$AQ$1004,1,MATCH(COLUMNS($AB$1006:AP1006),$AB$1006:$AQ$1006,0)))),"Fix")))</f>
        <v>0</v>
      </c>
      <c r="Q785" s="4">
        <f>IF(OR(INDEX($V$2:$V$1001,MATCH(ROWS($U$2:U785),$U$2:$U$1001,0),1)&gt;=100000,INDEX($AB$1005:$AQ$1005,1,MATCH(COLUMNS($AB$1006:AQ1006),$AB$1006:$AQ$1006,0))&gt;=100000), " ",IF(INDEX($AB$2:$AQ$1001,MATCH(ROWS($U$2:U785),$U$2:$U$1001,0),MATCH(COLUMNS($AB$1006:AQ1006),$AB$1006:$AQ$1006,0)), HYPERLINK("#",""), HYPERLINK(CONCATENATE("#metadata!", ADDRESS(INDEX($W$2:$W$1001,MATCH(ROWS($U$2:U785),$U$2:$U$1001,0),0), INDEX($AB$1004:$AQ$1004,1,MATCH(COLUMNS($AB$1006:AQ1006),$AB$1006:$AQ$1006,0)))),"Fix")))</f>
        <v>0</v>
      </c>
      <c r="U785">
        <v>0</v>
      </c>
      <c r="V785">
        <v>0</v>
      </c>
      <c r="W785">
        <v>0</v>
      </c>
      <c r="X785">
        <f>IF(Y785,TRUE,AND(AB785:AQ785))</f>
        <v>0</v>
      </c>
      <c r="Y785">
        <f>COUNTBLANK(metadata!B785:Q785)=COLUMNS(metadata!B785:Q785)</f>
        <v>0</v>
      </c>
      <c r="Z785">
        <v>0</v>
      </c>
      <c r="AB785">
        <f>AND(IF(metadata!B785="",FALSE,TRUE),COUNTIF(metadata!B:B, metadata!B785) = 1,NOT(ISERROR(SUMPRODUCT(SEARCH(MID(metadata!B785,ROW(INDIRECT("1:"&amp;LEN(metadata!B785))), 1),"0123456789abcdefghijklmnopqrstuvwxyzABCDEFGHIJKLMNOPQRSTUVWXYZ.")))))</f>
        <v>0</v>
      </c>
      <c r="AC785">
        <f>OR(AND(IF(metadata!C785="",FALSE,TRUE),OR(exact(metadata!C785,"missing: not collected"),exact(metadata!C785,"missing: not provided"),exact(metadata!C785,"missing: restricted access"))),AND(IF(metadata!C785="",FALSE,TRUE),AND(AND(IFERROR(INT(LEFT(metadata!C785,4))&gt;1900,FALSE),IFERROR(INT(LEFT(metadata!C785,4))&lt;=YEAR(NOW()),FALSE)), OR(MID(metadata!C785,5,1)="", AND(AND(MID(metadata!C785,5,1)="-",IFERROR(INT(MID(metadata!C785,6,1))&gt;=0,FALSE),IFERROR(INT(MID(metadata!C785,6,1))&lt;=1,FALSE),NOT(MID(metadata!C785,7,1)=""),IFERROR(INT(MID(metadata!C785,6,2))&gt;=1,FALSE),IFERROR(INT(MID(metadata!C785,6,2))&lt;=12,FALSE)), OR(MID(metadata!C785,8,1)="", AND(AND(MID(metadata!C785,8,1)="-",IFERROR(INT(MID(metadata!C785,9,1))&gt;=0,FALSE),IFERROR(INT(MID(metadata!C785,9,1))&lt;=3,FALSE),NOT(MID(metadata!C785,10,1)=""),IFERROR(INT(MID(metadata!C785,9,2))&gt;=1,FALSE),IFERROR(INT(MID(metadata!C785,9,2))&lt;=31,FALSE)), OR(MID(metadata!C785,11,1)="", AND(AND(MID(metadata!C785,11,1)=" ",IFERROR(INT(MID(metadata!C785,12,1))&gt;=0,FALSE),IFERROR(INT(MID(metadata!C785,12,1))&lt;=2,FALSE),NOT(MID(metadata!C785,13,1)=""),IFERROR(INT(MID(metadata!C785,12,2))&gt;=0,FALSE),IFERROR(INT(MID(metadata!C785,12,2))&lt;=23,FALSE)), OR(MID(metadata!C785,14,1)="", AND(AND(MID(metadata!C785,14,1)=":",IFERROR(INT(MID(metadata!C785,15,1))&gt;=0,FALSE),IFERROR(INT(MID(metadata!C785,15,1))&lt;=5,FALSE),NOT(MID(metadata!C785,16,1)=""),IFERROR(INT(MID(metadata!C785,15,2))&gt;=0,FALSE),IFERROR(INT(MID(metadata!C785,15,2))&lt;=59,FALSE)), OR(MID(metadata!C785,17,1)="", AND(AND(MID(metadata!C785,17,1)=":",IFERROR(INT(MID(metadata!C785,18,1))&gt;=0,FALSE),IFERROR(INT(MID(metadata!C785,18,1))&lt;=5,FALSE),NOT(MID(metadata!C785,19,1)=""),IFERROR(INT(MID(metadata!C785,18,2))&gt;=0,FALSE),IFERROR(INT(MID(metadata!C785,18,2))&lt;=59,FALSE)), LEN(metadata!C785)&lt;=19)))))))))))))</f>
        <v>0</v>
      </c>
      <c r="AD785">
        <f>IF(metadata!D785="",FALSE,TRUE)</f>
        <v>0</v>
      </c>
      <c r="AE785">
        <f>OR(AND(IF(metadata!E785="",FALSE,TRUE),OR(exact(metadata!E785,"missing: not collected"),exact(metadata!E785,"missing: not provided"))),AND(IF(metadata!E785="",FALSE,TRUE),OR(exact(metadata!E785,"TRUE"),exact(metadata!E785,"FALSE"))))</f>
        <v>0</v>
      </c>
      <c r="AF785">
        <f>IF(metadata!F785="",FALSE,TRUE)</f>
        <v>0</v>
      </c>
      <c r="AG785">
        <f>IF(metadata!G785="",FALSE,TRUE)</f>
        <v>0</v>
      </c>
      <c r="AH785">
        <f>IF(metadata!H785="",FALSE,TRUE)</f>
        <v>0</v>
      </c>
      <c r="AI785">
        <f>OR(AND(IF(metadata!I785="",FALSE,TRUE),OR(exact(metadata!I785,"missing: not collected"),exact(metadata!I785,"missing: not provided"),exact(metadata!I785,"missing: restricted access"))),AND(IF(metadata!I785="",FALSE,TRUE),OR(exact(metadata!I785,"air"),exact(metadata!I785,"built environment"),exact(metadata!I785,"host-associated"),exact(metadata!I785,"human-associated"),exact(metadata!I785,"human-skin"),exact(metadata!I785,"human-oral"),exact(metadata!I785,"human-gut"),exact(metadata!I785,"human-vaginal"),exact(metadata!I785,"microbial mat/biofilm"),exact(metadata!I785,"misc environment"),exact(metadata!I785,"plant-associated"),exact(metadata!I785,"sediment"),exact(metadata!I785,"soil"),exact(metadata!I785,"wastewater/sludge"),exact(metadata!I785,"water"))))</f>
        <v>0</v>
      </c>
      <c r="AJ785">
        <f>IF(metadata!J785="",FALSE,TRUE)</f>
        <v>0</v>
      </c>
      <c r="AK785">
        <f>OR(AND(IF(metadata!K785="",FALSE,TRUE),OR(exact(metadata!K785,"missing: not collected"),exact(metadata!K785,"missing: not provided"),exact(metadata!K785,"missing: restricted access"))),AND(IF(metadata!K785="",FALSE,ISNUMBER(VALUE(metadata!K785))),metadata!K785&gt;=-90.00,metadata!K785&lt;=90.00))</f>
        <v>0</v>
      </c>
      <c r="AL785">
        <f>OR(AND(IF(metadata!L785="",FALSE,TRUE),OR(exact(metadata!L785,"missing: not collected"),exact(metadata!L785,"missing: not provided"),exact(metadata!L785,"missing: restricted access"))),AND(IF(metadata!L785="",FALSE,ISNUMBER(VALUE(metadata!L785))),metadata!L785&gt;=-180.00,metadata!L785&lt;=180.00))</f>
        <v>0</v>
      </c>
      <c r="AM785">
        <f>IF(metadata!M785="",FALSE,TRUE)</f>
        <v>0</v>
      </c>
      <c r="AN785">
        <f>OR(AND(IF(metadata!N785="",FALSE,TRUE),OR(exact(metadata!N785,"missing: not collected"),exact(metadata!N785,"missing: not provided"),exact(metadata!N785,"missing: restricted access"))),AND(IF(metadata!N785="",FALSE,TRUE),OR(exact(metadata!N785,"TRUE"),exact(metadata!N785,"FALSE"))))</f>
        <v>0</v>
      </c>
      <c r="AO785">
        <f>IF(metadata!O785="",FALSE,TRUE)</f>
        <v>0</v>
      </c>
      <c r="AP785">
        <f>OR(AND(IF(metadata!P785="",FALSE,TRUE),OR(exact(metadata!P785,"missing: not collected"),exact(metadata!P785,"missing: not provided"))),AND(IF(metadata!P785="",FALSE,IF(ISERROR(INT(metadata!P785)),FALSE,INT(metadata!P785)=metadata!P785)),metadata!P785&gt;0))</f>
        <v>0</v>
      </c>
      <c r="AQ785">
        <f>IF(metadata!Q785="",FALSE,TRUE)</f>
        <v>0</v>
      </c>
    </row>
    <row r="786" spans="1:43">
      <c r="A786" s="5">
        <f>IF(B786=" "," ",HYPERLINK(CONCATENATE("#metadata!",ADDRESS(INDEX($W$2:$W$1001,MATCH(ROWS($U$2:U786),$U$2:$U$1001,0),0),1)),INDEX($Z$2:$Z$1001,MATCH(ROWS($U$2:U786),$U$2:$U$1001,0),0)))</f>
        <v>0</v>
      </c>
      <c r="B786" s="4">
        <f>IF(OR(INDEX($V$2:$V$1001,MATCH(ROWS($U$2:U786),$U$2:$U$1001,0),1)&gt;=100000,INDEX($AB$1005:$AQ$1005,1,MATCH(COLUMNS($AB$1006:AB1006),$AB$1006:$AQ$1006,0))&gt;=100000), " ",IF(INDEX($AB$2:$AQ$1001,MATCH(ROWS($U$2:U786),$U$2:$U$1001,0),MATCH(COLUMNS($AB$1006:AB1006),$AB$1006:$AQ$1006,0)), HYPERLINK("#",""), HYPERLINK(CONCATENATE("#metadata!", ADDRESS(INDEX($W$2:$W$1001,MATCH(ROWS($U$2:U786),$U$2:$U$1001,0),0), INDEX($AB$1004:$AQ$1004,1,MATCH(COLUMNS($AB$1006:AB1006),$AB$1006:$AQ$1006,0)))),"Fix")))</f>
        <v>0</v>
      </c>
      <c r="C786" s="4">
        <f>IF(OR(INDEX($V$2:$V$1001,MATCH(ROWS($U$2:U786),$U$2:$U$1001,0),1)&gt;=100000,INDEX($AB$1005:$AQ$1005,1,MATCH(COLUMNS($AB$1006:AC1006),$AB$1006:$AQ$1006,0))&gt;=100000), " ",IF(INDEX($AB$2:$AQ$1001,MATCH(ROWS($U$2:U786),$U$2:$U$1001,0),MATCH(COLUMNS($AB$1006:AC1006),$AB$1006:$AQ$1006,0)), HYPERLINK("#",""), HYPERLINK(CONCATENATE("#metadata!", ADDRESS(INDEX($W$2:$W$1001,MATCH(ROWS($U$2:U786),$U$2:$U$1001,0),0), INDEX($AB$1004:$AQ$1004,1,MATCH(COLUMNS($AB$1006:AC1006),$AB$1006:$AQ$1006,0)))),"Fix")))</f>
        <v>0</v>
      </c>
      <c r="D786" s="4">
        <f>IF(OR(INDEX($V$2:$V$1001,MATCH(ROWS($U$2:U786),$U$2:$U$1001,0),1)&gt;=100000,INDEX($AB$1005:$AQ$1005,1,MATCH(COLUMNS($AB$1006:AD1006),$AB$1006:$AQ$1006,0))&gt;=100000), " ",IF(INDEX($AB$2:$AQ$1001,MATCH(ROWS($U$2:U786),$U$2:$U$1001,0),MATCH(COLUMNS($AB$1006:AD1006),$AB$1006:$AQ$1006,0)), HYPERLINK("#",""), HYPERLINK(CONCATENATE("#metadata!", ADDRESS(INDEX($W$2:$W$1001,MATCH(ROWS($U$2:U786),$U$2:$U$1001,0),0), INDEX($AB$1004:$AQ$1004,1,MATCH(COLUMNS($AB$1006:AD1006),$AB$1006:$AQ$1006,0)))),"Fix")))</f>
        <v>0</v>
      </c>
      <c r="E786" s="4">
        <f>IF(OR(INDEX($V$2:$V$1001,MATCH(ROWS($U$2:U786),$U$2:$U$1001,0),1)&gt;=100000,INDEX($AB$1005:$AQ$1005,1,MATCH(COLUMNS($AB$1006:AE1006),$AB$1006:$AQ$1006,0))&gt;=100000), " ",IF(INDEX($AB$2:$AQ$1001,MATCH(ROWS($U$2:U786),$U$2:$U$1001,0),MATCH(COLUMNS($AB$1006:AE1006),$AB$1006:$AQ$1006,0)), HYPERLINK("#",""), HYPERLINK(CONCATENATE("#metadata!", ADDRESS(INDEX($W$2:$W$1001,MATCH(ROWS($U$2:U786),$U$2:$U$1001,0),0), INDEX($AB$1004:$AQ$1004,1,MATCH(COLUMNS($AB$1006:AE1006),$AB$1006:$AQ$1006,0)))),"Fix")))</f>
        <v>0</v>
      </c>
      <c r="F786" s="4">
        <f>IF(OR(INDEX($V$2:$V$1001,MATCH(ROWS($U$2:U786),$U$2:$U$1001,0),1)&gt;=100000,INDEX($AB$1005:$AQ$1005,1,MATCH(COLUMNS($AB$1006:AF1006),$AB$1006:$AQ$1006,0))&gt;=100000), " ",IF(INDEX($AB$2:$AQ$1001,MATCH(ROWS($U$2:U786),$U$2:$U$1001,0),MATCH(COLUMNS($AB$1006:AF1006),$AB$1006:$AQ$1006,0)), HYPERLINK("#",""), HYPERLINK(CONCATENATE("#metadata!", ADDRESS(INDEX($W$2:$W$1001,MATCH(ROWS($U$2:U786),$U$2:$U$1001,0),0), INDEX($AB$1004:$AQ$1004,1,MATCH(COLUMNS($AB$1006:AF1006),$AB$1006:$AQ$1006,0)))),"Fix")))</f>
        <v>0</v>
      </c>
      <c r="G786" s="4">
        <f>IF(OR(INDEX($V$2:$V$1001,MATCH(ROWS($U$2:U786),$U$2:$U$1001,0),1)&gt;=100000,INDEX($AB$1005:$AQ$1005,1,MATCH(COLUMNS($AB$1006:AG1006),$AB$1006:$AQ$1006,0))&gt;=100000), " ",IF(INDEX($AB$2:$AQ$1001,MATCH(ROWS($U$2:U786),$U$2:$U$1001,0),MATCH(COLUMNS($AB$1006:AG1006),$AB$1006:$AQ$1006,0)), HYPERLINK("#",""), HYPERLINK(CONCATENATE("#metadata!", ADDRESS(INDEX($W$2:$W$1001,MATCH(ROWS($U$2:U786),$U$2:$U$1001,0),0), INDEX($AB$1004:$AQ$1004,1,MATCH(COLUMNS($AB$1006:AG1006),$AB$1006:$AQ$1006,0)))),"Fix")))</f>
        <v>0</v>
      </c>
      <c r="H786" s="4">
        <f>IF(OR(INDEX($V$2:$V$1001,MATCH(ROWS($U$2:U786),$U$2:$U$1001,0),1)&gt;=100000,INDEX($AB$1005:$AQ$1005,1,MATCH(COLUMNS($AB$1006:AH1006),$AB$1006:$AQ$1006,0))&gt;=100000), " ",IF(INDEX($AB$2:$AQ$1001,MATCH(ROWS($U$2:U786),$U$2:$U$1001,0),MATCH(COLUMNS($AB$1006:AH1006),$AB$1006:$AQ$1006,0)), HYPERLINK("#",""), HYPERLINK(CONCATENATE("#metadata!", ADDRESS(INDEX($W$2:$W$1001,MATCH(ROWS($U$2:U786),$U$2:$U$1001,0),0), INDEX($AB$1004:$AQ$1004,1,MATCH(COLUMNS($AB$1006:AH1006),$AB$1006:$AQ$1006,0)))),"Fix")))</f>
        <v>0</v>
      </c>
      <c r="I786" s="4">
        <f>IF(OR(INDEX($V$2:$V$1001,MATCH(ROWS($U$2:U786),$U$2:$U$1001,0),1)&gt;=100000,INDEX($AB$1005:$AQ$1005,1,MATCH(COLUMNS($AB$1006:AI1006),$AB$1006:$AQ$1006,0))&gt;=100000), " ",IF(INDEX($AB$2:$AQ$1001,MATCH(ROWS($U$2:U786),$U$2:$U$1001,0),MATCH(COLUMNS($AB$1006:AI1006),$AB$1006:$AQ$1006,0)), HYPERLINK("#",""), HYPERLINK(CONCATENATE("#metadata!", ADDRESS(INDEX($W$2:$W$1001,MATCH(ROWS($U$2:U786),$U$2:$U$1001,0),0), INDEX($AB$1004:$AQ$1004,1,MATCH(COLUMNS($AB$1006:AI1006),$AB$1006:$AQ$1006,0)))),"Fix")))</f>
        <v>0</v>
      </c>
      <c r="J786" s="4">
        <f>IF(OR(INDEX($V$2:$V$1001,MATCH(ROWS($U$2:U786),$U$2:$U$1001,0),1)&gt;=100000,INDEX($AB$1005:$AQ$1005,1,MATCH(COLUMNS($AB$1006:AJ1006),$AB$1006:$AQ$1006,0))&gt;=100000), " ",IF(INDEX($AB$2:$AQ$1001,MATCH(ROWS($U$2:U786),$U$2:$U$1001,0),MATCH(COLUMNS($AB$1006:AJ1006),$AB$1006:$AQ$1006,0)), HYPERLINK("#",""), HYPERLINK(CONCATENATE("#metadata!", ADDRESS(INDEX($W$2:$W$1001,MATCH(ROWS($U$2:U786),$U$2:$U$1001,0),0), INDEX($AB$1004:$AQ$1004,1,MATCH(COLUMNS($AB$1006:AJ1006),$AB$1006:$AQ$1006,0)))),"Fix")))</f>
        <v>0</v>
      </c>
      <c r="K786" s="4">
        <f>IF(OR(INDEX($V$2:$V$1001,MATCH(ROWS($U$2:U786),$U$2:$U$1001,0),1)&gt;=100000,INDEX($AB$1005:$AQ$1005,1,MATCH(COLUMNS($AB$1006:AK1006),$AB$1006:$AQ$1006,0))&gt;=100000), " ",IF(INDEX($AB$2:$AQ$1001,MATCH(ROWS($U$2:U786),$U$2:$U$1001,0),MATCH(COLUMNS($AB$1006:AK1006),$AB$1006:$AQ$1006,0)), HYPERLINK("#",""), HYPERLINK(CONCATENATE("#metadata!", ADDRESS(INDEX($W$2:$W$1001,MATCH(ROWS($U$2:U786),$U$2:$U$1001,0),0), INDEX($AB$1004:$AQ$1004,1,MATCH(COLUMNS($AB$1006:AK1006),$AB$1006:$AQ$1006,0)))),"Fix")))</f>
        <v>0</v>
      </c>
      <c r="L786" s="4">
        <f>IF(OR(INDEX($V$2:$V$1001,MATCH(ROWS($U$2:U786),$U$2:$U$1001,0),1)&gt;=100000,INDEX($AB$1005:$AQ$1005,1,MATCH(COLUMNS($AB$1006:AL1006),$AB$1006:$AQ$1006,0))&gt;=100000), " ",IF(INDEX($AB$2:$AQ$1001,MATCH(ROWS($U$2:U786),$U$2:$U$1001,0),MATCH(COLUMNS($AB$1006:AL1006),$AB$1006:$AQ$1006,0)), HYPERLINK("#",""), HYPERLINK(CONCATENATE("#metadata!", ADDRESS(INDEX($W$2:$W$1001,MATCH(ROWS($U$2:U786),$U$2:$U$1001,0),0), INDEX($AB$1004:$AQ$1004,1,MATCH(COLUMNS($AB$1006:AL1006),$AB$1006:$AQ$1006,0)))),"Fix")))</f>
        <v>0</v>
      </c>
      <c r="M786" s="4">
        <f>IF(OR(INDEX($V$2:$V$1001,MATCH(ROWS($U$2:U786),$U$2:$U$1001,0),1)&gt;=100000,INDEX($AB$1005:$AQ$1005,1,MATCH(COLUMNS($AB$1006:AM1006),$AB$1006:$AQ$1006,0))&gt;=100000), " ",IF(INDEX($AB$2:$AQ$1001,MATCH(ROWS($U$2:U786),$U$2:$U$1001,0),MATCH(COLUMNS($AB$1006:AM1006),$AB$1006:$AQ$1006,0)), HYPERLINK("#",""), HYPERLINK(CONCATENATE("#metadata!", ADDRESS(INDEX($W$2:$W$1001,MATCH(ROWS($U$2:U786),$U$2:$U$1001,0),0), INDEX($AB$1004:$AQ$1004,1,MATCH(COLUMNS($AB$1006:AM1006),$AB$1006:$AQ$1006,0)))),"Fix")))</f>
        <v>0</v>
      </c>
      <c r="N786" s="4">
        <f>IF(OR(INDEX($V$2:$V$1001,MATCH(ROWS($U$2:U786),$U$2:$U$1001,0),1)&gt;=100000,INDEX($AB$1005:$AQ$1005,1,MATCH(COLUMNS($AB$1006:AN1006),$AB$1006:$AQ$1006,0))&gt;=100000), " ",IF(INDEX($AB$2:$AQ$1001,MATCH(ROWS($U$2:U786),$U$2:$U$1001,0),MATCH(COLUMNS($AB$1006:AN1006),$AB$1006:$AQ$1006,0)), HYPERLINK("#",""), HYPERLINK(CONCATENATE("#metadata!", ADDRESS(INDEX($W$2:$W$1001,MATCH(ROWS($U$2:U786),$U$2:$U$1001,0),0), INDEX($AB$1004:$AQ$1004,1,MATCH(COLUMNS($AB$1006:AN1006),$AB$1006:$AQ$1006,0)))),"Fix")))</f>
        <v>0</v>
      </c>
      <c r="O786" s="4">
        <f>IF(OR(INDEX($V$2:$V$1001,MATCH(ROWS($U$2:U786),$U$2:$U$1001,0),1)&gt;=100000,INDEX($AB$1005:$AQ$1005,1,MATCH(COLUMNS($AB$1006:AO1006),$AB$1006:$AQ$1006,0))&gt;=100000), " ",IF(INDEX($AB$2:$AQ$1001,MATCH(ROWS($U$2:U786),$U$2:$U$1001,0),MATCH(COLUMNS($AB$1006:AO1006),$AB$1006:$AQ$1006,0)), HYPERLINK("#",""), HYPERLINK(CONCATENATE("#metadata!", ADDRESS(INDEX($W$2:$W$1001,MATCH(ROWS($U$2:U786),$U$2:$U$1001,0),0), INDEX($AB$1004:$AQ$1004,1,MATCH(COLUMNS($AB$1006:AO1006),$AB$1006:$AQ$1006,0)))),"Fix")))</f>
        <v>0</v>
      </c>
      <c r="P786" s="4">
        <f>IF(OR(INDEX($V$2:$V$1001,MATCH(ROWS($U$2:U786),$U$2:$U$1001,0),1)&gt;=100000,INDEX($AB$1005:$AQ$1005,1,MATCH(COLUMNS($AB$1006:AP1006),$AB$1006:$AQ$1006,0))&gt;=100000), " ",IF(INDEX($AB$2:$AQ$1001,MATCH(ROWS($U$2:U786),$U$2:$U$1001,0),MATCH(COLUMNS($AB$1006:AP1006),$AB$1006:$AQ$1006,0)), HYPERLINK("#",""), HYPERLINK(CONCATENATE("#metadata!", ADDRESS(INDEX($W$2:$W$1001,MATCH(ROWS($U$2:U786),$U$2:$U$1001,0),0), INDEX($AB$1004:$AQ$1004,1,MATCH(COLUMNS($AB$1006:AP1006),$AB$1006:$AQ$1006,0)))),"Fix")))</f>
        <v>0</v>
      </c>
      <c r="Q786" s="4">
        <f>IF(OR(INDEX($V$2:$V$1001,MATCH(ROWS($U$2:U786),$U$2:$U$1001,0),1)&gt;=100000,INDEX($AB$1005:$AQ$1005,1,MATCH(COLUMNS($AB$1006:AQ1006),$AB$1006:$AQ$1006,0))&gt;=100000), " ",IF(INDEX($AB$2:$AQ$1001,MATCH(ROWS($U$2:U786),$U$2:$U$1001,0),MATCH(COLUMNS($AB$1006:AQ1006),$AB$1006:$AQ$1006,0)), HYPERLINK("#",""), HYPERLINK(CONCATENATE("#metadata!", ADDRESS(INDEX($W$2:$W$1001,MATCH(ROWS($U$2:U786),$U$2:$U$1001,0),0), INDEX($AB$1004:$AQ$1004,1,MATCH(COLUMNS($AB$1006:AQ1006),$AB$1006:$AQ$1006,0)))),"Fix")))</f>
        <v>0</v>
      </c>
      <c r="U786">
        <v>0</v>
      </c>
      <c r="V786">
        <v>0</v>
      </c>
      <c r="W786">
        <v>0</v>
      </c>
      <c r="X786">
        <f>IF(Y786,TRUE,AND(AB786:AQ786))</f>
        <v>0</v>
      </c>
      <c r="Y786">
        <f>COUNTBLANK(metadata!B786:Q786)=COLUMNS(metadata!B786:Q786)</f>
        <v>0</v>
      </c>
      <c r="Z786">
        <v>0</v>
      </c>
      <c r="AB786">
        <f>AND(IF(metadata!B786="",FALSE,TRUE),COUNTIF(metadata!B:B, metadata!B786) = 1,NOT(ISERROR(SUMPRODUCT(SEARCH(MID(metadata!B786,ROW(INDIRECT("1:"&amp;LEN(metadata!B786))), 1),"0123456789abcdefghijklmnopqrstuvwxyzABCDEFGHIJKLMNOPQRSTUVWXYZ.")))))</f>
        <v>0</v>
      </c>
      <c r="AC786">
        <f>OR(AND(IF(metadata!C786="",FALSE,TRUE),OR(exact(metadata!C786,"missing: not collected"),exact(metadata!C786,"missing: not provided"),exact(metadata!C786,"missing: restricted access"))),AND(IF(metadata!C786="",FALSE,TRUE),AND(AND(IFERROR(INT(LEFT(metadata!C786,4))&gt;1900,FALSE),IFERROR(INT(LEFT(metadata!C786,4))&lt;=YEAR(NOW()),FALSE)), OR(MID(metadata!C786,5,1)="", AND(AND(MID(metadata!C786,5,1)="-",IFERROR(INT(MID(metadata!C786,6,1))&gt;=0,FALSE),IFERROR(INT(MID(metadata!C786,6,1))&lt;=1,FALSE),NOT(MID(metadata!C786,7,1)=""),IFERROR(INT(MID(metadata!C786,6,2))&gt;=1,FALSE),IFERROR(INT(MID(metadata!C786,6,2))&lt;=12,FALSE)), OR(MID(metadata!C786,8,1)="", AND(AND(MID(metadata!C786,8,1)="-",IFERROR(INT(MID(metadata!C786,9,1))&gt;=0,FALSE),IFERROR(INT(MID(metadata!C786,9,1))&lt;=3,FALSE),NOT(MID(metadata!C786,10,1)=""),IFERROR(INT(MID(metadata!C786,9,2))&gt;=1,FALSE),IFERROR(INT(MID(metadata!C786,9,2))&lt;=31,FALSE)), OR(MID(metadata!C786,11,1)="", AND(AND(MID(metadata!C786,11,1)=" ",IFERROR(INT(MID(metadata!C786,12,1))&gt;=0,FALSE),IFERROR(INT(MID(metadata!C786,12,1))&lt;=2,FALSE),NOT(MID(metadata!C786,13,1)=""),IFERROR(INT(MID(metadata!C786,12,2))&gt;=0,FALSE),IFERROR(INT(MID(metadata!C786,12,2))&lt;=23,FALSE)), OR(MID(metadata!C786,14,1)="", AND(AND(MID(metadata!C786,14,1)=":",IFERROR(INT(MID(metadata!C786,15,1))&gt;=0,FALSE),IFERROR(INT(MID(metadata!C786,15,1))&lt;=5,FALSE),NOT(MID(metadata!C786,16,1)=""),IFERROR(INT(MID(metadata!C786,15,2))&gt;=0,FALSE),IFERROR(INT(MID(metadata!C786,15,2))&lt;=59,FALSE)), OR(MID(metadata!C786,17,1)="", AND(AND(MID(metadata!C786,17,1)=":",IFERROR(INT(MID(metadata!C786,18,1))&gt;=0,FALSE),IFERROR(INT(MID(metadata!C786,18,1))&lt;=5,FALSE),NOT(MID(metadata!C786,19,1)=""),IFERROR(INT(MID(metadata!C786,18,2))&gt;=0,FALSE),IFERROR(INT(MID(metadata!C786,18,2))&lt;=59,FALSE)), LEN(metadata!C786)&lt;=19)))))))))))))</f>
        <v>0</v>
      </c>
      <c r="AD786">
        <f>IF(metadata!D786="",FALSE,TRUE)</f>
        <v>0</v>
      </c>
      <c r="AE786">
        <f>OR(AND(IF(metadata!E786="",FALSE,TRUE),OR(exact(metadata!E786,"missing: not collected"),exact(metadata!E786,"missing: not provided"))),AND(IF(metadata!E786="",FALSE,TRUE),OR(exact(metadata!E786,"TRUE"),exact(metadata!E786,"FALSE"))))</f>
        <v>0</v>
      </c>
      <c r="AF786">
        <f>IF(metadata!F786="",FALSE,TRUE)</f>
        <v>0</v>
      </c>
      <c r="AG786">
        <f>IF(metadata!G786="",FALSE,TRUE)</f>
        <v>0</v>
      </c>
      <c r="AH786">
        <f>IF(metadata!H786="",FALSE,TRUE)</f>
        <v>0</v>
      </c>
      <c r="AI786">
        <f>OR(AND(IF(metadata!I786="",FALSE,TRUE),OR(exact(metadata!I786,"missing: not collected"),exact(metadata!I786,"missing: not provided"),exact(metadata!I786,"missing: restricted access"))),AND(IF(metadata!I786="",FALSE,TRUE),OR(exact(metadata!I786,"air"),exact(metadata!I786,"built environment"),exact(metadata!I786,"host-associated"),exact(metadata!I786,"human-associated"),exact(metadata!I786,"human-skin"),exact(metadata!I786,"human-oral"),exact(metadata!I786,"human-gut"),exact(metadata!I786,"human-vaginal"),exact(metadata!I786,"microbial mat/biofilm"),exact(metadata!I786,"misc environment"),exact(metadata!I786,"plant-associated"),exact(metadata!I786,"sediment"),exact(metadata!I786,"soil"),exact(metadata!I786,"wastewater/sludge"),exact(metadata!I786,"water"))))</f>
        <v>0</v>
      </c>
      <c r="AJ786">
        <f>IF(metadata!J786="",FALSE,TRUE)</f>
        <v>0</v>
      </c>
      <c r="AK786">
        <f>OR(AND(IF(metadata!K786="",FALSE,TRUE),OR(exact(metadata!K786,"missing: not collected"),exact(metadata!K786,"missing: not provided"),exact(metadata!K786,"missing: restricted access"))),AND(IF(metadata!K786="",FALSE,ISNUMBER(VALUE(metadata!K786))),metadata!K786&gt;=-90.00,metadata!K786&lt;=90.00))</f>
        <v>0</v>
      </c>
      <c r="AL786">
        <f>OR(AND(IF(metadata!L786="",FALSE,TRUE),OR(exact(metadata!L786,"missing: not collected"),exact(metadata!L786,"missing: not provided"),exact(metadata!L786,"missing: restricted access"))),AND(IF(metadata!L786="",FALSE,ISNUMBER(VALUE(metadata!L786))),metadata!L786&gt;=-180.00,metadata!L786&lt;=180.00))</f>
        <v>0</v>
      </c>
      <c r="AM786">
        <f>IF(metadata!M786="",FALSE,TRUE)</f>
        <v>0</v>
      </c>
      <c r="AN786">
        <f>OR(AND(IF(metadata!N786="",FALSE,TRUE),OR(exact(metadata!N786,"missing: not collected"),exact(metadata!N786,"missing: not provided"),exact(metadata!N786,"missing: restricted access"))),AND(IF(metadata!N786="",FALSE,TRUE),OR(exact(metadata!N786,"TRUE"),exact(metadata!N786,"FALSE"))))</f>
        <v>0</v>
      </c>
      <c r="AO786">
        <f>IF(metadata!O786="",FALSE,TRUE)</f>
        <v>0</v>
      </c>
      <c r="AP786">
        <f>OR(AND(IF(metadata!P786="",FALSE,TRUE),OR(exact(metadata!P786,"missing: not collected"),exact(metadata!P786,"missing: not provided"))),AND(IF(metadata!P786="",FALSE,IF(ISERROR(INT(metadata!P786)),FALSE,INT(metadata!P786)=metadata!P786)),metadata!P786&gt;0))</f>
        <v>0</v>
      </c>
      <c r="AQ786">
        <f>IF(metadata!Q786="",FALSE,TRUE)</f>
        <v>0</v>
      </c>
    </row>
    <row r="787" spans="1:43">
      <c r="A787" s="5">
        <f>IF(B787=" "," ",HYPERLINK(CONCATENATE("#metadata!",ADDRESS(INDEX($W$2:$W$1001,MATCH(ROWS($U$2:U787),$U$2:$U$1001,0),0),1)),INDEX($Z$2:$Z$1001,MATCH(ROWS($U$2:U787),$U$2:$U$1001,0),0)))</f>
        <v>0</v>
      </c>
      <c r="B787" s="4">
        <f>IF(OR(INDEX($V$2:$V$1001,MATCH(ROWS($U$2:U787),$U$2:$U$1001,0),1)&gt;=100000,INDEX($AB$1005:$AQ$1005,1,MATCH(COLUMNS($AB$1006:AB1006),$AB$1006:$AQ$1006,0))&gt;=100000), " ",IF(INDEX($AB$2:$AQ$1001,MATCH(ROWS($U$2:U787),$U$2:$U$1001,0),MATCH(COLUMNS($AB$1006:AB1006),$AB$1006:$AQ$1006,0)), HYPERLINK("#",""), HYPERLINK(CONCATENATE("#metadata!", ADDRESS(INDEX($W$2:$W$1001,MATCH(ROWS($U$2:U787),$U$2:$U$1001,0),0), INDEX($AB$1004:$AQ$1004,1,MATCH(COLUMNS($AB$1006:AB1006),$AB$1006:$AQ$1006,0)))),"Fix")))</f>
        <v>0</v>
      </c>
      <c r="C787" s="4">
        <f>IF(OR(INDEX($V$2:$V$1001,MATCH(ROWS($U$2:U787),$U$2:$U$1001,0),1)&gt;=100000,INDEX($AB$1005:$AQ$1005,1,MATCH(COLUMNS($AB$1006:AC1006),$AB$1006:$AQ$1006,0))&gt;=100000), " ",IF(INDEX($AB$2:$AQ$1001,MATCH(ROWS($U$2:U787),$U$2:$U$1001,0),MATCH(COLUMNS($AB$1006:AC1006),$AB$1006:$AQ$1006,0)), HYPERLINK("#",""), HYPERLINK(CONCATENATE("#metadata!", ADDRESS(INDEX($W$2:$W$1001,MATCH(ROWS($U$2:U787),$U$2:$U$1001,0),0), INDEX($AB$1004:$AQ$1004,1,MATCH(COLUMNS($AB$1006:AC1006),$AB$1006:$AQ$1006,0)))),"Fix")))</f>
        <v>0</v>
      </c>
      <c r="D787" s="4">
        <f>IF(OR(INDEX($V$2:$V$1001,MATCH(ROWS($U$2:U787),$U$2:$U$1001,0),1)&gt;=100000,INDEX($AB$1005:$AQ$1005,1,MATCH(COLUMNS($AB$1006:AD1006),$AB$1006:$AQ$1006,0))&gt;=100000), " ",IF(INDEX($AB$2:$AQ$1001,MATCH(ROWS($U$2:U787),$U$2:$U$1001,0),MATCH(COLUMNS($AB$1006:AD1006),$AB$1006:$AQ$1006,0)), HYPERLINK("#",""), HYPERLINK(CONCATENATE("#metadata!", ADDRESS(INDEX($W$2:$W$1001,MATCH(ROWS($U$2:U787),$U$2:$U$1001,0),0), INDEX($AB$1004:$AQ$1004,1,MATCH(COLUMNS($AB$1006:AD1006),$AB$1006:$AQ$1006,0)))),"Fix")))</f>
        <v>0</v>
      </c>
      <c r="E787" s="4">
        <f>IF(OR(INDEX($V$2:$V$1001,MATCH(ROWS($U$2:U787),$U$2:$U$1001,0),1)&gt;=100000,INDEX($AB$1005:$AQ$1005,1,MATCH(COLUMNS($AB$1006:AE1006),$AB$1006:$AQ$1006,0))&gt;=100000), " ",IF(INDEX($AB$2:$AQ$1001,MATCH(ROWS($U$2:U787),$U$2:$U$1001,0),MATCH(COLUMNS($AB$1006:AE1006),$AB$1006:$AQ$1006,0)), HYPERLINK("#",""), HYPERLINK(CONCATENATE("#metadata!", ADDRESS(INDEX($W$2:$W$1001,MATCH(ROWS($U$2:U787),$U$2:$U$1001,0),0), INDEX($AB$1004:$AQ$1004,1,MATCH(COLUMNS($AB$1006:AE1006),$AB$1006:$AQ$1006,0)))),"Fix")))</f>
        <v>0</v>
      </c>
      <c r="F787" s="4">
        <f>IF(OR(INDEX($V$2:$V$1001,MATCH(ROWS($U$2:U787),$U$2:$U$1001,0),1)&gt;=100000,INDEX($AB$1005:$AQ$1005,1,MATCH(COLUMNS($AB$1006:AF1006),$AB$1006:$AQ$1006,0))&gt;=100000), " ",IF(INDEX($AB$2:$AQ$1001,MATCH(ROWS($U$2:U787),$U$2:$U$1001,0),MATCH(COLUMNS($AB$1006:AF1006),$AB$1006:$AQ$1006,0)), HYPERLINK("#",""), HYPERLINK(CONCATENATE("#metadata!", ADDRESS(INDEX($W$2:$W$1001,MATCH(ROWS($U$2:U787),$U$2:$U$1001,0),0), INDEX($AB$1004:$AQ$1004,1,MATCH(COLUMNS($AB$1006:AF1006),$AB$1006:$AQ$1006,0)))),"Fix")))</f>
        <v>0</v>
      </c>
      <c r="G787" s="4">
        <f>IF(OR(INDEX($V$2:$V$1001,MATCH(ROWS($U$2:U787),$U$2:$U$1001,0),1)&gt;=100000,INDEX($AB$1005:$AQ$1005,1,MATCH(COLUMNS($AB$1006:AG1006),$AB$1006:$AQ$1006,0))&gt;=100000), " ",IF(INDEX($AB$2:$AQ$1001,MATCH(ROWS($U$2:U787),$U$2:$U$1001,0),MATCH(COLUMNS($AB$1006:AG1006),$AB$1006:$AQ$1006,0)), HYPERLINK("#",""), HYPERLINK(CONCATENATE("#metadata!", ADDRESS(INDEX($W$2:$W$1001,MATCH(ROWS($U$2:U787),$U$2:$U$1001,0),0), INDEX($AB$1004:$AQ$1004,1,MATCH(COLUMNS($AB$1006:AG1006),$AB$1006:$AQ$1006,0)))),"Fix")))</f>
        <v>0</v>
      </c>
      <c r="H787" s="4">
        <f>IF(OR(INDEX($V$2:$V$1001,MATCH(ROWS($U$2:U787),$U$2:$U$1001,0),1)&gt;=100000,INDEX($AB$1005:$AQ$1005,1,MATCH(COLUMNS($AB$1006:AH1006),$AB$1006:$AQ$1006,0))&gt;=100000), " ",IF(INDEX($AB$2:$AQ$1001,MATCH(ROWS($U$2:U787),$U$2:$U$1001,0),MATCH(COLUMNS($AB$1006:AH1006),$AB$1006:$AQ$1006,0)), HYPERLINK("#",""), HYPERLINK(CONCATENATE("#metadata!", ADDRESS(INDEX($W$2:$W$1001,MATCH(ROWS($U$2:U787),$U$2:$U$1001,0),0), INDEX($AB$1004:$AQ$1004,1,MATCH(COLUMNS($AB$1006:AH1006),$AB$1006:$AQ$1006,0)))),"Fix")))</f>
        <v>0</v>
      </c>
      <c r="I787" s="4">
        <f>IF(OR(INDEX($V$2:$V$1001,MATCH(ROWS($U$2:U787),$U$2:$U$1001,0),1)&gt;=100000,INDEX($AB$1005:$AQ$1005,1,MATCH(COLUMNS($AB$1006:AI1006),$AB$1006:$AQ$1006,0))&gt;=100000), " ",IF(INDEX($AB$2:$AQ$1001,MATCH(ROWS($U$2:U787),$U$2:$U$1001,0),MATCH(COLUMNS($AB$1006:AI1006),$AB$1006:$AQ$1006,0)), HYPERLINK("#",""), HYPERLINK(CONCATENATE("#metadata!", ADDRESS(INDEX($W$2:$W$1001,MATCH(ROWS($U$2:U787),$U$2:$U$1001,0),0), INDEX($AB$1004:$AQ$1004,1,MATCH(COLUMNS($AB$1006:AI1006),$AB$1006:$AQ$1006,0)))),"Fix")))</f>
        <v>0</v>
      </c>
      <c r="J787" s="4">
        <f>IF(OR(INDEX($V$2:$V$1001,MATCH(ROWS($U$2:U787),$U$2:$U$1001,0),1)&gt;=100000,INDEX($AB$1005:$AQ$1005,1,MATCH(COLUMNS($AB$1006:AJ1006),$AB$1006:$AQ$1006,0))&gt;=100000), " ",IF(INDEX($AB$2:$AQ$1001,MATCH(ROWS($U$2:U787),$U$2:$U$1001,0),MATCH(COLUMNS($AB$1006:AJ1006),$AB$1006:$AQ$1006,0)), HYPERLINK("#",""), HYPERLINK(CONCATENATE("#metadata!", ADDRESS(INDEX($W$2:$W$1001,MATCH(ROWS($U$2:U787),$U$2:$U$1001,0),0), INDEX($AB$1004:$AQ$1004,1,MATCH(COLUMNS($AB$1006:AJ1006),$AB$1006:$AQ$1006,0)))),"Fix")))</f>
        <v>0</v>
      </c>
      <c r="K787" s="4">
        <f>IF(OR(INDEX($V$2:$V$1001,MATCH(ROWS($U$2:U787),$U$2:$U$1001,0),1)&gt;=100000,INDEX($AB$1005:$AQ$1005,1,MATCH(COLUMNS($AB$1006:AK1006),$AB$1006:$AQ$1006,0))&gt;=100000), " ",IF(INDEX($AB$2:$AQ$1001,MATCH(ROWS($U$2:U787),$U$2:$U$1001,0),MATCH(COLUMNS($AB$1006:AK1006),$AB$1006:$AQ$1006,0)), HYPERLINK("#",""), HYPERLINK(CONCATENATE("#metadata!", ADDRESS(INDEX($W$2:$W$1001,MATCH(ROWS($U$2:U787),$U$2:$U$1001,0),0), INDEX($AB$1004:$AQ$1004,1,MATCH(COLUMNS($AB$1006:AK1006),$AB$1006:$AQ$1006,0)))),"Fix")))</f>
        <v>0</v>
      </c>
      <c r="L787" s="4">
        <f>IF(OR(INDEX($V$2:$V$1001,MATCH(ROWS($U$2:U787),$U$2:$U$1001,0),1)&gt;=100000,INDEX($AB$1005:$AQ$1005,1,MATCH(COLUMNS($AB$1006:AL1006),$AB$1006:$AQ$1006,0))&gt;=100000), " ",IF(INDEX($AB$2:$AQ$1001,MATCH(ROWS($U$2:U787),$U$2:$U$1001,0),MATCH(COLUMNS($AB$1006:AL1006),$AB$1006:$AQ$1006,0)), HYPERLINK("#",""), HYPERLINK(CONCATENATE("#metadata!", ADDRESS(INDEX($W$2:$W$1001,MATCH(ROWS($U$2:U787),$U$2:$U$1001,0),0), INDEX($AB$1004:$AQ$1004,1,MATCH(COLUMNS($AB$1006:AL1006),$AB$1006:$AQ$1006,0)))),"Fix")))</f>
        <v>0</v>
      </c>
      <c r="M787" s="4">
        <f>IF(OR(INDEX($V$2:$V$1001,MATCH(ROWS($U$2:U787),$U$2:$U$1001,0),1)&gt;=100000,INDEX($AB$1005:$AQ$1005,1,MATCH(COLUMNS($AB$1006:AM1006),$AB$1006:$AQ$1006,0))&gt;=100000), " ",IF(INDEX($AB$2:$AQ$1001,MATCH(ROWS($U$2:U787),$U$2:$U$1001,0),MATCH(COLUMNS($AB$1006:AM1006),$AB$1006:$AQ$1006,0)), HYPERLINK("#",""), HYPERLINK(CONCATENATE("#metadata!", ADDRESS(INDEX($W$2:$W$1001,MATCH(ROWS($U$2:U787),$U$2:$U$1001,0),0), INDEX($AB$1004:$AQ$1004,1,MATCH(COLUMNS($AB$1006:AM1006),$AB$1006:$AQ$1006,0)))),"Fix")))</f>
        <v>0</v>
      </c>
      <c r="N787" s="4">
        <f>IF(OR(INDEX($V$2:$V$1001,MATCH(ROWS($U$2:U787),$U$2:$U$1001,0),1)&gt;=100000,INDEX($AB$1005:$AQ$1005,1,MATCH(COLUMNS($AB$1006:AN1006),$AB$1006:$AQ$1006,0))&gt;=100000), " ",IF(INDEX($AB$2:$AQ$1001,MATCH(ROWS($U$2:U787),$U$2:$U$1001,0),MATCH(COLUMNS($AB$1006:AN1006),$AB$1006:$AQ$1006,0)), HYPERLINK("#",""), HYPERLINK(CONCATENATE("#metadata!", ADDRESS(INDEX($W$2:$W$1001,MATCH(ROWS($U$2:U787),$U$2:$U$1001,0),0), INDEX($AB$1004:$AQ$1004,1,MATCH(COLUMNS($AB$1006:AN1006),$AB$1006:$AQ$1006,0)))),"Fix")))</f>
        <v>0</v>
      </c>
      <c r="O787" s="4">
        <f>IF(OR(INDEX($V$2:$V$1001,MATCH(ROWS($U$2:U787),$U$2:$U$1001,0),1)&gt;=100000,INDEX($AB$1005:$AQ$1005,1,MATCH(COLUMNS($AB$1006:AO1006),$AB$1006:$AQ$1006,0))&gt;=100000), " ",IF(INDEX($AB$2:$AQ$1001,MATCH(ROWS($U$2:U787),$U$2:$U$1001,0),MATCH(COLUMNS($AB$1006:AO1006),$AB$1006:$AQ$1006,0)), HYPERLINK("#",""), HYPERLINK(CONCATENATE("#metadata!", ADDRESS(INDEX($W$2:$W$1001,MATCH(ROWS($U$2:U787),$U$2:$U$1001,0),0), INDEX($AB$1004:$AQ$1004,1,MATCH(COLUMNS($AB$1006:AO1006),$AB$1006:$AQ$1006,0)))),"Fix")))</f>
        <v>0</v>
      </c>
      <c r="P787" s="4">
        <f>IF(OR(INDEX($V$2:$V$1001,MATCH(ROWS($U$2:U787),$U$2:$U$1001,0),1)&gt;=100000,INDEX($AB$1005:$AQ$1005,1,MATCH(COLUMNS($AB$1006:AP1006),$AB$1006:$AQ$1006,0))&gt;=100000), " ",IF(INDEX($AB$2:$AQ$1001,MATCH(ROWS($U$2:U787),$U$2:$U$1001,0),MATCH(COLUMNS($AB$1006:AP1006),$AB$1006:$AQ$1006,0)), HYPERLINK("#",""), HYPERLINK(CONCATENATE("#metadata!", ADDRESS(INDEX($W$2:$W$1001,MATCH(ROWS($U$2:U787),$U$2:$U$1001,0),0), INDEX($AB$1004:$AQ$1004,1,MATCH(COLUMNS($AB$1006:AP1006),$AB$1006:$AQ$1006,0)))),"Fix")))</f>
        <v>0</v>
      </c>
      <c r="Q787" s="4">
        <f>IF(OR(INDEX($V$2:$V$1001,MATCH(ROWS($U$2:U787),$U$2:$U$1001,0),1)&gt;=100000,INDEX($AB$1005:$AQ$1005,1,MATCH(COLUMNS($AB$1006:AQ1006),$AB$1006:$AQ$1006,0))&gt;=100000), " ",IF(INDEX($AB$2:$AQ$1001,MATCH(ROWS($U$2:U787),$U$2:$U$1001,0),MATCH(COLUMNS($AB$1006:AQ1006),$AB$1006:$AQ$1006,0)), HYPERLINK("#",""), HYPERLINK(CONCATENATE("#metadata!", ADDRESS(INDEX($W$2:$W$1001,MATCH(ROWS($U$2:U787),$U$2:$U$1001,0),0), INDEX($AB$1004:$AQ$1004,1,MATCH(COLUMNS($AB$1006:AQ1006),$AB$1006:$AQ$1006,0)))),"Fix")))</f>
        <v>0</v>
      </c>
      <c r="U787">
        <v>0</v>
      </c>
      <c r="V787">
        <v>0</v>
      </c>
      <c r="W787">
        <v>0</v>
      </c>
      <c r="X787">
        <f>IF(Y787,TRUE,AND(AB787:AQ787))</f>
        <v>0</v>
      </c>
      <c r="Y787">
        <f>COUNTBLANK(metadata!B787:Q787)=COLUMNS(metadata!B787:Q787)</f>
        <v>0</v>
      </c>
      <c r="Z787">
        <v>0</v>
      </c>
      <c r="AB787">
        <f>AND(IF(metadata!B787="",FALSE,TRUE),COUNTIF(metadata!B:B, metadata!B787) = 1,NOT(ISERROR(SUMPRODUCT(SEARCH(MID(metadata!B787,ROW(INDIRECT("1:"&amp;LEN(metadata!B787))), 1),"0123456789abcdefghijklmnopqrstuvwxyzABCDEFGHIJKLMNOPQRSTUVWXYZ.")))))</f>
        <v>0</v>
      </c>
      <c r="AC787">
        <f>OR(AND(IF(metadata!C787="",FALSE,TRUE),OR(exact(metadata!C787,"missing: not collected"),exact(metadata!C787,"missing: not provided"),exact(metadata!C787,"missing: restricted access"))),AND(IF(metadata!C787="",FALSE,TRUE),AND(AND(IFERROR(INT(LEFT(metadata!C787,4))&gt;1900,FALSE),IFERROR(INT(LEFT(metadata!C787,4))&lt;=YEAR(NOW()),FALSE)), OR(MID(metadata!C787,5,1)="", AND(AND(MID(metadata!C787,5,1)="-",IFERROR(INT(MID(metadata!C787,6,1))&gt;=0,FALSE),IFERROR(INT(MID(metadata!C787,6,1))&lt;=1,FALSE),NOT(MID(metadata!C787,7,1)=""),IFERROR(INT(MID(metadata!C787,6,2))&gt;=1,FALSE),IFERROR(INT(MID(metadata!C787,6,2))&lt;=12,FALSE)), OR(MID(metadata!C787,8,1)="", AND(AND(MID(metadata!C787,8,1)="-",IFERROR(INT(MID(metadata!C787,9,1))&gt;=0,FALSE),IFERROR(INT(MID(metadata!C787,9,1))&lt;=3,FALSE),NOT(MID(metadata!C787,10,1)=""),IFERROR(INT(MID(metadata!C787,9,2))&gt;=1,FALSE),IFERROR(INT(MID(metadata!C787,9,2))&lt;=31,FALSE)), OR(MID(metadata!C787,11,1)="", AND(AND(MID(metadata!C787,11,1)=" ",IFERROR(INT(MID(metadata!C787,12,1))&gt;=0,FALSE),IFERROR(INT(MID(metadata!C787,12,1))&lt;=2,FALSE),NOT(MID(metadata!C787,13,1)=""),IFERROR(INT(MID(metadata!C787,12,2))&gt;=0,FALSE),IFERROR(INT(MID(metadata!C787,12,2))&lt;=23,FALSE)), OR(MID(metadata!C787,14,1)="", AND(AND(MID(metadata!C787,14,1)=":",IFERROR(INT(MID(metadata!C787,15,1))&gt;=0,FALSE),IFERROR(INT(MID(metadata!C787,15,1))&lt;=5,FALSE),NOT(MID(metadata!C787,16,1)=""),IFERROR(INT(MID(metadata!C787,15,2))&gt;=0,FALSE),IFERROR(INT(MID(metadata!C787,15,2))&lt;=59,FALSE)), OR(MID(metadata!C787,17,1)="", AND(AND(MID(metadata!C787,17,1)=":",IFERROR(INT(MID(metadata!C787,18,1))&gt;=0,FALSE),IFERROR(INT(MID(metadata!C787,18,1))&lt;=5,FALSE),NOT(MID(metadata!C787,19,1)=""),IFERROR(INT(MID(metadata!C787,18,2))&gt;=0,FALSE),IFERROR(INT(MID(metadata!C787,18,2))&lt;=59,FALSE)), LEN(metadata!C787)&lt;=19)))))))))))))</f>
        <v>0</v>
      </c>
      <c r="AD787">
        <f>IF(metadata!D787="",FALSE,TRUE)</f>
        <v>0</v>
      </c>
      <c r="AE787">
        <f>OR(AND(IF(metadata!E787="",FALSE,TRUE),OR(exact(metadata!E787,"missing: not collected"),exact(metadata!E787,"missing: not provided"))),AND(IF(metadata!E787="",FALSE,TRUE),OR(exact(metadata!E787,"TRUE"),exact(metadata!E787,"FALSE"))))</f>
        <v>0</v>
      </c>
      <c r="AF787">
        <f>IF(metadata!F787="",FALSE,TRUE)</f>
        <v>0</v>
      </c>
      <c r="AG787">
        <f>IF(metadata!G787="",FALSE,TRUE)</f>
        <v>0</v>
      </c>
      <c r="AH787">
        <f>IF(metadata!H787="",FALSE,TRUE)</f>
        <v>0</v>
      </c>
      <c r="AI787">
        <f>OR(AND(IF(metadata!I787="",FALSE,TRUE),OR(exact(metadata!I787,"missing: not collected"),exact(metadata!I787,"missing: not provided"),exact(metadata!I787,"missing: restricted access"))),AND(IF(metadata!I787="",FALSE,TRUE),OR(exact(metadata!I787,"air"),exact(metadata!I787,"built environment"),exact(metadata!I787,"host-associated"),exact(metadata!I787,"human-associated"),exact(metadata!I787,"human-skin"),exact(metadata!I787,"human-oral"),exact(metadata!I787,"human-gut"),exact(metadata!I787,"human-vaginal"),exact(metadata!I787,"microbial mat/biofilm"),exact(metadata!I787,"misc environment"),exact(metadata!I787,"plant-associated"),exact(metadata!I787,"sediment"),exact(metadata!I787,"soil"),exact(metadata!I787,"wastewater/sludge"),exact(metadata!I787,"water"))))</f>
        <v>0</v>
      </c>
      <c r="AJ787">
        <f>IF(metadata!J787="",FALSE,TRUE)</f>
        <v>0</v>
      </c>
      <c r="AK787">
        <f>OR(AND(IF(metadata!K787="",FALSE,TRUE),OR(exact(metadata!K787,"missing: not collected"),exact(metadata!K787,"missing: not provided"),exact(metadata!K787,"missing: restricted access"))),AND(IF(metadata!K787="",FALSE,ISNUMBER(VALUE(metadata!K787))),metadata!K787&gt;=-90.00,metadata!K787&lt;=90.00))</f>
        <v>0</v>
      </c>
      <c r="AL787">
        <f>OR(AND(IF(metadata!L787="",FALSE,TRUE),OR(exact(metadata!L787,"missing: not collected"),exact(metadata!L787,"missing: not provided"),exact(metadata!L787,"missing: restricted access"))),AND(IF(metadata!L787="",FALSE,ISNUMBER(VALUE(metadata!L787))),metadata!L787&gt;=-180.00,metadata!L787&lt;=180.00))</f>
        <v>0</v>
      </c>
      <c r="AM787">
        <f>IF(metadata!M787="",FALSE,TRUE)</f>
        <v>0</v>
      </c>
      <c r="AN787">
        <f>OR(AND(IF(metadata!N787="",FALSE,TRUE),OR(exact(metadata!N787,"missing: not collected"),exact(metadata!N787,"missing: not provided"),exact(metadata!N787,"missing: restricted access"))),AND(IF(metadata!N787="",FALSE,TRUE),OR(exact(metadata!N787,"TRUE"),exact(metadata!N787,"FALSE"))))</f>
        <v>0</v>
      </c>
      <c r="AO787">
        <f>IF(metadata!O787="",FALSE,TRUE)</f>
        <v>0</v>
      </c>
      <c r="AP787">
        <f>OR(AND(IF(metadata!P787="",FALSE,TRUE),OR(exact(metadata!P787,"missing: not collected"),exact(metadata!P787,"missing: not provided"))),AND(IF(metadata!P787="",FALSE,IF(ISERROR(INT(metadata!P787)),FALSE,INT(metadata!P787)=metadata!P787)),metadata!P787&gt;0))</f>
        <v>0</v>
      </c>
      <c r="AQ787">
        <f>IF(metadata!Q787="",FALSE,TRUE)</f>
        <v>0</v>
      </c>
    </row>
    <row r="788" spans="1:43">
      <c r="A788" s="5">
        <f>IF(B788=" "," ",HYPERLINK(CONCATENATE("#metadata!",ADDRESS(INDEX($W$2:$W$1001,MATCH(ROWS($U$2:U788),$U$2:$U$1001,0),0),1)),INDEX($Z$2:$Z$1001,MATCH(ROWS($U$2:U788),$U$2:$U$1001,0),0)))</f>
        <v>0</v>
      </c>
      <c r="B788" s="4">
        <f>IF(OR(INDEX($V$2:$V$1001,MATCH(ROWS($U$2:U788),$U$2:$U$1001,0),1)&gt;=100000,INDEX($AB$1005:$AQ$1005,1,MATCH(COLUMNS($AB$1006:AB1006),$AB$1006:$AQ$1006,0))&gt;=100000), " ",IF(INDEX($AB$2:$AQ$1001,MATCH(ROWS($U$2:U788),$U$2:$U$1001,0),MATCH(COLUMNS($AB$1006:AB1006),$AB$1006:$AQ$1006,0)), HYPERLINK("#",""), HYPERLINK(CONCATENATE("#metadata!", ADDRESS(INDEX($W$2:$W$1001,MATCH(ROWS($U$2:U788),$U$2:$U$1001,0),0), INDEX($AB$1004:$AQ$1004,1,MATCH(COLUMNS($AB$1006:AB1006),$AB$1006:$AQ$1006,0)))),"Fix")))</f>
        <v>0</v>
      </c>
      <c r="C788" s="4">
        <f>IF(OR(INDEX($V$2:$V$1001,MATCH(ROWS($U$2:U788),$U$2:$U$1001,0),1)&gt;=100000,INDEX($AB$1005:$AQ$1005,1,MATCH(COLUMNS($AB$1006:AC1006),$AB$1006:$AQ$1006,0))&gt;=100000), " ",IF(INDEX($AB$2:$AQ$1001,MATCH(ROWS($U$2:U788),$U$2:$U$1001,0),MATCH(COLUMNS($AB$1006:AC1006),$AB$1006:$AQ$1006,0)), HYPERLINK("#",""), HYPERLINK(CONCATENATE("#metadata!", ADDRESS(INDEX($W$2:$W$1001,MATCH(ROWS($U$2:U788),$U$2:$U$1001,0),0), INDEX($AB$1004:$AQ$1004,1,MATCH(COLUMNS($AB$1006:AC1006),$AB$1006:$AQ$1006,0)))),"Fix")))</f>
        <v>0</v>
      </c>
      <c r="D788" s="4">
        <f>IF(OR(INDEX($V$2:$V$1001,MATCH(ROWS($U$2:U788),$U$2:$U$1001,0),1)&gt;=100000,INDEX($AB$1005:$AQ$1005,1,MATCH(COLUMNS($AB$1006:AD1006),$AB$1006:$AQ$1006,0))&gt;=100000), " ",IF(INDEX($AB$2:$AQ$1001,MATCH(ROWS($U$2:U788),$U$2:$U$1001,0),MATCH(COLUMNS($AB$1006:AD1006),$AB$1006:$AQ$1006,0)), HYPERLINK("#",""), HYPERLINK(CONCATENATE("#metadata!", ADDRESS(INDEX($W$2:$W$1001,MATCH(ROWS($U$2:U788),$U$2:$U$1001,0),0), INDEX($AB$1004:$AQ$1004,1,MATCH(COLUMNS($AB$1006:AD1006),$AB$1006:$AQ$1006,0)))),"Fix")))</f>
        <v>0</v>
      </c>
      <c r="E788" s="4">
        <f>IF(OR(INDEX($V$2:$V$1001,MATCH(ROWS($U$2:U788),$U$2:$U$1001,0),1)&gt;=100000,INDEX($AB$1005:$AQ$1005,1,MATCH(COLUMNS($AB$1006:AE1006),$AB$1006:$AQ$1006,0))&gt;=100000), " ",IF(INDEX($AB$2:$AQ$1001,MATCH(ROWS($U$2:U788),$U$2:$U$1001,0),MATCH(COLUMNS($AB$1006:AE1006),$AB$1006:$AQ$1006,0)), HYPERLINK("#",""), HYPERLINK(CONCATENATE("#metadata!", ADDRESS(INDEX($W$2:$W$1001,MATCH(ROWS($U$2:U788),$U$2:$U$1001,0),0), INDEX($AB$1004:$AQ$1004,1,MATCH(COLUMNS($AB$1006:AE1006),$AB$1006:$AQ$1006,0)))),"Fix")))</f>
        <v>0</v>
      </c>
      <c r="F788" s="4">
        <f>IF(OR(INDEX($V$2:$V$1001,MATCH(ROWS($U$2:U788),$U$2:$U$1001,0),1)&gt;=100000,INDEX($AB$1005:$AQ$1005,1,MATCH(COLUMNS($AB$1006:AF1006),$AB$1006:$AQ$1006,0))&gt;=100000), " ",IF(INDEX($AB$2:$AQ$1001,MATCH(ROWS($U$2:U788),$U$2:$U$1001,0),MATCH(COLUMNS($AB$1006:AF1006),$AB$1006:$AQ$1006,0)), HYPERLINK("#",""), HYPERLINK(CONCATENATE("#metadata!", ADDRESS(INDEX($W$2:$W$1001,MATCH(ROWS($U$2:U788),$U$2:$U$1001,0),0), INDEX($AB$1004:$AQ$1004,1,MATCH(COLUMNS($AB$1006:AF1006),$AB$1006:$AQ$1006,0)))),"Fix")))</f>
        <v>0</v>
      </c>
      <c r="G788" s="4">
        <f>IF(OR(INDEX($V$2:$V$1001,MATCH(ROWS($U$2:U788),$U$2:$U$1001,0),1)&gt;=100000,INDEX($AB$1005:$AQ$1005,1,MATCH(COLUMNS($AB$1006:AG1006),$AB$1006:$AQ$1006,0))&gt;=100000), " ",IF(INDEX($AB$2:$AQ$1001,MATCH(ROWS($U$2:U788),$U$2:$U$1001,0),MATCH(COLUMNS($AB$1006:AG1006),$AB$1006:$AQ$1006,0)), HYPERLINK("#",""), HYPERLINK(CONCATENATE("#metadata!", ADDRESS(INDEX($W$2:$W$1001,MATCH(ROWS($U$2:U788),$U$2:$U$1001,0),0), INDEX($AB$1004:$AQ$1004,1,MATCH(COLUMNS($AB$1006:AG1006),$AB$1006:$AQ$1006,0)))),"Fix")))</f>
        <v>0</v>
      </c>
      <c r="H788" s="4">
        <f>IF(OR(INDEX($V$2:$V$1001,MATCH(ROWS($U$2:U788),$U$2:$U$1001,0),1)&gt;=100000,INDEX($AB$1005:$AQ$1005,1,MATCH(COLUMNS($AB$1006:AH1006),$AB$1006:$AQ$1006,0))&gt;=100000), " ",IF(INDEX($AB$2:$AQ$1001,MATCH(ROWS($U$2:U788),$U$2:$U$1001,0),MATCH(COLUMNS($AB$1006:AH1006),$AB$1006:$AQ$1006,0)), HYPERLINK("#",""), HYPERLINK(CONCATENATE("#metadata!", ADDRESS(INDEX($W$2:$W$1001,MATCH(ROWS($U$2:U788),$U$2:$U$1001,0),0), INDEX($AB$1004:$AQ$1004,1,MATCH(COLUMNS($AB$1006:AH1006),$AB$1006:$AQ$1006,0)))),"Fix")))</f>
        <v>0</v>
      </c>
      <c r="I788" s="4">
        <f>IF(OR(INDEX($V$2:$V$1001,MATCH(ROWS($U$2:U788),$U$2:$U$1001,0),1)&gt;=100000,INDEX($AB$1005:$AQ$1005,1,MATCH(COLUMNS($AB$1006:AI1006),$AB$1006:$AQ$1006,0))&gt;=100000), " ",IF(INDEX($AB$2:$AQ$1001,MATCH(ROWS($U$2:U788),$U$2:$U$1001,0),MATCH(COLUMNS($AB$1006:AI1006),$AB$1006:$AQ$1006,0)), HYPERLINK("#",""), HYPERLINK(CONCATENATE("#metadata!", ADDRESS(INDEX($W$2:$W$1001,MATCH(ROWS($U$2:U788),$U$2:$U$1001,0),0), INDEX($AB$1004:$AQ$1004,1,MATCH(COLUMNS($AB$1006:AI1006),$AB$1006:$AQ$1006,0)))),"Fix")))</f>
        <v>0</v>
      </c>
      <c r="J788" s="4">
        <f>IF(OR(INDEX($V$2:$V$1001,MATCH(ROWS($U$2:U788),$U$2:$U$1001,0),1)&gt;=100000,INDEX($AB$1005:$AQ$1005,1,MATCH(COLUMNS($AB$1006:AJ1006),$AB$1006:$AQ$1006,0))&gt;=100000), " ",IF(INDEX($AB$2:$AQ$1001,MATCH(ROWS($U$2:U788),$U$2:$U$1001,0),MATCH(COLUMNS($AB$1006:AJ1006),$AB$1006:$AQ$1006,0)), HYPERLINK("#",""), HYPERLINK(CONCATENATE("#metadata!", ADDRESS(INDEX($W$2:$W$1001,MATCH(ROWS($U$2:U788),$U$2:$U$1001,0),0), INDEX($AB$1004:$AQ$1004,1,MATCH(COLUMNS($AB$1006:AJ1006),$AB$1006:$AQ$1006,0)))),"Fix")))</f>
        <v>0</v>
      </c>
      <c r="K788" s="4">
        <f>IF(OR(INDEX($V$2:$V$1001,MATCH(ROWS($U$2:U788),$U$2:$U$1001,0),1)&gt;=100000,INDEX($AB$1005:$AQ$1005,1,MATCH(COLUMNS($AB$1006:AK1006),$AB$1006:$AQ$1006,0))&gt;=100000), " ",IF(INDEX($AB$2:$AQ$1001,MATCH(ROWS($U$2:U788),$U$2:$U$1001,0),MATCH(COLUMNS($AB$1006:AK1006),$AB$1006:$AQ$1006,0)), HYPERLINK("#",""), HYPERLINK(CONCATENATE("#metadata!", ADDRESS(INDEX($W$2:$W$1001,MATCH(ROWS($U$2:U788),$U$2:$U$1001,0),0), INDEX($AB$1004:$AQ$1004,1,MATCH(COLUMNS($AB$1006:AK1006),$AB$1006:$AQ$1006,0)))),"Fix")))</f>
        <v>0</v>
      </c>
      <c r="L788" s="4">
        <f>IF(OR(INDEX($V$2:$V$1001,MATCH(ROWS($U$2:U788),$U$2:$U$1001,0),1)&gt;=100000,INDEX($AB$1005:$AQ$1005,1,MATCH(COLUMNS($AB$1006:AL1006),$AB$1006:$AQ$1006,0))&gt;=100000), " ",IF(INDEX($AB$2:$AQ$1001,MATCH(ROWS($U$2:U788),$U$2:$U$1001,0),MATCH(COLUMNS($AB$1006:AL1006),$AB$1006:$AQ$1006,0)), HYPERLINK("#",""), HYPERLINK(CONCATENATE("#metadata!", ADDRESS(INDEX($W$2:$W$1001,MATCH(ROWS($U$2:U788),$U$2:$U$1001,0),0), INDEX($AB$1004:$AQ$1004,1,MATCH(COLUMNS($AB$1006:AL1006),$AB$1006:$AQ$1006,0)))),"Fix")))</f>
        <v>0</v>
      </c>
      <c r="M788" s="4">
        <f>IF(OR(INDEX($V$2:$V$1001,MATCH(ROWS($U$2:U788),$U$2:$U$1001,0),1)&gt;=100000,INDEX($AB$1005:$AQ$1005,1,MATCH(COLUMNS($AB$1006:AM1006),$AB$1006:$AQ$1006,0))&gt;=100000), " ",IF(INDEX($AB$2:$AQ$1001,MATCH(ROWS($U$2:U788),$U$2:$U$1001,0),MATCH(COLUMNS($AB$1006:AM1006),$AB$1006:$AQ$1006,0)), HYPERLINK("#",""), HYPERLINK(CONCATENATE("#metadata!", ADDRESS(INDEX($W$2:$W$1001,MATCH(ROWS($U$2:U788),$U$2:$U$1001,0),0), INDEX($AB$1004:$AQ$1004,1,MATCH(COLUMNS($AB$1006:AM1006),$AB$1006:$AQ$1006,0)))),"Fix")))</f>
        <v>0</v>
      </c>
      <c r="N788" s="4">
        <f>IF(OR(INDEX($V$2:$V$1001,MATCH(ROWS($U$2:U788),$U$2:$U$1001,0),1)&gt;=100000,INDEX($AB$1005:$AQ$1005,1,MATCH(COLUMNS($AB$1006:AN1006),$AB$1006:$AQ$1006,0))&gt;=100000), " ",IF(INDEX($AB$2:$AQ$1001,MATCH(ROWS($U$2:U788),$U$2:$U$1001,0),MATCH(COLUMNS($AB$1006:AN1006),$AB$1006:$AQ$1006,0)), HYPERLINK("#",""), HYPERLINK(CONCATENATE("#metadata!", ADDRESS(INDEX($W$2:$W$1001,MATCH(ROWS($U$2:U788),$U$2:$U$1001,0),0), INDEX($AB$1004:$AQ$1004,1,MATCH(COLUMNS($AB$1006:AN1006),$AB$1006:$AQ$1006,0)))),"Fix")))</f>
        <v>0</v>
      </c>
      <c r="O788" s="4">
        <f>IF(OR(INDEX($V$2:$V$1001,MATCH(ROWS($U$2:U788),$U$2:$U$1001,0),1)&gt;=100000,INDEX($AB$1005:$AQ$1005,1,MATCH(COLUMNS($AB$1006:AO1006),$AB$1006:$AQ$1006,0))&gt;=100000), " ",IF(INDEX($AB$2:$AQ$1001,MATCH(ROWS($U$2:U788),$U$2:$U$1001,0),MATCH(COLUMNS($AB$1006:AO1006),$AB$1006:$AQ$1006,0)), HYPERLINK("#",""), HYPERLINK(CONCATENATE("#metadata!", ADDRESS(INDEX($W$2:$W$1001,MATCH(ROWS($U$2:U788),$U$2:$U$1001,0),0), INDEX($AB$1004:$AQ$1004,1,MATCH(COLUMNS($AB$1006:AO1006),$AB$1006:$AQ$1006,0)))),"Fix")))</f>
        <v>0</v>
      </c>
      <c r="P788" s="4">
        <f>IF(OR(INDEX($V$2:$V$1001,MATCH(ROWS($U$2:U788),$U$2:$U$1001,0),1)&gt;=100000,INDEX($AB$1005:$AQ$1005,1,MATCH(COLUMNS($AB$1006:AP1006),$AB$1006:$AQ$1006,0))&gt;=100000), " ",IF(INDEX($AB$2:$AQ$1001,MATCH(ROWS($U$2:U788),$U$2:$U$1001,0),MATCH(COLUMNS($AB$1006:AP1006),$AB$1006:$AQ$1006,0)), HYPERLINK("#",""), HYPERLINK(CONCATENATE("#metadata!", ADDRESS(INDEX($W$2:$W$1001,MATCH(ROWS($U$2:U788),$U$2:$U$1001,0),0), INDEX($AB$1004:$AQ$1004,1,MATCH(COLUMNS($AB$1006:AP1006),$AB$1006:$AQ$1006,0)))),"Fix")))</f>
        <v>0</v>
      </c>
      <c r="Q788" s="4">
        <f>IF(OR(INDEX($V$2:$V$1001,MATCH(ROWS($U$2:U788),$U$2:$U$1001,0),1)&gt;=100000,INDEX($AB$1005:$AQ$1005,1,MATCH(COLUMNS($AB$1006:AQ1006),$AB$1006:$AQ$1006,0))&gt;=100000), " ",IF(INDEX($AB$2:$AQ$1001,MATCH(ROWS($U$2:U788),$U$2:$U$1001,0),MATCH(COLUMNS($AB$1006:AQ1006),$AB$1006:$AQ$1006,0)), HYPERLINK("#",""), HYPERLINK(CONCATENATE("#metadata!", ADDRESS(INDEX($W$2:$W$1001,MATCH(ROWS($U$2:U788),$U$2:$U$1001,0),0), INDEX($AB$1004:$AQ$1004,1,MATCH(COLUMNS($AB$1006:AQ1006),$AB$1006:$AQ$1006,0)))),"Fix")))</f>
        <v>0</v>
      </c>
      <c r="U788">
        <v>0</v>
      </c>
      <c r="V788">
        <v>0</v>
      </c>
      <c r="W788">
        <v>0</v>
      </c>
      <c r="X788">
        <f>IF(Y788,TRUE,AND(AB788:AQ788))</f>
        <v>0</v>
      </c>
      <c r="Y788">
        <f>COUNTBLANK(metadata!B788:Q788)=COLUMNS(metadata!B788:Q788)</f>
        <v>0</v>
      </c>
      <c r="Z788">
        <v>0</v>
      </c>
      <c r="AB788">
        <f>AND(IF(metadata!B788="",FALSE,TRUE),COUNTIF(metadata!B:B, metadata!B788) = 1,NOT(ISERROR(SUMPRODUCT(SEARCH(MID(metadata!B788,ROW(INDIRECT("1:"&amp;LEN(metadata!B788))), 1),"0123456789abcdefghijklmnopqrstuvwxyzABCDEFGHIJKLMNOPQRSTUVWXYZ.")))))</f>
        <v>0</v>
      </c>
      <c r="AC788">
        <f>OR(AND(IF(metadata!C788="",FALSE,TRUE),OR(exact(metadata!C788,"missing: not collected"),exact(metadata!C788,"missing: not provided"),exact(metadata!C788,"missing: restricted access"))),AND(IF(metadata!C788="",FALSE,TRUE),AND(AND(IFERROR(INT(LEFT(metadata!C788,4))&gt;1900,FALSE),IFERROR(INT(LEFT(metadata!C788,4))&lt;=YEAR(NOW()),FALSE)), OR(MID(metadata!C788,5,1)="", AND(AND(MID(metadata!C788,5,1)="-",IFERROR(INT(MID(metadata!C788,6,1))&gt;=0,FALSE),IFERROR(INT(MID(metadata!C788,6,1))&lt;=1,FALSE),NOT(MID(metadata!C788,7,1)=""),IFERROR(INT(MID(metadata!C788,6,2))&gt;=1,FALSE),IFERROR(INT(MID(metadata!C788,6,2))&lt;=12,FALSE)), OR(MID(metadata!C788,8,1)="", AND(AND(MID(metadata!C788,8,1)="-",IFERROR(INT(MID(metadata!C788,9,1))&gt;=0,FALSE),IFERROR(INT(MID(metadata!C788,9,1))&lt;=3,FALSE),NOT(MID(metadata!C788,10,1)=""),IFERROR(INT(MID(metadata!C788,9,2))&gt;=1,FALSE),IFERROR(INT(MID(metadata!C788,9,2))&lt;=31,FALSE)), OR(MID(metadata!C788,11,1)="", AND(AND(MID(metadata!C788,11,1)=" ",IFERROR(INT(MID(metadata!C788,12,1))&gt;=0,FALSE),IFERROR(INT(MID(metadata!C788,12,1))&lt;=2,FALSE),NOT(MID(metadata!C788,13,1)=""),IFERROR(INT(MID(metadata!C788,12,2))&gt;=0,FALSE),IFERROR(INT(MID(metadata!C788,12,2))&lt;=23,FALSE)), OR(MID(metadata!C788,14,1)="", AND(AND(MID(metadata!C788,14,1)=":",IFERROR(INT(MID(metadata!C788,15,1))&gt;=0,FALSE),IFERROR(INT(MID(metadata!C788,15,1))&lt;=5,FALSE),NOT(MID(metadata!C788,16,1)=""),IFERROR(INT(MID(metadata!C788,15,2))&gt;=0,FALSE),IFERROR(INT(MID(metadata!C788,15,2))&lt;=59,FALSE)), OR(MID(metadata!C788,17,1)="", AND(AND(MID(metadata!C788,17,1)=":",IFERROR(INT(MID(metadata!C788,18,1))&gt;=0,FALSE),IFERROR(INT(MID(metadata!C788,18,1))&lt;=5,FALSE),NOT(MID(metadata!C788,19,1)=""),IFERROR(INT(MID(metadata!C788,18,2))&gt;=0,FALSE),IFERROR(INT(MID(metadata!C788,18,2))&lt;=59,FALSE)), LEN(metadata!C788)&lt;=19)))))))))))))</f>
        <v>0</v>
      </c>
      <c r="AD788">
        <f>IF(metadata!D788="",FALSE,TRUE)</f>
        <v>0</v>
      </c>
      <c r="AE788">
        <f>OR(AND(IF(metadata!E788="",FALSE,TRUE),OR(exact(metadata!E788,"missing: not collected"),exact(metadata!E788,"missing: not provided"))),AND(IF(metadata!E788="",FALSE,TRUE),OR(exact(metadata!E788,"TRUE"),exact(metadata!E788,"FALSE"))))</f>
        <v>0</v>
      </c>
      <c r="AF788">
        <f>IF(metadata!F788="",FALSE,TRUE)</f>
        <v>0</v>
      </c>
      <c r="AG788">
        <f>IF(metadata!G788="",FALSE,TRUE)</f>
        <v>0</v>
      </c>
      <c r="AH788">
        <f>IF(metadata!H788="",FALSE,TRUE)</f>
        <v>0</v>
      </c>
      <c r="AI788">
        <f>OR(AND(IF(metadata!I788="",FALSE,TRUE),OR(exact(metadata!I788,"missing: not collected"),exact(metadata!I788,"missing: not provided"),exact(metadata!I788,"missing: restricted access"))),AND(IF(metadata!I788="",FALSE,TRUE),OR(exact(metadata!I788,"air"),exact(metadata!I788,"built environment"),exact(metadata!I788,"host-associated"),exact(metadata!I788,"human-associated"),exact(metadata!I788,"human-skin"),exact(metadata!I788,"human-oral"),exact(metadata!I788,"human-gut"),exact(metadata!I788,"human-vaginal"),exact(metadata!I788,"microbial mat/biofilm"),exact(metadata!I788,"misc environment"),exact(metadata!I788,"plant-associated"),exact(metadata!I788,"sediment"),exact(metadata!I788,"soil"),exact(metadata!I788,"wastewater/sludge"),exact(metadata!I788,"water"))))</f>
        <v>0</v>
      </c>
      <c r="AJ788">
        <f>IF(metadata!J788="",FALSE,TRUE)</f>
        <v>0</v>
      </c>
      <c r="AK788">
        <f>OR(AND(IF(metadata!K788="",FALSE,TRUE),OR(exact(metadata!K788,"missing: not collected"),exact(metadata!K788,"missing: not provided"),exact(metadata!K788,"missing: restricted access"))),AND(IF(metadata!K788="",FALSE,ISNUMBER(VALUE(metadata!K788))),metadata!K788&gt;=-90.00,metadata!K788&lt;=90.00))</f>
        <v>0</v>
      </c>
      <c r="AL788">
        <f>OR(AND(IF(metadata!L788="",FALSE,TRUE),OR(exact(metadata!L788,"missing: not collected"),exact(metadata!L788,"missing: not provided"),exact(metadata!L788,"missing: restricted access"))),AND(IF(metadata!L788="",FALSE,ISNUMBER(VALUE(metadata!L788))),metadata!L788&gt;=-180.00,metadata!L788&lt;=180.00))</f>
        <v>0</v>
      </c>
      <c r="AM788">
        <f>IF(metadata!M788="",FALSE,TRUE)</f>
        <v>0</v>
      </c>
      <c r="AN788">
        <f>OR(AND(IF(metadata!N788="",FALSE,TRUE),OR(exact(metadata!N788,"missing: not collected"),exact(metadata!N788,"missing: not provided"),exact(metadata!N788,"missing: restricted access"))),AND(IF(metadata!N788="",FALSE,TRUE),OR(exact(metadata!N788,"TRUE"),exact(metadata!N788,"FALSE"))))</f>
        <v>0</v>
      </c>
      <c r="AO788">
        <f>IF(metadata!O788="",FALSE,TRUE)</f>
        <v>0</v>
      </c>
      <c r="AP788">
        <f>OR(AND(IF(metadata!P788="",FALSE,TRUE),OR(exact(metadata!P788,"missing: not collected"),exact(metadata!P788,"missing: not provided"))),AND(IF(metadata!P788="",FALSE,IF(ISERROR(INT(metadata!P788)),FALSE,INT(metadata!P788)=metadata!P788)),metadata!P788&gt;0))</f>
        <v>0</v>
      </c>
      <c r="AQ788">
        <f>IF(metadata!Q788="",FALSE,TRUE)</f>
        <v>0</v>
      </c>
    </row>
    <row r="789" spans="1:43">
      <c r="A789" s="5">
        <f>IF(B789=" "," ",HYPERLINK(CONCATENATE("#metadata!",ADDRESS(INDEX($W$2:$W$1001,MATCH(ROWS($U$2:U789),$U$2:$U$1001,0),0),1)),INDEX($Z$2:$Z$1001,MATCH(ROWS($U$2:U789),$U$2:$U$1001,0),0)))</f>
        <v>0</v>
      </c>
      <c r="B789" s="4">
        <f>IF(OR(INDEX($V$2:$V$1001,MATCH(ROWS($U$2:U789),$U$2:$U$1001,0),1)&gt;=100000,INDEX($AB$1005:$AQ$1005,1,MATCH(COLUMNS($AB$1006:AB1006),$AB$1006:$AQ$1006,0))&gt;=100000), " ",IF(INDEX($AB$2:$AQ$1001,MATCH(ROWS($U$2:U789),$U$2:$U$1001,0),MATCH(COLUMNS($AB$1006:AB1006),$AB$1006:$AQ$1006,0)), HYPERLINK("#",""), HYPERLINK(CONCATENATE("#metadata!", ADDRESS(INDEX($W$2:$W$1001,MATCH(ROWS($U$2:U789),$U$2:$U$1001,0),0), INDEX($AB$1004:$AQ$1004,1,MATCH(COLUMNS($AB$1006:AB1006),$AB$1006:$AQ$1006,0)))),"Fix")))</f>
        <v>0</v>
      </c>
      <c r="C789" s="4">
        <f>IF(OR(INDEX($V$2:$V$1001,MATCH(ROWS($U$2:U789),$U$2:$U$1001,0),1)&gt;=100000,INDEX($AB$1005:$AQ$1005,1,MATCH(COLUMNS($AB$1006:AC1006),$AB$1006:$AQ$1006,0))&gt;=100000), " ",IF(INDEX($AB$2:$AQ$1001,MATCH(ROWS($U$2:U789),$U$2:$U$1001,0),MATCH(COLUMNS($AB$1006:AC1006),$AB$1006:$AQ$1006,0)), HYPERLINK("#",""), HYPERLINK(CONCATENATE("#metadata!", ADDRESS(INDEX($W$2:$W$1001,MATCH(ROWS($U$2:U789),$U$2:$U$1001,0),0), INDEX($AB$1004:$AQ$1004,1,MATCH(COLUMNS($AB$1006:AC1006),$AB$1006:$AQ$1006,0)))),"Fix")))</f>
        <v>0</v>
      </c>
      <c r="D789" s="4">
        <f>IF(OR(INDEX($V$2:$V$1001,MATCH(ROWS($U$2:U789),$U$2:$U$1001,0),1)&gt;=100000,INDEX($AB$1005:$AQ$1005,1,MATCH(COLUMNS($AB$1006:AD1006),$AB$1006:$AQ$1006,0))&gt;=100000), " ",IF(INDEX($AB$2:$AQ$1001,MATCH(ROWS($U$2:U789),$U$2:$U$1001,0),MATCH(COLUMNS($AB$1006:AD1006),$AB$1006:$AQ$1006,0)), HYPERLINK("#",""), HYPERLINK(CONCATENATE("#metadata!", ADDRESS(INDEX($W$2:$W$1001,MATCH(ROWS($U$2:U789),$U$2:$U$1001,0),0), INDEX($AB$1004:$AQ$1004,1,MATCH(COLUMNS($AB$1006:AD1006),$AB$1006:$AQ$1006,0)))),"Fix")))</f>
        <v>0</v>
      </c>
      <c r="E789" s="4">
        <f>IF(OR(INDEX($V$2:$V$1001,MATCH(ROWS($U$2:U789),$U$2:$U$1001,0),1)&gt;=100000,INDEX($AB$1005:$AQ$1005,1,MATCH(COLUMNS($AB$1006:AE1006),$AB$1006:$AQ$1006,0))&gt;=100000), " ",IF(INDEX($AB$2:$AQ$1001,MATCH(ROWS($U$2:U789),$U$2:$U$1001,0),MATCH(COLUMNS($AB$1006:AE1006),$AB$1006:$AQ$1006,0)), HYPERLINK("#",""), HYPERLINK(CONCATENATE("#metadata!", ADDRESS(INDEX($W$2:$W$1001,MATCH(ROWS($U$2:U789),$U$2:$U$1001,0),0), INDEX($AB$1004:$AQ$1004,1,MATCH(COLUMNS($AB$1006:AE1006),$AB$1006:$AQ$1006,0)))),"Fix")))</f>
        <v>0</v>
      </c>
      <c r="F789" s="4">
        <f>IF(OR(INDEX($V$2:$V$1001,MATCH(ROWS($U$2:U789),$U$2:$U$1001,0),1)&gt;=100000,INDEX($AB$1005:$AQ$1005,1,MATCH(COLUMNS($AB$1006:AF1006),$AB$1006:$AQ$1006,0))&gt;=100000), " ",IF(INDEX($AB$2:$AQ$1001,MATCH(ROWS($U$2:U789),$U$2:$U$1001,0),MATCH(COLUMNS($AB$1006:AF1006),$AB$1006:$AQ$1006,0)), HYPERLINK("#",""), HYPERLINK(CONCATENATE("#metadata!", ADDRESS(INDEX($W$2:$W$1001,MATCH(ROWS($U$2:U789),$U$2:$U$1001,0),0), INDEX($AB$1004:$AQ$1004,1,MATCH(COLUMNS($AB$1006:AF1006),$AB$1006:$AQ$1006,0)))),"Fix")))</f>
        <v>0</v>
      </c>
      <c r="G789" s="4">
        <f>IF(OR(INDEX($V$2:$V$1001,MATCH(ROWS($U$2:U789),$U$2:$U$1001,0),1)&gt;=100000,INDEX($AB$1005:$AQ$1005,1,MATCH(COLUMNS($AB$1006:AG1006),$AB$1006:$AQ$1006,0))&gt;=100000), " ",IF(INDEX($AB$2:$AQ$1001,MATCH(ROWS($U$2:U789),$U$2:$U$1001,0),MATCH(COLUMNS($AB$1006:AG1006),$AB$1006:$AQ$1006,0)), HYPERLINK("#",""), HYPERLINK(CONCATENATE("#metadata!", ADDRESS(INDEX($W$2:$W$1001,MATCH(ROWS($U$2:U789),$U$2:$U$1001,0),0), INDEX($AB$1004:$AQ$1004,1,MATCH(COLUMNS($AB$1006:AG1006),$AB$1006:$AQ$1006,0)))),"Fix")))</f>
        <v>0</v>
      </c>
      <c r="H789" s="4">
        <f>IF(OR(INDEX($V$2:$V$1001,MATCH(ROWS($U$2:U789),$U$2:$U$1001,0),1)&gt;=100000,INDEX($AB$1005:$AQ$1005,1,MATCH(COLUMNS($AB$1006:AH1006),$AB$1006:$AQ$1006,0))&gt;=100000), " ",IF(INDEX($AB$2:$AQ$1001,MATCH(ROWS($U$2:U789),$U$2:$U$1001,0),MATCH(COLUMNS($AB$1006:AH1006),$AB$1006:$AQ$1006,0)), HYPERLINK("#",""), HYPERLINK(CONCATENATE("#metadata!", ADDRESS(INDEX($W$2:$W$1001,MATCH(ROWS($U$2:U789),$U$2:$U$1001,0),0), INDEX($AB$1004:$AQ$1004,1,MATCH(COLUMNS($AB$1006:AH1006),$AB$1006:$AQ$1006,0)))),"Fix")))</f>
        <v>0</v>
      </c>
      <c r="I789" s="4">
        <f>IF(OR(INDEX($V$2:$V$1001,MATCH(ROWS($U$2:U789),$U$2:$U$1001,0),1)&gt;=100000,INDEX($AB$1005:$AQ$1005,1,MATCH(COLUMNS($AB$1006:AI1006),$AB$1006:$AQ$1006,0))&gt;=100000), " ",IF(INDEX($AB$2:$AQ$1001,MATCH(ROWS($U$2:U789),$U$2:$U$1001,0),MATCH(COLUMNS($AB$1006:AI1006),$AB$1006:$AQ$1006,0)), HYPERLINK("#",""), HYPERLINK(CONCATENATE("#metadata!", ADDRESS(INDEX($W$2:$W$1001,MATCH(ROWS($U$2:U789),$U$2:$U$1001,0),0), INDEX($AB$1004:$AQ$1004,1,MATCH(COLUMNS($AB$1006:AI1006),$AB$1006:$AQ$1006,0)))),"Fix")))</f>
        <v>0</v>
      </c>
      <c r="J789" s="4">
        <f>IF(OR(INDEX($V$2:$V$1001,MATCH(ROWS($U$2:U789),$U$2:$U$1001,0),1)&gt;=100000,INDEX($AB$1005:$AQ$1005,1,MATCH(COLUMNS($AB$1006:AJ1006),$AB$1006:$AQ$1006,0))&gt;=100000), " ",IF(INDEX($AB$2:$AQ$1001,MATCH(ROWS($U$2:U789),$U$2:$U$1001,0),MATCH(COLUMNS($AB$1006:AJ1006),$AB$1006:$AQ$1006,0)), HYPERLINK("#",""), HYPERLINK(CONCATENATE("#metadata!", ADDRESS(INDEX($W$2:$W$1001,MATCH(ROWS($U$2:U789),$U$2:$U$1001,0),0), INDEX($AB$1004:$AQ$1004,1,MATCH(COLUMNS($AB$1006:AJ1006),$AB$1006:$AQ$1006,0)))),"Fix")))</f>
        <v>0</v>
      </c>
      <c r="K789" s="4">
        <f>IF(OR(INDEX($V$2:$V$1001,MATCH(ROWS($U$2:U789),$U$2:$U$1001,0),1)&gt;=100000,INDEX($AB$1005:$AQ$1005,1,MATCH(COLUMNS($AB$1006:AK1006),$AB$1006:$AQ$1006,0))&gt;=100000), " ",IF(INDEX($AB$2:$AQ$1001,MATCH(ROWS($U$2:U789),$U$2:$U$1001,0),MATCH(COLUMNS($AB$1006:AK1006),$AB$1006:$AQ$1006,0)), HYPERLINK("#",""), HYPERLINK(CONCATENATE("#metadata!", ADDRESS(INDEX($W$2:$W$1001,MATCH(ROWS($U$2:U789),$U$2:$U$1001,0),0), INDEX($AB$1004:$AQ$1004,1,MATCH(COLUMNS($AB$1006:AK1006),$AB$1006:$AQ$1006,0)))),"Fix")))</f>
        <v>0</v>
      </c>
      <c r="L789" s="4">
        <f>IF(OR(INDEX($V$2:$V$1001,MATCH(ROWS($U$2:U789),$U$2:$U$1001,0),1)&gt;=100000,INDEX($AB$1005:$AQ$1005,1,MATCH(COLUMNS($AB$1006:AL1006),$AB$1006:$AQ$1006,0))&gt;=100000), " ",IF(INDEX($AB$2:$AQ$1001,MATCH(ROWS($U$2:U789),$U$2:$U$1001,0),MATCH(COLUMNS($AB$1006:AL1006),$AB$1006:$AQ$1006,0)), HYPERLINK("#",""), HYPERLINK(CONCATENATE("#metadata!", ADDRESS(INDEX($W$2:$W$1001,MATCH(ROWS($U$2:U789),$U$2:$U$1001,0),0), INDEX($AB$1004:$AQ$1004,1,MATCH(COLUMNS($AB$1006:AL1006),$AB$1006:$AQ$1006,0)))),"Fix")))</f>
        <v>0</v>
      </c>
      <c r="M789" s="4">
        <f>IF(OR(INDEX($V$2:$V$1001,MATCH(ROWS($U$2:U789),$U$2:$U$1001,0),1)&gt;=100000,INDEX($AB$1005:$AQ$1005,1,MATCH(COLUMNS($AB$1006:AM1006),$AB$1006:$AQ$1006,0))&gt;=100000), " ",IF(INDEX($AB$2:$AQ$1001,MATCH(ROWS($U$2:U789),$U$2:$U$1001,0),MATCH(COLUMNS($AB$1006:AM1006),$AB$1006:$AQ$1006,0)), HYPERLINK("#",""), HYPERLINK(CONCATENATE("#metadata!", ADDRESS(INDEX($W$2:$W$1001,MATCH(ROWS($U$2:U789),$U$2:$U$1001,0),0), INDEX($AB$1004:$AQ$1004,1,MATCH(COLUMNS($AB$1006:AM1006),$AB$1006:$AQ$1006,0)))),"Fix")))</f>
        <v>0</v>
      </c>
      <c r="N789" s="4">
        <f>IF(OR(INDEX($V$2:$V$1001,MATCH(ROWS($U$2:U789),$U$2:$U$1001,0),1)&gt;=100000,INDEX($AB$1005:$AQ$1005,1,MATCH(COLUMNS($AB$1006:AN1006),$AB$1006:$AQ$1006,0))&gt;=100000), " ",IF(INDEX($AB$2:$AQ$1001,MATCH(ROWS($U$2:U789),$U$2:$U$1001,0),MATCH(COLUMNS($AB$1006:AN1006),$AB$1006:$AQ$1006,0)), HYPERLINK("#",""), HYPERLINK(CONCATENATE("#metadata!", ADDRESS(INDEX($W$2:$W$1001,MATCH(ROWS($U$2:U789),$U$2:$U$1001,0),0), INDEX($AB$1004:$AQ$1004,1,MATCH(COLUMNS($AB$1006:AN1006),$AB$1006:$AQ$1006,0)))),"Fix")))</f>
        <v>0</v>
      </c>
      <c r="O789" s="4">
        <f>IF(OR(INDEX($V$2:$V$1001,MATCH(ROWS($U$2:U789),$U$2:$U$1001,0),1)&gt;=100000,INDEX($AB$1005:$AQ$1005,1,MATCH(COLUMNS($AB$1006:AO1006),$AB$1006:$AQ$1006,0))&gt;=100000), " ",IF(INDEX($AB$2:$AQ$1001,MATCH(ROWS($U$2:U789),$U$2:$U$1001,0),MATCH(COLUMNS($AB$1006:AO1006),$AB$1006:$AQ$1006,0)), HYPERLINK("#",""), HYPERLINK(CONCATENATE("#metadata!", ADDRESS(INDEX($W$2:$W$1001,MATCH(ROWS($U$2:U789),$U$2:$U$1001,0),0), INDEX($AB$1004:$AQ$1004,1,MATCH(COLUMNS($AB$1006:AO1006),$AB$1006:$AQ$1006,0)))),"Fix")))</f>
        <v>0</v>
      </c>
      <c r="P789" s="4">
        <f>IF(OR(INDEX($V$2:$V$1001,MATCH(ROWS($U$2:U789),$U$2:$U$1001,0),1)&gt;=100000,INDEX($AB$1005:$AQ$1005,1,MATCH(COLUMNS($AB$1006:AP1006),$AB$1006:$AQ$1006,0))&gt;=100000), " ",IF(INDEX($AB$2:$AQ$1001,MATCH(ROWS($U$2:U789),$U$2:$U$1001,0),MATCH(COLUMNS($AB$1006:AP1006),$AB$1006:$AQ$1006,0)), HYPERLINK("#",""), HYPERLINK(CONCATENATE("#metadata!", ADDRESS(INDEX($W$2:$W$1001,MATCH(ROWS($U$2:U789),$U$2:$U$1001,0),0), INDEX($AB$1004:$AQ$1004,1,MATCH(COLUMNS($AB$1006:AP1006),$AB$1006:$AQ$1006,0)))),"Fix")))</f>
        <v>0</v>
      </c>
      <c r="Q789" s="4">
        <f>IF(OR(INDEX($V$2:$V$1001,MATCH(ROWS($U$2:U789),$U$2:$U$1001,0),1)&gt;=100000,INDEX($AB$1005:$AQ$1005,1,MATCH(COLUMNS($AB$1006:AQ1006),$AB$1006:$AQ$1006,0))&gt;=100000), " ",IF(INDEX($AB$2:$AQ$1001,MATCH(ROWS($U$2:U789),$U$2:$U$1001,0),MATCH(COLUMNS($AB$1006:AQ1006),$AB$1006:$AQ$1006,0)), HYPERLINK("#",""), HYPERLINK(CONCATENATE("#metadata!", ADDRESS(INDEX($W$2:$W$1001,MATCH(ROWS($U$2:U789),$U$2:$U$1001,0),0), INDEX($AB$1004:$AQ$1004,1,MATCH(COLUMNS($AB$1006:AQ1006),$AB$1006:$AQ$1006,0)))),"Fix")))</f>
        <v>0</v>
      </c>
      <c r="U789">
        <v>0</v>
      </c>
      <c r="V789">
        <v>0</v>
      </c>
      <c r="W789">
        <v>0</v>
      </c>
      <c r="X789">
        <f>IF(Y789,TRUE,AND(AB789:AQ789))</f>
        <v>0</v>
      </c>
      <c r="Y789">
        <f>COUNTBLANK(metadata!B789:Q789)=COLUMNS(metadata!B789:Q789)</f>
        <v>0</v>
      </c>
      <c r="Z789">
        <v>0</v>
      </c>
      <c r="AB789">
        <f>AND(IF(metadata!B789="",FALSE,TRUE),COUNTIF(metadata!B:B, metadata!B789) = 1,NOT(ISERROR(SUMPRODUCT(SEARCH(MID(metadata!B789,ROW(INDIRECT("1:"&amp;LEN(metadata!B789))), 1),"0123456789abcdefghijklmnopqrstuvwxyzABCDEFGHIJKLMNOPQRSTUVWXYZ.")))))</f>
        <v>0</v>
      </c>
      <c r="AC789">
        <f>OR(AND(IF(metadata!C789="",FALSE,TRUE),OR(exact(metadata!C789,"missing: not collected"),exact(metadata!C789,"missing: not provided"),exact(metadata!C789,"missing: restricted access"))),AND(IF(metadata!C789="",FALSE,TRUE),AND(AND(IFERROR(INT(LEFT(metadata!C789,4))&gt;1900,FALSE),IFERROR(INT(LEFT(metadata!C789,4))&lt;=YEAR(NOW()),FALSE)), OR(MID(metadata!C789,5,1)="", AND(AND(MID(metadata!C789,5,1)="-",IFERROR(INT(MID(metadata!C789,6,1))&gt;=0,FALSE),IFERROR(INT(MID(metadata!C789,6,1))&lt;=1,FALSE),NOT(MID(metadata!C789,7,1)=""),IFERROR(INT(MID(metadata!C789,6,2))&gt;=1,FALSE),IFERROR(INT(MID(metadata!C789,6,2))&lt;=12,FALSE)), OR(MID(metadata!C789,8,1)="", AND(AND(MID(metadata!C789,8,1)="-",IFERROR(INT(MID(metadata!C789,9,1))&gt;=0,FALSE),IFERROR(INT(MID(metadata!C789,9,1))&lt;=3,FALSE),NOT(MID(metadata!C789,10,1)=""),IFERROR(INT(MID(metadata!C789,9,2))&gt;=1,FALSE),IFERROR(INT(MID(metadata!C789,9,2))&lt;=31,FALSE)), OR(MID(metadata!C789,11,1)="", AND(AND(MID(metadata!C789,11,1)=" ",IFERROR(INT(MID(metadata!C789,12,1))&gt;=0,FALSE),IFERROR(INT(MID(metadata!C789,12,1))&lt;=2,FALSE),NOT(MID(metadata!C789,13,1)=""),IFERROR(INT(MID(metadata!C789,12,2))&gt;=0,FALSE),IFERROR(INT(MID(metadata!C789,12,2))&lt;=23,FALSE)), OR(MID(metadata!C789,14,1)="", AND(AND(MID(metadata!C789,14,1)=":",IFERROR(INT(MID(metadata!C789,15,1))&gt;=0,FALSE),IFERROR(INT(MID(metadata!C789,15,1))&lt;=5,FALSE),NOT(MID(metadata!C789,16,1)=""),IFERROR(INT(MID(metadata!C789,15,2))&gt;=0,FALSE),IFERROR(INT(MID(metadata!C789,15,2))&lt;=59,FALSE)), OR(MID(metadata!C789,17,1)="", AND(AND(MID(metadata!C789,17,1)=":",IFERROR(INT(MID(metadata!C789,18,1))&gt;=0,FALSE),IFERROR(INT(MID(metadata!C789,18,1))&lt;=5,FALSE),NOT(MID(metadata!C789,19,1)=""),IFERROR(INT(MID(metadata!C789,18,2))&gt;=0,FALSE),IFERROR(INT(MID(metadata!C789,18,2))&lt;=59,FALSE)), LEN(metadata!C789)&lt;=19)))))))))))))</f>
        <v>0</v>
      </c>
      <c r="AD789">
        <f>IF(metadata!D789="",FALSE,TRUE)</f>
        <v>0</v>
      </c>
      <c r="AE789">
        <f>OR(AND(IF(metadata!E789="",FALSE,TRUE),OR(exact(metadata!E789,"missing: not collected"),exact(metadata!E789,"missing: not provided"))),AND(IF(metadata!E789="",FALSE,TRUE),OR(exact(metadata!E789,"TRUE"),exact(metadata!E789,"FALSE"))))</f>
        <v>0</v>
      </c>
      <c r="AF789">
        <f>IF(metadata!F789="",FALSE,TRUE)</f>
        <v>0</v>
      </c>
      <c r="AG789">
        <f>IF(metadata!G789="",FALSE,TRUE)</f>
        <v>0</v>
      </c>
      <c r="AH789">
        <f>IF(metadata!H789="",FALSE,TRUE)</f>
        <v>0</v>
      </c>
      <c r="AI789">
        <f>OR(AND(IF(metadata!I789="",FALSE,TRUE),OR(exact(metadata!I789,"missing: not collected"),exact(metadata!I789,"missing: not provided"),exact(metadata!I789,"missing: restricted access"))),AND(IF(metadata!I789="",FALSE,TRUE),OR(exact(metadata!I789,"air"),exact(metadata!I789,"built environment"),exact(metadata!I789,"host-associated"),exact(metadata!I789,"human-associated"),exact(metadata!I789,"human-skin"),exact(metadata!I789,"human-oral"),exact(metadata!I789,"human-gut"),exact(metadata!I789,"human-vaginal"),exact(metadata!I789,"microbial mat/biofilm"),exact(metadata!I789,"misc environment"),exact(metadata!I789,"plant-associated"),exact(metadata!I789,"sediment"),exact(metadata!I789,"soil"),exact(metadata!I789,"wastewater/sludge"),exact(metadata!I789,"water"))))</f>
        <v>0</v>
      </c>
      <c r="AJ789">
        <f>IF(metadata!J789="",FALSE,TRUE)</f>
        <v>0</v>
      </c>
      <c r="AK789">
        <f>OR(AND(IF(metadata!K789="",FALSE,TRUE),OR(exact(metadata!K789,"missing: not collected"),exact(metadata!K789,"missing: not provided"),exact(metadata!K789,"missing: restricted access"))),AND(IF(metadata!K789="",FALSE,ISNUMBER(VALUE(metadata!K789))),metadata!K789&gt;=-90.00,metadata!K789&lt;=90.00))</f>
        <v>0</v>
      </c>
      <c r="AL789">
        <f>OR(AND(IF(metadata!L789="",FALSE,TRUE),OR(exact(metadata!L789,"missing: not collected"),exact(metadata!L789,"missing: not provided"),exact(metadata!L789,"missing: restricted access"))),AND(IF(metadata!L789="",FALSE,ISNUMBER(VALUE(metadata!L789))),metadata!L789&gt;=-180.00,metadata!L789&lt;=180.00))</f>
        <v>0</v>
      </c>
      <c r="AM789">
        <f>IF(metadata!M789="",FALSE,TRUE)</f>
        <v>0</v>
      </c>
      <c r="AN789">
        <f>OR(AND(IF(metadata!N789="",FALSE,TRUE),OR(exact(metadata!N789,"missing: not collected"),exact(metadata!N789,"missing: not provided"),exact(metadata!N789,"missing: restricted access"))),AND(IF(metadata!N789="",FALSE,TRUE),OR(exact(metadata!N789,"TRUE"),exact(metadata!N789,"FALSE"))))</f>
        <v>0</v>
      </c>
      <c r="AO789">
        <f>IF(metadata!O789="",FALSE,TRUE)</f>
        <v>0</v>
      </c>
      <c r="AP789">
        <f>OR(AND(IF(metadata!P789="",FALSE,TRUE),OR(exact(metadata!P789,"missing: not collected"),exact(metadata!P789,"missing: not provided"))),AND(IF(metadata!P789="",FALSE,IF(ISERROR(INT(metadata!P789)),FALSE,INT(metadata!P789)=metadata!P789)),metadata!P789&gt;0))</f>
        <v>0</v>
      </c>
      <c r="AQ789">
        <f>IF(metadata!Q789="",FALSE,TRUE)</f>
        <v>0</v>
      </c>
    </row>
    <row r="790" spans="1:43">
      <c r="A790" s="5">
        <f>IF(B790=" "," ",HYPERLINK(CONCATENATE("#metadata!",ADDRESS(INDEX($W$2:$W$1001,MATCH(ROWS($U$2:U790),$U$2:$U$1001,0),0),1)),INDEX($Z$2:$Z$1001,MATCH(ROWS($U$2:U790),$U$2:$U$1001,0),0)))</f>
        <v>0</v>
      </c>
      <c r="B790" s="4">
        <f>IF(OR(INDEX($V$2:$V$1001,MATCH(ROWS($U$2:U790),$U$2:$U$1001,0),1)&gt;=100000,INDEX($AB$1005:$AQ$1005,1,MATCH(COLUMNS($AB$1006:AB1006),$AB$1006:$AQ$1006,0))&gt;=100000), " ",IF(INDEX($AB$2:$AQ$1001,MATCH(ROWS($U$2:U790),$U$2:$U$1001,0),MATCH(COLUMNS($AB$1006:AB1006),$AB$1006:$AQ$1006,0)), HYPERLINK("#",""), HYPERLINK(CONCATENATE("#metadata!", ADDRESS(INDEX($W$2:$W$1001,MATCH(ROWS($U$2:U790),$U$2:$U$1001,0),0), INDEX($AB$1004:$AQ$1004,1,MATCH(COLUMNS($AB$1006:AB1006),$AB$1006:$AQ$1006,0)))),"Fix")))</f>
        <v>0</v>
      </c>
      <c r="C790" s="4">
        <f>IF(OR(INDEX($V$2:$V$1001,MATCH(ROWS($U$2:U790),$U$2:$U$1001,0),1)&gt;=100000,INDEX($AB$1005:$AQ$1005,1,MATCH(COLUMNS($AB$1006:AC1006),$AB$1006:$AQ$1006,0))&gt;=100000), " ",IF(INDEX($AB$2:$AQ$1001,MATCH(ROWS($U$2:U790),$U$2:$U$1001,0),MATCH(COLUMNS($AB$1006:AC1006),$AB$1006:$AQ$1006,0)), HYPERLINK("#",""), HYPERLINK(CONCATENATE("#metadata!", ADDRESS(INDEX($W$2:$W$1001,MATCH(ROWS($U$2:U790),$U$2:$U$1001,0),0), INDEX($AB$1004:$AQ$1004,1,MATCH(COLUMNS($AB$1006:AC1006),$AB$1006:$AQ$1006,0)))),"Fix")))</f>
        <v>0</v>
      </c>
      <c r="D790" s="4">
        <f>IF(OR(INDEX($V$2:$V$1001,MATCH(ROWS($U$2:U790),$U$2:$U$1001,0),1)&gt;=100000,INDEX($AB$1005:$AQ$1005,1,MATCH(COLUMNS($AB$1006:AD1006),$AB$1006:$AQ$1006,0))&gt;=100000), " ",IF(INDEX($AB$2:$AQ$1001,MATCH(ROWS($U$2:U790),$U$2:$U$1001,0),MATCH(COLUMNS($AB$1006:AD1006),$AB$1006:$AQ$1006,0)), HYPERLINK("#",""), HYPERLINK(CONCATENATE("#metadata!", ADDRESS(INDEX($W$2:$W$1001,MATCH(ROWS($U$2:U790),$U$2:$U$1001,0),0), INDEX($AB$1004:$AQ$1004,1,MATCH(COLUMNS($AB$1006:AD1006),$AB$1006:$AQ$1006,0)))),"Fix")))</f>
        <v>0</v>
      </c>
      <c r="E790" s="4">
        <f>IF(OR(INDEX($V$2:$V$1001,MATCH(ROWS($U$2:U790),$U$2:$U$1001,0),1)&gt;=100000,INDEX($AB$1005:$AQ$1005,1,MATCH(COLUMNS($AB$1006:AE1006),$AB$1006:$AQ$1006,0))&gt;=100000), " ",IF(INDEX($AB$2:$AQ$1001,MATCH(ROWS($U$2:U790),$U$2:$U$1001,0),MATCH(COLUMNS($AB$1006:AE1006),$AB$1006:$AQ$1006,0)), HYPERLINK("#",""), HYPERLINK(CONCATENATE("#metadata!", ADDRESS(INDEX($W$2:$W$1001,MATCH(ROWS($U$2:U790),$U$2:$U$1001,0),0), INDEX($AB$1004:$AQ$1004,1,MATCH(COLUMNS($AB$1006:AE1006),$AB$1006:$AQ$1006,0)))),"Fix")))</f>
        <v>0</v>
      </c>
      <c r="F790" s="4">
        <f>IF(OR(INDEX($V$2:$V$1001,MATCH(ROWS($U$2:U790),$U$2:$U$1001,0),1)&gt;=100000,INDEX($AB$1005:$AQ$1005,1,MATCH(COLUMNS($AB$1006:AF1006),$AB$1006:$AQ$1006,0))&gt;=100000), " ",IF(INDEX($AB$2:$AQ$1001,MATCH(ROWS($U$2:U790),$U$2:$U$1001,0),MATCH(COLUMNS($AB$1006:AF1006),$AB$1006:$AQ$1006,0)), HYPERLINK("#",""), HYPERLINK(CONCATENATE("#metadata!", ADDRESS(INDEX($W$2:$W$1001,MATCH(ROWS($U$2:U790),$U$2:$U$1001,0),0), INDEX($AB$1004:$AQ$1004,1,MATCH(COLUMNS($AB$1006:AF1006),$AB$1006:$AQ$1006,0)))),"Fix")))</f>
        <v>0</v>
      </c>
      <c r="G790" s="4">
        <f>IF(OR(INDEX($V$2:$V$1001,MATCH(ROWS($U$2:U790),$U$2:$U$1001,0),1)&gt;=100000,INDEX($AB$1005:$AQ$1005,1,MATCH(COLUMNS($AB$1006:AG1006),$AB$1006:$AQ$1006,0))&gt;=100000), " ",IF(INDEX($AB$2:$AQ$1001,MATCH(ROWS($U$2:U790),$U$2:$U$1001,0),MATCH(COLUMNS($AB$1006:AG1006),$AB$1006:$AQ$1006,0)), HYPERLINK("#",""), HYPERLINK(CONCATENATE("#metadata!", ADDRESS(INDEX($W$2:$W$1001,MATCH(ROWS($U$2:U790),$U$2:$U$1001,0),0), INDEX($AB$1004:$AQ$1004,1,MATCH(COLUMNS($AB$1006:AG1006),$AB$1006:$AQ$1006,0)))),"Fix")))</f>
        <v>0</v>
      </c>
      <c r="H790" s="4">
        <f>IF(OR(INDEX($V$2:$V$1001,MATCH(ROWS($U$2:U790),$U$2:$U$1001,0),1)&gt;=100000,INDEX($AB$1005:$AQ$1005,1,MATCH(COLUMNS($AB$1006:AH1006),$AB$1006:$AQ$1006,0))&gt;=100000), " ",IF(INDEX($AB$2:$AQ$1001,MATCH(ROWS($U$2:U790),$U$2:$U$1001,0),MATCH(COLUMNS($AB$1006:AH1006),$AB$1006:$AQ$1006,0)), HYPERLINK("#",""), HYPERLINK(CONCATENATE("#metadata!", ADDRESS(INDEX($W$2:$W$1001,MATCH(ROWS($U$2:U790),$U$2:$U$1001,0),0), INDEX($AB$1004:$AQ$1004,1,MATCH(COLUMNS($AB$1006:AH1006),$AB$1006:$AQ$1006,0)))),"Fix")))</f>
        <v>0</v>
      </c>
      <c r="I790" s="4">
        <f>IF(OR(INDEX($V$2:$V$1001,MATCH(ROWS($U$2:U790),$U$2:$U$1001,0),1)&gt;=100000,INDEX($AB$1005:$AQ$1005,1,MATCH(COLUMNS($AB$1006:AI1006),$AB$1006:$AQ$1006,0))&gt;=100000), " ",IF(INDEX($AB$2:$AQ$1001,MATCH(ROWS($U$2:U790),$U$2:$U$1001,0),MATCH(COLUMNS($AB$1006:AI1006),$AB$1006:$AQ$1006,0)), HYPERLINK("#",""), HYPERLINK(CONCATENATE("#metadata!", ADDRESS(INDEX($W$2:$W$1001,MATCH(ROWS($U$2:U790),$U$2:$U$1001,0),0), INDEX($AB$1004:$AQ$1004,1,MATCH(COLUMNS($AB$1006:AI1006),$AB$1006:$AQ$1006,0)))),"Fix")))</f>
        <v>0</v>
      </c>
      <c r="J790" s="4">
        <f>IF(OR(INDEX($V$2:$V$1001,MATCH(ROWS($U$2:U790),$U$2:$U$1001,0),1)&gt;=100000,INDEX($AB$1005:$AQ$1005,1,MATCH(COLUMNS($AB$1006:AJ1006),$AB$1006:$AQ$1006,0))&gt;=100000), " ",IF(INDEX($AB$2:$AQ$1001,MATCH(ROWS($U$2:U790),$U$2:$U$1001,0),MATCH(COLUMNS($AB$1006:AJ1006),$AB$1006:$AQ$1006,0)), HYPERLINK("#",""), HYPERLINK(CONCATENATE("#metadata!", ADDRESS(INDEX($W$2:$W$1001,MATCH(ROWS($U$2:U790),$U$2:$U$1001,0),0), INDEX($AB$1004:$AQ$1004,1,MATCH(COLUMNS($AB$1006:AJ1006),$AB$1006:$AQ$1006,0)))),"Fix")))</f>
        <v>0</v>
      </c>
      <c r="K790" s="4">
        <f>IF(OR(INDEX($V$2:$V$1001,MATCH(ROWS($U$2:U790),$U$2:$U$1001,0),1)&gt;=100000,INDEX($AB$1005:$AQ$1005,1,MATCH(COLUMNS($AB$1006:AK1006),$AB$1006:$AQ$1006,0))&gt;=100000), " ",IF(INDEX($AB$2:$AQ$1001,MATCH(ROWS($U$2:U790),$U$2:$U$1001,0),MATCH(COLUMNS($AB$1006:AK1006),$AB$1006:$AQ$1006,0)), HYPERLINK("#",""), HYPERLINK(CONCATENATE("#metadata!", ADDRESS(INDEX($W$2:$W$1001,MATCH(ROWS($U$2:U790),$U$2:$U$1001,0),0), INDEX($AB$1004:$AQ$1004,1,MATCH(COLUMNS($AB$1006:AK1006),$AB$1006:$AQ$1006,0)))),"Fix")))</f>
        <v>0</v>
      </c>
      <c r="L790" s="4">
        <f>IF(OR(INDEX($V$2:$V$1001,MATCH(ROWS($U$2:U790),$U$2:$U$1001,0),1)&gt;=100000,INDEX($AB$1005:$AQ$1005,1,MATCH(COLUMNS($AB$1006:AL1006),$AB$1006:$AQ$1006,0))&gt;=100000), " ",IF(INDEX($AB$2:$AQ$1001,MATCH(ROWS($U$2:U790),$U$2:$U$1001,0),MATCH(COLUMNS($AB$1006:AL1006),$AB$1006:$AQ$1006,0)), HYPERLINK("#",""), HYPERLINK(CONCATENATE("#metadata!", ADDRESS(INDEX($W$2:$W$1001,MATCH(ROWS($U$2:U790),$U$2:$U$1001,0),0), INDEX($AB$1004:$AQ$1004,1,MATCH(COLUMNS($AB$1006:AL1006),$AB$1006:$AQ$1006,0)))),"Fix")))</f>
        <v>0</v>
      </c>
      <c r="M790" s="4">
        <f>IF(OR(INDEX($V$2:$V$1001,MATCH(ROWS($U$2:U790),$U$2:$U$1001,0),1)&gt;=100000,INDEX($AB$1005:$AQ$1005,1,MATCH(COLUMNS($AB$1006:AM1006),$AB$1006:$AQ$1006,0))&gt;=100000), " ",IF(INDEX($AB$2:$AQ$1001,MATCH(ROWS($U$2:U790),$U$2:$U$1001,0),MATCH(COLUMNS($AB$1006:AM1006),$AB$1006:$AQ$1006,0)), HYPERLINK("#",""), HYPERLINK(CONCATENATE("#metadata!", ADDRESS(INDEX($W$2:$W$1001,MATCH(ROWS($U$2:U790),$U$2:$U$1001,0),0), INDEX($AB$1004:$AQ$1004,1,MATCH(COLUMNS($AB$1006:AM1006),$AB$1006:$AQ$1006,0)))),"Fix")))</f>
        <v>0</v>
      </c>
      <c r="N790" s="4">
        <f>IF(OR(INDEX($V$2:$V$1001,MATCH(ROWS($U$2:U790),$U$2:$U$1001,0),1)&gt;=100000,INDEX($AB$1005:$AQ$1005,1,MATCH(COLUMNS($AB$1006:AN1006),$AB$1006:$AQ$1006,0))&gt;=100000), " ",IF(INDEX($AB$2:$AQ$1001,MATCH(ROWS($U$2:U790),$U$2:$U$1001,0),MATCH(COLUMNS($AB$1006:AN1006),$AB$1006:$AQ$1006,0)), HYPERLINK("#",""), HYPERLINK(CONCATENATE("#metadata!", ADDRESS(INDEX($W$2:$W$1001,MATCH(ROWS($U$2:U790),$U$2:$U$1001,0),0), INDEX($AB$1004:$AQ$1004,1,MATCH(COLUMNS($AB$1006:AN1006),$AB$1006:$AQ$1006,0)))),"Fix")))</f>
        <v>0</v>
      </c>
      <c r="O790" s="4">
        <f>IF(OR(INDEX($V$2:$V$1001,MATCH(ROWS($U$2:U790),$U$2:$U$1001,0),1)&gt;=100000,INDEX($AB$1005:$AQ$1005,1,MATCH(COLUMNS($AB$1006:AO1006),$AB$1006:$AQ$1006,0))&gt;=100000), " ",IF(INDEX($AB$2:$AQ$1001,MATCH(ROWS($U$2:U790),$U$2:$U$1001,0),MATCH(COLUMNS($AB$1006:AO1006),$AB$1006:$AQ$1006,0)), HYPERLINK("#",""), HYPERLINK(CONCATENATE("#metadata!", ADDRESS(INDEX($W$2:$W$1001,MATCH(ROWS($U$2:U790),$U$2:$U$1001,0),0), INDEX($AB$1004:$AQ$1004,1,MATCH(COLUMNS($AB$1006:AO1006),$AB$1006:$AQ$1006,0)))),"Fix")))</f>
        <v>0</v>
      </c>
      <c r="P790" s="4">
        <f>IF(OR(INDEX($V$2:$V$1001,MATCH(ROWS($U$2:U790),$U$2:$U$1001,0),1)&gt;=100000,INDEX($AB$1005:$AQ$1005,1,MATCH(COLUMNS($AB$1006:AP1006),$AB$1006:$AQ$1006,0))&gt;=100000), " ",IF(INDEX($AB$2:$AQ$1001,MATCH(ROWS($U$2:U790),$U$2:$U$1001,0),MATCH(COLUMNS($AB$1006:AP1006),$AB$1006:$AQ$1006,0)), HYPERLINK("#",""), HYPERLINK(CONCATENATE("#metadata!", ADDRESS(INDEX($W$2:$W$1001,MATCH(ROWS($U$2:U790),$U$2:$U$1001,0),0), INDEX($AB$1004:$AQ$1004,1,MATCH(COLUMNS($AB$1006:AP1006),$AB$1006:$AQ$1006,0)))),"Fix")))</f>
        <v>0</v>
      </c>
      <c r="Q790" s="4">
        <f>IF(OR(INDEX($V$2:$V$1001,MATCH(ROWS($U$2:U790),$U$2:$U$1001,0),1)&gt;=100000,INDEX($AB$1005:$AQ$1005,1,MATCH(COLUMNS($AB$1006:AQ1006),$AB$1006:$AQ$1006,0))&gt;=100000), " ",IF(INDEX($AB$2:$AQ$1001,MATCH(ROWS($U$2:U790),$U$2:$U$1001,0),MATCH(COLUMNS($AB$1006:AQ1006),$AB$1006:$AQ$1006,0)), HYPERLINK("#",""), HYPERLINK(CONCATENATE("#metadata!", ADDRESS(INDEX($W$2:$W$1001,MATCH(ROWS($U$2:U790),$U$2:$U$1001,0),0), INDEX($AB$1004:$AQ$1004,1,MATCH(COLUMNS($AB$1006:AQ1006),$AB$1006:$AQ$1006,0)))),"Fix")))</f>
        <v>0</v>
      </c>
      <c r="U790">
        <v>0</v>
      </c>
      <c r="V790">
        <v>0</v>
      </c>
      <c r="W790">
        <v>0</v>
      </c>
      <c r="X790">
        <f>IF(Y790,TRUE,AND(AB790:AQ790))</f>
        <v>0</v>
      </c>
      <c r="Y790">
        <f>COUNTBLANK(metadata!B790:Q790)=COLUMNS(metadata!B790:Q790)</f>
        <v>0</v>
      </c>
      <c r="Z790">
        <v>0</v>
      </c>
      <c r="AB790">
        <f>AND(IF(metadata!B790="",FALSE,TRUE),COUNTIF(metadata!B:B, metadata!B790) = 1,NOT(ISERROR(SUMPRODUCT(SEARCH(MID(metadata!B790,ROW(INDIRECT("1:"&amp;LEN(metadata!B790))), 1),"0123456789abcdefghijklmnopqrstuvwxyzABCDEFGHIJKLMNOPQRSTUVWXYZ.")))))</f>
        <v>0</v>
      </c>
      <c r="AC790">
        <f>OR(AND(IF(metadata!C790="",FALSE,TRUE),OR(exact(metadata!C790,"missing: not collected"),exact(metadata!C790,"missing: not provided"),exact(metadata!C790,"missing: restricted access"))),AND(IF(metadata!C790="",FALSE,TRUE),AND(AND(IFERROR(INT(LEFT(metadata!C790,4))&gt;1900,FALSE),IFERROR(INT(LEFT(metadata!C790,4))&lt;=YEAR(NOW()),FALSE)), OR(MID(metadata!C790,5,1)="", AND(AND(MID(metadata!C790,5,1)="-",IFERROR(INT(MID(metadata!C790,6,1))&gt;=0,FALSE),IFERROR(INT(MID(metadata!C790,6,1))&lt;=1,FALSE),NOT(MID(metadata!C790,7,1)=""),IFERROR(INT(MID(metadata!C790,6,2))&gt;=1,FALSE),IFERROR(INT(MID(metadata!C790,6,2))&lt;=12,FALSE)), OR(MID(metadata!C790,8,1)="", AND(AND(MID(metadata!C790,8,1)="-",IFERROR(INT(MID(metadata!C790,9,1))&gt;=0,FALSE),IFERROR(INT(MID(metadata!C790,9,1))&lt;=3,FALSE),NOT(MID(metadata!C790,10,1)=""),IFERROR(INT(MID(metadata!C790,9,2))&gt;=1,FALSE),IFERROR(INT(MID(metadata!C790,9,2))&lt;=31,FALSE)), OR(MID(metadata!C790,11,1)="", AND(AND(MID(metadata!C790,11,1)=" ",IFERROR(INT(MID(metadata!C790,12,1))&gt;=0,FALSE),IFERROR(INT(MID(metadata!C790,12,1))&lt;=2,FALSE),NOT(MID(metadata!C790,13,1)=""),IFERROR(INT(MID(metadata!C790,12,2))&gt;=0,FALSE),IFERROR(INT(MID(metadata!C790,12,2))&lt;=23,FALSE)), OR(MID(metadata!C790,14,1)="", AND(AND(MID(metadata!C790,14,1)=":",IFERROR(INT(MID(metadata!C790,15,1))&gt;=0,FALSE),IFERROR(INT(MID(metadata!C790,15,1))&lt;=5,FALSE),NOT(MID(metadata!C790,16,1)=""),IFERROR(INT(MID(metadata!C790,15,2))&gt;=0,FALSE),IFERROR(INT(MID(metadata!C790,15,2))&lt;=59,FALSE)), OR(MID(metadata!C790,17,1)="", AND(AND(MID(metadata!C790,17,1)=":",IFERROR(INT(MID(metadata!C790,18,1))&gt;=0,FALSE),IFERROR(INT(MID(metadata!C790,18,1))&lt;=5,FALSE),NOT(MID(metadata!C790,19,1)=""),IFERROR(INT(MID(metadata!C790,18,2))&gt;=0,FALSE),IFERROR(INT(MID(metadata!C790,18,2))&lt;=59,FALSE)), LEN(metadata!C790)&lt;=19)))))))))))))</f>
        <v>0</v>
      </c>
      <c r="AD790">
        <f>IF(metadata!D790="",FALSE,TRUE)</f>
        <v>0</v>
      </c>
      <c r="AE790">
        <f>OR(AND(IF(metadata!E790="",FALSE,TRUE),OR(exact(metadata!E790,"missing: not collected"),exact(metadata!E790,"missing: not provided"))),AND(IF(metadata!E790="",FALSE,TRUE),OR(exact(metadata!E790,"TRUE"),exact(metadata!E790,"FALSE"))))</f>
        <v>0</v>
      </c>
      <c r="AF790">
        <f>IF(metadata!F790="",FALSE,TRUE)</f>
        <v>0</v>
      </c>
      <c r="AG790">
        <f>IF(metadata!G790="",FALSE,TRUE)</f>
        <v>0</v>
      </c>
      <c r="AH790">
        <f>IF(metadata!H790="",FALSE,TRUE)</f>
        <v>0</v>
      </c>
      <c r="AI790">
        <f>OR(AND(IF(metadata!I790="",FALSE,TRUE),OR(exact(metadata!I790,"missing: not collected"),exact(metadata!I790,"missing: not provided"),exact(metadata!I790,"missing: restricted access"))),AND(IF(metadata!I790="",FALSE,TRUE),OR(exact(metadata!I790,"air"),exact(metadata!I790,"built environment"),exact(metadata!I790,"host-associated"),exact(metadata!I790,"human-associated"),exact(metadata!I790,"human-skin"),exact(metadata!I790,"human-oral"),exact(metadata!I790,"human-gut"),exact(metadata!I790,"human-vaginal"),exact(metadata!I790,"microbial mat/biofilm"),exact(metadata!I790,"misc environment"),exact(metadata!I790,"plant-associated"),exact(metadata!I790,"sediment"),exact(metadata!I790,"soil"),exact(metadata!I790,"wastewater/sludge"),exact(metadata!I790,"water"))))</f>
        <v>0</v>
      </c>
      <c r="AJ790">
        <f>IF(metadata!J790="",FALSE,TRUE)</f>
        <v>0</v>
      </c>
      <c r="AK790">
        <f>OR(AND(IF(metadata!K790="",FALSE,TRUE),OR(exact(metadata!K790,"missing: not collected"),exact(metadata!K790,"missing: not provided"),exact(metadata!K790,"missing: restricted access"))),AND(IF(metadata!K790="",FALSE,ISNUMBER(VALUE(metadata!K790))),metadata!K790&gt;=-90.00,metadata!K790&lt;=90.00))</f>
        <v>0</v>
      </c>
      <c r="AL790">
        <f>OR(AND(IF(metadata!L790="",FALSE,TRUE),OR(exact(metadata!L790,"missing: not collected"),exact(metadata!L790,"missing: not provided"),exact(metadata!L790,"missing: restricted access"))),AND(IF(metadata!L790="",FALSE,ISNUMBER(VALUE(metadata!L790))),metadata!L790&gt;=-180.00,metadata!L790&lt;=180.00))</f>
        <v>0</v>
      </c>
      <c r="AM790">
        <f>IF(metadata!M790="",FALSE,TRUE)</f>
        <v>0</v>
      </c>
      <c r="AN790">
        <f>OR(AND(IF(metadata!N790="",FALSE,TRUE),OR(exact(metadata!N790,"missing: not collected"),exact(metadata!N790,"missing: not provided"),exact(metadata!N790,"missing: restricted access"))),AND(IF(metadata!N790="",FALSE,TRUE),OR(exact(metadata!N790,"TRUE"),exact(metadata!N790,"FALSE"))))</f>
        <v>0</v>
      </c>
      <c r="AO790">
        <f>IF(metadata!O790="",FALSE,TRUE)</f>
        <v>0</v>
      </c>
      <c r="AP790">
        <f>OR(AND(IF(metadata!P790="",FALSE,TRUE),OR(exact(metadata!P790,"missing: not collected"),exact(metadata!P790,"missing: not provided"))),AND(IF(metadata!P790="",FALSE,IF(ISERROR(INT(metadata!P790)),FALSE,INT(metadata!P790)=metadata!P790)),metadata!P790&gt;0))</f>
        <v>0</v>
      </c>
      <c r="AQ790">
        <f>IF(metadata!Q790="",FALSE,TRUE)</f>
        <v>0</v>
      </c>
    </row>
    <row r="791" spans="1:43">
      <c r="A791" s="5">
        <f>IF(B791=" "," ",HYPERLINK(CONCATENATE("#metadata!",ADDRESS(INDEX($W$2:$W$1001,MATCH(ROWS($U$2:U791),$U$2:$U$1001,0),0),1)),INDEX($Z$2:$Z$1001,MATCH(ROWS($U$2:U791),$U$2:$U$1001,0),0)))</f>
        <v>0</v>
      </c>
      <c r="B791" s="4">
        <f>IF(OR(INDEX($V$2:$V$1001,MATCH(ROWS($U$2:U791),$U$2:$U$1001,0),1)&gt;=100000,INDEX($AB$1005:$AQ$1005,1,MATCH(COLUMNS($AB$1006:AB1006),$AB$1006:$AQ$1006,0))&gt;=100000), " ",IF(INDEX($AB$2:$AQ$1001,MATCH(ROWS($U$2:U791),$U$2:$U$1001,0),MATCH(COLUMNS($AB$1006:AB1006),$AB$1006:$AQ$1006,0)), HYPERLINK("#",""), HYPERLINK(CONCATENATE("#metadata!", ADDRESS(INDEX($W$2:$W$1001,MATCH(ROWS($U$2:U791),$U$2:$U$1001,0),0), INDEX($AB$1004:$AQ$1004,1,MATCH(COLUMNS($AB$1006:AB1006),$AB$1006:$AQ$1006,0)))),"Fix")))</f>
        <v>0</v>
      </c>
      <c r="C791" s="4">
        <f>IF(OR(INDEX($V$2:$V$1001,MATCH(ROWS($U$2:U791),$U$2:$U$1001,0),1)&gt;=100000,INDEX($AB$1005:$AQ$1005,1,MATCH(COLUMNS($AB$1006:AC1006),$AB$1006:$AQ$1006,0))&gt;=100000), " ",IF(INDEX($AB$2:$AQ$1001,MATCH(ROWS($U$2:U791),$U$2:$U$1001,0),MATCH(COLUMNS($AB$1006:AC1006),$AB$1006:$AQ$1006,0)), HYPERLINK("#",""), HYPERLINK(CONCATENATE("#metadata!", ADDRESS(INDEX($W$2:$W$1001,MATCH(ROWS($U$2:U791),$U$2:$U$1001,0),0), INDEX($AB$1004:$AQ$1004,1,MATCH(COLUMNS($AB$1006:AC1006),$AB$1006:$AQ$1006,0)))),"Fix")))</f>
        <v>0</v>
      </c>
      <c r="D791" s="4">
        <f>IF(OR(INDEX($V$2:$V$1001,MATCH(ROWS($U$2:U791),$U$2:$U$1001,0),1)&gt;=100000,INDEX($AB$1005:$AQ$1005,1,MATCH(COLUMNS($AB$1006:AD1006),$AB$1006:$AQ$1006,0))&gt;=100000), " ",IF(INDEX($AB$2:$AQ$1001,MATCH(ROWS($U$2:U791),$U$2:$U$1001,0),MATCH(COLUMNS($AB$1006:AD1006),$AB$1006:$AQ$1006,0)), HYPERLINK("#",""), HYPERLINK(CONCATENATE("#metadata!", ADDRESS(INDEX($W$2:$W$1001,MATCH(ROWS($U$2:U791),$U$2:$U$1001,0),0), INDEX($AB$1004:$AQ$1004,1,MATCH(COLUMNS($AB$1006:AD1006),$AB$1006:$AQ$1006,0)))),"Fix")))</f>
        <v>0</v>
      </c>
      <c r="E791" s="4">
        <f>IF(OR(INDEX($V$2:$V$1001,MATCH(ROWS($U$2:U791),$U$2:$U$1001,0),1)&gt;=100000,INDEX($AB$1005:$AQ$1005,1,MATCH(COLUMNS($AB$1006:AE1006),$AB$1006:$AQ$1006,0))&gt;=100000), " ",IF(INDEX($AB$2:$AQ$1001,MATCH(ROWS($U$2:U791),$U$2:$U$1001,0),MATCH(COLUMNS($AB$1006:AE1006),$AB$1006:$AQ$1006,0)), HYPERLINK("#",""), HYPERLINK(CONCATENATE("#metadata!", ADDRESS(INDEX($W$2:$W$1001,MATCH(ROWS($U$2:U791),$U$2:$U$1001,0),0), INDEX($AB$1004:$AQ$1004,1,MATCH(COLUMNS($AB$1006:AE1006),$AB$1006:$AQ$1006,0)))),"Fix")))</f>
        <v>0</v>
      </c>
      <c r="F791" s="4">
        <f>IF(OR(INDEX($V$2:$V$1001,MATCH(ROWS($U$2:U791),$U$2:$U$1001,0),1)&gt;=100000,INDEX($AB$1005:$AQ$1005,1,MATCH(COLUMNS($AB$1006:AF1006),$AB$1006:$AQ$1006,0))&gt;=100000), " ",IF(INDEX($AB$2:$AQ$1001,MATCH(ROWS($U$2:U791),$U$2:$U$1001,0),MATCH(COLUMNS($AB$1006:AF1006),$AB$1006:$AQ$1006,0)), HYPERLINK("#",""), HYPERLINK(CONCATENATE("#metadata!", ADDRESS(INDEX($W$2:$W$1001,MATCH(ROWS($U$2:U791),$U$2:$U$1001,0),0), INDEX($AB$1004:$AQ$1004,1,MATCH(COLUMNS($AB$1006:AF1006),$AB$1006:$AQ$1006,0)))),"Fix")))</f>
        <v>0</v>
      </c>
      <c r="G791" s="4">
        <f>IF(OR(INDEX($V$2:$V$1001,MATCH(ROWS($U$2:U791),$U$2:$U$1001,0),1)&gt;=100000,INDEX($AB$1005:$AQ$1005,1,MATCH(COLUMNS($AB$1006:AG1006),$AB$1006:$AQ$1006,0))&gt;=100000), " ",IF(INDEX($AB$2:$AQ$1001,MATCH(ROWS($U$2:U791),$U$2:$U$1001,0),MATCH(COLUMNS($AB$1006:AG1006),$AB$1006:$AQ$1006,0)), HYPERLINK("#",""), HYPERLINK(CONCATENATE("#metadata!", ADDRESS(INDEX($W$2:$W$1001,MATCH(ROWS($U$2:U791),$U$2:$U$1001,0),0), INDEX($AB$1004:$AQ$1004,1,MATCH(COLUMNS($AB$1006:AG1006),$AB$1006:$AQ$1006,0)))),"Fix")))</f>
        <v>0</v>
      </c>
      <c r="H791" s="4">
        <f>IF(OR(INDEX($V$2:$V$1001,MATCH(ROWS($U$2:U791),$U$2:$U$1001,0),1)&gt;=100000,INDEX($AB$1005:$AQ$1005,1,MATCH(COLUMNS($AB$1006:AH1006),$AB$1006:$AQ$1006,0))&gt;=100000), " ",IF(INDEX($AB$2:$AQ$1001,MATCH(ROWS($U$2:U791),$U$2:$U$1001,0),MATCH(COLUMNS($AB$1006:AH1006),$AB$1006:$AQ$1006,0)), HYPERLINK("#",""), HYPERLINK(CONCATENATE("#metadata!", ADDRESS(INDEX($W$2:$W$1001,MATCH(ROWS($U$2:U791),$U$2:$U$1001,0),0), INDEX($AB$1004:$AQ$1004,1,MATCH(COLUMNS($AB$1006:AH1006),$AB$1006:$AQ$1006,0)))),"Fix")))</f>
        <v>0</v>
      </c>
      <c r="I791" s="4">
        <f>IF(OR(INDEX($V$2:$V$1001,MATCH(ROWS($U$2:U791),$U$2:$U$1001,0),1)&gt;=100000,INDEX($AB$1005:$AQ$1005,1,MATCH(COLUMNS($AB$1006:AI1006),$AB$1006:$AQ$1006,0))&gt;=100000), " ",IF(INDEX($AB$2:$AQ$1001,MATCH(ROWS($U$2:U791),$U$2:$U$1001,0),MATCH(COLUMNS($AB$1006:AI1006),$AB$1006:$AQ$1006,0)), HYPERLINK("#",""), HYPERLINK(CONCATENATE("#metadata!", ADDRESS(INDEX($W$2:$W$1001,MATCH(ROWS($U$2:U791),$U$2:$U$1001,0),0), INDEX($AB$1004:$AQ$1004,1,MATCH(COLUMNS($AB$1006:AI1006),$AB$1006:$AQ$1006,0)))),"Fix")))</f>
        <v>0</v>
      </c>
      <c r="J791" s="4">
        <f>IF(OR(INDEX($V$2:$V$1001,MATCH(ROWS($U$2:U791),$U$2:$U$1001,0),1)&gt;=100000,INDEX($AB$1005:$AQ$1005,1,MATCH(COLUMNS($AB$1006:AJ1006),$AB$1006:$AQ$1006,0))&gt;=100000), " ",IF(INDEX($AB$2:$AQ$1001,MATCH(ROWS($U$2:U791),$U$2:$U$1001,0),MATCH(COLUMNS($AB$1006:AJ1006),$AB$1006:$AQ$1006,0)), HYPERLINK("#",""), HYPERLINK(CONCATENATE("#metadata!", ADDRESS(INDEX($W$2:$W$1001,MATCH(ROWS($U$2:U791),$U$2:$U$1001,0),0), INDEX($AB$1004:$AQ$1004,1,MATCH(COLUMNS($AB$1006:AJ1006),$AB$1006:$AQ$1006,0)))),"Fix")))</f>
        <v>0</v>
      </c>
      <c r="K791" s="4">
        <f>IF(OR(INDEX($V$2:$V$1001,MATCH(ROWS($U$2:U791),$U$2:$U$1001,0),1)&gt;=100000,INDEX($AB$1005:$AQ$1005,1,MATCH(COLUMNS($AB$1006:AK1006),$AB$1006:$AQ$1006,0))&gt;=100000), " ",IF(INDEX($AB$2:$AQ$1001,MATCH(ROWS($U$2:U791),$U$2:$U$1001,0),MATCH(COLUMNS($AB$1006:AK1006),$AB$1006:$AQ$1006,0)), HYPERLINK("#",""), HYPERLINK(CONCATENATE("#metadata!", ADDRESS(INDEX($W$2:$W$1001,MATCH(ROWS($U$2:U791),$U$2:$U$1001,0),0), INDEX($AB$1004:$AQ$1004,1,MATCH(COLUMNS($AB$1006:AK1006),$AB$1006:$AQ$1006,0)))),"Fix")))</f>
        <v>0</v>
      </c>
      <c r="L791" s="4">
        <f>IF(OR(INDEX($V$2:$V$1001,MATCH(ROWS($U$2:U791),$U$2:$U$1001,0),1)&gt;=100000,INDEX($AB$1005:$AQ$1005,1,MATCH(COLUMNS($AB$1006:AL1006),$AB$1006:$AQ$1006,0))&gt;=100000), " ",IF(INDEX($AB$2:$AQ$1001,MATCH(ROWS($U$2:U791),$U$2:$U$1001,0),MATCH(COLUMNS($AB$1006:AL1006),$AB$1006:$AQ$1006,0)), HYPERLINK("#",""), HYPERLINK(CONCATENATE("#metadata!", ADDRESS(INDEX($W$2:$W$1001,MATCH(ROWS($U$2:U791),$U$2:$U$1001,0),0), INDEX($AB$1004:$AQ$1004,1,MATCH(COLUMNS($AB$1006:AL1006),$AB$1006:$AQ$1006,0)))),"Fix")))</f>
        <v>0</v>
      </c>
      <c r="M791" s="4">
        <f>IF(OR(INDEX($V$2:$V$1001,MATCH(ROWS($U$2:U791),$U$2:$U$1001,0),1)&gt;=100000,INDEX($AB$1005:$AQ$1005,1,MATCH(COLUMNS($AB$1006:AM1006),$AB$1006:$AQ$1006,0))&gt;=100000), " ",IF(INDEX($AB$2:$AQ$1001,MATCH(ROWS($U$2:U791),$U$2:$U$1001,0),MATCH(COLUMNS($AB$1006:AM1006),$AB$1006:$AQ$1006,0)), HYPERLINK("#",""), HYPERLINK(CONCATENATE("#metadata!", ADDRESS(INDEX($W$2:$W$1001,MATCH(ROWS($U$2:U791),$U$2:$U$1001,0),0), INDEX($AB$1004:$AQ$1004,1,MATCH(COLUMNS($AB$1006:AM1006),$AB$1006:$AQ$1006,0)))),"Fix")))</f>
        <v>0</v>
      </c>
      <c r="N791" s="4">
        <f>IF(OR(INDEX($V$2:$V$1001,MATCH(ROWS($U$2:U791),$U$2:$U$1001,0),1)&gt;=100000,INDEX($AB$1005:$AQ$1005,1,MATCH(COLUMNS($AB$1006:AN1006),$AB$1006:$AQ$1006,0))&gt;=100000), " ",IF(INDEX($AB$2:$AQ$1001,MATCH(ROWS($U$2:U791),$U$2:$U$1001,0),MATCH(COLUMNS($AB$1006:AN1006),$AB$1006:$AQ$1006,0)), HYPERLINK("#",""), HYPERLINK(CONCATENATE("#metadata!", ADDRESS(INDEX($W$2:$W$1001,MATCH(ROWS($U$2:U791),$U$2:$U$1001,0),0), INDEX($AB$1004:$AQ$1004,1,MATCH(COLUMNS($AB$1006:AN1006),$AB$1006:$AQ$1006,0)))),"Fix")))</f>
        <v>0</v>
      </c>
      <c r="O791" s="4">
        <f>IF(OR(INDEX($V$2:$V$1001,MATCH(ROWS($U$2:U791),$U$2:$U$1001,0),1)&gt;=100000,INDEX($AB$1005:$AQ$1005,1,MATCH(COLUMNS($AB$1006:AO1006),$AB$1006:$AQ$1006,0))&gt;=100000), " ",IF(INDEX($AB$2:$AQ$1001,MATCH(ROWS($U$2:U791),$U$2:$U$1001,0),MATCH(COLUMNS($AB$1006:AO1006),$AB$1006:$AQ$1006,0)), HYPERLINK("#",""), HYPERLINK(CONCATENATE("#metadata!", ADDRESS(INDEX($W$2:$W$1001,MATCH(ROWS($U$2:U791),$U$2:$U$1001,0),0), INDEX($AB$1004:$AQ$1004,1,MATCH(COLUMNS($AB$1006:AO1006),$AB$1006:$AQ$1006,0)))),"Fix")))</f>
        <v>0</v>
      </c>
      <c r="P791" s="4">
        <f>IF(OR(INDEX($V$2:$V$1001,MATCH(ROWS($U$2:U791),$U$2:$U$1001,0),1)&gt;=100000,INDEX($AB$1005:$AQ$1005,1,MATCH(COLUMNS($AB$1006:AP1006),$AB$1006:$AQ$1006,0))&gt;=100000), " ",IF(INDEX($AB$2:$AQ$1001,MATCH(ROWS($U$2:U791),$U$2:$U$1001,0),MATCH(COLUMNS($AB$1006:AP1006),$AB$1006:$AQ$1006,0)), HYPERLINK("#",""), HYPERLINK(CONCATENATE("#metadata!", ADDRESS(INDEX($W$2:$W$1001,MATCH(ROWS($U$2:U791),$U$2:$U$1001,0),0), INDEX($AB$1004:$AQ$1004,1,MATCH(COLUMNS($AB$1006:AP1006),$AB$1006:$AQ$1006,0)))),"Fix")))</f>
        <v>0</v>
      </c>
      <c r="Q791" s="4">
        <f>IF(OR(INDEX($V$2:$V$1001,MATCH(ROWS($U$2:U791),$U$2:$U$1001,0),1)&gt;=100000,INDEX($AB$1005:$AQ$1005,1,MATCH(COLUMNS($AB$1006:AQ1006),$AB$1006:$AQ$1006,0))&gt;=100000), " ",IF(INDEX($AB$2:$AQ$1001,MATCH(ROWS($U$2:U791),$U$2:$U$1001,0),MATCH(COLUMNS($AB$1006:AQ1006),$AB$1006:$AQ$1006,0)), HYPERLINK("#",""), HYPERLINK(CONCATENATE("#metadata!", ADDRESS(INDEX($W$2:$W$1001,MATCH(ROWS($U$2:U791),$U$2:$U$1001,0),0), INDEX($AB$1004:$AQ$1004,1,MATCH(COLUMNS($AB$1006:AQ1006),$AB$1006:$AQ$1006,0)))),"Fix")))</f>
        <v>0</v>
      </c>
      <c r="U791">
        <v>0</v>
      </c>
      <c r="V791">
        <v>0</v>
      </c>
      <c r="W791">
        <v>0</v>
      </c>
      <c r="X791">
        <f>IF(Y791,TRUE,AND(AB791:AQ791))</f>
        <v>0</v>
      </c>
      <c r="Y791">
        <f>COUNTBLANK(metadata!B791:Q791)=COLUMNS(metadata!B791:Q791)</f>
        <v>0</v>
      </c>
      <c r="Z791">
        <v>0</v>
      </c>
      <c r="AB791">
        <f>AND(IF(metadata!B791="",FALSE,TRUE),COUNTIF(metadata!B:B, metadata!B791) = 1,NOT(ISERROR(SUMPRODUCT(SEARCH(MID(metadata!B791,ROW(INDIRECT("1:"&amp;LEN(metadata!B791))), 1),"0123456789abcdefghijklmnopqrstuvwxyzABCDEFGHIJKLMNOPQRSTUVWXYZ.")))))</f>
        <v>0</v>
      </c>
      <c r="AC791">
        <f>OR(AND(IF(metadata!C791="",FALSE,TRUE),OR(exact(metadata!C791,"missing: not collected"),exact(metadata!C791,"missing: not provided"),exact(metadata!C791,"missing: restricted access"))),AND(IF(metadata!C791="",FALSE,TRUE),AND(AND(IFERROR(INT(LEFT(metadata!C791,4))&gt;1900,FALSE),IFERROR(INT(LEFT(metadata!C791,4))&lt;=YEAR(NOW()),FALSE)), OR(MID(metadata!C791,5,1)="", AND(AND(MID(metadata!C791,5,1)="-",IFERROR(INT(MID(metadata!C791,6,1))&gt;=0,FALSE),IFERROR(INT(MID(metadata!C791,6,1))&lt;=1,FALSE),NOT(MID(metadata!C791,7,1)=""),IFERROR(INT(MID(metadata!C791,6,2))&gt;=1,FALSE),IFERROR(INT(MID(metadata!C791,6,2))&lt;=12,FALSE)), OR(MID(metadata!C791,8,1)="", AND(AND(MID(metadata!C791,8,1)="-",IFERROR(INT(MID(metadata!C791,9,1))&gt;=0,FALSE),IFERROR(INT(MID(metadata!C791,9,1))&lt;=3,FALSE),NOT(MID(metadata!C791,10,1)=""),IFERROR(INT(MID(metadata!C791,9,2))&gt;=1,FALSE),IFERROR(INT(MID(metadata!C791,9,2))&lt;=31,FALSE)), OR(MID(metadata!C791,11,1)="", AND(AND(MID(metadata!C791,11,1)=" ",IFERROR(INT(MID(metadata!C791,12,1))&gt;=0,FALSE),IFERROR(INT(MID(metadata!C791,12,1))&lt;=2,FALSE),NOT(MID(metadata!C791,13,1)=""),IFERROR(INT(MID(metadata!C791,12,2))&gt;=0,FALSE),IFERROR(INT(MID(metadata!C791,12,2))&lt;=23,FALSE)), OR(MID(metadata!C791,14,1)="", AND(AND(MID(metadata!C791,14,1)=":",IFERROR(INT(MID(metadata!C791,15,1))&gt;=0,FALSE),IFERROR(INT(MID(metadata!C791,15,1))&lt;=5,FALSE),NOT(MID(metadata!C791,16,1)=""),IFERROR(INT(MID(metadata!C791,15,2))&gt;=0,FALSE),IFERROR(INT(MID(metadata!C791,15,2))&lt;=59,FALSE)), OR(MID(metadata!C791,17,1)="", AND(AND(MID(metadata!C791,17,1)=":",IFERROR(INT(MID(metadata!C791,18,1))&gt;=0,FALSE),IFERROR(INT(MID(metadata!C791,18,1))&lt;=5,FALSE),NOT(MID(metadata!C791,19,1)=""),IFERROR(INT(MID(metadata!C791,18,2))&gt;=0,FALSE),IFERROR(INT(MID(metadata!C791,18,2))&lt;=59,FALSE)), LEN(metadata!C791)&lt;=19)))))))))))))</f>
        <v>0</v>
      </c>
      <c r="AD791">
        <f>IF(metadata!D791="",FALSE,TRUE)</f>
        <v>0</v>
      </c>
      <c r="AE791">
        <f>OR(AND(IF(metadata!E791="",FALSE,TRUE),OR(exact(metadata!E791,"missing: not collected"),exact(metadata!E791,"missing: not provided"))),AND(IF(metadata!E791="",FALSE,TRUE),OR(exact(metadata!E791,"TRUE"),exact(metadata!E791,"FALSE"))))</f>
        <v>0</v>
      </c>
      <c r="AF791">
        <f>IF(metadata!F791="",FALSE,TRUE)</f>
        <v>0</v>
      </c>
      <c r="AG791">
        <f>IF(metadata!G791="",FALSE,TRUE)</f>
        <v>0</v>
      </c>
      <c r="AH791">
        <f>IF(metadata!H791="",FALSE,TRUE)</f>
        <v>0</v>
      </c>
      <c r="AI791">
        <f>OR(AND(IF(metadata!I791="",FALSE,TRUE),OR(exact(metadata!I791,"missing: not collected"),exact(metadata!I791,"missing: not provided"),exact(metadata!I791,"missing: restricted access"))),AND(IF(metadata!I791="",FALSE,TRUE),OR(exact(metadata!I791,"air"),exact(metadata!I791,"built environment"),exact(metadata!I791,"host-associated"),exact(metadata!I791,"human-associated"),exact(metadata!I791,"human-skin"),exact(metadata!I791,"human-oral"),exact(metadata!I791,"human-gut"),exact(metadata!I791,"human-vaginal"),exact(metadata!I791,"microbial mat/biofilm"),exact(metadata!I791,"misc environment"),exact(metadata!I791,"plant-associated"),exact(metadata!I791,"sediment"),exact(metadata!I791,"soil"),exact(metadata!I791,"wastewater/sludge"),exact(metadata!I791,"water"))))</f>
        <v>0</v>
      </c>
      <c r="AJ791">
        <f>IF(metadata!J791="",FALSE,TRUE)</f>
        <v>0</v>
      </c>
      <c r="AK791">
        <f>OR(AND(IF(metadata!K791="",FALSE,TRUE),OR(exact(metadata!K791,"missing: not collected"),exact(metadata!K791,"missing: not provided"),exact(metadata!K791,"missing: restricted access"))),AND(IF(metadata!K791="",FALSE,ISNUMBER(VALUE(metadata!K791))),metadata!K791&gt;=-90.00,metadata!K791&lt;=90.00))</f>
        <v>0</v>
      </c>
      <c r="AL791">
        <f>OR(AND(IF(metadata!L791="",FALSE,TRUE),OR(exact(metadata!L791,"missing: not collected"),exact(metadata!L791,"missing: not provided"),exact(metadata!L791,"missing: restricted access"))),AND(IF(metadata!L791="",FALSE,ISNUMBER(VALUE(metadata!L791))),metadata!L791&gt;=-180.00,metadata!L791&lt;=180.00))</f>
        <v>0</v>
      </c>
      <c r="AM791">
        <f>IF(metadata!M791="",FALSE,TRUE)</f>
        <v>0</v>
      </c>
      <c r="AN791">
        <f>OR(AND(IF(metadata!N791="",FALSE,TRUE),OR(exact(metadata!N791,"missing: not collected"),exact(metadata!N791,"missing: not provided"),exact(metadata!N791,"missing: restricted access"))),AND(IF(metadata!N791="",FALSE,TRUE),OR(exact(metadata!N791,"TRUE"),exact(metadata!N791,"FALSE"))))</f>
        <v>0</v>
      </c>
      <c r="AO791">
        <f>IF(metadata!O791="",FALSE,TRUE)</f>
        <v>0</v>
      </c>
      <c r="AP791">
        <f>OR(AND(IF(metadata!P791="",FALSE,TRUE),OR(exact(metadata!P791,"missing: not collected"),exact(metadata!P791,"missing: not provided"))),AND(IF(metadata!P791="",FALSE,IF(ISERROR(INT(metadata!P791)),FALSE,INT(metadata!P791)=metadata!P791)),metadata!P791&gt;0))</f>
        <v>0</v>
      </c>
      <c r="AQ791">
        <f>IF(metadata!Q791="",FALSE,TRUE)</f>
        <v>0</v>
      </c>
    </row>
    <row r="792" spans="1:43">
      <c r="A792" s="5">
        <f>IF(B792=" "," ",HYPERLINK(CONCATENATE("#metadata!",ADDRESS(INDEX($W$2:$W$1001,MATCH(ROWS($U$2:U792),$U$2:$U$1001,0),0),1)),INDEX($Z$2:$Z$1001,MATCH(ROWS($U$2:U792),$U$2:$U$1001,0),0)))</f>
        <v>0</v>
      </c>
      <c r="B792" s="4">
        <f>IF(OR(INDEX($V$2:$V$1001,MATCH(ROWS($U$2:U792),$U$2:$U$1001,0),1)&gt;=100000,INDEX($AB$1005:$AQ$1005,1,MATCH(COLUMNS($AB$1006:AB1006),$AB$1006:$AQ$1006,0))&gt;=100000), " ",IF(INDEX($AB$2:$AQ$1001,MATCH(ROWS($U$2:U792),$U$2:$U$1001,0),MATCH(COLUMNS($AB$1006:AB1006),$AB$1006:$AQ$1006,0)), HYPERLINK("#",""), HYPERLINK(CONCATENATE("#metadata!", ADDRESS(INDEX($W$2:$W$1001,MATCH(ROWS($U$2:U792),$U$2:$U$1001,0),0), INDEX($AB$1004:$AQ$1004,1,MATCH(COLUMNS($AB$1006:AB1006),$AB$1006:$AQ$1006,0)))),"Fix")))</f>
        <v>0</v>
      </c>
      <c r="C792" s="4">
        <f>IF(OR(INDEX($V$2:$V$1001,MATCH(ROWS($U$2:U792),$U$2:$U$1001,0),1)&gt;=100000,INDEX($AB$1005:$AQ$1005,1,MATCH(COLUMNS($AB$1006:AC1006),$AB$1006:$AQ$1006,0))&gt;=100000), " ",IF(INDEX($AB$2:$AQ$1001,MATCH(ROWS($U$2:U792),$U$2:$U$1001,0),MATCH(COLUMNS($AB$1006:AC1006),$AB$1006:$AQ$1006,0)), HYPERLINK("#",""), HYPERLINK(CONCATENATE("#metadata!", ADDRESS(INDEX($W$2:$W$1001,MATCH(ROWS($U$2:U792),$U$2:$U$1001,0),0), INDEX($AB$1004:$AQ$1004,1,MATCH(COLUMNS($AB$1006:AC1006),$AB$1006:$AQ$1006,0)))),"Fix")))</f>
        <v>0</v>
      </c>
      <c r="D792" s="4">
        <f>IF(OR(INDEX($V$2:$V$1001,MATCH(ROWS($U$2:U792),$U$2:$U$1001,0),1)&gt;=100000,INDEX($AB$1005:$AQ$1005,1,MATCH(COLUMNS($AB$1006:AD1006),$AB$1006:$AQ$1006,0))&gt;=100000), " ",IF(INDEX($AB$2:$AQ$1001,MATCH(ROWS($U$2:U792),$U$2:$U$1001,0),MATCH(COLUMNS($AB$1006:AD1006),$AB$1006:$AQ$1006,0)), HYPERLINK("#",""), HYPERLINK(CONCATENATE("#metadata!", ADDRESS(INDEX($W$2:$W$1001,MATCH(ROWS($U$2:U792),$U$2:$U$1001,0),0), INDEX($AB$1004:$AQ$1004,1,MATCH(COLUMNS($AB$1006:AD1006),$AB$1006:$AQ$1006,0)))),"Fix")))</f>
        <v>0</v>
      </c>
      <c r="E792" s="4">
        <f>IF(OR(INDEX($V$2:$V$1001,MATCH(ROWS($U$2:U792),$U$2:$U$1001,0),1)&gt;=100000,INDEX($AB$1005:$AQ$1005,1,MATCH(COLUMNS($AB$1006:AE1006),$AB$1006:$AQ$1006,0))&gt;=100000), " ",IF(INDEX($AB$2:$AQ$1001,MATCH(ROWS($U$2:U792),$U$2:$U$1001,0),MATCH(COLUMNS($AB$1006:AE1006),$AB$1006:$AQ$1006,0)), HYPERLINK("#",""), HYPERLINK(CONCATENATE("#metadata!", ADDRESS(INDEX($W$2:$W$1001,MATCH(ROWS($U$2:U792),$U$2:$U$1001,0),0), INDEX($AB$1004:$AQ$1004,1,MATCH(COLUMNS($AB$1006:AE1006),$AB$1006:$AQ$1006,0)))),"Fix")))</f>
        <v>0</v>
      </c>
      <c r="F792" s="4">
        <f>IF(OR(INDEX($V$2:$V$1001,MATCH(ROWS($U$2:U792),$U$2:$U$1001,0),1)&gt;=100000,INDEX($AB$1005:$AQ$1005,1,MATCH(COLUMNS($AB$1006:AF1006),$AB$1006:$AQ$1006,0))&gt;=100000), " ",IF(INDEX($AB$2:$AQ$1001,MATCH(ROWS($U$2:U792),$U$2:$U$1001,0),MATCH(COLUMNS($AB$1006:AF1006),$AB$1006:$AQ$1006,0)), HYPERLINK("#",""), HYPERLINK(CONCATENATE("#metadata!", ADDRESS(INDEX($W$2:$W$1001,MATCH(ROWS($U$2:U792),$U$2:$U$1001,0),0), INDEX($AB$1004:$AQ$1004,1,MATCH(COLUMNS($AB$1006:AF1006),$AB$1006:$AQ$1006,0)))),"Fix")))</f>
        <v>0</v>
      </c>
      <c r="G792" s="4">
        <f>IF(OR(INDEX($V$2:$V$1001,MATCH(ROWS($U$2:U792),$U$2:$U$1001,0),1)&gt;=100000,INDEX($AB$1005:$AQ$1005,1,MATCH(COLUMNS($AB$1006:AG1006),$AB$1006:$AQ$1006,0))&gt;=100000), " ",IF(INDEX($AB$2:$AQ$1001,MATCH(ROWS($U$2:U792),$U$2:$U$1001,0),MATCH(COLUMNS($AB$1006:AG1006),$AB$1006:$AQ$1006,0)), HYPERLINK("#",""), HYPERLINK(CONCATENATE("#metadata!", ADDRESS(INDEX($W$2:$W$1001,MATCH(ROWS($U$2:U792),$U$2:$U$1001,0),0), INDEX($AB$1004:$AQ$1004,1,MATCH(COLUMNS($AB$1006:AG1006),$AB$1006:$AQ$1006,0)))),"Fix")))</f>
        <v>0</v>
      </c>
      <c r="H792" s="4">
        <f>IF(OR(INDEX($V$2:$V$1001,MATCH(ROWS($U$2:U792),$U$2:$U$1001,0),1)&gt;=100000,INDEX($AB$1005:$AQ$1005,1,MATCH(COLUMNS($AB$1006:AH1006),$AB$1006:$AQ$1006,0))&gt;=100000), " ",IF(INDEX($AB$2:$AQ$1001,MATCH(ROWS($U$2:U792),$U$2:$U$1001,0),MATCH(COLUMNS($AB$1006:AH1006),$AB$1006:$AQ$1006,0)), HYPERLINK("#",""), HYPERLINK(CONCATENATE("#metadata!", ADDRESS(INDEX($W$2:$W$1001,MATCH(ROWS($U$2:U792),$U$2:$U$1001,0),0), INDEX($AB$1004:$AQ$1004,1,MATCH(COLUMNS($AB$1006:AH1006),$AB$1006:$AQ$1006,0)))),"Fix")))</f>
        <v>0</v>
      </c>
      <c r="I792" s="4">
        <f>IF(OR(INDEX($V$2:$V$1001,MATCH(ROWS($U$2:U792),$U$2:$U$1001,0),1)&gt;=100000,INDEX($AB$1005:$AQ$1005,1,MATCH(COLUMNS($AB$1006:AI1006),$AB$1006:$AQ$1006,0))&gt;=100000), " ",IF(INDEX($AB$2:$AQ$1001,MATCH(ROWS($U$2:U792),$U$2:$U$1001,0),MATCH(COLUMNS($AB$1006:AI1006),$AB$1006:$AQ$1006,0)), HYPERLINK("#",""), HYPERLINK(CONCATENATE("#metadata!", ADDRESS(INDEX($W$2:$W$1001,MATCH(ROWS($U$2:U792),$U$2:$U$1001,0),0), INDEX($AB$1004:$AQ$1004,1,MATCH(COLUMNS($AB$1006:AI1006),$AB$1006:$AQ$1006,0)))),"Fix")))</f>
        <v>0</v>
      </c>
      <c r="J792" s="4">
        <f>IF(OR(INDEX($V$2:$V$1001,MATCH(ROWS($U$2:U792),$U$2:$U$1001,0),1)&gt;=100000,INDEX($AB$1005:$AQ$1005,1,MATCH(COLUMNS($AB$1006:AJ1006),$AB$1006:$AQ$1006,0))&gt;=100000), " ",IF(INDEX($AB$2:$AQ$1001,MATCH(ROWS($U$2:U792),$U$2:$U$1001,0),MATCH(COLUMNS($AB$1006:AJ1006),$AB$1006:$AQ$1006,0)), HYPERLINK("#",""), HYPERLINK(CONCATENATE("#metadata!", ADDRESS(INDEX($W$2:$W$1001,MATCH(ROWS($U$2:U792),$U$2:$U$1001,0),0), INDEX($AB$1004:$AQ$1004,1,MATCH(COLUMNS($AB$1006:AJ1006),$AB$1006:$AQ$1006,0)))),"Fix")))</f>
        <v>0</v>
      </c>
      <c r="K792" s="4">
        <f>IF(OR(INDEX($V$2:$V$1001,MATCH(ROWS($U$2:U792),$U$2:$U$1001,0),1)&gt;=100000,INDEX($AB$1005:$AQ$1005,1,MATCH(COLUMNS($AB$1006:AK1006),$AB$1006:$AQ$1006,0))&gt;=100000), " ",IF(INDEX($AB$2:$AQ$1001,MATCH(ROWS($U$2:U792),$U$2:$U$1001,0),MATCH(COLUMNS($AB$1006:AK1006),$AB$1006:$AQ$1006,0)), HYPERLINK("#",""), HYPERLINK(CONCATENATE("#metadata!", ADDRESS(INDEX($W$2:$W$1001,MATCH(ROWS($U$2:U792),$U$2:$U$1001,0),0), INDEX($AB$1004:$AQ$1004,1,MATCH(COLUMNS($AB$1006:AK1006),$AB$1006:$AQ$1006,0)))),"Fix")))</f>
        <v>0</v>
      </c>
      <c r="L792" s="4">
        <f>IF(OR(INDEX($V$2:$V$1001,MATCH(ROWS($U$2:U792),$U$2:$U$1001,0),1)&gt;=100000,INDEX($AB$1005:$AQ$1005,1,MATCH(COLUMNS($AB$1006:AL1006),$AB$1006:$AQ$1006,0))&gt;=100000), " ",IF(INDEX($AB$2:$AQ$1001,MATCH(ROWS($U$2:U792),$U$2:$U$1001,0),MATCH(COLUMNS($AB$1006:AL1006),$AB$1006:$AQ$1006,0)), HYPERLINK("#",""), HYPERLINK(CONCATENATE("#metadata!", ADDRESS(INDEX($W$2:$W$1001,MATCH(ROWS($U$2:U792),$U$2:$U$1001,0),0), INDEX($AB$1004:$AQ$1004,1,MATCH(COLUMNS($AB$1006:AL1006),$AB$1006:$AQ$1006,0)))),"Fix")))</f>
        <v>0</v>
      </c>
      <c r="M792" s="4">
        <f>IF(OR(INDEX($V$2:$V$1001,MATCH(ROWS($U$2:U792),$U$2:$U$1001,0),1)&gt;=100000,INDEX($AB$1005:$AQ$1005,1,MATCH(COLUMNS($AB$1006:AM1006),$AB$1006:$AQ$1006,0))&gt;=100000), " ",IF(INDEX($AB$2:$AQ$1001,MATCH(ROWS($U$2:U792),$U$2:$U$1001,0),MATCH(COLUMNS($AB$1006:AM1006),$AB$1006:$AQ$1006,0)), HYPERLINK("#",""), HYPERLINK(CONCATENATE("#metadata!", ADDRESS(INDEX($W$2:$W$1001,MATCH(ROWS($U$2:U792),$U$2:$U$1001,0),0), INDEX($AB$1004:$AQ$1004,1,MATCH(COLUMNS($AB$1006:AM1006),$AB$1006:$AQ$1006,0)))),"Fix")))</f>
        <v>0</v>
      </c>
      <c r="N792" s="4">
        <f>IF(OR(INDEX($V$2:$V$1001,MATCH(ROWS($U$2:U792),$U$2:$U$1001,0),1)&gt;=100000,INDEX($AB$1005:$AQ$1005,1,MATCH(COLUMNS($AB$1006:AN1006),$AB$1006:$AQ$1006,0))&gt;=100000), " ",IF(INDEX($AB$2:$AQ$1001,MATCH(ROWS($U$2:U792),$U$2:$U$1001,0),MATCH(COLUMNS($AB$1006:AN1006),$AB$1006:$AQ$1006,0)), HYPERLINK("#",""), HYPERLINK(CONCATENATE("#metadata!", ADDRESS(INDEX($W$2:$W$1001,MATCH(ROWS($U$2:U792),$U$2:$U$1001,0),0), INDEX($AB$1004:$AQ$1004,1,MATCH(COLUMNS($AB$1006:AN1006),$AB$1006:$AQ$1006,0)))),"Fix")))</f>
        <v>0</v>
      </c>
      <c r="O792" s="4">
        <f>IF(OR(INDEX($V$2:$V$1001,MATCH(ROWS($U$2:U792),$U$2:$U$1001,0),1)&gt;=100000,INDEX($AB$1005:$AQ$1005,1,MATCH(COLUMNS($AB$1006:AO1006),$AB$1006:$AQ$1006,0))&gt;=100000), " ",IF(INDEX($AB$2:$AQ$1001,MATCH(ROWS($U$2:U792),$U$2:$U$1001,0),MATCH(COLUMNS($AB$1006:AO1006),$AB$1006:$AQ$1006,0)), HYPERLINK("#",""), HYPERLINK(CONCATENATE("#metadata!", ADDRESS(INDEX($W$2:$W$1001,MATCH(ROWS($U$2:U792),$U$2:$U$1001,0),0), INDEX($AB$1004:$AQ$1004,1,MATCH(COLUMNS($AB$1006:AO1006),$AB$1006:$AQ$1006,0)))),"Fix")))</f>
        <v>0</v>
      </c>
      <c r="P792" s="4">
        <f>IF(OR(INDEX($V$2:$V$1001,MATCH(ROWS($U$2:U792),$U$2:$U$1001,0),1)&gt;=100000,INDEX($AB$1005:$AQ$1005,1,MATCH(COLUMNS($AB$1006:AP1006),$AB$1006:$AQ$1006,0))&gt;=100000), " ",IF(INDEX($AB$2:$AQ$1001,MATCH(ROWS($U$2:U792),$U$2:$U$1001,0),MATCH(COLUMNS($AB$1006:AP1006),$AB$1006:$AQ$1006,0)), HYPERLINK("#",""), HYPERLINK(CONCATENATE("#metadata!", ADDRESS(INDEX($W$2:$W$1001,MATCH(ROWS($U$2:U792),$U$2:$U$1001,0),0), INDEX($AB$1004:$AQ$1004,1,MATCH(COLUMNS($AB$1006:AP1006),$AB$1006:$AQ$1006,0)))),"Fix")))</f>
        <v>0</v>
      </c>
      <c r="Q792" s="4">
        <f>IF(OR(INDEX($V$2:$V$1001,MATCH(ROWS($U$2:U792),$U$2:$U$1001,0),1)&gt;=100000,INDEX($AB$1005:$AQ$1005,1,MATCH(COLUMNS($AB$1006:AQ1006),$AB$1006:$AQ$1006,0))&gt;=100000), " ",IF(INDEX($AB$2:$AQ$1001,MATCH(ROWS($U$2:U792),$U$2:$U$1001,0),MATCH(COLUMNS($AB$1006:AQ1006),$AB$1006:$AQ$1006,0)), HYPERLINK("#",""), HYPERLINK(CONCATENATE("#metadata!", ADDRESS(INDEX($W$2:$W$1001,MATCH(ROWS($U$2:U792),$U$2:$U$1001,0),0), INDEX($AB$1004:$AQ$1004,1,MATCH(COLUMNS($AB$1006:AQ1006),$AB$1006:$AQ$1006,0)))),"Fix")))</f>
        <v>0</v>
      </c>
      <c r="U792">
        <v>0</v>
      </c>
      <c r="V792">
        <v>0</v>
      </c>
      <c r="W792">
        <v>0</v>
      </c>
      <c r="X792">
        <f>IF(Y792,TRUE,AND(AB792:AQ792))</f>
        <v>0</v>
      </c>
      <c r="Y792">
        <f>COUNTBLANK(metadata!B792:Q792)=COLUMNS(metadata!B792:Q792)</f>
        <v>0</v>
      </c>
      <c r="Z792">
        <v>0</v>
      </c>
      <c r="AB792">
        <f>AND(IF(metadata!B792="",FALSE,TRUE),COUNTIF(metadata!B:B, metadata!B792) = 1,NOT(ISERROR(SUMPRODUCT(SEARCH(MID(metadata!B792,ROW(INDIRECT("1:"&amp;LEN(metadata!B792))), 1),"0123456789abcdefghijklmnopqrstuvwxyzABCDEFGHIJKLMNOPQRSTUVWXYZ.")))))</f>
        <v>0</v>
      </c>
      <c r="AC792">
        <f>OR(AND(IF(metadata!C792="",FALSE,TRUE),OR(exact(metadata!C792,"missing: not collected"),exact(metadata!C792,"missing: not provided"),exact(metadata!C792,"missing: restricted access"))),AND(IF(metadata!C792="",FALSE,TRUE),AND(AND(IFERROR(INT(LEFT(metadata!C792,4))&gt;1900,FALSE),IFERROR(INT(LEFT(metadata!C792,4))&lt;=YEAR(NOW()),FALSE)), OR(MID(metadata!C792,5,1)="", AND(AND(MID(metadata!C792,5,1)="-",IFERROR(INT(MID(metadata!C792,6,1))&gt;=0,FALSE),IFERROR(INT(MID(metadata!C792,6,1))&lt;=1,FALSE),NOT(MID(metadata!C792,7,1)=""),IFERROR(INT(MID(metadata!C792,6,2))&gt;=1,FALSE),IFERROR(INT(MID(metadata!C792,6,2))&lt;=12,FALSE)), OR(MID(metadata!C792,8,1)="", AND(AND(MID(metadata!C792,8,1)="-",IFERROR(INT(MID(metadata!C792,9,1))&gt;=0,FALSE),IFERROR(INT(MID(metadata!C792,9,1))&lt;=3,FALSE),NOT(MID(metadata!C792,10,1)=""),IFERROR(INT(MID(metadata!C792,9,2))&gt;=1,FALSE),IFERROR(INT(MID(metadata!C792,9,2))&lt;=31,FALSE)), OR(MID(metadata!C792,11,1)="", AND(AND(MID(metadata!C792,11,1)=" ",IFERROR(INT(MID(metadata!C792,12,1))&gt;=0,FALSE),IFERROR(INT(MID(metadata!C792,12,1))&lt;=2,FALSE),NOT(MID(metadata!C792,13,1)=""),IFERROR(INT(MID(metadata!C792,12,2))&gt;=0,FALSE),IFERROR(INT(MID(metadata!C792,12,2))&lt;=23,FALSE)), OR(MID(metadata!C792,14,1)="", AND(AND(MID(metadata!C792,14,1)=":",IFERROR(INT(MID(metadata!C792,15,1))&gt;=0,FALSE),IFERROR(INT(MID(metadata!C792,15,1))&lt;=5,FALSE),NOT(MID(metadata!C792,16,1)=""),IFERROR(INT(MID(metadata!C792,15,2))&gt;=0,FALSE),IFERROR(INT(MID(metadata!C792,15,2))&lt;=59,FALSE)), OR(MID(metadata!C792,17,1)="", AND(AND(MID(metadata!C792,17,1)=":",IFERROR(INT(MID(metadata!C792,18,1))&gt;=0,FALSE),IFERROR(INT(MID(metadata!C792,18,1))&lt;=5,FALSE),NOT(MID(metadata!C792,19,1)=""),IFERROR(INT(MID(metadata!C792,18,2))&gt;=0,FALSE),IFERROR(INT(MID(metadata!C792,18,2))&lt;=59,FALSE)), LEN(metadata!C792)&lt;=19)))))))))))))</f>
        <v>0</v>
      </c>
      <c r="AD792">
        <f>IF(metadata!D792="",FALSE,TRUE)</f>
        <v>0</v>
      </c>
      <c r="AE792">
        <f>OR(AND(IF(metadata!E792="",FALSE,TRUE),OR(exact(metadata!E792,"missing: not collected"),exact(metadata!E792,"missing: not provided"))),AND(IF(metadata!E792="",FALSE,TRUE),OR(exact(metadata!E792,"TRUE"),exact(metadata!E792,"FALSE"))))</f>
        <v>0</v>
      </c>
      <c r="AF792">
        <f>IF(metadata!F792="",FALSE,TRUE)</f>
        <v>0</v>
      </c>
      <c r="AG792">
        <f>IF(metadata!G792="",FALSE,TRUE)</f>
        <v>0</v>
      </c>
      <c r="AH792">
        <f>IF(metadata!H792="",FALSE,TRUE)</f>
        <v>0</v>
      </c>
      <c r="AI792">
        <f>OR(AND(IF(metadata!I792="",FALSE,TRUE),OR(exact(metadata!I792,"missing: not collected"),exact(metadata!I792,"missing: not provided"),exact(metadata!I792,"missing: restricted access"))),AND(IF(metadata!I792="",FALSE,TRUE),OR(exact(metadata!I792,"air"),exact(metadata!I792,"built environment"),exact(metadata!I792,"host-associated"),exact(metadata!I792,"human-associated"),exact(metadata!I792,"human-skin"),exact(metadata!I792,"human-oral"),exact(metadata!I792,"human-gut"),exact(metadata!I792,"human-vaginal"),exact(metadata!I792,"microbial mat/biofilm"),exact(metadata!I792,"misc environment"),exact(metadata!I792,"plant-associated"),exact(metadata!I792,"sediment"),exact(metadata!I792,"soil"),exact(metadata!I792,"wastewater/sludge"),exact(metadata!I792,"water"))))</f>
        <v>0</v>
      </c>
      <c r="AJ792">
        <f>IF(metadata!J792="",FALSE,TRUE)</f>
        <v>0</v>
      </c>
      <c r="AK792">
        <f>OR(AND(IF(metadata!K792="",FALSE,TRUE),OR(exact(metadata!K792,"missing: not collected"),exact(metadata!K792,"missing: not provided"),exact(metadata!K792,"missing: restricted access"))),AND(IF(metadata!K792="",FALSE,ISNUMBER(VALUE(metadata!K792))),metadata!K792&gt;=-90.00,metadata!K792&lt;=90.00))</f>
        <v>0</v>
      </c>
      <c r="AL792">
        <f>OR(AND(IF(metadata!L792="",FALSE,TRUE),OR(exact(metadata!L792,"missing: not collected"),exact(metadata!L792,"missing: not provided"),exact(metadata!L792,"missing: restricted access"))),AND(IF(metadata!L792="",FALSE,ISNUMBER(VALUE(metadata!L792))),metadata!L792&gt;=-180.00,metadata!L792&lt;=180.00))</f>
        <v>0</v>
      </c>
      <c r="AM792">
        <f>IF(metadata!M792="",FALSE,TRUE)</f>
        <v>0</v>
      </c>
      <c r="AN792">
        <f>OR(AND(IF(metadata!N792="",FALSE,TRUE),OR(exact(metadata!N792,"missing: not collected"),exact(metadata!N792,"missing: not provided"),exact(metadata!N792,"missing: restricted access"))),AND(IF(metadata!N792="",FALSE,TRUE),OR(exact(metadata!N792,"TRUE"),exact(metadata!N792,"FALSE"))))</f>
        <v>0</v>
      </c>
      <c r="AO792">
        <f>IF(metadata!O792="",FALSE,TRUE)</f>
        <v>0</v>
      </c>
      <c r="AP792">
        <f>OR(AND(IF(metadata!P792="",FALSE,TRUE),OR(exact(metadata!P792,"missing: not collected"),exact(metadata!P792,"missing: not provided"))),AND(IF(metadata!P792="",FALSE,IF(ISERROR(INT(metadata!P792)),FALSE,INT(metadata!P792)=metadata!P792)),metadata!P792&gt;0))</f>
        <v>0</v>
      </c>
      <c r="AQ792">
        <f>IF(metadata!Q792="",FALSE,TRUE)</f>
        <v>0</v>
      </c>
    </row>
    <row r="793" spans="1:43">
      <c r="A793" s="5">
        <f>IF(B793=" "," ",HYPERLINK(CONCATENATE("#metadata!",ADDRESS(INDEX($W$2:$W$1001,MATCH(ROWS($U$2:U793),$U$2:$U$1001,0),0),1)),INDEX($Z$2:$Z$1001,MATCH(ROWS($U$2:U793),$U$2:$U$1001,0),0)))</f>
        <v>0</v>
      </c>
      <c r="B793" s="4">
        <f>IF(OR(INDEX($V$2:$V$1001,MATCH(ROWS($U$2:U793),$U$2:$U$1001,0),1)&gt;=100000,INDEX($AB$1005:$AQ$1005,1,MATCH(COLUMNS($AB$1006:AB1006),$AB$1006:$AQ$1006,0))&gt;=100000), " ",IF(INDEX($AB$2:$AQ$1001,MATCH(ROWS($U$2:U793),$U$2:$U$1001,0),MATCH(COLUMNS($AB$1006:AB1006),$AB$1006:$AQ$1006,0)), HYPERLINK("#",""), HYPERLINK(CONCATENATE("#metadata!", ADDRESS(INDEX($W$2:$W$1001,MATCH(ROWS($U$2:U793),$U$2:$U$1001,0),0), INDEX($AB$1004:$AQ$1004,1,MATCH(COLUMNS($AB$1006:AB1006),$AB$1006:$AQ$1006,0)))),"Fix")))</f>
        <v>0</v>
      </c>
      <c r="C793" s="4">
        <f>IF(OR(INDEX($V$2:$V$1001,MATCH(ROWS($U$2:U793),$U$2:$U$1001,0),1)&gt;=100000,INDEX($AB$1005:$AQ$1005,1,MATCH(COLUMNS($AB$1006:AC1006),$AB$1006:$AQ$1006,0))&gt;=100000), " ",IF(INDEX($AB$2:$AQ$1001,MATCH(ROWS($U$2:U793),$U$2:$U$1001,0),MATCH(COLUMNS($AB$1006:AC1006),$AB$1006:$AQ$1006,0)), HYPERLINK("#",""), HYPERLINK(CONCATENATE("#metadata!", ADDRESS(INDEX($W$2:$W$1001,MATCH(ROWS($U$2:U793),$U$2:$U$1001,0),0), INDEX($AB$1004:$AQ$1004,1,MATCH(COLUMNS($AB$1006:AC1006),$AB$1006:$AQ$1006,0)))),"Fix")))</f>
        <v>0</v>
      </c>
      <c r="D793" s="4">
        <f>IF(OR(INDEX($V$2:$V$1001,MATCH(ROWS($U$2:U793),$U$2:$U$1001,0),1)&gt;=100000,INDEX($AB$1005:$AQ$1005,1,MATCH(COLUMNS($AB$1006:AD1006),$AB$1006:$AQ$1006,0))&gt;=100000), " ",IF(INDEX($AB$2:$AQ$1001,MATCH(ROWS($U$2:U793),$U$2:$U$1001,0),MATCH(COLUMNS($AB$1006:AD1006),$AB$1006:$AQ$1006,0)), HYPERLINK("#",""), HYPERLINK(CONCATENATE("#metadata!", ADDRESS(INDEX($W$2:$W$1001,MATCH(ROWS($U$2:U793),$U$2:$U$1001,0),0), INDEX($AB$1004:$AQ$1004,1,MATCH(COLUMNS($AB$1006:AD1006),$AB$1006:$AQ$1006,0)))),"Fix")))</f>
        <v>0</v>
      </c>
      <c r="E793" s="4">
        <f>IF(OR(INDEX($V$2:$V$1001,MATCH(ROWS($U$2:U793),$U$2:$U$1001,0),1)&gt;=100000,INDEX($AB$1005:$AQ$1005,1,MATCH(COLUMNS($AB$1006:AE1006),$AB$1006:$AQ$1006,0))&gt;=100000), " ",IF(INDEX($AB$2:$AQ$1001,MATCH(ROWS($U$2:U793),$U$2:$U$1001,0),MATCH(COLUMNS($AB$1006:AE1006),$AB$1006:$AQ$1006,0)), HYPERLINK("#",""), HYPERLINK(CONCATENATE("#metadata!", ADDRESS(INDEX($W$2:$W$1001,MATCH(ROWS($U$2:U793),$U$2:$U$1001,0),0), INDEX($AB$1004:$AQ$1004,1,MATCH(COLUMNS($AB$1006:AE1006),$AB$1006:$AQ$1006,0)))),"Fix")))</f>
        <v>0</v>
      </c>
      <c r="F793" s="4">
        <f>IF(OR(INDEX($V$2:$V$1001,MATCH(ROWS($U$2:U793),$U$2:$U$1001,0),1)&gt;=100000,INDEX($AB$1005:$AQ$1005,1,MATCH(COLUMNS($AB$1006:AF1006),$AB$1006:$AQ$1006,0))&gt;=100000), " ",IF(INDEX($AB$2:$AQ$1001,MATCH(ROWS($U$2:U793),$U$2:$U$1001,0),MATCH(COLUMNS($AB$1006:AF1006),$AB$1006:$AQ$1006,0)), HYPERLINK("#",""), HYPERLINK(CONCATENATE("#metadata!", ADDRESS(INDEX($W$2:$W$1001,MATCH(ROWS($U$2:U793),$U$2:$U$1001,0),0), INDEX($AB$1004:$AQ$1004,1,MATCH(COLUMNS($AB$1006:AF1006),$AB$1006:$AQ$1006,0)))),"Fix")))</f>
        <v>0</v>
      </c>
      <c r="G793" s="4">
        <f>IF(OR(INDEX($V$2:$V$1001,MATCH(ROWS($U$2:U793),$U$2:$U$1001,0),1)&gt;=100000,INDEX($AB$1005:$AQ$1005,1,MATCH(COLUMNS($AB$1006:AG1006),$AB$1006:$AQ$1006,0))&gt;=100000), " ",IF(INDEX($AB$2:$AQ$1001,MATCH(ROWS($U$2:U793),$U$2:$U$1001,0),MATCH(COLUMNS($AB$1006:AG1006),$AB$1006:$AQ$1006,0)), HYPERLINK("#",""), HYPERLINK(CONCATENATE("#metadata!", ADDRESS(INDEX($W$2:$W$1001,MATCH(ROWS($U$2:U793),$U$2:$U$1001,0),0), INDEX($AB$1004:$AQ$1004,1,MATCH(COLUMNS($AB$1006:AG1006),$AB$1006:$AQ$1006,0)))),"Fix")))</f>
        <v>0</v>
      </c>
      <c r="H793" s="4">
        <f>IF(OR(INDEX($V$2:$V$1001,MATCH(ROWS($U$2:U793),$U$2:$U$1001,0),1)&gt;=100000,INDEX($AB$1005:$AQ$1005,1,MATCH(COLUMNS($AB$1006:AH1006),$AB$1006:$AQ$1006,0))&gt;=100000), " ",IF(INDEX($AB$2:$AQ$1001,MATCH(ROWS($U$2:U793),$U$2:$U$1001,0),MATCH(COLUMNS($AB$1006:AH1006),$AB$1006:$AQ$1006,0)), HYPERLINK("#",""), HYPERLINK(CONCATENATE("#metadata!", ADDRESS(INDEX($W$2:$W$1001,MATCH(ROWS($U$2:U793),$U$2:$U$1001,0),0), INDEX($AB$1004:$AQ$1004,1,MATCH(COLUMNS($AB$1006:AH1006),$AB$1006:$AQ$1006,0)))),"Fix")))</f>
        <v>0</v>
      </c>
      <c r="I793" s="4">
        <f>IF(OR(INDEX($V$2:$V$1001,MATCH(ROWS($U$2:U793),$U$2:$U$1001,0),1)&gt;=100000,INDEX($AB$1005:$AQ$1005,1,MATCH(COLUMNS($AB$1006:AI1006),$AB$1006:$AQ$1006,0))&gt;=100000), " ",IF(INDEX($AB$2:$AQ$1001,MATCH(ROWS($U$2:U793),$U$2:$U$1001,0),MATCH(COLUMNS($AB$1006:AI1006),$AB$1006:$AQ$1006,0)), HYPERLINK("#",""), HYPERLINK(CONCATENATE("#metadata!", ADDRESS(INDEX($W$2:$W$1001,MATCH(ROWS($U$2:U793),$U$2:$U$1001,0),0), INDEX($AB$1004:$AQ$1004,1,MATCH(COLUMNS($AB$1006:AI1006),$AB$1006:$AQ$1006,0)))),"Fix")))</f>
        <v>0</v>
      </c>
      <c r="J793" s="4">
        <f>IF(OR(INDEX($V$2:$V$1001,MATCH(ROWS($U$2:U793),$U$2:$U$1001,0),1)&gt;=100000,INDEX($AB$1005:$AQ$1005,1,MATCH(COLUMNS($AB$1006:AJ1006),$AB$1006:$AQ$1006,0))&gt;=100000), " ",IF(INDEX($AB$2:$AQ$1001,MATCH(ROWS($U$2:U793),$U$2:$U$1001,0),MATCH(COLUMNS($AB$1006:AJ1006),$AB$1006:$AQ$1006,0)), HYPERLINK("#",""), HYPERLINK(CONCATENATE("#metadata!", ADDRESS(INDEX($W$2:$W$1001,MATCH(ROWS($U$2:U793),$U$2:$U$1001,0),0), INDEX($AB$1004:$AQ$1004,1,MATCH(COLUMNS($AB$1006:AJ1006),$AB$1006:$AQ$1006,0)))),"Fix")))</f>
        <v>0</v>
      </c>
      <c r="K793" s="4">
        <f>IF(OR(INDEX($V$2:$V$1001,MATCH(ROWS($U$2:U793),$U$2:$U$1001,0),1)&gt;=100000,INDEX($AB$1005:$AQ$1005,1,MATCH(COLUMNS($AB$1006:AK1006),$AB$1006:$AQ$1006,0))&gt;=100000), " ",IF(INDEX($AB$2:$AQ$1001,MATCH(ROWS($U$2:U793),$U$2:$U$1001,0),MATCH(COLUMNS($AB$1006:AK1006),$AB$1006:$AQ$1006,0)), HYPERLINK("#",""), HYPERLINK(CONCATENATE("#metadata!", ADDRESS(INDEX($W$2:$W$1001,MATCH(ROWS($U$2:U793),$U$2:$U$1001,0),0), INDEX($AB$1004:$AQ$1004,1,MATCH(COLUMNS($AB$1006:AK1006),$AB$1006:$AQ$1006,0)))),"Fix")))</f>
        <v>0</v>
      </c>
      <c r="L793" s="4">
        <f>IF(OR(INDEX($V$2:$V$1001,MATCH(ROWS($U$2:U793),$U$2:$U$1001,0),1)&gt;=100000,INDEX($AB$1005:$AQ$1005,1,MATCH(COLUMNS($AB$1006:AL1006),$AB$1006:$AQ$1006,0))&gt;=100000), " ",IF(INDEX($AB$2:$AQ$1001,MATCH(ROWS($U$2:U793),$U$2:$U$1001,0),MATCH(COLUMNS($AB$1006:AL1006),$AB$1006:$AQ$1006,0)), HYPERLINK("#",""), HYPERLINK(CONCATENATE("#metadata!", ADDRESS(INDEX($W$2:$W$1001,MATCH(ROWS($U$2:U793),$U$2:$U$1001,0),0), INDEX($AB$1004:$AQ$1004,1,MATCH(COLUMNS($AB$1006:AL1006),$AB$1006:$AQ$1006,0)))),"Fix")))</f>
        <v>0</v>
      </c>
      <c r="M793" s="4">
        <f>IF(OR(INDEX($V$2:$V$1001,MATCH(ROWS($U$2:U793),$U$2:$U$1001,0),1)&gt;=100000,INDEX($AB$1005:$AQ$1005,1,MATCH(COLUMNS($AB$1006:AM1006),$AB$1006:$AQ$1006,0))&gt;=100000), " ",IF(INDEX($AB$2:$AQ$1001,MATCH(ROWS($U$2:U793),$U$2:$U$1001,0),MATCH(COLUMNS($AB$1006:AM1006),$AB$1006:$AQ$1006,0)), HYPERLINK("#",""), HYPERLINK(CONCATENATE("#metadata!", ADDRESS(INDEX($W$2:$W$1001,MATCH(ROWS($U$2:U793),$U$2:$U$1001,0),0), INDEX($AB$1004:$AQ$1004,1,MATCH(COLUMNS($AB$1006:AM1006),$AB$1006:$AQ$1006,0)))),"Fix")))</f>
        <v>0</v>
      </c>
      <c r="N793" s="4">
        <f>IF(OR(INDEX($V$2:$V$1001,MATCH(ROWS($U$2:U793),$U$2:$U$1001,0),1)&gt;=100000,INDEX($AB$1005:$AQ$1005,1,MATCH(COLUMNS($AB$1006:AN1006),$AB$1006:$AQ$1006,0))&gt;=100000), " ",IF(INDEX($AB$2:$AQ$1001,MATCH(ROWS($U$2:U793),$U$2:$U$1001,0),MATCH(COLUMNS($AB$1006:AN1006),$AB$1006:$AQ$1006,0)), HYPERLINK("#",""), HYPERLINK(CONCATENATE("#metadata!", ADDRESS(INDEX($W$2:$W$1001,MATCH(ROWS($U$2:U793),$U$2:$U$1001,0),0), INDEX($AB$1004:$AQ$1004,1,MATCH(COLUMNS($AB$1006:AN1006),$AB$1006:$AQ$1006,0)))),"Fix")))</f>
        <v>0</v>
      </c>
      <c r="O793" s="4">
        <f>IF(OR(INDEX($V$2:$V$1001,MATCH(ROWS($U$2:U793),$U$2:$U$1001,0),1)&gt;=100000,INDEX($AB$1005:$AQ$1005,1,MATCH(COLUMNS($AB$1006:AO1006),$AB$1006:$AQ$1006,0))&gt;=100000), " ",IF(INDEX($AB$2:$AQ$1001,MATCH(ROWS($U$2:U793),$U$2:$U$1001,0),MATCH(COLUMNS($AB$1006:AO1006),$AB$1006:$AQ$1006,0)), HYPERLINK("#",""), HYPERLINK(CONCATENATE("#metadata!", ADDRESS(INDEX($W$2:$W$1001,MATCH(ROWS($U$2:U793),$U$2:$U$1001,0),0), INDEX($AB$1004:$AQ$1004,1,MATCH(COLUMNS($AB$1006:AO1006),$AB$1006:$AQ$1006,0)))),"Fix")))</f>
        <v>0</v>
      </c>
      <c r="P793" s="4">
        <f>IF(OR(INDEX($V$2:$V$1001,MATCH(ROWS($U$2:U793),$U$2:$U$1001,0),1)&gt;=100000,INDEX($AB$1005:$AQ$1005,1,MATCH(COLUMNS($AB$1006:AP1006),$AB$1006:$AQ$1006,0))&gt;=100000), " ",IF(INDEX($AB$2:$AQ$1001,MATCH(ROWS($U$2:U793),$U$2:$U$1001,0),MATCH(COLUMNS($AB$1006:AP1006),$AB$1006:$AQ$1006,0)), HYPERLINK("#",""), HYPERLINK(CONCATENATE("#metadata!", ADDRESS(INDEX($W$2:$W$1001,MATCH(ROWS($U$2:U793),$U$2:$U$1001,0),0), INDEX($AB$1004:$AQ$1004,1,MATCH(COLUMNS($AB$1006:AP1006),$AB$1006:$AQ$1006,0)))),"Fix")))</f>
        <v>0</v>
      </c>
      <c r="Q793" s="4">
        <f>IF(OR(INDEX($V$2:$V$1001,MATCH(ROWS($U$2:U793),$U$2:$U$1001,0),1)&gt;=100000,INDEX($AB$1005:$AQ$1005,1,MATCH(COLUMNS($AB$1006:AQ1006),$AB$1006:$AQ$1006,0))&gt;=100000), " ",IF(INDEX($AB$2:$AQ$1001,MATCH(ROWS($U$2:U793),$U$2:$U$1001,0),MATCH(COLUMNS($AB$1006:AQ1006),$AB$1006:$AQ$1006,0)), HYPERLINK("#",""), HYPERLINK(CONCATENATE("#metadata!", ADDRESS(INDEX($W$2:$W$1001,MATCH(ROWS($U$2:U793),$U$2:$U$1001,0),0), INDEX($AB$1004:$AQ$1004,1,MATCH(COLUMNS($AB$1006:AQ1006),$AB$1006:$AQ$1006,0)))),"Fix")))</f>
        <v>0</v>
      </c>
      <c r="U793">
        <v>0</v>
      </c>
      <c r="V793">
        <v>0</v>
      </c>
      <c r="W793">
        <v>0</v>
      </c>
      <c r="X793">
        <f>IF(Y793,TRUE,AND(AB793:AQ793))</f>
        <v>0</v>
      </c>
      <c r="Y793">
        <f>COUNTBLANK(metadata!B793:Q793)=COLUMNS(metadata!B793:Q793)</f>
        <v>0</v>
      </c>
      <c r="Z793">
        <v>0</v>
      </c>
      <c r="AB793">
        <f>AND(IF(metadata!B793="",FALSE,TRUE),COUNTIF(metadata!B:B, metadata!B793) = 1,NOT(ISERROR(SUMPRODUCT(SEARCH(MID(metadata!B793,ROW(INDIRECT("1:"&amp;LEN(metadata!B793))), 1),"0123456789abcdefghijklmnopqrstuvwxyzABCDEFGHIJKLMNOPQRSTUVWXYZ.")))))</f>
        <v>0</v>
      </c>
      <c r="AC793">
        <f>OR(AND(IF(metadata!C793="",FALSE,TRUE),OR(exact(metadata!C793,"missing: not collected"),exact(metadata!C793,"missing: not provided"),exact(metadata!C793,"missing: restricted access"))),AND(IF(metadata!C793="",FALSE,TRUE),AND(AND(IFERROR(INT(LEFT(metadata!C793,4))&gt;1900,FALSE),IFERROR(INT(LEFT(metadata!C793,4))&lt;=YEAR(NOW()),FALSE)), OR(MID(metadata!C793,5,1)="", AND(AND(MID(metadata!C793,5,1)="-",IFERROR(INT(MID(metadata!C793,6,1))&gt;=0,FALSE),IFERROR(INT(MID(metadata!C793,6,1))&lt;=1,FALSE),NOT(MID(metadata!C793,7,1)=""),IFERROR(INT(MID(metadata!C793,6,2))&gt;=1,FALSE),IFERROR(INT(MID(metadata!C793,6,2))&lt;=12,FALSE)), OR(MID(metadata!C793,8,1)="", AND(AND(MID(metadata!C793,8,1)="-",IFERROR(INT(MID(metadata!C793,9,1))&gt;=0,FALSE),IFERROR(INT(MID(metadata!C793,9,1))&lt;=3,FALSE),NOT(MID(metadata!C793,10,1)=""),IFERROR(INT(MID(metadata!C793,9,2))&gt;=1,FALSE),IFERROR(INT(MID(metadata!C793,9,2))&lt;=31,FALSE)), OR(MID(metadata!C793,11,1)="", AND(AND(MID(metadata!C793,11,1)=" ",IFERROR(INT(MID(metadata!C793,12,1))&gt;=0,FALSE),IFERROR(INT(MID(metadata!C793,12,1))&lt;=2,FALSE),NOT(MID(metadata!C793,13,1)=""),IFERROR(INT(MID(metadata!C793,12,2))&gt;=0,FALSE),IFERROR(INT(MID(metadata!C793,12,2))&lt;=23,FALSE)), OR(MID(metadata!C793,14,1)="", AND(AND(MID(metadata!C793,14,1)=":",IFERROR(INT(MID(metadata!C793,15,1))&gt;=0,FALSE),IFERROR(INT(MID(metadata!C793,15,1))&lt;=5,FALSE),NOT(MID(metadata!C793,16,1)=""),IFERROR(INT(MID(metadata!C793,15,2))&gt;=0,FALSE),IFERROR(INT(MID(metadata!C793,15,2))&lt;=59,FALSE)), OR(MID(metadata!C793,17,1)="", AND(AND(MID(metadata!C793,17,1)=":",IFERROR(INT(MID(metadata!C793,18,1))&gt;=0,FALSE),IFERROR(INT(MID(metadata!C793,18,1))&lt;=5,FALSE),NOT(MID(metadata!C793,19,1)=""),IFERROR(INT(MID(metadata!C793,18,2))&gt;=0,FALSE),IFERROR(INT(MID(metadata!C793,18,2))&lt;=59,FALSE)), LEN(metadata!C793)&lt;=19)))))))))))))</f>
        <v>0</v>
      </c>
      <c r="AD793">
        <f>IF(metadata!D793="",FALSE,TRUE)</f>
        <v>0</v>
      </c>
      <c r="AE793">
        <f>OR(AND(IF(metadata!E793="",FALSE,TRUE),OR(exact(metadata!E793,"missing: not collected"),exact(metadata!E793,"missing: not provided"))),AND(IF(metadata!E793="",FALSE,TRUE),OR(exact(metadata!E793,"TRUE"),exact(metadata!E793,"FALSE"))))</f>
        <v>0</v>
      </c>
      <c r="AF793">
        <f>IF(metadata!F793="",FALSE,TRUE)</f>
        <v>0</v>
      </c>
      <c r="AG793">
        <f>IF(metadata!G793="",FALSE,TRUE)</f>
        <v>0</v>
      </c>
      <c r="AH793">
        <f>IF(metadata!H793="",FALSE,TRUE)</f>
        <v>0</v>
      </c>
      <c r="AI793">
        <f>OR(AND(IF(metadata!I793="",FALSE,TRUE),OR(exact(metadata!I793,"missing: not collected"),exact(metadata!I793,"missing: not provided"),exact(metadata!I793,"missing: restricted access"))),AND(IF(metadata!I793="",FALSE,TRUE),OR(exact(metadata!I793,"air"),exact(metadata!I793,"built environment"),exact(metadata!I793,"host-associated"),exact(metadata!I793,"human-associated"),exact(metadata!I793,"human-skin"),exact(metadata!I793,"human-oral"),exact(metadata!I793,"human-gut"),exact(metadata!I793,"human-vaginal"),exact(metadata!I793,"microbial mat/biofilm"),exact(metadata!I793,"misc environment"),exact(metadata!I793,"plant-associated"),exact(metadata!I793,"sediment"),exact(metadata!I793,"soil"),exact(metadata!I793,"wastewater/sludge"),exact(metadata!I793,"water"))))</f>
        <v>0</v>
      </c>
      <c r="AJ793">
        <f>IF(metadata!J793="",FALSE,TRUE)</f>
        <v>0</v>
      </c>
      <c r="AK793">
        <f>OR(AND(IF(metadata!K793="",FALSE,TRUE),OR(exact(metadata!K793,"missing: not collected"),exact(metadata!K793,"missing: not provided"),exact(metadata!K793,"missing: restricted access"))),AND(IF(metadata!K793="",FALSE,ISNUMBER(VALUE(metadata!K793))),metadata!K793&gt;=-90.00,metadata!K793&lt;=90.00))</f>
        <v>0</v>
      </c>
      <c r="AL793">
        <f>OR(AND(IF(metadata!L793="",FALSE,TRUE),OR(exact(metadata!L793,"missing: not collected"),exact(metadata!L793,"missing: not provided"),exact(metadata!L793,"missing: restricted access"))),AND(IF(metadata!L793="",FALSE,ISNUMBER(VALUE(metadata!L793))),metadata!L793&gt;=-180.00,metadata!L793&lt;=180.00))</f>
        <v>0</v>
      </c>
      <c r="AM793">
        <f>IF(metadata!M793="",FALSE,TRUE)</f>
        <v>0</v>
      </c>
      <c r="AN793">
        <f>OR(AND(IF(metadata!N793="",FALSE,TRUE),OR(exact(metadata!N793,"missing: not collected"),exact(metadata!N793,"missing: not provided"),exact(metadata!N793,"missing: restricted access"))),AND(IF(metadata!N793="",FALSE,TRUE),OR(exact(metadata!N793,"TRUE"),exact(metadata!N793,"FALSE"))))</f>
        <v>0</v>
      </c>
      <c r="AO793">
        <f>IF(metadata!O793="",FALSE,TRUE)</f>
        <v>0</v>
      </c>
      <c r="AP793">
        <f>OR(AND(IF(metadata!P793="",FALSE,TRUE),OR(exact(metadata!P793,"missing: not collected"),exact(metadata!P793,"missing: not provided"))),AND(IF(metadata!P793="",FALSE,IF(ISERROR(INT(metadata!P793)),FALSE,INT(metadata!P793)=metadata!P793)),metadata!P793&gt;0))</f>
        <v>0</v>
      </c>
      <c r="AQ793">
        <f>IF(metadata!Q793="",FALSE,TRUE)</f>
        <v>0</v>
      </c>
    </row>
    <row r="794" spans="1:43">
      <c r="A794" s="5">
        <f>IF(B794=" "," ",HYPERLINK(CONCATENATE("#metadata!",ADDRESS(INDEX($W$2:$W$1001,MATCH(ROWS($U$2:U794),$U$2:$U$1001,0),0),1)),INDEX($Z$2:$Z$1001,MATCH(ROWS($U$2:U794),$U$2:$U$1001,0),0)))</f>
        <v>0</v>
      </c>
      <c r="B794" s="4">
        <f>IF(OR(INDEX($V$2:$V$1001,MATCH(ROWS($U$2:U794),$U$2:$U$1001,0),1)&gt;=100000,INDEX($AB$1005:$AQ$1005,1,MATCH(COLUMNS($AB$1006:AB1006),$AB$1006:$AQ$1006,0))&gt;=100000), " ",IF(INDEX($AB$2:$AQ$1001,MATCH(ROWS($U$2:U794),$U$2:$U$1001,0),MATCH(COLUMNS($AB$1006:AB1006),$AB$1006:$AQ$1006,0)), HYPERLINK("#",""), HYPERLINK(CONCATENATE("#metadata!", ADDRESS(INDEX($W$2:$W$1001,MATCH(ROWS($U$2:U794),$U$2:$U$1001,0),0), INDEX($AB$1004:$AQ$1004,1,MATCH(COLUMNS($AB$1006:AB1006),$AB$1006:$AQ$1006,0)))),"Fix")))</f>
        <v>0</v>
      </c>
      <c r="C794" s="4">
        <f>IF(OR(INDEX($V$2:$V$1001,MATCH(ROWS($U$2:U794),$U$2:$U$1001,0),1)&gt;=100000,INDEX($AB$1005:$AQ$1005,1,MATCH(COLUMNS($AB$1006:AC1006),$AB$1006:$AQ$1006,0))&gt;=100000), " ",IF(INDEX($AB$2:$AQ$1001,MATCH(ROWS($U$2:U794),$U$2:$U$1001,0),MATCH(COLUMNS($AB$1006:AC1006),$AB$1006:$AQ$1006,0)), HYPERLINK("#",""), HYPERLINK(CONCATENATE("#metadata!", ADDRESS(INDEX($W$2:$W$1001,MATCH(ROWS($U$2:U794),$U$2:$U$1001,0),0), INDEX($AB$1004:$AQ$1004,1,MATCH(COLUMNS($AB$1006:AC1006),$AB$1006:$AQ$1006,0)))),"Fix")))</f>
        <v>0</v>
      </c>
      <c r="D794" s="4">
        <f>IF(OR(INDEX($V$2:$V$1001,MATCH(ROWS($U$2:U794),$U$2:$U$1001,0),1)&gt;=100000,INDEX($AB$1005:$AQ$1005,1,MATCH(COLUMNS($AB$1006:AD1006),$AB$1006:$AQ$1006,0))&gt;=100000), " ",IF(INDEX($AB$2:$AQ$1001,MATCH(ROWS($U$2:U794),$U$2:$U$1001,0),MATCH(COLUMNS($AB$1006:AD1006),$AB$1006:$AQ$1006,0)), HYPERLINK("#",""), HYPERLINK(CONCATENATE("#metadata!", ADDRESS(INDEX($W$2:$W$1001,MATCH(ROWS($U$2:U794),$U$2:$U$1001,0),0), INDEX($AB$1004:$AQ$1004,1,MATCH(COLUMNS($AB$1006:AD1006),$AB$1006:$AQ$1006,0)))),"Fix")))</f>
        <v>0</v>
      </c>
      <c r="E794" s="4">
        <f>IF(OR(INDEX($V$2:$V$1001,MATCH(ROWS($U$2:U794),$U$2:$U$1001,0),1)&gt;=100000,INDEX($AB$1005:$AQ$1005,1,MATCH(COLUMNS($AB$1006:AE1006),$AB$1006:$AQ$1006,0))&gt;=100000), " ",IF(INDEX($AB$2:$AQ$1001,MATCH(ROWS($U$2:U794),$U$2:$U$1001,0),MATCH(COLUMNS($AB$1006:AE1006),$AB$1006:$AQ$1006,0)), HYPERLINK("#",""), HYPERLINK(CONCATENATE("#metadata!", ADDRESS(INDEX($W$2:$W$1001,MATCH(ROWS($U$2:U794),$U$2:$U$1001,0),0), INDEX($AB$1004:$AQ$1004,1,MATCH(COLUMNS($AB$1006:AE1006),$AB$1006:$AQ$1006,0)))),"Fix")))</f>
        <v>0</v>
      </c>
      <c r="F794" s="4">
        <f>IF(OR(INDEX($V$2:$V$1001,MATCH(ROWS($U$2:U794),$U$2:$U$1001,0),1)&gt;=100000,INDEX($AB$1005:$AQ$1005,1,MATCH(COLUMNS($AB$1006:AF1006),$AB$1006:$AQ$1006,0))&gt;=100000), " ",IF(INDEX($AB$2:$AQ$1001,MATCH(ROWS($U$2:U794),$U$2:$U$1001,0),MATCH(COLUMNS($AB$1006:AF1006),$AB$1006:$AQ$1006,0)), HYPERLINK("#",""), HYPERLINK(CONCATENATE("#metadata!", ADDRESS(INDEX($W$2:$W$1001,MATCH(ROWS($U$2:U794),$U$2:$U$1001,0),0), INDEX($AB$1004:$AQ$1004,1,MATCH(COLUMNS($AB$1006:AF1006),$AB$1006:$AQ$1006,0)))),"Fix")))</f>
        <v>0</v>
      </c>
      <c r="G794" s="4">
        <f>IF(OR(INDEX($V$2:$V$1001,MATCH(ROWS($U$2:U794),$U$2:$U$1001,0),1)&gt;=100000,INDEX($AB$1005:$AQ$1005,1,MATCH(COLUMNS($AB$1006:AG1006),$AB$1006:$AQ$1006,0))&gt;=100000), " ",IF(INDEX($AB$2:$AQ$1001,MATCH(ROWS($U$2:U794),$U$2:$U$1001,0),MATCH(COLUMNS($AB$1006:AG1006),$AB$1006:$AQ$1006,0)), HYPERLINK("#",""), HYPERLINK(CONCATENATE("#metadata!", ADDRESS(INDEX($W$2:$W$1001,MATCH(ROWS($U$2:U794),$U$2:$U$1001,0),0), INDEX($AB$1004:$AQ$1004,1,MATCH(COLUMNS($AB$1006:AG1006),$AB$1006:$AQ$1006,0)))),"Fix")))</f>
        <v>0</v>
      </c>
      <c r="H794" s="4">
        <f>IF(OR(INDEX($V$2:$V$1001,MATCH(ROWS($U$2:U794),$U$2:$U$1001,0),1)&gt;=100000,INDEX($AB$1005:$AQ$1005,1,MATCH(COLUMNS($AB$1006:AH1006),$AB$1006:$AQ$1006,0))&gt;=100000), " ",IF(INDEX($AB$2:$AQ$1001,MATCH(ROWS($U$2:U794),$U$2:$U$1001,0),MATCH(COLUMNS($AB$1006:AH1006),$AB$1006:$AQ$1006,0)), HYPERLINK("#",""), HYPERLINK(CONCATENATE("#metadata!", ADDRESS(INDEX($W$2:$W$1001,MATCH(ROWS($U$2:U794),$U$2:$U$1001,0),0), INDEX($AB$1004:$AQ$1004,1,MATCH(COLUMNS($AB$1006:AH1006),$AB$1006:$AQ$1006,0)))),"Fix")))</f>
        <v>0</v>
      </c>
      <c r="I794" s="4">
        <f>IF(OR(INDEX($V$2:$V$1001,MATCH(ROWS($U$2:U794),$U$2:$U$1001,0),1)&gt;=100000,INDEX($AB$1005:$AQ$1005,1,MATCH(COLUMNS($AB$1006:AI1006),$AB$1006:$AQ$1006,0))&gt;=100000), " ",IF(INDEX($AB$2:$AQ$1001,MATCH(ROWS($U$2:U794),$U$2:$U$1001,0),MATCH(COLUMNS($AB$1006:AI1006),$AB$1006:$AQ$1006,0)), HYPERLINK("#",""), HYPERLINK(CONCATENATE("#metadata!", ADDRESS(INDEX($W$2:$W$1001,MATCH(ROWS($U$2:U794),$U$2:$U$1001,0),0), INDEX($AB$1004:$AQ$1004,1,MATCH(COLUMNS($AB$1006:AI1006),$AB$1006:$AQ$1006,0)))),"Fix")))</f>
        <v>0</v>
      </c>
      <c r="J794" s="4">
        <f>IF(OR(INDEX($V$2:$V$1001,MATCH(ROWS($U$2:U794),$U$2:$U$1001,0),1)&gt;=100000,INDEX($AB$1005:$AQ$1005,1,MATCH(COLUMNS($AB$1006:AJ1006),$AB$1006:$AQ$1006,0))&gt;=100000), " ",IF(INDEX($AB$2:$AQ$1001,MATCH(ROWS($U$2:U794),$U$2:$U$1001,0),MATCH(COLUMNS($AB$1006:AJ1006),$AB$1006:$AQ$1006,0)), HYPERLINK("#",""), HYPERLINK(CONCATENATE("#metadata!", ADDRESS(INDEX($W$2:$W$1001,MATCH(ROWS($U$2:U794),$U$2:$U$1001,0),0), INDEX($AB$1004:$AQ$1004,1,MATCH(COLUMNS($AB$1006:AJ1006),$AB$1006:$AQ$1006,0)))),"Fix")))</f>
        <v>0</v>
      </c>
      <c r="K794" s="4">
        <f>IF(OR(INDEX($V$2:$V$1001,MATCH(ROWS($U$2:U794),$U$2:$U$1001,0),1)&gt;=100000,INDEX($AB$1005:$AQ$1005,1,MATCH(COLUMNS($AB$1006:AK1006),$AB$1006:$AQ$1006,0))&gt;=100000), " ",IF(INDEX($AB$2:$AQ$1001,MATCH(ROWS($U$2:U794),$U$2:$U$1001,0),MATCH(COLUMNS($AB$1006:AK1006),$AB$1006:$AQ$1006,0)), HYPERLINK("#",""), HYPERLINK(CONCATENATE("#metadata!", ADDRESS(INDEX($W$2:$W$1001,MATCH(ROWS($U$2:U794),$U$2:$U$1001,0),0), INDEX($AB$1004:$AQ$1004,1,MATCH(COLUMNS($AB$1006:AK1006),$AB$1006:$AQ$1006,0)))),"Fix")))</f>
        <v>0</v>
      </c>
      <c r="L794" s="4">
        <f>IF(OR(INDEX($V$2:$V$1001,MATCH(ROWS($U$2:U794),$U$2:$U$1001,0),1)&gt;=100000,INDEX($AB$1005:$AQ$1005,1,MATCH(COLUMNS($AB$1006:AL1006),$AB$1006:$AQ$1006,0))&gt;=100000), " ",IF(INDEX($AB$2:$AQ$1001,MATCH(ROWS($U$2:U794),$U$2:$U$1001,0),MATCH(COLUMNS($AB$1006:AL1006),$AB$1006:$AQ$1006,0)), HYPERLINK("#",""), HYPERLINK(CONCATENATE("#metadata!", ADDRESS(INDEX($W$2:$W$1001,MATCH(ROWS($U$2:U794),$U$2:$U$1001,0),0), INDEX($AB$1004:$AQ$1004,1,MATCH(COLUMNS($AB$1006:AL1006),$AB$1006:$AQ$1006,0)))),"Fix")))</f>
        <v>0</v>
      </c>
      <c r="M794" s="4">
        <f>IF(OR(INDEX($V$2:$V$1001,MATCH(ROWS($U$2:U794),$U$2:$U$1001,0),1)&gt;=100000,INDEX($AB$1005:$AQ$1005,1,MATCH(COLUMNS($AB$1006:AM1006),$AB$1006:$AQ$1006,0))&gt;=100000), " ",IF(INDEX($AB$2:$AQ$1001,MATCH(ROWS($U$2:U794),$U$2:$U$1001,0),MATCH(COLUMNS($AB$1006:AM1006),$AB$1006:$AQ$1006,0)), HYPERLINK("#",""), HYPERLINK(CONCATENATE("#metadata!", ADDRESS(INDEX($W$2:$W$1001,MATCH(ROWS($U$2:U794),$U$2:$U$1001,0),0), INDEX($AB$1004:$AQ$1004,1,MATCH(COLUMNS($AB$1006:AM1006),$AB$1006:$AQ$1006,0)))),"Fix")))</f>
        <v>0</v>
      </c>
      <c r="N794" s="4">
        <f>IF(OR(INDEX($V$2:$V$1001,MATCH(ROWS($U$2:U794),$U$2:$U$1001,0),1)&gt;=100000,INDEX($AB$1005:$AQ$1005,1,MATCH(COLUMNS($AB$1006:AN1006),$AB$1006:$AQ$1006,0))&gt;=100000), " ",IF(INDEX($AB$2:$AQ$1001,MATCH(ROWS($U$2:U794),$U$2:$U$1001,0),MATCH(COLUMNS($AB$1006:AN1006),$AB$1006:$AQ$1006,0)), HYPERLINK("#",""), HYPERLINK(CONCATENATE("#metadata!", ADDRESS(INDEX($W$2:$W$1001,MATCH(ROWS($U$2:U794),$U$2:$U$1001,0),0), INDEX($AB$1004:$AQ$1004,1,MATCH(COLUMNS($AB$1006:AN1006),$AB$1006:$AQ$1006,0)))),"Fix")))</f>
        <v>0</v>
      </c>
      <c r="O794" s="4">
        <f>IF(OR(INDEX($V$2:$V$1001,MATCH(ROWS($U$2:U794),$U$2:$U$1001,0),1)&gt;=100000,INDEX($AB$1005:$AQ$1005,1,MATCH(COLUMNS($AB$1006:AO1006),$AB$1006:$AQ$1006,0))&gt;=100000), " ",IF(INDEX($AB$2:$AQ$1001,MATCH(ROWS($U$2:U794),$U$2:$U$1001,0),MATCH(COLUMNS($AB$1006:AO1006),$AB$1006:$AQ$1006,0)), HYPERLINK("#",""), HYPERLINK(CONCATENATE("#metadata!", ADDRESS(INDEX($W$2:$W$1001,MATCH(ROWS($U$2:U794),$U$2:$U$1001,0),0), INDEX($AB$1004:$AQ$1004,1,MATCH(COLUMNS($AB$1006:AO1006),$AB$1006:$AQ$1006,0)))),"Fix")))</f>
        <v>0</v>
      </c>
      <c r="P794" s="4">
        <f>IF(OR(INDEX($V$2:$V$1001,MATCH(ROWS($U$2:U794),$U$2:$U$1001,0),1)&gt;=100000,INDEX($AB$1005:$AQ$1005,1,MATCH(COLUMNS($AB$1006:AP1006),$AB$1006:$AQ$1006,0))&gt;=100000), " ",IF(INDEX($AB$2:$AQ$1001,MATCH(ROWS($U$2:U794),$U$2:$U$1001,0),MATCH(COLUMNS($AB$1006:AP1006),$AB$1006:$AQ$1006,0)), HYPERLINK("#",""), HYPERLINK(CONCATENATE("#metadata!", ADDRESS(INDEX($W$2:$W$1001,MATCH(ROWS($U$2:U794),$U$2:$U$1001,0),0), INDEX($AB$1004:$AQ$1004,1,MATCH(COLUMNS($AB$1006:AP1006),$AB$1006:$AQ$1006,0)))),"Fix")))</f>
        <v>0</v>
      </c>
      <c r="Q794" s="4">
        <f>IF(OR(INDEX($V$2:$V$1001,MATCH(ROWS($U$2:U794),$U$2:$U$1001,0),1)&gt;=100000,INDEX($AB$1005:$AQ$1005,1,MATCH(COLUMNS($AB$1006:AQ1006),$AB$1006:$AQ$1006,0))&gt;=100000), " ",IF(INDEX($AB$2:$AQ$1001,MATCH(ROWS($U$2:U794),$U$2:$U$1001,0),MATCH(COLUMNS($AB$1006:AQ1006),$AB$1006:$AQ$1006,0)), HYPERLINK("#",""), HYPERLINK(CONCATENATE("#metadata!", ADDRESS(INDEX($W$2:$W$1001,MATCH(ROWS($U$2:U794),$U$2:$U$1001,0),0), INDEX($AB$1004:$AQ$1004,1,MATCH(COLUMNS($AB$1006:AQ1006),$AB$1006:$AQ$1006,0)))),"Fix")))</f>
        <v>0</v>
      </c>
      <c r="U794">
        <v>0</v>
      </c>
      <c r="V794">
        <v>0</v>
      </c>
      <c r="W794">
        <v>0</v>
      </c>
      <c r="X794">
        <f>IF(Y794,TRUE,AND(AB794:AQ794))</f>
        <v>0</v>
      </c>
      <c r="Y794">
        <f>COUNTBLANK(metadata!B794:Q794)=COLUMNS(metadata!B794:Q794)</f>
        <v>0</v>
      </c>
      <c r="Z794">
        <v>0</v>
      </c>
      <c r="AB794">
        <f>AND(IF(metadata!B794="",FALSE,TRUE),COUNTIF(metadata!B:B, metadata!B794) = 1,NOT(ISERROR(SUMPRODUCT(SEARCH(MID(metadata!B794,ROW(INDIRECT("1:"&amp;LEN(metadata!B794))), 1),"0123456789abcdefghijklmnopqrstuvwxyzABCDEFGHIJKLMNOPQRSTUVWXYZ.")))))</f>
        <v>0</v>
      </c>
      <c r="AC794">
        <f>OR(AND(IF(metadata!C794="",FALSE,TRUE),OR(exact(metadata!C794,"missing: not collected"),exact(metadata!C794,"missing: not provided"),exact(metadata!C794,"missing: restricted access"))),AND(IF(metadata!C794="",FALSE,TRUE),AND(AND(IFERROR(INT(LEFT(metadata!C794,4))&gt;1900,FALSE),IFERROR(INT(LEFT(metadata!C794,4))&lt;=YEAR(NOW()),FALSE)), OR(MID(metadata!C794,5,1)="", AND(AND(MID(metadata!C794,5,1)="-",IFERROR(INT(MID(metadata!C794,6,1))&gt;=0,FALSE),IFERROR(INT(MID(metadata!C794,6,1))&lt;=1,FALSE),NOT(MID(metadata!C794,7,1)=""),IFERROR(INT(MID(metadata!C794,6,2))&gt;=1,FALSE),IFERROR(INT(MID(metadata!C794,6,2))&lt;=12,FALSE)), OR(MID(metadata!C794,8,1)="", AND(AND(MID(metadata!C794,8,1)="-",IFERROR(INT(MID(metadata!C794,9,1))&gt;=0,FALSE),IFERROR(INT(MID(metadata!C794,9,1))&lt;=3,FALSE),NOT(MID(metadata!C794,10,1)=""),IFERROR(INT(MID(metadata!C794,9,2))&gt;=1,FALSE),IFERROR(INT(MID(metadata!C794,9,2))&lt;=31,FALSE)), OR(MID(metadata!C794,11,1)="", AND(AND(MID(metadata!C794,11,1)=" ",IFERROR(INT(MID(metadata!C794,12,1))&gt;=0,FALSE),IFERROR(INT(MID(metadata!C794,12,1))&lt;=2,FALSE),NOT(MID(metadata!C794,13,1)=""),IFERROR(INT(MID(metadata!C794,12,2))&gt;=0,FALSE),IFERROR(INT(MID(metadata!C794,12,2))&lt;=23,FALSE)), OR(MID(metadata!C794,14,1)="", AND(AND(MID(metadata!C794,14,1)=":",IFERROR(INT(MID(metadata!C794,15,1))&gt;=0,FALSE),IFERROR(INT(MID(metadata!C794,15,1))&lt;=5,FALSE),NOT(MID(metadata!C794,16,1)=""),IFERROR(INT(MID(metadata!C794,15,2))&gt;=0,FALSE),IFERROR(INT(MID(metadata!C794,15,2))&lt;=59,FALSE)), OR(MID(metadata!C794,17,1)="", AND(AND(MID(metadata!C794,17,1)=":",IFERROR(INT(MID(metadata!C794,18,1))&gt;=0,FALSE),IFERROR(INT(MID(metadata!C794,18,1))&lt;=5,FALSE),NOT(MID(metadata!C794,19,1)=""),IFERROR(INT(MID(metadata!C794,18,2))&gt;=0,FALSE),IFERROR(INT(MID(metadata!C794,18,2))&lt;=59,FALSE)), LEN(metadata!C794)&lt;=19)))))))))))))</f>
        <v>0</v>
      </c>
      <c r="AD794">
        <f>IF(metadata!D794="",FALSE,TRUE)</f>
        <v>0</v>
      </c>
      <c r="AE794">
        <f>OR(AND(IF(metadata!E794="",FALSE,TRUE),OR(exact(metadata!E794,"missing: not collected"),exact(metadata!E794,"missing: not provided"))),AND(IF(metadata!E794="",FALSE,TRUE),OR(exact(metadata!E794,"TRUE"),exact(metadata!E794,"FALSE"))))</f>
        <v>0</v>
      </c>
      <c r="AF794">
        <f>IF(metadata!F794="",FALSE,TRUE)</f>
        <v>0</v>
      </c>
      <c r="AG794">
        <f>IF(metadata!G794="",FALSE,TRUE)</f>
        <v>0</v>
      </c>
      <c r="AH794">
        <f>IF(metadata!H794="",FALSE,TRUE)</f>
        <v>0</v>
      </c>
      <c r="AI794">
        <f>OR(AND(IF(metadata!I794="",FALSE,TRUE),OR(exact(metadata!I794,"missing: not collected"),exact(metadata!I794,"missing: not provided"),exact(metadata!I794,"missing: restricted access"))),AND(IF(metadata!I794="",FALSE,TRUE),OR(exact(metadata!I794,"air"),exact(metadata!I794,"built environment"),exact(metadata!I794,"host-associated"),exact(metadata!I794,"human-associated"),exact(metadata!I794,"human-skin"),exact(metadata!I794,"human-oral"),exact(metadata!I794,"human-gut"),exact(metadata!I794,"human-vaginal"),exact(metadata!I794,"microbial mat/biofilm"),exact(metadata!I794,"misc environment"),exact(metadata!I794,"plant-associated"),exact(metadata!I794,"sediment"),exact(metadata!I794,"soil"),exact(metadata!I794,"wastewater/sludge"),exact(metadata!I794,"water"))))</f>
        <v>0</v>
      </c>
      <c r="AJ794">
        <f>IF(metadata!J794="",FALSE,TRUE)</f>
        <v>0</v>
      </c>
      <c r="AK794">
        <f>OR(AND(IF(metadata!K794="",FALSE,TRUE),OR(exact(metadata!K794,"missing: not collected"),exact(metadata!K794,"missing: not provided"),exact(metadata!K794,"missing: restricted access"))),AND(IF(metadata!K794="",FALSE,ISNUMBER(VALUE(metadata!K794))),metadata!K794&gt;=-90.00,metadata!K794&lt;=90.00))</f>
        <v>0</v>
      </c>
      <c r="AL794">
        <f>OR(AND(IF(metadata!L794="",FALSE,TRUE),OR(exact(metadata!L794,"missing: not collected"),exact(metadata!L794,"missing: not provided"),exact(metadata!L794,"missing: restricted access"))),AND(IF(metadata!L794="",FALSE,ISNUMBER(VALUE(metadata!L794))),metadata!L794&gt;=-180.00,metadata!L794&lt;=180.00))</f>
        <v>0</v>
      </c>
      <c r="AM794">
        <f>IF(metadata!M794="",FALSE,TRUE)</f>
        <v>0</v>
      </c>
      <c r="AN794">
        <f>OR(AND(IF(metadata!N794="",FALSE,TRUE),OR(exact(metadata!N794,"missing: not collected"),exact(metadata!N794,"missing: not provided"),exact(metadata!N794,"missing: restricted access"))),AND(IF(metadata!N794="",FALSE,TRUE),OR(exact(metadata!N794,"TRUE"),exact(metadata!N794,"FALSE"))))</f>
        <v>0</v>
      </c>
      <c r="AO794">
        <f>IF(metadata!O794="",FALSE,TRUE)</f>
        <v>0</v>
      </c>
      <c r="AP794">
        <f>OR(AND(IF(metadata!P794="",FALSE,TRUE),OR(exact(metadata!P794,"missing: not collected"),exact(metadata!P794,"missing: not provided"))),AND(IF(metadata!P794="",FALSE,IF(ISERROR(INT(metadata!P794)),FALSE,INT(metadata!P794)=metadata!P794)),metadata!P794&gt;0))</f>
        <v>0</v>
      </c>
      <c r="AQ794">
        <f>IF(metadata!Q794="",FALSE,TRUE)</f>
        <v>0</v>
      </c>
    </row>
    <row r="795" spans="1:43">
      <c r="A795" s="5">
        <f>IF(B795=" "," ",HYPERLINK(CONCATENATE("#metadata!",ADDRESS(INDEX($W$2:$W$1001,MATCH(ROWS($U$2:U795),$U$2:$U$1001,0),0),1)),INDEX($Z$2:$Z$1001,MATCH(ROWS($U$2:U795),$U$2:$U$1001,0),0)))</f>
        <v>0</v>
      </c>
      <c r="B795" s="4">
        <f>IF(OR(INDEX($V$2:$V$1001,MATCH(ROWS($U$2:U795),$U$2:$U$1001,0),1)&gt;=100000,INDEX($AB$1005:$AQ$1005,1,MATCH(COLUMNS($AB$1006:AB1006),$AB$1006:$AQ$1006,0))&gt;=100000), " ",IF(INDEX($AB$2:$AQ$1001,MATCH(ROWS($U$2:U795),$U$2:$U$1001,0),MATCH(COLUMNS($AB$1006:AB1006),$AB$1006:$AQ$1006,0)), HYPERLINK("#",""), HYPERLINK(CONCATENATE("#metadata!", ADDRESS(INDEX($W$2:$W$1001,MATCH(ROWS($U$2:U795),$U$2:$U$1001,0),0), INDEX($AB$1004:$AQ$1004,1,MATCH(COLUMNS($AB$1006:AB1006),$AB$1006:$AQ$1006,0)))),"Fix")))</f>
        <v>0</v>
      </c>
      <c r="C795" s="4">
        <f>IF(OR(INDEX($V$2:$V$1001,MATCH(ROWS($U$2:U795),$U$2:$U$1001,0),1)&gt;=100000,INDEX($AB$1005:$AQ$1005,1,MATCH(COLUMNS($AB$1006:AC1006),$AB$1006:$AQ$1006,0))&gt;=100000), " ",IF(INDEX($AB$2:$AQ$1001,MATCH(ROWS($U$2:U795),$U$2:$U$1001,0),MATCH(COLUMNS($AB$1006:AC1006),$AB$1006:$AQ$1006,0)), HYPERLINK("#",""), HYPERLINK(CONCATENATE("#metadata!", ADDRESS(INDEX($W$2:$W$1001,MATCH(ROWS($U$2:U795),$U$2:$U$1001,0),0), INDEX($AB$1004:$AQ$1004,1,MATCH(COLUMNS($AB$1006:AC1006),$AB$1006:$AQ$1006,0)))),"Fix")))</f>
        <v>0</v>
      </c>
      <c r="D795" s="4">
        <f>IF(OR(INDEX($V$2:$V$1001,MATCH(ROWS($U$2:U795),$U$2:$U$1001,0),1)&gt;=100000,INDEX($AB$1005:$AQ$1005,1,MATCH(COLUMNS($AB$1006:AD1006),$AB$1006:$AQ$1006,0))&gt;=100000), " ",IF(INDEX($AB$2:$AQ$1001,MATCH(ROWS($U$2:U795),$U$2:$U$1001,0),MATCH(COLUMNS($AB$1006:AD1006),$AB$1006:$AQ$1006,0)), HYPERLINK("#",""), HYPERLINK(CONCATENATE("#metadata!", ADDRESS(INDEX($W$2:$W$1001,MATCH(ROWS($U$2:U795),$U$2:$U$1001,0),0), INDEX($AB$1004:$AQ$1004,1,MATCH(COLUMNS($AB$1006:AD1006),$AB$1006:$AQ$1006,0)))),"Fix")))</f>
        <v>0</v>
      </c>
      <c r="E795" s="4">
        <f>IF(OR(INDEX($V$2:$V$1001,MATCH(ROWS($U$2:U795),$U$2:$U$1001,0),1)&gt;=100000,INDEX($AB$1005:$AQ$1005,1,MATCH(COLUMNS($AB$1006:AE1006),$AB$1006:$AQ$1006,0))&gt;=100000), " ",IF(INDEX($AB$2:$AQ$1001,MATCH(ROWS($U$2:U795),$U$2:$U$1001,0),MATCH(COLUMNS($AB$1006:AE1006),$AB$1006:$AQ$1006,0)), HYPERLINK("#",""), HYPERLINK(CONCATENATE("#metadata!", ADDRESS(INDEX($W$2:$W$1001,MATCH(ROWS($U$2:U795),$U$2:$U$1001,0),0), INDEX($AB$1004:$AQ$1004,1,MATCH(COLUMNS($AB$1006:AE1006),$AB$1006:$AQ$1006,0)))),"Fix")))</f>
        <v>0</v>
      </c>
      <c r="F795" s="4">
        <f>IF(OR(INDEX($V$2:$V$1001,MATCH(ROWS($U$2:U795),$U$2:$U$1001,0),1)&gt;=100000,INDEX($AB$1005:$AQ$1005,1,MATCH(COLUMNS($AB$1006:AF1006),$AB$1006:$AQ$1006,0))&gt;=100000), " ",IF(INDEX($AB$2:$AQ$1001,MATCH(ROWS($U$2:U795),$U$2:$U$1001,0),MATCH(COLUMNS($AB$1006:AF1006),$AB$1006:$AQ$1006,0)), HYPERLINK("#",""), HYPERLINK(CONCATENATE("#metadata!", ADDRESS(INDEX($W$2:$W$1001,MATCH(ROWS($U$2:U795),$U$2:$U$1001,0),0), INDEX($AB$1004:$AQ$1004,1,MATCH(COLUMNS($AB$1006:AF1006),$AB$1006:$AQ$1006,0)))),"Fix")))</f>
        <v>0</v>
      </c>
      <c r="G795" s="4">
        <f>IF(OR(INDEX($V$2:$V$1001,MATCH(ROWS($U$2:U795),$U$2:$U$1001,0),1)&gt;=100000,INDEX($AB$1005:$AQ$1005,1,MATCH(COLUMNS($AB$1006:AG1006),$AB$1006:$AQ$1006,0))&gt;=100000), " ",IF(INDEX($AB$2:$AQ$1001,MATCH(ROWS($U$2:U795),$U$2:$U$1001,0),MATCH(COLUMNS($AB$1006:AG1006),$AB$1006:$AQ$1006,0)), HYPERLINK("#",""), HYPERLINK(CONCATENATE("#metadata!", ADDRESS(INDEX($W$2:$W$1001,MATCH(ROWS($U$2:U795),$U$2:$U$1001,0),0), INDEX($AB$1004:$AQ$1004,1,MATCH(COLUMNS($AB$1006:AG1006),$AB$1006:$AQ$1006,0)))),"Fix")))</f>
        <v>0</v>
      </c>
      <c r="H795" s="4">
        <f>IF(OR(INDEX($V$2:$V$1001,MATCH(ROWS($U$2:U795),$U$2:$U$1001,0),1)&gt;=100000,INDEX($AB$1005:$AQ$1005,1,MATCH(COLUMNS($AB$1006:AH1006),$AB$1006:$AQ$1006,0))&gt;=100000), " ",IF(INDEX($AB$2:$AQ$1001,MATCH(ROWS($U$2:U795),$U$2:$U$1001,0),MATCH(COLUMNS($AB$1006:AH1006),$AB$1006:$AQ$1006,0)), HYPERLINK("#",""), HYPERLINK(CONCATENATE("#metadata!", ADDRESS(INDEX($W$2:$W$1001,MATCH(ROWS($U$2:U795),$U$2:$U$1001,0),0), INDEX($AB$1004:$AQ$1004,1,MATCH(COLUMNS($AB$1006:AH1006),$AB$1006:$AQ$1006,0)))),"Fix")))</f>
        <v>0</v>
      </c>
      <c r="I795" s="4">
        <f>IF(OR(INDEX($V$2:$V$1001,MATCH(ROWS($U$2:U795),$U$2:$U$1001,0),1)&gt;=100000,INDEX($AB$1005:$AQ$1005,1,MATCH(COLUMNS($AB$1006:AI1006),$AB$1006:$AQ$1006,0))&gt;=100000), " ",IF(INDEX($AB$2:$AQ$1001,MATCH(ROWS($U$2:U795),$U$2:$U$1001,0),MATCH(COLUMNS($AB$1006:AI1006),$AB$1006:$AQ$1006,0)), HYPERLINK("#",""), HYPERLINK(CONCATENATE("#metadata!", ADDRESS(INDEX($W$2:$W$1001,MATCH(ROWS($U$2:U795),$U$2:$U$1001,0),0), INDEX($AB$1004:$AQ$1004,1,MATCH(COLUMNS($AB$1006:AI1006),$AB$1006:$AQ$1006,0)))),"Fix")))</f>
        <v>0</v>
      </c>
      <c r="J795" s="4">
        <f>IF(OR(INDEX($V$2:$V$1001,MATCH(ROWS($U$2:U795),$U$2:$U$1001,0),1)&gt;=100000,INDEX($AB$1005:$AQ$1005,1,MATCH(COLUMNS($AB$1006:AJ1006),$AB$1006:$AQ$1006,0))&gt;=100000), " ",IF(INDEX($AB$2:$AQ$1001,MATCH(ROWS($U$2:U795),$U$2:$U$1001,0),MATCH(COLUMNS($AB$1006:AJ1006),$AB$1006:$AQ$1006,0)), HYPERLINK("#",""), HYPERLINK(CONCATENATE("#metadata!", ADDRESS(INDEX($W$2:$W$1001,MATCH(ROWS($U$2:U795),$U$2:$U$1001,0),0), INDEX($AB$1004:$AQ$1004,1,MATCH(COLUMNS($AB$1006:AJ1006),$AB$1006:$AQ$1006,0)))),"Fix")))</f>
        <v>0</v>
      </c>
      <c r="K795" s="4">
        <f>IF(OR(INDEX($V$2:$V$1001,MATCH(ROWS($U$2:U795),$U$2:$U$1001,0),1)&gt;=100000,INDEX($AB$1005:$AQ$1005,1,MATCH(COLUMNS($AB$1006:AK1006),$AB$1006:$AQ$1006,0))&gt;=100000), " ",IF(INDEX($AB$2:$AQ$1001,MATCH(ROWS($U$2:U795),$U$2:$U$1001,0),MATCH(COLUMNS($AB$1006:AK1006),$AB$1006:$AQ$1006,0)), HYPERLINK("#",""), HYPERLINK(CONCATENATE("#metadata!", ADDRESS(INDEX($W$2:$W$1001,MATCH(ROWS($U$2:U795),$U$2:$U$1001,0),0), INDEX($AB$1004:$AQ$1004,1,MATCH(COLUMNS($AB$1006:AK1006),$AB$1006:$AQ$1006,0)))),"Fix")))</f>
        <v>0</v>
      </c>
      <c r="L795" s="4">
        <f>IF(OR(INDEX($V$2:$V$1001,MATCH(ROWS($U$2:U795),$U$2:$U$1001,0),1)&gt;=100000,INDEX($AB$1005:$AQ$1005,1,MATCH(COLUMNS($AB$1006:AL1006),$AB$1006:$AQ$1006,0))&gt;=100000), " ",IF(INDEX($AB$2:$AQ$1001,MATCH(ROWS($U$2:U795),$U$2:$U$1001,0),MATCH(COLUMNS($AB$1006:AL1006),$AB$1006:$AQ$1006,0)), HYPERLINK("#",""), HYPERLINK(CONCATENATE("#metadata!", ADDRESS(INDEX($W$2:$W$1001,MATCH(ROWS($U$2:U795),$U$2:$U$1001,0),0), INDEX($AB$1004:$AQ$1004,1,MATCH(COLUMNS($AB$1006:AL1006),$AB$1006:$AQ$1006,0)))),"Fix")))</f>
        <v>0</v>
      </c>
      <c r="M795" s="4">
        <f>IF(OR(INDEX($V$2:$V$1001,MATCH(ROWS($U$2:U795),$U$2:$U$1001,0),1)&gt;=100000,INDEX($AB$1005:$AQ$1005,1,MATCH(COLUMNS($AB$1006:AM1006),$AB$1006:$AQ$1006,0))&gt;=100000), " ",IF(INDEX($AB$2:$AQ$1001,MATCH(ROWS($U$2:U795),$U$2:$U$1001,0),MATCH(COLUMNS($AB$1006:AM1006),$AB$1006:$AQ$1006,0)), HYPERLINK("#",""), HYPERLINK(CONCATENATE("#metadata!", ADDRESS(INDEX($W$2:$W$1001,MATCH(ROWS($U$2:U795),$U$2:$U$1001,0),0), INDEX($AB$1004:$AQ$1004,1,MATCH(COLUMNS($AB$1006:AM1006),$AB$1006:$AQ$1006,0)))),"Fix")))</f>
        <v>0</v>
      </c>
      <c r="N795" s="4">
        <f>IF(OR(INDEX($V$2:$V$1001,MATCH(ROWS($U$2:U795),$U$2:$U$1001,0),1)&gt;=100000,INDEX($AB$1005:$AQ$1005,1,MATCH(COLUMNS($AB$1006:AN1006),$AB$1006:$AQ$1006,0))&gt;=100000), " ",IF(INDEX($AB$2:$AQ$1001,MATCH(ROWS($U$2:U795),$U$2:$U$1001,0),MATCH(COLUMNS($AB$1006:AN1006),$AB$1006:$AQ$1006,0)), HYPERLINK("#",""), HYPERLINK(CONCATENATE("#metadata!", ADDRESS(INDEX($W$2:$W$1001,MATCH(ROWS($U$2:U795),$U$2:$U$1001,0),0), INDEX($AB$1004:$AQ$1004,1,MATCH(COLUMNS($AB$1006:AN1006),$AB$1006:$AQ$1006,0)))),"Fix")))</f>
        <v>0</v>
      </c>
      <c r="O795" s="4">
        <f>IF(OR(INDEX($V$2:$V$1001,MATCH(ROWS($U$2:U795),$U$2:$U$1001,0),1)&gt;=100000,INDEX($AB$1005:$AQ$1005,1,MATCH(COLUMNS($AB$1006:AO1006),$AB$1006:$AQ$1006,0))&gt;=100000), " ",IF(INDEX($AB$2:$AQ$1001,MATCH(ROWS($U$2:U795),$U$2:$U$1001,0),MATCH(COLUMNS($AB$1006:AO1006),$AB$1006:$AQ$1006,0)), HYPERLINK("#",""), HYPERLINK(CONCATENATE("#metadata!", ADDRESS(INDEX($W$2:$W$1001,MATCH(ROWS($U$2:U795),$U$2:$U$1001,0),0), INDEX($AB$1004:$AQ$1004,1,MATCH(COLUMNS($AB$1006:AO1006),$AB$1006:$AQ$1006,0)))),"Fix")))</f>
        <v>0</v>
      </c>
      <c r="P795" s="4">
        <f>IF(OR(INDEX($V$2:$V$1001,MATCH(ROWS($U$2:U795),$U$2:$U$1001,0),1)&gt;=100000,INDEX($AB$1005:$AQ$1005,1,MATCH(COLUMNS($AB$1006:AP1006),$AB$1006:$AQ$1006,0))&gt;=100000), " ",IF(INDEX($AB$2:$AQ$1001,MATCH(ROWS($U$2:U795),$U$2:$U$1001,0),MATCH(COLUMNS($AB$1006:AP1006),$AB$1006:$AQ$1006,0)), HYPERLINK("#",""), HYPERLINK(CONCATENATE("#metadata!", ADDRESS(INDEX($W$2:$W$1001,MATCH(ROWS($U$2:U795),$U$2:$U$1001,0),0), INDEX($AB$1004:$AQ$1004,1,MATCH(COLUMNS($AB$1006:AP1006),$AB$1006:$AQ$1006,0)))),"Fix")))</f>
        <v>0</v>
      </c>
      <c r="Q795" s="4">
        <f>IF(OR(INDEX($V$2:$V$1001,MATCH(ROWS($U$2:U795),$U$2:$U$1001,0),1)&gt;=100000,INDEX($AB$1005:$AQ$1005,1,MATCH(COLUMNS($AB$1006:AQ1006),$AB$1006:$AQ$1006,0))&gt;=100000), " ",IF(INDEX($AB$2:$AQ$1001,MATCH(ROWS($U$2:U795),$U$2:$U$1001,0),MATCH(COLUMNS($AB$1006:AQ1006),$AB$1006:$AQ$1006,0)), HYPERLINK("#",""), HYPERLINK(CONCATENATE("#metadata!", ADDRESS(INDEX($W$2:$W$1001,MATCH(ROWS($U$2:U795),$U$2:$U$1001,0),0), INDEX($AB$1004:$AQ$1004,1,MATCH(COLUMNS($AB$1006:AQ1006),$AB$1006:$AQ$1006,0)))),"Fix")))</f>
        <v>0</v>
      </c>
      <c r="U795">
        <v>0</v>
      </c>
      <c r="V795">
        <v>0</v>
      </c>
      <c r="W795">
        <v>0</v>
      </c>
      <c r="X795">
        <f>IF(Y795,TRUE,AND(AB795:AQ795))</f>
        <v>0</v>
      </c>
      <c r="Y795">
        <f>COUNTBLANK(metadata!B795:Q795)=COLUMNS(metadata!B795:Q795)</f>
        <v>0</v>
      </c>
      <c r="Z795">
        <v>0</v>
      </c>
      <c r="AB795">
        <f>AND(IF(metadata!B795="",FALSE,TRUE),COUNTIF(metadata!B:B, metadata!B795) = 1,NOT(ISERROR(SUMPRODUCT(SEARCH(MID(metadata!B795,ROW(INDIRECT("1:"&amp;LEN(metadata!B795))), 1),"0123456789abcdefghijklmnopqrstuvwxyzABCDEFGHIJKLMNOPQRSTUVWXYZ.")))))</f>
        <v>0</v>
      </c>
      <c r="AC795">
        <f>OR(AND(IF(metadata!C795="",FALSE,TRUE),OR(exact(metadata!C795,"missing: not collected"),exact(metadata!C795,"missing: not provided"),exact(metadata!C795,"missing: restricted access"))),AND(IF(metadata!C795="",FALSE,TRUE),AND(AND(IFERROR(INT(LEFT(metadata!C795,4))&gt;1900,FALSE),IFERROR(INT(LEFT(metadata!C795,4))&lt;=YEAR(NOW()),FALSE)), OR(MID(metadata!C795,5,1)="", AND(AND(MID(metadata!C795,5,1)="-",IFERROR(INT(MID(metadata!C795,6,1))&gt;=0,FALSE),IFERROR(INT(MID(metadata!C795,6,1))&lt;=1,FALSE),NOT(MID(metadata!C795,7,1)=""),IFERROR(INT(MID(metadata!C795,6,2))&gt;=1,FALSE),IFERROR(INT(MID(metadata!C795,6,2))&lt;=12,FALSE)), OR(MID(metadata!C795,8,1)="", AND(AND(MID(metadata!C795,8,1)="-",IFERROR(INT(MID(metadata!C795,9,1))&gt;=0,FALSE),IFERROR(INT(MID(metadata!C795,9,1))&lt;=3,FALSE),NOT(MID(metadata!C795,10,1)=""),IFERROR(INT(MID(metadata!C795,9,2))&gt;=1,FALSE),IFERROR(INT(MID(metadata!C795,9,2))&lt;=31,FALSE)), OR(MID(metadata!C795,11,1)="", AND(AND(MID(metadata!C795,11,1)=" ",IFERROR(INT(MID(metadata!C795,12,1))&gt;=0,FALSE),IFERROR(INT(MID(metadata!C795,12,1))&lt;=2,FALSE),NOT(MID(metadata!C795,13,1)=""),IFERROR(INT(MID(metadata!C795,12,2))&gt;=0,FALSE),IFERROR(INT(MID(metadata!C795,12,2))&lt;=23,FALSE)), OR(MID(metadata!C795,14,1)="", AND(AND(MID(metadata!C795,14,1)=":",IFERROR(INT(MID(metadata!C795,15,1))&gt;=0,FALSE),IFERROR(INT(MID(metadata!C795,15,1))&lt;=5,FALSE),NOT(MID(metadata!C795,16,1)=""),IFERROR(INT(MID(metadata!C795,15,2))&gt;=0,FALSE),IFERROR(INT(MID(metadata!C795,15,2))&lt;=59,FALSE)), OR(MID(metadata!C795,17,1)="", AND(AND(MID(metadata!C795,17,1)=":",IFERROR(INT(MID(metadata!C795,18,1))&gt;=0,FALSE),IFERROR(INT(MID(metadata!C795,18,1))&lt;=5,FALSE),NOT(MID(metadata!C795,19,1)=""),IFERROR(INT(MID(metadata!C795,18,2))&gt;=0,FALSE),IFERROR(INT(MID(metadata!C795,18,2))&lt;=59,FALSE)), LEN(metadata!C795)&lt;=19)))))))))))))</f>
        <v>0</v>
      </c>
      <c r="AD795">
        <f>IF(metadata!D795="",FALSE,TRUE)</f>
        <v>0</v>
      </c>
      <c r="AE795">
        <f>OR(AND(IF(metadata!E795="",FALSE,TRUE),OR(exact(metadata!E795,"missing: not collected"),exact(metadata!E795,"missing: not provided"))),AND(IF(metadata!E795="",FALSE,TRUE),OR(exact(metadata!E795,"TRUE"),exact(metadata!E795,"FALSE"))))</f>
        <v>0</v>
      </c>
      <c r="AF795">
        <f>IF(metadata!F795="",FALSE,TRUE)</f>
        <v>0</v>
      </c>
      <c r="AG795">
        <f>IF(metadata!G795="",FALSE,TRUE)</f>
        <v>0</v>
      </c>
      <c r="AH795">
        <f>IF(metadata!H795="",FALSE,TRUE)</f>
        <v>0</v>
      </c>
      <c r="AI795">
        <f>OR(AND(IF(metadata!I795="",FALSE,TRUE),OR(exact(metadata!I795,"missing: not collected"),exact(metadata!I795,"missing: not provided"),exact(metadata!I795,"missing: restricted access"))),AND(IF(metadata!I795="",FALSE,TRUE),OR(exact(metadata!I795,"air"),exact(metadata!I795,"built environment"),exact(metadata!I795,"host-associated"),exact(metadata!I795,"human-associated"),exact(metadata!I795,"human-skin"),exact(metadata!I795,"human-oral"),exact(metadata!I795,"human-gut"),exact(metadata!I795,"human-vaginal"),exact(metadata!I795,"microbial mat/biofilm"),exact(metadata!I795,"misc environment"),exact(metadata!I795,"plant-associated"),exact(metadata!I795,"sediment"),exact(metadata!I795,"soil"),exact(metadata!I795,"wastewater/sludge"),exact(metadata!I795,"water"))))</f>
        <v>0</v>
      </c>
      <c r="AJ795">
        <f>IF(metadata!J795="",FALSE,TRUE)</f>
        <v>0</v>
      </c>
      <c r="AK795">
        <f>OR(AND(IF(metadata!K795="",FALSE,TRUE),OR(exact(metadata!K795,"missing: not collected"),exact(metadata!K795,"missing: not provided"),exact(metadata!K795,"missing: restricted access"))),AND(IF(metadata!K795="",FALSE,ISNUMBER(VALUE(metadata!K795))),metadata!K795&gt;=-90.00,metadata!K795&lt;=90.00))</f>
        <v>0</v>
      </c>
      <c r="AL795">
        <f>OR(AND(IF(metadata!L795="",FALSE,TRUE),OR(exact(metadata!L795,"missing: not collected"),exact(metadata!L795,"missing: not provided"),exact(metadata!L795,"missing: restricted access"))),AND(IF(metadata!L795="",FALSE,ISNUMBER(VALUE(metadata!L795))),metadata!L795&gt;=-180.00,metadata!L795&lt;=180.00))</f>
        <v>0</v>
      </c>
      <c r="AM795">
        <f>IF(metadata!M795="",FALSE,TRUE)</f>
        <v>0</v>
      </c>
      <c r="AN795">
        <f>OR(AND(IF(metadata!N795="",FALSE,TRUE),OR(exact(metadata!N795,"missing: not collected"),exact(metadata!N795,"missing: not provided"),exact(metadata!N795,"missing: restricted access"))),AND(IF(metadata!N795="",FALSE,TRUE),OR(exact(metadata!N795,"TRUE"),exact(metadata!N795,"FALSE"))))</f>
        <v>0</v>
      </c>
      <c r="AO795">
        <f>IF(metadata!O795="",FALSE,TRUE)</f>
        <v>0</v>
      </c>
      <c r="AP795">
        <f>OR(AND(IF(metadata!P795="",FALSE,TRUE),OR(exact(metadata!P795,"missing: not collected"),exact(metadata!P795,"missing: not provided"))),AND(IF(metadata!P795="",FALSE,IF(ISERROR(INT(metadata!P795)),FALSE,INT(metadata!P795)=metadata!P795)),metadata!P795&gt;0))</f>
        <v>0</v>
      </c>
      <c r="AQ795">
        <f>IF(metadata!Q795="",FALSE,TRUE)</f>
        <v>0</v>
      </c>
    </row>
    <row r="796" spans="1:43">
      <c r="A796" s="5">
        <f>IF(B796=" "," ",HYPERLINK(CONCATENATE("#metadata!",ADDRESS(INDEX($W$2:$W$1001,MATCH(ROWS($U$2:U796),$U$2:$U$1001,0),0),1)),INDEX($Z$2:$Z$1001,MATCH(ROWS($U$2:U796),$U$2:$U$1001,0),0)))</f>
        <v>0</v>
      </c>
      <c r="B796" s="4">
        <f>IF(OR(INDEX($V$2:$V$1001,MATCH(ROWS($U$2:U796),$U$2:$U$1001,0),1)&gt;=100000,INDEX($AB$1005:$AQ$1005,1,MATCH(COLUMNS($AB$1006:AB1006),$AB$1006:$AQ$1006,0))&gt;=100000), " ",IF(INDEX($AB$2:$AQ$1001,MATCH(ROWS($U$2:U796),$U$2:$U$1001,0),MATCH(COLUMNS($AB$1006:AB1006),$AB$1006:$AQ$1006,0)), HYPERLINK("#",""), HYPERLINK(CONCATENATE("#metadata!", ADDRESS(INDEX($W$2:$W$1001,MATCH(ROWS($U$2:U796),$U$2:$U$1001,0),0), INDEX($AB$1004:$AQ$1004,1,MATCH(COLUMNS($AB$1006:AB1006),$AB$1006:$AQ$1006,0)))),"Fix")))</f>
        <v>0</v>
      </c>
      <c r="C796" s="4">
        <f>IF(OR(INDEX($V$2:$V$1001,MATCH(ROWS($U$2:U796),$U$2:$U$1001,0),1)&gt;=100000,INDEX($AB$1005:$AQ$1005,1,MATCH(COLUMNS($AB$1006:AC1006),$AB$1006:$AQ$1006,0))&gt;=100000), " ",IF(INDEX($AB$2:$AQ$1001,MATCH(ROWS($U$2:U796),$U$2:$U$1001,0),MATCH(COLUMNS($AB$1006:AC1006),$AB$1006:$AQ$1006,0)), HYPERLINK("#",""), HYPERLINK(CONCATENATE("#metadata!", ADDRESS(INDEX($W$2:$W$1001,MATCH(ROWS($U$2:U796),$U$2:$U$1001,0),0), INDEX($AB$1004:$AQ$1004,1,MATCH(COLUMNS($AB$1006:AC1006),$AB$1006:$AQ$1006,0)))),"Fix")))</f>
        <v>0</v>
      </c>
      <c r="D796" s="4">
        <f>IF(OR(INDEX($V$2:$V$1001,MATCH(ROWS($U$2:U796),$U$2:$U$1001,0),1)&gt;=100000,INDEX($AB$1005:$AQ$1005,1,MATCH(COLUMNS($AB$1006:AD1006),$AB$1006:$AQ$1006,0))&gt;=100000), " ",IF(INDEX($AB$2:$AQ$1001,MATCH(ROWS($U$2:U796),$U$2:$U$1001,0),MATCH(COLUMNS($AB$1006:AD1006),$AB$1006:$AQ$1006,0)), HYPERLINK("#",""), HYPERLINK(CONCATENATE("#metadata!", ADDRESS(INDEX($W$2:$W$1001,MATCH(ROWS($U$2:U796),$U$2:$U$1001,0),0), INDEX($AB$1004:$AQ$1004,1,MATCH(COLUMNS($AB$1006:AD1006),$AB$1006:$AQ$1006,0)))),"Fix")))</f>
        <v>0</v>
      </c>
      <c r="E796" s="4">
        <f>IF(OR(INDEX($V$2:$V$1001,MATCH(ROWS($U$2:U796),$U$2:$U$1001,0),1)&gt;=100000,INDEX($AB$1005:$AQ$1005,1,MATCH(COLUMNS($AB$1006:AE1006),$AB$1006:$AQ$1006,0))&gt;=100000), " ",IF(INDEX($AB$2:$AQ$1001,MATCH(ROWS($U$2:U796),$U$2:$U$1001,0),MATCH(COLUMNS($AB$1006:AE1006),$AB$1006:$AQ$1006,0)), HYPERLINK("#",""), HYPERLINK(CONCATENATE("#metadata!", ADDRESS(INDEX($W$2:$W$1001,MATCH(ROWS($U$2:U796),$U$2:$U$1001,0),0), INDEX($AB$1004:$AQ$1004,1,MATCH(COLUMNS($AB$1006:AE1006),$AB$1006:$AQ$1006,0)))),"Fix")))</f>
        <v>0</v>
      </c>
      <c r="F796" s="4">
        <f>IF(OR(INDEX($V$2:$V$1001,MATCH(ROWS($U$2:U796),$U$2:$U$1001,0),1)&gt;=100000,INDEX($AB$1005:$AQ$1005,1,MATCH(COLUMNS($AB$1006:AF1006),$AB$1006:$AQ$1006,0))&gt;=100000), " ",IF(INDEX($AB$2:$AQ$1001,MATCH(ROWS($U$2:U796),$U$2:$U$1001,0),MATCH(COLUMNS($AB$1006:AF1006),$AB$1006:$AQ$1006,0)), HYPERLINK("#",""), HYPERLINK(CONCATENATE("#metadata!", ADDRESS(INDEX($W$2:$W$1001,MATCH(ROWS($U$2:U796),$U$2:$U$1001,0),0), INDEX($AB$1004:$AQ$1004,1,MATCH(COLUMNS($AB$1006:AF1006),$AB$1006:$AQ$1006,0)))),"Fix")))</f>
        <v>0</v>
      </c>
      <c r="G796" s="4">
        <f>IF(OR(INDEX($V$2:$V$1001,MATCH(ROWS($U$2:U796),$U$2:$U$1001,0),1)&gt;=100000,INDEX($AB$1005:$AQ$1005,1,MATCH(COLUMNS($AB$1006:AG1006),$AB$1006:$AQ$1006,0))&gt;=100000), " ",IF(INDEX($AB$2:$AQ$1001,MATCH(ROWS($U$2:U796),$U$2:$U$1001,0),MATCH(COLUMNS($AB$1006:AG1006),$AB$1006:$AQ$1006,0)), HYPERLINK("#",""), HYPERLINK(CONCATENATE("#metadata!", ADDRESS(INDEX($W$2:$W$1001,MATCH(ROWS($U$2:U796),$U$2:$U$1001,0),0), INDEX($AB$1004:$AQ$1004,1,MATCH(COLUMNS($AB$1006:AG1006),$AB$1006:$AQ$1006,0)))),"Fix")))</f>
        <v>0</v>
      </c>
      <c r="H796" s="4">
        <f>IF(OR(INDEX($V$2:$V$1001,MATCH(ROWS($U$2:U796),$U$2:$U$1001,0),1)&gt;=100000,INDEX($AB$1005:$AQ$1005,1,MATCH(COLUMNS($AB$1006:AH1006),$AB$1006:$AQ$1006,0))&gt;=100000), " ",IF(INDEX($AB$2:$AQ$1001,MATCH(ROWS($U$2:U796),$U$2:$U$1001,0),MATCH(COLUMNS($AB$1006:AH1006),$AB$1006:$AQ$1006,0)), HYPERLINK("#",""), HYPERLINK(CONCATENATE("#metadata!", ADDRESS(INDEX($W$2:$W$1001,MATCH(ROWS($U$2:U796),$U$2:$U$1001,0),0), INDEX($AB$1004:$AQ$1004,1,MATCH(COLUMNS($AB$1006:AH1006),$AB$1006:$AQ$1006,0)))),"Fix")))</f>
        <v>0</v>
      </c>
      <c r="I796" s="4">
        <f>IF(OR(INDEX($V$2:$V$1001,MATCH(ROWS($U$2:U796),$U$2:$U$1001,0),1)&gt;=100000,INDEX($AB$1005:$AQ$1005,1,MATCH(COLUMNS($AB$1006:AI1006),$AB$1006:$AQ$1006,0))&gt;=100000), " ",IF(INDEX($AB$2:$AQ$1001,MATCH(ROWS($U$2:U796),$U$2:$U$1001,0),MATCH(COLUMNS($AB$1006:AI1006),$AB$1006:$AQ$1006,0)), HYPERLINK("#",""), HYPERLINK(CONCATENATE("#metadata!", ADDRESS(INDEX($W$2:$W$1001,MATCH(ROWS($U$2:U796),$U$2:$U$1001,0),0), INDEX($AB$1004:$AQ$1004,1,MATCH(COLUMNS($AB$1006:AI1006),$AB$1006:$AQ$1006,0)))),"Fix")))</f>
        <v>0</v>
      </c>
      <c r="J796" s="4">
        <f>IF(OR(INDEX($V$2:$V$1001,MATCH(ROWS($U$2:U796),$U$2:$U$1001,0),1)&gt;=100000,INDEX($AB$1005:$AQ$1005,1,MATCH(COLUMNS($AB$1006:AJ1006),$AB$1006:$AQ$1006,0))&gt;=100000), " ",IF(INDEX($AB$2:$AQ$1001,MATCH(ROWS($U$2:U796),$U$2:$U$1001,0),MATCH(COLUMNS($AB$1006:AJ1006),$AB$1006:$AQ$1006,0)), HYPERLINK("#",""), HYPERLINK(CONCATENATE("#metadata!", ADDRESS(INDEX($W$2:$W$1001,MATCH(ROWS($U$2:U796),$U$2:$U$1001,0),0), INDEX($AB$1004:$AQ$1004,1,MATCH(COLUMNS($AB$1006:AJ1006),$AB$1006:$AQ$1006,0)))),"Fix")))</f>
        <v>0</v>
      </c>
      <c r="K796" s="4">
        <f>IF(OR(INDEX($V$2:$V$1001,MATCH(ROWS($U$2:U796),$U$2:$U$1001,0),1)&gt;=100000,INDEX($AB$1005:$AQ$1005,1,MATCH(COLUMNS($AB$1006:AK1006),$AB$1006:$AQ$1006,0))&gt;=100000), " ",IF(INDEX($AB$2:$AQ$1001,MATCH(ROWS($U$2:U796),$U$2:$U$1001,0),MATCH(COLUMNS($AB$1006:AK1006),$AB$1006:$AQ$1006,0)), HYPERLINK("#",""), HYPERLINK(CONCATENATE("#metadata!", ADDRESS(INDEX($W$2:$W$1001,MATCH(ROWS($U$2:U796),$U$2:$U$1001,0),0), INDEX($AB$1004:$AQ$1004,1,MATCH(COLUMNS($AB$1006:AK1006),$AB$1006:$AQ$1006,0)))),"Fix")))</f>
        <v>0</v>
      </c>
      <c r="L796" s="4">
        <f>IF(OR(INDEX($V$2:$V$1001,MATCH(ROWS($U$2:U796),$U$2:$U$1001,0),1)&gt;=100000,INDEX($AB$1005:$AQ$1005,1,MATCH(COLUMNS($AB$1006:AL1006),$AB$1006:$AQ$1006,0))&gt;=100000), " ",IF(INDEX($AB$2:$AQ$1001,MATCH(ROWS($U$2:U796),$U$2:$U$1001,0),MATCH(COLUMNS($AB$1006:AL1006),$AB$1006:$AQ$1006,0)), HYPERLINK("#",""), HYPERLINK(CONCATENATE("#metadata!", ADDRESS(INDEX($W$2:$W$1001,MATCH(ROWS($U$2:U796),$U$2:$U$1001,0),0), INDEX($AB$1004:$AQ$1004,1,MATCH(COLUMNS($AB$1006:AL1006),$AB$1006:$AQ$1006,0)))),"Fix")))</f>
        <v>0</v>
      </c>
      <c r="M796" s="4">
        <f>IF(OR(INDEX($V$2:$V$1001,MATCH(ROWS($U$2:U796),$U$2:$U$1001,0),1)&gt;=100000,INDEX($AB$1005:$AQ$1005,1,MATCH(COLUMNS($AB$1006:AM1006),$AB$1006:$AQ$1006,0))&gt;=100000), " ",IF(INDEX($AB$2:$AQ$1001,MATCH(ROWS($U$2:U796),$U$2:$U$1001,0),MATCH(COLUMNS($AB$1006:AM1006),$AB$1006:$AQ$1006,0)), HYPERLINK("#",""), HYPERLINK(CONCATENATE("#metadata!", ADDRESS(INDEX($W$2:$W$1001,MATCH(ROWS($U$2:U796),$U$2:$U$1001,0),0), INDEX($AB$1004:$AQ$1004,1,MATCH(COLUMNS($AB$1006:AM1006),$AB$1006:$AQ$1006,0)))),"Fix")))</f>
        <v>0</v>
      </c>
      <c r="N796" s="4">
        <f>IF(OR(INDEX($V$2:$V$1001,MATCH(ROWS($U$2:U796),$U$2:$U$1001,0),1)&gt;=100000,INDEX($AB$1005:$AQ$1005,1,MATCH(COLUMNS($AB$1006:AN1006),$AB$1006:$AQ$1006,0))&gt;=100000), " ",IF(INDEX($AB$2:$AQ$1001,MATCH(ROWS($U$2:U796),$U$2:$U$1001,0),MATCH(COLUMNS($AB$1006:AN1006),$AB$1006:$AQ$1006,0)), HYPERLINK("#",""), HYPERLINK(CONCATENATE("#metadata!", ADDRESS(INDEX($W$2:$W$1001,MATCH(ROWS($U$2:U796),$U$2:$U$1001,0),0), INDEX($AB$1004:$AQ$1004,1,MATCH(COLUMNS($AB$1006:AN1006),$AB$1006:$AQ$1006,0)))),"Fix")))</f>
        <v>0</v>
      </c>
      <c r="O796" s="4">
        <f>IF(OR(INDEX($V$2:$V$1001,MATCH(ROWS($U$2:U796),$U$2:$U$1001,0),1)&gt;=100000,INDEX($AB$1005:$AQ$1005,1,MATCH(COLUMNS($AB$1006:AO1006),$AB$1006:$AQ$1006,0))&gt;=100000), " ",IF(INDEX($AB$2:$AQ$1001,MATCH(ROWS($U$2:U796),$U$2:$U$1001,0),MATCH(COLUMNS($AB$1006:AO1006),$AB$1006:$AQ$1006,0)), HYPERLINK("#",""), HYPERLINK(CONCATENATE("#metadata!", ADDRESS(INDEX($W$2:$W$1001,MATCH(ROWS($U$2:U796),$U$2:$U$1001,0),0), INDEX($AB$1004:$AQ$1004,1,MATCH(COLUMNS($AB$1006:AO1006),$AB$1006:$AQ$1006,0)))),"Fix")))</f>
        <v>0</v>
      </c>
      <c r="P796" s="4">
        <f>IF(OR(INDEX($V$2:$V$1001,MATCH(ROWS($U$2:U796),$U$2:$U$1001,0),1)&gt;=100000,INDEX($AB$1005:$AQ$1005,1,MATCH(COLUMNS($AB$1006:AP1006),$AB$1006:$AQ$1006,0))&gt;=100000), " ",IF(INDEX($AB$2:$AQ$1001,MATCH(ROWS($U$2:U796),$U$2:$U$1001,0),MATCH(COLUMNS($AB$1006:AP1006),$AB$1006:$AQ$1006,0)), HYPERLINK("#",""), HYPERLINK(CONCATENATE("#metadata!", ADDRESS(INDEX($W$2:$W$1001,MATCH(ROWS($U$2:U796),$U$2:$U$1001,0),0), INDEX($AB$1004:$AQ$1004,1,MATCH(COLUMNS($AB$1006:AP1006),$AB$1006:$AQ$1006,0)))),"Fix")))</f>
        <v>0</v>
      </c>
      <c r="Q796" s="4">
        <f>IF(OR(INDEX($V$2:$V$1001,MATCH(ROWS($U$2:U796),$U$2:$U$1001,0),1)&gt;=100000,INDEX($AB$1005:$AQ$1005,1,MATCH(COLUMNS($AB$1006:AQ1006),$AB$1006:$AQ$1006,0))&gt;=100000), " ",IF(INDEX($AB$2:$AQ$1001,MATCH(ROWS($U$2:U796),$U$2:$U$1001,0),MATCH(COLUMNS($AB$1006:AQ1006),$AB$1006:$AQ$1006,0)), HYPERLINK("#",""), HYPERLINK(CONCATENATE("#metadata!", ADDRESS(INDEX($W$2:$W$1001,MATCH(ROWS($U$2:U796),$U$2:$U$1001,0),0), INDEX($AB$1004:$AQ$1004,1,MATCH(COLUMNS($AB$1006:AQ1006),$AB$1006:$AQ$1006,0)))),"Fix")))</f>
        <v>0</v>
      </c>
      <c r="U796">
        <v>0</v>
      </c>
      <c r="V796">
        <v>0</v>
      </c>
      <c r="W796">
        <v>0</v>
      </c>
      <c r="X796">
        <f>IF(Y796,TRUE,AND(AB796:AQ796))</f>
        <v>0</v>
      </c>
      <c r="Y796">
        <f>COUNTBLANK(metadata!B796:Q796)=COLUMNS(metadata!B796:Q796)</f>
        <v>0</v>
      </c>
      <c r="Z796">
        <v>0</v>
      </c>
      <c r="AB796">
        <f>AND(IF(metadata!B796="",FALSE,TRUE),COUNTIF(metadata!B:B, metadata!B796) = 1,NOT(ISERROR(SUMPRODUCT(SEARCH(MID(metadata!B796,ROW(INDIRECT("1:"&amp;LEN(metadata!B796))), 1),"0123456789abcdefghijklmnopqrstuvwxyzABCDEFGHIJKLMNOPQRSTUVWXYZ.")))))</f>
        <v>0</v>
      </c>
      <c r="AC796">
        <f>OR(AND(IF(metadata!C796="",FALSE,TRUE),OR(exact(metadata!C796,"missing: not collected"),exact(metadata!C796,"missing: not provided"),exact(metadata!C796,"missing: restricted access"))),AND(IF(metadata!C796="",FALSE,TRUE),AND(AND(IFERROR(INT(LEFT(metadata!C796,4))&gt;1900,FALSE),IFERROR(INT(LEFT(metadata!C796,4))&lt;=YEAR(NOW()),FALSE)), OR(MID(metadata!C796,5,1)="", AND(AND(MID(metadata!C796,5,1)="-",IFERROR(INT(MID(metadata!C796,6,1))&gt;=0,FALSE),IFERROR(INT(MID(metadata!C796,6,1))&lt;=1,FALSE),NOT(MID(metadata!C796,7,1)=""),IFERROR(INT(MID(metadata!C796,6,2))&gt;=1,FALSE),IFERROR(INT(MID(metadata!C796,6,2))&lt;=12,FALSE)), OR(MID(metadata!C796,8,1)="", AND(AND(MID(metadata!C796,8,1)="-",IFERROR(INT(MID(metadata!C796,9,1))&gt;=0,FALSE),IFERROR(INT(MID(metadata!C796,9,1))&lt;=3,FALSE),NOT(MID(metadata!C796,10,1)=""),IFERROR(INT(MID(metadata!C796,9,2))&gt;=1,FALSE),IFERROR(INT(MID(metadata!C796,9,2))&lt;=31,FALSE)), OR(MID(metadata!C796,11,1)="", AND(AND(MID(metadata!C796,11,1)=" ",IFERROR(INT(MID(metadata!C796,12,1))&gt;=0,FALSE),IFERROR(INT(MID(metadata!C796,12,1))&lt;=2,FALSE),NOT(MID(metadata!C796,13,1)=""),IFERROR(INT(MID(metadata!C796,12,2))&gt;=0,FALSE),IFERROR(INT(MID(metadata!C796,12,2))&lt;=23,FALSE)), OR(MID(metadata!C796,14,1)="", AND(AND(MID(metadata!C796,14,1)=":",IFERROR(INT(MID(metadata!C796,15,1))&gt;=0,FALSE),IFERROR(INT(MID(metadata!C796,15,1))&lt;=5,FALSE),NOT(MID(metadata!C796,16,1)=""),IFERROR(INT(MID(metadata!C796,15,2))&gt;=0,FALSE),IFERROR(INT(MID(metadata!C796,15,2))&lt;=59,FALSE)), OR(MID(metadata!C796,17,1)="", AND(AND(MID(metadata!C796,17,1)=":",IFERROR(INT(MID(metadata!C796,18,1))&gt;=0,FALSE),IFERROR(INT(MID(metadata!C796,18,1))&lt;=5,FALSE),NOT(MID(metadata!C796,19,1)=""),IFERROR(INT(MID(metadata!C796,18,2))&gt;=0,FALSE),IFERROR(INT(MID(metadata!C796,18,2))&lt;=59,FALSE)), LEN(metadata!C796)&lt;=19)))))))))))))</f>
        <v>0</v>
      </c>
      <c r="AD796">
        <f>IF(metadata!D796="",FALSE,TRUE)</f>
        <v>0</v>
      </c>
      <c r="AE796">
        <f>OR(AND(IF(metadata!E796="",FALSE,TRUE),OR(exact(metadata!E796,"missing: not collected"),exact(metadata!E796,"missing: not provided"))),AND(IF(metadata!E796="",FALSE,TRUE),OR(exact(metadata!E796,"TRUE"),exact(metadata!E796,"FALSE"))))</f>
        <v>0</v>
      </c>
      <c r="AF796">
        <f>IF(metadata!F796="",FALSE,TRUE)</f>
        <v>0</v>
      </c>
      <c r="AG796">
        <f>IF(metadata!G796="",FALSE,TRUE)</f>
        <v>0</v>
      </c>
      <c r="AH796">
        <f>IF(metadata!H796="",FALSE,TRUE)</f>
        <v>0</v>
      </c>
      <c r="AI796">
        <f>OR(AND(IF(metadata!I796="",FALSE,TRUE),OR(exact(metadata!I796,"missing: not collected"),exact(metadata!I796,"missing: not provided"),exact(metadata!I796,"missing: restricted access"))),AND(IF(metadata!I796="",FALSE,TRUE),OR(exact(metadata!I796,"air"),exact(metadata!I796,"built environment"),exact(metadata!I796,"host-associated"),exact(metadata!I796,"human-associated"),exact(metadata!I796,"human-skin"),exact(metadata!I796,"human-oral"),exact(metadata!I796,"human-gut"),exact(metadata!I796,"human-vaginal"),exact(metadata!I796,"microbial mat/biofilm"),exact(metadata!I796,"misc environment"),exact(metadata!I796,"plant-associated"),exact(metadata!I796,"sediment"),exact(metadata!I796,"soil"),exact(metadata!I796,"wastewater/sludge"),exact(metadata!I796,"water"))))</f>
        <v>0</v>
      </c>
      <c r="AJ796">
        <f>IF(metadata!J796="",FALSE,TRUE)</f>
        <v>0</v>
      </c>
      <c r="AK796">
        <f>OR(AND(IF(metadata!K796="",FALSE,TRUE),OR(exact(metadata!K796,"missing: not collected"),exact(metadata!K796,"missing: not provided"),exact(metadata!K796,"missing: restricted access"))),AND(IF(metadata!K796="",FALSE,ISNUMBER(VALUE(metadata!K796))),metadata!K796&gt;=-90.00,metadata!K796&lt;=90.00))</f>
        <v>0</v>
      </c>
      <c r="AL796">
        <f>OR(AND(IF(metadata!L796="",FALSE,TRUE),OR(exact(metadata!L796,"missing: not collected"),exact(metadata!L796,"missing: not provided"),exact(metadata!L796,"missing: restricted access"))),AND(IF(metadata!L796="",FALSE,ISNUMBER(VALUE(metadata!L796))),metadata!L796&gt;=-180.00,metadata!L796&lt;=180.00))</f>
        <v>0</v>
      </c>
      <c r="AM796">
        <f>IF(metadata!M796="",FALSE,TRUE)</f>
        <v>0</v>
      </c>
      <c r="AN796">
        <f>OR(AND(IF(metadata!N796="",FALSE,TRUE),OR(exact(metadata!N796,"missing: not collected"),exact(metadata!N796,"missing: not provided"),exact(metadata!N796,"missing: restricted access"))),AND(IF(metadata!N796="",FALSE,TRUE),OR(exact(metadata!N796,"TRUE"),exact(metadata!N796,"FALSE"))))</f>
        <v>0</v>
      </c>
      <c r="AO796">
        <f>IF(metadata!O796="",FALSE,TRUE)</f>
        <v>0</v>
      </c>
      <c r="AP796">
        <f>OR(AND(IF(metadata!P796="",FALSE,TRUE),OR(exact(metadata!P796,"missing: not collected"),exact(metadata!P796,"missing: not provided"))),AND(IF(metadata!P796="",FALSE,IF(ISERROR(INT(metadata!P796)),FALSE,INT(metadata!P796)=metadata!P796)),metadata!P796&gt;0))</f>
        <v>0</v>
      </c>
      <c r="AQ796">
        <f>IF(metadata!Q796="",FALSE,TRUE)</f>
        <v>0</v>
      </c>
    </row>
    <row r="797" spans="1:43">
      <c r="A797" s="5">
        <f>IF(B797=" "," ",HYPERLINK(CONCATENATE("#metadata!",ADDRESS(INDEX($W$2:$W$1001,MATCH(ROWS($U$2:U797),$U$2:$U$1001,0),0),1)),INDEX($Z$2:$Z$1001,MATCH(ROWS($U$2:U797),$U$2:$U$1001,0),0)))</f>
        <v>0</v>
      </c>
      <c r="B797" s="4">
        <f>IF(OR(INDEX($V$2:$V$1001,MATCH(ROWS($U$2:U797),$U$2:$U$1001,0),1)&gt;=100000,INDEX($AB$1005:$AQ$1005,1,MATCH(COLUMNS($AB$1006:AB1006),$AB$1006:$AQ$1006,0))&gt;=100000), " ",IF(INDEX($AB$2:$AQ$1001,MATCH(ROWS($U$2:U797),$U$2:$U$1001,0),MATCH(COLUMNS($AB$1006:AB1006),$AB$1006:$AQ$1006,0)), HYPERLINK("#",""), HYPERLINK(CONCATENATE("#metadata!", ADDRESS(INDEX($W$2:$W$1001,MATCH(ROWS($U$2:U797),$U$2:$U$1001,0),0), INDEX($AB$1004:$AQ$1004,1,MATCH(COLUMNS($AB$1006:AB1006),$AB$1006:$AQ$1006,0)))),"Fix")))</f>
        <v>0</v>
      </c>
      <c r="C797" s="4">
        <f>IF(OR(INDEX($V$2:$V$1001,MATCH(ROWS($U$2:U797),$U$2:$U$1001,0),1)&gt;=100000,INDEX($AB$1005:$AQ$1005,1,MATCH(COLUMNS($AB$1006:AC1006),$AB$1006:$AQ$1006,0))&gt;=100000), " ",IF(INDEX($AB$2:$AQ$1001,MATCH(ROWS($U$2:U797),$U$2:$U$1001,0),MATCH(COLUMNS($AB$1006:AC1006),$AB$1006:$AQ$1006,0)), HYPERLINK("#",""), HYPERLINK(CONCATENATE("#metadata!", ADDRESS(INDEX($W$2:$W$1001,MATCH(ROWS($U$2:U797),$U$2:$U$1001,0),0), INDEX($AB$1004:$AQ$1004,1,MATCH(COLUMNS($AB$1006:AC1006),$AB$1006:$AQ$1006,0)))),"Fix")))</f>
        <v>0</v>
      </c>
      <c r="D797" s="4">
        <f>IF(OR(INDEX($V$2:$V$1001,MATCH(ROWS($U$2:U797),$U$2:$U$1001,0),1)&gt;=100000,INDEX($AB$1005:$AQ$1005,1,MATCH(COLUMNS($AB$1006:AD1006),$AB$1006:$AQ$1006,0))&gt;=100000), " ",IF(INDEX($AB$2:$AQ$1001,MATCH(ROWS($U$2:U797),$U$2:$U$1001,0),MATCH(COLUMNS($AB$1006:AD1006),$AB$1006:$AQ$1006,0)), HYPERLINK("#",""), HYPERLINK(CONCATENATE("#metadata!", ADDRESS(INDEX($W$2:$W$1001,MATCH(ROWS($U$2:U797),$U$2:$U$1001,0),0), INDEX($AB$1004:$AQ$1004,1,MATCH(COLUMNS($AB$1006:AD1006),$AB$1006:$AQ$1006,0)))),"Fix")))</f>
        <v>0</v>
      </c>
      <c r="E797" s="4">
        <f>IF(OR(INDEX($V$2:$V$1001,MATCH(ROWS($U$2:U797),$U$2:$U$1001,0),1)&gt;=100000,INDEX($AB$1005:$AQ$1005,1,MATCH(COLUMNS($AB$1006:AE1006),$AB$1006:$AQ$1006,0))&gt;=100000), " ",IF(INDEX($AB$2:$AQ$1001,MATCH(ROWS($U$2:U797),$U$2:$U$1001,0),MATCH(COLUMNS($AB$1006:AE1006),$AB$1006:$AQ$1006,0)), HYPERLINK("#",""), HYPERLINK(CONCATENATE("#metadata!", ADDRESS(INDEX($W$2:$W$1001,MATCH(ROWS($U$2:U797),$U$2:$U$1001,0),0), INDEX($AB$1004:$AQ$1004,1,MATCH(COLUMNS($AB$1006:AE1006),$AB$1006:$AQ$1006,0)))),"Fix")))</f>
        <v>0</v>
      </c>
      <c r="F797" s="4">
        <f>IF(OR(INDEX($V$2:$V$1001,MATCH(ROWS($U$2:U797),$U$2:$U$1001,0),1)&gt;=100000,INDEX($AB$1005:$AQ$1005,1,MATCH(COLUMNS($AB$1006:AF1006),$AB$1006:$AQ$1006,0))&gt;=100000), " ",IF(INDEX($AB$2:$AQ$1001,MATCH(ROWS($U$2:U797),$U$2:$U$1001,0),MATCH(COLUMNS($AB$1006:AF1006),$AB$1006:$AQ$1006,0)), HYPERLINK("#",""), HYPERLINK(CONCATENATE("#metadata!", ADDRESS(INDEX($W$2:$W$1001,MATCH(ROWS($U$2:U797),$U$2:$U$1001,0),0), INDEX($AB$1004:$AQ$1004,1,MATCH(COLUMNS($AB$1006:AF1006),$AB$1006:$AQ$1006,0)))),"Fix")))</f>
        <v>0</v>
      </c>
      <c r="G797" s="4">
        <f>IF(OR(INDEX($V$2:$V$1001,MATCH(ROWS($U$2:U797),$U$2:$U$1001,0),1)&gt;=100000,INDEX($AB$1005:$AQ$1005,1,MATCH(COLUMNS($AB$1006:AG1006),$AB$1006:$AQ$1006,0))&gt;=100000), " ",IF(INDEX($AB$2:$AQ$1001,MATCH(ROWS($U$2:U797),$U$2:$U$1001,0),MATCH(COLUMNS($AB$1006:AG1006),$AB$1006:$AQ$1006,0)), HYPERLINK("#",""), HYPERLINK(CONCATENATE("#metadata!", ADDRESS(INDEX($W$2:$W$1001,MATCH(ROWS($U$2:U797),$U$2:$U$1001,0),0), INDEX($AB$1004:$AQ$1004,1,MATCH(COLUMNS($AB$1006:AG1006),$AB$1006:$AQ$1006,0)))),"Fix")))</f>
        <v>0</v>
      </c>
      <c r="H797" s="4">
        <f>IF(OR(INDEX($V$2:$V$1001,MATCH(ROWS($U$2:U797),$U$2:$U$1001,0),1)&gt;=100000,INDEX($AB$1005:$AQ$1005,1,MATCH(COLUMNS($AB$1006:AH1006),$AB$1006:$AQ$1006,0))&gt;=100000), " ",IF(INDEX($AB$2:$AQ$1001,MATCH(ROWS($U$2:U797),$U$2:$U$1001,0),MATCH(COLUMNS($AB$1006:AH1006),$AB$1006:$AQ$1006,0)), HYPERLINK("#",""), HYPERLINK(CONCATENATE("#metadata!", ADDRESS(INDEX($W$2:$W$1001,MATCH(ROWS($U$2:U797),$U$2:$U$1001,0),0), INDEX($AB$1004:$AQ$1004,1,MATCH(COLUMNS($AB$1006:AH1006),$AB$1006:$AQ$1006,0)))),"Fix")))</f>
        <v>0</v>
      </c>
      <c r="I797" s="4">
        <f>IF(OR(INDEX($V$2:$V$1001,MATCH(ROWS($U$2:U797),$U$2:$U$1001,0),1)&gt;=100000,INDEX($AB$1005:$AQ$1005,1,MATCH(COLUMNS($AB$1006:AI1006),$AB$1006:$AQ$1006,0))&gt;=100000), " ",IF(INDEX($AB$2:$AQ$1001,MATCH(ROWS($U$2:U797),$U$2:$U$1001,0),MATCH(COLUMNS($AB$1006:AI1006),$AB$1006:$AQ$1006,0)), HYPERLINK("#",""), HYPERLINK(CONCATENATE("#metadata!", ADDRESS(INDEX($W$2:$W$1001,MATCH(ROWS($U$2:U797),$U$2:$U$1001,0),0), INDEX($AB$1004:$AQ$1004,1,MATCH(COLUMNS($AB$1006:AI1006),$AB$1006:$AQ$1006,0)))),"Fix")))</f>
        <v>0</v>
      </c>
      <c r="J797" s="4">
        <f>IF(OR(INDEX($V$2:$V$1001,MATCH(ROWS($U$2:U797),$U$2:$U$1001,0),1)&gt;=100000,INDEX($AB$1005:$AQ$1005,1,MATCH(COLUMNS($AB$1006:AJ1006),$AB$1006:$AQ$1006,0))&gt;=100000), " ",IF(INDEX($AB$2:$AQ$1001,MATCH(ROWS($U$2:U797),$U$2:$U$1001,0),MATCH(COLUMNS($AB$1006:AJ1006),$AB$1006:$AQ$1006,0)), HYPERLINK("#",""), HYPERLINK(CONCATENATE("#metadata!", ADDRESS(INDEX($W$2:$W$1001,MATCH(ROWS($U$2:U797),$U$2:$U$1001,0),0), INDEX($AB$1004:$AQ$1004,1,MATCH(COLUMNS($AB$1006:AJ1006),$AB$1006:$AQ$1006,0)))),"Fix")))</f>
        <v>0</v>
      </c>
      <c r="K797" s="4">
        <f>IF(OR(INDEX($V$2:$V$1001,MATCH(ROWS($U$2:U797),$U$2:$U$1001,0),1)&gt;=100000,INDEX($AB$1005:$AQ$1005,1,MATCH(COLUMNS($AB$1006:AK1006),$AB$1006:$AQ$1006,0))&gt;=100000), " ",IF(INDEX($AB$2:$AQ$1001,MATCH(ROWS($U$2:U797),$U$2:$U$1001,0),MATCH(COLUMNS($AB$1006:AK1006),$AB$1006:$AQ$1006,0)), HYPERLINK("#",""), HYPERLINK(CONCATENATE("#metadata!", ADDRESS(INDEX($W$2:$W$1001,MATCH(ROWS($U$2:U797),$U$2:$U$1001,0),0), INDEX($AB$1004:$AQ$1004,1,MATCH(COLUMNS($AB$1006:AK1006),$AB$1006:$AQ$1006,0)))),"Fix")))</f>
        <v>0</v>
      </c>
      <c r="L797" s="4">
        <f>IF(OR(INDEX($V$2:$V$1001,MATCH(ROWS($U$2:U797),$U$2:$U$1001,0),1)&gt;=100000,INDEX($AB$1005:$AQ$1005,1,MATCH(COLUMNS($AB$1006:AL1006),$AB$1006:$AQ$1006,0))&gt;=100000), " ",IF(INDEX($AB$2:$AQ$1001,MATCH(ROWS($U$2:U797),$U$2:$U$1001,0),MATCH(COLUMNS($AB$1006:AL1006),$AB$1006:$AQ$1006,0)), HYPERLINK("#",""), HYPERLINK(CONCATENATE("#metadata!", ADDRESS(INDEX($W$2:$W$1001,MATCH(ROWS($U$2:U797),$U$2:$U$1001,0),0), INDEX($AB$1004:$AQ$1004,1,MATCH(COLUMNS($AB$1006:AL1006),$AB$1006:$AQ$1006,0)))),"Fix")))</f>
        <v>0</v>
      </c>
      <c r="M797" s="4">
        <f>IF(OR(INDEX($V$2:$V$1001,MATCH(ROWS($U$2:U797),$U$2:$U$1001,0),1)&gt;=100000,INDEX($AB$1005:$AQ$1005,1,MATCH(COLUMNS($AB$1006:AM1006),$AB$1006:$AQ$1006,0))&gt;=100000), " ",IF(INDEX($AB$2:$AQ$1001,MATCH(ROWS($U$2:U797),$U$2:$U$1001,0),MATCH(COLUMNS($AB$1006:AM1006),$AB$1006:$AQ$1006,0)), HYPERLINK("#",""), HYPERLINK(CONCATENATE("#metadata!", ADDRESS(INDEX($W$2:$W$1001,MATCH(ROWS($U$2:U797),$U$2:$U$1001,0),0), INDEX($AB$1004:$AQ$1004,1,MATCH(COLUMNS($AB$1006:AM1006),$AB$1006:$AQ$1006,0)))),"Fix")))</f>
        <v>0</v>
      </c>
      <c r="N797" s="4">
        <f>IF(OR(INDEX($V$2:$V$1001,MATCH(ROWS($U$2:U797),$U$2:$U$1001,0),1)&gt;=100000,INDEX($AB$1005:$AQ$1005,1,MATCH(COLUMNS($AB$1006:AN1006),$AB$1006:$AQ$1006,0))&gt;=100000), " ",IF(INDEX($AB$2:$AQ$1001,MATCH(ROWS($U$2:U797),$U$2:$U$1001,0),MATCH(COLUMNS($AB$1006:AN1006),$AB$1006:$AQ$1006,0)), HYPERLINK("#",""), HYPERLINK(CONCATENATE("#metadata!", ADDRESS(INDEX($W$2:$W$1001,MATCH(ROWS($U$2:U797),$U$2:$U$1001,0),0), INDEX($AB$1004:$AQ$1004,1,MATCH(COLUMNS($AB$1006:AN1006),$AB$1006:$AQ$1006,0)))),"Fix")))</f>
        <v>0</v>
      </c>
      <c r="O797" s="4">
        <f>IF(OR(INDEX($V$2:$V$1001,MATCH(ROWS($U$2:U797),$U$2:$U$1001,0),1)&gt;=100000,INDEX($AB$1005:$AQ$1005,1,MATCH(COLUMNS($AB$1006:AO1006),$AB$1006:$AQ$1006,0))&gt;=100000), " ",IF(INDEX($AB$2:$AQ$1001,MATCH(ROWS($U$2:U797),$U$2:$U$1001,0),MATCH(COLUMNS($AB$1006:AO1006),$AB$1006:$AQ$1006,0)), HYPERLINK("#",""), HYPERLINK(CONCATENATE("#metadata!", ADDRESS(INDEX($W$2:$W$1001,MATCH(ROWS($U$2:U797),$U$2:$U$1001,0),0), INDEX($AB$1004:$AQ$1004,1,MATCH(COLUMNS($AB$1006:AO1006),$AB$1006:$AQ$1006,0)))),"Fix")))</f>
        <v>0</v>
      </c>
      <c r="P797" s="4">
        <f>IF(OR(INDEX($V$2:$V$1001,MATCH(ROWS($U$2:U797),$U$2:$U$1001,0),1)&gt;=100000,INDEX($AB$1005:$AQ$1005,1,MATCH(COLUMNS($AB$1006:AP1006),$AB$1006:$AQ$1006,0))&gt;=100000), " ",IF(INDEX($AB$2:$AQ$1001,MATCH(ROWS($U$2:U797),$U$2:$U$1001,0),MATCH(COLUMNS($AB$1006:AP1006),$AB$1006:$AQ$1006,0)), HYPERLINK("#",""), HYPERLINK(CONCATENATE("#metadata!", ADDRESS(INDEX($W$2:$W$1001,MATCH(ROWS($U$2:U797),$U$2:$U$1001,0),0), INDEX($AB$1004:$AQ$1004,1,MATCH(COLUMNS($AB$1006:AP1006),$AB$1006:$AQ$1006,0)))),"Fix")))</f>
        <v>0</v>
      </c>
      <c r="Q797" s="4">
        <f>IF(OR(INDEX($V$2:$V$1001,MATCH(ROWS($U$2:U797),$U$2:$U$1001,0),1)&gt;=100000,INDEX($AB$1005:$AQ$1005,1,MATCH(COLUMNS($AB$1006:AQ1006),$AB$1006:$AQ$1006,0))&gt;=100000), " ",IF(INDEX($AB$2:$AQ$1001,MATCH(ROWS($U$2:U797),$U$2:$U$1001,0),MATCH(COLUMNS($AB$1006:AQ1006),$AB$1006:$AQ$1006,0)), HYPERLINK("#",""), HYPERLINK(CONCATENATE("#metadata!", ADDRESS(INDEX($W$2:$W$1001,MATCH(ROWS($U$2:U797),$U$2:$U$1001,0),0), INDEX($AB$1004:$AQ$1004,1,MATCH(COLUMNS($AB$1006:AQ1006),$AB$1006:$AQ$1006,0)))),"Fix")))</f>
        <v>0</v>
      </c>
      <c r="U797">
        <v>0</v>
      </c>
      <c r="V797">
        <v>0</v>
      </c>
      <c r="W797">
        <v>0</v>
      </c>
      <c r="X797">
        <f>IF(Y797,TRUE,AND(AB797:AQ797))</f>
        <v>0</v>
      </c>
      <c r="Y797">
        <f>COUNTBLANK(metadata!B797:Q797)=COLUMNS(metadata!B797:Q797)</f>
        <v>0</v>
      </c>
      <c r="Z797">
        <v>0</v>
      </c>
      <c r="AB797">
        <f>AND(IF(metadata!B797="",FALSE,TRUE),COUNTIF(metadata!B:B, metadata!B797) = 1,NOT(ISERROR(SUMPRODUCT(SEARCH(MID(metadata!B797,ROW(INDIRECT("1:"&amp;LEN(metadata!B797))), 1),"0123456789abcdefghijklmnopqrstuvwxyzABCDEFGHIJKLMNOPQRSTUVWXYZ.")))))</f>
        <v>0</v>
      </c>
      <c r="AC797">
        <f>OR(AND(IF(metadata!C797="",FALSE,TRUE),OR(exact(metadata!C797,"missing: not collected"),exact(metadata!C797,"missing: not provided"),exact(metadata!C797,"missing: restricted access"))),AND(IF(metadata!C797="",FALSE,TRUE),AND(AND(IFERROR(INT(LEFT(metadata!C797,4))&gt;1900,FALSE),IFERROR(INT(LEFT(metadata!C797,4))&lt;=YEAR(NOW()),FALSE)), OR(MID(metadata!C797,5,1)="", AND(AND(MID(metadata!C797,5,1)="-",IFERROR(INT(MID(metadata!C797,6,1))&gt;=0,FALSE),IFERROR(INT(MID(metadata!C797,6,1))&lt;=1,FALSE),NOT(MID(metadata!C797,7,1)=""),IFERROR(INT(MID(metadata!C797,6,2))&gt;=1,FALSE),IFERROR(INT(MID(metadata!C797,6,2))&lt;=12,FALSE)), OR(MID(metadata!C797,8,1)="", AND(AND(MID(metadata!C797,8,1)="-",IFERROR(INT(MID(metadata!C797,9,1))&gt;=0,FALSE),IFERROR(INT(MID(metadata!C797,9,1))&lt;=3,FALSE),NOT(MID(metadata!C797,10,1)=""),IFERROR(INT(MID(metadata!C797,9,2))&gt;=1,FALSE),IFERROR(INT(MID(metadata!C797,9,2))&lt;=31,FALSE)), OR(MID(metadata!C797,11,1)="", AND(AND(MID(metadata!C797,11,1)=" ",IFERROR(INT(MID(metadata!C797,12,1))&gt;=0,FALSE),IFERROR(INT(MID(metadata!C797,12,1))&lt;=2,FALSE),NOT(MID(metadata!C797,13,1)=""),IFERROR(INT(MID(metadata!C797,12,2))&gt;=0,FALSE),IFERROR(INT(MID(metadata!C797,12,2))&lt;=23,FALSE)), OR(MID(metadata!C797,14,1)="", AND(AND(MID(metadata!C797,14,1)=":",IFERROR(INT(MID(metadata!C797,15,1))&gt;=0,FALSE),IFERROR(INT(MID(metadata!C797,15,1))&lt;=5,FALSE),NOT(MID(metadata!C797,16,1)=""),IFERROR(INT(MID(metadata!C797,15,2))&gt;=0,FALSE),IFERROR(INT(MID(metadata!C797,15,2))&lt;=59,FALSE)), OR(MID(metadata!C797,17,1)="", AND(AND(MID(metadata!C797,17,1)=":",IFERROR(INT(MID(metadata!C797,18,1))&gt;=0,FALSE),IFERROR(INT(MID(metadata!C797,18,1))&lt;=5,FALSE),NOT(MID(metadata!C797,19,1)=""),IFERROR(INT(MID(metadata!C797,18,2))&gt;=0,FALSE),IFERROR(INT(MID(metadata!C797,18,2))&lt;=59,FALSE)), LEN(metadata!C797)&lt;=19)))))))))))))</f>
        <v>0</v>
      </c>
      <c r="AD797">
        <f>IF(metadata!D797="",FALSE,TRUE)</f>
        <v>0</v>
      </c>
      <c r="AE797">
        <f>OR(AND(IF(metadata!E797="",FALSE,TRUE),OR(exact(metadata!E797,"missing: not collected"),exact(metadata!E797,"missing: not provided"))),AND(IF(metadata!E797="",FALSE,TRUE),OR(exact(metadata!E797,"TRUE"),exact(metadata!E797,"FALSE"))))</f>
        <v>0</v>
      </c>
      <c r="AF797">
        <f>IF(metadata!F797="",FALSE,TRUE)</f>
        <v>0</v>
      </c>
      <c r="AG797">
        <f>IF(metadata!G797="",FALSE,TRUE)</f>
        <v>0</v>
      </c>
      <c r="AH797">
        <f>IF(metadata!H797="",FALSE,TRUE)</f>
        <v>0</v>
      </c>
      <c r="AI797">
        <f>OR(AND(IF(metadata!I797="",FALSE,TRUE),OR(exact(metadata!I797,"missing: not collected"),exact(metadata!I797,"missing: not provided"),exact(metadata!I797,"missing: restricted access"))),AND(IF(metadata!I797="",FALSE,TRUE),OR(exact(metadata!I797,"air"),exact(metadata!I797,"built environment"),exact(metadata!I797,"host-associated"),exact(metadata!I797,"human-associated"),exact(metadata!I797,"human-skin"),exact(metadata!I797,"human-oral"),exact(metadata!I797,"human-gut"),exact(metadata!I797,"human-vaginal"),exact(metadata!I797,"microbial mat/biofilm"),exact(metadata!I797,"misc environment"),exact(metadata!I797,"plant-associated"),exact(metadata!I797,"sediment"),exact(metadata!I797,"soil"),exact(metadata!I797,"wastewater/sludge"),exact(metadata!I797,"water"))))</f>
        <v>0</v>
      </c>
      <c r="AJ797">
        <f>IF(metadata!J797="",FALSE,TRUE)</f>
        <v>0</v>
      </c>
      <c r="AK797">
        <f>OR(AND(IF(metadata!K797="",FALSE,TRUE),OR(exact(metadata!K797,"missing: not collected"),exact(metadata!K797,"missing: not provided"),exact(metadata!K797,"missing: restricted access"))),AND(IF(metadata!K797="",FALSE,ISNUMBER(VALUE(metadata!K797))),metadata!K797&gt;=-90.00,metadata!K797&lt;=90.00))</f>
        <v>0</v>
      </c>
      <c r="AL797">
        <f>OR(AND(IF(metadata!L797="",FALSE,TRUE),OR(exact(metadata!L797,"missing: not collected"),exact(metadata!L797,"missing: not provided"),exact(metadata!L797,"missing: restricted access"))),AND(IF(metadata!L797="",FALSE,ISNUMBER(VALUE(metadata!L797))),metadata!L797&gt;=-180.00,metadata!L797&lt;=180.00))</f>
        <v>0</v>
      </c>
      <c r="AM797">
        <f>IF(metadata!M797="",FALSE,TRUE)</f>
        <v>0</v>
      </c>
      <c r="AN797">
        <f>OR(AND(IF(metadata!N797="",FALSE,TRUE),OR(exact(metadata!N797,"missing: not collected"),exact(metadata!N797,"missing: not provided"),exact(metadata!N797,"missing: restricted access"))),AND(IF(metadata!N797="",FALSE,TRUE),OR(exact(metadata!N797,"TRUE"),exact(metadata!N797,"FALSE"))))</f>
        <v>0</v>
      </c>
      <c r="AO797">
        <f>IF(metadata!O797="",FALSE,TRUE)</f>
        <v>0</v>
      </c>
      <c r="AP797">
        <f>OR(AND(IF(metadata!P797="",FALSE,TRUE),OR(exact(metadata!P797,"missing: not collected"),exact(metadata!P797,"missing: not provided"))),AND(IF(metadata!P797="",FALSE,IF(ISERROR(INT(metadata!P797)),FALSE,INT(metadata!P797)=metadata!P797)),metadata!P797&gt;0))</f>
        <v>0</v>
      </c>
      <c r="AQ797">
        <f>IF(metadata!Q797="",FALSE,TRUE)</f>
        <v>0</v>
      </c>
    </row>
    <row r="798" spans="1:43">
      <c r="A798" s="5">
        <f>IF(B798=" "," ",HYPERLINK(CONCATENATE("#metadata!",ADDRESS(INDEX($W$2:$W$1001,MATCH(ROWS($U$2:U798),$U$2:$U$1001,0),0),1)),INDEX($Z$2:$Z$1001,MATCH(ROWS($U$2:U798),$U$2:$U$1001,0),0)))</f>
        <v>0</v>
      </c>
      <c r="B798" s="4">
        <f>IF(OR(INDEX($V$2:$V$1001,MATCH(ROWS($U$2:U798),$U$2:$U$1001,0),1)&gt;=100000,INDEX($AB$1005:$AQ$1005,1,MATCH(COLUMNS($AB$1006:AB1006),$AB$1006:$AQ$1006,0))&gt;=100000), " ",IF(INDEX($AB$2:$AQ$1001,MATCH(ROWS($U$2:U798),$U$2:$U$1001,0),MATCH(COLUMNS($AB$1006:AB1006),$AB$1006:$AQ$1006,0)), HYPERLINK("#",""), HYPERLINK(CONCATENATE("#metadata!", ADDRESS(INDEX($W$2:$W$1001,MATCH(ROWS($U$2:U798),$U$2:$U$1001,0),0), INDEX($AB$1004:$AQ$1004,1,MATCH(COLUMNS($AB$1006:AB1006),$AB$1006:$AQ$1006,0)))),"Fix")))</f>
        <v>0</v>
      </c>
      <c r="C798" s="4">
        <f>IF(OR(INDEX($V$2:$V$1001,MATCH(ROWS($U$2:U798),$U$2:$U$1001,0),1)&gt;=100000,INDEX($AB$1005:$AQ$1005,1,MATCH(COLUMNS($AB$1006:AC1006),$AB$1006:$AQ$1006,0))&gt;=100000), " ",IF(INDEX($AB$2:$AQ$1001,MATCH(ROWS($U$2:U798),$U$2:$U$1001,0),MATCH(COLUMNS($AB$1006:AC1006),$AB$1006:$AQ$1006,0)), HYPERLINK("#",""), HYPERLINK(CONCATENATE("#metadata!", ADDRESS(INDEX($W$2:$W$1001,MATCH(ROWS($U$2:U798),$U$2:$U$1001,0),0), INDEX($AB$1004:$AQ$1004,1,MATCH(COLUMNS($AB$1006:AC1006),$AB$1006:$AQ$1006,0)))),"Fix")))</f>
        <v>0</v>
      </c>
      <c r="D798" s="4">
        <f>IF(OR(INDEX($V$2:$V$1001,MATCH(ROWS($U$2:U798),$U$2:$U$1001,0),1)&gt;=100000,INDEX($AB$1005:$AQ$1005,1,MATCH(COLUMNS($AB$1006:AD1006),$AB$1006:$AQ$1006,0))&gt;=100000), " ",IF(INDEX($AB$2:$AQ$1001,MATCH(ROWS($U$2:U798),$U$2:$U$1001,0),MATCH(COLUMNS($AB$1006:AD1006),$AB$1006:$AQ$1006,0)), HYPERLINK("#",""), HYPERLINK(CONCATENATE("#metadata!", ADDRESS(INDEX($W$2:$W$1001,MATCH(ROWS($U$2:U798),$U$2:$U$1001,0),0), INDEX($AB$1004:$AQ$1004,1,MATCH(COLUMNS($AB$1006:AD1006),$AB$1006:$AQ$1006,0)))),"Fix")))</f>
        <v>0</v>
      </c>
      <c r="E798" s="4">
        <f>IF(OR(INDEX($V$2:$V$1001,MATCH(ROWS($U$2:U798),$U$2:$U$1001,0),1)&gt;=100000,INDEX($AB$1005:$AQ$1005,1,MATCH(COLUMNS($AB$1006:AE1006),$AB$1006:$AQ$1006,0))&gt;=100000), " ",IF(INDEX($AB$2:$AQ$1001,MATCH(ROWS($U$2:U798),$U$2:$U$1001,0),MATCH(COLUMNS($AB$1006:AE1006),$AB$1006:$AQ$1006,0)), HYPERLINK("#",""), HYPERLINK(CONCATENATE("#metadata!", ADDRESS(INDEX($W$2:$W$1001,MATCH(ROWS($U$2:U798),$U$2:$U$1001,0),0), INDEX($AB$1004:$AQ$1004,1,MATCH(COLUMNS($AB$1006:AE1006),$AB$1006:$AQ$1006,0)))),"Fix")))</f>
        <v>0</v>
      </c>
      <c r="F798" s="4">
        <f>IF(OR(INDEX($V$2:$V$1001,MATCH(ROWS($U$2:U798),$U$2:$U$1001,0),1)&gt;=100000,INDEX($AB$1005:$AQ$1005,1,MATCH(COLUMNS($AB$1006:AF1006),$AB$1006:$AQ$1006,0))&gt;=100000), " ",IF(INDEX($AB$2:$AQ$1001,MATCH(ROWS($U$2:U798),$U$2:$U$1001,0),MATCH(COLUMNS($AB$1006:AF1006),$AB$1006:$AQ$1006,0)), HYPERLINK("#",""), HYPERLINK(CONCATENATE("#metadata!", ADDRESS(INDEX($W$2:$W$1001,MATCH(ROWS($U$2:U798),$U$2:$U$1001,0),0), INDEX($AB$1004:$AQ$1004,1,MATCH(COLUMNS($AB$1006:AF1006),$AB$1006:$AQ$1006,0)))),"Fix")))</f>
        <v>0</v>
      </c>
      <c r="G798" s="4">
        <f>IF(OR(INDEX($V$2:$V$1001,MATCH(ROWS($U$2:U798),$U$2:$U$1001,0),1)&gt;=100000,INDEX($AB$1005:$AQ$1005,1,MATCH(COLUMNS($AB$1006:AG1006),$AB$1006:$AQ$1006,0))&gt;=100000), " ",IF(INDEX($AB$2:$AQ$1001,MATCH(ROWS($U$2:U798),$U$2:$U$1001,0),MATCH(COLUMNS($AB$1006:AG1006),$AB$1006:$AQ$1006,0)), HYPERLINK("#",""), HYPERLINK(CONCATENATE("#metadata!", ADDRESS(INDEX($W$2:$W$1001,MATCH(ROWS($U$2:U798),$U$2:$U$1001,0),0), INDEX($AB$1004:$AQ$1004,1,MATCH(COLUMNS($AB$1006:AG1006),$AB$1006:$AQ$1006,0)))),"Fix")))</f>
        <v>0</v>
      </c>
      <c r="H798" s="4">
        <f>IF(OR(INDEX($V$2:$V$1001,MATCH(ROWS($U$2:U798),$U$2:$U$1001,0),1)&gt;=100000,INDEX($AB$1005:$AQ$1005,1,MATCH(COLUMNS($AB$1006:AH1006),$AB$1006:$AQ$1006,0))&gt;=100000), " ",IF(INDEX($AB$2:$AQ$1001,MATCH(ROWS($U$2:U798),$U$2:$U$1001,0),MATCH(COLUMNS($AB$1006:AH1006),$AB$1006:$AQ$1006,0)), HYPERLINK("#",""), HYPERLINK(CONCATENATE("#metadata!", ADDRESS(INDEX($W$2:$W$1001,MATCH(ROWS($U$2:U798),$U$2:$U$1001,0),0), INDEX($AB$1004:$AQ$1004,1,MATCH(COLUMNS($AB$1006:AH1006),$AB$1006:$AQ$1006,0)))),"Fix")))</f>
        <v>0</v>
      </c>
      <c r="I798" s="4">
        <f>IF(OR(INDEX($V$2:$V$1001,MATCH(ROWS($U$2:U798),$U$2:$U$1001,0),1)&gt;=100000,INDEX($AB$1005:$AQ$1005,1,MATCH(COLUMNS($AB$1006:AI1006),$AB$1006:$AQ$1006,0))&gt;=100000), " ",IF(INDEX($AB$2:$AQ$1001,MATCH(ROWS($U$2:U798),$U$2:$U$1001,0),MATCH(COLUMNS($AB$1006:AI1006),$AB$1006:$AQ$1006,0)), HYPERLINK("#",""), HYPERLINK(CONCATENATE("#metadata!", ADDRESS(INDEX($W$2:$W$1001,MATCH(ROWS($U$2:U798),$U$2:$U$1001,0),0), INDEX($AB$1004:$AQ$1004,1,MATCH(COLUMNS($AB$1006:AI1006),$AB$1006:$AQ$1006,0)))),"Fix")))</f>
        <v>0</v>
      </c>
      <c r="J798" s="4">
        <f>IF(OR(INDEX($V$2:$V$1001,MATCH(ROWS($U$2:U798),$U$2:$U$1001,0),1)&gt;=100000,INDEX($AB$1005:$AQ$1005,1,MATCH(COLUMNS($AB$1006:AJ1006),$AB$1006:$AQ$1006,0))&gt;=100000), " ",IF(INDEX($AB$2:$AQ$1001,MATCH(ROWS($U$2:U798),$U$2:$U$1001,0),MATCH(COLUMNS($AB$1006:AJ1006),$AB$1006:$AQ$1006,0)), HYPERLINK("#",""), HYPERLINK(CONCATENATE("#metadata!", ADDRESS(INDEX($W$2:$W$1001,MATCH(ROWS($U$2:U798),$U$2:$U$1001,0),0), INDEX($AB$1004:$AQ$1004,1,MATCH(COLUMNS($AB$1006:AJ1006),$AB$1006:$AQ$1006,0)))),"Fix")))</f>
        <v>0</v>
      </c>
      <c r="K798" s="4">
        <f>IF(OR(INDEX($V$2:$V$1001,MATCH(ROWS($U$2:U798),$U$2:$U$1001,0),1)&gt;=100000,INDEX($AB$1005:$AQ$1005,1,MATCH(COLUMNS($AB$1006:AK1006),$AB$1006:$AQ$1006,0))&gt;=100000), " ",IF(INDEX($AB$2:$AQ$1001,MATCH(ROWS($U$2:U798),$U$2:$U$1001,0),MATCH(COLUMNS($AB$1006:AK1006),$AB$1006:$AQ$1006,0)), HYPERLINK("#",""), HYPERLINK(CONCATENATE("#metadata!", ADDRESS(INDEX($W$2:$W$1001,MATCH(ROWS($U$2:U798),$U$2:$U$1001,0),0), INDEX($AB$1004:$AQ$1004,1,MATCH(COLUMNS($AB$1006:AK1006),$AB$1006:$AQ$1006,0)))),"Fix")))</f>
        <v>0</v>
      </c>
      <c r="L798" s="4">
        <f>IF(OR(INDEX($V$2:$V$1001,MATCH(ROWS($U$2:U798),$U$2:$U$1001,0),1)&gt;=100000,INDEX($AB$1005:$AQ$1005,1,MATCH(COLUMNS($AB$1006:AL1006),$AB$1006:$AQ$1006,0))&gt;=100000), " ",IF(INDEX($AB$2:$AQ$1001,MATCH(ROWS($U$2:U798),$U$2:$U$1001,0),MATCH(COLUMNS($AB$1006:AL1006),$AB$1006:$AQ$1006,0)), HYPERLINK("#",""), HYPERLINK(CONCATENATE("#metadata!", ADDRESS(INDEX($W$2:$W$1001,MATCH(ROWS($U$2:U798),$U$2:$U$1001,0),0), INDEX($AB$1004:$AQ$1004,1,MATCH(COLUMNS($AB$1006:AL1006),$AB$1006:$AQ$1006,0)))),"Fix")))</f>
        <v>0</v>
      </c>
      <c r="M798" s="4">
        <f>IF(OR(INDEX($V$2:$V$1001,MATCH(ROWS($U$2:U798),$U$2:$U$1001,0),1)&gt;=100000,INDEX($AB$1005:$AQ$1005,1,MATCH(COLUMNS($AB$1006:AM1006),$AB$1006:$AQ$1006,0))&gt;=100000), " ",IF(INDEX($AB$2:$AQ$1001,MATCH(ROWS($U$2:U798),$U$2:$U$1001,0),MATCH(COLUMNS($AB$1006:AM1006),$AB$1006:$AQ$1006,0)), HYPERLINK("#",""), HYPERLINK(CONCATENATE("#metadata!", ADDRESS(INDEX($W$2:$W$1001,MATCH(ROWS($U$2:U798),$U$2:$U$1001,0),0), INDEX($AB$1004:$AQ$1004,1,MATCH(COLUMNS($AB$1006:AM1006),$AB$1006:$AQ$1006,0)))),"Fix")))</f>
        <v>0</v>
      </c>
      <c r="N798" s="4">
        <f>IF(OR(INDEX($V$2:$V$1001,MATCH(ROWS($U$2:U798),$U$2:$U$1001,0),1)&gt;=100000,INDEX($AB$1005:$AQ$1005,1,MATCH(COLUMNS($AB$1006:AN1006),$AB$1006:$AQ$1006,0))&gt;=100000), " ",IF(INDEX($AB$2:$AQ$1001,MATCH(ROWS($U$2:U798),$U$2:$U$1001,0),MATCH(COLUMNS($AB$1006:AN1006),$AB$1006:$AQ$1006,0)), HYPERLINK("#",""), HYPERLINK(CONCATENATE("#metadata!", ADDRESS(INDEX($W$2:$W$1001,MATCH(ROWS($U$2:U798),$U$2:$U$1001,0),0), INDEX($AB$1004:$AQ$1004,1,MATCH(COLUMNS($AB$1006:AN1006),$AB$1006:$AQ$1006,0)))),"Fix")))</f>
        <v>0</v>
      </c>
      <c r="O798" s="4">
        <f>IF(OR(INDEX($V$2:$V$1001,MATCH(ROWS($U$2:U798),$U$2:$U$1001,0),1)&gt;=100000,INDEX($AB$1005:$AQ$1005,1,MATCH(COLUMNS($AB$1006:AO1006),$AB$1006:$AQ$1006,0))&gt;=100000), " ",IF(INDEX($AB$2:$AQ$1001,MATCH(ROWS($U$2:U798),$U$2:$U$1001,0),MATCH(COLUMNS($AB$1006:AO1006),$AB$1006:$AQ$1006,0)), HYPERLINK("#",""), HYPERLINK(CONCATENATE("#metadata!", ADDRESS(INDEX($W$2:$W$1001,MATCH(ROWS($U$2:U798),$U$2:$U$1001,0),0), INDEX($AB$1004:$AQ$1004,1,MATCH(COLUMNS($AB$1006:AO1006),$AB$1006:$AQ$1006,0)))),"Fix")))</f>
        <v>0</v>
      </c>
      <c r="P798" s="4">
        <f>IF(OR(INDEX($V$2:$V$1001,MATCH(ROWS($U$2:U798),$U$2:$U$1001,0),1)&gt;=100000,INDEX($AB$1005:$AQ$1005,1,MATCH(COLUMNS($AB$1006:AP1006),$AB$1006:$AQ$1006,0))&gt;=100000), " ",IF(INDEX($AB$2:$AQ$1001,MATCH(ROWS($U$2:U798),$U$2:$U$1001,0),MATCH(COLUMNS($AB$1006:AP1006),$AB$1006:$AQ$1006,0)), HYPERLINK("#",""), HYPERLINK(CONCATENATE("#metadata!", ADDRESS(INDEX($W$2:$W$1001,MATCH(ROWS($U$2:U798),$U$2:$U$1001,0),0), INDEX($AB$1004:$AQ$1004,1,MATCH(COLUMNS($AB$1006:AP1006),$AB$1006:$AQ$1006,0)))),"Fix")))</f>
        <v>0</v>
      </c>
      <c r="Q798" s="4">
        <f>IF(OR(INDEX($V$2:$V$1001,MATCH(ROWS($U$2:U798),$U$2:$U$1001,0),1)&gt;=100000,INDEX($AB$1005:$AQ$1005,1,MATCH(COLUMNS($AB$1006:AQ1006),$AB$1006:$AQ$1006,0))&gt;=100000), " ",IF(INDEX($AB$2:$AQ$1001,MATCH(ROWS($U$2:U798),$U$2:$U$1001,0),MATCH(COLUMNS($AB$1006:AQ1006),$AB$1006:$AQ$1006,0)), HYPERLINK("#",""), HYPERLINK(CONCATENATE("#metadata!", ADDRESS(INDEX($W$2:$W$1001,MATCH(ROWS($U$2:U798),$U$2:$U$1001,0),0), INDEX($AB$1004:$AQ$1004,1,MATCH(COLUMNS($AB$1006:AQ1006),$AB$1006:$AQ$1006,0)))),"Fix")))</f>
        <v>0</v>
      </c>
      <c r="U798">
        <v>0</v>
      </c>
      <c r="V798">
        <v>0</v>
      </c>
      <c r="W798">
        <v>0</v>
      </c>
      <c r="X798">
        <f>IF(Y798,TRUE,AND(AB798:AQ798))</f>
        <v>0</v>
      </c>
      <c r="Y798">
        <f>COUNTBLANK(metadata!B798:Q798)=COLUMNS(metadata!B798:Q798)</f>
        <v>0</v>
      </c>
      <c r="Z798">
        <v>0</v>
      </c>
      <c r="AB798">
        <f>AND(IF(metadata!B798="",FALSE,TRUE),COUNTIF(metadata!B:B, metadata!B798) = 1,NOT(ISERROR(SUMPRODUCT(SEARCH(MID(metadata!B798,ROW(INDIRECT("1:"&amp;LEN(metadata!B798))), 1),"0123456789abcdefghijklmnopqrstuvwxyzABCDEFGHIJKLMNOPQRSTUVWXYZ.")))))</f>
        <v>0</v>
      </c>
      <c r="AC798">
        <f>OR(AND(IF(metadata!C798="",FALSE,TRUE),OR(exact(metadata!C798,"missing: not collected"),exact(metadata!C798,"missing: not provided"),exact(metadata!C798,"missing: restricted access"))),AND(IF(metadata!C798="",FALSE,TRUE),AND(AND(IFERROR(INT(LEFT(metadata!C798,4))&gt;1900,FALSE),IFERROR(INT(LEFT(metadata!C798,4))&lt;=YEAR(NOW()),FALSE)), OR(MID(metadata!C798,5,1)="", AND(AND(MID(metadata!C798,5,1)="-",IFERROR(INT(MID(metadata!C798,6,1))&gt;=0,FALSE),IFERROR(INT(MID(metadata!C798,6,1))&lt;=1,FALSE),NOT(MID(metadata!C798,7,1)=""),IFERROR(INT(MID(metadata!C798,6,2))&gt;=1,FALSE),IFERROR(INT(MID(metadata!C798,6,2))&lt;=12,FALSE)), OR(MID(metadata!C798,8,1)="", AND(AND(MID(metadata!C798,8,1)="-",IFERROR(INT(MID(metadata!C798,9,1))&gt;=0,FALSE),IFERROR(INT(MID(metadata!C798,9,1))&lt;=3,FALSE),NOT(MID(metadata!C798,10,1)=""),IFERROR(INT(MID(metadata!C798,9,2))&gt;=1,FALSE),IFERROR(INT(MID(metadata!C798,9,2))&lt;=31,FALSE)), OR(MID(metadata!C798,11,1)="", AND(AND(MID(metadata!C798,11,1)=" ",IFERROR(INT(MID(metadata!C798,12,1))&gt;=0,FALSE),IFERROR(INT(MID(metadata!C798,12,1))&lt;=2,FALSE),NOT(MID(metadata!C798,13,1)=""),IFERROR(INT(MID(metadata!C798,12,2))&gt;=0,FALSE),IFERROR(INT(MID(metadata!C798,12,2))&lt;=23,FALSE)), OR(MID(metadata!C798,14,1)="", AND(AND(MID(metadata!C798,14,1)=":",IFERROR(INT(MID(metadata!C798,15,1))&gt;=0,FALSE),IFERROR(INT(MID(metadata!C798,15,1))&lt;=5,FALSE),NOT(MID(metadata!C798,16,1)=""),IFERROR(INT(MID(metadata!C798,15,2))&gt;=0,FALSE),IFERROR(INT(MID(metadata!C798,15,2))&lt;=59,FALSE)), OR(MID(metadata!C798,17,1)="", AND(AND(MID(metadata!C798,17,1)=":",IFERROR(INT(MID(metadata!C798,18,1))&gt;=0,FALSE),IFERROR(INT(MID(metadata!C798,18,1))&lt;=5,FALSE),NOT(MID(metadata!C798,19,1)=""),IFERROR(INT(MID(metadata!C798,18,2))&gt;=0,FALSE),IFERROR(INT(MID(metadata!C798,18,2))&lt;=59,FALSE)), LEN(metadata!C798)&lt;=19)))))))))))))</f>
        <v>0</v>
      </c>
      <c r="AD798">
        <f>IF(metadata!D798="",FALSE,TRUE)</f>
        <v>0</v>
      </c>
      <c r="AE798">
        <f>OR(AND(IF(metadata!E798="",FALSE,TRUE),OR(exact(metadata!E798,"missing: not collected"),exact(metadata!E798,"missing: not provided"))),AND(IF(metadata!E798="",FALSE,TRUE),OR(exact(metadata!E798,"TRUE"),exact(metadata!E798,"FALSE"))))</f>
        <v>0</v>
      </c>
      <c r="AF798">
        <f>IF(metadata!F798="",FALSE,TRUE)</f>
        <v>0</v>
      </c>
      <c r="AG798">
        <f>IF(metadata!G798="",FALSE,TRUE)</f>
        <v>0</v>
      </c>
      <c r="AH798">
        <f>IF(metadata!H798="",FALSE,TRUE)</f>
        <v>0</v>
      </c>
      <c r="AI798">
        <f>OR(AND(IF(metadata!I798="",FALSE,TRUE),OR(exact(metadata!I798,"missing: not collected"),exact(metadata!I798,"missing: not provided"),exact(metadata!I798,"missing: restricted access"))),AND(IF(metadata!I798="",FALSE,TRUE),OR(exact(metadata!I798,"air"),exact(metadata!I798,"built environment"),exact(metadata!I798,"host-associated"),exact(metadata!I798,"human-associated"),exact(metadata!I798,"human-skin"),exact(metadata!I798,"human-oral"),exact(metadata!I798,"human-gut"),exact(metadata!I798,"human-vaginal"),exact(metadata!I798,"microbial mat/biofilm"),exact(metadata!I798,"misc environment"),exact(metadata!I798,"plant-associated"),exact(metadata!I798,"sediment"),exact(metadata!I798,"soil"),exact(metadata!I798,"wastewater/sludge"),exact(metadata!I798,"water"))))</f>
        <v>0</v>
      </c>
      <c r="AJ798">
        <f>IF(metadata!J798="",FALSE,TRUE)</f>
        <v>0</v>
      </c>
      <c r="AK798">
        <f>OR(AND(IF(metadata!K798="",FALSE,TRUE),OR(exact(metadata!K798,"missing: not collected"),exact(metadata!K798,"missing: not provided"),exact(metadata!K798,"missing: restricted access"))),AND(IF(metadata!K798="",FALSE,ISNUMBER(VALUE(metadata!K798))),metadata!K798&gt;=-90.00,metadata!K798&lt;=90.00))</f>
        <v>0</v>
      </c>
      <c r="AL798">
        <f>OR(AND(IF(metadata!L798="",FALSE,TRUE),OR(exact(metadata!L798,"missing: not collected"),exact(metadata!L798,"missing: not provided"),exact(metadata!L798,"missing: restricted access"))),AND(IF(metadata!L798="",FALSE,ISNUMBER(VALUE(metadata!L798))),metadata!L798&gt;=-180.00,metadata!L798&lt;=180.00))</f>
        <v>0</v>
      </c>
      <c r="AM798">
        <f>IF(metadata!M798="",FALSE,TRUE)</f>
        <v>0</v>
      </c>
      <c r="AN798">
        <f>OR(AND(IF(metadata!N798="",FALSE,TRUE),OR(exact(metadata!N798,"missing: not collected"),exact(metadata!N798,"missing: not provided"),exact(metadata!N798,"missing: restricted access"))),AND(IF(metadata!N798="",FALSE,TRUE),OR(exact(metadata!N798,"TRUE"),exact(metadata!N798,"FALSE"))))</f>
        <v>0</v>
      </c>
      <c r="AO798">
        <f>IF(metadata!O798="",FALSE,TRUE)</f>
        <v>0</v>
      </c>
      <c r="AP798">
        <f>OR(AND(IF(metadata!P798="",FALSE,TRUE),OR(exact(metadata!P798,"missing: not collected"),exact(metadata!P798,"missing: not provided"))),AND(IF(metadata!P798="",FALSE,IF(ISERROR(INT(metadata!P798)),FALSE,INT(metadata!P798)=metadata!P798)),metadata!P798&gt;0))</f>
        <v>0</v>
      </c>
      <c r="AQ798">
        <f>IF(metadata!Q798="",FALSE,TRUE)</f>
        <v>0</v>
      </c>
    </row>
    <row r="799" spans="1:43">
      <c r="A799" s="5">
        <f>IF(B799=" "," ",HYPERLINK(CONCATENATE("#metadata!",ADDRESS(INDEX($W$2:$W$1001,MATCH(ROWS($U$2:U799),$U$2:$U$1001,0),0),1)),INDEX($Z$2:$Z$1001,MATCH(ROWS($U$2:U799),$U$2:$U$1001,0),0)))</f>
        <v>0</v>
      </c>
      <c r="B799" s="4">
        <f>IF(OR(INDEX($V$2:$V$1001,MATCH(ROWS($U$2:U799),$U$2:$U$1001,0),1)&gt;=100000,INDEX($AB$1005:$AQ$1005,1,MATCH(COLUMNS($AB$1006:AB1006),$AB$1006:$AQ$1006,0))&gt;=100000), " ",IF(INDEX($AB$2:$AQ$1001,MATCH(ROWS($U$2:U799),$U$2:$U$1001,0),MATCH(COLUMNS($AB$1006:AB1006),$AB$1006:$AQ$1006,0)), HYPERLINK("#",""), HYPERLINK(CONCATENATE("#metadata!", ADDRESS(INDEX($W$2:$W$1001,MATCH(ROWS($U$2:U799),$U$2:$U$1001,0),0), INDEX($AB$1004:$AQ$1004,1,MATCH(COLUMNS($AB$1006:AB1006),$AB$1006:$AQ$1006,0)))),"Fix")))</f>
        <v>0</v>
      </c>
      <c r="C799" s="4">
        <f>IF(OR(INDEX($V$2:$V$1001,MATCH(ROWS($U$2:U799),$U$2:$U$1001,0),1)&gt;=100000,INDEX($AB$1005:$AQ$1005,1,MATCH(COLUMNS($AB$1006:AC1006),$AB$1006:$AQ$1006,0))&gt;=100000), " ",IF(INDEX($AB$2:$AQ$1001,MATCH(ROWS($U$2:U799),$U$2:$U$1001,0),MATCH(COLUMNS($AB$1006:AC1006),$AB$1006:$AQ$1006,0)), HYPERLINK("#",""), HYPERLINK(CONCATENATE("#metadata!", ADDRESS(INDEX($W$2:$W$1001,MATCH(ROWS($U$2:U799),$U$2:$U$1001,0),0), INDEX($AB$1004:$AQ$1004,1,MATCH(COLUMNS($AB$1006:AC1006),$AB$1006:$AQ$1006,0)))),"Fix")))</f>
        <v>0</v>
      </c>
      <c r="D799" s="4">
        <f>IF(OR(INDEX($V$2:$V$1001,MATCH(ROWS($U$2:U799),$U$2:$U$1001,0),1)&gt;=100000,INDEX($AB$1005:$AQ$1005,1,MATCH(COLUMNS($AB$1006:AD1006),$AB$1006:$AQ$1006,0))&gt;=100000), " ",IF(INDEX($AB$2:$AQ$1001,MATCH(ROWS($U$2:U799),$U$2:$U$1001,0),MATCH(COLUMNS($AB$1006:AD1006),$AB$1006:$AQ$1006,0)), HYPERLINK("#",""), HYPERLINK(CONCATENATE("#metadata!", ADDRESS(INDEX($W$2:$W$1001,MATCH(ROWS($U$2:U799),$U$2:$U$1001,0),0), INDEX($AB$1004:$AQ$1004,1,MATCH(COLUMNS($AB$1006:AD1006),$AB$1006:$AQ$1006,0)))),"Fix")))</f>
        <v>0</v>
      </c>
      <c r="E799" s="4">
        <f>IF(OR(INDEX($V$2:$V$1001,MATCH(ROWS($U$2:U799),$U$2:$U$1001,0),1)&gt;=100000,INDEX($AB$1005:$AQ$1005,1,MATCH(COLUMNS($AB$1006:AE1006),$AB$1006:$AQ$1006,0))&gt;=100000), " ",IF(INDEX($AB$2:$AQ$1001,MATCH(ROWS($U$2:U799),$U$2:$U$1001,0),MATCH(COLUMNS($AB$1006:AE1006),$AB$1006:$AQ$1006,0)), HYPERLINK("#",""), HYPERLINK(CONCATENATE("#metadata!", ADDRESS(INDEX($W$2:$W$1001,MATCH(ROWS($U$2:U799),$U$2:$U$1001,0),0), INDEX($AB$1004:$AQ$1004,1,MATCH(COLUMNS($AB$1006:AE1006),$AB$1006:$AQ$1006,0)))),"Fix")))</f>
        <v>0</v>
      </c>
      <c r="F799" s="4">
        <f>IF(OR(INDEX($V$2:$V$1001,MATCH(ROWS($U$2:U799),$U$2:$U$1001,0),1)&gt;=100000,INDEX($AB$1005:$AQ$1005,1,MATCH(COLUMNS($AB$1006:AF1006),$AB$1006:$AQ$1006,0))&gt;=100000), " ",IF(INDEX($AB$2:$AQ$1001,MATCH(ROWS($U$2:U799),$U$2:$U$1001,0),MATCH(COLUMNS($AB$1006:AF1006),$AB$1006:$AQ$1006,0)), HYPERLINK("#",""), HYPERLINK(CONCATENATE("#metadata!", ADDRESS(INDEX($W$2:$W$1001,MATCH(ROWS($U$2:U799),$U$2:$U$1001,0),0), INDEX($AB$1004:$AQ$1004,1,MATCH(COLUMNS($AB$1006:AF1006),$AB$1006:$AQ$1006,0)))),"Fix")))</f>
        <v>0</v>
      </c>
      <c r="G799" s="4">
        <f>IF(OR(INDEX($V$2:$V$1001,MATCH(ROWS($U$2:U799),$U$2:$U$1001,0),1)&gt;=100000,INDEX($AB$1005:$AQ$1005,1,MATCH(COLUMNS($AB$1006:AG1006),$AB$1006:$AQ$1006,0))&gt;=100000), " ",IF(INDEX($AB$2:$AQ$1001,MATCH(ROWS($U$2:U799),$U$2:$U$1001,0),MATCH(COLUMNS($AB$1006:AG1006),$AB$1006:$AQ$1006,0)), HYPERLINK("#",""), HYPERLINK(CONCATENATE("#metadata!", ADDRESS(INDEX($W$2:$W$1001,MATCH(ROWS($U$2:U799),$U$2:$U$1001,0),0), INDEX($AB$1004:$AQ$1004,1,MATCH(COLUMNS($AB$1006:AG1006),$AB$1006:$AQ$1006,0)))),"Fix")))</f>
        <v>0</v>
      </c>
      <c r="H799" s="4">
        <f>IF(OR(INDEX($V$2:$V$1001,MATCH(ROWS($U$2:U799),$U$2:$U$1001,0),1)&gt;=100000,INDEX($AB$1005:$AQ$1005,1,MATCH(COLUMNS($AB$1006:AH1006),$AB$1006:$AQ$1006,0))&gt;=100000), " ",IF(INDEX($AB$2:$AQ$1001,MATCH(ROWS($U$2:U799),$U$2:$U$1001,0),MATCH(COLUMNS($AB$1006:AH1006),$AB$1006:$AQ$1006,0)), HYPERLINK("#",""), HYPERLINK(CONCATENATE("#metadata!", ADDRESS(INDEX($W$2:$W$1001,MATCH(ROWS($U$2:U799),$U$2:$U$1001,0),0), INDEX($AB$1004:$AQ$1004,1,MATCH(COLUMNS($AB$1006:AH1006),$AB$1006:$AQ$1006,0)))),"Fix")))</f>
        <v>0</v>
      </c>
      <c r="I799" s="4">
        <f>IF(OR(INDEX($V$2:$V$1001,MATCH(ROWS($U$2:U799),$U$2:$U$1001,0),1)&gt;=100000,INDEX($AB$1005:$AQ$1005,1,MATCH(COLUMNS($AB$1006:AI1006),$AB$1006:$AQ$1006,0))&gt;=100000), " ",IF(INDEX($AB$2:$AQ$1001,MATCH(ROWS($U$2:U799),$U$2:$U$1001,0),MATCH(COLUMNS($AB$1006:AI1006),$AB$1006:$AQ$1006,0)), HYPERLINK("#",""), HYPERLINK(CONCATENATE("#metadata!", ADDRESS(INDEX($W$2:$W$1001,MATCH(ROWS($U$2:U799),$U$2:$U$1001,0),0), INDEX($AB$1004:$AQ$1004,1,MATCH(COLUMNS($AB$1006:AI1006),$AB$1006:$AQ$1006,0)))),"Fix")))</f>
        <v>0</v>
      </c>
      <c r="J799" s="4">
        <f>IF(OR(INDEX($V$2:$V$1001,MATCH(ROWS($U$2:U799),$U$2:$U$1001,0),1)&gt;=100000,INDEX($AB$1005:$AQ$1005,1,MATCH(COLUMNS($AB$1006:AJ1006),$AB$1006:$AQ$1006,0))&gt;=100000), " ",IF(INDEX($AB$2:$AQ$1001,MATCH(ROWS($U$2:U799),$U$2:$U$1001,0),MATCH(COLUMNS($AB$1006:AJ1006),$AB$1006:$AQ$1006,0)), HYPERLINK("#",""), HYPERLINK(CONCATENATE("#metadata!", ADDRESS(INDEX($W$2:$W$1001,MATCH(ROWS($U$2:U799),$U$2:$U$1001,0),0), INDEX($AB$1004:$AQ$1004,1,MATCH(COLUMNS($AB$1006:AJ1006),$AB$1006:$AQ$1006,0)))),"Fix")))</f>
        <v>0</v>
      </c>
      <c r="K799" s="4">
        <f>IF(OR(INDEX($V$2:$V$1001,MATCH(ROWS($U$2:U799),$U$2:$U$1001,0),1)&gt;=100000,INDEX($AB$1005:$AQ$1005,1,MATCH(COLUMNS($AB$1006:AK1006),$AB$1006:$AQ$1006,0))&gt;=100000), " ",IF(INDEX($AB$2:$AQ$1001,MATCH(ROWS($U$2:U799),$U$2:$U$1001,0),MATCH(COLUMNS($AB$1006:AK1006),$AB$1006:$AQ$1006,0)), HYPERLINK("#",""), HYPERLINK(CONCATENATE("#metadata!", ADDRESS(INDEX($W$2:$W$1001,MATCH(ROWS($U$2:U799),$U$2:$U$1001,0),0), INDEX($AB$1004:$AQ$1004,1,MATCH(COLUMNS($AB$1006:AK1006),$AB$1006:$AQ$1006,0)))),"Fix")))</f>
        <v>0</v>
      </c>
      <c r="L799" s="4">
        <f>IF(OR(INDEX($V$2:$V$1001,MATCH(ROWS($U$2:U799),$U$2:$U$1001,0),1)&gt;=100000,INDEX($AB$1005:$AQ$1005,1,MATCH(COLUMNS($AB$1006:AL1006),$AB$1006:$AQ$1006,0))&gt;=100000), " ",IF(INDEX($AB$2:$AQ$1001,MATCH(ROWS($U$2:U799),$U$2:$U$1001,0),MATCH(COLUMNS($AB$1006:AL1006),$AB$1006:$AQ$1006,0)), HYPERLINK("#",""), HYPERLINK(CONCATENATE("#metadata!", ADDRESS(INDEX($W$2:$W$1001,MATCH(ROWS($U$2:U799),$U$2:$U$1001,0),0), INDEX($AB$1004:$AQ$1004,1,MATCH(COLUMNS($AB$1006:AL1006),$AB$1006:$AQ$1006,0)))),"Fix")))</f>
        <v>0</v>
      </c>
      <c r="M799" s="4">
        <f>IF(OR(INDEX($V$2:$V$1001,MATCH(ROWS($U$2:U799),$U$2:$U$1001,0),1)&gt;=100000,INDEX($AB$1005:$AQ$1005,1,MATCH(COLUMNS($AB$1006:AM1006),$AB$1006:$AQ$1006,0))&gt;=100000), " ",IF(INDEX($AB$2:$AQ$1001,MATCH(ROWS($U$2:U799),$U$2:$U$1001,0),MATCH(COLUMNS($AB$1006:AM1006),$AB$1006:$AQ$1006,0)), HYPERLINK("#",""), HYPERLINK(CONCATENATE("#metadata!", ADDRESS(INDEX($W$2:$W$1001,MATCH(ROWS($U$2:U799),$U$2:$U$1001,0),0), INDEX($AB$1004:$AQ$1004,1,MATCH(COLUMNS($AB$1006:AM1006),$AB$1006:$AQ$1006,0)))),"Fix")))</f>
        <v>0</v>
      </c>
      <c r="N799" s="4">
        <f>IF(OR(INDEX($V$2:$V$1001,MATCH(ROWS($U$2:U799),$U$2:$U$1001,0),1)&gt;=100000,INDEX($AB$1005:$AQ$1005,1,MATCH(COLUMNS($AB$1006:AN1006),$AB$1006:$AQ$1006,0))&gt;=100000), " ",IF(INDEX($AB$2:$AQ$1001,MATCH(ROWS($U$2:U799),$U$2:$U$1001,0),MATCH(COLUMNS($AB$1006:AN1006),$AB$1006:$AQ$1006,0)), HYPERLINK("#",""), HYPERLINK(CONCATENATE("#metadata!", ADDRESS(INDEX($W$2:$W$1001,MATCH(ROWS($U$2:U799),$U$2:$U$1001,0),0), INDEX($AB$1004:$AQ$1004,1,MATCH(COLUMNS($AB$1006:AN1006),$AB$1006:$AQ$1006,0)))),"Fix")))</f>
        <v>0</v>
      </c>
      <c r="O799" s="4">
        <f>IF(OR(INDEX($V$2:$V$1001,MATCH(ROWS($U$2:U799),$U$2:$U$1001,0),1)&gt;=100000,INDEX($AB$1005:$AQ$1005,1,MATCH(COLUMNS($AB$1006:AO1006),$AB$1006:$AQ$1006,0))&gt;=100000), " ",IF(INDEX($AB$2:$AQ$1001,MATCH(ROWS($U$2:U799),$U$2:$U$1001,0),MATCH(COLUMNS($AB$1006:AO1006),$AB$1006:$AQ$1006,0)), HYPERLINK("#",""), HYPERLINK(CONCATENATE("#metadata!", ADDRESS(INDEX($W$2:$W$1001,MATCH(ROWS($U$2:U799),$U$2:$U$1001,0),0), INDEX($AB$1004:$AQ$1004,1,MATCH(COLUMNS($AB$1006:AO1006),$AB$1006:$AQ$1006,0)))),"Fix")))</f>
        <v>0</v>
      </c>
      <c r="P799" s="4">
        <f>IF(OR(INDEX($V$2:$V$1001,MATCH(ROWS($U$2:U799),$U$2:$U$1001,0),1)&gt;=100000,INDEX($AB$1005:$AQ$1005,1,MATCH(COLUMNS($AB$1006:AP1006),$AB$1006:$AQ$1006,0))&gt;=100000), " ",IF(INDEX($AB$2:$AQ$1001,MATCH(ROWS($U$2:U799),$U$2:$U$1001,0),MATCH(COLUMNS($AB$1006:AP1006),$AB$1006:$AQ$1006,0)), HYPERLINK("#",""), HYPERLINK(CONCATENATE("#metadata!", ADDRESS(INDEX($W$2:$W$1001,MATCH(ROWS($U$2:U799),$U$2:$U$1001,0),0), INDEX($AB$1004:$AQ$1004,1,MATCH(COLUMNS($AB$1006:AP1006),$AB$1006:$AQ$1006,0)))),"Fix")))</f>
        <v>0</v>
      </c>
      <c r="Q799" s="4">
        <f>IF(OR(INDEX($V$2:$V$1001,MATCH(ROWS($U$2:U799),$U$2:$U$1001,0),1)&gt;=100000,INDEX($AB$1005:$AQ$1005,1,MATCH(COLUMNS($AB$1006:AQ1006),$AB$1006:$AQ$1006,0))&gt;=100000), " ",IF(INDEX($AB$2:$AQ$1001,MATCH(ROWS($U$2:U799),$U$2:$U$1001,0),MATCH(COLUMNS($AB$1006:AQ1006),$AB$1006:$AQ$1006,0)), HYPERLINK("#",""), HYPERLINK(CONCATENATE("#metadata!", ADDRESS(INDEX($W$2:$W$1001,MATCH(ROWS($U$2:U799),$U$2:$U$1001,0),0), INDEX($AB$1004:$AQ$1004,1,MATCH(COLUMNS($AB$1006:AQ1006),$AB$1006:$AQ$1006,0)))),"Fix")))</f>
        <v>0</v>
      </c>
      <c r="U799">
        <v>0</v>
      </c>
      <c r="V799">
        <v>0</v>
      </c>
      <c r="W799">
        <v>0</v>
      </c>
      <c r="X799">
        <f>IF(Y799,TRUE,AND(AB799:AQ799))</f>
        <v>0</v>
      </c>
      <c r="Y799">
        <f>COUNTBLANK(metadata!B799:Q799)=COLUMNS(metadata!B799:Q799)</f>
        <v>0</v>
      </c>
      <c r="Z799">
        <v>0</v>
      </c>
      <c r="AB799">
        <f>AND(IF(metadata!B799="",FALSE,TRUE),COUNTIF(metadata!B:B, metadata!B799) = 1,NOT(ISERROR(SUMPRODUCT(SEARCH(MID(metadata!B799,ROW(INDIRECT("1:"&amp;LEN(metadata!B799))), 1),"0123456789abcdefghijklmnopqrstuvwxyzABCDEFGHIJKLMNOPQRSTUVWXYZ.")))))</f>
        <v>0</v>
      </c>
      <c r="AC799">
        <f>OR(AND(IF(metadata!C799="",FALSE,TRUE),OR(exact(metadata!C799,"missing: not collected"),exact(metadata!C799,"missing: not provided"),exact(metadata!C799,"missing: restricted access"))),AND(IF(metadata!C799="",FALSE,TRUE),AND(AND(IFERROR(INT(LEFT(metadata!C799,4))&gt;1900,FALSE),IFERROR(INT(LEFT(metadata!C799,4))&lt;=YEAR(NOW()),FALSE)), OR(MID(metadata!C799,5,1)="", AND(AND(MID(metadata!C799,5,1)="-",IFERROR(INT(MID(metadata!C799,6,1))&gt;=0,FALSE),IFERROR(INT(MID(metadata!C799,6,1))&lt;=1,FALSE),NOT(MID(metadata!C799,7,1)=""),IFERROR(INT(MID(metadata!C799,6,2))&gt;=1,FALSE),IFERROR(INT(MID(metadata!C799,6,2))&lt;=12,FALSE)), OR(MID(metadata!C799,8,1)="", AND(AND(MID(metadata!C799,8,1)="-",IFERROR(INT(MID(metadata!C799,9,1))&gt;=0,FALSE),IFERROR(INT(MID(metadata!C799,9,1))&lt;=3,FALSE),NOT(MID(metadata!C799,10,1)=""),IFERROR(INT(MID(metadata!C799,9,2))&gt;=1,FALSE),IFERROR(INT(MID(metadata!C799,9,2))&lt;=31,FALSE)), OR(MID(metadata!C799,11,1)="", AND(AND(MID(metadata!C799,11,1)=" ",IFERROR(INT(MID(metadata!C799,12,1))&gt;=0,FALSE),IFERROR(INT(MID(metadata!C799,12,1))&lt;=2,FALSE),NOT(MID(metadata!C799,13,1)=""),IFERROR(INT(MID(metadata!C799,12,2))&gt;=0,FALSE),IFERROR(INT(MID(metadata!C799,12,2))&lt;=23,FALSE)), OR(MID(metadata!C799,14,1)="", AND(AND(MID(metadata!C799,14,1)=":",IFERROR(INT(MID(metadata!C799,15,1))&gt;=0,FALSE),IFERROR(INT(MID(metadata!C799,15,1))&lt;=5,FALSE),NOT(MID(metadata!C799,16,1)=""),IFERROR(INT(MID(metadata!C799,15,2))&gt;=0,FALSE),IFERROR(INT(MID(metadata!C799,15,2))&lt;=59,FALSE)), OR(MID(metadata!C799,17,1)="", AND(AND(MID(metadata!C799,17,1)=":",IFERROR(INT(MID(metadata!C799,18,1))&gt;=0,FALSE),IFERROR(INT(MID(metadata!C799,18,1))&lt;=5,FALSE),NOT(MID(metadata!C799,19,1)=""),IFERROR(INT(MID(metadata!C799,18,2))&gt;=0,FALSE),IFERROR(INT(MID(metadata!C799,18,2))&lt;=59,FALSE)), LEN(metadata!C799)&lt;=19)))))))))))))</f>
        <v>0</v>
      </c>
      <c r="AD799">
        <f>IF(metadata!D799="",FALSE,TRUE)</f>
        <v>0</v>
      </c>
      <c r="AE799">
        <f>OR(AND(IF(metadata!E799="",FALSE,TRUE),OR(exact(metadata!E799,"missing: not collected"),exact(metadata!E799,"missing: not provided"))),AND(IF(metadata!E799="",FALSE,TRUE),OR(exact(metadata!E799,"TRUE"),exact(metadata!E799,"FALSE"))))</f>
        <v>0</v>
      </c>
      <c r="AF799">
        <f>IF(metadata!F799="",FALSE,TRUE)</f>
        <v>0</v>
      </c>
      <c r="AG799">
        <f>IF(metadata!G799="",FALSE,TRUE)</f>
        <v>0</v>
      </c>
      <c r="AH799">
        <f>IF(metadata!H799="",FALSE,TRUE)</f>
        <v>0</v>
      </c>
      <c r="AI799">
        <f>OR(AND(IF(metadata!I799="",FALSE,TRUE),OR(exact(metadata!I799,"missing: not collected"),exact(metadata!I799,"missing: not provided"),exact(metadata!I799,"missing: restricted access"))),AND(IF(metadata!I799="",FALSE,TRUE),OR(exact(metadata!I799,"air"),exact(metadata!I799,"built environment"),exact(metadata!I799,"host-associated"),exact(metadata!I799,"human-associated"),exact(metadata!I799,"human-skin"),exact(metadata!I799,"human-oral"),exact(metadata!I799,"human-gut"),exact(metadata!I799,"human-vaginal"),exact(metadata!I799,"microbial mat/biofilm"),exact(metadata!I799,"misc environment"),exact(metadata!I799,"plant-associated"),exact(metadata!I799,"sediment"),exact(metadata!I799,"soil"),exact(metadata!I799,"wastewater/sludge"),exact(metadata!I799,"water"))))</f>
        <v>0</v>
      </c>
      <c r="AJ799">
        <f>IF(metadata!J799="",FALSE,TRUE)</f>
        <v>0</v>
      </c>
      <c r="AK799">
        <f>OR(AND(IF(metadata!K799="",FALSE,TRUE),OR(exact(metadata!K799,"missing: not collected"),exact(metadata!K799,"missing: not provided"),exact(metadata!K799,"missing: restricted access"))),AND(IF(metadata!K799="",FALSE,ISNUMBER(VALUE(metadata!K799))),metadata!K799&gt;=-90.00,metadata!K799&lt;=90.00))</f>
        <v>0</v>
      </c>
      <c r="AL799">
        <f>OR(AND(IF(metadata!L799="",FALSE,TRUE),OR(exact(metadata!L799,"missing: not collected"),exact(metadata!L799,"missing: not provided"),exact(metadata!L799,"missing: restricted access"))),AND(IF(metadata!L799="",FALSE,ISNUMBER(VALUE(metadata!L799))),metadata!L799&gt;=-180.00,metadata!L799&lt;=180.00))</f>
        <v>0</v>
      </c>
      <c r="AM799">
        <f>IF(metadata!M799="",FALSE,TRUE)</f>
        <v>0</v>
      </c>
      <c r="AN799">
        <f>OR(AND(IF(metadata!N799="",FALSE,TRUE),OR(exact(metadata!N799,"missing: not collected"),exact(metadata!N799,"missing: not provided"),exact(metadata!N799,"missing: restricted access"))),AND(IF(metadata!N799="",FALSE,TRUE),OR(exact(metadata!N799,"TRUE"),exact(metadata!N799,"FALSE"))))</f>
        <v>0</v>
      </c>
      <c r="AO799">
        <f>IF(metadata!O799="",FALSE,TRUE)</f>
        <v>0</v>
      </c>
      <c r="AP799">
        <f>OR(AND(IF(metadata!P799="",FALSE,TRUE),OR(exact(metadata!P799,"missing: not collected"),exact(metadata!P799,"missing: not provided"))),AND(IF(metadata!P799="",FALSE,IF(ISERROR(INT(metadata!P799)),FALSE,INT(metadata!P799)=metadata!P799)),metadata!P799&gt;0))</f>
        <v>0</v>
      </c>
      <c r="AQ799">
        <f>IF(metadata!Q799="",FALSE,TRUE)</f>
        <v>0</v>
      </c>
    </row>
    <row r="800" spans="1:43">
      <c r="A800" s="5">
        <f>IF(B800=" "," ",HYPERLINK(CONCATENATE("#metadata!",ADDRESS(INDEX($W$2:$W$1001,MATCH(ROWS($U$2:U800),$U$2:$U$1001,0),0),1)),INDEX($Z$2:$Z$1001,MATCH(ROWS($U$2:U800),$U$2:$U$1001,0),0)))</f>
        <v>0</v>
      </c>
      <c r="B800" s="4">
        <f>IF(OR(INDEX($V$2:$V$1001,MATCH(ROWS($U$2:U800),$U$2:$U$1001,0),1)&gt;=100000,INDEX($AB$1005:$AQ$1005,1,MATCH(COLUMNS($AB$1006:AB1006),$AB$1006:$AQ$1006,0))&gt;=100000), " ",IF(INDEX($AB$2:$AQ$1001,MATCH(ROWS($U$2:U800),$U$2:$U$1001,0),MATCH(COLUMNS($AB$1006:AB1006),$AB$1006:$AQ$1006,0)), HYPERLINK("#",""), HYPERLINK(CONCATENATE("#metadata!", ADDRESS(INDEX($W$2:$W$1001,MATCH(ROWS($U$2:U800),$U$2:$U$1001,0),0), INDEX($AB$1004:$AQ$1004,1,MATCH(COLUMNS($AB$1006:AB1006),$AB$1006:$AQ$1006,0)))),"Fix")))</f>
        <v>0</v>
      </c>
      <c r="C800" s="4">
        <f>IF(OR(INDEX($V$2:$V$1001,MATCH(ROWS($U$2:U800),$U$2:$U$1001,0),1)&gt;=100000,INDEX($AB$1005:$AQ$1005,1,MATCH(COLUMNS($AB$1006:AC1006),$AB$1006:$AQ$1006,0))&gt;=100000), " ",IF(INDEX($AB$2:$AQ$1001,MATCH(ROWS($U$2:U800),$U$2:$U$1001,0),MATCH(COLUMNS($AB$1006:AC1006),$AB$1006:$AQ$1006,0)), HYPERLINK("#",""), HYPERLINK(CONCATENATE("#metadata!", ADDRESS(INDEX($W$2:$W$1001,MATCH(ROWS($U$2:U800),$U$2:$U$1001,0),0), INDEX($AB$1004:$AQ$1004,1,MATCH(COLUMNS($AB$1006:AC1006),$AB$1006:$AQ$1006,0)))),"Fix")))</f>
        <v>0</v>
      </c>
      <c r="D800" s="4">
        <f>IF(OR(INDEX($V$2:$V$1001,MATCH(ROWS($U$2:U800),$U$2:$U$1001,0),1)&gt;=100000,INDEX($AB$1005:$AQ$1005,1,MATCH(COLUMNS($AB$1006:AD1006),$AB$1006:$AQ$1006,0))&gt;=100000), " ",IF(INDEX($AB$2:$AQ$1001,MATCH(ROWS($U$2:U800),$U$2:$U$1001,0),MATCH(COLUMNS($AB$1006:AD1006),$AB$1006:$AQ$1006,0)), HYPERLINK("#",""), HYPERLINK(CONCATENATE("#metadata!", ADDRESS(INDEX($W$2:$W$1001,MATCH(ROWS($U$2:U800),$U$2:$U$1001,0),0), INDEX($AB$1004:$AQ$1004,1,MATCH(COLUMNS($AB$1006:AD1006),$AB$1006:$AQ$1006,0)))),"Fix")))</f>
        <v>0</v>
      </c>
      <c r="E800" s="4">
        <f>IF(OR(INDEX($V$2:$V$1001,MATCH(ROWS($U$2:U800),$U$2:$U$1001,0),1)&gt;=100000,INDEX($AB$1005:$AQ$1005,1,MATCH(COLUMNS($AB$1006:AE1006),$AB$1006:$AQ$1006,0))&gt;=100000), " ",IF(INDEX($AB$2:$AQ$1001,MATCH(ROWS($U$2:U800),$U$2:$U$1001,0),MATCH(COLUMNS($AB$1006:AE1006),$AB$1006:$AQ$1006,0)), HYPERLINK("#",""), HYPERLINK(CONCATENATE("#metadata!", ADDRESS(INDEX($W$2:$W$1001,MATCH(ROWS($U$2:U800),$U$2:$U$1001,0),0), INDEX($AB$1004:$AQ$1004,1,MATCH(COLUMNS($AB$1006:AE1006),$AB$1006:$AQ$1006,0)))),"Fix")))</f>
        <v>0</v>
      </c>
      <c r="F800" s="4">
        <f>IF(OR(INDEX($V$2:$V$1001,MATCH(ROWS($U$2:U800),$U$2:$U$1001,0),1)&gt;=100000,INDEX($AB$1005:$AQ$1005,1,MATCH(COLUMNS($AB$1006:AF1006),$AB$1006:$AQ$1006,0))&gt;=100000), " ",IF(INDEX($AB$2:$AQ$1001,MATCH(ROWS($U$2:U800),$U$2:$U$1001,0),MATCH(COLUMNS($AB$1006:AF1006),$AB$1006:$AQ$1006,0)), HYPERLINK("#",""), HYPERLINK(CONCATENATE("#metadata!", ADDRESS(INDEX($W$2:$W$1001,MATCH(ROWS($U$2:U800),$U$2:$U$1001,0),0), INDEX($AB$1004:$AQ$1004,1,MATCH(COLUMNS($AB$1006:AF1006),$AB$1006:$AQ$1006,0)))),"Fix")))</f>
        <v>0</v>
      </c>
      <c r="G800" s="4">
        <f>IF(OR(INDEX($V$2:$V$1001,MATCH(ROWS($U$2:U800),$U$2:$U$1001,0),1)&gt;=100000,INDEX($AB$1005:$AQ$1005,1,MATCH(COLUMNS($AB$1006:AG1006),$AB$1006:$AQ$1006,0))&gt;=100000), " ",IF(INDEX($AB$2:$AQ$1001,MATCH(ROWS($U$2:U800),$U$2:$U$1001,0),MATCH(COLUMNS($AB$1006:AG1006),$AB$1006:$AQ$1006,0)), HYPERLINK("#",""), HYPERLINK(CONCATENATE("#metadata!", ADDRESS(INDEX($W$2:$W$1001,MATCH(ROWS($U$2:U800),$U$2:$U$1001,0),0), INDEX($AB$1004:$AQ$1004,1,MATCH(COLUMNS($AB$1006:AG1006),$AB$1006:$AQ$1006,0)))),"Fix")))</f>
        <v>0</v>
      </c>
      <c r="H800" s="4">
        <f>IF(OR(INDEX($V$2:$V$1001,MATCH(ROWS($U$2:U800),$U$2:$U$1001,0),1)&gt;=100000,INDEX($AB$1005:$AQ$1005,1,MATCH(COLUMNS($AB$1006:AH1006),$AB$1006:$AQ$1006,0))&gt;=100000), " ",IF(INDEX($AB$2:$AQ$1001,MATCH(ROWS($U$2:U800),$U$2:$U$1001,0),MATCH(COLUMNS($AB$1006:AH1006),$AB$1006:$AQ$1006,0)), HYPERLINK("#",""), HYPERLINK(CONCATENATE("#metadata!", ADDRESS(INDEX($W$2:$W$1001,MATCH(ROWS($U$2:U800),$U$2:$U$1001,0),0), INDEX($AB$1004:$AQ$1004,1,MATCH(COLUMNS($AB$1006:AH1006),$AB$1006:$AQ$1006,0)))),"Fix")))</f>
        <v>0</v>
      </c>
      <c r="I800" s="4">
        <f>IF(OR(INDEX($V$2:$V$1001,MATCH(ROWS($U$2:U800),$U$2:$U$1001,0),1)&gt;=100000,INDEX($AB$1005:$AQ$1005,1,MATCH(COLUMNS($AB$1006:AI1006),$AB$1006:$AQ$1006,0))&gt;=100000), " ",IF(INDEX($AB$2:$AQ$1001,MATCH(ROWS($U$2:U800),$U$2:$U$1001,0),MATCH(COLUMNS($AB$1006:AI1006),$AB$1006:$AQ$1006,0)), HYPERLINK("#",""), HYPERLINK(CONCATENATE("#metadata!", ADDRESS(INDEX($W$2:$W$1001,MATCH(ROWS($U$2:U800),$U$2:$U$1001,0),0), INDEX($AB$1004:$AQ$1004,1,MATCH(COLUMNS($AB$1006:AI1006),$AB$1006:$AQ$1006,0)))),"Fix")))</f>
        <v>0</v>
      </c>
      <c r="J800" s="4">
        <f>IF(OR(INDEX($V$2:$V$1001,MATCH(ROWS($U$2:U800),$U$2:$U$1001,0),1)&gt;=100000,INDEX($AB$1005:$AQ$1005,1,MATCH(COLUMNS($AB$1006:AJ1006),$AB$1006:$AQ$1006,0))&gt;=100000), " ",IF(INDEX($AB$2:$AQ$1001,MATCH(ROWS($U$2:U800),$U$2:$U$1001,0),MATCH(COLUMNS($AB$1006:AJ1006),$AB$1006:$AQ$1006,0)), HYPERLINK("#",""), HYPERLINK(CONCATENATE("#metadata!", ADDRESS(INDEX($W$2:$W$1001,MATCH(ROWS($U$2:U800),$U$2:$U$1001,0),0), INDEX($AB$1004:$AQ$1004,1,MATCH(COLUMNS($AB$1006:AJ1006),$AB$1006:$AQ$1006,0)))),"Fix")))</f>
        <v>0</v>
      </c>
      <c r="K800" s="4">
        <f>IF(OR(INDEX($V$2:$V$1001,MATCH(ROWS($U$2:U800),$U$2:$U$1001,0),1)&gt;=100000,INDEX($AB$1005:$AQ$1005,1,MATCH(COLUMNS($AB$1006:AK1006),$AB$1006:$AQ$1006,0))&gt;=100000), " ",IF(INDEX($AB$2:$AQ$1001,MATCH(ROWS($U$2:U800),$U$2:$U$1001,0),MATCH(COLUMNS($AB$1006:AK1006),$AB$1006:$AQ$1006,0)), HYPERLINK("#",""), HYPERLINK(CONCATENATE("#metadata!", ADDRESS(INDEX($W$2:$W$1001,MATCH(ROWS($U$2:U800),$U$2:$U$1001,0),0), INDEX($AB$1004:$AQ$1004,1,MATCH(COLUMNS($AB$1006:AK1006),$AB$1006:$AQ$1006,0)))),"Fix")))</f>
        <v>0</v>
      </c>
      <c r="L800" s="4">
        <f>IF(OR(INDEX($V$2:$V$1001,MATCH(ROWS($U$2:U800),$U$2:$U$1001,0),1)&gt;=100000,INDEX($AB$1005:$AQ$1005,1,MATCH(COLUMNS($AB$1006:AL1006),$AB$1006:$AQ$1006,0))&gt;=100000), " ",IF(INDEX($AB$2:$AQ$1001,MATCH(ROWS($U$2:U800),$U$2:$U$1001,0),MATCH(COLUMNS($AB$1006:AL1006),$AB$1006:$AQ$1006,0)), HYPERLINK("#",""), HYPERLINK(CONCATENATE("#metadata!", ADDRESS(INDEX($W$2:$W$1001,MATCH(ROWS($U$2:U800),$U$2:$U$1001,0),0), INDEX($AB$1004:$AQ$1004,1,MATCH(COLUMNS($AB$1006:AL1006),$AB$1006:$AQ$1006,0)))),"Fix")))</f>
        <v>0</v>
      </c>
      <c r="M800" s="4">
        <f>IF(OR(INDEX($V$2:$V$1001,MATCH(ROWS($U$2:U800),$U$2:$U$1001,0),1)&gt;=100000,INDEX($AB$1005:$AQ$1005,1,MATCH(COLUMNS($AB$1006:AM1006),$AB$1006:$AQ$1006,0))&gt;=100000), " ",IF(INDEX($AB$2:$AQ$1001,MATCH(ROWS($U$2:U800),$U$2:$U$1001,0),MATCH(COLUMNS($AB$1006:AM1006),$AB$1006:$AQ$1006,0)), HYPERLINK("#",""), HYPERLINK(CONCATENATE("#metadata!", ADDRESS(INDEX($W$2:$W$1001,MATCH(ROWS($U$2:U800),$U$2:$U$1001,0),0), INDEX($AB$1004:$AQ$1004,1,MATCH(COLUMNS($AB$1006:AM1006),$AB$1006:$AQ$1006,0)))),"Fix")))</f>
        <v>0</v>
      </c>
      <c r="N800" s="4">
        <f>IF(OR(INDEX($V$2:$V$1001,MATCH(ROWS($U$2:U800),$U$2:$U$1001,0),1)&gt;=100000,INDEX($AB$1005:$AQ$1005,1,MATCH(COLUMNS($AB$1006:AN1006),$AB$1006:$AQ$1006,0))&gt;=100000), " ",IF(INDEX($AB$2:$AQ$1001,MATCH(ROWS($U$2:U800),$U$2:$U$1001,0),MATCH(COLUMNS($AB$1006:AN1006),$AB$1006:$AQ$1006,0)), HYPERLINK("#",""), HYPERLINK(CONCATENATE("#metadata!", ADDRESS(INDEX($W$2:$W$1001,MATCH(ROWS($U$2:U800),$U$2:$U$1001,0),0), INDEX($AB$1004:$AQ$1004,1,MATCH(COLUMNS($AB$1006:AN1006),$AB$1006:$AQ$1006,0)))),"Fix")))</f>
        <v>0</v>
      </c>
      <c r="O800" s="4">
        <f>IF(OR(INDEX($V$2:$V$1001,MATCH(ROWS($U$2:U800),$U$2:$U$1001,0),1)&gt;=100000,INDEX($AB$1005:$AQ$1005,1,MATCH(COLUMNS($AB$1006:AO1006),$AB$1006:$AQ$1006,0))&gt;=100000), " ",IF(INDEX($AB$2:$AQ$1001,MATCH(ROWS($U$2:U800),$U$2:$U$1001,0),MATCH(COLUMNS($AB$1006:AO1006),$AB$1006:$AQ$1006,0)), HYPERLINK("#",""), HYPERLINK(CONCATENATE("#metadata!", ADDRESS(INDEX($W$2:$W$1001,MATCH(ROWS($U$2:U800),$U$2:$U$1001,0),0), INDEX($AB$1004:$AQ$1004,1,MATCH(COLUMNS($AB$1006:AO1006),$AB$1006:$AQ$1006,0)))),"Fix")))</f>
        <v>0</v>
      </c>
      <c r="P800" s="4">
        <f>IF(OR(INDEX($V$2:$V$1001,MATCH(ROWS($U$2:U800),$U$2:$U$1001,0),1)&gt;=100000,INDEX($AB$1005:$AQ$1005,1,MATCH(COLUMNS($AB$1006:AP1006),$AB$1006:$AQ$1006,0))&gt;=100000), " ",IF(INDEX($AB$2:$AQ$1001,MATCH(ROWS($U$2:U800),$U$2:$U$1001,0),MATCH(COLUMNS($AB$1006:AP1006),$AB$1006:$AQ$1006,0)), HYPERLINK("#",""), HYPERLINK(CONCATENATE("#metadata!", ADDRESS(INDEX($W$2:$W$1001,MATCH(ROWS($U$2:U800),$U$2:$U$1001,0),0), INDEX($AB$1004:$AQ$1004,1,MATCH(COLUMNS($AB$1006:AP1006),$AB$1006:$AQ$1006,0)))),"Fix")))</f>
        <v>0</v>
      </c>
      <c r="Q800" s="4">
        <f>IF(OR(INDEX($V$2:$V$1001,MATCH(ROWS($U$2:U800),$U$2:$U$1001,0),1)&gt;=100000,INDEX($AB$1005:$AQ$1005,1,MATCH(COLUMNS($AB$1006:AQ1006),$AB$1006:$AQ$1006,0))&gt;=100000), " ",IF(INDEX($AB$2:$AQ$1001,MATCH(ROWS($U$2:U800),$U$2:$U$1001,0),MATCH(COLUMNS($AB$1006:AQ1006),$AB$1006:$AQ$1006,0)), HYPERLINK("#",""), HYPERLINK(CONCATENATE("#metadata!", ADDRESS(INDEX($W$2:$W$1001,MATCH(ROWS($U$2:U800),$U$2:$U$1001,0),0), INDEX($AB$1004:$AQ$1004,1,MATCH(COLUMNS($AB$1006:AQ1006),$AB$1006:$AQ$1006,0)))),"Fix")))</f>
        <v>0</v>
      </c>
      <c r="U800">
        <v>0</v>
      </c>
      <c r="V800">
        <v>0</v>
      </c>
      <c r="W800">
        <v>0</v>
      </c>
      <c r="X800">
        <f>IF(Y800,TRUE,AND(AB800:AQ800))</f>
        <v>0</v>
      </c>
      <c r="Y800">
        <f>COUNTBLANK(metadata!B800:Q800)=COLUMNS(metadata!B800:Q800)</f>
        <v>0</v>
      </c>
      <c r="Z800">
        <v>0</v>
      </c>
      <c r="AB800">
        <f>AND(IF(metadata!B800="",FALSE,TRUE),COUNTIF(metadata!B:B, metadata!B800) = 1,NOT(ISERROR(SUMPRODUCT(SEARCH(MID(metadata!B800,ROW(INDIRECT("1:"&amp;LEN(metadata!B800))), 1),"0123456789abcdefghijklmnopqrstuvwxyzABCDEFGHIJKLMNOPQRSTUVWXYZ.")))))</f>
        <v>0</v>
      </c>
      <c r="AC800">
        <f>OR(AND(IF(metadata!C800="",FALSE,TRUE),OR(exact(metadata!C800,"missing: not collected"),exact(metadata!C800,"missing: not provided"),exact(metadata!C800,"missing: restricted access"))),AND(IF(metadata!C800="",FALSE,TRUE),AND(AND(IFERROR(INT(LEFT(metadata!C800,4))&gt;1900,FALSE),IFERROR(INT(LEFT(metadata!C800,4))&lt;=YEAR(NOW()),FALSE)), OR(MID(metadata!C800,5,1)="", AND(AND(MID(metadata!C800,5,1)="-",IFERROR(INT(MID(metadata!C800,6,1))&gt;=0,FALSE),IFERROR(INT(MID(metadata!C800,6,1))&lt;=1,FALSE),NOT(MID(metadata!C800,7,1)=""),IFERROR(INT(MID(metadata!C800,6,2))&gt;=1,FALSE),IFERROR(INT(MID(metadata!C800,6,2))&lt;=12,FALSE)), OR(MID(metadata!C800,8,1)="", AND(AND(MID(metadata!C800,8,1)="-",IFERROR(INT(MID(metadata!C800,9,1))&gt;=0,FALSE),IFERROR(INT(MID(metadata!C800,9,1))&lt;=3,FALSE),NOT(MID(metadata!C800,10,1)=""),IFERROR(INT(MID(metadata!C800,9,2))&gt;=1,FALSE),IFERROR(INT(MID(metadata!C800,9,2))&lt;=31,FALSE)), OR(MID(metadata!C800,11,1)="", AND(AND(MID(metadata!C800,11,1)=" ",IFERROR(INT(MID(metadata!C800,12,1))&gt;=0,FALSE),IFERROR(INT(MID(metadata!C800,12,1))&lt;=2,FALSE),NOT(MID(metadata!C800,13,1)=""),IFERROR(INT(MID(metadata!C800,12,2))&gt;=0,FALSE),IFERROR(INT(MID(metadata!C800,12,2))&lt;=23,FALSE)), OR(MID(metadata!C800,14,1)="", AND(AND(MID(metadata!C800,14,1)=":",IFERROR(INT(MID(metadata!C800,15,1))&gt;=0,FALSE),IFERROR(INT(MID(metadata!C800,15,1))&lt;=5,FALSE),NOT(MID(metadata!C800,16,1)=""),IFERROR(INT(MID(metadata!C800,15,2))&gt;=0,FALSE),IFERROR(INT(MID(metadata!C800,15,2))&lt;=59,FALSE)), OR(MID(metadata!C800,17,1)="", AND(AND(MID(metadata!C800,17,1)=":",IFERROR(INT(MID(metadata!C800,18,1))&gt;=0,FALSE),IFERROR(INT(MID(metadata!C800,18,1))&lt;=5,FALSE),NOT(MID(metadata!C800,19,1)=""),IFERROR(INT(MID(metadata!C800,18,2))&gt;=0,FALSE),IFERROR(INT(MID(metadata!C800,18,2))&lt;=59,FALSE)), LEN(metadata!C800)&lt;=19)))))))))))))</f>
        <v>0</v>
      </c>
      <c r="AD800">
        <f>IF(metadata!D800="",FALSE,TRUE)</f>
        <v>0</v>
      </c>
      <c r="AE800">
        <f>OR(AND(IF(metadata!E800="",FALSE,TRUE),OR(exact(metadata!E800,"missing: not collected"),exact(metadata!E800,"missing: not provided"))),AND(IF(metadata!E800="",FALSE,TRUE),OR(exact(metadata!E800,"TRUE"),exact(metadata!E800,"FALSE"))))</f>
        <v>0</v>
      </c>
      <c r="AF800">
        <f>IF(metadata!F800="",FALSE,TRUE)</f>
        <v>0</v>
      </c>
      <c r="AG800">
        <f>IF(metadata!G800="",FALSE,TRUE)</f>
        <v>0</v>
      </c>
      <c r="AH800">
        <f>IF(metadata!H800="",FALSE,TRUE)</f>
        <v>0</v>
      </c>
      <c r="AI800">
        <f>OR(AND(IF(metadata!I800="",FALSE,TRUE),OR(exact(metadata!I800,"missing: not collected"),exact(metadata!I800,"missing: not provided"),exact(metadata!I800,"missing: restricted access"))),AND(IF(metadata!I800="",FALSE,TRUE),OR(exact(metadata!I800,"air"),exact(metadata!I800,"built environment"),exact(metadata!I800,"host-associated"),exact(metadata!I800,"human-associated"),exact(metadata!I800,"human-skin"),exact(metadata!I800,"human-oral"),exact(metadata!I800,"human-gut"),exact(metadata!I800,"human-vaginal"),exact(metadata!I800,"microbial mat/biofilm"),exact(metadata!I800,"misc environment"),exact(metadata!I800,"plant-associated"),exact(metadata!I800,"sediment"),exact(metadata!I800,"soil"),exact(metadata!I800,"wastewater/sludge"),exact(metadata!I800,"water"))))</f>
        <v>0</v>
      </c>
      <c r="AJ800">
        <f>IF(metadata!J800="",FALSE,TRUE)</f>
        <v>0</v>
      </c>
      <c r="AK800">
        <f>OR(AND(IF(metadata!K800="",FALSE,TRUE),OR(exact(metadata!K800,"missing: not collected"),exact(metadata!K800,"missing: not provided"),exact(metadata!K800,"missing: restricted access"))),AND(IF(metadata!K800="",FALSE,ISNUMBER(VALUE(metadata!K800))),metadata!K800&gt;=-90.00,metadata!K800&lt;=90.00))</f>
        <v>0</v>
      </c>
      <c r="AL800">
        <f>OR(AND(IF(metadata!L800="",FALSE,TRUE),OR(exact(metadata!L800,"missing: not collected"),exact(metadata!L800,"missing: not provided"),exact(metadata!L800,"missing: restricted access"))),AND(IF(metadata!L800="",FALSE,ISNUMBER(VALUE(metadata!L800))),metadata!L800&gt;=-180.00,metadata!L800&lt;=180.00))</f>
        <v>0</v>
      </c>
      <c r="AM800">
        <f>IF(metadata!M800="",FALSE,TRUE)</f>
        <v>0</v>
      </c>
      <c r="AN800">
        <f>OR(AND(IF(metadata!N800="",FALSE,TRUE),OR(exact(metadata!N800,"missing: not collected"),exact(metadata!N800,"missing: not provided"),exact(metadata!N800,"missing: restricted access"))),AND(IF(metadata!N800="",FALSE,TRUE),OR(exact(metadata!N800,"TRUE"),exact(metadata!N800,"FALSE"))))</f>
        <v>0</v>
      </c>
      <c r="AO800">
        <f>IF(metadata!O800="",FALSE,TRUE)</f>
        <v>0</v>
      </c>
      <c r="AP800">
        <f>OR(AND(IF(metadata!P800="",FALSE,TRUE),OR(exact(metadata!P800,"missing: not collected"),exact(metadata!P800,"missing: not provided"))),AND(IF(metadata!P800="",FALSE,IF(ISERROR(INT(metadata!P800)),FALSE,INT(metadata!P800)=metadata!P800)),metadata!P800&gt;0))</f>
        <v>0</v>
      </c>
      <c r="AQ800">
        <f>IF(metadata!Q800="",FALSE,TRUE)</f>
        <v>0</v>
      </c>
    </row>
    <row r="801" spans="1:43">
      <c r="A801" s="5">
        <f>IF(B801=" "," ",HYPERLINK(CONCATENATE("#metadata!",ADDRESS(INDEX($W$2:$W$1001,MATCH(ROWS($U$2:U801),$U$2:$U$1001,0),0),1)),INDEX($Z$2:$Z$1001,MATCH(ROWS($U$2:U801),$U$2:$U$1001,0),0)))</f>
        <v>0</v>
      </c>
      <c r="B801" s="4">
        <f>IF(OR(INDEX($V$2:$V$1001,MATCH(ROWS($U$2:U801),$U$2:$U$1001,0),1)&gt;=100000,INDEX($AB$1005:$AQ$1005,1,MATCH(COLUMNS($AB$1006:AB1006),$AB$1006:$AQ$1006,0))&gt;=100000), " ",IF(INDEX($AB$2:$AQ$1001,MATCH(ROWS($U$2:U801),$U$2:$U$1001,0),MATCH(COLUMNS($AB$1006:AB1006),$AB$1006:$AQ$1006,0)), HYPERLINK("#",""), HYPERLINK(CONCATENATE("#metadata!", ADDRESS(INDEX($W$2:$W$1001,MATCH(ROWS($U$2:U801),$U$2:$U$1001,0),0), INDEX($AB$1004:$AQ$1004,1,MATCH(COLUMNS($AB$1006:AB1006),$AB$1006:$AQ$1006,0)))),"Fix")))</f>
        <v>0</v>
      </c>
      <c r="C801" s="4">
        <f>IF(OR(INDEX($V$2:$V$1001,MATCH(ROWS($U$2:U801),$U$2:$U$1001,0),1)&gt;=100000,INDEX($AB$1005:$AQ$1005,1,MATCH(COLUMNS($AB$1006:AC1006),$AB$1006:$AQ$1006,0))&gt;=100000), " ",IF(INDEX($AB$2:$AQ$1001,MATCH(ROWS($U$2:U801),$U$2:$U$1001,0),MATCH(COLUMNS($AB$1006:AC1006),$AB$1006:$AQ$1006,0)), HYPERLINK("#",""), HYPERLINK(CONCATENATE("#metadata!", ADDRESS(INDEX($W$2:$W$1001,MATCH(ROWS($U$2:U801),$U$2:$U$1001,0),0), INDEX($AB$1004:$AQ$1004,1,MATCH(COLUMNS($AB$1006:AC1006),$AB$1006:$AQ$1006,0)))),"Fix")))</f>
        <v>0</v>
      </c>
      <c r="D801" s="4">
        <f>IF(OR(INDEX($V$2:$V$1001,MATCH(ROWS($U$2:U801),$U$2:$U$1001,0),1)&gt;=100000,INDEX($AB$1005:$AQ$1005,1,MATCH(COLUMNS($AB$1006:AD1006),$AB$1006:$AQ$1006,0))&gt;=100000), " ",IF(INDEX($AB$2:$AQ$1001,MATCH(ROWS($U$2:U801),$U$2:$U$1001,0),MATCH(COLUMNS($AB$1006:AD1006),$AB$1006:$AQ$1006,0)), HYPERLINK("#",""), HYPERLINK(CONCATENATE("#metadata!", ADDRESS(INDEX($W$2:$W$1001,MATCH(ROWS($U$2:U801),$U$2:$U$1001,0),0), INDEX($AB$1004:$AQ$1004,1,MATCH(COLUMNS($AB$1006:AD1006),$AB$1006:$AQ$1006,0)))),"Fix")))</f>
        <v>0</v>
      </c>
      <c r="E801" s="4">
        <f>IF(OR(INDEX($V$2:$V$1001,MATCH(ROWS($U$2:U801),$U$2:$U$1001,0),1)&gt;=100000,INDEX($AB$1005:$AQ$1005,1,MATCH(COLUMNS($AB$1006:AE1006),$AB$1006:$AQ$1006,0))&gt;=100000), " ",IF(INDEX($AB$2:$AQ$1001,MATCH(ROWS($U$2:U801),$U$2:$U$1001,0),MATCH(COLUMNS($AB$1006:AE1006),$AB$1006:$AQ$1006,0)), HYPERLINK("#",""), HYPERLINK(CONCATENATE("#metadata!", ADDRESS(INDEX($W$2:$W$1001,MATCH(ROWS($U$2:U801),$U$2:$U$1001,0),0), INDEX($AB$1004:$AQ$1004,1,MATCH(COLUMNS($AB$1006:AE1006),$AB$1006:$AQ$1006,0)))),"Fix")))</f>
        <v>0</v>
      </c>
      <c r="F801" s="4">
        <f>IF(OR(INDEX($V$2:$V$1001,MATCH(ROWS($U$2:U801),$U$2:$U$1001,0),1)&gt;=100000,INDEX($AB$1005:$AQ$1005,1,MATCH(COLUMNS($AB$1006:AF1006),$AB$1006:$AQ$1006,0))&gt;=100000), " ",IF(INDEX($AB$2:$AQ$1001,MATCH(ROWS($U$2:U801),$U$2:$U$1001,0),MATCH(COLUMNS($AB$1006:AF1006),$AB$1006:$AQ$1006,0)), HYPERLINK("#",""), HYPERLINK(CONCATENATE("#metadata!", ADDRESS(INDEX($W$2:$W$1001,MATCH(ROWS($U$2:U801),$U$2:$U$1001,0),0), INDEX($AB$1004:$AQ$1004,1,MATCH(COLUMNS($AB$1006:AF1006),$AB$1006:$AQ$1006,0)))),"Fix")))</f>
        <v>0</v>
      </c>
      <c r="G801" s="4">
        <f>IF(OR(INDEX($V$2:$V$1001,MATCH(ROWS($U$2:U801),$U$2:$U$1001,0),1)&gt;=100000,INDEX($AB$1005:$AQ$1005,1,MATCH(COLUMNS($AB$1006:AG1006),$AB$1006:$AQ$1006,0))&gt;=100000), " ",IF(INDEX($AB$2:$AQ$1001,MATCH(ROWS($U$2:U801),$U$2:$U$1001,0),MATCH(COLUMNS($AB$1006:AG1006),$AB$1006:$AQ$1006,0)), HYPERLINK("#",""), HYPERLINK(CONCATENATE("#metadata!", ADDRESS(INDEX($W$2:$W$1001,MATCH(ROWS($U$2:U801),$U$2:$U$1001,0),0), INDEX($AB$1004:$AQ$1004,1,MATCH(COLUMNS($AB$1006:AG1006),$AB$1006:$AQ$1006,0)))),"Fix")))</f>
        <v>0</v>
      </c>
      <c r="H801" s="4">
        <f>IF(OR(INDEX($V$2:$V$1001,MATCH(ROWS($U$2:U801),$U$2:$U$1001,0),1)&gt;=100000,INDEX($AB$1005:$AQ$1005,1,MATCH(COLUMNS($AB$1006:AH1006),$AB$1006:$AQ$1006,0))&gt;=100000), " ",IF(INDEX($AB$2:$AQ$1001,MATCH(ROWS($U$2:U801),$U$2:$U$1001,0),MATCH(COLUMNS($AB$1006:AH1006),$AB$1006:$AQ$1006,0)), HYPERLINK("#",""), HYPERLINK(CONCATENATE("#metadata!", ADDRESS(INDEX($W$2:$W$1001,MATCH(ROWS($U$2:U801),$U$2:$U$1001,0),0), INDEX($AB$1004:$AQ$1004,1,MATCH(COLUMNS($AB$1006:AH1006),$AB$1006:$AQ$1006,0)))),"Fix")))</f>
        <v>0</v>
      </c>
      <c r="I801" s="4">
        <f>IF(OR(INDEX($V$2:$V$1001,MATCH(ROWS($U$2:U801),$U$2:$U$1001,0),1)&gt;=100000,INDEX($AB$1005:$AQ$1005,1,MATCH(COLUMNS($AB$1006:AI1006),$AB$1006:$AQ$1006,0))&gt;=100000), " ",IF(INDEX($AB$2:$AQ$1001,MATCH(ROWS($U$2:U801),$U$2:$U$1001,0),MATCH(COLUMNS($AB$1006:AI1006),$AB$1006:$AQ$1006,0)), HYPERLINK("#",""), HYPERLINK(CONCATENATE("#metadata!", ADDRESS(INDEX($W$2:$W$1001,MATCH(ROWS($U$2:U801),$U$2:$U$1001,0),0), INDEX($AB$1004:$AQ$1004,1,MATCH(COLUMNS($AB$1006:AI1006),$AB$1006:$AQ$1006,0)))),"Fix")))</f>
        <v>0</v>
      </c>
      <c r="J801" s="4">
        <f>IF(OR(INDEX($V$2:$V$1001,MATCH(ROWS($U$2:U801),$U$2:$U$1001,0),1)&gt;=100000,INDEX($AB$1005:$AQ$1005,1,MATCH(COLUMNS($AB$1006:AJ1006),$AB$1006:$AQ$1006,0))&gt;=100000), " ",IF(INDEX($AB$2:$AQ$1001,MATCH(ROWS($U$2:U801),$U$2:$U$1001,0),MATCH(COLUMNS($AB$1006:AJ1006),$AB$1006:$AQ$1006,0)), HYPERLINK("#",""), HYPERLINK(CONCATENATE("#metadata!", ADDRESS(INDEX($W$2:$W$1001,MATCH(ROWS($U$2:U801),$U$2:$U$1001,0),0), INDEX($AB$1004:$AQ$1004,1,MATCH(COLUMNS($AB$1006:AJ1006),$AB$1006:$AQ$1006,0)))),"Fix")))</f>
        <v>0</v>
      </c>
      <c r="K801" s="4">
        <f>IF(OR(INDEX($V$2:$V$1001,MATCH(ROWS($U$2:U801),$U$2:$U$1001,0),1)&gt;=100000,INDEX($AB$1005:$AQ$1005,1,MATCH(COLUMNS($AB$1006:AK1006),$AB$1006:$AQ$1006,0))&gt;=100000), " ",IF(INDEX($AB$2:$AQ$1001,MATCH(ROWS($U$2:U801),$U$2:$U$1001,0),MATCH(COLUMNS($AB$1006:AK1006),$AB$1006:$AQ$1006,0)), HYPERLINK("#",""), HYPERLINK(CONCATENATE("#metadata!", ADDRESS(INDEX($W$2:$W$1001,MATCH(ROWS($U$2:U801),$U$2:$U$1001,0),0), INDEX($AB$1004:$AQ$1004,1,MATCH(COLUMNS($AB$1006:AK1006),$AB$1006:$AQ$1006,0)))),"Fix")))</f>
        <v>0</v>
      </c>
      <c r="L801" s="4">
        <f>IF(OR(INDEX($V$2:$V$1001,MATCH(ROWS($U$2:U801),$U$2:$U$1001,0),1)&gt;=100000,INDEX($AB$1005:$AQ$1005,1,MATCH(COLUMNS($AB$1006:AL1006),$AB$1006:$AQ$1006,0))&gt;=100000), " ",IF(INDEX($AB$2:$AQ$1001,MATCH(ROWS($U$2:U801),$U$2:$U$1001,0),MATCH(COLUMNS($AB$1006:AL1006),$AB$1006:$AQ$1006,0)), HYPERLINK("#",""), HYPERLINK(CONCATENATE("#metadata!", ADDRESS(INDEX($W$2:$W$1001,MATCH(ROWS($U$2:U801),$U$2:$U$1001,0),0), INDEX($AB$1004:$AQ$1004,1,MATCH(COLUMNS($AB$1006:AL1006),$AB$1006:$AQ$1006,0)))),"Fix")))</f>
        <v>0</v>
      </c>
      <c r="M801" s="4">
        <f>IF(OR(INDEX($V$2:$V$1001,MATCH(ROWS($U$2:U801),$U$2:$U$1001,0),1)&gt;=100000,INDEX($AB$1005:$AQ$1005,1,MATCH(COLUMNS($AB$1006:AM1006),$AB$1006:$AQ$1006,0))&gt;=100000), " ",IF(INDEX($AB$2:$AQ$1001,MATCH(ROWS($U$2:U801),$U$2:$U$1001,0),MATCH(COLUMNS($AB$1006:AM1006),$AB$1006:$AQ$1006,0)), HYPERLINK("#",""), HYPERLINK(CONCATENATE("#metadata!", ADDRESS(INDEX($W$2:$W$1001,MATCH(ROWS($U$2:U801),$U$2:$U$1001,0),0), INDEX($AB$1004:$AQ$1004,1,MATCH(COLUMNS($AB$1006:AM1006),$AB$1006:$AQ$1006,0)))),"Fix")))</f>
        <v>0</v>
      </c>
      <c r="N801" s="4">
        <f>IF(OR(INDEX($V$2:$V$1001,MATCH(ROWS($U$2:U801),$U$2:$U$1001,0),1)&gt;=100000,INDEX($AB$1005:$AQ$1005,1,MATCH(COLUMNS($AB$1006:AN1006),$AB$1006:$AQ$1006,0))&gt;=100000), " ",IF(INDEX($AB$2:$AQ$1001,MATCH(ROWS($U$2:U801),$U$2:$U$1001,0),MATCH(COLUMNS($AB$1006:AN1006),$AB$1006:$AQ$1006,0)), HYPERLINK("#",""), HYPERLINK(CONCATENATE("#metadata!", ADDRESS(INDEX($W$2:$W$1001,MATCH(ROWS($U$2:U801),$U$2:$U$1001,0),0), INDEX($AB$1004:$AQ$1004,1,MATCH(COLUMNS($AB$1006:AN1006),$AB$1006:$AQ$1006,0)))),"Fix")))</f>
        <v>0</v>
      </c>
      <c r="O801" s="4">
        <f>IF(OR(INDEX($V$2:$V$1001,MATCH(ROWS($U$2:U801),$U$2:$U$1001,0),1)&gt;=100000,INDEX($AB$1005:$AQ$1005,1,MATCH(COLUMNS($AB$1006:AO1006),$AB$1006:$AQ$1006,0))&gt;=100000), " ",IF(INDEX($AB$2:$AQ$1001,MATCH(ROWS($U$2:U801),$U$2:$U$1001,0),MATCH(COLUMNS($AB$1006:AO1006),$AB$1006:$AQ$1006,0)), HYPERLINK("#",""), HYPERLINK(CONCATENATE("#metadata!", ADDRESS(INDEX($W$2:$W$1001,MATCH(ROWS($U$2:U801),$U$2:$U$1001,0),0), INDEX($AB$1004:$AQ$1004,1,MATCH(COLUMNS($AB$1006:AO1006),$AB$1006:$AQ$1006,0)))),"Fix")))</f>
        <v>0</v>
      </c>
      <c r="P801" s="4">
        <f>IF(OR(INDEX($V$2:$V$1001,MATCH(ROWS($U$2:U801),$U$2:$U$1001,0),1)&gt;=100000,INDEX($AB$1005:$AQ$1005,1,MATCH(COLUMNS($AB$1006:AP1006),$AB$1006:$AQ$1006,0))&gt;=100000), " ",IF(INDEX($AB$2:$AQ$1001,MATCH(ROWS($U$2:U801),$U$2:$U$1001,0),MATCH(COLUMNS($AB$1006:AP1006),$AB$1006:$AQ$1006,0)), HYPERLINK("#",""), HYPERLINK(CONCATENATE("#metadata!", ADDRESS(INDEX($W$2:$W$1001,MATCH(ROWS($U$2:U801),$U$2:$U$1001,0),0), INDEX($AB$1004:$AQ$1004,1,MATCH(COLUMNS($AB$1006:AP1006),$AB$1006:$AQ$1006,0)))),"Fix")))</f>
        <v>0</v>
      </c>
      <c r="Q801" s="4">
        <f>IF(OR(INDEX($V$2:$V$1001,MATCH(ROWS($U$2:U801),$U$2:$U$1001,0),1)&gt;=100000,INDEX($AB$1005:$AQ$1005,1,MATCH(COLUMNS($AB$1006:AQ1006),$AB$1006:$AQ$1006,0))&gt;=100000), " ",IF(INDEX($AB$2:$AQ$1001,MATCH(ROWS($U$2:U801),$U$2:$U$1001,0),MATCH(COLUMNS($AB$1006:AQ1006),$AB$1006:$AQ$1006,0)), HYPERLINK("#",""), HYPERLINK(CONCATENATE("#metadata!", ADDRESS(INDEX($W$2:$W$1001,MATCH(ROWS($U$2:U801),$U$2:$U$1001,0),0), INDEX($AB$1004:$AQ$1004,1,MATCH(COLUMNS($AB$1006:AQ1006),$AB$1006:$AQ$1006,0)))),"Fix")))</f>
        <v>0</v>
      </c>
      <c r="U801">
        <v>0</v>
      </c>
      <c r="V801">
        <v>0</v>
      </c>
      <c r="W801">
        <v>0</v>
      </c>
      <c r="X801">
        <f>IF(Y801,TRUE,AND(AB801:AQ801))</f>
        <v>0</v>
      </c>
      <c r="Y801">
        <f>COUNTBLANK(metadata!B801:Q801)=COLUMNS(metadata!B801:Q801)</f>
        <v>0</v>
      </c>
      <c r="Z801">
        <v>0</v>
      </c>
      <c r="AB801">
        <f>AND(IF(metadata!B801="",FALSE,TRUE),COUNTIF(metadata!B:B, metadata!B801) = 1,NOT(ISERROR(SUMPRODUCT(SEARCH(MID(metadata!B801,ROW(INDIRECT("1:"&amp;LEN(metadata!B801))), 1),"0123456789abcdefghijklmnopqrstuvwxyzABCDEFGHIJKLMNOPQRSTUVWXYZ.")))))</f>
        <v>0</v>
      </c>
      <c r="AC801">
        <f>OR(AND(IF(metadata!C801="",FALSE,TRUE),OR(exact(metadata!C801,"missing: not collected"),exact(metadata!C801,"missing: not provided"),exact(metadata!C801,"missing: restricted access"))),AND(IF(metadata!C801="",FALSE,TRUE),AND(AND(IFERROR(INT(LEFT(metadata!C801,4))&gt;1900,FALSE),IFERROR(INT(LEFT(metadata!C801,4))&lt;=YEAR(NOW()),FALSE)), OR(MID(metadata!C801,5,1)="", AND(AND(MID(metadata!C801,5,1)="-",IFERROR(INT(MID(metadata!C801,6,1))&gt;=0,FALSE),IFERROR(INT(MID(metadata!C801,6,1))&lt;=1,FALSE),NOT(MID(metadata!C801,7,1)=""),IFERROR(INT(MID(metadata!C801,6,2))&gt;=1,FALSE),IFERROR(INT(MID(metadata!C801,6,2))&lt;=12,FALSE)), OR(MID(metadata!C801,8,1)="", AND(AND(MID(metadata!C801,8,1)="-",IFERROR(INT(MID(metadata!C801,9,1))&gt;=0,FALSE),IFERROR(INT(MID(metadata!C801,9,1))&lt;=3,FALSE),NOT(MID(metadata!C801,10,1)=""),IFERROR(INT(MID(metadata!C801,9,2))&gt;=1,FALSE),IFERROR(INT(MID(metadata!C801,9,2))&lt;=31,FALSE)), OR(MID(metadata!C801,11,1)="", AND(AND(MID(metadata!C801,11,1)=" ",IFERROR(INT(MID(metadata!C801,12,1))&gt;=0,FALSE),IFERROR(INT(MID(metadata!C801,12,1))&lt;=2,FALSE),NOT(MID(metadata!C801,13,1)=""),IFERROR(INT(MID(metadata!C801,12,2))&gt;=0,FALSE),IFERROR(INT(MID(metadata!C801,12,2))&lt;=23,FALSE)), OR(MID(metadata!C801,14,1)="", AND(AND(MID(metadata!C801,14,1)=":",IFERROR(INT(MID(metadata!C801,15,1))&gt;=0,FALSE),IFERROR(INT(MID(metadata!C801,15,1))&lt;=5,FALSE),NOT(MID(metadata!C801,16,1)=""),IFERROR(INT(MID(metadata!C801,15,2))&gt;=0,FALSE),IFERROR(INT(MID(metadata!C801,15,2))&lt;=59,FALSE)), OR(MID(metadata!C801,17,1)="", AND(AND(MID(metadata!C801,17,1)=":",IFERROR(INT(MID(metadata!C801,18,1))&gt;=0,FALSE),IFERROR(INT(MID(metadata!C801,18,1))&lt;=5,FALSE),NOT(MID(metadata!C801,19,1)=""),IFERROR(INT(MID(metadata!C801,18,2))&gt;=0,FALSE),IFERROR(INT(MID(metadata!C801,18,2))&lt;=59,FALSE)), LEN(metadata!C801)&lt;=19)))))))))))))</f>
        <v>0</v>
      </c>
      <c r="AD801">
        <f>IF(metadata!D801="",FALSE,TRUE)</f>
        <v>0</v>
      </c>
      <c r="AE801">
        <f>OR(AND(IF(metadata!E801="",FALSE,TRUE),OR(exact(metadata!E801,"missing: not collected"),exact(metadata!E801,"missing: not provided"))),AND(IF(metadata!E801="",FALSE,TRUE),OR(exact(metadata!E801,"TRUE"),exact(metadata!E801,"FALSE"))))</f>
        <v>0</v>
      </c>
      <c r="AF801">
        <f>IF(metadata!F801="",FALSE,TRUE)</f>
        <v>0</v>
      </c>
      <c r="AG801">
        <f>IF(metadata!G801="",FALSE,TRUE)</f>
        <v>0</v>
      </c>
      <c r="AH801">
        <f>IF(metadata!H801="",FALSE,TRUE)</f>
        <v>0</v>
      </c>
      <c r="AI801">
        <f>OR(AND(IF(metadata!I801="",FALSE,TRUE),OR(exact(metadata!I801,"missing: not collected"),exact(metadata!I801,"missing: not provided"),exact(metadata!I801,"missing: restricted access"))),AND(IF(metadata!I801="",FALSE,TRUE),OR(exact(metadata!I801,"air"),exact(metadata!I801,"built environment"),exact(metadata!I801,"host-associated"),exact(metadata!I801,"human-associated"),exact(metadata!I801,"human-skin"),exact(metadata!I801,"human-oral"),exact(metadata!I801,"human-gut"),exact(metadata!I801,"human-vaginal"),exact(metadata!I801,"microbial mat/biofilm"),exact(metadata!I801,"misc environment"),exact(metadata!I801,"plant-associated"),exact(metadata!I801,"sediment"),exact(metadata!I801,"soil"),exact(metadata!I801,"wastewater/sludge"),exact(metadata!I801,"water"))))</f>
        <v>0</v>
      </c>
      <c r="AJ801">
        <f>IF(metadata!J801="",FALSE,TRUE)</f>
        <v>0</v>
      </c>
      <c r="AK801">
        <f>OR(AND(IF(metadata!K801="",FALSE,TRUE),OR(exact(metadata!K801,"missing: not collected"),exact(metadata!K801,"missing: not provided"),exact(metadata!K801,"missing: restricted access"))),AND(IF(metadata!K801="",FALSE,ISNUMBER(VALUE(metadata!K801))),metadata!K801&gt;=-90.00,metadata!K801&lt;=90.00))</f>
        <v>0</v>
      </c>
      <c r="AL801">
        <f>OR(AND(IF(metadata!L801="",FALSE,TRUE),OR(exact(metadata!L801,"missing: not collected"),exact(metadata!L801,"missing: not provided"),exact(metadata!L801,"missing: restricted access"))),AND(IF(metadata!L801="",FALSE,ISNUMBER(VALUE(metadata!L801))),metadata!L801&gt;=-180.00,metadata!L801&lt;=180.00))</f>
        <v>0</v>
      </c>
      <c r="AM801">
        <f>IF(metadata!M801="",FALSE,TRUE)</f>
        <v>0</v>
      </c>
      <c r="AN801">
        <f>OR(AND(IF(metadata!N801="",FALSE,TRUE),OR(exact(metadata!N801,"missing: not collected"),exact(metadata!N801,"missing: not provided"),exact(metadata!N801,"missing: restricted access"))),AND(IF(metadata!N801="",FALSE,TRUE),OR(exact(metadata!N801,"TRUE"),exact(metadata!N801,"FALSE"))))</f>
        <v>0</v>
      </c>
      <c r="AO801">
        <f>IF(metadata!O801="",FALSE,TRUE)</f>
        <v>0</v>
      </c>
      <c r="AP801">
        <f>OR(AND(IF(metadata!P801="",FALSE,TRUE),OR(exact(metadata!P801,"missing: not collected"),exact(metadata!P801,"missing: not provided"))),AND(IF(metadata!P801="",FALSE,IF(ISERROR(INT(metadata!P801)),FALSE,INT(metadata!P801)=metadata!P801)),metadata!P801&gt;0))</f>
        <v>0</v>
      </c>
      <c r="AQ801">
        <f>IF(metadata!Q801="",FALSE,TRUE)</f>
        <v>0</v>
      </c>
    </row>
    <row r="802" spans="1:43">
      <c r="A802" s="5">
        <f>IF(B802=" "," ",HYPERLINK(CONCATENATE("#metadata!",ADDRESS(INDEX($W$2:$W$1001,MATCH(ROWS($U$2:U802),$U$2:$U$1001,0),0),1)),INDEX($Z$2:$Z$1001,MATCH(ROWS($U$2:U802),$U$2:$U$1001,0),0)))</f>
        <v>0</v>
      </c>
      <c r="B802" s="4">
        <f>IF(OR(INDEX($V$2:$V$1001,MATCH(ROWS($U$2:U802),$U$2:$U$1001,0),1)&gt;=100000,INDEX($AB$1005:$AQ$1005,1,MATCH(COLUMNS($AB$1006:AB1006),$AB$1006:$AQ$1006,0))&gt;=100000), " ",IF(INDEX($AB$2:$AQ$1001,MATCH(ROWS($U$2:U802),$U$2:$U$1001,0),MATCH(COLUMNS($AB$1006:AB1006),$AB$1006:$AQ$1006,0)), HYPERLINK("#",""), HYPERLINK(CONCATENATE("#metadata!", ADDRESS(INDEX($W$2:$W$1001,MATCH(ROWS($U$2:U802),$U$2:$U$1001,0),0), INDEX($AB$1004:$AQ$1004,1,MATCH(COLUMNS($AB$1006:AB1006),$AB$1006:$AQ$1006,0)))),"Fix")))</f>
        <v>0</v>
      </c>
      <c r="C802" s="4">
        <f>IF(OR(INDEX($V$2:$V$1001,MATCH(ROWS($U$2:U802),$U$2:$U$1001,0),1)&gt;=100000,INDEX($AB$1005:$AQ$1005,1,MATCH(COLUMNS($AB$1006:AC1006),$AB$1006:$AQ$1006,0))&gt;=100000), " ",IF(INDEX($AB$2:$AQ$1001,MATCH(ROWS($U$2:U802),$U$2:$U$1001,0),MATCH(COLUMNS($AB$1006:AC1006),$AB$1006:$AQ$1006,0)), HYPERLINK("#",""), HYPERLINK(CONCATENATE("#metadata!", ADDRESS(INDEX($W$2:$W$1001,MATCH(ROWS($U$2:U802),$U$2:$U$1001,0),0), INDEX($AB$1004:$AQ$1004,1,MATCH(COLUMNS($AB$1006:AC1006),$AB$1006:$AQ$1006,0)))),"Fix")))</f>
        <v>0</v>
      </c>
      <c r="D802" s="4">
        <f>IF(OR(INDEX($V$2:$V$1001,MATCH(ROWS($U$2:U802),$U$2:$U$1001,0),1)&gt;=100000,INDEX($AB$1005:$AQ$1005,1,MATCH(COLUMNS($AB$1006:AD1006),$AB$1006:$AQ$1006,0))&gt;=100000), " ",IF(INDEX($AB$2:$AQ$1001,MATCH(ROWS($U$2:U802),$U$2:$U$1001,0),MATCH(COLUMNS($AB$1006:AD1006),$AB$1006:$AQ$1006,0)), HYPERLINK("#",""), HYPERLINK(CONCATENATE("#metadata!", ADDRESS(INDEX($W$2:$W$1001,MATCH(ROWS($U$2:U802),$U$2:$U$1001,0),0), INDEX($AB$1004:$AQ$1004,1,MATCH(COLUMNS($AB$1006:AD1006),$AB$1006:$AQ$1006,0)))),"Fix")))</f>
        <v>0</v>
      </c>
      <c r="E802" s="4">
        <f>IF(OR(INDEX($V$2:$V$1001,MATCH(ROWS($U$2:U802),$U$2:$U$1001,0),1)&gt;=100000,INDEX($AB$1005:$AQ$1005,1,MATCH(COLUMNS($AB$1006:AE1006),$AB$1006:$AQ$1006,0))&gt;=100000), " ",IF(INDEX($AB$2:$AQ$1001,MATCH(ROWS($U$2:U802),$U$2:$U$1001,0),MATCH(COLUMNS($AB$1006:AE1006),$AB$1006:$AQ$1006,0)), HYPERLINK("#",""), HYPERLINK(CONCATENATE("#metadata!", ADDRESS(INDEX($W$2:$W$1001,MATCH(ROWS($U$2:U802),$U$2:$U$1001,0),0), INDEX($AB$1004:$AQ$1004,1,MATCH(COLUMNS($AB$1006:AE1006),$AB$1006:$AQ$1006,0)))),"Fix")))</f>
        <v>0</v>
      </c>
      <c r="F802" s="4">
        <f>IF(OR(INDEX($V$2:$V$1001,MATCH(ROWS($U$2:U802),$U$2:$U$1001,0),1)&gt;=100000,INDEX($AB$1005:$AQ$1005,1,MATCH(COLUMNS($AB$1006:AF1006),$AB$1006:$AQ$1006,0))&gt;=100000), " ",IF(INDEX($AB$2:$AQ$1001,MATCH(ROWS($U$2:U802),$U$2:$U$1001,0),MATCH(COLUMNS($AB$1006:AF1006),$AB$1006:$AQ$1006,0)), HYPERLINK("#",""), HYPERLINK(CONCATENATE("#metadata!", ADDRESS(INDEX($W$2:$W$1001,MATCH(ROWS($U$2:U802),$U$2:$U$1001,0),0), INDEX($AB$1004:$AQ$1004,1,MATCH(COLUMNS($AB$1006:AF1006),$AB$1006:$AQ$1006,0)))),"Fix")))</f>
        <v>0</v>
      </c>
      <c r="G802" s="4">
        <f>IF(OR(INDEX($V$2:$V$1001,MATCH(ROWS($U$2:U802),$U$2:$U$1001,0),1)&gt;=100000,INDEX($AB$1005:$AQ$1005,1,MATCH(COLUMNS($AB$1006:AG1006),$AB$1006:$AQ$1006,0))&gt;=100000), " ",IF(INDEX($AB$2:$AQ$1001,MATCH(ROWS($U$2:U802),$U$2:$U$1001,0),MATCH(COLUMNS($AB$1006:AG1006),$AB$1006:$AQ$1006,0)), HYPERLINK("#",""), HYPERLINK(CONCATENATE("#metadata!", ADDRESS(INDEX($W$2:$W$1001,MATCH(ROWS($U$2:U802),$U$2:$U$1001,0),0), INDEX($AB$1004:$AQ$1004,1,MATCH(COLUMNS($AB$1006:AG1006),$AB$1006:$AQ$1006,0)))),"Fix")))</f>
        <v>0</v>
      </c>
      <c r="H802" s="4">
        <f>IF(OR(INDEX($V$2:$V$1001,MATCH(ROWS($U$2:U802),$U$2:$U$1001,0),1)&gt;=100000,INDEX($AB$1005:$AQ$1005,1,MATCH(COLUMNS($AB$1006:AH1006),$AB$1006:$AQ$1006,0))&gt;=100000), " ",IF(INDEX($AB$2:$AQ$1001,MATCH(ROWS($U$2:U802),$U$2:$U$1001,0),MATCH(COLUMNS($AB$1006:AH1006),$AB$1006:$AQ$1006,0)), HYPERLINK("#",""), HYPERLINK(CONCATENATE("#metadata!", ADDRESS(INDEX($W$2:$W$1001,MATCH(ROWS($U$2:U802),$U$2:$U$1001,0),0), INDEX($AB$1004:$AQ$1004,1,MATCH(COLUMNS($AB$1006:AH1006),$AB$1006:$AQ$1006,0)))),"Fix")))</f>
        <v>0</v>
      </c>
      <c r="I802" s="4">
        <f>IF(OR(INDEX($V$2:$V$1001,MATCH(ROWS($U$2:U802),$U$2:$U$1001,0),1)&gt;=100000,INDEX($AB$1005:$AQ$1005,1,MATCH(COLUMNS($AB$1006:AI1006),$AB$1006:$AQ$1006,0))&gt;=100000), " ",IF(INDEX($AB$2:$AQ$1001,MATCH(ROWS($U$2:U802),$U$2:$U$1001,0),MATCH(COLUMNS($AB$1006:AI1006),$AB$1006:$AQ$1006,0)), HYPERLINK("#",""), HYPERLINK(CONCATENATE("#metadata!", ADDRESS(INDEX($W$2:$W$1001,MATCH(ROWS($U$2:U802),$U$2:$U$1001,0),0), INDEX($AB$1004:$AQ$1004,1,MATCH(COLUMNS($AB$1006:AI1006),$AB$1006:$AQ$1006,0)))),"Fix")))</f>
        <v>0</v>
      </c>
      <c r="J802" s="4">
        <f>IF(OR(INDEX($V$2:$V$1001,MATCH(ROWS($U$2:U802),$U$2:$U$1001,0),1)&gt;=100000,INDEX($AB$1005:$AQ$1005,1,MATCH(COLUMNS($AB$1006:AJ1006),$AB$1006:$AQ$1006,0))&gt;=100000), " ",IF(INDEX($AB$2:$AQ$1001,MATCH(ROWS($U$2:U802),$U$2:$U$1001,0),MATCH(COLUMNS($AB$1006:AJ1006),$AB$1006:$AQ$1006,0)), HYPERLINK("#",""), HYPERLINK(CONCATENATE("#metadata!", ADDRESS(INDEX($W$2:$W$1001,MATCH(ROWS($U$2:U802),$U$2:$U$1001,0),0), INDEX($AB$1004:$AQ$1004,1,MATCH(COLUMNS($AB$1006:AJ1006),$AB$1006:$AQ$1006,0)))),"Fix")))</f>
        <v>0</v>
      </c>
      <c r="K802" s="4">
        <f>IF(OR(INDEX($V$2:$V$1001,MATCH(ROWS($U$2:U802),$U$2:$U$1001,0),1)&gt;=100000,INDEX($AB$1005:$AQ$1005,1,MATCH(COLUMNS($AB$1006:AK1006),$AB$1006:$AQ$1006,0))&gt;=100000), " ",IF(INDEX($AB$2:$AQ$1001,MATCH(ROWS($U$2:U802),$U$2:$U$1001,0),MATCH(COLUMNS($AB$1006:AK1006),$AB$1006:$AQ$1006,0)), HYPERLINK("#",""), HYPERLINK(CONCATENATE("#metadata!", ADDRESS(INDEX($W$2:$W$1001,MATCH(ROWS($U$2:U802),$U$2:$U$1001,0),0), INDEX($AB$1004:$AQ$1004,1,MATCH(COLUMNS($AB$1006:AK1006),$AB$1006:$AQ$1006,0)))),"Fix")))</f>
        <v>0</v>
      </c>
      <c r="L802" s="4">
        <f>IF(OR(INDEX($V$2:$V$1001,MATCH(ROWS($U$2:U802),$U$2:$U$1001,0),1)&gt;=100000,INDEX($AB$1005:$AQ$1005,1,MATCH(COLUMNS($AB$1006:AL1006),$AB$1006:$AQ$1006,0))&gt;=100000), " ",IF(INDEX($AB$2:$AQ$1001,MATCH(ROWS($U$2:U802),$U$2:$U$1001,0),MATCH(COLUMNS($AB$1006:AL1006),$AB$1006:$AQ$1006,0)), HYPERLINK("#",""), HYPERLINK(CONCATENATE("#metadata!", ADDRESS(INDEX($W$2:$W$1001,MATCH(ROWS($U$2:U802),$U$2:$U$1001,0),0), INDEX($AB$1004:$AQ$1004,1,MATCH(COLUMNS($AB$1006:AL1006),$AB$1006:$AQ$1006,0)))),"Fix")))</f>
        <v>0</v>
      </c>
      <c r="M802" s="4">
        <f>IF(OR(INDEX($V$2:$V$1001,MATCH(ROWS($U$2:U802),$U$2:$U$1001,0),1)&gt;=100000,INDEX($AB$1005:$AQ$1005,1,MATCH(COLUMNS($AB$1006:AM1006),$AB$1006:$AQ$1006,0))&gt;=100000), " ",IF(INDEX($AB$2:$AQ$1001,MATCH(ROWS($U$2:U802),$U$2:$U$1001,0),MATCH(COLUMNS($AB$1006:AM1006),$AB$1006:$AQ$1006,0)), HYPERLINK("#",""), HYPERLINK(CONCATENATE("#metadata!", ADDRESS(INDEX($W$2:$W$1001,MATCH(ROWS($U$2:U802),$U$2:$U$1001,0),0), INDEX($AB$1004:$AQ$1004,1,MATCH(COLUMNS($AB$1006:AM1006),$AB$1006:$AQ$1006,0)))),"Fix")))</f>
        <v>0</v>
      </c>
      <c r="N802" s="4">
        <f>IF(OR(INDEX($V$2:$V$1001,MATCH(ROWS($U$2:U802),$U$2:$U$1001,0),1)&gt;=100000,INDEX($AB$1005:$AQ$1005,1,MATCH(COLUMNS($AB$1006:AN1006),$AB$1006:$AQ$1006,0))&gt;=100000), " ",IF(INDEX($AB$2:$AQ$1001,MATCH(ROWS($U$2:U802),$U$2:$U$1001,0),MATCH(COLUMNS($AB$1006:AN1006),$AB$1006:$AQ$1006,0)), HYPERLINK("#",""), HYPERLINK(CONCATENATE("#metadata!", ADDRESS(INDEX($W$2:$W$1001,MATCH(ROWS($U$2:U802),$U$2:$U$1001,0),0), INDEX($AB$1004:$AQ$1004,1,MATCH(COLUMNS($AB$1006:AN1006),$AB$1006:$AQ$1006,0)))),"Fix")))</f>
        <v>0</v>
      </c>
      <c r="O802" s="4">
        <f>IF(OR(INDEX($V$2:$V$1001,MATCH(ROWS($U$2:U802),$U$2:$U$1001,0),1)&gt;=100000,INDEX($AB$1005:$AQ$1005,1,MATCH(COLUMNS($AB$1006:AO1006),$AB$1006:$AQ$1006,0))&gt;=100000), " ",IF(INDEX($AB$2:$AQ$1001,MATCH(ROWS($U$2:U802),$U$2:$U$1001,0),MATCH(COLUMNS($AB$1006:AO1006),$AB$1006:$AQ$1006,0)), HYPERLINK("#",""), HYPERLINK(CONCATENATE("#metadata!", ADDRESS(INDEX($W$2:$W$1001,MATCH(ROWS($U$2:U802),$U$2:$U$1001,0),0), INDEX($AB$1004:$AQ$1004,1,MATCH(COLUMNS($AB$1006:AO1006),$AB$1006:$AQ$1006,0)))),"Fix")))</f>
        <v>0</v>
      </c>
      <c r="P802" s="4">
        <f>IF(OR(INDEX($V$2:$V$1001,MATCH(ROWS($U$2:U802),$U$2:$U$1001,0),1)&gt;=100000,INDEX($AB$1005:$AQ$1005,1,MATCH(COLUMNS($AB$1006:AP1006),$AB$1006:$AQ$1006,0))&gt;=100000), " ",IF(INDEX($AB$2:$AQ$1001,MATCH(ROWS($U$2:U802),$U$2:$U$1001,0),MATCH(COLUMNS($AB$1006:AP1006),$AB$1006:$AQ$1006,0)), HYPERLINK("#",""), HYPERLINK(CONCATENATE("#metadata!", ADDRESS(INDEX($W$2:$W$1001,MATCH(ROWS($U$2:U802),$U$2:$U$1001,0),0), INDEX($AB$1004:$AQ$1004,1,MATCH(COLUMNS($AB$1006:AP1006),$AB$1006:$AQ$1006,0)))),"Fix")))</f>
        <v>0</v>
      </c>
      <c r="Q802" s="4">
        <f>IF(OR(INDEX($V$2:$V$1001,MATCH(ROWS($U$2:U802),$U$2:$U$1001,0),1)&gt;=100000,INDEX($AB$1005:$AQ$1005,1,MATCH(COLUMNS($AB$1006:AQ1006),$AB$1006:$AQ$1006,0))&gt;=100000), " ",IF(INDEX($AB$2:$AQ$1001,MATCH(ROWS($U$2:U802),$U$2:$U$1001,0),MATCH(COLUMNS($AB$1006:AQ1006),$AB$1006:$AQ$1006,0)), HYPERLINK("#",""), HYPERLINK(CONCATENATE("#metadata!", ADDRESS(INDEX($W$2:$W$1001,MATCH(ROWS($U$2:U802),$U$2:$U$1001,0),0), INDEX($AB$1004:$AQ$1004,1,MATCH(COLUMNS($AB$1006:AQ1006),$AB$1006:$AQ$1006,0)))),"Fix")))</f>
        <v>0</v>
      </c>
      <c r="U802">
        <v>0</v>
      </c>
      <c r="V802">
        <v>0</v>
      </c>
      <c r="W802">
        <v>0</v>
      </c>
      <c r="X802">
        <f>IF(Y802,TRUE,AND(AB802:AQ802))</f>
        <v>0</v>
      </c>
      <c r="Y802">
        <f>COUNTBLANK(metadata!B802:Q802)=COLUMNS(metadata!B802:Q802)</f>
        <v>0</v>
      </c>
      <c r="Z802">
        <v>0</v>
      </c>
      <c r="AB802">
        <f>AND(IF(metadata!B802="",FALSE,TRUE),COUNTIF(metadata!B:B, metadata!B802) = 1,NOT(ISERROR(SUMPRODUCT(SEARCH(MID(metadata!B802,ROW(INDIRECT("1:"&amp;LEN(metadata!B802))), 1),"0123456789abcdefghijklmnopqrstuvwxyzABCDEFGHIJKLMNOPQRSTUVWXYZ.")))))</f>
        <v>0</v>
      </c>
      <c r="AC802">
        <f>OR(AND(IF(metadata!C802="",FALSE,TRUE),OR(exact(metadata!C802,"missing: not collected"),exact(metadata!C802,"missing: not provided"),exact(metadata!C802,"missing: restricted access"))),AND(IF(metadata!C802="",FALSE,TRUE),AND(AND(IFERROR(INT(LEFT(metadata!C802,4))&gt;1900,FALSE),IFERROR(INT(LEFT(metadata!C802,4))&lt;=YEAR(NOW()),FALSE)), OR(MID(metadata!C802,5,1)="", AND(AND(MID(metadata!C802,5,1)="-",IFERROR(INT(MID(metadata!C802,6,1))&gt;=0,FALSE),IFERROR(INT(MID(metadata!C802,6,1))&lt;=1,FALSE),NOT(MID(metadata!C802,7,1)=""),IFERROR(INT(MID(metadata!C802,6,2))&gt;=1,FALSE),IFERROR(INT(MID(metadata!C802,6,2))&lt;=12,FALSE)), OR(MID(metadata!C802,8,1)="", AND(AND(MID(metadata!C802,8,1)="-",IFERROR(INT(MID(metadata!C802,9,1))&gt;=0,FALSE),IFERROR(INT(MID(metadata!C802,9,1))&lt;=3,FALSE),NOT(MID(metadata!C802,10,1)=""),IFERROR(INT(MID(metadata!C802,9,2))&gt;=1,FALSE),IFERROR(INT(MID(metadata!C802,9,2))&lt;=31,FALSE)), OR(MID(metadata!C802,11,1)="", AND(AND(MID(metadata!C802,11,1)=" ",IFERROR(INT(MID(metadata!C802,12,1))&gt;=0,FALSE),IFERROR(INT(MID(metadata!C802,12,1))&lt;=2,FALSE),NOT(MID(metadata!C802,13,1)=""),IFERROR(INT(MID(metadata!C802,12,2))&gt;=0,FALSE),IFERROR(INT(MID(metadata!C802,12,2))&lt;=23,FALSE)), OR(MID(metadata!C802,14,1)="", AND(AND(MID(metadata!C802,14,1)=":",IFERROR(INT(MID(metadata!C802,15,1))&gt;=0,FALSE),IFERROR(INT(MID(metadata!C802,15,1))&lt;=5,FALSE),NOT(MID(metadata!C802,16,1)=""),IFERROR(INT(MID(metadata!C802,15,2))&gt;=0,FALSE),IFERROR(INT(MID(metadata!C802,15,2))&lt;=59,FALSE)), OR(MID(metadata!C802,17,1)="", AND(AND(MID(metadata!C802,17,1)=":",IFERROR(INT(MID(metadata!C802,18,1))&gt;=0,FALSE),IFERROR(INT(MID(metadata!C802,18,1))&lt;=5,FALSE),NOT(MID(metadata!C802,19,1)=""),IFERROR(INT(MID(metadata!C802,18,2))&gt;=0,FALSE),IFERROR(INT(MID(metadata!C802,18,2))&lt;=59,FALSE)), LEN(metadata!C802)&lt;=19)))))))))))))</f>
        <v>0</v>
      </c>
      <c r="AD802">
        <f>IF(metadata!D802="",FALSE,TRUE)</f>
        <v>0</v>
      </c>
      <c r="AE802">
        <f>OR(AND(IF(metadata!E802="",FALSE,TRUE),OR(exact(metadata!E802,"missing: not collected"),exact(metadata!E802,"missing: not provided"))),AND(IF(metadata!E802="",FALSE,TRUE),OR(exact(metadata!E802,"TRUE"),exact(metadata!E802,"FALSE"))))</f>
        <v>0</v>
      </c>
      <c r="AF802">
        <f>IF(metadata!F802="",FALSE,TRUE)</f>
        <v>0</v>
      </c>
      <c r="AG802">
        <f>IF(metadata!G802="",FALSE,TRUE)</f>
        <v>0</v>
      </c>
      <c r="AH802">
        <f>IF(metadata!H802="",FALSE,TRUE)</f>
        <v>0</v>
      </c>
      <c r="AI802">
        <f>OR(AND(IF(metadata!I802="",FALSE,TRUE),OR(exact(metadata!I802,"missing: not collected"),exact(metadata!I802,"missing: not provided"),exact(metadata!I802,"missing: restricted access"))),AND(IF(metadata!I802="",FALSE,TRUE),OR(exact(metadata!I802,"air"),exact(metadata!I802,"built environment"),exact(metadata!I802,"host-associated"),exact(metadata!I802,"human-associated"),exact(metadata!I802,"human-skin"),exact(metadata!I802,"human-oral"),exact(metadata!I802,"human-gut"),exact(metadata!I802,"human-vaginal"),exact(metadata!I802,"microbial mat/biofilm"),exact(metadata!I802,"misc environment"),exact(metadata!I802,"plant-associated"),exact(metadata!I802,"sediment"),exact(metadata!I802,"soil"),exact(metadata!I802,"wastewater/sludge"),exact(metadata!I802,"water"))))</f>
        <v>0</v>
      </c>
      <c r="AJ802">
        <f>IF(metadata!J802="",FALSE,TRUE)</f>
        <v>0</v>
      </c>
      <c r="AK802">
        <f>OR(AND(IF(metadata!K802="",FALSE,TRUE),OR(exact(metadata!K802,"missing: not collected"),exact(metadata!K802,"missing: not provided"),exact(metadata!K802,"missing: restricted access"))),AND(IF(metadata!K802="",FALSE,ISNUMBER(VALUE(metadata!K802))),metadata!K802&gt;=-90.00,metadata!K802&lt;=90.00))</f>
        <v>0</v>
      </c>
      <c r="AL802">
        <f>OR(AND(IF(metadata!L802="",FALSE,TRUE),OR(exact(metadata!L802,"missing: not collected"),exact(metadata!L802,"missing: not provided"),exact(metadata!L802,"missing: restricted access"))),AND(IF(metadata!L802="",FALSE,ISNUMBER(VALUE(metadata!L802))),metadata!L802&gt;=-180.00,metadata!L802&lt;=180.00))</f>
        <v>0</v>
      </c>
      <c r="AM802">
        <f>IF(metadata!M802="",FALSE,TRUE)</f>
        <v>0</v>
      </c>
      <c r="AN802">
        <f>OR(AND(IF(metadata!N802="",FALSE,TRUE),OR(exact(metadata!N802,"missing: not collected"),exact(metadata!N802,"missing: not provided"),exact(metadata!N802,"missing: restricted access"))),AND(IF(metadata!N802="",FALSE,TRUE),OR(exact(metadata!N802,"TRUE"),exact(metadata!N802,"FALSE"))))</f>
        <v>0</v>
      </c>
      <c r="AO802">
        <f>IF(metadata!O802="",FALSE,TRUE)</f>
        <v>0</v>
      </c>
      <c r="AP802">
        <f>OR(AND(IF(metadata!P802="",FALSE,TRUE),OR(exact(metadata!P802,"missing: not collected"),exact(metadata!P802,"missing: not provided"))),AND(IF(metadata!P802="",FALSE,IF(ISERROR(INT(metadata!P802)),FALSE,INT(metadata!P802)=metadata!P802)),metadata!P802&gt;0))</f>
        <v>0</v>
      </c>
      <c r="AQ802">
        <f>IF(metadata!Q802="",FALSE,TRUE)</f>
        <v>0</v>
      </c>
    </row>
    <row r="803" spans="1:43">
      <c r="A803" s="5">
        <f>IF(B803=" "," ",HYPERLINK(CONCATENATE("#metadata!",ADDRESS(INDEX($W$2:$W$1001,MATCH(ROWS($U$2:U803),$U$2:$U$1001,0),0),1)),INDEX($Z$2:$Z$1001,MATCH(ROWS($U$2:U803),$U$2:$U$1001,0),0)))</f>
        <v>0</v>
      </c>
      <c r="B803" s="4">
        <f>IF(OR(INDEX($V$2:$V$1001,MATCH(ROWS($U$2:U803),$U$2:$U$1001,0),1)&gt;=100000,INDEX($AB$1005:$AQ$1005,1,MATCH(COLUMNS($AB$1006:AB1006),$AB$1006:$AQ$1006,0))&gt;=100000), " ",IF(INDEX($AB$2:$AQ$1001,MATCH(ROWS($U$2:U803),$U$2:$U$1001,0),MATCH(COLUMNS($AB$1006:AB1006),$AB$1006:$AQ$1006,0)), HYPERLINK("#",""), HYPERLINK(CONCATENATE("#metadata!", ADDRESS(INDEX($W$2:$W$1001,MATCH(ROWS($U$2:U803),$U$2:$U$1001,0),0), INDEX($AB$1004:$AQ$1004,1,MATCH(COLUMNS($AB$1006:AB1006),$AB$1006:$AQ$1006,0)))),"Fix")))</f>
        <v>0</v>
      </c>
      <c r="C803" s="4">
        <f>IF(OR(INDEX($V$2:$V$1001,MATCH(ROWS($U$2:U803),$U$2:$U$1001,0),1)&gt;=100000,INDEX($AB$1005:$AQ$1005,1,MATCH(COLUMNS($AB$1006:AC1006),$AB$1006:$AQ$1006,0))&gt;=100000), " ",IF(INDEX($AB$2:$AQ$1001,MATCH(ROWS($U$2:U803),$U$2:$U$1001,0),MATCH(COLUMNS($AB$1006:AC1006),$AB$1006:$AQ$1006,0)), HYPERLINK("#",""), HYPERLINK(CONCATENATE("#metadata!", ADDRESS(INDEX($W$2:$W$1001,MATCH(ROWS($U$2:U803),$U$2:$U$1001,0),0), INDEX($AB$1004:$AQ$1004,1,MATCH(COLUMNS($AB$1006:AC1006),$AB$1006:$AQ$1006,0)))),"Fix")))</f>
        <v>0</v>
      </c>
      <c r="D803" s="4">
        <f>IF(OR(INDEX($V$2:$V$1001,MATCH(ROWS($U$2:U803),$U$2:$U$1001,0),1)&gt;=100000,INDEX($AB$1005:$AQ$1005,1,MATCH(COLUMNS($AB$1006:AD1006),$AB$1006:$AQ$1006,0))&gt;=100000), " ",IF(INDEX($AB$2:$AQ$1001,MATCH(ROWS($U$2:U803),$U$2:$U$1001,0),MATCH(COLUMNS($AB$1006:AD1006),$AB$1006:$AQ$1006,0)), HYPERLINK("#",""), HYPERLINK(CONCATENATE("#metadata!", ADDRESS(INDEX($W$2:$W$1001,MATCH(ROWS($U$2:U803),$U$2:$U$1001,0),0), INDEX($AB$1004:$AQ$1004,1,MATCH(COLUMNS($AB$1006:AD1006),$AB$1006:$AQ$1006,0)))),"Fix")))</f>
        <v>0</v>
      </c>
      <c r="E803" s="4">
        <f>IF(OR(INDEX($V$2:$V$1001,MATCH(ROWS($U$2:U803),$U$2:$U$1001,0),1)&gt;=100000,INDEX($AB$1005:$AQ$1005,1,MATCH(COLUMNS($AB$1006:AE1006),$AB$1006:$AQ$1006,0))&gt;=100000), " ",IF(INDEX($AB$2:$AQ$1001,MATCH(ROWS($U$2:U803),$U$2:$U$1001,0),MATCH(COLUMNS($AB$1006:AE1006),$AB$1006:$AQ$1006,0)), HYPERLINK("#",""), HYPERLINK(CONCATENATE("#metadata!", ADDRESS(INDEX($W$2:$W$1001,MATCH(ROWS($U$2:U803),$U$2:$U$1001,0),0), INDEX($AB$1004:$AQ$1004,1,MATCH(COLUMNS($AB$1006:AE1006),$AB$1006:$AQ$1006,0)))),"Fix")))</f>
        <v>0</v>
      </c>
      <c r="F803" s="4">
        <f>IF(OR(INDEX($V$2:$V$1001,MATCH(ROWS($U$2:U803),$U$2:$U$1001,0),1)&gt;=100000,INDEX($AB$1005:$AQ$1005,1,MATCH(COLUMNS($AB$1006:AF1006),$AB$1006:$AQ$1006,0))&gt;=100000), " ",IF(INDEX($AB$2:$AQ$1001,MATCH(ROWS($U$2:U803),$U$2:$U$1001,0),MATCH(COLUMNS($AB$1006:AF1006),$AB$1006:$AQ$1006,0)), HYPERLINK("#",""), HYPERLINK(CONCATENATE("#metadata!", ADDRESS(INDEX($W$2:$W$1001,MATCH(ROWS($U$2:U803),$U$2:$U$1001,0),0), INDEX($AB$1004:$AQ$1004,1,MATCH(COLUMNS($AB$1006:AF1006),$AB$1006:$AQ$1006,0)))),"Fix")))</f>
        <v>0</v>
      </c>
      <c r="G803" s="4">
        <f>IF(OR(INDEX($V$2:$V$1001,MATCH(ROWS($U$2:U803),$U$2:$U$1001,0),1)&gt;=100000,INDEX($AB$1005:$AQ$1005,1,MATCH(COLUMNS($AB$1006:AG1006),$AB$1006:$AQ$1006,0))&gt;=100000), " ",IF(INDEX($AB$2:$AQ$1001,MATCH(ROWS($U$2:U803),$U$2:$U$1001,0),MATCH(COLUMNS($AB$1006:AG1006),$AB$1006:$AQ$1006,0)), HYPERLINK("#",""), HYPERLINK(CONCATENATE("#metadata!", ADDRESS(INDEX($W$2:$W$1001,MATCH(ROWS($U$2:U803),$U$2:$U$1001,0),0), INDEX($AB$1004:$AQ$1004,1,MATCH(COLUMNS($AB$1006:AG1006),$AB$1006:$AQ$1006,0)))),"Fix")))</f>
        <v>0</v>
      </c>
      <c r="H803" s="4">
        <f>IF(OR(INDEX($V$2:$V$1001,MATCH(ROWS($U$2:U803),$U$2:$U$1001,0),1)&gt;=100000,INDEX($AB$1005:$AQ$1005,1,MATCH(COLUMNS($AB$1006:AH1006),$AB$1006:$AQ$1006,0))&gt;=100000), " ",IF(INDEX($AB$2:$AQ$1001,MATCH(ROWS($U$2:U803),$U$2:$U$1001,0),MATCH(COLUMNS($AB$1006:AH1006),$AB$1006:$AQ$1006,0)), HYPERLINK("#",""), HYPERLINK(CONCATENATE("#metadata!", ADDRESS(INDEX($W$2:$W$1001,MATCH(ROWS($U$2:U803),$U$2:$U$1001,0),0), INDEX($AB$1004:$AQ$1004,1,MATCH(COLUMNS($AB$1006:AH1006),$AB$1006:$AQ$1006,0)))),"Fix")))</f>
        <v>0</v>
      </c>
      <c r="I803" s="4">
        <f>IF(OR(INDEX($V$2:$V$1001,MATCH(ROWS($U$2:U803),$U$2:$U$1001,0),1)&gt;=100000,INDEX($AB$1005:$AQ$1005,1,MATCH(COLUMNS($AB$1006:AI1006),$AB$1006:$AQ$1006,0))&gt;=100000), " ",IF(INDEX($AB$2:$AQ$1001,MATCH(ROWS($U$2:U803),$U$2:$U$1001,0),MATCH(COLUMNS($AB$1006:AI1006),$AB$1006:$AQ$1006,0)), HYPERLINK("#",""), HYPERLINK(CONCATENATE("#metadata!", ADDRESS(INDEX($W$2:$W$1001,MATCH(ROWS($U$2:U803),$U$2:$U$1001,0),0), INDEX($AB$1004:$AQ$1004,1,MATCH(COLUMNS($AB$1006:AI1006),$AB$1006:$AQ$1006,0)))),"Fix")))</f>
        <v>0</v>
      </c>
      <c r="J803" s="4">
        <f>IF(OR(INDEX($V$2:$V$1001,MATCH(ROWS($U$2:U803),$U$2:$U$1001,0),1)&gt;=100000,INDEX($AB$1005:$AQ$1005,1,MATCH(COLUMNS($AB$1006:AJ1006),$AB$1006:$AQ$1006,0))&gt;=100000), " ",IF(INDEX($AB$2:$AQ$1001,MATCH(ROWS($U$2:U803),$U$2:$U$1001,0),MATCH(COLUMNS($AB$1006:AJ1006),$AB$1006:$AQ$1006,0)), HYPERLINK("#",""), HYPERLINK(CONCATENATE("#metadata!", ADDRESS(INDEX($W$2:$W$1001,MATCH(ROWS($U$2:U803),$U$2:$U$1001,0),0), INDEX($AB$1004:$AQ$1004,1,MATCH(COLUMNS($AB$1006:AJ1006),$AB$1006:$AQ$1006,0)))),"Fix")))</f>
        <v>0</v>
      </c>
      <c r="K803" s="4">
        <f>IF(OR(INDEX($V$2:$V$1001,MATCH(ROWS($U$2:U803),$U$2:$U$1001,0),1)&gt;=100000,INDEX($AB$1005:$AQ$1005,1,MATCH(COLUMNS($AB$1006:AK1006),$AB$1006:$AQ$1006,0))&gt;=100000), " ",IF(INDEX($AB$2:$AQ$1001,MATCH(ROWS($U$2:U803),$U$2:$U$1001,0),MATCH(COLUMNS($AB$1006:AK1006),$AB$1006:$AQ$1006,0)), HYPERLINK("#",""), HYPERLINK(CONCATENATE("#metadata!", ADDRESS(INDEX($W$2:$W$1001,MATCH(ROWS($U$2:U803),$U$2:$U$1001,0),0), INDEX($AB$1004:$AQ$1004,1,MATCH(COLUMNS($AB$1006:AK1006),$AB$1006:$AQ$1006,0)))),"Fix")))</f>
        <v>0</v>
      </c>
      <c r="L803" s="4">
        <f>IF(OR(INDEX($V$2:$V$1001,MATCH(ROWS($U$2:U803),$U$2:$U$1001,0),1)&gt;=100000,INDEX($AB$1005:$AQ$1005,1,MATCH(COLUMNS($AB$1006:AL1006),$AB$1006:$AQ$1006,0))&gt;=100000), " ",IF(INDEX($AB$2:$AQ$1001,MATCH(ROWS($U$2:U803),$U$2:$U$1001,0),MATCH(COLUMNS($AB$1006:AL1006),$AB$1006:$AQ$1006,0)), HYPERLINK("#",""), HYPERLINK(CONCATENATE("#metadata!", ADDRESS(INDEX($W$2:$W$1001,MATCH(ROWS($U$2:U803),$U$2:$U$1001,0),0), INDEX($AB$1004:$AQ$1004,1,MATCH(COLUMNS($AB$1006:AL1006),$AB$1006:$AQ$1006,0)))),"Fix")))</f>
        <v>0</v>
      </c>
      <c r="M803" s="4">
        <f>IF(OR(INDEX($V$2:$V$1001,MATCH(ROWS($U$2:U803),$U$2:$U$1001,0),1)&gt;=100000,INDEX($AB$1005:$AQ$1005,1,MATCH(COLUMNS($AB$1006:AM1006),$AB$1006:$AQ$1006,0))&gt;=100000), " ",IF(INDEX($AB$2:$AQ$1001,MATCH(ROWS($U$2:U803),$U$2:$U$1001,0),MATCH(COLUMNS($AB$1006:AM1006),$AB$1006:$AQ$1006,0)), HYPERLINK("#",""), HYPERLINK(CONCATENATE("#metadata!", ADDRESS(INDEX($W$2:$W$1001,MATCH(ROWS($U$2:U803),$U$2:$U$1001,0),0), INDEX($AB$1004:$AQ$1004,1,MATCH(COLUMNS($AB$1006:AM1006),$AB$1006:$AQ$1006,0)))),"Fix")))</f>
        <v>0</v>
      </c>
      <c r="N803" s="4">
        <f>IF(OR(INDEX($V$2:$V$1001,MATCH(ROWS($U$2:U803),$U$2:$U$1001,0),1)&gt;=100000,INDEX($AB$1005:$AQ$1005,1,MATCH(COLUMNS($AB$1006:AN1006),$AB$1006:$AQ$1006,0))&gt;=100000), " ",IF(INDEX($AB$2:$AQ$1001,MATCH(ROWS($U$2:U803),$U$2:$U$1001,0),MATCH(COLUMNS($AB$1006:AN1006),$AB$1006:$AQ$1006,0)), HYPERLINK("#",""), HYPERLINK(CONCATENATE("#metadata!", ADDRESS(INDEX($W$2:$W$1001,MATCH(ROWS($U$2:U803),$U$2:$U$1001,0),0), INDEX($AB$1004:$AQ$1004,1,MATCH(COLUMNS($AB$1006:AN1006),$AB$1006:$AQ$1006,0)))),"Fix")))</f>
        <v>0</v>
      </c>
      <c r="O803" s="4">
        <f>IF(OR(INDEX($V$2:$V$1001,MATCH(ROWS($U$2:U803),$U$2:$U$1001,0),1)&gt;=100000,INDEX($AB$1005:$AQ$1005,1,MATCH(COLUMNS($AB$1006:AO1006),$AB$1006:$AQ$1006,0))&gt;=100000), " ",IF(INDEX($AB$2:$AQ$1001,MATCH(ROWS($U$2:U803),$U$2:$U$1001,0),MATCH(COLUMNS($AB$1006:AO1006),$AB$1006:$AQ$1006,0)), HYPERLINK("#",""), HYPERLINK(CONCATENATE("#metadata!", ADDRESS(INDEX($W$2:$W$1001,MATCH(ROWS($U$2:U803),$U$2:$U$1001,0),0), INDEX($AB$1004:$AQ$1004,1,MATCH(COLUMNS($AB$1006:AO1006),$AB$1006:$AQ$1006,0)))),"Fix")))</f>
        <v>0</v>
      </c>
      <c r="P803" s="4">
        <f>IF(OR(INDEX($V$2:$V$1001,MATCH(ROWS($U$2:U803),$U$2:$U$1001,0),1)&gt;=100000,INDEX($AB$1005:$AQ$1005,1,MATCH(COLUMNS($AB$1006:AP1006),$AB$1006:$AQ$1006,0))&gt;=100000), " ",IF(INDEX($AB$2:$AQ$1001,MATCH(ROWS($U$2:U803),$U$2:$U$1001,0),MATCH(COLUMNS($AB$1006:AP1006),$AB$1006:$AQ$1006,0)), HYPERLINK("#",""), HYPERLINK(CONCATENATE("#metadata!", ADDRESS(INDEX($W$2:$W$1001,MATCH(ROWS($U$2:U803),$U$2:$U$1001,0),0), INDEX($AB$1004:$AQ$1004,1,MATCH(COLUMNS($AB$1006:AP1006),$AB$1006:$AQ$1006,0)))),"Fix")))</f>
        <v>0</v>
      </c>
      <c r="Q803" s="4">
        <f>IF(OR(INDEX($V$2:$V$1001,MATCH(ROWS($U$2:U803),$U$2:$U$1001,0),1)&gt;=100000,INDEX($AB$1005:$AQ$1005,1,MATCH(COLUMNS($AB$1006:AQ1006),$AB$1006:$AQ$1006,0))&gt;=100000), " ",IF(INDEX($AB$2:$AQ$1001,MATCH(ROWS($U$2:U803),$U$2:$U$1001,0),MATCH(COLUMNS($AB$1006:AQ1006),$AB$1006:$AQ$1006,0)), HYPERLINK("#",""), HYPERLINK(CONCATENATE("#metadata!", ADDRESS(INDEX($W$2:$W$1001,MATCH(ROWS($U$2:U803),$U$2:$U$1001,0),0), INDEX($AB$1004:$AQ$1004,1,MATCH(COLUMNS($AB$1006:AQ1006),$AB$1006:$AQ$1006,0)))),"Fix")))</f>
        <v>0</v>
      </c>
      <c r="U803">
        <v>0</v>
      </c>
      <c r="V803">
        <v>0</v>
      </c>
      <c r="W803">
        <v>0</v>
      </c>
      <c r="X803">
        <f>IF(Y803,TRUE,AND(AB803:AQ803))</f>
        <v>0</v>
      </c>
      <c r="Y803">
        <f>COUNTBLANK(metadata!B803:Q803)=COLUMNS(metadata!B803:Q803)</f>
        <v>0</v>
      </c>
      <c r="Z803">
        <v>0</v>
      </c>
      <c r="AB803">
        <f>AND(IF(metadata!B803="",FALSE,TRUE),COUNTIF(metadata!B:B, metadata!B803) = 1,NOT(ISERROR(SUMPRODUCT(SEARCH(MID(metadata!B803,ROW(INDIRECT("1:"&amp;LEN(metadata!B803))), 1),"0123456789abcdefghijklmnopqrstuvwxyzABCDEFGHIJKLMNOPQRSTUVWXYZ.")))))</f>
        <v>0</v>
      </c>
      <c r="AC803">
        <f>OR(AND(IF(metadata!C803="",FALSE,TRUE),OR(exact(metadata!C803,"missing: not collected"),exact(metadata!C803,"missing: not provided"),exact(metadata!C803,"missing: restricted access"))),AND(IF(metadata!C803="",FALSE,TRUE),AND(AND(IFERROR(INT(LEFT(metadata!C803,4))&gt;1900,FALSE),IFERROR(INT(LEFT(metadata!C803,4))&lt;=YEAR(NOW()),FALSE)), OR(MID(metadata!C803,5,1)="", AND(AND(MID(metadata!C803,5,1)="-",IFERROR(INT(MID(metadata!C803,6,1))&gt;=0,FALSE),IFERROR(INT(MID(metadata!C803,6,1))&lt;=1,FALSE),NOT(MID(metadata!C803,7,1)=""),IFERROR(INT(MID(metadata!C803,6,2))&gt;=1,FALSE),IFERROR(INT(MID(metadata!C803,6,2))&lt;=12,FALSE)), OR(MID(metadata!C803,8,1)="", AND(AND(MID(metadata!C803,8,1)="-",IFERROR(INT(MID(metadata!C803,9,1))&gt;=0,FALSE),IFERROR(INT(MID(metadata!C803,9,1))&lt;=3,FALSE),NOT(MID(metadata!C803,10,1)=""),IFERROR(INT(MID(metadata!C803,9,2))&gt;=1,FALSE),IFERROR(INT(MID(metadata!C803,9,2))&lt;=31,FALSE)), OR(MID(metadata!C803,11,1)="", AND(AND(MID(metadata!C803,11,1)=" ",IFERROR(INT(MID(metadata!C803,12,1))&gt;=0,FALSE),IFERROR(INT(MID(metadata!C803,12,1))&lt;=2,FALSE),NOT(MID(metadata!C803,13,1)=""),IFERROR(INT(MID(metadata!C803,12,2))&gt;=0,FALSE),IFERROR(INT(MID(metadata!C803,12,2))&lt;=23,FALSE)), OR(MID(metadata!C803,14,1)="", AND(AND(MID(metadata!C803,14,1)=":",IFERROR(INT(MID(metadata!C803,15,1))&gt;=0,FALSE),IFERROR(INT(MID(metadata!C803,15,1))&lt;=5,FALSE),NOT(MID(metadata!C803,16,1)=""),IFERROR(INT(MID(metadata!C803,15,2))&gt;=0,FALSE),IFERROR(INT(MID(metadata!C803,15,2))&lt;=59,FALSE)), OR(MID(metadata!C803,17,1)="", AND(AND(MID(metadata!C803,17,1)=":",IFERROR(INT(MID(metadata!C803,18,1))&gt;=0,FALSE),IFERROR(INT(MID(metadata!C803,18,1))&lt;=5,FALSE),NOT(MID(metadata!C803,19,1)=""),IFERROR(INT(MID(metadata!C803,18,2))&gt;=0,FALSE),IFERROR(INT(MID(metadata!C803,18,2))&lt;=59,FALSE)), LEN(metadata!C803)&lt;=19)))))))))))))</f>
        <v>0</v>
      </c>
      <c r="AD803">
        <f>IF(metadata!D803="",FALSE,TRUE)</f>
        <v>0</v>
      </c>
      <c r="AE803">
        <f>OR(AND(IF(metadata!E803="",FALSE,TRUE),OR(exact(metadata!E803,"missing: not collected"),exact(metadata!E803,"missing: not provided"))),AND(IF(metadata!E803="",FALSE,TRUE),OR(exact(metadata!E803,"TRUE"),exact(metadata!E803,"FALSE"))))</f>
        <v>0</v>
      </c>
      <c r="AF803">
        <f>IF(metadata!F803="",FALSE,TRUE)</f>
        <v>0</v>
      </c>
      <c r="AG803">
        <f>IF(metadata!G803="",FALSE,TRUE)</f>
        <v>0</v>
      </c>
      <c r="AH803">
        <f>IF(metadata!H803="",FALSE,TRUE)</f>
        <v>0</v>
      </c>
      <c r="AI803">
        <f>OR(AND(IF(metadata!I803="",FALSE,TRUE),OR(exact(metadata!I803,"missing: not collected"),exact(metadata!I803,"missing: not provided"),exact(metadata!I803,"missing: restricted access"))),AND(IF(metadata!I803="",FALSE,TRUE),OR(exact(metadata!I803,"air"),exact(metadata!I803,"built environment"),exact(metadata!I803,"host-associated"),exact(metadata!I803,"human-associated"),exact(metadata!I803,"human-skin"),exact(metadata!I803,"human-oral"),exact(metadata!I803,"human-gut"),exact(metadata!I803,"human-vaginal"),exact(metadata!I803,"microbial mat/biofilm"),exact(metadata!I803,"misc environment"),exact(metadata!I803,"plant-associated"),exact(metadata!I803,"sediment"),exact(metadata!I803,"soil"),exact(metadata!I803,"wastewater/sludge"),exact(metadata!I803,"water"))))</f>
        <v>0</v>
      </c>
      <c r="AJ803">
        <f>IF(metadata!J803="",FALSE,TRUE)</f>
        <v>0</v>
      </c>
      <c r="AK803">
        <f>OR(AND(IF(metadata!K803="",FALSE,TRUE),OR(exact(metadata!K803,"missing: not collected"),exact(metadata!K803,"missing: not provided"),exact(metadata!K803,"missing: restricted access"))),AND(IF(metadata!K803="",FALSE,ISNUMBER(VALUE(metadata!K803))),metadata!K803&gt;=-90.00,metadata!K803&lt;=90.00))</f>
        <v>0</v>
      </c>
      <c r="AL803">
        <f>OR(AND(IF(metadata!L803="",FALSE,TRUE),OR(exact(metadata!L803,"missing: not collected"),exact(metadata!L803,"missing: not provided"),exact(metadata!L803,"missing: restricted access"))),AND(IF(metadata!L803="",FALSE,ISNUMBER(VALUE(metadata!L803))),metadata!L803&gt;=-180.00,metadata!L803&lt;=180.00))</f>
        <v>0</v>
      </c>
      <c r="AM803">
        <f>IF(metadata!M803="",FALSE,TRUE)</f>
        <v>0</v>
      </c>
      <c r="AN803">
        <f>OR(AND(IF(metadata!N803="",FALSE,TRUE),OR(exact(metadata!N803,"missing: not collected"),exact(metadata!N803,"missing: not provided"),exact(metadata!N803,"missing: restricted access"))),AND(IF(metadata!N803="",FALSE,TRUE),OR(exact(metadata!N803,"TRUE"),exact(metadata!N803,"FALSE"))))</f>
        <v>0</v>
      </c>
      <c r="AO803">
        <f>IF(metadata!O803="",FALSE,TRUE)</f>
        <v>0</v>
      </c>
      <c r="AP803">
        <f>OR(AND(IF(metadata!P803="",FALSE,TRUE),OR(exact(metadata!P803,"missing: not collected"),exact(metadata!P803,"missing: not provided"))),AND(IF(metadata!P803="",FALSE,IF(ISERROR(INT(metadata!P803)),FALSE,INT(metadata!P803)=metadata!P803)),metadata!P803&gt;0))</f>
        <v>0</v>
      </c>
      <c r="AQ803">
        <f>IF(metadata!Q803="",FALSE,TRUE)</f>
        <v>0</v>
      </c>
    </row>
    <row r="804" spans="1:43">
      <c r="A804" s="5">
        <f>IF(B804=" "," ",HYPERLINK(CONCATENATE("#metadata!",ADDRESS(INDEX($W$2:$W$1001,MATCH(ROWS($U$2:U804),$U$2:$U$1001,0),0),1)),INDEX($Z$2:$Z$1001,MATCH(ROWS($U$2:U804),$U$2:$U$1001,0),0)))</f>
        <v>0</v>
      </c>
      <c r="B804" s="4">
        <f>IF(OR(INDEX($V$2:$V$1001,MATCH(ROWS($U$2:U804),$U$2:$U$1001,0),1)&gt;=100000,INDEX($AB$1005:$AQ$1005,1,MATCH(COLUMNS($AB$1006:AB1006),$AB$1006:$AQ$1006,0))&gt;=100000), " ",IF(INDEX($AB$2:$AQ$1001,MATCH(ROWS($U$2:U804),$U$2:$U$1001,0),MATCH(COLUMNS($AB$1006:AB1006),$AB$1006:$AQ$1006,0)), HYPERLINK("#",""), HYPERLINK(CONCATENATE("#metadata!", ADDRESS(INDEX($W$2:$W$1001,MATCH(ROWS($U$2:U804),$U$2:$U$1001,0),0), INDEX($AB$1004:$AQ$1004,1,MATCH(COLUMNS($AB$1006:AB1006),$AB$1006:$AQ$1006,0)))),"Fix")))</f>
        <v>0</v>
      </c>
      <c r="C804" s="4">
        <f>IF(OR(INDEX($V$2:$V$1001,MATCH(ROWS($U$2:U804),$U$2:$U$1001,0),1)&gt;=100000,INDEX($AB$1005:$AQ$1005,1,MATCH(COLUMNS($AB$1006:AC1006),$AB$1006:$AQ$1006,0))&gt;=100000), " ",IF(INDEX($AB$2:$AQ$1001,MATCH(ROWS($U$2:U804),$U$2:$U$1001,0),MATCH(COLUMNS($AB$1006:AC1006),$AB$1006:$AQ$1006,0)), HYPERLINK("#",""), HYPERLINK(CONCATENATE("#metadata!", ADDRESS(INDEX($W$2:$W$1001,MATCH(ROWS($U$2:U804),$U$2:$U$1001,0),0), INDEX($AB$1004:$AQ$1004,1,MATCH(COLUMNS($AB$1006:AC1006),$AB$1006:$AQ$1006,0)))),"Fix")))</f>
        <v>0</v>
      </c>
      <c r="D804" s="4">
        <f>IF(OR(INDEX($V$2:$V$1001,MATCH(ROWS($U$2:U804),$U$2:$U$1001,0),1)&gt;=100000,INDEX($AB$1005:$AQ$1005,1,MATCH(COLUMNS($AB$1006:AD1006),$AB$1006:$AQ$1006,0))&gt;=100000), " ",IF(INDEX($AB$2:$AQ$1001,MATCH(ROWS($U$2:U804),$U$2:$U$1001,0),MATCH(COLUMNS($AB$1006:AD1006),$AB$1006:$AQ$1006,0)), HYPERLINK("#",""), HYPERLINK(CONCATENATE("#metadata!", ADDRESS(INDEX($W$2:$W$1001,MATCH(ROWS($U$2:U804),$U$2:$U$1001,0),0), INDEX($AB$1004:$AQ$1004,1,MATCH(COLUMNS($AB$1006:AD1006),$AB$1006:$AQ$1006,0)))),"Fix")))</f>
        <v>0</v>
      </c>
      <c r="E804" s="4">
        <f>IF(OR(INDEX($V$2:$V$1001,MATCH(ROWS($U$2:U804),$U$2:$U$1001,0),1)&gt;=100000,INDEX($AB$1005:$AQ$1005,1,MATCH(COLUMNS($AB$1006:AE1006),$AB$1006:$AQ$1006,0))&gt;=100000), " ",IF(INDEX($AB$2:$AQ$1001,MATCH(ROWS($U$2:U804),$U$2:$U$1001,0),MATCH(COLUMNS($AB$1006:AE1006),$AB$1006:$AQ$1006,0)), HYPERLINK("#",""), HYPERLINK(CONCATENATE("#metadata!", ADDRESS(INDEX($W$2:$W$1001,MATCH(ROWS($U$2:U804),$U$2:$U$1001,0),0), INDEX($AB$1004:$AQ$1004,1,MATCH(COLUMNS($AB$1006:AE1006),$AB$1006:$AQ$1006,0)))),"Fix")))</f>
        <v>0</v>
      </c>
      <c r="F804" s="4">
        <f>IF(OR(INDEX($V$2:$V$1001,MATCH(ROWS($U$2:U804),$U$2:$U$1001,0),1)&gt;=100000,INDEX($AB$1005:$AQ$1005,1,MATCH(COLUMNS($AB$1006:AF1006),$AB$1006:$AQ$1006,0))&gt;=100000), " ",IF(INDEX($AB$2:$AQ$1001,MATCH(ROWS($U$2:U804),$U$2:$U$1001,0),MATCH(COLUMNS($AB$1006:AF1006),$AB$1006:$AQ$1006,0)), HYPERLINK("#",""), HYPERLINK(CONCATENATE("#metadata!", ADDRESS(INDEX($W$2:$W$1001,MATCH(ROWS($U$2:U804),$U$2:$U$1001,0),0), INDEX($AB$1004:$AQ$1004,1,MATCH(COLUMNS($AB$1006:AF1006),$AB$1006:$AQ$1006,0)))),"Fix")))</f>
        <v>0</v>
      </c>
      <c r="G804" s="4">
        <f>IF(OR(INDEX($V$2:$V$1001,MATCH(ROWS($U$2:U804),$U$2:$U$1001,0),1)&gt;=100000,INDEX($AB$1005:$AQ$1005,1,MATCH(COLUMNS($AB$1006:AG1006),$AB$1006:$AQ$1006,0))&gt;=100000), " ",IF(INDEX($AB$2:$AQ$1001,MATCH(ROWS($U$2:U804),$U$2:$U$1001,0),MATCH(COLUMNS($AB$1006:AG1006),$AB$1006:$AQ$1006,0)), HYPERLINK("#",""), HYPERLINK(CONCATENATE("#metadata!", ADDRESS(INDEX($W$2:$W$1001,MATCH(ROWS($U$2:U804),$U$2:$U$1001,0),0), INDEX($AB$1004:$AQ$1004,1,MATCH(COLUMNS($AB$1006:AG1006),$AB$1006:$AQ$1006,0)))),"Fix")))</f>
        <v>0</v>
      </c>
      <c r="H804" s="4">
        <f>IF(OR(INDEX($V$2:$V$1001,MATCH(ROWS($U$2:U804),$U$2:$U$1001,0),1)&gt;=100000,INDEX($AB$1005:$AQ$1005,1,MATCH(COLUMNS($AB$1006:AH1006),$AB$1006:$AQ$1006,0))&gt;=100000), " ",IF(INDEX($AB$2:$AQ$1001,MATCH(ROWS($U$2:U804),$U$2:$U$1001,0),MATCH(COLUMNS($AB$1006:AH1006),$AB$1006:$AQ$1006,0)), HYPERLINK("#",""), HYPERLINK(CONCATENATE("#metadata!", ADDRESS(INDEX($W$2:$W$1001,MATCH(ROWS($U$2:U804),$U$2:$U$1001,0),0), INDEX($AB$1004:$AQ$1004,1,MATCH(COLUMNS($AB$1006:AH1006),$AB$1006:$AQ$1006,0)))),"Fix")))</f>
        <v>0</v>
      </c>
      <c r="I804" s="4">
        <f>IF(OR(INDEX($V$2:$V$1001,MATCH(ROWS($U$2:U804),$U$2:$U$1001,0),1)&gt;=100000,INDEX($AB$1005:$AQ$1005,1,MATCH(COLUMNS($AB$1006:AI1006),$AB$1006:$AQ$1006,0))&gt;=100000), " ",IF(INDEX($AB$2:$AQ$1001,MATCH(ROWS($U$2:U804),$U$2:$U$1001,0),MATCH(COLUMNS($AB$1006:AI1006),$AB$1006:$AQ$1006,0)), HYPERLINK("#",""), HYPERLINK(CONCATENATE("#metadata!", ADDRESS(INDEX($W$2:$W$1001,MATCH(ROWS($U$2:U804),$U$2:$U$1001,0),0), INDEX($AB$1004:$AQ$1004,1,MATCH(COLUMNS($AB$1006:AI1006),$AB$1006:$AQ$1006,0)))),"Fix")))</f>
        <v>0</v>
      </c>
      <c r="J804" s="4">
        <f>IF(OR(INDEX($V$2:$V$1001,MATCH(ROWS($U$2:U804),$U$2:$U$1001,0),1)&gt;=100000,INDEX($AB$1005:$AQ$1005,1,MATCH(COLUMNS($AB$1006:AJ1006),$AB$1006:$AQ$1006,0))&gt;=100000), " ",IF(INDEX($AB$2:$AQ$1001,MATCH(ROWS($U$2:U804),$U$2:$U$1001,0),MATCH(COLUMNS($AB$1006:AJ1006),$AB$1006:$AQ$1006,0)), HYPERLINK("#",""), HYPERLINK(CONCATENATE("#metadata!", ADDRESS(INDEX($W$2:$W$1001,MATCH(ROWS($U$2:U804),$U$2:$U$1001,0),0), INDEX($AB$1004:$AQ$1004,1,MATCH(COLUMNS($AB$1006:AJ1006),$AB$1006:$AQ$1006,0)))),"Fix")))</f>
        <v>0</v>
      </c>
      <c r="K804" s="4">
        <f>IF(OR(INDEX($V$2:$V$1001,MATCH(ROWS($U$2:U804),$U$2:$U$1001,0),1)&gt;=100000,INDEX($AB$1005:$AQ$1005,1,MATCH(COLUMNS($AB$1006:AK1006),$AB$1006:$AQ$1006,0))&gt;=100000), " ",IF(INDEX($AB$2:$AQ$1001,MATCH(ROWS($U$2:U804),$U$2:$U$1001,0),MATCH(COLUMNS($AB$1006:AK1006),$AB$1006:$AQ$1006,0)), HYPERLINK("#",""), HYPERLINK(CONCATENATE("#metadata!", ADDRESS(INDEX($W$2:$W$1001,MATCH(ROWS($U$2:U804),$U$2:$U$1001,0),0), INDEX($AB$1004:$AQ$1004,1,MATCH(COLUMNS($AB$1006:AK1006),$AB$1006:$AQ$1006,0)))),"Fix")))</f>
        <v>0</v>
      </c>
      <c r="L804" s="4">
        <f>IF(OR(INDEX($V$2:$V$1001,MATCH(ROWS($U$2:U804),$U$2:$U$1001,0),1)&gt;=100000,INDEX($AB$1005:$AQ$1005,1,MATCH(COLUMNS($AB$1006:AL1006),$AB$1006:$AQ$1006,0))&gt;=100000), " ",IF(INDEX($AB$2:$AQ$1001,MATCH(ROWS($U$2:U804),$U$2:$U$1001,0),MATCH(COLUMNS($AB$1006:AL1006),$AB$1006:$AQ$1006,0)), HYPERLINK("#",""), HYPERLINK(CONCATENATE("#metadata!", ADDRESS(INDEX($W$2:$W$1001,MATCH(ROWS($U$2:U804),$U$2:$U$1001,0),0), INDEX($AB$1004:$AQ$1004,1,MATCH(COLUMNS($AB$1006:AL1006),$AB$1006:$AQ$1006,0)))),"Fix")))</f>
        <v>0</v>
      </c>
      <c r="M804" s="4">
        <f>IF(OR(INDEX($V$2:$V$1001,MATCH(ROWS($U$2:U804),$U$2:$U$1001,0),1)&gt;=100000,INDEX($AB$1005:$AQ$1005,1,MATCH(COLUMNS($AB$1006:AM1006),$AB$1006:$AQ$1006,0))&gt;=100000), " ",IF(INDEX($AB$2:$AQ$1001,MATCH(ROWS($U$2:U804),$U$2:$U$1001,0),MATCH(COLUMNS($AB$1006:AM1006),$AB$1006:$AQ$1006,0)), HYPERLINK("#",""), HYPERLINK(CONCATENATE("#metadata!", ADDRESS(INDEX($W$2:$W$1001,MATCH(ROWS($U$2:U804),$U$2:$U$1001,0),0), INDEX($AB$1004:$AQ$1004,1,MATCH(COLUMNS($AB$1006:AM1006),$AB$1006:$AQ$1006,0)))),"Fix")))</f>
        <v>0</v>
      </c>
      <c r="N804" s="4">
        <f>IF(OR(INDEX($V$2:$V$1001,MATCH(ROWS($U$2:U804),$U$2:$U$1001,0),1)&gt;=100000,INDEX($AB$1005:$AQ$1005,1,MATCH(COLUMNS($AB$1006:AN1006),$AB$1006:$AQ$1006,0))&gt;=100000), " ",IF(INDEX($AB$2:$AQ$1001,MATCH(ROWS($U$2:U804),$U$2:$U$1001,0),MATCH(COLUMNS($AB$1006:AN1006),$AB$1006:$AQ$1006,0)), HYPERLINK("#",""), HYPERLINK(CONCATENATE("#metadata!", ADDRESS(INDEX($W$2:$W$1001,MATCH(ROWS($U$2:U804),$U$2:$U$1001,0),0), INDEX($AB$1004:$AQ$1004,1,MATCH(COLUMNS($AB$1006:AN1006),$AB$1006:$AQ$1006,0)))),"Fix")))</f>
        <v>0</v>
      </c>
      <c r="O804" s="4">
        <f>IF(OR(INDEX($V$2:$V$1001,MATCH(ROWS($U$2:U804),$U$2:$U$1001,0),1)&gt;=100000,INDEX($AB$1005:$AQ$1005,1,MATCH(COLUMNS($AB$1006:AO1006),$AB$1006:$AQ$1006,0))&gt;=100000), " ",IF(INDEX($AB$2:$AQ$1001,MATCH(ROWS($U$2:U804),$U$2:$U$1001,0),MATCH(COLUMNS($AB$1006:AO1006),$AB$1006:$AQ$1006,0)), HYPERLINK("#",""), HYPERLINK(CONCATENATE("#metadata!", ADDRESS(INDEX($W$2:$W$1001,MATCH(ROWS($U$2:U804),$U$2:$U$1001,0),0), INDEX($AB$1004:$AQ$1004,1,MATCH(COLUMNS($AB$1006:AO1006),$AB$1006:$AQ$1006,0)))),"Fix")))</f>
        <v>0</v>
      </c>
      <c r="P804" s="4">
        <f>IF(OR(INDEX($V$2:$V$1001,MATCH(ROWS($U$2:U804),$U$2:$U$1001,0),1)&gt;=100000,INDEX($AB$1005:$AQ$1005,1,MATCH(COLUMNS($AB$1006:AP1006),$AB$1006:$AQ$1006,0))&gt;=100000), " ",IF(INDEX($AB$2:$AQ$1001,MATCH(ROWS($U$2:U804),$U$2:$U$1001,0),MATCH(COLUMNS($AB$1006:AP1006),$AB$1006:$AQ$1006,0)), HYPERLINK("#",""), HYPERLINK(CONCATENATE("#metadata!", ADDRESS(INDEX($W$2:$W$1001,MATCH(ROWS($U$2:U804),$U$2:$U$1001,0),0), INDEX($AB$1004:$AQ$1004,1,MATCH(COLUMNS($AB$1006:AP1006),$AB$1006:$AQ$1006,0)))),"Fix")))</f>
        <v>0</v>
      </c>
      <c r="Q804" s="4">
        <f>IF(OR(INDEX($V$2:$V$1001,MATCH(ROWS($U$2:U804),$U$2:$U$1001,0),1)&gt;=100000,INDEX($AB$1005:$AQ$1005,1,MATCH(COLUMNS($AB$1006:AQ1006),$AB$1006:$AQ$1006,0))&gt;=100000), " ",IF(INDEX($AB$2:$AQ$1001,MATCH(ROWS($U$2:U804),$U$2:$U$1001,0),MATCH(COLUMNS($AB$1006:AQ1006),$AB$1006:$AQ$1006,0)), HYPERLINK("#",""), HYPERLINK(CONCATENATE("#metadata!", ADDRESS(INDEX($W$2:$W$1001,MATCH(ROWS($U$2:U804),$U$2:$U$1001,0),0), INDEX($AB$1004:$AQ$1004,1,MATCH(COLUMNS($AB$1006:AQ1006),$AB$1006:$AQ$1006,0)))),"Fix")))</f>
        <v>0</v>
      </c>
      <c r="U804">
        <v>0</v>
      </c>
      <c r="V804">
        <v>0</v>
      </c>
      <c r="W804">
        <v>0</v>
      </c>
      <c r="X804">
        <f>IF(Y804,TRUE,AND(AB804:AQ804))</f>
        <v>0</v>
      </c>
      <c r="Y804">
        <f>COUNTBLANK(metadata!B804:Q804)=COLUMNS(metadata!B804:Q804)</f>
        <v>0</v>
      </c>
      <c r="Z804">
        <v>0</v>
      </c>
      <c r="AB804">
        <f>AND(IF(metadata!B804="",FALSE,TRUE),COUNTIF(metadata!B:B, metadata!B804) = 1,NOT(ISERROR(SUMPRODUCT(SEARCH(MID(metadata!B804,ROW(INDIRECT("1:"&amp;LEN(metadata!B804))), 1),"0123456789abcdefghijklmnopqrstuvwxyzABCDEFGHIJKLMNOPQRSTUVWXYZ.")))))</f>
        <v>0</v>
      </c>
      <c r="AC804">
        <f>OR(AND(IF(metadata!C804="",FALSE,TRUE),OR(exact(metadata!C804,"missing: not collected"),exact(metadata!C804,"missing: not provided"),exact(metadata!C804,"missing: restricted access"))),AND(IF(metadata!C804="",FALSE,TRUE),AND(AND(IFERROR(INT(LEFT(metadata!C804,4))&gt;1900,FALSE),IFERROR(INT(LEFT(metadata!C804,4))&lt;=YEAR(NOW()),FALSE)), OR(MID(metadata!C804,5,1)="", AND(AND(MID(metadata!C804,5,1)="-",IFERROR(INT(MID(metadata!C804,6,1))&gt;=0,FALSE),IFERROR(INT(MID(metadata!C804,6,1))&lt;=1,FALSE),NOT(MID(metadata!C804,7,1)=""),IFERROR(INT(MID(metadata!C804,6,2))&gt;=1,FALSE),IFERROR(INT(MID(metadata!C804,6,2))&lt;=12,FALSE)), OR(MID(metadata!C804,8,1)="", AND(AND(MID(metadata!C804,8,1)="-",IFERROR(INT(MID(metadata!C804,9,1))&gt;=0,FALSE),IFERROR(INT(MID(metadata!C804,9,1))&lt;=3,FALSE),NOT(MID(metadata!C804,10,1)=""),IFERROR(INT(MID(metadata!C804,9,2))&gt;=1,FALSE),IFERROR(INT(MID(metadata!C804,9,2))&lt;=31,FALSE)), OR(MID(metadata!C804,11,1)="", AND(AND(MID(metadata!C804,11,1)=" ",IFERROR(INT(MID(metadata!C804,12,1))&gt;=0,FALSE),IFERROR(INT(MID(metadata!C804,12,1))&lt;=2,FALSE),NOT(MID(metadata!C804,13,1)=""),IFERROR(INT(MID(metadata!C804,12,2))&gt;=0,FALSE),IFERROR(INT(MID(metadata!C804,12,2))&lt;=23,FALSE)), OR(MID(metadata!C804,14,1)="", AND(AND(MID(metadata!C804,14,1)=":",IFERROR(INT(MID(metadata!C804,15,1))&gt;=0,FALSE),IFERROR(INT(MID(metadata!C804,15,1))&lt;=5,FALSE),NOT(MID(metadata!C804,16,1)=""),IFERROR(INT(MID(metadata!C804,15,2))&gt;=0,FALSE),IFERROR(INT(MID(metadata!C804,15,2))&lt;=59,FALSE)), OR(MID(metadata!C804,17,1)="", AND(AND(MID(metadata!C804,17,1)=":",IFERROR(INT(MID(metadata!C804,18,1))&gt;=0,FALSE),IFERROR(INT(MID(metadata!C804,18,1))&lt;=5,FALSE),NOT(MID(metadata!C804,19,1)=""),IFERROR(INT(MID(metadata!C804,18,2))&gt;=0,FALSE),IFERROR(INT(MID(metadata!C804,18,2))&lt;=59,FALSE)), LEN(metadata!C804)&lt;=19)))))))))))))</f>
        <v>0</v>
      </c>
      <c r="AD804">
        <f>IF(metadata!D804="",FALSE,TRUE)</f>
        <v>0</v>
      </c>
      <c r="AE804">
        <f>OR(AND(IF(metadata!E804="",FALSE,TRUE),OR(exact(metadata!E804,"missing: not collected"),exact(metadata!E804,"missing: not provided"))),AND(IF(metadata!E804="",FALSE,TRUE),OR(exact(metadata!E804,"TRUE"),exact(metadata!E804,"FALSE"))))</f>
        <v>0</v>
      </c>
      <c r="AF804">
        <f>IF(metadata!F804="",FALSE,TRUE)</f>
        <v>0</v>
      </c>
      <c r="AG804">
        <f>IF(metadata!G804="",FALSE,TRUE)</f>
        <v>0</v>
      </c>
      <c r="AH804">
        <f>IF(metadata!H804="",FALSE,TRUE)</f>
        <v>0</v>
      </c>
      <c r="AI804">
        <f>OR(AND(IF(metadata!I804="",FALSE,TRUE),OR(exact(metadata!I804,"missing: not collected"),exact(metadata!I804,"missing: not provided"),exact(metadata!I804,"missing: restricted access"))),AND(IF(metadata!I804="",FALSE,TRUE),OR(exact(metadata!I804,"air"),exact(metadata!I804,"built environment"),exact(metadata!I804,"host-associated"),exact(metadata!I804,"human-associated"),exact(metadata!I804,"human-skin"),exact(metadata!I804,"human-oral"),exact(metadata!I804,"human-gut"),exact(metadata!I804,"human-vaginal"),exact(metadata!I804,"microbial mat/biofilm"),exact(metadata!I804,"misc environment"),exact(metadata!I804,"plant-associated"),exact(metadata!I804,"sediment"),exact(metadata!I804,"soil"),exact(metadata!I804,"wastewater/sludge"),exact(metadata!I804,"water"))))</f>
        <v>0</v>
      </c>
      <c r="AJ804">
        <f>IF(metadata!J804="",FALSE,TRUE)</f>
        <v>0</v>
      </c>
      <c r="AK804">
        <f>OR(AND(IF(metadata!K804="",FALSE,TRUE),OR(exact(metadata!K804,"missing: not collected"),exact(metadata!K804,"missing: not provided"),exact(metadata!K804,"missing: restricted access"))),AND(IF(metadata!K804="",FALSE,ISNUMBER(VALUE(metadata!K804))),metadata!K804&gt;=-90.00,metadata!K804&lt;=90.00))</f>
        <v>0</v>
      </c>
      <c r="AL804">
        <f>OR(AND(IF(metadata!L804="",FALSE,TRUE),OR(exact(metadata!L804,"missing: not collected"),exact(metadata!L804,"missing: not provided"),exact(metadata!L804,"missing: restricted access"))),AND(IF(metadata!L804="",FALSE,ISNUMBER(VALUE(metadata!L804))),metadata!L804&gt;=-180.00,metadata!L804&lt;=180.00))</f>
        <v>0</v>
      </c>
      <c r="AM804">
        <f>IF(metadata!M804="",FALSE,TRUE)</f>
        <v>0</v>
      </c>
      <c r="AN804">
        <f>OR(AND(IF(metadata!N804="",FALSE,TRUE),OR(exact(metadata!N804,"missing: not collected"),exact(metadata!N804,"missing: not provided"),exact(metadata!N804,"missing: restricted access"))),AND(IF(metadata!N804="",FALSE,TRUE),OR(exact(metadata!N804,"TRUE"),exact(metadata!N804,"FALSE"))))</f>
        <v>0</v>
      </c>
      <c r="AO804">
        <f>IF(metadata!O804="",FALSE,TRUE)</f>
        <v>0</v>
      </c>
      <c r="AP804">
        <f>OR(AND(IF(metadata!P804="",FALSE,TRUE),OR(exact(metadata!P804,"missing: not collected"),exact(metadata!P804,"missing: not provided"))),AND(IF(metadata!P804="",FALSE,IF(ISERROR(INT(metadata!P804)),FALSE,INT(metadata!P804)=metadata!P804)),metadata!P804&gt;0))</f>
        <v>0</v>
      </c>
      <c r="AQ804">
        <f>IF(metadata!Q804="",FALSE,TRUE)</f>
        <v>0</v>
      </c>
    </row>
    <row r="805" spans="1:43">
      <c r="A805" s="5">
        <f>IF(B805=" "," ",HYPERLINK(CONCATENATE("#metadata!",ADDRESS(INDEX($W$2:$W$1001,MATCH(ROWS($U$2:U805),$U$2:$U$1001,0),0),1)),INDEX($Z$2:$Z$1001,MATCH(ROWS($U$2:U805),$U$2:$U$1001,0),0)))</f>
        <v>0</v>
      </c>
      <c r="B805" s="4">
        <f>IF(OR(INDEX($V$2:$V$1001,MATCH(ROWS($U$2:U805),$U$2:$U$1001,0),1)&gt;=100000,INDEX($AB$1005:$AQ$1005,1,MATCH(COLUMNS($AB$1006:AB1006),$AB$1006:$AQ$1006,0))&gt;=100000), " ",IF(INDEX($AB$2:$AQ$1001,MATCH(ROWS($U$2:U805),$U$2:$U$1001,0),MATCH(COLUMNS($AB$1006:AB1006),$AB$1006:$AQ$1006,0)), HYPERLINK("#",""), HYPERLINK(CONCATENATE("#metadata!", ADDRESS(INDEX($W$2:$W$1001,MATCH(ROWS($U$2:U805),$U$2:$U$1001,0),0), INDEX($AB$1004:$AQ$1004,1,MATCH(COLUMNS($AB$1006:AB1006),$AB$1006:$AQ$1006,0)))),"Fix")))</f>
        <v>0</v>
      </c>
      <c r="C805" s="4">
        <f>IF(OR(INDEX($V$2:$V$1001,MATCH(ROWS($U$2:U805),$U$2:$U$1001,0),1)&gt;=100000,INDEX($AB$1005:$AQ$1005,1,MATCH(COLUMNS($AB$1006:AC1006),$AB$1006:$AQ$1006,0))&gt;=100000), " ",IF(INDEX($AB$2:$AQ$1001,MATCH(ROWS($U$2:U805),$U$2:$U$1001,0),MATCH(COLUMNS($AB$1006:AC1006),$AB$1006:$AQ$1006,0)), HYPERLINK("#",""), HYPERLINK(CONCATENATE("#metadata!", ADDRESS(INDEX($W$2:$W$1001,MATCH(ROWS($U$2:U805),$U$2:$U$1001,0),0), INDEX($AB$1004:$AQ$1004,1,MATCH(COLUMNS($AB$1006:AC1006),$AB$1006:$AQ$1006,0)))),"Fix")))</f>
        <v>0</v>
      </c>
      <c r="D805" s="4">
        <f>IF(OR(INDEX($V$2:$V$1001,MATCH(ROWS($U$2:U805),$U$2:$U$1001,0),1)&gt;=100000,INDEX($AB$1005:$AQ$1005,1,MATCH(COLUMNS($AB$1006:AD1006),$AB$1006:$AQ$1006,0))&gt;=100000), " ",IF(INDEX($AB$2:$AQ$1001,MATCH(ROWS($U$2:U805),$U$2:$U$1001,0),MATCH(COLUMNS($AB$1006:AD1006),$AB$1006:$AQ$1006,0)), HYPERLINK("#",""), HYPERLINK(CONCATENATE("#metadata!", ADDRESS(INDEX($W$2:$W$1001,MATCH(ROWS($U$2:U805),$U$2:$U$1001,0),0), INDEX($AB$1004:$AQ$1004,1,MATCH(COLUMNS($AB$1006:AD1006),$AB$1006:$AQ$1006,0)))),"Fix")))</f>
        <v>0</v>
      </c>
      <c r="E805" s="4">
        <f>IF(OR(INDEX($V$2:$V$1001,MATCH(ROWS($U$2:U805),$U$2:$U$1001,0),1)&gt;=100000,INDEX($AB$1005:$AQ$1005,1,MATCH(COLUMNS($AB$1006:AE1006),$AB$1006:$AQ$1006,0))&gt;=100000), " ",IF(INDEX($AB$2:$AQ$1001,MATCH(ROWS($U$2:U805),$U$2:$U$1001,0),MATCH(COLUMNS($AB$1006:AE1006),$AB$1006:$AQ$1006,0)), HYPERLINK("#",""), HYPERLINK(CONCATENATE("#metadata!", ADDRESS(INDEX($W$2:$W$1001,MATCH(ROWS($U$2:U805),$U$2:$U$1001,0),0), INDEX($AB$1004:$AQ$1004,1,MATCH(COLUMNS($AB$1006:AE1006),$AB$1006:$AQ$1006,0)))),"Fix")))</f>
        <v>0</v>
      </c>
      <c r="F805" s="4">
        <f>IF(OR(INDEX($V$2:$V$1001,MATCH(ROWS($U$2:U805),$U$2:$U$1001,0),1)&gt;=100000,INDEX($AB$1005:$AQ$1005,1,MATCH(COLUMNS($AB$1006:AF1006),$AB$1006:$AQ$1006,0))&gt;=100000), " ",IF(INDEX($AB$2:$AQ$1001,MATCH(ROWS($U$2:U805),$U$2:$U$1001,0),MATCH(COLUMNS($AB$1006:AF1006),$AB$1006:$AQ$1006,0)), HYPERLINK("#",""), HYPERLINK(CONCATENATE("#metadata!", ADDRESS(INDEX($W$2:$W$1001,MATCH(ROWS($U$2:U805),$U$2:$U$1001,0),0), INDEX($AB$1004:$AQ$1004,1,MATCH(COLUMNS($AB$1006:AF1006),$AB$1006:$AQ$1006,0)))),"Fix")))</f>
        <v>0</v>
      </c>
      <c r="G805" s="4">
        <f>IF(OR(INDEX($V$2:$V$1001,MATCH(ROWS($U$2:U805),$U$2:$U$1001,0),1)&gt;=100000,INDEX($AB$1005:$AQ$1005,1,MATCH(COLUMNS($AB$1006:AG1006),$AB$1006:$AQ$1006,0))&gt;=100000), " ",IF(INDEX($AB$2:$AQ$1001,MATCH(ROWS($U$2:U805),$U$2:$U$1001,0),MATCH(COLUMNS($AB$1006:AG1006),$AB$1006:$AQ$1006,0)), HYPERLINK("#",""), HYPERLINK(CONCATENATE("#metadata!", ADDRESS(INDEX($W$2:$W$1001,MATCH(ROWS($U$2:U805),$U$2:$U$1001,0),0), INDEX($AB$1004:$AQ$1004,1,MATCH(COLUMNS($AB$1006:AG1006),$AB$1006:$AQ$1006,0)))),"Fix")))</f>
        <v>0</v>
      </c>
      <c r="H805" s="4">
        <f>IF(OR(INDEX($V$2:$V$1001,MATCH(ROWS($U$2:U805),$U$2:$U$1001,0),1)&gt;=100000,INDEX($AB$1005:$AQ$1005,1,MATCH(COLUMNS($AB$1006:AH1006),$AB$1006:$AQ$1006,0))&gt;=100000), " ",IF(INDEX($AB$2:$AQ$1001,MATCH(ROWS($U$2:U805),$U$2:$U$1001,0),MATCH(COLUMNS($AB$1006:AH1006),$AB$1006:$AQ$1006,0)), HYPERLINK("#",""), HYPERLINK(CONCATENATE("#metadata!", ADDRESS(INDEX($W$2:$W$1001,MATCH(ROWS($U$2:U805),$U$2:$U$1001,0),0), INDEX($AB$1004:$AQ$1004,1,MATCH(COLUMNS($AB$1006:AH1006),$AB$1006:$AQ$1006,0)))),"Fix")))</f>
        <v>0</v>
      </c>
      <c r="I805" s="4">
        <f>IF(OR(INDEX($V$2:$V$1001,MATCH(ROWS($U$2:U805),$U$2:$U$1001,0),1)&gt;=100000,INDEX($AB$1005:$AQ$1005,1,MATCH(COLUMNS($AB$1006:AI1006),$AB$1006:$AQ$1006,0))&gt;=100000), " ",IF(INDEX($AB$2:$AQ$1001,MATCH(ROWS($U$2:U805),$U$2:$U$1001,0),MATCH(COLUMNS($AB$1006:AI1006),$AB$1006:$AQ$1006,0)), HYPERLINK("#",""), HYPERLINK(CONCATENATE("#metadata!", ADDRESS(INDEX($W$2:$W$1001,MATCH(ROWS($U$2:U805),$U$2:$U$1001,0),0), INDEX($AB$1004:$AQ$1004,1,MATCH(COLUMNS($AB$1006:AI1006),$AB$1006:$AQ$1006,0)))),"Fix")))</f>
        <v>0</v>
      </c>
      <c r="J805" s="4">
        <f>IF(OR(INDEX($V$2:$V$1001,MATCH(ROWS($U$2:U805),$U$2:$U$1001,0),1)&gt;=100000,INDEX($AB$1005:$AQ$1005,1,MATCH(COLUMNS($AB$1006:AJ1006),$AB$1006:$AQ$1006,0))&gt;=100000), " ",IF(INDEX($AB$2:$AQ$1001,MATCH(ROWS($U$2:U805),$U$2:$U$1001,0),MATCH(COLUMNS($AB$1006:AJ1006),$AB$1006:$AQ$1006,0)), HYPERLINK("#",""), HYPERLINK(CONCATENATE("#metadata!", ADDRESS(INDEX($W$2:$W$1001,MATCH(ROWS($U$2:U805),$U$2:$U$1001,0),0), INDEX($AB$1004:$AQ$1004,1,MATCH(COLUMNS($AB$1006:AJ1006),$AB$1006:$AQ$1006,0)))),"Fix")))</f>
        <v>0</v>
      </c>
      <c r="K805" s="4">
        <f>IF(OR(INDEX($V$2:$V$1001,MATCH(ROWS($U$2:U805),$U$2:$U$1001,0),1)&gt;=100000,INDEX($AB$1005:$AQ$1005,1,MATCH(COLUMNS($AB$1006:AK1006),$AB$1006:$AQ$1006,0))&gt;=100000), " ",IF(INDEX($AB$2:$AQ$1001,MATCH(ROWS($U$2:U805),$U$2:$U$1001,0),MATCH(COLUMNS($AB$1006:AK1006),$AB$1006:$AQ$1006,0)), HYPERLINK("#",""), HYPERLINK(CONCATENATE("#metadata!", ADDRESS(INDEX($W$2:$W$1001,MATCH(ROWS($U$2:U805),$U$2:$U$1001,0),0), INDEX($AB$1004:$AQ$1004,1,MATCH(COLUMNS($AB$1006:AK1006),$AB$1006:$AQ$1006,0)))),"Fix")))</f>
        <v>0</v>
      </c>
      <c r="L805" s="4">
        <f>IF(OR(INDEX($V$2:$V$1001,MATCH(ROWS($U$2:U805),$U$2:$U$1001,0),1)&gt;=100000,INDEX($AB$1005:$AQ$1005,1,MATCH(COLUMNS($AB$1006:AL1006),$AB$1006:$AQ$1006,0))&gt;=100000), " ",IF(INDEX($AB$2:$AQ$1001,MATCH(ROWS($U$2:U805),$U$2:$U$1001,0),MATCH(COLUMNS($AB$1006:AL1006),$AB$1006:$AQ$1006,0)), HYPERLINK("#",""), HYPERLINK(CONCATENATE("#metadata!", ADDRESS(INDEX($W$2:$W$1001,MATCH(ROWS($U$2:U805),$U$2:$U$1001,0),0), INDEX($AB$1004:$AQ$1004,1,MATCH(COLUMNS($AB$1006:AL1006),$AB$1006:$AQ$1006,0)))),"Fix")))</f>
        <v>0</v>
      </c>
      <c r="M805" s="4">
        <f>IF(OR(INDEX($V$2:$V$1001,MATCH(ROWS($U$2:U805),$U$2:$U$1001,0),1)&gt;=100000,INDEX($AB$1005:$AQ$1005,1,MATCH(COLUMNS($AB$1006:AM1006),$AB$1006:$AQ$1006,0))&gt;=100000), " ",IF(INDEX($AB$2:$AQ$1001,MATCH(ROWS($U$2:U805),$U$2:$U$1001,0),MATCH(COLUMNS($AB$1006:AM1006),$AB$1006:$AQ$1006,0)), HYPERLINK("#",""), HYPERLINK(CONCATENATE("#metadata!", ADDRESS(INDEX($W$2:$W$1001,MATCH(ROWS($U$2:U805),$U$2:$U$1001,0),0), INDEX($AB$1004:$AQ$1004,1,MATCH(COLUMNS($AB$1006:AM1006),$AB$1006:$AQ$1006,0)))),"Fix")))</f>
        <v>0</v>
      </c>
      <c r="N805" s="4">
        <f>IF(OR(INDEX($V$2:$V$1001,MATCH(ROWS($U$2:U805),$U$2:$U$1001,0),1)&gt;=100000,INDEX($AB$1005:$AQ$1005,1,MATCH(COLUMNS($AB$1006:AN1006),$AB$1006:$AQ$1006,0))&gt;=100000), " ",IF(INDEX($AB$2:$AQ$1001,MATCH(ROWS($U$2:U805),$U$2:$U$1001,0),MATCH(COLUMNS($AB$1006:AN1006),$AB$1006:$AQ$1006,0)), HYPERLINK("#",""), HYPERLINK(CONCATENATE("#metadata!", ADDRESS(INDEX($W$2:$W$1001,MATCH(ROWS($U$2:U805),$U$2:$U$1001,0),0), INDEX($AB$1004:$AQ$1004,1,MATCH(COLUMNS($AB$1006:AN1006),$AB$1006:$AQ$1006,0)))),"Fix")))</f>
        <v>0</v>
      </c>
      <c r="O805" s="4">
        <f>IF(OR(INDEX($V$2:$V$1001,MATCH(ROWS($U$2:U805),$U$2:$U$1001,0),1)&gt;=100000,INDEX($AB$1005:$AQ$1005,1,MATCH(COLUMNS($AB$1006:AO1006),$AB$1006:$AQ$1006,0))&gt;=100000), " ",IF(INDEX($AB$2:$AQ$1001,MATCH(ROWS($U$2:U805),$U$2:$U$1001,0),MATCH(COLUMNS($AB$1006:AO1006),$AB$1006:$AQ$1006,0)), HYPERLINK("#",""), HYPERLINK(CONCATENATE("#metadata!", ADDRESS(INDEX($W$2:$W$1001,MATCH(ROWS($U$2:U805),$U$2:$U$1001,0),0), INDEX($AB$1004:$AQ$1004,1,MATCH(COLUMNS($AB$1006:AO1006),$AB$1006:$AQ$1006,0)))),"Fix")))</f>
        <v>0</v>
      </c>
      <c r="P805" s="4">
        <f>IF(OR(INDEX($V$2:$V$1001,MATCH(ROWS($U$2:U805),$U$2:$U$1001,0),1)&gt;=100000,INDEX($AB$1005:$AQ$1005,1,MATCH(COLUMNS($AB$1006:AP1006),$AB$1006:$AQ$1006,0))&gt;=100000), " ",IF(INDEX($AB$2:$AQ$1001,MATCH(ROWS($U$2:U805),$U$2:$U$1001,0),MATCH(COLUMNS($AB$1006:AP1006),$AB$1006:$AQ$1006,0)), HYPERLINK("#",""), HYPERLINK(CONCATENATE("#metadata!", ADDRESS(INDEX($W$2:$W$1001,MATCH(ROWS($U$2:U805),$U$2:$U$1001,0),0), INDEX($AB$1004:$AQ$1004,1,MATCH(COLUMNS($AB$1006:AP1006),$AB$1006:$AQ$1006,0)))),"Fix")))</f>
        <v>0</v>
      </c>
      <c r="Q805" s="4">
        <f>IF(OR(INDEX($V$2:$V$1001,MATCH(ROWS($U$2:U805),$U$2:$U$1001,0),1)&gt;=100000,INDEX($AB$1005:$AQ$1005,1,MATCH(COLUMNS($AB$1006:AQ1006),$AB$1006:$AQ$1006,0))&gt;=100000), " ",IF(INDEX($AB$2:$AQ$1001,MATCH(ROWS($U$2:U805),$U$2:$U$1001,0),MATCH(COLUMNS($AB$1006:AQ1006),$AB$1006:$AQ$1006,0)), HYPERLINK("#",""), HYPERLINK(CONCATENATE("#metadata!", ADDRESS(INDEX($W$2:$W$1001,MATCH(ROWS($U$2:U805),$U$2:$U$1001,0),0), INDEX($AB$1004:$AQ$1004,1,MATCH(COLUMNS($AB$1006:AQ1006),$AB$1006:$AQ$1006,0)))),"Fix")))</f>
        <v>0</v>
      </c>
      <c r="U805">
        <v>0</v>
      </c>
      <c r="V805">
        <v>0</v>
      </c>
      <c r="W805">
        <v>0</v>
      </c>
      <c r="X805">
        <f>IF(Y805,TRUE,AND(AB805:AQ805))</f>
        <v>0</v>
      </c>
      <c r="Y805">
        <f>COUNTBLANK(metadata!B805:Q805)=COLUMNS(metadata!B805:Q805)</f>
        <v>0</v>
      </c>
      <c r="Z805">
        <v>0</v>
      </c>
      <c r="AB805">
        <f>AND(IF(metadata!B805="",FALSE,TRUE),COUNTIF(metadata!B:B, metadata!B805) = 1,NOT(ISERROR(SUMPRODUCT(SEARCH(MID(metadata!B805,ROW(INDIRECT("1:"&amp;LEN(metadata!B805))), 1),"0123456789abcdefghijklmnopqrstuvwxyzABCDEFGHIJKLMNOPQRSTUVWXYZ.")))))</f>
        <v>0</v>
      </c>
      <c r="AC805">
        <f>OR(AND(IF(metadata!C805="",FALSE,TRUE),OR(exact(metadata!C805,"missing: not collected"),exact(metadata!C805,"missing: not provided"),exact(metadata!C805,"missing: restricted access"))),AND(IF(metadata!C805="",FALSE,TRUE),AND(AND(IFERROR(INT(LEFT(metadata!C805,4))&gt;1900,FALSE),IFERROR(INT(LEFT(metadata!C805,4))&lt;=YEAR(NOW()),FALSE)), OR(MID(metadata!C805,5,1)="", AND(AND(MID(metadata!C805,5,1)="-",IFERROR(INT(MID(metadata!C805,6,1))&gt;=0,FALSE),IFERROR(INT(MID(metadata!C805,6,1))&lt;=1,FALSE),NOT(MID(metadata!C805,7,1)=""),IFERROR(INT(MID(metadata!C805,6,2))&gt;=1,FALSE),IFERROR(INT(MID(metadata!C805,6,2))&lt;=12,FALSE)), OR(MID(metadata!C805,8,1)="", AND(AND(MID(metadata!C805,8,1)="-",IFERROR(INT(MID(metadata!C805,9,1))&gt;=0,FALSE),IFERROR(INT(MID(metadata!C805,9,1))&lt;=3,FALSE),NOT(MID(metadata!C805,10,1)=""),IFERROR(INT(MID(metadata!C805,9,2))&gt;=1,FALSE),IFERROR(INT(MID(metadata!C805,9,2))&lt;=31,FALSE)), OR(MID(metadata!C805,11,1)="", AND(AND(MID(metadata!C805,11,1)=" ",IFERROR(INT(MID(metadata!C805,12,1))&gt;=0,FALSE),IFERROR(INT(MID(metadata!C805,12,1))&lt;=2,FALSE),NOT(MID(metadata!C805,13,1)=""),IFERROR(INT(MID(metadata!C805,12,2))&gt;=0,FALSE),IFERROR(INT(MID(metadata!C805,12,2))&lt;=23,FALSE)), OR(MID(metadata!C805,14,1)="", AND(AND(MID(metadata!C805,14,1)=":",IFERROR(INT(MID(metadata!C805,15,1))&gt;=0,FALSE),IFERROR(INT(MID(metadata!C805,15,1))&lt;=5,FALSE),NOT(MID(metadata!C805,16,1)=""),IFERROR(INT(MID(metadata!C805,15,2))&gt;=0,FALSE),IFERROR(INT(MID(metadata!C805,15,2))&lt;=59,FALSE)), OR(MID(metadata!C805,17,1)="", AND(AND(MID(metadata!C805,17,1)=":",IFERROR(INT(MID(metadata!C805,18,1))&gt;=0,FALSE),IFERROR(INT(MID(metadata!C805,18,1))&lt;=5,FALSE),NOT(MID(metadata!C805,19,1)=""),IFERROR(INT(MID(metadata!C805,18,2))&gt;=0,FALSE),IFERROR(INT(MID(metadata!C805,18,2))&lt;=59,FALSE)), LEN(metadata!C805)&lt;=19)))))))))))))</f>
        <v>0</v>
      </c>
      <c r="AD805">
        <f>IF(metadata!D805="",FALSE,TRUE)</f>
        <v>0</v>
      </c>
      <c r="AE805">
        <f>OR(AND(IF(metadata!E805="",FALSE,TRUE),OR(exact(metadata!E805,"missing: not collected"),exact(metadata!E805,"missing: not provided"))),AND(IF(metadata!E805="",FALSE,TRUE),OR(exact(metadata!E805,"TRUE"),exact(metadata!E805,"FALSE"))))</f>
        <v>0</v>
      </c>
      <c r="AF805">
        <f>IF(metadata!F805="",FALSE,TRUE)</f>
        <v>0</v>
      </c>
      <c r="AG805">
        <f>IF(metadata!G805="",FALSE,TRUE)</f>
        <v>0</v>
      </c>
      <c r="AH805">
        <f>IF(metadata!H805="",FALSE,TRUE)</f>
        <v>0</v>
      </c>
      <c r="AI805">
        <f>OR(AND(IF(metadata!I805="",FALSE,TRUE),OR(exact(metadata!I805,"missing: not collected"),exact(metadata!I805,"missing: not provided"),exact(metadata!I805,"missing: restricted access"))),AND(IF(metadata!I805="",FALSE,TRUE),OR(exact(metadata!I805,"air"),exact(metadata!I805,"built environment"),exact(metadata!I805,"host-associated"),exact(metadata!I805,"human-associated"),exact(metadata!I805,"human-skin"),exact(metadata!I805,"human-oral"),exact(metadata!I805,"human-gut"),exact(metadata!I805,"human-vaginal"),exact(metadata!I805,"microbial mat/biofilm"),exact(metadata!I805,"misc environment"),exact(metadata!I805,"plant-associated"),exact(metadata!I805,"sediment"),exact(metadata!I805,"soil"),exact(metadata!I805,"wastewater/sludge"),exact(metadata!I805,"water"))))</f>
        <v>0</v>
      </c>
      <c r="AJ805">
        <f>IF(metadata!J805="",FALSE,TRUE)</f>
        <v>0</v>
      </c>
      <c r="AK805">
        <f>OR(AND(IF(metadata!K805="",FALSE,TRUE),OR(exact(metadata!K805,"missing: not collected"),exact(metadata!K805,"missing: not provided"),exact(metadata!K805,"missing: restricted access"))),AND(IF(metadata!K805="",FALSE,ISNUMBER(VALUE(metadata!K805))),metadata!K805&gt;=-90.00,metadata!K805&lt;=90.00))</f>
        <v>0</v>
      </c>
      <c r="AL805">
        <f>OR(AND(IF(metadata!L805="",FALSE,TRUE),OR(exact(metadata!L805,"missing: not collected"),exact(metadata!L805,"missing: not provided"),exact(metadata!L805,"missing: restricted access"))),AND(IF(metadata!L805="",FALSE,ISNUMBER(VALUE(metadata!L805))),metadata!L805&gt;=-180.00,metadata!L805&lt;=180.00))</f>
        <v>0</v>
      </c>
      <c r="AM805">
        <f>IF(metadata!M805="",FALSE,TRUE)</f>
        <v>0</v>
      </c>
      <c r="AN805">
        <f>OR(AND(IF(metadata!N805="",FALSE,TRUE),OR(exact(metadata!N805,"missing: not collected"),exact(metadata!N805,"missing: not provided"),exact(metadata!N805,"missing: restricted access"))),AND(IF(metadata!N805="",FALSE,TRUE),OR(exact(metadata!N805,"TRUE"),exact(metadata!N805,"FALSE"))))</f>
        <v>0</v>
      </c>
      <c r="AO805">
        <f>IF(metadata!O805="",FALSE,TRUE)</f>
        <v>0</v>
      </c>
      <c r="AP805">
        <f>OR(AND(IF(metadata!P805="",FALSE,TRUE),OR(exact(metadata!P805,"missing: not collected"),exact(metadata!P805,"missing: not provided"))),AND(IF(metadata!P805="",FALSE,IF(ISERROR(INT(metadata!P805)),FALSE,INT(metadata!P805)=metadata!P805)),metadata!P805&gt;0))</f>
        <v>0</v>
      </c>
      <c r="AQ805">
        <f>IF(metadata!Q805="",FALSE,TRUE)</f>
        <v>0</v>
      </c>
    </row>
    <row r="806" spans="1:43">
      <c r="A806" s="5">
        <f>IF(B806=" "," ",HYPERLINK(CONCATENATE("#metadata!",ADDRESS(INDEX($W$2:$W$1001,MATCH(ROWS($U$2:U806),$U$2:$U$1001,0),0),1)),INDEX($Z$2:$Z$1001,MATCH(ROWS($U$2:U806),$U$2:$U$1001,0),0)))</f>
        <v>0</v>
      </c>
      <c r="B806" s="4">
        <f>IF(OR(INDEX($V$2:$V$1001,MATCH(ROWS($U$2:U806),$U$2:$U$1001,0),1)&gt;=100000,INDEX($AB$1005:$AQ$1005,1,MATCH(COLUMNS($AB$1006:AB1006),$AB$1006:$AQ$1006,0))&gt;=100000), " ",IF(INDEX($AB$2:$AQ$1001,MATCH(ROWS($U$2:U806),$U$2:$U$1001,0),MATCH(COLUMNS($AB$1006:AB1006),$AB$1006:$AQ$1006,0)), HYPERLINK("#",""), HYPERLINK(CONCATENATE("#metadata!", ADDRESS(INDEX($W$2:$W$1001,MATCH(ROWS($U$2:U806),$U$2:$U$1001,0),0), INDEX($AB$1004:$AQ$1004,1,MATCH(COLUMNS($AB$1006:AB1006),$AB$1006:$AQ$1006,0)))),"Fix")))</f>
        <v>0</v>
      </c>
      <c r="C806" s="4">
        <f>IF(OR(INDEX($V$2:$V$1001,MATCH(ROWS($U$2:U806),$U$2:$U$1001,0),1)&gt;=100000,INDEX($AB$1005:$AQ$1005,1,MATCH(COLUMNS($AB$1006:AC1006),$AB$1006:$AQ$1006,0))&gt;=100000), " ",IF(INDEX($AB$2:$AQ$1001,MATCH(ROWS($U$2:U806),$U$2:$U$1001,0),MATCH(COLUMNS($AB$1006:AC1006),$AB$1006:$AQ$1006,0)), HYPERLINK("#",""), HYPERLINK(CONCATENATE("#metadata!", ADDRESS(INDEX($W$2:$W$1001,MATCH(ROWS($U$2:U806),$U$2:$U$1001,0),0), INDEX($AB$1004:$AQ$1004,1,MATCH(COLUMNS($AB$1006:AC1006),$AB$1006:$AQ$1006,0)))),"Fix")))</f>
        <v>0</v>
      </c>
      <c r="D806" s="4">
        <f>IF(OR(INDEX($V$2:$V$1001,MATCH(ROWS($U$2:U806),$U$2:$U$1001,0),1)&gt;=100000,INDEX($AB$1005:$AQ$1005,1,MATCH(COLUMNS($AB$1006:AD1006),$AB$1006:$AQ$1006,0))&gt;=100000), " ",IF(INDEX($AB$2:$AQ$1001,MATCH(ROWS($U$2:U806),$U$2:$U$1001,0),MATCH(COLUMNS($AB$1006:AD1006),$AB$1006:$AQ$1006,0)), HYPERLINK("#",""), HYPERLINK(CONCATENATE("#metadata!", ADDRESS(INDEX($W$2:$W$1001,MATCH(ROWS($U$2:U806),$U$2:$U$1001,0),0), INDEX($AB$1004:$AQ$1004,1,MATCH(COLUMNS($AB$1006:AD1006),$AB$1006:$AQ$1006,0)))),"Fix")))</f>
        <v>0</v>
      </c>
      <c r="E806" s="4">
        <f>IF(OR(INDEX($V$2:$V$1001,MATCH(ROWS($U$2:U806),$U$2:$U$1001,0),1)&gt;=100000,INDEX($AB$1005:$AQ$1005,1,MATCH(COLUMNS($AB$1006:AE1006),$AB$1006:$AQ$1006,0))&gt;=100000), " ",IF(INDEX($AB$2:$AQ$1001,MATCH(ROWS($U$2:U806),$U$2:$U$1001,0),MATCH(COLUMNS($AB$1006:AE1006),$AB$1006:$AQ$1006,0)), HYPERLINK("#",""), HYPERLINK(CONCATENATE("#metadata!", ADDRESS(INDEX($W$2:$W$1001,MATCH(ROWS($U$2:U806),$U$2:$U$1001,0),0), INDEX($AB$1004:$AQ$1004,1,MATCH(COLUMNS($AB$1006:AE1006),$AB$1006:$AQ$1006,0)))),"Fix")))</f>
        <v>0</v>
      </c>
      <c r="F806" s="4">
        <f>IF(OR(INDEX($V$2:$V$1001,MATCH(ROWS($U$2:U806),$U$2:$U$1001,0),1)&gt;=100000,INDEX($AB$1005:$AQ$1005,1,MATCH(COLUMNS($AB$1006:AF1006),$AB$1006:$AQ$1006,0))&gt;=100000), " ",IF(INDEX($AB$2:$AQ$1001,MATCH(ROWS($U$2:U806),$U$2:$U$1001,0),MATCH(COLUMNS($AB$1006:AF1006),$AB$1006:$AQ$1006,0)), HYPERLINK("#",""), HYPERLINK(CONCATENATE("#metadata!", ADDRESS(INDEX($W$2:$W$1001,MATCH(ROWS($U$2:U806),$U$2:$U$1001,0),0), INDEX($AB$1004:$AQ$1004,1,MATCH(COLUMNS($AB$1006:AF1006),$AB$1006:$AQ$1006,0)))),"Fix")))</f>
        <v>0</v>
      </c>
      <c r="G806" s="4">
        <f>IF(OR(INDEX($V$2:$V$1001,MATCH(ROWS($U$2:U806),$U$2:$U$1001,0),1)&gt;=100000,INDEX($AB$1005:$AQ$1005,1,MATCH(COLUMNS($AB$1006:AG1006),$AB$1006:$AQ$1006,0))&gt;=100000), " ",IF(INDEX($AB$2:$AQ$1001,MATCH(ROWS($U$2:U806),$U$2:$U$1001,0),MATCH(COLUMNS($AB$1006:AG1006),$AB$1006:$AQ$1006,0)), HYPERLINK("#",""), HYPERLINK(CONCATENATE("#metadata!", ADDRESS(INDEX($W$2:$W$1001,MATCH(ROWS($U$2:U806),$U$2:$U$1001,0),0), INDEX($AB$1004:$AQ$1004,1,MATCH(COLUMNS($AB$1006:AG1006),$AB$1006:$AQ$1006,0)))),"Fix")))</f>
        <v>0</v>
      </c>
      <c r="H806" s="4">
        <f>IF(OR(INDEX($V$2:$V$1001,MATCH(ROWS($U$2:U806),$U$2:$U$1001,0),1)&gt;=100000,INDEX($AB$1005:$AQ$1005,1,MATCH(COLUMNS($AB$1006:AH1006),$AB$1006:$AQ$1006,0))&gt;=100000), " ",IF(INDEX($AB$2:$AQ$1001,MATCH(ROWS($U$2:U806),$U$2:$U$1001,0),MATCH(COLUMNS($AB$1006:AH1006),$AB$1006:$AQ$1006,0)), HYPERLINK("#",""), HYPERLINK(CONCATENATE("#metadata!", ADDRESS(INDEX($W$2:$W$1001,MATCH(ROWS($U$2:U806),$U$2:$U$1001,0),0), INDEX($AB$1004:$AQ$1004,1,MATCH(COLUMNS($AB$1006:AH1006),$AB$1006:$AQ$1006,0)))),"Fix")))</f>
        <v>0</v>
      </c>
      <c r="I806" s="4">
        <f>IF(OR(INDEX($V$2:$V$1001,MATCH(ROWS($U$2:U806),$U$2:$U$1001,0),1)&gt;=100000,INDEX($AB$1005:$AQ$1005,1,MATCH(COLUMNS($AB$1006:AI1006),$AB$1006:$AQ$1006,0))&gt;=100000), " ",IF(INDEX($AB$2:$AQ$1001,MATCH(ROWS($U$2:U806),$U$2:$U$1001,0),MATCH(COLUMNS($AB$1006:AI1006),$AB$1006:$AQ$1006,0)), HYPERLINK("#",""), HYPERLINK(CONCATENATE("#metadata!", ADDRESS(INDEX($W$2:$W$1001,MATCH(ROWS($U$2:U806),$U$2:$U$1001,0),0), INDEX($AB$1004:$AQ$1004,1,MATCH(COLUMNS($AB$1006:AI1006),$AB$1006:$AQ$1006,0)))),"Fix")))</f>
        <v>0</v>
      </c>
      <c r="J806" s="4">
        <f>IF(OR(INDEX($V$2:$V$1001,MATCH(ROWS($U$2:U806),$U$2:$U$1001,0),1)&gt;=100000,INDEX($AB$1005:$AQ$1005,1,MATCH(COLUMNS($AB$1006:AJ1006),$AB$1006:$AQ$1006,0))&gt;=100000), " ",IF(INDEX($AB$2:$AQ$1001,MATCH(ROWS($U$2:U806),$U$2:$U$1001,0),MATCH(COLUMNS($AB$1006:AJ1006),$AB$1006:$AQ$1006,0)), HYPERLINK("#",""), HYPERLINK(CONCATENATE("#metadata!", ADDRESS(INDEX($W$2:$W$1001,MATCH(ROWS($U$2:U806),$U$2:$U$1001,0),0), INDEX($AB$1004:$AQ$1004,1,MATCH(COLUMNS($AB$1006:AJ1006),$AB$1006:$AQ$1006,0)))),"Fix")))</f>
        <v>0</v>
      </c>
      <c r="K806" s="4">
        <f>IF(OR(INDEX($V$2:$V$1001,MATCH(ROWS($U$2:U806),$U$2:$U$1001,0),1)&gt;=100000,INDEX($AB$1005:$AQ$1005,1,MATCH(COLUMNS($AB$1006:AK1006),$AB$1006:$AQ$1006,0))&gt;=100000), " ",IF(INDEX($AB$2:$AQ$1001,MATCH(ROWS($U$2:U806),$U$2:$U$1001,0),MATCH(COLUMNS($AB$1006:AK1006),$AB$1006:$AQ$1006,0)), HYPERLINK("#",""), HYPERLINK(CONCATENATE("#metadata!", ADDRESS(INDEX($W$2:$W$1001,MATCH(ROWS($U$2:U806),$U$2:$U$1001,0),0), INDEX($AB$1004:$AQ$1004,1,MATCH(COLUMNS($AB$1006:AK1006),$AB$1006:$AQ$1006,0)))),"Fix")))</f>
        <v>0</v>
      </c>
      <c r="L806" s="4">
        <f>IF(OR(INDEX($V$2:$V$1001,MATCH(ROWS($U$2:U806),$U$2:$U$1001,0),1)&gt;=100000,INDEX($AB$1005:$AQ$1005,1,MATCH(COLUMNS($AB$1006:AL1006),$AB$1006:$AQ$1006,0))&gt;=100000), " ",IF(INDEX($AB$2:$AQ$1001,MATCH(ROWS($U$2:U806),$U$2:$U$1001,0),MATCH(COLUMNS($AB$1006:AL1006),$AB$1006:$AQ$1006,0)), HYPERLINK("#",""), HYPERLINK(CONCATENATE("#metadata!", ADDRESS(INDEX($W$2:$W$1001,MATCH(ROWS($U$2:U806),$U$2:$U$1001,0),0), INDEX($AB$1004:$AQ$1004,1,MATCH(COLUMNS($AB$1006:AL1006),$AB$1006:$AQ$1006,0)))),"Fix")))</f>
        <v>0</v>
      </c>
      <c r="M806" s="4">
        <f>IF(OR(INDEX($V$2:$V$1001,MATCH(ROWS($U$2:U806),$U$2:$U$1001,0),1)&gt;=100000,INDEX($AB$1005:$AQ$1005,1,MATCH(COLUMNS($AB$1006:AM1006),$AB$1006:$AQ$1006,0))&gt;=100000), " ",IF(INDEX($AB$2:$AQ$1001,MATCH(ROWS($U$2:U806),$U$2:$U$1001,0),MATCH(COLUMNS($AB$1006:AM1006),$AB$1006:$AQ$1006,0)), HYPERLINK("#",""), HYPERLINK(CONCATENATE("#metadata!", ADDRESS(INDEX($W$2:$W$1001,MATCH(ROWS($U$2:U806),$U$2:$U$1001,0),0), INDEX($AB$1004:$AQ$1004,1,MATCH(COLUMNS($AB$1006:AM1006),$AB$1006:$AQ$1006,0)))),"Fix")))</f>
        <v>0</v>
      </c>
      <c r="N806" s="4">
        <f>IF(OR(INDEX($V$2:$V$1001,MATCH(ROWS($U$2:U806),$U$2:$U$1001,0),1)&gt;=100000,INDEX($AB$1005:$AQ$1005,1,MATCH(COLUMNS($AB$1006:AN1006),$AB$1006:$AQ$1006,0))&gt;=100000), " ",IF(INDEX($AB$2:$AQ$1001,MATCH(ROWS($U$2:U806),$U$2:$U$1001,0),MATCH(COLUMNS($AB$1006:AN1006),$AB$1006:$AQ$1006,0)), HYPERLINK("#",""), HYPERLINK(CONCATENATE("#metadata!", ADDRESS(INDEX($W$2:$W$1001,MATCH(ROWS($U$2:U806),$U$2:$U$1001,0),0), INDEX($AB$1004:$AQ$1004,1,MATCH(COLUMNS($AB$1006:AN1006),$AB$1006:$AQ$1006,0)))),"Fix")))</f>
        <v>0</v>
      </c>
      <c r="O806" s="4">
        <f>IF(OR(INDEX($V$2:$V$1001,MATCH(ROWS($U$2:U806),$U$2:$U$1001,0),1)&gt;=100000,INDEX($AB$1005:$AQ$1005,1,MATCH(COLUMNS($AB$1006:AO1006),$AB$1006:$AQ$1006,0))&gt;=100000), " ",IF(INDEX($AB$2:$AQ$1001,MATCH(ROWS($U$2:U806),$U$2:$U$1001,0),MATCH(COLUMNS($AB$1006:AO1006),$AB$1006:$AQ$1006,0)), HYPERLINK("#",""), HYPERLINK(CONCATENATE("#metadata!", ADDRESS(INDEX($W$2:$W$1001,MATCH(ROWS($U$2:U806),$U$2:$U$1001,0),0), INDEX($AB$1004:$AQ$1004,1,MATCH(COLUMNS($AB$1006:AO1006),$AB$1006:$AQ$1006,0)))),"Fix")))</f>
        <v>0</v>
      </c>
      <c r="P806" s="4">
        <f>IF(OR(INDEX($V$2:$V$1001,MATCH(ROWS($U$2:U806),$U$2:$U$1001,0),1)&gt;=100000,INDEX($AB$1005:$AQ$1005,1,MATCH(COLUMNS($AB$1006:AP1006),$AB$1006:$AQ$1006,0))&gt;=100000), " ",IF(INDEX($AB$2:$AQ$1001,MATCH(ROWS($U$2:U806),$U$2:$U$1001,0),MATCH(COLUMNS($AB$1006:AP1006),$AB$1006:$AQ$1006,0)), HYPERLINK("#",""), HYPERLINK(CONCATENATE("#metadata!", ADDRESS(INDEX($W$2:$W$1001,MATCH(ROWS($U$2:U806),$U$2:$U$1001,0),0), INDEX($AB$1004:$AQ$1004,1,MATCH(COLUMNS($AB$1006:AP1006),$AB$1006:$AQ$1006,0)))),"Fix")))</f>
        <v>0</v>
      </c>
      <c r="Q806" s="4">
        <f>IF(OR(INDEX($V$2:$V$1001,MATCH(ROWS($U$2:U806),$U$2:$U$1001,0),1)&gt;=100000,INDEX($AB$1005:$AQ$1005,1,MATCH(COLUMNS($AB$1006:AQ1006),$AB$1006:$AQ$1006,0))&gt;=100000), " ",IF(INDEX($AB$2:$AQ$1001,MATCH(ROWS($U$2:U806),$U$2:$U$1001,0),MATCH(COLUMNS($AB$1006:AQ1006),$AB$1006:$AQ$1006,0)), HYPERLINK("#",""), HYPERLINK(CONCATENATE("#metadata!", ADDRESS(INDEX($W$2:$W$1001,MATCH(ROWS($U$2:U806),$U$2:$U$1001,0),0), INDEX($AB$1004:$AQ$1004,1,MATCH(COLUMNS($AB$1006:AQ1006),$AB$1006:$AQ$1006,0)))),"Fix")))</f>
        <v>0</v>
      </c>
      <c r="U806">
        <v>0</v>
      </c>
      <c r="V806">
        <v>0</v>
      </c>
      <c r="W806">
        <v>0</v>
      </c>
      <c r="X806">
        <f>IF(Y806,TRUE,AND(AB806:AQ806))</f>
        <v>0</v>
      </c>
      <c r="Y806">
        <f>COUNTBLANK(metadata!B806:Q806)=COLUMNS(metadata!B806:Q806)</f>
        <v>0</v>
      </c>
      <c r="Z806">
        <v>0</v>
      </c>
      <c r="AB806">
        <f>AND(IF(metadata!B806="",FALSE,TRUE),COUNTIF(metadata!B:B, metadata!B806) = 1,NOT(ISERROR(SUMPRODUCT(SEARCH(MID(metadata!B806,ROW(INDIRECT("1:"&amp;LEN(metadata!B806))), 1),"0123456789abcdefghijklmnopqrstuvwxyzABCDEFGHIJKLMNOPQRSTUVWXYZ.")))))</f>
        <v>0</v>
      </c>
      <c r="AC806">
        <f>OR(AND(IF(metadata!C806="",FALSE,TRUE),OR(exact(metadata!C806,"missing: not collected"),exact(metadata!C806,"missing: not provided"),exact(metadata!C806,"missing: restricted access"))),AND(IF(metadata!C806="",FALSE,TRUE),AND(AND(IFERROR(INT(LEFT(metadata!C806,4))&gt;1900,FALSE),IFERROR(INT(LEFT(metadata!C806,4))&lt;=YEAR(NOW()),FALSE)), OR(MID(metadata!C806,5,1)="", AND(AND(MID(metadata!C806,5,1)="-",IFERROR(INT(MID(metadata!C806,6,1))&gt;=0,FALSE),IFERROR(INT(MID(metadata!C806,6,1))&lt;=1,FALSE),NOT(MID(metadata!C806,7,1)=""),IFERROR(INT(MID(metadata!C806,6,2))&gt;=1,FALSE),IFERROR(INT(MID(metadata!C806,6,2))&lt;=12,FALSE)), OR(MID(metadata!C806,8,1)="", AND(AND(MID(metadata!C806,8,1)="-",IFERROR(INT(MID(metadata!C806,9,1))&gt;=0,FALSE),IFERROR(INT(MID(metadata!C806,9,1))&lt;=3,FALSE),NOT(MID(metadata!C806,10,1)=""),IFERROR(INT(MID(metadata!C806,9,2))&gt;=1,FALSE),IFERROR(INT(MID(metadata!C806,9,2))&lt;=31,FALSE)), OR(MID(metadata!C806,11,1)="", AND(AND(MID(metadata!C806,11,1)=" ",IFERROR(INT(MID(metadata!C806,12,1))&gt;=0,FALSE),IFERROR(INT(MID(metadata!C806,12,1))&lt;=2,FALSE),NOT(MID(metadata!C806,13,1)=""),IFERROR(INT(MID(metadata!C806,12,2))&gt;=0,FALSE),IFERROR(INT(MID(metadata!C806,12,2))&lt;=23,FALSE)), OR(MID(metadata!C806,14,1)="", AND(AND(MID(metadata!C806,14,1)=":",IFERROR(INT(MID(metadata!C806,15,1))&gt;=0,FALSE),IFERROR(INT(MID(metadata!C806,15,1))&lt;=5,FALSE),NOT(MID(metadata!C806,16,1)=""),IFERROR(INT(MID(metadata!C806,15,2))&gt;=0,FALSE),IFERROR(INT(MID(metadata!C806,15,2))&lt;=59,FALSE)), OR(MID(metadata!C806,17,1)="", AND(AND(MID(metadata!C806,17,1)=":",IFERROR(INT(MID(metadata!C806,18,1))&gt;=0,FALSE),IFERROR(INT(MID(metadata!C806,18,1))&lt;=5,FALSE),NOT(MID(metadata!C806,19,1)=""),IFERROR(INT(MID(metadata!C806,18,2))&gt;=0,FALSE),IFERROR(INT(MID(metadata!C806,18,2))&lt;=59,FALSE)), LEN(metadata!C806)&lt;=19)))))))))))))</f>
        <v>0</v>
      </c>
      <c r="AD806">
        <f>IF(metadata!D806="",FALSE,TRUE)</f>
        <v>0</v>
      </c>
      <c r="AE806">
        <f>OR(AND(IF(metadata!E806="",FALSE,TRUE),OR(exact(metadata!E806,"missing: not collected"),exact(metadata!E806,"missing: not provided"))),AND(IF(metadata!E806="",FALSE,TRUE),OR(exact(metadata!E806,"TRUE"),exact(metadata!E806,"FALSE"))))</f>
        <v>0</v>
      </c>
      <c r="AF806">
        <f>IF(metadata!F806="",FALSE,TRUE)</f>
        <v>0</v>
      </c>
      <c r="AG806">
        <f>IF(metadata!G806="",FALSE,TRUE)</f>
        <v>0</v>
      </c>
      <c r="AH806">
        <f>IF(metadata!H806="",FALSE,TRUE)</f>
        <v>0</v>
      </c>
      <c r="AI806">
        <f>OR(AND(IF(metadata!I806="",FALSE,TRUE),OR(exact(metadata!I806,"missing: not collected"),exact(metadata!I806,"missing: not provided"),exact(metadata!I806,"missing: restricted access"))),AND(IF(metadata!I806="",FALSE,TRUE),OR(exact(metadata!I806,"air"),exact(metadata!I806,"built environment"),exact(metadata!I806,"host-associated"),exact(metadata!I806,"human-associated"),exact(metadata!I806,"human-skin"),exact(metadata!I806,"human-oral"),exact(metadata!I806,"human-gut"),exact(metadata!I806,"human-vaginal"),exact(metadata!I806,"microbial mat/biofilm"),exact(metadata!I806,"misc environment"),exact(metadata!I806,"plant-associated"),exact(metadata!I806,"sediment"),exact(metadata!I806,"soil"),exact(metadata!I806,"wastewater/sludge"),exact(metadata!I806,"water"))))</f>
        <v>0</v>
      </c>
      <c r="AJ806">
        <f>IF(metadata!J806="",FALSE,TRUE)</f>
        <v>0</v>
      </c>
      <c r="AK806">
        <f>OR(AND(IF(metadata!K806="",FALSE,TRUE),OR(exact(metadata!K806,"missing: not collected"),exact(metadata!K806,"missing: not provided"),exact(metadata!K806,"missing: restricted access"))),AND(IF(metadata!K806="",FALSE,ISNUMBER(VALUE(metadata!K806))),metadata!K806&gt;=-90.00,metadata!K806&lt;=90.00))</f>
        <v>0</v>
      </c>
      <c r="AL806">
        <f>OR(AND(IF(metadata!L806="",FALSE,TRUE),OR(exact(metadata!L806,"missing: not collected"),exact(metadata!L806,"missing: not provided"),exact(metadata!L806,"missing: restricted access"))),AND(IF(metadata!L806="",FALSE,ISNUMBER(VALUE(metadata!L806))),metadata!L806&gt;=-180.00,metadata!L806&lt;=180.00))</f>
        <v>0</v>
      </c>
      <c r="AM806">
        <f>IF(metadata!M806="",FALSE,TRUE)</f>
        <v>0</v>
      </c>
      <c r="AN806">
        <f>OR(AND(IF(metadata!N806="",FALSE,TRUE),OR(exact(metadata!N806,"missing: not collected"),exact(metadata!N806,"missing: not provided"),exact(metadata!N806,"missing: restricted access"))),AND(IF(metadata!N806="",FALSE,TRUE),OR(exact(metadata!N806,"TRUE"),exact(metadata!N806,"FALSE"))))</f>
        <v>0</v>
      </c>
      <c r="AO806">
        <f>IF(metadata!O806="",FALSE,TRUE)</f>
        <v>0</v>
      </c>
      <c r="AP806">
        <f>OR(AND(IF(metadata!P806="",FALSE,TRUE),OR(exact(metadata!P806,"missing: not collected"),exact(metadata!P806,"missing: not provided"))),AND(IF(metadata!P806="",FALSE,IF(ISERROR(INT(metadata!P806)),FALSE,INT(metadata!P806)=metadata!P806)),metadata!P806&gt;0))</f>
        <v>0</v>
      </c>
      <c r="AQ806">
        <f>IF(metadata!Q806="",FALSE,TRUE)</f>
        <v>0</v>
      </c>
    </row>
    <row r="807" spans="1:43">
      <c r="A807" s="5">
        <f>IF(B807=" "," ",HYPERLINK(CONCATENATE("#metadata!",ADDRESS(INDEX($W$2:$W$1001,MATCH(ROWS($U$2:U807),$U$2:$U$1001,0),0),1)),INDEX($Z$2:$Z$1001,MATCH(ROWS($U$2:U807),$U$2:$U$1001,0),0)))</f>
        <v>0</v>
      </c>
      <c r="B807" s="4">
        <f>IF(OR(INDEX($V$2:$V$1001,MATCH(ROWS($U$2:U807),$U$2:$U$1001,0),1)&gt;=100000,INDEX($AB$1005:$AQ$1005,1,MATCH(COLUMNS($AB$1006:AB1006),$AB$1006:$AQ$1006,0))&gt;=100000), " ",IF(INDEX($AB$2:$AQ$1001,MATCH(ROWS($U$2:U807),$U$2:$U$1001,0),MATCH(COLUMNS($AB$1006:AB1006),$AB$1006:$AQ$1006,0)), HYPERLINK("#",""), HYPERLINK(CONCATENATE("#metadata!", ADDRESS(INDEX($W$2:$W$1001,MATCH(ROWS($U$2:U807),$U$2:$U$1001,0),0), INDEX($AB$1004:$AQ$1004,1,MATCH(COLUMNS($AB$1006:AB1006),$AB$1006:$AQ$1006,0)))),"Fix")))</f>
        <v>0</v>
      </c>
      <c r="C807" s="4">
        <f>IF(OR(INDEX($V$2:$V$1001,MATCH(ROWS($U$2:U807),$U$2:$U$1001,0),1)&gt;=100000,INDEX($AB$1005:$AQ$1005,1,MATCH(COLUMNS($AB$1006:AC1006),$AB$1006:$AQ$1006,0))&gt;=100000), " ",IF(INDEX($AB$2:$AQ$1001,MATCH(ROWS($U$2:U807),$U$2:$U$1001,0),MATCH(COLUMNS($AB$1006:AC1006),$AB$1006:$AQ$1006,0)), HYPERLINK("#",""), HYPERLINK(CONCATENATE("#metadata!", ADDRESS(INDEX($W$2:$W$1001,MATCH(ROWS($U$2:U807),$U$2:$U$1001,0),0), INDEX($AB$1004:$AQ$1004,1,MATCH(COLUMNS($AB$1006:AC1006),$AB$1006:$AQ$1006,0)))),"Fix")))</f>
        <v>0</v>
      </c>
      <c r="D807" s="4">
        <f>IF(OR(INDEX($V$2:$V$1001,MATCH(ROWS($U$2:U807),$U$2:$U$1001,0),1)&gt;=100000,INDEX($AB$1005:$AQ$1005,1,MATCH(COLUMNS($AB$1006:AD1006),$AB$1006:$AQ$1006,0))&gt;=100000), " ",IF(INDEX($AB$2:$AQ$1001,MATCH(ROWS($U$2:U807),$U$2:$U$1001,0),MATCH(COLUMNS($AB$1006:AD1006),$AB$1006:$AQ$1006,0)), HYPERLINK("#",""), HYPERLINK(CONCATENATE("#metadata!", ADDRESS(INDEX($W$2:$W$1001,MATCH(ROWS($U$2:U807),$U$2:$U$1001,0),0), INDEX($AB$1004:$AQ$1004,1,MATCH(COLUMNS($AB$1006:AD1006),$AB$1006:$AQ$1006,0)))),"Fix")))</f>
        <v>0</v>
      </c>
      <c r="E807" s="4">
        <f>IF(OR(INDEX($V$2:$V$1001,MATCH(ROWS($U$2:U807),$U$2:$U$1001,0),1)&gt;=100000,INDEX($AB$1005:$AQ$1005,1,MATCH(COLUMNS($AB$1006:AE1006),$AB$1006:$AQ$1006,0))&gt;=100000), " ",IF(INDEX($AB$2:$AQ$1001,MATCH(ROWS($U$2:U807),$U$2:$U$1001,0),MATCH(COLUMNS($AB$1006:AE1006),$AB$1006:$AQ$1006,0)), HYPERLINK("#",""), HYPERLINK(CONCATENATE("#metadata!", ADDRESS(INDEX($W$2:$W$1001,MATCH(ROWS($U$2:U807),$U$2:$U$1001,0),0), INDEX($AB$1004:$AQ$1004,1,MATCH(COLUMNS($AB$1006:AE1006),$AB$1006:$AQ$1006,0)))),"Fix")))</f>
        <v>0</v>
      </c>
      <c r="F807" s="4">
        <f>IF(OR(INDEX($V$2:$V$1001,MATCH(ROWS($U$2:U807),$U$2:$U$1001,0),1)&gt;=100000,INDEX($AB$1005:$AQ$1005,1,MATCH(COLUMNS($AB$1006:AF1006),$AB$1006:$AQ$1006,0))&gt;=100000), " ",IF(INDEX($AB$2:$AQ$1001,MATCH(ROWS($U$2:U807),$U$2:$U$1001,0),MATCH(COLUMNS($AB$1006:AF1006),$AB$1006:$AQ$1006,0)), HYPERLINK("#",""), HYPERLINK(CONCATENATE("#metadata!", ADDRESS(INDEX($W$2:$W$1001,MATCH(ROWS($U$2:U807),$U$2:$U$1001,0),0), INDEX($AB$1004:$AQ$1004,1,MATCH(COLUMNS($AB$1006:AF1006),$AB$1006:$AQ$1006,0)))),"Fix")))</f>
        <v>0</v>
      </c>
      <c r="G807" s="4">
        <f>IF(OR(INDEX($V$2:$V$1001,MATCH(ROWS($U$2:U807),$U$2:$U$1001,0),1)&gt;=100000,INDEX($AB$1005:$AQ$1005,1,MATCH(COLUMNS($AB$1006:AG1006),$AB$1006:$AQ$1006,0))&gt;=100000), " ",IF(INDEX($AB$2:$AQ$1001,MATCH(ROWS($U$2:U807),$U$2:$U$1001,0),MATCH(COLUMNS($AB$1006:AG1006),$AB$1006:$AQ$1006,0)), HYPERLINK("#",""), HYPERLINK(CONCATENATE("#metadata!", ADDRESS(INDEX($W$2:$W$1001,MATCH(ROWS($U$2:U807),$U$2:$U$1001,0),0), INDEX($AB$1004:$AQ$1004,1,MATCH(COLUMNS($AB$1006:AG1006),$AB$1006:$AQ$1006,0)))),"Fix")))</f>
        <v>0</v>
      </c>
      <c r="H807" s="4">
        <f>IF(OR(INDEX($V$2:$V$1001,MATCH(ROWS($U$2:U807),$U$2:$U$1001,0),1)&gt;=100000,INDEX($AB$1005:$AQ$1005,1,MATCH(COLUMNS($AB$1006:AH1006),$AB$1006:$AQ$1006,0))&gt;=100000), " ",IF(INDEX($AB$2:$AQ$1001,MATCH(ROWS($U$2:U807),$U$2:$U$1001,0),MATCH(COLUMNS($AB$1006:AH1006),$AB$1006:$AQ$1006,0)), HYPERLINK("#",""), HYPERLINK(CONCATENATE("#metadata!", ADDRESS(INDEX($W$2:$W$1001,MATCH(ROWS($U$2:U807),$U$2:$U$1001,0),0), INDEX($AB$1004:$AQ$1004,1,MATCH(COLUMNS($AB$1006:AH1006),$AB$1006:$AQ$1006,0)))),"Fix")))</f>
        <v>0</v>
      </c>
      <c r="I807" s="4">
        <f>IF(OR(INDEX($V$2:$V$1001,MATCH(ROWS($U$2:U807),$U$2:$U$1001,0),1)&gt;=100000,INDEX($AB$1005:$AQ$1005,1,MATCH(COLUMNS($AB$1006:AI1006),$AB$1006:$AQ$1006,0))&gt;=100000), " ",IF(INDEX($AB$2:$AQ$1001,MATCH(ROWS($U$2:U807),$U$2:$U$1001,0),MATCH(COLUMNS($AB$1006:AI1006),$AB$1006:$AQ$1006,0)), HYPERLINK("#",""), HYPERLINK(CONCATENATE("#metadata!", ADDRESS(INDEX($W$2:$W$1001,MATCH(ROWS($U$2:U807),$U$2:$U$1001,0),0), INDEX($AB$1004:$AQ$1004,1,MATCH(COLUMNS($AB$1006:AI1006),$AB$1006:$AQ$1006,0)))),"Fix")))</f>
        <v>0</v>
      </c>
      <c r="J807" s="4">
        <f>IF(OR(INDEX($V$2:$V$1001,MATCH(ROWS($U$2:U807),$U$2:$U$1001,0),1)&gt;=100000,INDEX($AB$1005:$AQ$1005,1,MATCH(COLUMNS($AB$1006:AJ1006),$AB$1006:$AQ$1006,0))&gt;=100000), " ",IF(INDEX($AB$2:$AQ$1001,MATCH(ROWS($U$2:U807),$U$2:$U$1001,0),MATCH(COLUMNS($AB$1006:AJ1006),$AB$1006:$AQ$1006,0)), HYPERLINK("#",""), HYPERLINK(CONCATENATE("#metadata!", ADDRESS(INDEX($W$2:$W$1001,MATCH(ROWS($U$2:U807),$U$2:$U$1001,0),0), INDEX($AB$1004:$AQ$1004,1,MATCH(COLUMNS($AB$1006:AJ1006),$AB$1006:$AQ$1006,0)))),"Fix")))</f>
        <v>0</v>
      </c>
      <c r="K807" s="4">
        <f>IF(OR(INDEX($V$2:$V$1001,MATCH(ROWS($U$2:U807),$U$2:$U$1001,0),1)&gt;=100000,INDEX($AB$1005:$AQ$1005,1,MATCH(COLUMNS($AB$1006:AK1006),$AB$1006:$AQ$1006,0))&gt;=100000), " ",IF(INDEX($AB$2:$AQ$1001,MATCH(ROWS($U$2:U807),$U$2:$U$1001,0),MATCH(COLUMNS($AB$1006:AK1006),$AB$1006:$AQ$1006,0)), HYPERLINK("#",""), HYPERLINK(CONCATENATE("#metadata!", ADDRESS(INDEX($W$2:$W$1001,MATCH(ROWS($U$2:U807),$U$2:$U$1001,0),0), INDEX($AB$1004:$AQ$1004,1,MATCH(COLUMNS($AB$1006:AK1006),$AB$1006:$AQ$1006,0)))),"Fix")))</f>
        <v>0</v>
      </c>
      <c r="L807" s="4">
        <f>IF(OR(INDEX($V$2:$V$1001,MATCH(ROWS($U$2:U807),$U$2:$U$1001,0),1)&gt;=100000,INDEX($AB$1005:$AQ$1005,1,MATCH(COLUMNS($AB$1006:AL1006),$AB$1006:$AQ$1006,0))&gt;=100000), " ",IF(INDEX($AB$2:$AQ$1001,MATCH(ROWS($U$2:U807),$U$2:$U$1001,0),MATCH(COLUMNS($AB$1006:AL1006),$AB$1006:$AQ$1006,0)), HYPERLINK("#",""), HYPERLINK(CONCATENATE("#metadata!", ADDRESS(INDEX($W$2:$W$1001,MATCH(ROWS($U$2:U807),$U$2:$U$1001,0),0), INDEX($AB$1004:$AQ$1004,1,MATCH(COLUMNS($AB$1006:AL1006),$AB$1006:$AQ$1006,0)))),"Fix")))</f>
        <v>0</v>
      </c>
      <c r="M807" s="4">
        <f>IF(OR(INDEX($V$2:$V$1001,MATCH(ROWS($U$2:U807),$U$2:$U$1001,0),1)&gt;=100000,INDEX($AB$1005:$AQ$1005,1,MATCH(COLUMNS($AB$1006:AM1006),$AB$1006:$AQ$1006,0))&gt;=100000), " ",IF(INDEX($AB$2:$AQ$1001,MATCH(ROWS($U$2:U807),$U$2:$U$1001,0),MATCH(COLUMNS($AB$1006:AM1006),$AB$1006:$AQ$1006,0)), HYPERLINK("#",""), HYPERLINK(CONCATENATE("#metadata!", ADDRESS(INDEX($W$2:$W$1001,MATCH(ROWS($U$2:U807),$U$2:$U$1001,0),0), INDEX($AB$1004:$AQ$1004,1,MATCH(COLUMNS($AB$1006:AM1006),$AB$1006:$AQ$1006,0)))),"Fix")))</f>
        <v>0</v>
      </c>
      <c r="N807" s="4">
        <f>IF(OR(INDEX($V$2:$V$1001,MATCH(ROWS($U$2:U807),$U$2:$U$1001,0),1)&gt;=100000,INDEX($AB$1005:$AQ$1005,1,MATCH(COLUMNS($AB$1006:AN1006),$AB$1006:$AQ$1006,0))&gt;=100000), " ",IF(INDEX($AB$2:$AQ$1001,MATCH(ROWS($U$2:U807),$U$2:$U$1001,0),MATCH(COLUMNS($AB$1006:AN1006),$AB$1006:$AQ$1006,0)), HYPERLINK("#",""), HYPERLINK(CONCATENATE("#metadata!", ADDRESS(INDEX($W$2:$W$1001,MATCH(ROWS($U$2:U807),$U$2:$U$1001,0),0), INDEX($AB$1004:$AQ$1004,1,MATCH(COLUMNS($AB$1006:AN1006),$AB$1006:$AQ$1006,0)))),"Fix")))</f>
        <v>0</v>
      </c>
      <c r="O807" s="4">
        <f>IF(OR(INDEX($V$2:$V$1001,MATCH(ROWS($U$2:U807),$U$2:$U$1001,0),1)&gt;=100000,INDEX($AB$1005:$AQ$1005,1,MATCH(COLUMNS($AB$1006:AO1006),$AB$1006:$AQ$1006,0))&gt;=100000), " ",IF(INDEX($AB$2:$AQ$1001,MATCH(ROWS($U$2:U807),$U$2:$U$1001,0),MATCH(COLUMNS($AB$1006:AO1006),$AB$1006:$AQ$1006,0)), HYPERLINK("#",""), HYPERLINK(CONCATENATE("#metadata!", ADDRESS(INDEX($W$2:$W$1001,MATCH(ROWS($U$2:U807),$U$2:$U$1001,0),0), INDEX($AB$1004:$AQ$1004,1,MATCH(COLUMNS($AB$1006:AO1006),$AB$1006:$AQ$1006,0)))),"Fix")))</f>
        <v>0</v>
      </c>
      <c r="P807" s="4">
        <f>IF(OR(INDEX($V$2:$V$1001,MATCH(ROWS($U$2:U807),$U$2:$U$1001,0),1)&gt;=100000,INDEX($AB$1005:$AQ$1005,1,MATCH(COLUMNS($AB$1006:AP1006),$AB$1006:$AQ$1006,0))&gt;=100000), " ",IF(INDEX($AB$2:$AQ$1001,MATCH(ROWS($U$2:U807),$U$2:$U$1001,0),MATCH(COLUMNS($AB$1006:AP1006),$AB$1006:$AQ$1006,0)), HYPERLINK("#",""), HYPERLINK(CONCATENATE("#metadata!", ADDRESS(INDEX($W$2:$W$1001,MATCH(ROWS($U$2:U807),$U$2:$U$1001,0),0), INDEX($AB$1004:$AQ$1004,1,MATCH(COLUMNS($AB$1006:AP1006),$AB$1006:$AQ$1006,0)))),"Fix")))</f>
        <v>0</v>
      </c>
      <c r="Q807" s="4">
        <f>IF(OR(INDEX($V$2:$V$1001,MATCH(ROWS($U$2:U807),$U$2:$U$1001,0),1)&gt;=100000,INDEX($AB$1005:$AQ$1005,1,MATCH(COLUMNS($AB$1006:AQ1006),$AB$1006:$AQ$1006,0))&gt;=100000), " ",IF(INDEX($AB$2:$AQ$1001,MATCH(ROWS($U$2:U807),$U$2:$U$1001,0),MATCH(COLUMNS($AB$1006:AQ1006),$AB$1006:$AQ$1006,0)), HYPERLINK("#",""), HYPERLINK(CONCATENATE("#metadata!", ADDRESS(INDEX($W$2:$W$1001,MATCH(ROWS($U$2:U807),$U$2:$U$1001,0),0), INDEX($AB$1004:$AQ$1004,1,MATCH(COLUMNS($AB$1006:AQ1006),$AB$1006:$AQ$1006,0)))),"Fix")))</f>
        <v>0</v>
      </c>
      <c r="U807">
        <v>0</v>
      </c>
      <c r="V807">
        <v>0</v>
      </c>
      <c r="W807">
        <v>0</v>
      </c>
      <c r="X807">
        <f>IF(Y807,TRUE,AND(AB807:AQ807))</f>
        <v>0</v>
      </c>
      <c r="Y807">
        <f>COUNTBLANK(metadata!B807:Q807)=COLUMNS(metadata!B807:Q807)</f>
        <v>0</v>
      </c>
      <c r="Z807">
        <v>0</v>
      </c>
      <c r="AB807">
        <f>AND(IF(metadata!B807="",FALSE,TRUE),COUNTIF(metadata!B:B, metadata!B807) = 1,NOT(ISERROR(SUMPRODUCT(SEARCH(MID(metadata!B807,ROW(INDIRECT("1:"&amp;LEN(metadata!B807))), 1),"0123456789abcdefghijklmnopqrstuvwxyzABCDEFGHIJKLMNOPQRSTUVWXYZ.")))))</f>
        <v>0</v>
      </c>
      <c r="AC807">
        <f>OR(AND(IF(metadata!C807="",FALSE,TRUE),OR(exact(metadata!C807,"missing: not collected"),exact(metadata!C807,"missing: not provided"),exact(metadata!C807,"missing: restricted access"))),AND(IF(metadata!C807="",FALSE,TRUE),AND(AND(IFERROR(INT(LEFT(metadata!C807,4))&gt;1900,FALSE),IFERROR(INT(LEFT(metadata!C807,4))&lt;=YEAR(NOW()),FALSE)), OR(MID(metadata!C807,5,1)="", AND(AND(MID(metadata!C807,5,1)="-",IFERROR(INT(MID(metadata!C807,6,1))&gt;=0,FALSE),IFERROR(INT(MID(metadata!C807,6,1))&lt;=1,FALSE),NOT(MID(metadata!C807,7,1)=""),IFERROR(INT(MID(metadata!C807,6,2))&gt;=1,FALSE),IFERROR(INT(MID(metadata!C807,6,2))&lt;=12,FALSE)), OR(MID(metadata!C807,8,1)="", AND(AND(MID(metadata!C807,8,1)="-",IFERROR(INT(MID(metadata!C807,9,1))&gt;=0,FALSE),IFERROR(INT(MID(metadata!C807,9,1))&lt;=3,FALSE),NOT(MID(metadata!C807,10,1)=""),IFERROR(INT(MID(metadata!C807,9,2))&gt;=1,FALSE),IFERROR(INT(MID(metadata!C807,9,2))&lt;=31,FALSE)), OR(MID(metadata!C807,11,1)="", AND(AND(MID(metadata!C807,11,1)=" ",IFERROR(INT(MID(metadata!C807,12,1))&gt;=0,FALSE),IFERROR(INT(MID(metadata!C807,12,1))&lt;=2,FALSE),NOT(MID(metadata!C807,13,1)=""),IFERROR(INT(MID(metadata!C807,12,2))&gt;=0,FALSE),IFERROR(INT(MID(metadata!C807,12,2))&lt;=23,FALSE)), OR(MID(metadata!C807,14,1)="", AND(AND(MID(metadata!C807,14,1)=":",IFERROR(INT(MID(metadata!C807,15,1))&gt;=0,FALSE),IFERROR(INT(MID(metadata!C807,15,1))&lt;=5,FALSE),NOT(MID(metadata!C807,16,1)=""),IFERROR(INT(MID(metadata!C807,15,2))&gt;=0,FALSE),IFERROR(INT(MID(metadata!C807,15,2))&lt;=59,FALSE)), OR(MID(metadata!C807,17,1)="", AND(AND(MID(metadata!C807,17,1)=":",IFERROR(INT(MID(metadata!C807,18,1))&gt;=0,FALSE),IFERROR(INT(MID(metadata!C807,18,1))&lt;=5,FALSE),NOT(MID(metadata!C807,19,1)=""),IFERROR(INT(MID(metadata!C807,18,2))&gt;=0,FALSE),IFERROR(INT(MID(metadata!C807,18,2))&lt;=59,FALSE)), LEN(metadata!C807)&lt;=19)))))))))))))</f>
        <v>0</v>
      </c>
      <c r="AD807">
        <f>IF(metadata!D807="",FALSE,TRUE)</f>
        <v>0</v>
      </c>
      <c r="AE807">
        <f>OR(AND(IF(metadata!E807="",FALSE,TRUE),OR(exact(metadata!E807,"missing: not collected"),exact(metadata!E807,"missing: not provided"))),AND(IF(metadata!E807="",FALSE,TRUE),OR(exact(metadata!E807,"TRUE"),exact(metadata!E807,"FALSE"))))</f>
        <v>0</v>
      </c>
      <c r="AF807">
        <f>IF(metadata!F807="",FALSE,TRUE)</f>
        <v>0</v>
      </c>
      <c r="AG807">
        <f>IF(metadata!G807="",FALSE,TRUE)</f>
        <v>0</v>
      </c>
      <c r="AH807">
        <f>IF(metadata!H807="",FALSE,TRUE)</f>
        <v>0</v>
      </c>
      <c r="AI807">
        <f>OR(AND(IF(metadata!I807="",FALSE,TRUE),OR(exact(metadata!I807,"missing: not collected"),exact(metadata!I807,"missing: not provided"),exact(metadata!I807,"missing: restricted access"))),AND(IF(metadata!I807="",FALSE,TRUE),OR(exact(metadata!I807,"air"),exact(metadata!I807,"built environment"),exact(metadata!I807,"host-associated"),exact(metadata!I807,"human-associated"),exact(metadata!I807,"human-skin"),exact(metadata!I807,"human-oral"),exact(metadata!I807,"human-gut"),exact(metadata!I807,"human-vaginal"),exact(metadata!I807,"microbial mat/biofilm"),exact(metadata!I807,"misc environment"),exact(metadata!I807,"plant-associated"),exact(metadata!I807,"sediment"),exact(metadata!I807,"soil"),exact(metadata!I807,"wastewater/sludge"),exact(metadata!I807,"water"))))</f>
        <v>0</v>
      </c>
      <c r="AJ807">
        <f>IF(metadata!J807="",FALSE,TRUE)</f>
        <v>0</v>
      </c>
      <c r="AK807">
        <f>OR(AND(IF(metadata!K807="",FALSE,TRUE),OR(exact(metadata!K807,"missing: not collected"),exact(metadata!K807,"missing: not provided"),exact(metadata!K807,"missing: restricted access"))),AND(IF(metadata!K807="",FALSE,ISNUMBER(VALUE(metadata!K807))),metadata!K807&gt;=-90.00,metadata!K807&lt;=90.00))</f>
        <v>0</v>
      </c>
      <c r="AL807">
        <f>OR(AND(IF(metadata!L807="",FALSE,TRUE),OR(exact(metadata!L807,"missing: not collected"),exact(metadata!L807,"missing: not provided"),exact(metadata!L807,"missing: restricted access"))),AND(IF(metadata!L807="",FALSE,ISNUMBER(VALUE(metadata!L807))),metadata!L807&gt;=-180.00,metadata!L807&lt;=180.00))</f>
        <v>0</v>
      </c>
      <c r="AM807">
        <f>IF(metadata!M807="",FALSE,TRUE)</f>
        <v>0</v>
      </c>
      <c r="AN807">
        <f>OR(AND(IF(metadata!N807="",FALSE,TRUE),OR(exact(metadata!N807,"missing: not collected"),exact(metadata!N807,"missing: not provided"),exact(metadata!N807,"missing: restricted access"))),AND(IF(metadata!N807="",FALSE,TRUE),OR(exact(metadata!N807,"TRUE"),exact(metadata!N807,"FALSE"))))</f>
        <v>0</v>
      </c>
      <c r="AO807">
        <f>IF(metadata!O807="",FALSE,TRUE)</f>
        <v>0</v>
      </c>
      <c r="AP807">
        <f>OR(AND(IF(metadata!P807="",FALSE,TRUE),OR(exact(metadata!P807,"missing: not collected"),exact(metadata!P807,"missing: not provided"))),AND(IF(metadata!P807="",FALSE,IF(ISERROR(INT(metadata!P807)),FALSE,INT(metadata!P807)=metadata!P807)),metadata!P807&gt;0))</f>
        <v>0</v>
      </c>
      <c r="AQ807">
        <f>IF(metadata!Q807="",FALSE,TRUE)</f>
        <v>0</v>
      </c>
    </row>
    <row r="808" spans="1:43">
      <c r="A808" s="5">
        <f>IF(B808=" "," ",HYPERLINK(CONCATENATE("#metadata!",ADDRESS(INDEX($W$2:$W$1001,MATCH(ROWS($U$2:U808),$U$2:$U$1001,0),0),1)),INDEX($Z$2:$Z$1001,MATCH(ROWS($U$2:U808),$U$2:$U$1001,0),0)))</f>
        <v>0</v>
      </c>
      <c r="B808" s="4">
        <f>IF(OR(INDEX($V$2:$V$1001,MATCH(ROWS($U$2:U808),$U$2:$U$1001,0),1)&gt;=100000,INDEX($AB$1005:$AQ$1005,1,MATCH(COLUMNS($AB$1006:AB1006),$AB$1006:$AQ$1006,0))&gt;=100000), " ",IF(INDEX($AB$2:$AQ$1001,MATCH(ROWS($U$2:U808),$U$2:$U$1001,0),MATCH(COLUMNS($AB$1006:AB1006),$AB$1006:$AQ$1006,0)), HYPERLINK("#",""), HYPERLINK(CONCATENATE("#metadata!", ADDRESS(INDEX($W$2:$W$1001,MATCH(ROWS($U$2:U808),$U$2:$U$1001,0),0), INDEX($AB$1004:$AQ$1004,1,MATCH(COLUMNS($AB$1006:AB1006),$AB$1006:$AQ$1006,0)))),"Fix")))</f>
        <v>0</v>
      </c>
      <c r="C808" s="4">
        <f>IF(OR(INDEX($V$2:$V$1001,MATCH(ROWS($U$2:U808),$U$2:$U$1001,0),1)&gt;=100000,INDEX($AB$1005:$AQ$1005,1,MATCH(COLUMNS($AB$1006:AC1006),$AB$1006:$AQ$1006,0))&gt;=100000), " ",IF(INDEX($AB$2:$AQ$1001,MATCH(ROWS($U$2:U808),$U$2:$U$1001,0),MATCH(COLUMNS($AB$1006:AC1006),$AB$1006:$AQ$1006,0)), HYPERLINK("#",""), HYPERLINK(CONCATENATE("#metadata!", ADDRESS(INDEX($W$2:$W$1001,MATCH(ROWS($U$2:U808),$U$2:$U$1001,0),0), INDEX($AB$1004:$AQ$1004,1,MATCH(COLUMNS($AB$1006:AC1006),$AB$1006:$AQ$1006,0)))),"Fix")))</f>
        <v>0</v>
      </c>
      <c r="D808" s="4">
        <f>IF(OR(INDEX($V$2:$V$1001,MATCH(ROWS($U$2:U808),$U$2:$U$1001,0),1)&gt;=100000,INDEX($AB$1005:$AQ$1005,1,MATCH(COLUMNS($AB$1006:AD1006),$AB$1006:$AQ$1006,0))&gt;=100000), " ",IF(INDEX($AB$2:$AQ$1001,MATCH(ROWS($U$2:U808),$U$2:$U$1001,0),MATCH(COLUMNS($AB$1006:AD1006),$AB$1006:$AQ$1006,0)), HYPERLINK("#",""), HYPERLINK(CONCATENATE("#metadata!", ADDRESS(INDEX($W$2:$W$1001,MATCH(ROWS($U$2:U808),$U$2:$U$1001,0),0), INDEX($AB$1004:$AQ$1004,1,MATCH(COLUMNS($AB$1006:AD1006),$AB$1006:$AQ$1006,0)))),"Fix")))</f>
        <v>0</v>
      </c>
      <c r="E808" s="4">
        <f>IF(OR(INDEX($V$2:$V$1001,MATCH(ROWS($U$2:U808),$U$2:$U$1001,0),1)&gt;=100000,INDEX($AB$1005:$AQ$1005,1,MATCH(COLUMNS($AB$1006:AE1006),$AB$1006:$AQ$1006,0))&gt;=100000), " ",IF(INDEX($AB$2:$AQ$1001,MATCH(ROWS($U$2:U808),$U$2:$U$1001,0),MATCH(COLUMNS($AB$1006:AE1006),$AB$1006:$AQ$1006,0)), HYPERLINK("#",""), HYPERLINK(CONCATENATE("#metadata!", ADDRESS(INDEX($W$2:$W$1001,MATCH(ROWS($U$2:U808),$U$2:$U$1001,0),0), INDEX($AB$1004:$AQ$1004,1,MATCH(COLUMNS($AB$1006:AE1006),$AB$1006:$AQ$1006,0)))),"Fix")))</f>
        <v>0</v>
      </c>
      <c r="F808" s="4">
        <f>IF(OR(INDEX($V$2:$V$1001,MATCH(ROWS($U$2:U808),$U$2:$U$1001,0),1)&gt;=100000,INDEX($AB$1005:$AQ$1005,1,MATCH(COLUMNS($AB$1006:AF1006),$AB$1006:$AQ$1006,0))&gt;=100000), " ",IF(INDEX($AB$2:$AQ$1001,MATCH(ROWS($U$2:U808),$U$2:$U$1001,0),MATCH(COLUMNS($AB$1006:AF1006),$AB$1006:$AQ$1006,0)), HYPERLINK("#",""), HYPERLINK(CONCATENATE("#metadata!", ADDRESS(INDEX($W$2:$W$1001,MATCH(ROWS($U$2:U808),$U$2:$U$1001,0),0), INDEX($AB$1004:$AQ$1004,1,MATCH(COLUMNS($AB$1006:AF1006),$AB$1006:$AQ$1006,0)))),"Fix")))</f>
        <v>0</v>
      </c>
      <c r="G808" s="4">
        <f>IF(OR(INDEX($V$2:$V$1001,MATCH(ROWS($U$2:U808),$U$2:$U$1001,0),1)&gt;=100000,INDEX($AB$1005:$AQ$1005,1,MATCH(COLUMNS($AB$1006:AG1006),$AB$1006:$AQ$1006,0))&gt;=100000), " ",IF(INDEX($AB$2:$AQ$1001,MATCH(ROWS($U$2:U808),$U$2:$U$1001,0),MATCH(COLUMNS($AB$1006:AG1006),$AB$1006:$AQ$1006,0)), HYPERLINK("#",""), HYPERLINK(CONCATENATE("#metadata!", ADDRESS(INDEX($W$2:$W$1001,MATCH(ROWS($U$2:U808),$U$2:$U$1001,0),0), INDEX($AB$1004:$AQ$1004,1,MATCH(COLUMNS($AB$1006:AG1006),$AB$1006:$AQ$1006,0)))),"Fix")))</f>
        <v>0</v>
      </c>
      <c r="H808" s="4">
        <f>IF(OR(INDEX($V$2:$V$1001,MATCH(ROWS($U$2:U808),$U$2:$U$1001,0),1)&gt;=100000,INDEX($AB$1005:$AQ$1005,1,MATCH(COLUMNS($AB$1006:AH1006),$AB$1006:$AQ$1006,0))&gt;=100000), " ",IF(INDEX($AB$2:$AQ$1001,MATCH(ROWS($U$2:U808),$U$2:$U$1001,0),MATCH(COLUMNS($AB$1006:AH1006),$AB$1006:$AQ$1006,0)), HYPERLINK("#",""), HYPERLINK(CONCATENATE("#metadata!", ADDRESS(INDEX($W$2:$W$1001,MATCH(ROWS($U$2:U808),$U$2:$U$1001,0),0), INDEX($AB$1004:$AQ$1004,1,MATCH(COLUMNS($AB$1006:AH1006),$AB$1006:$AQ$1006,0)))),"Fix")))</f>
        <v>0</v>
      </c>
      <c r="I808" s="4">
        <f>IF(OR(INDEX($V$2:$V$1001,MATCH(ROWS($U$2:U808),$U$2:$U$1001,0),1)&gt;=100000,INDEX($AB$1005:$AQ$1005,1,MATCH(COLUMNS($AB$1006:AI1006),$AB$1006:$AQ$1006,0))&gt;=100000), " ",IF(INDEX($AB$2:$AQ$1001,MATCH(ROWS($U$2:U808),$U$2:$U$1001,0),MATCH(COLUMNS($AB$1006:AI1006),$AB$1006:$AQ$1006,0)), HYPERLINK("#",""), HYPERLINK(CONCATENATE("#metadata!", ADDRESS(INDEX($W$2:$W$1001,MATCH(ROWS($U$2:U808),$U$2:$U$1001,0),0), INDEX($AB$1004:$AQ$1004,1,MATCH(COLUMNS($AB$1006:AI1006),$AB$1006:$AQ$1006,0)))),"Fix")))</f>
        <v>0</v>
      </c>
      <c r="J808" s="4">
        <f>IF(OR(INDEX($V$2:$V$1001,MATCH(ROWS($U$2:U808),$U$2:$U$1001,0),1)&gt;=100000,INDEX($AB$1005:$AQ$1005,1,MATCH(COLUMNS($AB$1006:AJ1006),$AB$1006:$AQ$1006,0))&gt;=100000), " ",IF(INDEX($AB$2:$AQ$1001,MATCH(ROWS($U$2:U808),$U$2:$U$1001,0),MATCH(COLUMNS($AB$1006:AJ1006),$AB$1006:$AQ$1006,0)), HYPERLINK("#",""), HYPERLINK(CONCATENATE("#metadata!", ADDRESS(INDEX($W$2:$W$1001,MATCH(ROWS($U$2:U808),$U$2:$U$1001,0),0), INDEX($AB$1004:$AQ$1004,1,MATCH(COLUMNS($AB$1006:AJ1006),$AB$1006:$AQ$1006,0)))),"Fix")))</f>
        <v>0</v>
      </c>
      <c r="K808" s="4">
        <f>IF(OR(INDEX($V$2:$V$1001,MATCH(ROWS($U$2:U808),$U$2:$U$1001,0),1)&gt;=100000,INDEX($AB$1005:$AQ$1005,1,MATCH(COLUMNS($AB$1006:AK1006),$AB$1006:$AQ$1006,0))&gt;=100000), " ",IF(INDEX($AB$2:$AQ$1001,MATCH(ROWS($U$2:U808),$U$2:$U$1001,0),MATCH(COLUMNS($AB$1006:AK1006),$AB$1006:$AQ$1006,0)), HYPERLINK("#",""), HYPERLINK(CONCATENATE("#metadata!", ADDRESS(INDEX($W$2:$W$1001,MATCH(ROWS($U$2:U808),$U$2:$U$1001,0),0), INDEX($AB$1004:$AQ$1004,1,MATCH(COLUMNS($AB$1006:AK1006),$AB$1006:$AQ$1006,0)))),"Fix")))</f>
        <v>0</v>
      </c>
      <c r="L808" s="4">
        <f>IF(OR(INDEX($V$2:$V$1001,MATCH(ROWS($U$2:U808),$U$2:$U$1001,0),1)&gt;=100000,INDEX($AB$1005:$AQ$1005,1,MATCH(COLUMNS($AB$1006:AL1006),$AB$1006:$AQ$1006,0))&gt;=100000), " ",IF(INDEX($AB$2:$AQ$1001,MATCH(ROWS($U$2:U808),$U$2:$U$1001,0),MATCH(COLUMNS($AB$1006:AL1006),$AB$1006:$AQ$1006,0)), HYPERLINK("#",""), HYPERLINK(CONCATENATE("#metadata!", ADDRESS(INDEX($W$2:$W$1001,MATCH(ROWS($U$2:U808),$U$2:$U$1001,0),0), INDEX($AB$1004:$AQ$1004,1,MATCH(COLUMNS($AB$1006:AL1006),$AB$1006:$AQ$1006,0)))),"Fix")))</f>
        <v>0</v>
      </c>
      <c r="M808" s="4">
        <f>IF(OR(INDEX($V$2:$V$1001,MATCH(ROWS($U$2:U808),$U$2:$U$1001,0),1)&gt;=100000,INDEX($AB$1005:$AQ$1005,1,MATCH(COLUMNS($AB$1006:AM1006),$AB$1006:$AQ$1006,0))&gt;=100000), " ",IF(INDEX($AB$2:$AQ$1001,MATCH(ROWS($U$2:U808),$U$2:$U$1001,0),MATCH(COLUMNS($AB$1006:AM1006),$AB$1006:$AQ$1006,0)), HYPERLINK("#",""), HYPERLINK(CONCATENATE("#metadata!", ADDRESS(INDEX($W$2:$W$1001,MATCH(ROWS($U$2:U808),$U$2:$U$1001,0),0), INDEX($AB$1004:$AQ$1004,1,MATCH(COLUMNS($AB$1006:AM1006),$AB$1006:$AQ$1006,0)))),"Fix")))</f>
        <v>0</v>
      </c>
      <c r="N808" s="4">
        <f>IF(OR(INDEX($V$2:$V$1001,MATCH(ROWS($U$2:U808),$U$2:$U$1001,0),1)&gt;=100000,INDEX($AB$1005:$AQ$1005,1,MATCH(COLUMNS($AB$1006:AN1006),$AB$1006:$AQ$1006,0))&gt;=100000), " ",IF(INDEX($AB$2:$AQ$1001,MATCH(ROWS($U$2:U808),$U$2:$U$1001,0),MATCH(COLUMNS($AB$1006:AN1006),$AB$1006:$AQ$1006,0)), HYPERLINK("#",""), HYPERLINK(CONCATENATE("#metadata!", ADDRESS(INDEX($W$2:$W$1001,MATCH(ROWS($U$2:U808),$U$2:$U$1001,0),0), INDEX($AB$1004:$AQ$1004,1,MATCH(COLUMNS($AB$1006:AN1006),$AB$1006:$AQ$1006,0)))),"Fix")))</f>
        <v>0</v>
      </c>
      <c r="O808" s="4">
        <f>IF(OR(INDEX($V$2:$V$1001,MATCH(ROWS($U$2:U808),$U$2:$U$1001,0),1)&gt;=100000,INDEX($AB$1005:$AQ$1005,1,MATCH(COLUMNS($AB$1006:AO1006),$AB$1006:$AQ$1006,0))&gt;=100000), " ",IF(INDEX($AB$2:$AQ$1001,MATCH(ROWS($U$2:U808),$U$2:$U$1001,0),MATCH(COLUMNS($AB$1006:AO1006),$AB$1006:$AQ$1006,0)), HYPERLINK("#",""), HYPERLINK(CONCATENATE("#metadata!", ADDRESS(INDEX($W$2:$W$1001,MATCH(ROWS($U$2:U808),$U$2:$U$1001,0),0), INDEX($AB$1004:$AQ$1004,1,MATCH(COLUMNS($AB$1006:AO1006),$AB$1006:$AQ$1006,0)))),"Fix")))</f>
        <v>0</v>
      </c>
      <c r="P808" s="4">
        <f>IF(OR(INDEX($V$2:$V$1001,MATCH(ROWS($U$2:U808),$U$2:$U$1001,0),1)&gt;=100000,INDEX($AB$1005:$AQ$1005,1,MATCH(COLUMNS($AB$1006:AP1006),$AB$1006:$AQ$1006,0))&gt;=100000), " ",IF(INDEX($AB$2:$AQ$1001,MATCH(ROWS($U$2:U808),$U$2:$U$1001,0),MATCH(COLUMNS($AB$1006:AP1006),$AB$1006:$AQ$1006,0)), HYPERLINK("#",""), HYPERLINK(CONCATENATE("#metadata!", ADDRESS(INDEX($W$2:$W$1001,MATCH(ROWS($U$2:U808),$U$2:$U$1001,0),0), INDEX($AB$1004:$AQ$1004,1,MATCH(COLUMNS($AB$1006:AP1006),$AB$1006:$AQ$1006,0)))),"Fix")))</f>
        <v>0</v>
      </c>
      <c r="Q808" s="4">
        <f>IF(OR(INDEX($V$2:$V$1001,MATCH(ROWS($U$2:U808),$U$2:$U$1001,0),1)&gt;=100000,INDEX($AB$1005:$AQ$1005,1,MATCH(COLUMNS($AB$1006:AQ1006),$AB$1006:$AQ$1006,0))&gt;=100000), " ",IF(INDEX($AB$2:$AQ$1001,MATCH(ROWS($U$2:U808),$U$2:$U$1001,0),MATCH(COLUMNS($AB$1006:AQ1006),$AB$1006:$AQ$1006,0)), HYPERLINK("#",""), HYPERLINK(CONCATENATE("#metadata!", ADDRESS(INDEX($W$2:$W$1001,MATCH(ROWS($U$2:U808),$U$2:$U$1001,0),0), INDEX($AB$1004:$AQ$1004,1,MATCH(COLUMNS($AB$1006:AQ1006),$AB$1006:$AQ$1006,0)))),"Fix")))</f>
        <v>0</v>
      </c>
      <c r="U808">
        <v>0</v>
      </c>
      <c r="V808">
        <v>0</v>
      </c>
      <c r="W808">
        <v>0</v>
      </c>
      <c r="X808">
        <f>IF(Y808,TRUE,AND(AB808:AQ808))</f>
        <v>0</v>
      </c>
      <c r="Y808">
        <f>COUNTBLANK(metadata!B808:Q808)=COLUMNS(metadata!B808:Q808)</f>
        <v>0</v>
      </c>
      <c r="Z808">
        <v>0</v>
      </c>
      <c r="AB808">
        <f>AND(IF(metadata!B808="",FALSE,TRUE),COUNTIF(metadata!B:B, metadata!B808) = 1,NOT(ISERROR(SUMPRODUCT(SEARCH(MID(metadata!B808,ROW(INDIRECT("1:"&amp;LEN(metadata!B808))), 1),"0123456789abcdefghijklmnopqrstuvwxyzABCDEFGHIJKLMNOPQRSTUVWXYZ.")))))</f>
        <v>0</v>
      </c>
      <c r="AC808">
        <f>OR(AND(IF(metadata!C808="",FALSE,TRUE),OR(exact(metadata!C808,"missing: not collected"),exact(metadata!C808,"missing: not provided"),exact(metadata!C808,"missing: restricted access"))),AND(IF(metadata!C808="",FALSE,TRUE),AND(AND(IFERROR(INT(LEFT(metadata!C808,4))&gt;1900,FALSE),IFERROR(INT(LEFT(metadata!C808,4))&lt;=YEAR(NOW()),FALSE)), OR(MID(metadata!C808,5,1)="", AND(AND(MID(metadata!C808,5,1)="-",IFERROR(INT(MID(metadata!C808,6,1))&gt;=0,FALSE),IFERROR(INT(MID(metadata!C808,6,1))&lt;=1,FALSE),NOT(MID(metadata!C808,7,1)=""),IFERROR(INT(MID(metadata!C808,6,2))&gt;=1,FALSE),IFERROR(INT(MID(metadata!C808,6,2))&lt;=12,FALSE)), OR(MID(metadata!C808,8,1)="", AND(AND(MID(metadata!C808,8,1)="-",IFERROR(INT(MID(metadata!C808,9,1))&gt;=0,FALSE),IFERROR(INT(MID(metadata!C808,9,1))&lt;=3,FALSE),NOT(MID(metadata!C808,10,1)=""),IFERROR(INT(MID(metadata!C808,9,2))&gt;=1,FALSE),IFERROR(INT(MID(metadata!C808,9,2))&lt;=31,FALSE)), OR(MID(metadata!C808,11,1)="", AND(AND(MID(metadata!C808,11,1)=" ",IFERROR(INT(MID(metadata!C808,12,1))&gt;=0,FALSE),IFERROR(INT(MID(metadata!C808,12,1))&lt;=2,FALSE),NOT(MID(metadata!C808,13,1)=""),IFERROR(INT(MID(metadata!C808,12,2))&gt;=0,FALSE),IFERROR(INT(MID(metadata!C808,12,2))&lt;=23,FALSE)), OR(MID(metadata!C808,14,1)="", AND(AND(MID(metadata!C808,14,1)=":",IFERROR(INT(MID(metadata!C808,15,1))&gt;=0,FALSE),IFERROR(INT(MID(metadata!C808,15,1))&lt;=5,FALSE),NOT(MID(metadata!C808,16,1)=""),IFERROR(INT(MID(metadata!C808,15,2))&gt;=0,FALSE),IFERROR(INT(MID(metadata!C808,15,2))&lt;=59,FALSE)), OR(MID(metadata!C808,17,1)="", AND(AND(MID(metadata!C808,17,1)=":",IFERROR(INT(MID(metadata!C808,18,1))&gt;=0,FALSE),IFERROR(INT(MID(metadata!C808,18,1))&lt;=5,FALSE),NOT(MID(metadata!C808,19,1)=""),IFERROR(INT(MID(metadata!C808,18,2))&gt;=0,FALSE),IFERROR(INT(MID(metadata!C808,18,2))&lt;=59,FALSE)), LEN(metadata!C808)&lt;=19)))))))))))))</f>
        <v>0</v>
      </c>
      <c r="AD808">
        <f>IF(metadata!D808="",FALSE,TRUE)</f>
        <v>0</v>
      </c>
      <c r="AE808">
        <f>OR(AND(IF(metadata!E808="",FALSE,TRUE),OR(exact(metadata!E808,"missing: not collected"),exact(metadata!E808,"missing: not provided"))),AND(IF(metadata!E808="",FALSE,TRUE),OR(exact(metadata!E808,"TRUE"),exact(metadata!E808,"FALSE"))))</f>
        <v>0</v>
      </c>
      <c r="AF808">
        <f>IF(metadata!F808="",FALSE,TRUE)</f>
        <v>0</v>
      </c>
      <c r="AG808">
        <f>IF(metadata!G808="",FALSE,TRUE)</f>
        <v>0</v>
      </c>
      <c r="AH808">
        <f>IF(metadata!H808="",FALSE,TRUE)</f>
        <v>0</v>
      </c>
      <c r="AI808">
        <f>OR(AND(IF(metadata!I808="",FALSE,TRUE),OR(exact(metadata!I808,"missing: not collected"),exact(metadata!I808,"missing: not provided"),exact(metadata!I808,"missing: restricted access"))),AND(IF(metadata!I808="",FALSE,TRUE),OR(exact(metadata!I808,"air"),exact(metadata!I808,"built environment"),exact(metadata!I808,"host-associated"),exact(metadata!I808,"human-associated"),exact(metadata!I808,"human-skin"),exact(metadata!I808,"human-oral"),exact(metadata!I808,"human-gut"),exact(metadata!I808,"human-vaginal"),exact(metadata!I808,"microbial mat/biofilm"),exact(metadata!I808,"misc environment"),exact(metadata!I808,"plant-associated"),exact(metadata!I808,"sediment"),exact(metadata!I808,"soil"),exact(metadata!I808,"wastewater/sludge"),exact(metadata!I808,"water"))))</f>
        <v>0</v>
      </c>
      <c r="AJ808">
        <f>IF(metadata!J808="",FALSE,TRUE)</f>
        <v>0</v>
      </c>
      <c r="AK808">
        <f>OR(AND(IF(metadata!K808="",FALSE,TRUE),OR(exact(metadata!K808,"missing: not collected"),exact(metadata!K808,"missing: not provided"),exact(metadata!K808,"missing: restricted access"))),AND(IF(metadata!K808="",FALSE,ISNUMBER(VALUE(metadata!K808))),metadata!K808&gt;=-90.00,metadata!K808&lt;=90.00))</f>
        <v>0</v>
      </c>
      <c r="AL808">
        <f>OR(AND(IF(metadata!L808="",FALSE,TRUE),OR(exact(metadata!L808,"missing: not collected"),exact(metadata!L808,"missing: not provided"),exact(metadata!L808,"missing: restricted access"))),AND(IF(metadata!L808="",FALSE,ISNUMBER(VALUE(metadata!L808))),metadata!L808&gt;=-180.00,metadata!L808&lt;=180.00))</f>
        <v>0</v>
      </c>
      <c r="AM808">
        <f>IF(metadata!M808="",FALSE,TRUE)</f>
        <v>0</v>
      </c>
      <c r="AN808">
        <f>OR(AND(IF(metadata!N808="",FALSE,TRUE),OR(exact(metadata!N808,"missing: not collected"),exact(metadata!N808,"missing: not provided"),exact(metadata!N808,"missing: restricted access"))),AND(IF(metadata!N808="",FALSE,TRUE),OR(exact(metadata!N808,"TRUE"),exact(metadata!N808,"FALSE"))))</f>
        <v>0</v>
      </c>
      <c r="AO808">
        <f>IF(metadata!O808="",FALSE,TRUE)</f>
        <v>0</v>
      </c>
      <c r="AP808">
        <f>OR(AND(IF(metadata!P808="",FALSE,TRUE),OR(exact(metadata!P808,"missing: not collected"),exact(metadata!P808,"missing: not provided"))),AND(IF(metadata!P808="",FALSE,IF(ISERROR(INT(metadata!P808)),FALSE,INT(metadata!P808)=metadata!P808)),metadata!P808&gt;0))</f>
        <v>0</v>
      </c>
      <c r="AQ808">
        <f>IF(metadata!Q808="",FALSE,TRUE)</f>
        <v>0</v>
      </c>
    </row>
    <row r="809" spans="1:43">
      <c r="A809" s="5">
        <f>IF(B809=" "," ",HYPERLINK(CONCATENATE("#metadata!",ADDRESS(INDEX($W$2:$W$1001,MATCH(ROWS($U$2:U809),$U$2:$U$1001,0),0),1)),INDEX($Z$2:$Z$1001,MATCH(ROWS($U$2:U809),$U$2:$U$1001,0),0)))</f>
        <v>0</v>
      </c>
      <c r="B809" s="4">
        <f>IF(OR(INDEX($V$2:$V$1001,MATCH(ROWS($U$2:U809),$U$2:$U$1001,0),1)&gt;=100000,INDEX($AB$1005:$AQ$1005,1,MATCH(COLUMNS($AB$1006:AB1006),$AB$1006:$AQ$1006,0))&gt;=100000), " ",IF(INDEX($AB$2:$AQ$1001,MATCH(ROWS($U$2:U809),$U$2:$U$1001,0),MATCH(COLUMNS($AB$1006:AB1006),$AB$1006:$AQ$1006,0)), HYPERLINK("#",""), HYPERLINK(CONCATENATE("#metadata!", ADDRESS(INDEX($W$2:$W$1001,MATCH(ROWS($U$2:U809),$U$2:$U$1001,0),0), INDEX($AB$1004:$AQ$1004,1,MATCH(COLUMNS($AB$1006:AB1006),$AB$1006:$AQ$1006,0)))),"Fix")))</f>
        <v>0</v>
      </c>
      <c r="C809" s="4">
        <f>IF(OR(INDEX($V$2:$V$1001,MATCH(ROWS($U$2:U809),$U$2:$U$1001,0),1)&gt;=100000,INDEX($AB$1005:$AQ$1005,1,MATCH(COLUMNS($AB$1006:AC1006),$AB$1006:$AQ$1006,0))&gt;=100000), " ",IF(INDEX($AB$2:$AQ$1001,MATCH(ROWS($U$2:U809),$U$2:$U$1001,0),MATCH(COLUMNS($AB$1006:AC1006),$AB$1006:$AQ$1006,0)), HYPERLINK("#",""), HYPERLINK(CONCATENATE("#metadata!", ADDRESS(INDEX($W$2:$W$1001,MATCH(ROWS($U$2:U809),$U$2:$U$1001,0),0), INDEX($AB$1004:$AQ$1004,1,MATCH(COLUMNS($AB$1006:AC1006),$AB$1006:$AQ$1006,0)))),"Fix")))</f>
        <v>0</v>
      </c>
      <c r="D809" s="4">
        <f>IF(OR(INDEX($V$2:$V$1001,MATCH(ROWS($U$2:U809),$U$2:$U$1001,0),1)&gt;=100000,INDEX($AB$1005:$AQ$1005,1,MATCH(COLUMNS($AB$1006:AD1006),$AB$1006:$AQ$1006,0))&gt;=100000), " ",IF(INDEX($AB$2:$AQ$1001,MATCH(ROWS($U$2:U809),$U$2:$U$1001,0),MATCH(COLUMNS($AB$1006:AD1006),$AB$1006:$AQ$1006,0)), HYPERLINK("#",""), HYPERLINK(CONCATENATE("#metadata!", ADDRESS(INDEX($W$2:$W$1001,MATCH(ROWS($U$2:U809),$U$2:$U$1001,0),0), INDEX($AB$1004:$AQ$1004,1,MATCH(COLUMNS($AB$1006:AD1006),$AB$1006:$AQ$1006,0)))),"Fix")))</f>
        <v>0</v>
      </c>
      <c r="E809" s="4">
        <f>IF(OR(INDEX($V$2:$V$1001,MATCH(ROWS($U$2:U809),$U$2:$U$1001,0),1)&gt;=100000,INDEX($AB$1005:$AQ$1005,1,MATCH(COLUMNS($AB$1006:AE1006),$AB$1006:$AQ$1006,0))&gt;=100000), " ",IF(INDEX($AB$2:$AQ$1001,MATCH(ROWS($U$2:U809),$U$2:$U$1001,0),MATCH(COLUMNS($AB$1006:AE1006),$AB$1006:$AQ$1006,0)), HYPERLINK("#",""), HYPERLINK(CONCATENATE("#metadata!", ADDRESS(INDEX($W$2:$W$1001,MATCH(ROWS($U$2:U809),$U$2:$U$1001,0),0), INDEX($AB$1004:$AQ$1004,1,MATCH(COLUMNS($AB$1006:AE1006),$AB$1006:$AQ$1006,0)))),"Fix")))</f>
        <v>0</v>
      </c>
      <c r="F809" s="4">
        <f>IF(OR(INDEX($V$2:$V$1001,MATCH(ROWS($U$2:U809),$U$2:$U$1001,0),1)&gt;=100000,INDEX($AB$1005:$AQ$1005,1,MATCH(COLUMNS($AB$1006:AF1006),$AB$1006:$AQ$1006,0))&gt;=100000), " ",IF(INDEX($AB$2:$AQ$1001,MATCH(ROWS($U$2:U809),$U$2:$U$1001,0),MATCH(COLUMNS($AB$1006:AF1006),$AB$1006:$AQ$1006,0)), HYPERLINK("#",""), HYPERLINK(CONCATENATE("#metadata!", ADDRESS(INDEX($W$2:$W$1001,MATCH(ROWS($U$2:U809),$U$2:$U$1001,0),0), INDEX($AB$1004:$AQ$1004,1,MATCH(COLUMNS($AB$1006:AF1006),$AB$1006:$AQ$1006,0)))),"Fix")))</f>
        <v>0</v>
      </c>
      <c r="G809" s="4">
        <f>IF(OR(INDEX($V$2:$V$1001,MATCH(ROWS($U$2:U809),$U$2:$U$1001,0),1)&gt;=100000,INDEX($AB$1005:$AQ$1005,1,MATCH(COLUMNS($AB$1006:AG1006),$AB$1006:$AQ$1006,0))&gt;=100000), " ",IF(INDEX($AB$2:$AQ$1001,MATCH(ROWS($U$2:U809),$U$2:$U$1001,0),MATCH(COLUMNS($AB$1006:AG1006),$AB$1006:$AQ$1006,0)), HYPERLINK("#",""), HYPERLINK(CONCATENATE("#metadata!", ADDRESS(INDEX($W$2:$W$1001,MATCH(ROWS($U$2:U809),$U$2:$U$1001,0),0), INDEX($AB$1004:$AQ$1004,1,MATCH(COLUMNS($AB$1006:AG1006),$AB$1006:$AQ$1006,0)))),"Fix")))</f>
        <v>0</v>
      </c>
      <c r="H809" s="4">
        <f>IF(OR(INDEX($V$2:$V$1001,MATCH(ROWS($U$2:U809),$U$2:$U$1001,0),1)&gt;=100000,INDEX($AB$1005:$AQ$1005,1,MATCH(COLUMNS($AB$1006:AH1006),$AB$1006:$AQ$1006,0))&gt;=100000), " ",IF(INDEX($AB$2:$AQ$1001,MATCH(ROWS($U$2:U809),$U$2:$U$1001,0),MATCH(COLUMNS($AB$1006:AH1006),$AB$1006:$AQ$1006,0)), HYPERLINK("#",""), HYPERLINK(CONCATENATE("#metadata!", ADDRESS(INDEX($W$2:$W$1001,MATCH(ROWS($U$2:U809),$U$2:$U$1001,0),0), INDEX($AB$1004:$AQ$1004,1,MATCH(COLUMNS($AB$1006:AH1006),$AB$1006:$AQ$1006,0)))),"Fix")))</f>
        <v>0</v>
      </c>
      <c r="I809" s="4">
        <f>IF(OR(INDEX($V$2:$V$1001,MATCH(ROWS($U$2:U809),$U$2:$U$1001,0),1)&gt;=100000,INDEX($AB$1005:$AQ$1005,1,MATCH(COLUMNS($AB$1006:AI1006),$AB$1006:$AQ$1006,0))&gt;=100000), " ",IF(INDEX($AB$2:$AQ$1001,MATCH(ROWS($U$2:U809),$U$2:$U$1001,0),MATCH(COLUMNS($AB$1006:AI1006),$AB$1006:$AQ$1006,0)), HYPERLINK("#",""), HYPERLINK(CONCATENATE("#metadata!", ADDRESS(INDEX($W$2:$W$1001,MATCH(ROWS($U$2:U809),$U$2:$U$1001,0),0), INDEX($AB$1004:$AQ$1004,1,MATCH(COLUMNS($AB$1006:AI1006),$AB$1006:$AQ$1006,0)))),"Fix")))</f>
        <v>0</v>
      </c>
      <c r="J809" s="4">
        <f>IF(OR(INDEX($V$2:$V$1001,MATCH(ROWS($U$2:U809),$U$2:$U$1001,0),1)&gt;=100000,INDEX($AB$1005:$AQ$1005,1,MATCH(COLUMNS($AB$1006:AJ1006),$AB$1006:$AQ$1006,0))&gt;=100000), " ",IF(INDEX($AB$2:$AQ$1001,MATCH(ROWS($U$2:U809),$U$2:$U$1001,0),MATCH(COLUMNS($AB$1006:AJ1006),$AB$1006:$AQ$1006,0)), HYPERLINK("#",""), HYPERLINK(CONCATENATE("#metadata!", ADDRESS(INDEX($W$2:$W$1001,MATCH(ROWS($U$2:U809),$U$2:$U$1001,0),0), INDEX($AB$1004:$AQ$1004,1,MATCH(COLUMNS($AB$1006:AJ1006),$AB$1006:$AQ$1006,0)))),"Fix")))</f>
        <v>0</v>
      </c>
      <c r="K809" s="4">
        <f>IF(OR(INDEX($V$2:$V$1001,MATCH(ROWS($U$2:U809),$U$2:$U$1001,0),1)&gt;=100000,INDEX($AB$1005:$AQ$1005,1,MATCH(COLUMNS($AB$1006:AK1006),$AB$1006:$AQ$1006,0))&gt;=100000), " ",IF(INDEX($AB$2:$AQ$1001,MATCH(ROWS($U$2:U809),$U$2:$U$1001,0),MATCH(COLUMNS($AB$1006:AK1006),$AB$1006:$AQ$1006,0)), HYPERLINK("#",""), HYPERLINK(CONCATENATE("#metadata!", ADDRESS(INDEX($W$2:$W$1001,MATCH(ROWS($U$2:U809),$U$2:$U$1001,0),0), INDEX($AB$1004:$AQ$1004,1,MATCH(COLUMNS($AB$1006:AK1006),$AB$1006:$AQ$1006,0)))),"Fix")))</f>
        <v>0</v>
      </c>
      <c r="L809" s="4">
        <f>IF(OR(INDEX($V$2:$V$1001,MATCH(ROWS($U$2:U809),$U$2:$U$1001,0),1)&gt;=100000,INDEX($AB$1005:$AQ$1005,1,MATCH(COLUMNS($AB$1006:AL1006),$AB$1006:$AQ$1006,0))&gt;=100000), " ",IF(INDEX($AB$2:$AQ$1001,MATCH(ROWS($U$2:U809),$U$2:$U$1001,0),MATCH(COLUMNS($AB$1006:AL1006),$AB$1006:$AQ$1006,0)), HYPERLINK("#",""), HYPERLINK(CONCATENATE("#metadata!", ADDRESS(INDEX($W$2:$W$1001,MATCH(ROWS($U$2:U809),$U$2:$U$1001,0),0), INDEX($AB$1004:$AQ$1004,1,MATCH(COLUMNS($AB$1006:AL1006),$AB$1006:$AQ$1006,0)))),"Fix")))</f>
        <v>0</v>
      </c>
      <c r="M809" s="4">
        <f>IF(OR(INDEX($V$2:$V$1001,MATCH(ROWS($U$2:U809),$U$2:$U$1001,0),1)&gt;=100000,INDEX($AB$1005:$AQ$1005,1,MATCH(COLUMNS($AB$1006:AM1006),$AB$1006:$AQ$1006,0))&gt;=100000), " ",IF(INDEX($AB$2:$AQ$1001,MATCH(ROWS($U$2:U809),$U$2:$U$1001,0),MATCH(COLUMNS($AB$1006:AM1006),$AB$1006:$AQ$1006,0)), HYPERLINK("#",""), HYPERLINK(CONCATENATE("#metadata!", ADDRESS(INDEX($W$2:$W$1001,MATCH(ROWS($U$2:U809),$U$2:$U$1001,0),0), INDEX($AB$1004:$AQ$1004,1,MATCH(COLUMNS($AB$1006:AM1006),$AB$1006:$AQ$1006,0)))),"Fix")))</f>
        <v>0</v>
      </c>
      <c r="N809" s="4">
        <f>IF(OR(INDEX($V$2:$V$1001,MATCH(ROWS($U$2:U809),$U$2:$U$1001,0),1)&gt;=100000,INDEX($AB$1005:$AQ$1005,1,MATCH(COLUMNS($AB$1006:AN1006),$AB$1006:$AQ$1006,0))&gt;=100000), " ",IF(INDEX($AB$2:$AQ$1001,MATCH(ROWS($U$2:U809),$U$2:$U$1001,0),MATCH(COLUMNS($AB$1006:AN1006),$AB$1006:$AQ$1006,0)), HYPERLINK("#",""), HYPERLINK(CONCATENATE("#metadata!", ADDRESS(INDEX($W$2:$W$1001,MATCH(ROWS($U$2:U809),$U$2:$U$1001,0),0), INDEX($AB$1004:$AQ$1004,1,MATCH(COLUMNS($AB$1006:AN1006),$AB$1006:$AQ$1006,0)))),"Fix")))</f>
        <v>0</v>
      </c>
      <c r="O809" s="4">
        <f>IF(OR(INDEX($V$2:$V$1001,MATCH(ROWS($U$2:U809),$U$2:$U$1001,0),1)&gt;=100000,INDEX($AB$1005:$AQ$1005,1,MATCH(COLUMNS($AB$1006:AO1006),$AB$1006:$AQ$1006,0))&gt;=100000), " ",IF(INDEX($AB$2:$AQ$1001,MATCH(ROWS($U$2:U809),$U$2:$U$1001,0),MATCH(COLUMNS($AB$1006:AO1006),$AB$1006:$AQ$1006,0)), HYPERLINK("#",""), HYPERLINK(CONCATENATE("#metadata!", ADDRESS(INDEX($W$2:$W$1001,MATCH(ROWS($U$2:U809),$U$2:$U$1001,0),0), INDEX($AB$1004:$AQ$1004,1,MATCH(COLUMNS($AB$1006:AO1006),$AB$1006:$AQ$1006,0)))),"Fix")))</f>
        <v>0</v>
      </c>
      <c r="P809" s="4">
        <f>IF(OR(INDEX($V$2:$V$1001,MATCH(ROWS($U$2:U809),$U$2:$U$1001,0),1)&gt;=100000,INDEX($AB$1005:$AQ$1005,1,MATCH(COLUMNS($AB$1006:AP1006),$AB$1006:$AQ$1006,0))&gt;=100000), " ",IF(INDEX($AB$2:$AQ$1001,MATCH(ROWS($U$2:U809),$U$2:$U$1001,0),MATCH(COLUMNS($AB$1006:AP1006),$AB$1006:$AQ$1006,0)), HYPERLINK("#",""), HYPERLINK(CONCATENATE("#metadata!", ADDRESS(INDEX($W$2:$W$1001,MATCH(ROWS($U$2:U809),$U$2:$U$1001,0),0), INDEX($AB$1004:$AQ$1004,1,MATCH(COLUMNS($AB$1006:AP1006),$AB$1006:$AQ$1006,0)))),"Fix")))</f>
        <v>0</v>
      </c>
      <c r="Q809" s="4">
        <f>IF(OR(INDEX($V$2:$V$1001,MATCH(ROWS($U$2:U809),$U$2:$U$1001,0),1)&gt;=100000,INDEX($AB$1005:$AQ$1005,1,MATCH(COLUMNS($AB$1006:AQ1006),$AB$1006:$AQ$1006,0))&gt;=100000), " ",IF(INDEX($AB$2:$AQ$1001,MATCH(ROWS($U$2:U809),$U$2:$U$1001,0),MATCH(COLUMNS($AB$1006:AQ1006),$AB$1006:$AQ$1006,0)), HYPERLINK("#",""), HYPERLINK(CONCATENATE("#metadata!", ADDRESS(INDEX($W$2:$W$1001,MATCH(ROWS($U$2:U809),$U$2:$U$1001,0),0), INDEX($AB$1004:$AQ$1004,1,MATCH(COLUMNS($AB$1006:AQ1006),$AB$1006:$AQ$1006,0)))),"Fix")))</f>
        <v>0</v>
      </c>
      <c r="U809">
        <v>0</v>
      </c>
      <c r="V809">
        <v>0</v>
      </c>
      <c r="W809">
        <v>0</v>
      </c>
      <c r="X809">
        <f>IF(Y809,TRUE,AND(AB809:AQ809))</f>
        <v>0</v>
      </c>
      <c r="Y809">
        <f>COUNTBLANK(metadata!B809:Q809)=COLUMNS(metadata!B809:Q809)</f>
        <v>0</v>
      </c>
      <c r="Z809">
        <v>0</v>
      </c>
      <c r="AB809">
        <f>AND(IF(metadata!B809="",FALSE,TRUE),COUNTIF(metadata!B:B, metadata!B809) = 1,NOT(ISERROR(SUMPRODUCT(SEARCH(MID(metadata!B809,ROW(INDIRECT("1:"&amp;LEN(metadata!B809))), 1),"0123456789abcdefghijklmnopqrstuvwxyzABCDEFGHIJKLMNOPQRSTUVWXYZ.")))))</f>
        <v>0</v>
      </c>
      <c r="AC809">
        <f>OR(AND(IF(metadata!C809="",FALSE,TRUE),OR(exact(metadata!C809,"missing: not collected"),exact(metadata!C809,"missing: not provided"),exact(metadata!C809,"missing: restricted access"))),AND(IF(metadata!C809="",FALSE,TRUE),AND(AND(IFERROR(INT(LEFT(metadata!C809,4))&gt;1900,FALSE),IFERROR(INT(LEFT(metadata!C809,4))&lt;=YEAR(NOW()),FALSE)), OR(MID(metadata!C809,5,1)="", AND(AND(MID(metadata!C809,5,1)="-",IFERROR(INT(MID(metadata!C809,6,1))&gt;=0,FALSE),IFERROR(INT(MID(metadata!C809,6,1))&lt;=1,FALSE),NOT(MID(metadata!C809,7,1)=""),IFERROR(INT(MID(metadata!C809,6,2))&gt;=1,FALSE),IFERROR(INT(MID(metadata!C809,6,2))&lt;=12,FALSE)), OR(MID(metadata!C809,8,1)="", AND(AND(MID(metadata!C809,8,1)="-",IFERROR(INT(MID(metadata!C809,9,1))&gt;=0,FALSE),IFERROR(INT(MID(metadata!C809,9,1))&lt;=3,FALSE),NOT(MID(metadata!C809,10,1)=""),IFERROR(INT(MID(metadata!C809,9,2))&gt;=1,FALSE),IFERROR(INT(MID(metadata!C809,9,2))&lt;=31,FALSE)), OR(MID(metadata!C809,11,1)="", AND(AND(MID(metadata!C809,11,1)=" ",IFERROR(INT(MID(metadata!C809,12,1))&gt;=0,FALSE),IFERROR(INT(MID(metadata!C809,12,1))&lt;=2,FALSE),NOT(MID(metadata!C809,13,1)=""),IFERROR(INT(MID(metadata!C809,12,2))&gt;=0,FALSE),IFERROR(INT(MID(metadata!C809,12,2))&lt;=23,FALSE)), OR(MID(metadata!C809,14,1)="", AND(AND(MID(metadata!C809,14,1)=":",IFERROR(INT(MID(metadata!C809,15,1))&gt;=0,FALSE),IFERROR(INT(MID(metadata!C809,15,1))&lt;=5,FALSE),NOT(MID(metadata!C809,16,1)=""),IFERROR(INT(MID(metadata!C809,15,2))&gt;=0,FALSE),IFERROR(INT(MID(metadata!C809,15,2))&lt;=59,FALSE)), OR(MID(metadata!C809,17,1)="", AND(AND(MID(metadata!C809,17,1)=":",IFERROR(INT(MID(metadata!C809,18,1))&gt;=0,FALSE),IFERROR(INT(MID(metadata!C809,18,1))&lt;=5,FALSE),NOT(MID(metadata!C809,19,1)=""),IFERROR(INT(MID(metadata!C809,18,2))&gt;=0,FALSE),IFERROR(INT(MID(metadata!C809,18,2))&lt;=59,FALSE)), LEN(metadata!C809)&lt;=19)))))))))))))</f>
        <v>0</v>
      </c>
      <c r="AD809">
        <f>IF(metadata!D809="",FALSE,TRUE)</f>
        <v>0</v>
      </c>
      <c r="AE809">
        <f>OR(AND(IF(metadata!E809="",FALSE,TRUE),OR(exact(metadata!E809,"missing: not collected"),exact(metadata!E809,"missing: not provided"))),AND(IF(metadata!E809="",FALSE,TRUE),OR(exact(metadata!E809,"TRUE"),exact(metadata!E809,"FALSE"))))</f>
        <v>0</v>
      </c>
      <c r="AF809">
        <f>IF(metadata!F809="",FALSE,TRUE)</f>
        <v>0</v>
      </c>
      <c r="AG809">
        <f>IF(metadata!G809="",FALSE,TRUE)</f>
        <v>0</v>
      </c>
      <c r="AH809">
        <f>IF(metadata!H809="",FALSE,TRUE)</f>
        <v>0</v>
      </c>
      <c r="AI809">
        <f>OR(AND(IF(metadata!I809="",FALSE,TRUE),OR(exact(metadata!I809,"missing: not collected"),exact(metadata!I809,"missing: not provided"),exact(metadata!I809,"missing: restricted access"))),AND(IF(metadata!I809="",FALSE,TRUE),OR(exact(metadata!I809,"air"),exact(metadata!I809,"built environment"),exact(metadata!I809,"host-associated"),exact(metadata!I809,"human-associated"),exact(metadata!I809,"human-skin"),exact(metadata!I809,"human-oral"),exact(metadata!I809,"human-gut"),exact(metadata!I809,"human-vaginal"),exact(metadata!I809,"microbial mat/biofilm"),exact(metadata!I809,"misc environment"),exact(metadata!I809,"plant-associated"),exact(metadata!I809,"sediment"),exact(metadata!I809,"soil"),exact(metadata!I809,"wastewater/sludge"),exact(metadata!I809,"water"))))</f>
        <v>0</v>
      </c>
      <c r="AJ809">
        <f>IF(metadata!J809="",FALSE,TRUE)</f>
        <v>0</v>
      </c>
      <c r="AK809">
        <f>OR(AND(IF(metadata!K809="",FALSE,TRUE),OR(exact(metadata!K809,"missing: not collected"),exact(metadata!K809,"missing: not provided"),exact(metadata!K809,"missing: restricted access"))),AND(IF(metadata!K809="",FALSE,ISNUMBER(VALUE(metadata!K809))),metadata!K809&gt;=-90.00,metadata!K809&lt;=90.00))</f>
        <v>0</v>
      </c>
      <c r="AL809">
        <f>OR(AND(IF(metadata!L809="",FALSE,TRUE),OR(exact(metadata!L809,"missing: not collected"),exact(metadata!L809,"missing: not provided"),exact(metadata!L809,"missing: restricted access"))),AND(IF(metadata!L809="",FALSE,ISNUMBER(VALUE(metadata!L809))),metadata!L809&gt;=-180.00,metadata!L809&lt;=180.00))</f>
        <v>0</v>
      </c>
      <c r="AM809">
        <f>IF(metadata!M809="",FALSE,TRUE)</f>
        <v>0</v>
      </c>
      <c r="AN809">
        <f>OR(AND(IF(metadata!N809="",FALSE,TRUE),OR(exact(metadata!N809,"missing: not collected"),exact(metadata!N809,"missing: not provided"),exact(metadata!N809,"missing: restricted access"))),AND(IF(metadata!N809="",FALSE,TRUE),OR(exact(metadata!N809,"TRUE"),exact(metadata!N809,"FALSE"))))</f>
        <v>0</v>
      </c>
      <c r="AO809">
        <f>IF(metadata!O809="",FALSE,TRUE)</f>
        <v>0</v>
      </c>
      <c r="AP809">
        <f>OR(AND(IF(metadata!P809="",FALSE,TRUE),OR(exact(metadata!P809,"missing: not collected"),exact(metadata!P809,"missing: not provided"))),AND(IF(metadata!P809="",FALSE,IF(ISERROR(INT(metadata!P809)),FALSE,INT(metadata!P809)=metadata!P809)),metadata!P809&gt;0))</f>
        <v>0</v>
      </c>
      <c r="AQ809">
        <f>IF(metadata!Q809="",FALSE,TRUE)</f>
        <v>0</v>
      </c>
    </row>
    <row r="810" spans="1:43">
      <c r="A810" s="5">
        <f>IF(B810=" "," ",HYPERLINK(CONCATENATE("#metadata!",ADDRESS(INDEX($W$2:$W$1001,MATCH(ROWS($U$2:U810),$U$2:$U$1001,0),0),1)),INDEX($Z$2:$Z$1001,MATCH(ROWS($U$2:U810),$U$2:$U$1001,0),0)))</f>
        <v>0</v>
      </c>
      <c r="B810" s="4">
        <f>IF(OR(INDEX($V$2:$V$1001,MATCH(ROWS($U$2:U810),$U$2:$U$1001,0),1)&gt;=100000,INDEX($AB$1005:$AQ$1005,1,MATCH(COLUMNS($AB$1006:AB1006),$AB$1006:$AQ$1006,0))&gt;=100000), " ",IF(INDEX($AB$2:$AQ$1001,MATCH(ROWS($U$2:U810),$U$2:$U$1001,0),MATCH(COLUMNS($AB$1006:AB1006),$AB$1006:$AQ$1006,0)), HYPERLINK("#",""), HYPERLINK(CONCATENATE("#metadata!", ADDRESS(INDEX($W$2:$W$1001,MATCH(ROWS($U$2:U810),$U$2:$U$1001,0),0), INDEX($AB$1004:$AQ$1004,1,MATCH(COLUMNS($AB$1006:AB1006),$AB$1006:$AQ$1006,0)))),"Fix")))</f>
        <v>0</v>
      </c>
      <c r="C810" s="4">
        <f>IF(OR(INDEX($V$2:$V$1001,MATCH(ROWS($U$2:U810),$U$2:$U$1001,0),1)&gt;=100000,INDEX($AB$1005:$AQ$1005,1,MATCH(COLUMNS($AB$1006:AC1006),$AB$1006:$AQ$1006,0))&gt;=100000), " ",IF(INDEX($AB$2:$AQ$1001,MATCH(ROWS($U$2:U810),$U$2:$U$1001,0),MATCH(COLUMNS($AB$1006:AC1006),$AB$1006:$AQ$1006,0)), HYPERLINK("#",""), HYPERLINK(CONCATENATE("#metadata!", ADDRESS(INDEX($W$2:$W$1001,MATCH(ROWS($U$2:U810),$U$2:$U$1001,0),0), INDEX($AB$1004:$AQ$1004,1,MATCH(COLUMNS($AB$1006:AC1006),$AB$1006:$AQ$1006,0)))),"Fix")))</f>
        <v>0</v>
      </c>
      <c r="D810" s="4">
        <f>IF(OR(INDEX($V$2:$V$1001,MATCH(ROWS($U$2:U810),$U$2:$U$1001,0),1)&gt;=100000,INDEX($AB$1005:$AQ$1005,1,MATCH(COLUMNS($AB$1006:AD1006),$AB$1006:$AQ$1006,0))&gt;=100000), " ",IF(INDEX($AB$2:$AQ$1001,MATCH(ROWS($U$2:U810),$U$2:$U$1001,0),MATCH(COLUMNS($AB$1006:AD1006),$AB$1006:$AQ$1006,0)), HYPERLINK("#",""), HYPERLINK(CONCATENATE("#metadata!", ADDRESS(INDEX($W$2:$W$1001,MATCH(ROWS($U$2:U810),$U$2:$U$1001,0),0), INDEX($AB$1004:$AQ$1004,1,MATCH(COLUMNS($AB$1006:AD1006),$AB$1006:$AQ$1006,0)))),"Fix")))</f>
        <v>0</v>
      </c>
      <c r="E810" s="4">
        <f>IF(OR(INDEX($V$2:$V$1001,MATCH(ROWS($U$2:U810),$U$2:$U$1001,0),1)&gt;=100000,INDEX($AB$1005:$AQ$1005,1,MATCH(COLUMNS($AB$1006:AE1006),$AB$1006:$AQ$1006,0))&gt;=100000), " ",IF(INDEX($AB$2:$AQ$1001,MATCH(ROWS($U$2:U810),$U$2:$U$1001,0),MATCH(COLUMNS($AB$1006:AE1006),$AB$1006:$AQ$1006,0)), HYPERLINK("#",""), HYPERLINK(CONCATENATE("#metadata!", ADDRESS(INDEX($W$2:$W$1001,MATCH(ROWS($U$2:U810),$U$2:$U$1001,0),0), INDEX($AB$1004:$AQ$1004,1,MATCH(COLUMNS($AB$1006:AE1006),$AB$1006:$AQ$1006,0)))),"Fix")))</f>
        <v>0</v>
      </c>
      <c r="F810" s="4">
        <f>IF(OR(INDEX($V$2:$V$1001,MATCH(ROWS($U$2:U810),$U$2:$U$1001,0),1)&gt;=100000,INDEX($AB$1005:$AQ$1005,1,MATCH(COLUMNS($AB$1006:AF1006),$AB$1006:$AQ$1006,0))&gt;=100000), " ",IF(INDEX($AB$2:$AQ$1001,MATCH(ROWS($U$2:U810),$U$2:$U$1001,0),MATCH(COLUMNS($AB$1006:AF1006),$AB$1006:$AQ$1006,0)), HYPERLINK("#",""), HYPERLINK(CONCATENATE("#metadata!", ADDRESS(INDEX($W$2:$W$1001,MATCH(ROWS($U$2:U810),$U$2:$U$1001,0),0), INDEX($AB$1004:$AQ$1004,1,MATCH(COLUMNS($AB$1006:AF1006),$AB$1006:$AQ$1006,0)))),"Fix")))</f>
        <v>0</v>
      </c>
      <c r="G810" s="4">
        <f>IF(OR(INDEX($V$2:$V$1001,MATCH(ROWS($U$2:U810),$U$2:$U$1001,0),1)&gt;=100000,INDEX($AB$1005:$AQ$1005,1,MATCH(COLUMNS($AB$1006:AG1006),$AB$1006:$AQ$1006,0))&gt;=100000), " ",IF(INDEX($AB$2:$AQ$1001,MATCH(ROWS($U$2:U810),$U$2:$U$1001,0),MATCH(COLUMNS($AB$1006:AG1006),$AB$1006:$AQ$1006,0)), HYPERLINK("#",""), HYPERLINK(CONCATENATE("#metadata!", ADDRESS(INDEX($W$2:$W$1001,MATCH(ROWS($U$2:U810),$U$2:$U$1001,0),0), INDEX($AB$1004:$AQ$1004,1,MATCH(COLUMNS($AB$1006:AG1006),$AB$1006:$AQ$1006,0)))),"Fix")))</f>
        <v>0</v>
      </c>
      <c r="H810" s="4">
        <f>IF(OR(INDEX($V$2:$V$1001,MATCH(ROWS($U$2:U810),$U$2:$U$1001,0),1)&gt;=100000,INDEX($AB$1005:$AQ$1005,1,MATCH(COLUMNS($AB$1006:AH1006),$AB$1006:$AQ$1006,0))&gt;=100000), " ",IF(INDEX($AB$2:$AQ$1001,MATCH(ROWS($U$2:U810),$U$2:$U$1001,0),MATCH(COLUMNS($AB$1006:AH1006),$AB$1006:$AQ$1006,0)), HYPERLINK("#",""), HYPERLINK(CONCATENATE("#metadata!", ADDRESS(INDEX($W$2:$W$1001,MATCH(ROWS($U$2:U810),$U$2:$U$1001,0),0), INDEX($AB$1004:$AQ$1004,1,MATCH(COLUMNS($AB$1006:AH1006),$AB$1006:$AQ$1006,0)))),"Fix")))</f>
        <v>0</v>
      </c>
      <c r="I810" s="4">
        <f>IF(OR(INDEX($V$2:$V$1001,MATCH(ROWS($U$2:U810),$U$2:$U$1001,0),1)&gt;=100000,INDEX($AB$1005:$AQ$1005,1,MATCH(COLUMNS($AB$1006:AI1006),$AB$1006:$AQ$1006,0))&gt;=100000), " ",IF(INDEX($AB$2:$AQ$1001,MATCH(ROWS($U$2:U810),$U$2:$U$1001,0),MATCH(COLUMNS($AB$1006:AI1006),$AB$1006:$AQ$1006,0)), HYPERLINK("#",""), HYPERLINK(CONCATENATE("#metadata!", ADDRESS(INDEX($W$2:$W$1001,MATCH(ROWS($U$2:U810),$U$2:$U$1001,0),0), INDEX($AB$1004:$AQ$1004,1,MATCH(COLUMNS($AB$1006:AI1006),$AB$1006:$AQ$1006,0)))),"Fix")))</f>
        <v>0</v>
      </c>
      <c r="J810" s="4">
        <f>IF(OR(INDEX($V$2:$V$1001,MATCH(ROWS($U$2:U810),$U$2:$U$1001,0),1)&gt;=100000,INDEX($AB$1005:$AQ$1005,1,MATCH(COLUMNS($AB$1006:AJ1006),$AB$1006:$AQ$1006,0))&gt;=100000), " ",IF(INDEX($AB$2:$AQ$1001,MATCH(ROWS($U$2:U810),$U$2:$U$1001,0),MATCH(COLUMNS($AB$1006:AJ1006),$AB$1006:$AQ$1006,0)), HYPERLINK("#",""), HYPERLINK(CONCATENATE("#metadata!", ADDRESS(INDEX($W$2:$W$1001,MATCH(ROWS($U$2:U810),$U$2:$U$1001,0),0), INDEX($AB$1004:$AQ$1004,1,MATCH(COLUMNS($AB$1006:AJ1006),$AB$1006:$AQ$1006,0)))),"Fix")))</f>
        <v>0</v>
      </c>
      <c r="K810" s="4">
        <f>IF(OR(INDEX($V$2:$V$1001,MATCH(ROWS($U$2:U810),$U$2:$U$1001,0),1)&gt;=100000,INDEX($AB$1005:$AQ$1005,1,MATCH(COLUMNS($AB$1006:AK1006),$AB$1006:$AQ$1006,0))&gt;=100000), " ",IF(INDEX($AB$2:$AQ$1001,MATCH(ROWS($U$2:U810),$U$2:$U$1001,0),MATCH(COLUMNS($AB$1006:AK1006),$AB$1006:$AQ$1006,0)), HYPERLINK("#",""), HYPERLINK(CONCATENATE("#metadata!", ADDRESS(INDEX($W$2:$W$1001,MATCH(ROWS($U$2:U810),$U$2:$U$1001,0),0), INDEX($AB$1004:$AQ$1004,1,MATCH(COLUMNS($AB$1006:AK1006),$AB$1006:$AQ$1006,0)))),"Fix")))</f>
        <v>0</v>
      </c>
      <c r="L810" s="4">
        <f>IF(OR(INDEX($V$2:$V$1001,MATCH(ROWS($U$2:U810),$U$2:$U$1001,0),1)&gt;=100000,INDEX($AB$1005:$AQ$1005,1,MATCH(COLUMNS($AB$1006:AL1006),$AB$1006:$AQ$1006,0))&gt;=100000), " ",IF(INDEX($AB$2:$AQ$1001,MATCH(ROWS($U$2:U810),$U$2:$U$1001,0),MATCH(COLUMNS($AB$1006:AL1006),$AB$1006:$AQ$1006,0)), HYPERLINK("#",""), HYPERLINK(CONCATENATE("#metadata!", ADDRESS(INDEX($W$2:$W$1001,MATCH(ROWS($U$2:U810),$U$2:$U$1001,0),0), INDEX($AB$1004:$AQ$1004,1,MATCH(COLUMNS($AB$1006:AL1006),$AB$1006:$AQ$1006,0)))),"Fix")))</f>
        <v>0</v>
      </c>
      <c r="M810" s="4">
        <f>IF(OR(INDEX($V$2:$V$1001,MATCH(ROWS($U$2:U810),$U$2:$U$1001,0),1)&gt;=100000,INDEX($AB$1005:$AQ$1005,1,MATCH(COLUMNS($AB$1006:AM1006),$AB$1006:$AQ$1006,0))&gt;=100000), " ",IF(INDEX($AB$2:$AQ$1001,MATCH(ROWS($U$2:U810),$U$2:$U$1001,0),MATCH(COLUMNS($AB$1006:AM1006),$AB$1006:$AQ$1006,0)), HYPERLINK("#",""), HYPERLINK(CONCATENATE("#metadata!", ADDRESS(INDEX($W$2:$W$1001,MATCH(ROWS($U$2:U810),$U$2:$U$1001,0),0), INDEX($AB$1004:$AQ$1004,1,MATCH(COLUMNS($AB$1006:AM1006),$AB$1006:$AQ$1006,0)))),"Fix")))</f>
        <v>0</v>
      </c>
      <c r="N810" s="4">
        <f>IF(OR(INDEX($V$2:$V$1001,MATCH(ROWS($U$2:U810),$U$2:$U$1001,0),1)&gt;=100000,INDEX($AB$1005:$AQ$1005,1,MATCH(COLUMNS($AB$1006:AN1006),$AB$1006:$AQ$1006,0))&gt;=100000), " ",IF(INDEX($AB$2:$AQ$1001,MATCH(ROWS($U$2:U810),$U$2:$U$1001,0),MATCH(COLUMNS($AB$1006:AN1006),$AB$1006:$AQ$1006,0)), HYPERLINK("#",""), HYPERLINK(CONCATENATE("#metadata!", ADDRESS(INDEX($W$2:$W$1001,MATCH(ROWS($U$2:U810),$U$2:$U$1001,0),0), INDEX($AB$1004:$AQ$1004,1,MATCH(COLUMNS($AB$1006:AN1006),$AB$1006:$AQ$1006,0)))),"Fix")))</f>
        <v>0</v>
      </c>
      <c r="O810" s="4">
        <f>IF(OR(INDEX($V$2:$V$1001,MATCH(ROWS($U$2:U810),$U$2:$U$1001,0),1)&gt;=100000,INDEX($AB$1005:$AQ$1005,1,MATCH(COLUMNS($AB$1006:AO1006),$AB$1006:$AQ$1006,0))&gt;=100000), " ",IF(INDEX($AB$2:$AQ$1001,MATCH(ROWS($U$2:U810),$U$2:$U$1001,0),MATCH(COLUMNS($AB$1006:AO1006),$AB$1006:$AQ$1006,0)), HYPERLINK("#",""), HYPERLINK(CONCATENATE("#metadata!", ADDRESS(INDEX($W$2:$W$1001,MATCH(ROWS($U$2:U810),$U$2:$U$1001,0),0), INDEX($AB$1004:$AQ$1004,1,MATCH(COLUMNS($AB$1006:AO1006),$AB$1006:$AQ$1006,0)))),"Fix")))</f>
        <v>0</v>
      </c>
      <c r="P810" s="4">
        <f>IF(OR(INDEX($V$2:$V$1001,MATCH(ROWS($U$2:U810),$U$2:$U$1001,0),1)&gt;=100000,INDEX($AB$1005:$AQ$1005,1,MATCH(COLUMNS($AB$1006:AP1006),$AB$1006:$AQ$1006,0))&gt;=100000), " ",IF(INDEX($AB$2:$AQ$1001,MATCH(ROWS($U$2:U810),$U$2:$U$1001,0),MATCH(COLUMNS($AB$1006:AP1006),$AB$1006:$AQ$1006,0)), HYPERLINK("#",""), HYPERLINK(CONCATENATE("#metadata!", ADDRESS(INDEX($W$2:$W$1001,MATCH(ROWS($U$2:U810),$U$2:$U$1001,0),0), INDEX($AB$1004:$AQ$1004,1,MATCH(COLUMNS($AB$1006:AP1006),$AB$1006:$AQ$1006,0)))),"Fix")))</f>
        <v>0</v>
      </c>
      <c r="Q810" s="4">
        <f>IF(OR(INDEX($V$2:$V$1001,MATCH(ROWS($U$2:U810),$U$2:$U$1001,0),1)&gt;=100000,INDEX($AB$1005:$AQ$1005,1,MATCH(COLUMNS($AB$1006:AQ1006),$AB$1006:$AQ$1006,0))&gt;=100000), " ",IF(INDEX($AB$2:$AQ$1001,MATCH(ROWS($U$2:U810),$U$2:$U$1001,0),MATCH(COLUMNS($AB$1006:AQ1006),$AB$1006:$AQ$1006,0)), HYPERLINK("#",""), HYPERLINK(CONCATENATE("#metadata!", ADDRESS(INDEX($W$2:$W$1001,MATCH(ROWS($U$2:U810),$U$2:$U$1001,0),0), INDEX($AB$1004:$AQ$1004,1,MATCH(COLUMNS($AB$1006:AQ1006),$AB$1006:$AQ$1006,0)))),"Fix")))</f>
        <v>0</v>
      </c>
      <c r="U810">
        <v>0</v>
      </c>
      <c r="V810">
        <v>0</v>
      </c>
      <c r="W810">
        <v>0</v>
      </c>
      <c r="X810">
        <f>IF(Y810,TRUE,AND(AB810:AQ810))</f>
        <v>0</v>
      </c>
      <c r="Y810">
        <f>COUNTBLANK(metadata!B810:Q810)=COLUMNS(metadata!B810:Q810)</f>
        <v>0</v>
      </c>
      <c r="Z810">
        <v>0</v>
      </c>
      <c r="AB810">
        <f>AND(IF(metadata!B810="",FALSE,TRUE),COUNTIF(metadata!B:B, metadata!B810) = 1,NOT(ISERROR(SUMPRODUCT(SEARCH(MID(metadata!B810,ROW(INDIRECT("1:"&amp;LEN(metadata!B810))), 1),"0123456789abcdefghijklmnopqrstuvwxyzABCDEFGHIJKLMNOPQRSTUVWXYZ.")))))</f>
        <v>0</v>
      </c>
      <c r="AC810">
        <f>OR(AND(IF(metadata!C810="",FALSE,TRUE),OR(exact(metadata!C810,"missing: not collected"),exact(metadata!C810,"missing: not provided"),exact(metadata!C810,"missing: restricted access"))),AND(IF(metadata!C810="",FALSE,TRUE),AND(AND(IFERROR(INT(LEFT(metadata!C810,4))&gt;1900,FALSE),IFERROR(INT(LEFT(metadata!C810,4))&lt;=YEAR(NOW()),FALSE)), OR(MID(metadata!C810,5,1)="", AND(AND(MID(metadata!C810,5,1)="-",IFERROR(INT(MID(metadata!C810,6,1))&gt;=0,FALSE),IFERROR(INT(MID(metadata!C810,6,1))&lt;=1,FALSE),NOT(MID(metadata!C810,7,1)=""),IFERROR(INT(MID(metadata!C810,6,2))&gt;=1,FALSE),IFERROR(INT(MID(metadata!C810,6,2))&lt;=12,FALSE)), OR(MID(metadata!C810,8,1)="", AND(AND(MID(metadata!C810,8,1)="-",IFERROR(INT(MID(metadata!C810,9,1))&gt;=0,FALSE),IFERROR(INT(MID(metadata!C810,9,1))&lt;=3,FALSE),NOT(MID(metadata!C810,10,1)=""),IFERROR(INT(MID(metadata!C810,9,2))&gt;=1,FALSE),IFERROR(INT(MID(metadata!C810,9,2))&lt;=31,FALSE)), OR(MID(metadata!C810,11,1)="", AND(AND(MID(metadata!C810,11,1)=" ",IFERROR(INT(MID(metadata!C810,12,1))&gt;=0,FALSE),IFERROR(INT(MID(metadata!C810,12,1))&lt;=2,FALSE),NOT(MID(metadata!C810,13,1)=""),IFERROR(INT(MID(metadata!C810,12,2))&gt;=0,FALSE),IFERROR(INT(MID(metadata!C810,12,2))&lt;=23,FALSE)), OR(MID(metadata!C810,14,1)="", AND(AND(MID(metadata!C810,14,1)=":",IFERROR(INT(MID(metadata!C810,15,1))&gt;=0,FALSE),IFERROR(INT(MID(metadata!C810,15,1))&lt;=5,FALSE),NOT(MID(metadata!C810,16,1)=""),IFERROR(INT(MID(metadata!C810,15,2))&gt;=0,FALSE),IFERROR(INT(MID(metadata!C810,15,2))&lt;=59,FALSE)), OR(MID(metadata!C810,17,1)="", AND(AND(MID(metadata!C810,17,1)=":",IFERROR(INT(MID(metadata!C810,18,1))&gt;=0,FALSE),IFERROR(INT(MID(metadata!C810,18,1))&lt;=5,FALSE),NOT(MID(metadata!C810,19,1)=""),IFERROR(INT(MID(metadata!C810,18,2))&gt;=0,FALSE),IFERROR(INT(MID(metadata!C810,18,2))&lt;=59,FALSE)), LEN(metadata!C810)&lt;=19)))))))))))))</f>
        <v>0</v>
      </c>
      <c r="AD810">
        <f>IF(metadata!D810="",FALSE,TRUE)</f>
        <v>0</v>
      </c>
      <c r="AE810">
        <f>OR(AND(IF(metadata!E810="",FALSE,TRUE),OR(exact(metadata!E810,"missing: not collected"),exact(metadata!E810,"missing: not provided"))),AND(IF(metadata!E810="",FALSE,TRUE),OR(exact(metadata!E810,"TRUE"),exact(metadata!E810,"FALSE"))))</f>
        <v>0</v>
      </c>
      <c r="AF810">
        <f>IF(metadata!F810="",FALSE,TRUE)</f>
        <v>0</v>
      </c>
      <c r="AG810">
        <f>IF(metadata!G810="",FALSE,TRUE)</f>
        <v>0</v>
      </c>
      <c r="AH810">
        <f>IF(metadata!H810="",FALSE,TRUE)</f>
        <v>0</v>
      </c>
      <c r="AI810">
        <f>OR(AND(IF(metadata!I810="",FALSE,TRUE),OR(exact(metadata!I810,"missing: not collected"),exact(metadata!I810,"missing: not provided"),exact(metadata!I810,"missing: restricted access"))),AND(IF(metadata!I810="",FALSE,TRUE),OR(exact(metadata!I810,"air"),exact(metadata!I810,"built environment"),exact(metadata!I810,"host-associated"),exact(metadata!I810,"human-associated"),exact(metadata!I810,"human-skin"),exact(metadata!I810,"human-oral"),exact(metadata!I810,"human-gut"),exact(metadata!I810,"human-vaginal"),exact(metadata!I810,"microbial mat/biofilm"),exact(metadata!I810,"misc environment"),exact(metadata!I810,"plant-associated"),exact(metadata!I810,"sediment"),exact(metadata!I810,"soil"),exact(metadata!I810,"wastewater/sludge"),exact(metadata!I810,"water"))))</f>
        <v>0</v>
      </c>
      <c r="AJ810">
        <f>IF(metadata!J810="",FALSE,TRUE)</f>
        <v>0</v>
      </c>
      <c r="AK810">
        <f>OR(AND(IF(metadata!K810="",FALSE,TRUE),OR(exact(metadata!K810,"missing: not collected"),exact(metadata!K810,"missing: not provided"),exact(metadata!K810,"missing: restricted access"))),AND(IF(metadata!K810="",FALSE,ISNUMBER(VALUE(metadata!K810))),metadata!K810&gt;=-90.00,metadata!K810&lt;=90.00))</f>
        <v>0</v>
      </c>
      <c r="AL810">
        <f>OR(AND(IF(metadata!L810="",FALSE,TRUE),OR(exact(metadata!L810,"missing: not collected"),exact(metadata!L810,"missing: not provided"),exact(metadata!L810,"missing: restricted access"))),AND(IF(metadata!L810="",FALSE,ISNUMBER(VALUE(metadata!L810))),metadata!L810&gt;=-180.00,metadata!L810&lt;=180.00))</f>
        <v>0</v>
      </c>
      <c r="AM810">
        <f>IF(metadata!M810="",FALSE,TRUE)</f>
        <v>0</v>
      </c>
      <c r="AN810">
        <f>OR(AND(IF(metadata!N810="",FALSE,TRUE),OR(exact(metadata!N810,"missing: not collected"),exact(metadata!N810,"missing: not provided"),exact(metadata!N810,"missing: restricted access"))),AND(IF(metadata!N810="",FALSE,TRUE),OR(exact(metadata!N810,"TRUE"),exact(metadata!N810,"FALSE"))))</f>
        <v>0</v>
      </c>
      <c r="AO810">
        <f>IF(metadata!O810="",FALSE,TRUE)</f>
        <v>0</v>
      </c>
      <c r="AP810">
        <f>OR(AND(IF(metadata!P810="",FALSE,TRUE),OR(exact(metadata!P810,"missing: not collected"),exact(metadata!P810,"missing: not provided"))),AND(IF(metadata!P810="",FALSE,IF(ISERROR(INT(metadata!P810)),FALSE,INT(metadata!P810)=metadata!P810)),metadata!P810&gt;0))</f>
        <v>0</v>
      </c>
      <c r="AQ810">
        <f>IF(metadata!Q810="",FALSE,TRUE)</f>
        <v>0</v>
      </c>
    </row>
    <row r="811" spans="1:43">
      <c r="A811" s="5">
        <f>IF(B811=" "," ",HYPERLINK(CONCATENATE("#metadata!",ADDRESS(INDEX($W$2:$W$1001,MATCH(ROWS($U$2:U811),$U$2:$U$1001,0),0),1)),INDEX($Z$2:$Z$1001,MATCH(ROWS($U$2:U811),$U$2:$U$1001,0),0)))</f>
        <v>0</v>
      </c>
      <c r="B811" s="4">
        <f>IF(OR(INDEX($V$2:$V$1001,MATCH(ROWS($U$2:U811),$U$2:$U$1001,0),1)&gt;=100000,INDEX($AB$1005:$AQ$1005,1,MATCH(COLUMNS($AB$1006:AB1006),$AB$1006:$AQ$1006,0))&gt;=100000), " ",IF(INDEX($AB$2:$AQ$1001,MATCH(ROWS($U$2:U811),$U$2:$U$1001,0),MATCH(COLUMNS($AB$1006:AB1006),$AB$1006:$AQ$1006,0)), HYPERLINK("#",""), HYPERLINK(CONCATENATE("#metadata!", ADDRESS(INDEX($W$2:$W$1001,MATCH(ROWS($U$2:U811),$U$2:$U$1001,0),0), INDEX($AB$1004:$AQ$1004,1,MATCH(COLUMNS($AB$1006:AB1006),$AB$1006:$AQ$1006,0)))),"Fix")))</f>
        <v>0</v>
      </c>
      <c r="C811" s="4">
        <f>IF(OR(INDEX($V$2:$V$1001,MATCH(ROWS($U$2:U811),$U$2:$U$1001,0),1)&gt;=100000,INDEX($AB$1005:$AQ$1005,1,MATCH(COLUMNS($AB$1006:AC1006),$AB$1006:$AQ$1006,0))&gt;=100000), " ",IF(INDEX($AB$2:$AQ$1001,MATCH(ROWS($U$2:U811),$U$2:$U$1001,0),MATCH(COLUMNS($AB$1006:AC1006),$AB$1006:$AQ$1006,0)), HYPERLINK("#",""), HYPERLINK(CONCATENATE("#metadata!", ADDRESS(INDEX($W$2:$W$1001,MATCH(ROWS($U$2:U811),$U$2:$U$1001,0),0), INDEX($AB$1004:$AQ$1004,1,MATCH(COLUMNS($AB$1006:AC1006),$AB$1006:$AQ$1006,0)))),"Fix")))</f>
        <v>0</v>
      </c>
      <c r="D811" s="4">
        <f>IF(OR(INDEX($V$2:$V$1001,MATCH(ROWS($U$2:U811),$U$2:$U$1001,0),1)&gt;=100000,INDEX($AB$1005:$AQ$1005,1,MATCH(COLUMNS($AB$1006:AD1006),$AB$1006:$AQ$1006,0))&gt;=100000), " ",IF(INDEX($AB$2:$AQ$1001,MATCH(ROWS($U$2:U811),$U$2:$U$1001,0),MATCH(COLUMNS($AB$1006:AD1006),$AB$1006:$AQ$1006,0)), HYPERLINK("#",""), HYPERLINK(CONCATENATE("#metadata!", ADDRESS(INDEX($W$2:$W$1001,MATCH(ROWS($U$2:U811),$U$2:$U$1001,0),0), INDEX($AB$1004:$AQ$1004,1,MATCH(COLUMNS($AB$1006:AD1006),$AB$1006:$AQ$1006,0)))),"Fix")))</f>
        <v>0</v>
      </c>
      <c r="E811" s="4">
        <f>IF(OR(INDEX($V$2:$V$1001,MATCH(ROWS($U$2:U811),$U$2:$U$1001,0),1)&gt;=100000,INDEX($AB$1005:$AQ$1005,1,MATCH(COLUMNS($AB$1006:AE1006),$AB$1006:$AQ$1006,0))&gt;=100000), " ",IF(INDEX($AB$2:$AQ$1001,MATCH(ROWS($U$2:U811),$U$2:$U$1001,0),MATCH(COLUMNS($AB$1006:AE1006),$AB$1006:$AQ$1006,0)), HYPERLINK("#",""), HYPERLINK(CONCATENATE("#metadata!", ADDRESS(INDEX($W$2:$W$1001,MATCH(ROWS($U$2:U811),$U$2:$U$1001,0),0), INDEX($AB$1004:$AQ$1004,1,MATCH(COLUMNS($AB$1006:AE1006),$AB$1006:$AQ$1006,0)))),"Fix")))</f>
        <v>0</v>
      </c>
      <c r="F811" s="4">
        <f>IF(OR(INDEX($V$2:$V$1001,MATCH(ROWS($U$2:U811),$U$2:$U$1001,0),1)&gt;=100000,INDEX($AB$1005:$AQ$1005,1,MATCH(COLUMNS($AB$1006:AF1006),$AB$1006:$AQ$1006,0))&gt;=100000), " ",IF(INDEX($AB$2:$AQ$1001,MATCH(ROWS($U$2:U811),$U$2:$U$1001,0),MATCH(COLUMNS($AB$1006:AF1006),$AB$1006:$AQ$1006,0)), HYPERLINK("#",""), HYPERLINK(CONCATENATE("#metadata!", ADDRESS(INDEX($W$2:$W$1001,MATCH(ROWS($U$2:U811),$U$2:$U$1001,0),0), INDEX($AB$1004:$AQ$1004,1,MATCH(COLUMNS($AB$1006:AF1006),$AB$1006:$AQ$1006,0)))),"Fix")))</f>
        <v>0</v>
      </c>
      <c r="G811" s="4">
        <f>IF(OR(INDEX($V$2:$V$1001,MATCH(ROWS($U$2:U811),$U$2:$U$1001,0),1)&gt;=100000,INDEX($AB$1005:$AQ$1005,1,MATCH(COLUMNS($AB$1006:AG1006),$AB$1006:$AQ$1006,0))&gt;=100000), " ",IF(INDEX($AB$2:$AQ$1001,MATCH(ROWS($U$2:U811),$U$2:$U$1001,0),MATCH(COLUMNS($AB$1006:AG1006),$AB$1006:$AQ$1006,0)), HYPERLINK("#",""), HYPERLINK(CONCATENATE("#metadata!", ADDRESS(INDEX($W$2:$W$1001,MATCH(ROWS($U$2:U811),$U$2:$U$1001,0),0), INDEX($AB$1004:$AQ$1004,1,MATCH(COLUMNS($AB$1006:AG1006),$AB$1006:$AQ$1006,0)))),"Fix")))</f>
        <v>0</v>
      </c>
      <c r="H811" s="4">
        <f>IF(OR(INDEX($V$2:$V$1001,MATCH(ROWS($U$2:U811),$U$2:$U$1001,0),1)&gt;=100000,INDEX($AB$1005:$AQ$1005,1,MATCH(COLUMNS($AB$1006:AH1006),$AB$1006:$AQ$1006,0))&gt;=100000), " ",IF(INDEX($AB$2:$AQ$1001,MATCH(ROWS($U$2:U811),$U$2:$U$1001,0),MATCH(COLUMNS($AB$1006:AH1006),$AB$1006:$AQ$1006,0)), HYPERLINK("#",""), HYPERLINK(CONCATENATE("#metadata!", ADDRESS(INDEX($W$2:$W$1001,MATCH(ROWS($U$2:U811),$U$2:$U$1001,0),0), INDEX($AB$1004:$AQ$1004,1,MATCH(COLUMNS($AB$1006:AH1006),$AB$1006:$AQ$1006,0)))),"Fix")))</f>
        <v>0</v>
      </c>
      <c r="I811" s="4">
        <f>IF(OR(INDEX($V$2:$V$1001,MATCH(ROWS($U$2:U811),$U$2:$U$1001,0),1)&gt;=100000,INDEX($AB$1005:$AQ$1005,1,MATCH(COLUMNS($AB$1006:AI1006),$AB$1006:$AQ$1006,0))&gt;=100000), " ",IF(INDEX($AB$2:$AQ$1001,MATCH(ROWS($U$2:U811),$U$2:$U$1001,0),MATCH(COLUMNS($AB$1006:AI1006),$AB$1006:$AQ$1006,0)), HYPERLINK("#",""), HYPERLINK(CONCATENATE("#metadata!", ADDRESS(INDEX($W$2:$W$1001,MATCH(ROWS($U$2:U811),$U$2:$U$1001,0),0), INDEX($AB$1004:$AQ$1004,1,MATCH(COLUMNS($AB$1006:AI1006),$AB$1006:$AQ$1006,0)))),"Fix")))</f>
        <v>0</v>
      </c>
      <c r="J811" s="4">
        <f>IF(OR(INDEX($V$2:$V$1001,MATCH(ROWS($U$2:U811),$U$2:$U$1001,0),1)&gt;=100000,INDEX($AB$1005:$AQ$1005,1,MATCH(COLUMNS($AB$1006:AJ1006),$AB$1006:$AQ$1006,0))&gt;=100000), " ",IF(INDEX($AB$2:$AQ$1001,MATCH(ROWS($U$2:U811),$U$2:$U$1001,0),MATCH(COLUMNS($AB$1006:AJ1006),$AB$1006:$AQ$1006,0)), HYPERLINK("#",""), HYPERLINK(CONCATENATE("#metadata!", ADDRESS(INDEX($W$2:$W$1001,MATCH(ROWS($U$2:U811),$U$2:$U$1001,0),0), INDEX($AB$1004:$AQ$1004,1,MATCH(COLUMNS($AB$1006:AJ1006),$AB$1006:$AQ$1006,0)))),"Fix")))</f>
        <v>0</v>
      </c>
      <c r="K811" s="4">
        <f>IF(OR(INDEX($V$2:$V$1001,MATCH(ROWS($U$2:U811),$U$2:$U$1001,0),1)&gt;=100000,INDEX($AB$1005:$AQ$1005,1,MATCH(COLUMNS($AB$1006:AK1006),$AB$1006:$AQ$1006,0))&gt;=100000), " ",IF(INDEX($AB$2:$AQ$1001,MATCH(ROWS($U$2:U811),$U$2:$U$1001,0),MATCH(COLUMNS($AB$1006:AK1006),$AB$1006:$AQ$1006,0)), HYPERLINK("#",""), HYPERLINK(CONCATENATE("#metadata!", ADDRESS(INDEX($W$2:$W$1001,MATCH(ROWS($U$2:U811),$U$2:$U$1001,0),0), INDEX($AB$1004:$AQ$1004,1,MATCH(COLUMNS($AB$1006:AK1006),$AB$1006:$AQ$1006,0)))),"Fix")))</f>
        <v>0</v>
      </c>
      <c r="L811" s="4">
        <f>IF(OR(INDEX($V$2:$V$1001,MATCH(ROWS($U$2:U811),$U$2:$U$1001,0),1)&gt;=100000,INDEX($AB$1005:$AQ$1005,1,MATCH(COLUMNS($AB$1006:AL1006),$AB$1006:$AQ$1006,0))&gt;=100000), " ",IF(INDEX($AB$2:$AQ$1001,MATCH(ROWS($U$2:U811),$U$2:$U$1001,0),MATCH(COLUMNS($AB$1006:AL1006),$AB$1006:$AQ$1006,0)), HYPERLINK("#",""), HYPERLINK(CONCATENATE("#metadata!", ADDRESS(INDEX($W$2:$W$1001,MATCH(ROWS($U$2:U811),$U$2:$U$1001,0),0), INDEX($AB$1004:$AQ$1004,1,MATCH(COLUMNS($AB$1006:AL1006),$AB$1006:$AQ$1006,0)))),"Fix")))</f>
        <v>0</v>
      </c>
      <c r="M811" s="4">
        <f>IF(OR(INDEX($V$2:$V$1001,MATCH(ROWS($U$2:U811),$U$2:$U$1001,0),1)&gt;=100000,INDEX($AB$1005:$AQ$1005,1,MATCH(COLUMNS($AB$1006:AM1006),$AB$1006:$AQ$1006,0))&gt;=100000), " ",IF(INDEX($AB$2:$AQ$1001,MATCH(ROWS($U$2:U811),$U$2:$U$1001,0),MATCH(COLUMNS($AB$1006:AM1006),$AB$1006:$AQ$1006,0)), HYPERLINK("#",""), HYPERLINK(CONCATENATE("#metadata!", ADDRESS(INDEX($W$2:$W$1001,MATCH(ROWS($U$2:U811),$U$2:$U$1001,0),0), INDEX($AB$1004:$AQ$1004,1,MATCH(COLUMNS($AB$1006:AM1006),$AB$1006:$AQ$1006,0)))),"Fix")))</f>
        <v>0</v>
      </c>
      <c r="N811" s="4">
        <f>IF(OR(INDEX($V$2:$V$1001,MATCH(ROWS($U$2:U811),$U$2:$U$1001,0),1)&gt;=100000,INDEX($AB$1005:$AQ$1005,1,MATCH(COLUMNS($AB$1006:AN1006),$AB$1006:$AQ$1006,0))&gt;=100000), " ",IF(INDEX($AB$2:$AQ$1001,MATCH(ROWS($U$2:U811),$U$2:$U$1001,0),MATCH(COLUMNS($AB$1006:AN1006),$AB$1006:$AQ$1006,0)), HYPERLINK("#",""), HYPERLINK(CONCATENATE("#metadata!", ADDRESS(INDEX($W$2:$W$1001,MATCH(ROWS($U$2:U811),$U$2:$U$1001,0),0), INDEX($AB$1004:$AQ$1004,1,MATCH(COLUMNS($AB$1006:AN1006),$AB$1006:$AQ$1006,0)))),"Fix")))</f>
        <v>0</v>
      </c>
      <c r="O811" s="4">
        <f>IF(OR(INDEX($V$2:$V$1001,MATCH(ROWS($U$2:U811),$U$2:$U$1001,0),1)&gt;=100000,INDEX($AB$1005:$AQ$1005,1,MATCH(COLUMNS($AB$1006:AO1006),$AB$1006:$AQ$1006,0))&gt;=100000), " ",IF(INDEX($AB$2:$AQ$1001,MATCH(ROWS($U$2:U811),$U$2:$U$1001,0),MATCH(COLUMNS($AB$1006:AO1006),$AB$1006:$AQ$1006,0)), HYPERLINK("#",""), HYPERLINK(CONCATENATE("#metadata!", ADDRESS(INDEX($W$2:$W$1001,MATCH(ROWS($U$2:U811),$U$2:$U$1001,0),0), INDEX($AB$1004:$AQ$1004,1,MATCH(COLUMNS($AB$1006:AO1006),$AB$1006:$AQ$1006,0)))),"Fix")))</f>
        <v>0</v>
      </c>
      <c r="P811" s="4">
        <f>IF(OR(INDEX($V$2:$V$1001,MATCH(ROWS($U$2:U811),$U$2:$U$1001,0),1)&gt;=100000,INDEX($AB$1005:$AQ$1005,1,MATCH(COLUMNS($AB$1006:AP1006),$AB$1006:$AQ$1006,0))&gt;=100000), " ",IF(INDEX($AB$2:$AQ$1001,MATCH(ROWS($U$2:U811),$U$2:$U$1001,0),MATCH(COLUMNS($AB$1006:AP1006),$AB$1006:$AQ$1006,0)), HYPERLINK("#",""), HYPERLINK(CONCATENATE("#metadata!", ADDRESS(INDEX($W$2:$W$1001,MATCH(ROWS($U$2:U811),$U$2:$U$1001,0),0), INDEX($AB$1004:$AQ$1004,1,MATCH(COLUMNS($AB$1006:AP1006),$AB$1006:$AQ$1006,0)))),"Fix")))</f>
        <v>0</v>
      </c>
      <c r="Q811" s="4">
        <f>IF(OR(INDEX($V$2:$V$1001,MATCH(ROWS($U$2:U811),$U$2:$U$1001,0),1)&gt;=100000,INDEX($AB$1005:$AQ$1005,1,MATCH(COLUMNS($AB$1006:AQ1006),$AB$1006:$AQ$1006,0))&gt;=100000), " ",IF(INDEX($AB$2:$AQ$1001,MATCH(ROWS($U$2:U811),$U$2:$U$1001,0),MATCH(COLUMNS($AB$1006:AQ1006),$AB$1006:$AQ$1006,0)), HYPERLINK("#",""), HYPERLINK(CONCATENATE("#metadata!", ADDRESS(INDEX($W$2:$W$1001,MATCH(ROWS($U$2:U811),$U$2:$U$1001,0),0), INDEX($AB$1004:$AQ$1004,1,MATCH(COLUMNS($AB$1006:AQ1006),$AB$1006:$AQ$1006,0)))),"Fix")))</f>
        <v>0</v>
      </c>
      <c r="U811">
        <v>0</v>
      </c>
      <c r="V811">
        <v>0</v>
      </c>
      <c r="W811">
        <v>0</v>
      </c>
      <c r="X811">
        <f>IF(Y811,TRUE,AND(AB811:AQ811))</f>
        <v>0</v>
      </c>
      <c r="Y811">
        <f>COUNTBLANK(metadata!B811:Q811)=COLUMNS(metadata!B811:Q811)</f>
        <v>0</v>
      </c>
      <c r="Z811">
        <v>0</v>
      </c>
      <c r="AB811">
        <f>AND(IF(metadata!B811="",FALSE,TRUE),COUNTIF(metadata!B:B, metadata!B811) = 1,NOT(ISERROR(SUMPRODUCT(SEARCH(MID(metadata!B811,ROW(INDIRECT("1:"&amp;LEN(metadata!B811))), 1),"0123456789abcdefghijklmnopqrstuvwxyzABCDEFGHIJKLMNOPQRSTUVWXYZ.")))))</f>
        <v>0</v>
      </c>
      <c r="AC811">
        <f>OR(AND(IF(metadata!C811="",FALSE,TRUE),OR(exact(metadata!C811,"missing: not collected"),exact(metadata!C811,"missing: not provided"),exact(metadata!C811,"missing: restricted access"))),AND(IF(metadata!C811="",FALSE,TRUE),AND(AND(IFERROR(INT(LEFT(metadata!C811,4))&gt;1900,FALSE),IFERROR(INT(LEFT(metadata!C811,4))&lt;=YEAR(NOW()),FALSE)), OR(MID(metadata!C811,5,1)="", AND(AND(MID(metadata!C811,5,1)="-",IFERROR(INT(MID(metadata!C811,6,1))&gt;=0,FALSE),IFERROR(INT(MID(metadata!C811,6,1))&lt;=1,FALSE),NOT(MID(metadata!C811,7,1)=""),IFERROR(INT(MID(metadata!C811,6,2))&gt;=1,FALSE),IFERROR(INT(MID(metadata!C811,6,2))&lt;=12,FALSE)), OR(MID(metadata!C811,8,1)="", AND(AND(MID(metadata!C811,8,1)="-",IFERROR(INT(MID(metadata!C811,9,1))&gt;=0,FALSE),IFERROR(INT(MID(metadata!C811,9,1))&lt;=3,FALSE),NOT(MID(metadata!C811,10,1)=""),IFERROR(INT(MID(metadata!C811,9,2))&gt;=1,FALSE),IFERROR(INT(MID(metadata!C811,9,2))&lt;=31,FALSE)), OR(MID(metadata!C811,11,1)="", AND(AND(MID(metadata!C811,11,1)=" ",IFERROR(INT(MID(metadata!C811,12,1))&gt;=0,FALSE),IFERROR(INT(MID(metadata!C811,12,1))&lt;=2,FALSE),NOT(MID(metadata!C811,13,1)=""),IFERROR(INT(MID(metadata!C811,12,2))&gt;=0,FALSE),IFERROR(INT(MID(metadata!C811,12,2))&lt;=23,FALSE)), OR(MID(metadata!C811,14,1)="", AND(AND(MID(metadata!C811,14,1)=":",IFERROR(INT(MID(metadata!C811,15,1))&gt;=0,FALSE),IFERROR(INT(MID(metadata!C811,15,1))&lt;=5,FALSE),NOT(MID(metadata!C811,16,1)=""),IFERROR(INT(MID(metadata!C811,15,2))&gt;=0,FALSE),IFERROR(INT(MID(metadata!C811,15,2))&lt;=59,FALSE)), OR(MID(metadata!C811,17,1)="", AND(AND(MID(metadata!C811,17,1)=":",IFERROR(INT(MID(metadata!C811,18,1))&gt;=0,FALSE),IFERROR(INT(MID(metadata!C811,18,1))&lt;=5,FALSE),NOT(MID(metadata!C811,19,1)=""),IFERROR(INT(MID(metadata!C811,18,2))&gt;=0,FALSE),IFERROR(INT(MID(metadata!C811,18,2))&lt;=59,FALSE)), LEN(metadata!C811)&lt;=19)))))))))))))</f>
        <v>0</v>
      </c>
      <c r="AD811">
        <f>IF(metadata!D811="",FALSE,TRUE)</f>
        <v>0</v>
      </c>
      <c r="AE811">
        <f>OR(AND(IF(metadata!E811="",FALSE,TRUE),OR(exact(metadata!E811,"missing: not collected"),exact(metadata!E811,"missing: not provided"))),AND(IF(metadata!E811="",FALSE,TRUE),OR(exact(metadata!E811,"TRUE"),exact(metadata!E811,"FALSE"))))</f>
        <v>0</v>
      </c>
      <c r="AF811">
        <f>IF(metadata!F811="",FALSE,TRUE)</f>
        <v>0</v>
      </c>
      <c r="AG811">
        <f>IF(metadata!G811="",FALSE,TRUE)</f>
        <v>0</v>
      </c>
      <c r="AH811">
        <f>IF(metadata!H811="",FALSE,TRUE)</f>
        <v>0</v>
      </c>
      <c r="AI811">
        <f>OR(AND(IF(metadata!I811="",FALSE,TRUE),OR(exact(metadata!I811,"missing: not collected"),exact(metadata!I811,"missing: not provided"),exact(metadata!I811,"missing: restricted access"))),AND(IF(metadata!I811="",FALSE,TRUE),OR(exact(metadata!I811,"air"),exact(metadata!I811,"built environment"),exact(metadata!I811,"host-associated"),exact(metadata!I811,"human-associated"),exact(metadata!I811,"human-skin"),exact(metadata!I811,"human-oral"),exact(metadata!I811,"human-gut"),exact(metadata!I811,"human-vaginal"),exact(metadata!I811,"microbial mat/biofilm"),exact(metadata!I811,"misc environment"),exact(metadata!I811,"plant-associated"),exact(metadata!I811,"sediment"),exact(metadata!I811,"soil"),exact(metadata!I811,"wastewater/sludge"),exact(metadata!I811,"water"))))</f>
        <v>0</v>
      </c>
      <c r="AJ811">
        <f>IF(metadata!J811="",FALSE,TRUE)</f>
        <v>0</v>
      </c>
      <c r="AK811">
        <f>OR(AND(IF(metadata!K811="",FALSE,TRUE),OR(exact(metadata!K811,"missing: not collected"),exact(metadata!K811,"missing: not provided"),exact(metadata!K811,"missing: restricted access"))),AND(IF(metadata!K811="",FALSE,ISNUMBER(VALUE(metadata!K811))),metadata!K811&gt;=-90.00,metadata!K811&lt;=90.00))</f>
        <v>0</v>
      </c>
      <c r="AL811">
        <f>OR(AND(IF(metadata!L811="",FALSE,TRUE),OR(exact(metadata!L811,"missing: not collected"),exact(metadata!L811,"missing: not provided"),exact(metadata!L811,"missing: restricted access"))),AND(IF(metadata!L811="",FALSE,ISNUMBER(VALUE(metadata!L811))),metadata!L811&gt;=-180.00,metadata!L811&lt;=180.00))</f>
        <v>0</v>
      </c>
      <c r="AM811">
        <f>IF(metadata!M811="",FALSE,TRUE)</f>
        <v>0</v>
      </c>
      <c r="AN811">
        <f>OR(AND(IF(metadata!N811="",FALSE,TRUE),OR(exact(metadata!N811,"missing: not collected"),exact(metadata!N811,"missing: not provided"),exact(metadata!N811,"missing: restricted access"))),AND(IF(metadata!N811="",FALSE,TRUE),OR(exact(metadata!N811,"TRUE"),exact(metadata!N811,"FALSE"))))</f>
        <v>0</v>
      </c>
      <c r="AO811">
        <f>IF(metadata!O811="",FALSE,TRUE)</f>
        <v>0</v>
      </c>
      <c r="AP811">
        <f>OR(AND(IF(metadata!P811="",FALSE,TRUE),OR(exact(metadata!P811,"missing: not collected"),exact(metadata!P811,"missing: not provided"))),AND(IF(metadata!P811="",FALSE,IF(ISERROR(INT(metadata!P811)),FALSE,INT(metadata!P811)=metadata!P811)),metadata!P811&gt;0))</f>
        <v>0</v>
      </c>
      <c r="AQ811">
        <f>IF(metadata!Q811="",FALSE,TRUE)</f>
        <v>0</v>
      </c>
    </row>
    <row r="812" spans="1:43">
      <c r="A812" s="5">
        <f>IF(B812=" "," ",HYPERLINK(CONCATENATE("#metadata!",ADDRESS(INDEX($W$2:$W$1001,MATCH(ROWS($U$2:U812),$U$2:$U$1001,0),0),1)),INDEX($Z$2:$Z$1001,MATCH(ROWS($U$2:U812),$U$2:$U$1001,0),0)))</f>
        <v>0</v>
      </c>
      <c r="B812" s="4">
        <f>IF(OR(INDEX($V$2:$V$1001,MATCH(ROWS($U$2:U812),$U$2:$U$1001,0),1)&gt;=100000,INDEX($AB$1005:$AQ$1005,1,MATCH(COLUMNS($AB$1006:AB1006),$AB$1006:$AQ$1006,0))&gt;=100000), " ",IF(INDEX($AB$2:$AQ$1001,MATCH(ROWS($U$2:U812),$U$2:$U$1001,0),MATCH(COLUMNS($AB$1006:AB1006),$AB$1006:$AQ$1006,0)), HYPERLINK("#",""), HYPERLINK(CONCATENATE("#metadata!", ADDRESS(INDEX($W$2:$W$1001,MATCH(ROWS($U$2:U812),$U$2:$U$1001,0),0), INDEX($AB$1004:$AQ$1004,1,MATCH(COLUMNS($AB$1006:AB1006),$AB$1006:$AQ$1006,0)))),"Fix")))</f>
        <v>0</v>
      </c>
      <c r="C812" s="4">
        <f>IF(OR(INDEX($V$2:$V$1001,MATCH(ROWS($U$2:U812),$U$2:$U$1001,0),1)&gt;=100000,INDEX($AB$1005:$AQ$1005,1,MATCH(COLUMNS($AB$1006:AC1006),$AB$1006:$AQ$1006,0))&gt;=100000), " ",IF(INDEX($AB$2:$AQ$1001,MATCH(ROWS($U$2:U812),$U$2:$U$1001,0),MATCH(COLUMNS($AB$1006:AC1006),$AB$1006:$AQ$1006,0)), HYPERLINK("#",""), HYPERLINK(CONCATENATE("#metadata!", ADDRESS(INDEX($W$2:$W$1001,MATCH(ROWS($U$2:U812),$U$2:$U$1001,0),0), INDEX($AB$1004:$AQ$1004,1,MATCH(COLUMNS($AB$1006:AC1006),$AB$1006:$AQ$1006,0)))),"Fix")))</f>
        <v>0</v>
      </c>
      <c r="D812" s="4">
        <f>IF(OR(INDEX($V$2:$V$1001,MATCH(ROWS($U$2:U812),$U$2:$U$1001,0),1)&gt;=100000,INDEX($AB$1005:$AQ$1005,1,MATCH(COLUMNS($AB$1006:AD1006),$AB$1006:$AQ$1006,0))&gt;=100000), " ",IF(INDEX($AB$2:$AQ$1001,MATCH(ROWS($U$2:U812),$U$2:$U$1001,0),MATCH(COLUMNS($AB$1006:AD1006),$AB$1006:$AQ$1006,0)), HYPERLINK("#",""), HYPERLINK(CONCATENATE("#metadata!", ADDRESS(INDEX($W$2:$W$1001,MATCH(ROWS($U$2:U812),$U$2:$U$1001,0),0), INDEX($AB$1004:$AQ$1004,1,MATCH(COLUMNS($AB$1006:AD1006),$AB$1006:$AQ$1006,0)))),"Fix")))</f>
        <v>0</v>
      </c>
      <c r="E812" s="4">
        <f>IF(OR(INDEX($V$2:$V$1001,MATCH(ROWS($U$2:U812),$U$2:$U$1001,0),1)&gt;=100000,INDEX($AB$1005:$AQ$1005,1,MATCH(COLUMNS($AB$1006:AE1006),$AB$1006:$AQ$1006,0))&gt;=100000), " ",IF(INDEX($AB$2:$AQ$1001,MATCH(ROWS($U$2:U812),$U$2:$U$1001,0),MATCH(COLUMNS($AB$1006:AE1006),$AB$1006:$AQ$1006,0)), HYPERLINK("#",""), HYPERLINK(CONCATENATE("#metadata!", ADDRESS(INDEX($W$2:$W$1001,MATCH(ROWS($U$2:U812),$U$2:$U$1001,0),0), INDEX($AB$1004:$AQ$1004,1,MATCH(COLUMNS($AB$1006:AE1006),$AB$1006:$AQ$1006,0)))),"Fix")))</f>
        <v>0</v>
      </c>
      <c r="F812" s="4">
        <f>IF(OR(INDEX($V$2:$V$1001,MATCH(ROWS($U$2:U812),$U$2:$U$1001,0),1)&gt;=100000,INDEX($AB$1005:$AQ$1005,1,MATCH(COLUMNS($AB$1006:AF1006),$AB$1006:$AQ$1006,0))&gt;=100000), " ",IF(INDEX($AB$2:$AQ$1001,MATCH(ROWS($U$2:U812),$U$2:$U$1001,0),MATCH(COLUMNS($AB$1006:AF1006),$AB$1006:$AQ$1006,0)), HYPERLINK("#",""), HYPERLINK(CONCATENATE("#metadata!", ADDRESS(INDEX($W$2:$W$1001,MATCH(ROWS($U$2:U812),$U$2:$U$1001,0),0), INDEX($AB$1004:$AQ$1004,1,MATCH(COLUMNS($AB$1006:AF1006),$AB$1006:$AQ$1006,0)))),"Fix")))</f>
        <v>0</v>
      </c>
      <c r="G812" s="4">
        <f>IF(OR(INDEX($V$2:$V$1001,MATCH(ROWS($U$2:U812),$U$2:$U$1001,0),1)&gt;=100000,INDEX($AB$1005:$AQ$1005,1,MATCH(COLUMNS($AB$1006:AG1006),$AB$1006:$AQ$1006,0))&gt;=100000), " ",IF(INDEX($AB$2:$AQ$1001,MATCH(ROWS($U$2:U812),$U$2:$U$1001,0),MATCH(COLUMNS($AB$1006:AG1006),$AB$1006:$AQ$1006,0)), HYPERLINK("#",""), HYPERLINK(CONCATENATE("#metadata!", ADDRESS(INDEX($W$2:$W$1001,MATCH(ROWS($U$2:U812),$U$2:$U$1001,0),0), INDEX($AB$1004:$AQ$1004,1,MATCH(COLUMNS($AB$1006:AG1006),$AB$1006:$AQ$1006,0)))),"Fix")))</f>
        <v>0</v>
      </c>
      <c r="H812" s="4">
        <f>IF(OR(INDEX($V$2:$V$1001,MATCH(ROWS($U$2:U812),$U$2:$U$1001,0),1)&gt;=100000,INDEX($AB$1005:$AQ$1005,1,MATCH(COLUMNS($AB$1006:AH1006),$AB$1006:$AQ$1006,0))&gt;=100000), " ",IF(INDEX($AB$2:$AQ$1001,MATCH(ROWS($U$2:U812),$U$2:$U$1001,0),MATCH(COLUMNS($AB$1006:AH1006),$AB$1006:$AQ$1006,0)), HYPERLINK("#",""), HYPERLINK(CONCATENATE("#metadata!", ADDRESS(INDEX($W$2:$W$1001,MATCH(ROWS($U$2:U812),$U$2:$U$1001,0),0), INDEX($AB$1004:$AQ$1004,1,MATCH(COLUMNS($AB$1006:AH1006),$AB$1006:$AQ$1006,0)))),"Fix")))</f>
        <v>0</v>
      </c>
      <c r="I812" s="4">
        <f>IF(OR(INDEX($V$2:$V$1001,MATCH(ROWS($U$2:U812),$U$2:$U$1001,0),1)&gt;=100000,INDEX($AB$1005:$AQ$1005,1,MATCH(COLUMNS($AB$1006:AI1006),$AB$1006:$AQ$1006,0))&gt;=100000), " ",IF(INDEX($AB$2:$AQ$1001,MATCH(ROWS($U$2:U812),$U$2:$U$1001,0),MATCH(COLUMNS($AB$1006:AI1006),$AB$1006:$AQ$1006,0)), HYPERLINK("#",""), HYPERLINK(CONCATENATE("#metadata!", ADDRESS(INDEX($W$2:$W$1001,MATCH(ROWS($U$2:U812),$U$2:$U$1001,0),0), INDEX($AB$1004:$AQ$1004,1,MATCH(COLUMNS($AB$1006:AI1006),$AB$1006:$AQ$1006,0)))),"Fix")))</f>
        <v>0</v>
      </c>
      <c r="J812" s="4">
        <f>IF(OR(INDEX($V$2:$V$1001,MATCH(ROWS($U$2:U812),$U$2:$U$1001,0),1)&gt;=100000,INDEX($AB$1005:$AQ$1005,1,MATCH(COLUMNS($AB$1006:AJ1006),$AB$1006:$AQ$1006,0))&gt;=100000), " ",IF(INDEX($AB$2:$AQ$1001,MATCH(ROWS($U$2:U812),$U$2:$U$1001,0),MATCH(COLUMNS($AB$1006:AJ1006),$AB$1006:$AQ$1006,0)), HYPERLINK("#",""), HYPERLINK(CONCATENATE("#metadata!", ADDRESS(INDEX($W$2:$W$1001,MATCH(ROWS($U$2:U812),$U$2:$U$1001,0),0), INDEX($AB$1004:$AQ$1004,1,MATCH(COLUMNS($AB$1006:AJ1006),$AB$1006:$AQ$1006,0)))),"Fix")))</f>
        <v>0</v>
      </c>
      <c r="K812" s="4">
        <f>IF(OR(INDEX($V$2:$V$1001,MATCH(ROWS($U$2:U812),$U$2:$U$1001,0),1)&gt;=100000,INDEX($AB$1005:$AQ$1005,1,MATCH(COLUMNS($AB$1006:AK1006),$AB$1006:$AQ$1006,0))&gt;=100000), " ",IF(INDEX($AB$2:$AQ$1001,MATCH(ROWS($U$2:U812),$U$2:$U$1001,0),MATCH(COLUMNS($AB$1006:AK1006),$AB$1006:$AQ$1006,0)), HYPERLINK("#",""), HYPERLINK(CONCATENATE("#metadata!", ADDRESS(INDEX($W$2:$W$1001,MATCH(ROWS($U$2:U812),$U$2:$U$1001,0),0), INDEX($AB$1004:$AQ$1004,1,MATCH(COLUMNS($AB$1006:AK1006),$AB$1006:$AQ$1006,0)))),"Fix")))</f>
        <v>0</v>
      </c>
      <c r="L812" s="4">
        <f>IF(OR(INDEX($V$2:$V$1001,MATCH(ROWS($U$2:U812),$U$2:$U$1001,0),1)&gt;=100000,INDEX($AB$1005:$AQ$1005,1,MATCH(COLUMNS($AB$1006:AL1006),$AB$1006:$AQ$1006,0))&gt;=100000), " ",IF(INDEX($AB$2:$AQ$1001,MATCH(ROWS($U$2:U812),$U$2:$U$1001,0),MATCH(COLUMNS($AB$1006:AL1006),$AB$1006:$AQ$1006,0)), HYPERLINK("#",""), HYPERLINK(CONCATENATE("#metadata!", ADDRESS(INDEX($W$2:$W$1001,MATCH(ROWS($U$2:U812),$U$2:$U$1001,0),0), INDEX($AB$1004:$AQ$1004,1,MATCH(COLUMNS($AB$1006:AL1006),$AB$1006:$AQ$1006,0)))),"Fix")))</f>
        <v>0</v>
      </c>
      <c r="M812" s="4">
        <f>IF(OR(INDEX($V$2:$V$1001,MATCH(ROWS($U$2:U812),$U$2:$U$1001,0),1)&gt;=100000,INDEX($AB$1005:$AQ$1005,1,MATCH(COLUMNS($AB$1006:AM1006),$AB$1006:$AQ$1006,0))&gt;=100000), " ",IF(INDEX($AB$2:$AQ$1001,MATCH(ROWS($U$2:U812),$U$2:$U$1001,0),MATCH(COLUMNS($AB$1006:AM1006),$AB$1006:$AQ$1006,0)), HYPERLINK("#",""), HYPERLINK(CONCATENATE("#metadata!", ADDRESS(INDEX($W$2:$W$1001,MATCH(ROWS($U$2:U812),$U$2:$U$1001,0),0), INDEX($AB$1004:$AQ$1004,1,MATCH(COLUMNS($AB$1006:AM1006),$AB$1006:$AQ$1006,0)))),"Fix")))</f>
        <v>0</v>
      </c>
      <c r="N812" s="4">
        <f>IF(OR(INDEX($V$2:$V$1001,MATCH(ROWS($U$2:U812),$U$2:$U$1001,0),1)&gt;=100000,INDEX($AB$1005:$AQ$1005,1,MATCH(COLUMNS($AB$1006:AN1006),$AB$1006:$AQ$1006,0))&gt;=100000), " ",IF(INDEX($AB$2:$AQ$1001,MATCH(ROWS($U$2:U812),$U$2:$U$1001,0),MATCH(COLUMNS($AB$1006:AN1006),$AB$1006:$AQ$1006,0)), HYPERLINK("#",""), HYPERLINK(CONCATENATE("#metadata!", ADDRESS(INDEX($W$2:$W$1001,MATCH(ROWS($U$2:U812),$U$2:$U$1001,0),0), INDEX($AB$1004:$AQ$1004,1,MATCH(COLUMNS($AB$1006:AN1006),$AB$1006:$AQ$1006,0)))),"Fix")))</f>
        <v>0</v>
      </c>
      <c r="O812" s="4">
        <f>IF(OR(INDEX($V$2:$V$1001,MATCH(ROWS($U$2:U812),$U$2:$U$1001,0),1)&gt;=100000,INDEX($AB$1005:$AQ$1005,1,MATCH(COLUMNS($AB$1006:AO1006),$AB$1006:$AQ$1006,0))&gt;=100000), " ",IF(INDEX($AB$2:$AQ$1001,MATCH(ROWS($U$2:U812),$U$2:$U$1001,0),MATCH(COLUMNS($AB$1006:AO1006),$AB$1006:$AQ$1006,0)), HYPERLINK("#",""), HYPERLINK(CONCATENATE("#metadata!", ADDRESS(INDEX($W$2:$W$1001,MATCH(ROWS($U$2:U812),$U$2:$U$1001,0),0), INDEX($AB$1004:$AQ$1004,1,MATCH(COLUMNS($AB$1006:AO1006),$AB$1006:$AQ$1006,0)))),"Fix")))</f>
        <v>0</v>
      </c>
      <c r="P812" s="4">
        <f>IF(OR(INDEX($V$2:$V$1001,MATCH(ROWS($U$2:U812),$U$2:$U$1001,0),1)&gt;=100000,INDEX($AB$1005:$AQ$1005,1,MATCH(COLUMNS($AB$1006:AP1006),$AB$1006:$AQ$1006,0))&gt;=100000), " ",IF(INDEX($AB$2:$AQ$1001,MATCH(ROWS($U$2:U812),$U$2:$U$1001,0),MATCH(COLUMNS($AB$1006:AP1006),$AB$1006:$AQ$1006,0)), HYPERLINK("#",""), HYPERLINK(CONCATENATE("#metadata!", ADDRESS(INDEX($W$2:$W$1001,MATCH(ROWS($U$2:U812),$U$2:$U$1001,0),0), INDEX($AB$1004:$AQ$1004,1,MATCH(COLUMNS($AB$1006:AP1006),$AB$1006:$AQ$1006,0)))),"Fix")))</f>
        <v>0</v>
      </c>
      <c r="Q812" s="4">
        <f>IF(OR(INDEX($V$2:$V$1001,MATCH(ROWS($U$2:U812),$U$2:$U$1001,0),1)&gt;=100000,INDEX($AB$1005:$AQ$1005,1,MATCH(COLUMNS($AB$1006:AQ1006),$AB$1006:$AQ$1006,0))&gt;=100000), " ",IF(INDEX($AB$2:$AQ$1001,MATCH(ROWS($U$2:U812),$U$2:$U$1001,0),MATCH(COLUMNS($AB$1006:AQ1006),$AB$1006:$AQ$1006,0)), HYPERLINK("#",""), HYPERLINK(CONCATENATE("#metadata!", ADDRESS(INDEX($W$2:$W$1001,MATCH(ROWS($U$2:U812),$U$2:$U$1001,0),0), INDEX($AB$1004:$AQ$1004,1,MATCH(COLUMNS($AB$1006:AQ1006),$AB$1006:$AQ$1006,0)))),"Fix")))</f>
        <v>0</v>
      </c>
      <c r="U812">
        <v>0</v>
      </c>
      <c r="V812">
        <v>0</v>
      </c>
      <c r="W812">
        <v>0</v>
      </c>
      <c r="X812">
        <f>IF(Y812,TRUE,AND(AB812:AQ812))</f>
        <v>0</v>
      </c>
      <c r="Y812">
        <f>COUNTBLANK(metadata!B812:Q812)=COLUMNS(metadata!B812:Q812)</f>
        <v>0</v>
      </c>
      <c r="Z812">
        <v>0</v>
      </c>
      <c r="AB812">
        <f>AND(IF(metadata!B812="",FALSE,TRUE),COUNTIF(metadata!B:B, metadata!B812) = 1,NOT(ISERROR(SUMPRODUCT(SEARCH(MID(metadata!B812,ROW(INDIRECT("1:"&amp;LEN(metadata!B812))), 1),"0123456789abcdefghijklmnopqrstuvwxyzABCDEFGHIJKLMNOPQRSTUVWXYZ.")))))</f>
        <v>0</v>
      </c>
      <c r="AC812">
        <f>OR(AND(IF(metadata!C812="",FALSE,TRUE),OR(exact(metadata!C812,"missing: not collected"),exact(metadata!C812,"missing: not provided"),exact(metadata!C812,"missing: restricted access"))),AND(IF(metadata!C812="",FALSE,TRUE),AND(AND(IFERROR(INT(LEFT(metadata!C812,4))&gt;1900,FALSE),IFERROR(INT(LEFT(metadata!C812,4))&lt;=YEAR(NOW()),FALSE)), OR(MID(metadata!C812,5,1)="", AND(AND(MID(metadata!C812,5,1)="-",IFERROR(INT(MID(metadata!C812,6,1))&gt;=0,FALSE),IFERROR(INT(MID(metadata!C812,6,1))&lt;=1,FALSE),NOT(MID(metadata!C812,7,1)=""),IFERROR(INT(MID(metadata!C812,6,2))&gt;=1,FALSE),IFERROR(INT(MID(metadata!C812,6,2))&lt;=12,FALSE)), OR(MID(metadata!C812,8,1)="", AND(AND(MID(metadata!C812,8,1)="-",IFERROR(INT(MID(metadata!C812,9,1))&gt;=0,FALSE),IFERROR(INT(MID(metadata!C812,9,1))&lt;=3,FALSE),NOT(MID(metadata!C812,10,1)=""),IFERROR(INT(MID(metadata!C812,9,2))&gt;=1,FALSE),IFERROR(INT(MID(metadata!C812,9,2))&lt;=31,FALSE)), OR(MID(metadata!C812,11,1)="", AND(AND(MID(metadata!C812,11,1)=" ",IFERROR(INT(MID(metadata!C812,12,1))&gt;=0,FALSE),IFERROR(INT(MID(metadata!C812,12,1))&lt;=2,FALSE),NOT(MID(metadata!C812,13,1)=""),IFERROR(INT(MID(metadata!C812,12,2))&gt;=0,FALSE),IFERROR(INT(MID(metadata!C812,12,2))&lt;=23,FALSE)), OR(MID(metadata!C812,14,1)="", AND(AND(MID(metadata!C812,14,1)=":",IFERROR(INT(MID(metadata!C812,15,1))&gt;=0,FALSE),IFERROR(INT(MID(metadata!C812,15,1))&lt;=5,FALSE),NOT(MID(metadata!C812,16,1)=""),IFERROR(INT(MID(metadata!C812,15,2))&gt;=0,FALSE),IFERROR(INT(MID(metadata!C812,15,2))&lt;=59,FALSE)), OR(MID(metadata!C812,17,1)="", AND(AND(MID(metadata!C812,17,1)=":",IFERROR(INT(MID(metadata!C812,18,1))&gt;=0,FALSE),IFERROR(INT(MID(metadata!C812,18,1))&lt;=5,FALSE),NOT(MID(metadata!C812,19,1)=""),IFERROR(INT(MID(metadata!C812,18,2))&gt;=0,FALSE),IFERROR(INT(MID(metadata!C812,18,2))&lt;=59,FALSE)), LEN(metadata!C812)&lt;=19)))))))))))))</f>
        <v>0</v>
      </c>
      <c r="AD812">
        <f>IF(metadata!D812="",FALSE,TRUE)</f>
        <v>0</v>
      </c>
      <c r="AE812">
        <f>OR(AND(IF(metadata!E812="",FALSE,TRUE),OR(exact(metadata!E812,"missing: not collected"),exact(metadata!E812,"missing: not provided"))),AND(IF(metadata!E812="",FALSE,TRUE),OR(exact(metadata!E812,"TRUE"),exact(metadata!E812,"FALSE"))))</f>
        <v>0</v>
      </c>
      <c r="AF812">
        <f>IF(metadata!F812="",FALSE,TRUE)</f>
        <v>0</v>
      </c>
      <c r="AG812">
        <f>IF(metadata!G812="",FALSE,TRUE)</f>
        <v>0</v>
      </c>
      <c r="AH812">
        <f>IF(metadata!H812="",FALSE,TRUE)</f>
        <v>0</v>
      </c>
      <c r="AI812">
        <f>OR(AND(IF(metadata!I812="",FALSE,TRUE),OR(exact(metadata!I812,"missing: not collected"),exact(metadata!I812,"missing: not provided"),exact(metadata!I812,"missing: restricted access"))),AND(IF(metadata!I812="",FALSE,TRUE),OR(exact(metadata!I812,"air"),exact(metadata!I812,"built environment"),exact(metadata!I812,"host-associated"),exact(metadata!I812,"human-associated"),exact(metadata!I812,"human-skin"),exact(metadata!I812,"human-oral"),exact(metadata!I812,"human-gut"),exact(metadata!I812,"human-vaginal"),exact(metadata!I812,"microbial mat/biofilm"),exact(metadata!I812,"misc environment"),exact(metadata!I812,"plant-associated"),exact(metadata!I812,"sediment"),exact(metadata!I812,"soil"),exact(metadata!I812,"wastewater/sludge"),exact(metadata!I812,"water"))))</f>
        <v>0</v>
      </c>
      <c r="AJ812">
        <f>IF(metadata!J812="",FALSE,TRUE)</f>
        <v>0</v>
      </c>
      <c r="AK812">
        <f>OR(AND(IF(metadata!K812="",FALSE,TRUE),OR(exact(metadata!K812,"missing: not collected"),exact(metadata!K812,"missing: not provided"),exact(metadata!K812,"missing: restricted access"))),AND(IF(metadata!K812="",FALSE,ISNUMBER(VALUE(metadata!K812))),metadata!K812&gt;=-90.00,metadata!K812&lt;=90.00))</f>
        <v>0</v>
      </c>
      <c r="AL812">
        <f>OR(AND(IF(metadata!L812="",FALSE,TRUE),OR(exact(metadata!L812,"missing: not collected"),exact(metadata!L812,"missing: not provided"),exact(metadata!L812,"missing: restricted access"))),AND(IF(metadata!L812="",FALSE,ISNUMBER(VALUE(metadata!L812))),metadata!L812&gt;=-180.00,metadata!L812&lt;=180.00))</f>
        <v>0</v>
      </c>
      <c r="AM812">
        <f>IF(metadata!M812="",FALSE,TRUE)</f>
        <v>0</v>
      </c>
      <c r="AN812">
        <f>OR(AND(IF(metadata!N812="",FALSE,TRUE),OR(exact(metadata!N812,"missing: not collected"),exact(metadata!N812,"missing: not provided"),exact(metadata!N812,"missing: restricted access"))),AND(IF(metadata!N812="",FALSE,TRUE),OR(exact(metadata!N812,"TRUE"),exact(metadata!N812,"FALSE"))))</f>
        <v>0</v>
      </c>
      <c r="AO812">
        <f>IF(metadata!O812="",FALSE,TRUE)</f>
        <v>0</v>
      </c>
      <c r="AP812">
        <f>OR(AND(IF(metadata!P812="",FALSE,TRUE),OR(exact(metadata!P812,"missing: not collected"),exact(metadata!P812,"missing: not provided"))),AND(IF(metadata!P812="",FALSE,IF(ISERROR(INT(metadata!P812)),FALSE,INT(metadata!P812)=metadata!P812)),metadata!P812&gt;0))</f>
        <v>0</v>
      </c>
      <c r="AQ812">
        <f>IF(metadata!Q812="",FALSE,TRUE)</f>
        <v>0</v>
      </c>
    </row>
    <row r="813" spans="1:43">
      <c r="A813" s="5">
        <f>IF(B813=" "," ",HYPERLINK(CONCATENATE("#metadata!",ADDRESS(INDEX($W$2:$W$1001,MATCH(ROWS($U$2:U813),$U$2:$U$1001,0),0),1)),INDEX($Z$2:$Z$1001,MATCH(ROWS($U$2:U813),$U$2:$U$1001,0),0)))</f>
        <v>0</v>
      </c>
      <c r="B813" s="4">
        <f>IF(OR(INDEX($V$2:$V$1001,MATCH(ROWS($U$2:U813),$U$2:$U$1001,0),1)&gt;=100000,INDEX($AB$1005:$AQ$1005,1,MATCH(COLUMNS($AB$1006:AB1006),$AB$1006:$AQ$1006,0))&gt;=100000), " ",IF(INDEX($AB$2:$AQ$1001,MATCH(ROWS($U$2:U813),$U$2:$U$1001,0),MATCH(COLUMNS($AB$1006:AB1006),$AB$1006:$AQ$1006,0)), HYPERLINK("#",""), HYPERLINK(CONCATENATE("#metadata!", ADDRESS(INDEX($W$2:$W$1001,MATCH(ROWS($U$2:U813),$U$2:$U$1001,0),0), INDEX($AB$1004:$AQ$1004,1,MATCH(COLUMNS($AB$1006:AB1006),$AB$1006:$AQ$1006,0)))),"Fix")))</f>
        <v>0</v>
      </c>
      <c r="C813" s="4">
        <f>IF(OR(INDEX($V$2:$V$1001,MATCH(ROWS($U$2:U813),$U$2:$U$1001,0),1)&gt;=100000,INDEX($AB$1005:$AQ$1005,1,MATCH(COLUMNS($AB$1006:AC1006),$AB$1006:$AQ$1006,0))&gt;=100000), " ",IF(INDEX($AB$2:$AQ$1001,MATCH(ROWS($U$2:U813),$U$2:$U$1001,0),MATCH(COLUMNS($AB$1006:AC1006),$AB$1006:$AQ$1006,0)), HYPERLINK("#",""), HYPERLINK(CONCATENATE("#metadata!", ADDRESS(INDEX($W$2:$W$1001,MATCH(ROWS($U$2:U813),$U$2:$U$1001,0),0), INDEX($AB$1004:$AQ$1004,1,MATCH(COLUMNS($AB$1006:AC1006),$AB$1006:$AQ$1006,0)))),"Fix")))</f>
        <v>0</v>
      </c>
      <c r="D813" s="4">
        <f>IF(OR(INDEX($V$2:$V$1001,MATCH(ROWS($U$2:U813),$U$2:$U$1001,0),1)&gt;=100000,INDEX($AB$1005:$AQ$1005,1,MATCH(COLUMNS($AB$1006:AD1006),$AB$1006:$AQ$1006,0))&gt;=100000), " ",IF(INDEX($AB$2:$AQ$1001,MATCH(ROWS($U$2:U813),$U$2:$U$1001,0),MATCH(COLUMNS($AB$1006:AD1006),$AB$1006:$AQ$1006,0)), HYPERLINK("#",""), HYPERLINK(CONCATENATE("#metadata!", ADDRESS(INDEX($W$2:$W$1001,MATCH(ROWS($U$2:U813),$U$2:$U$1001,0),0), INDEX($AB$1004:$AQ$1004,1,MATCH(COLUMNS($AB$1006:AD1006),$AB$1006:$AQ$1006,0)))),"Fix")))</f>
        <v>0</v>
      </c>
      <c r="E813" s="4">
        <f>IF(OR(INDEX($V$2:$V$1001,MATCH(ROWS($U$2:U813),$U$2:$U$1001,0),1)&gt;=100000,INDEX($AB$1005:$AQ$1005,1,MATCH(COLUMNS($AB$1006:AE1006),$AB$1006:$AQ$1006,0))&gt;=100000), " ",IF(INDEX($AB$2:$AQ$1001,MATCH(ROWS($U$2:U813),$U$2:$U$1001,0),MATCH(COLUMNS($AB$1006:AE1006),$AB$1006:$AQ$1006,0)), HYPERLINK("#",""), HYPERLINK(CONCATENATE("#metadata!", ADDRESS(INDEX($W$2:$W$1001,MATCH(ROWS($U$2:U813),$U$2:$U$1001,0),0), INDEX($AB$1004:$AQ$1004,1,MATCH(COLUMNS($AB$1006:AE1006),$AB$1006:$AQ$1006,0)))),"Fix")))</f>
        <v>0</v>
      </c>
      <c r="F813" s="4">
        <f>IF(OR(INDEX($V$2:$V$1001,MATCH(ROWS($U$2:U813),$U$2:$U$1001,0),1)&gt;=100000,INDEX($AB$1005:$AQ$1005,1,MATCH(COLUMNS($AB$1006:AF1006),$AB$1006:$AQ$1006,0))&gt;=100000), " ",IF(INDEX($AB$2:$AQ$1001,MATCH(ROWS($U$2:U813),$U$2:$U$1001,0),MATCH(COLUMNS($AB$1006:AF1006),$AB$1006:$AQ$1006,0)), HYPERLINK("#",""), HYPERLINK(CONCATENATE("#metadata!", ADDRESS(INDEX($W$2:$W$1001,MATCH(ROWS($U$2:U813),$U$2:$U$1001,0),0), INDEX($AB$1004:$AQ$1004,1,MATCH(COLUMNS($AB$1006:AF1006),$AB$1006:$AQ$1006,0)))),"Fix")))</f>
        <v>0</v>
      </c>
      <c r="G813" s="4">
        <f>IF(OR(INDEX($V$2:$V$1001,MATCH(ROWS($U$2:U813),$U$2:$U$1001,0),1)&gt;=100000,INDEX($AB$1005:$AQ$1005,1,MATCH(COLUMNS($AB$1006:AG1006),$AB$1006:$AQ$1006,0))&gt;=100000), " ",IF(INDEX($AB$2:$AQ$1001,MATCH(ROWS($U$2:U813),$U$2:$U$1001,0),MATCH(COLUMNS($AB$1006:AG1006),$AB$1006:$AQ$1006,0)), HYPERLINK("#",""), HYPERLINK(CONCATENATE("#metadata!", ADDRESS(INDEX($W$2:$W$1001,MATCH(ROWS($U$2:U813),$U$2:$U$1001,0),0), INDEX($AB$1004:$AQ$1004,1,MATCH(COLUMNS($AB$1006:AG1006),$AB$1006:$AQ$1006,0)))),"Fix")))</f>
        <v>0</v>
      </c>
      <c r="H813" s="4">
        <f>IF(OR(INDEX($V$2:$V$1001,MATCH(ROWS($U$2:U813),$U$2:$U$1001,0),1)&gt;=100000,INDEX($AB$1005:$AQ$1005,1,MATCH(COLUMNS($AB$1006:AH1006),$AB$1006:$AQ$1006,0))&gt;=100000), " ",IF(INDEX($AB$2:$AQ$1001,MATCH(ROWS($U$2:U813),$U$2:$U$1001,0),MATCH(COLUMNS($AB$1006:AH1006),$AB$1006:$AQ$1006,0)), HYPERLINK("#",""), HYPERLINK(CONCATENATE("#metadata!", ADDRESS(INDEX($W$2:$W$1001,MATCH(ROWS($U$2:U813),$U$2:$U$1001,0),0), INDEX($AB$1004:$AQ$1004,1,MATCH(COLUMNS($AB$1006:AH1006),$AB$1006:$AQ$1006,0)))),"Fix")))</f>
        <v>0</v>
      </c>
      <c r="I813" s="4">
        <f>IF(OR(INDEX($V$2:$V$1001,MATCH(ROWS($U$2:U813),$U$2:$U$1001,0),1)&gt;=100000,INDEX($AB$1005:$AQ$1005,1,MATCH(COLUMNS($AB$1006:AI1006),$AB$1006:$AQ$1006,0))&gt;=100000), " ",IF(INDEX($AB$2:$AQ$1001,MATCH(ROWS($U$2:U813),$U$2:$U$1001,0),MATCH(COLUMNS($AB$1006:AI1006),$AB$1006:$AQ$1006,0)), HYPERLINK("#",""), HYPERLINK(CONCATENATE("#metadata!", ADDRESS(INDEX($W$2:$W$1001,MATCH(ROWS($U$2:U813),$U$2:$U$1001,0),0), INDEX($AB$1004:$AQ$1004,1,MATCH(COLUMNS($AB$1006:AI1006),$AB$1006:$AQ$1006,0)))),"Fix")))</f>
        <v>0</v>
      </c>
      <c r="J813" s="4">
        <f>IF(OR(INDEX($V$2:$V$1001,MATCH(ROWS($U$2:U813),$U$2:$U$1001,0),1)&gt;=100000,INDEX($AB$1005:$AQ$1005,1,MATCH(COLUMNS($AB$1006:AJ1006),$AB$1006:$AQ$1006,0))&gt;=100000), " ",IF(INDEX($AB$2:$AQ$1001,MATCH(ROWS($U$2:U813),$U$2:$U$1001,0),MATCH(COLUMNS($AB$1006:AJ1006),$AB$1006:$AQ$1006,0)), HYPERLINK("#",""), HYPERLINK(CONCATENATE("#metadata!", ADDRESS(INDEX($W$2:$W$1001,MATCH(ROWS($U$2:U813),$U$2:$U$1001,0),0), INDEX($AB$1004:$AQ$1004,1,MATCH(COLUMNS($AB$1006:AJ1006),$AB$1006:$AQ$1006,0)))),"Fix")))</f>
        <v>0</v>
      </c>
      <c r="K813" s="4">
        <f>IF(OR(INDEX($V$2:$V$1001,MATCH(ROWS($U$2:U813),$U$2:$U$1001,0),1)&gt;=100000,INDEX($AB$1005:$AQ$1005,1,MATCH(COLUMNS($AB$1006:AK1006),$AB$1006:$AQ$1006,0))&gt;=100000), " ",IF(INDEX($AB$2:$AQ$1001,MATCH(ROWS($U$2:U813),$U$2:$U$1001,0),MATCH(COLUMNS($AB$1006:AK1006),$AB$1006:$AQ$1006,0)), HYPERLINK("#",""), HYPERLINK(CONCATENATE("#metadata!", ADDRESS(INDEX($W$2:$W$1001,MATCH(ROWS($U$2:U813),$U$2:$U$1001,0),0), INDEX($AB$1004:$AQ$1004,1,MATCH(COLUMNS($AB$1006:AK1006),$AB$1006:$AQ$1006,0)))),"Fix")))</f>
        <v>0</v>
      </c>
      <c r="L813" s="4">
        <f>IF(OR(INDEX($V$2:$V$1001,MATCH(ROWS($U$2:U813),$U$2:$U$1001,0),1)&gt;=100000,INDEX($AB$1005:$AQ$1005,1,MATCH(COLUMNS($AB$1006:AL1006),$AB$1006:$AQ$1006,0))&gt;=100000), " ",IF(INDEX($AB$2:$AQ$1001,MATCH(ROWS($U$2:U813),$U$2:$U$1001,0),MATCH(COLUMNS($AB$1006:AL1006),$AB$1006:$AQ$1006,0)), HYPERLINK("#",""), HYPERLINK(CONCATENATE("#metadata!", ADDRESS(INDEX($W$2:$W$1001,MATCH(ROWS($U$2:U813),$U$2:$U$1001,0),0), INDEX($AB$1004:$AQ$1004,1,MATCH(COLUMNS($AB$1006:AL1006),$AB$1006:$AQ$1006,0)))),"Fix")))</f>
        <v>0</v>
      </c>
      <c r="M813" s="4">
        <f>IF(OR(INDEX($V$2:$V$1001,MATCH(ROWS($U$2:U813),$U$2:$U$1001,0),1)&gt;=100000,INDEX($AB$1005:$AQ$1005,1,MATCH(COLUMNS($AB$1006:AM1006),$AB$1006:$AQ$1006,0))&gt;=100000), " ",IF(INDEX($AB$2:$AQ$1001,MATCH(ROWS($U$2:U813),$U$2:$U$1001,0),MATCH(COLUMNS($AB$1006:AM1006),$AB$1006:$AQ$1006,0)), HYPERLINK("#",""), HYPERLINK(CONCATENATE("#metadata!", ADDRESS(INDEX($W$2:$W$1001,MATCH(ROWS($U$2:U813),$U$2:$U$1001,0),0), INDEX($AB$1004:$AQ$1004,1,MATCH(COLUMNS($AB$1006:AM1006),$AB$1006:$AQ$1006,0)))),"Fix")))</f>
        <v>0</v>
      </c>
      <c r="N813" s="4">
        <f>IF(OR(INDEX($V$2:$V$1001,MATCH(ROWS($U$2:U813),$U$2:$U$1001,0),1)&gt;=100000,INDEX($AB$1005:$AQ$1005,1,MATCH(COLUMNS($AB$1006:AN1006),$AB$1006:$AQ$1006,0))&gt;=100000), " ",IF(INDEX($AB$2:$AQ$1001,MATCH(ROWS($U$2:U813),$U$2:$U$1001,0),MATCH(COLUMNS($AB$1006:AN1006),$AB$1006:$AQ$1006,0)), HYPERLINK("#",""), HYPERLINK(CONCATENATE("#metadata!", ADDRESS(INDEX($W$2:$W$1001,MATCH(ROWS($U$2:U813),$U$2:$U$1001,0),0), INDEX($AB$1004:$AQ$1004,1,MATCH(COLUMNS($AB$1006:AN1006),$AB$1006:$AQ$1006,0)))),"Fix")))</f>
        <v>0</v>
      </c>
      <c r="O813" s="4">
        <f>IF(OR(INDEX($V$2:$V$1001,MATCH(ROWS($U$2:U813),$U$2:$U$1001,0),1)&gt;=100000,INDEX($AB$1005:$AQ$1005,1,MATCH(COLUMNS($AB$1006:AO1006),$AB$1006:$AQ$1006,0))&gt;=100000), " ",IF(INDEX($AB$2:$AQ$1001,MATCH(ROWS($U$2:U813),$U$2:$U$1001,0),MATCH(COLUMNS($AB$1006:AO1006),$AB$1006:$AQ$1006,0)), HYPERLINK("#",""), HYPERLINK(CONCATENATE("#metadata!", ADDRESS(INDEX($W$2:$W$1001,MATCH(ROWS($U$2:U813),$U$2:$U$1001,0),0), INDEX($AB$1004:$AQ$1004,1,MATCH(COLUMNS($AB$1006:AO1006),$AB$1006:$AQ$1006,0)))),"Fix")))</f>
        <v>0</v>
      </c>
      <c r="P813" s="4">
        <f>IF(OR(INDEX($V$2:$V$1001,MATCH(ROWS($U$2:U813),$U$2:$U$1001,0),1)&gt;=100000,INDEX($AB$1005:$AQ$1005,1,MATCH(COLUMNS($AB$1006:AP1006),$AB$1006:$AQ$1006,0))&gt;=100000), " ",IF(INDEX($AB$2:$AQ$1001,MATCH(ROWS($U$2:U813),$U$2:$U$1001,0),MATCH(COLUMNS($AB$1006:AP1006),$AB$1006:$AQ$1006,0)), HYPERLINK("#",""), HYPERLINK(CONCATENATE("#metadata!", ADDRESS(INDEX($W$2:$W$1001,MATCH(ROWS($U$2:U813),$U$2:$U$1001,0),0), INDEX($AB$1004:$AQ$1004,1,MATCH(COLUMNS($AB$1006:AP1006),$AB$1006:$AQ$1006,0)))),"Fix")))</f>
        <v>0</v>
      </c>
      <c r="Q813" s="4">
        <f>IF(OR(INDEX($V$2:$V$1001,MATCH(ROWS($U$2:U813),$U$2:$U$1001,0),1)&gt;=100000,INDEX($AB$1005:$AQ$1005,1,MATCH(COLUMNS($AB$1006:AQ1006),$AB$1006:$AQ$1006,0))&gt;=100000), " ",IF(INDEX($AB$2:$AQ$1001,MATCH(ROWS($U$2:U813),$U$2:$U$1001,0),MATCH(COLUMNS($AB$1006:AQ1006),$AB$1006:$AQ$1006,0)), HYPERLINK("#",""), HYPERLINK(CONCATENATE("#metadata!", ADDRESS(INDEX($W$2:$W$1001,MATCH(ROWS($U$2:U813),$U$2:$U$1001,0),0), INDEX($AB$1004:$AQ$1004,1,MATCH(COLUMNS($AB$1006:AQ1006),$AB$1006:$AQ$1006,0)))),"Fix")))</f>
        <v>0</v>
      </c>
      <c r="U813">
        <v>0</v>
      </c>
      <c r="V813">
        <v>0</v>
      </c>
      <c r="W813">
        <v>0</v>
      </c>
      <c r="X813">
        <f>IF(Y813,TRUE,AND(AB813:AQ813))</f>
        <v>0</v>
      </c>
      <c r="Y813">
        <f>COUNTBLANK(metadata!B813:Q813)=COLUMNS(metadata!B813:Q813)</f>
        <v>0</v>
      </c>
      <c r="Z813">
        <v>0</v>
      </c>
      <c r="AB813">
        <f>AND(IF(metadata!B813="",FALSE,TRUE),COUNTIF(metadata!B:B, metadata!B813) = 1,NOT(ISERROR(SUMPRODUCT(SEARCH(MID(metadata!B813,ROW(INDIRECT("1:"&amp;LEN(metadata!B813))), 1),"0123456789abcdefghijklmnopqrstuvwxyzABCDEFGHIJKLMNOPQRSTUVWXYZ.")))))</f>
        <v>0</v>
      </c>
      <c r="AC813">
        <f>OR(AND(IF(metadata!C813="",FALSE,TRUE),OR(exact(metadata!C813,"missing: not collected"),exact(metadata!C813,"missing: not provided"),exact(metadata!C813,"missing: restricted access"))),AND(IF(metadata!C813="",FALSE,TRUE),AND(AND(IFERROR(INT(LEFT(metadata!C813,4))&gt;1900,FALSE),IFERROR(INT(LEFT(metadata!C813,4))&lt;=YEAR(NOW()),FALSE)), OR(MID(metadata!C813,5,1)="", AND(AND(MID(metadata!C813,5,1)="-",IFERROR(INT(MID(metadata!C813,6,1))&gt;=0,FALSE),IFERROR(INT(MID(metadata!C813,6,1))&lt;=1,FALSE),NOT(MID(metadata!C813,7,1)=""),IFERROR(INT(MID(metadata!C813,6,2))&gt;=1,FALSE),IFERROR(INT(MID(metadata!C813,6,2))&lt;=12,FALSE)), OR(MID(metadata!C813,8,1)="", AND(AND(MID(metadata!C813,8,1)="-",IFERROR(INT(MID(metadata!C813,9,1))&gt;=0,FALSE),IFERROR(INT(MID(metadata!C813,9,1))&lt;=3,FALSE),NOT(MID(metadata!C813,10,1)=""),IFERROR(INT(MID(metadata!C813,9,2))&gt;=1,FALSE),IFERROR(INT(MID(metadata!C813,9,2))&lt;=31,FALSE)), OR(MID(metadata!C813,11,1)="", AND(AND(MID(metadata!C813,11,1)=" ",IFERROR(INT(MID(metadata!C813,12,1))&gt;=0,FALSE),IFERROR(INT(MID(metadata!C813,12,1))&lt;=2,FALSE),NOT(MID(metadata!C813,13,1)=""),IFERROR(INT(MID(metadata!C813,12,2))&gt;=0,FALSE),IFERROR(INT(MID(metadata!C813,12,2))&lt;=23,FALSE)), OR(MID(metadata!C813,14,1)="", AND(AND(MID(metadata!C813,14,1)=":",IFERROR(INT(MID(metadata!C813,15,1))&gt;=0,FALSE),IFERROR(INT(MID(metadata!C813,15,1))&lt;=5,FALSE),NOT(MID(metadata!C813,16,1)=""),IFERROR(INT(MID(metadata!C813,15,2))&gt;=0,FALSE),IFERROR(INT(MID(metadata!C813,15,2))&lt;=59,FALSE)), OR(MID(metadata!C813,17,1)="", AND(AND(MID(metadata!C813,17,1)=":",IFERROR(INT(MID(metadata!C813,18,1))&gt;=0,FALSE),IFERROR(INT(MID(metadata!C813,18,1))&lt;=5,FALSE),NOT(MID(metadata!C813,19,1)=""),IFERROR(INT(MID(metadata!C813,18,2))&gt;=0,FALSE),IFERROR(INT(MID(metadata!C813,18,2))&lt;=59,FALSE)), LEN(metadata!C813)&lt;=19)))))))))))))</f>
        <v>0</v>
      </c>
      <c r="AD813">
        <f>IF(metadata!D813="",FALSE,TRUE)</f>
        <v>0</v>
      </c>
      <c r="AE813">
        <f>OR(AND(IF(metadata!E813="",FALSE,TRUE),OR(exact(metadata!E813,"missing: not collected"),exact(metadata!E813,"missing: not provided"))),AND(IF(metadata!E813="",FALSE,TRUE),OR(exact(metadata!E813,"TRUE"),exact(metadata!E813,"FALSE"))))</f>
        <v>0</v>
      </c>
      <c r="AF813">
        <f>IF(metadata!F813="",FALSE,TRUE)</f>
        <v>0</v>
      </c>
      <c r="AG813">
        <f>IF(metadata!G813="",FALSE,TRUE)</f>
        <v>0</v>
      </c>
      <c r="AH813">
        <f>IF(metadata!H813="",FALSE,TRUE)</f>
        <v>0</v>
      </c>
      <c r="AI813">
        <f>OR(AND(IF(metadata!I813="",FALSE,TRUE),OR(exact(metadata!I813,"missing: not collected"),exact(metadata!I813,"missing: not provided"),exact(metadata!I813,"missing: restricted access"))),AND(IF(metadata!I813="",FALSE,TRUE),OR(exact(metadata!I813,"air"),exact(metadata!I813,"built environment"),exact(metadata!I813,"host-associated"),exact(metadata!I813,"human-associated"),exact(metadata!I813,"human-skin"),exact(metadata!I813,"human-oral"),exact(metadata!I813,"human-gut"),exact(metadata!I813,"human-vaginal"),exact(metadata!I813,"microbial mat/biofilm"),exact(metadata!I813,"misc environment"),exact(metadata!I813,"plant-associated"),exact(metadata!I813,"sediment"),exact(metadata!I813,"soil"),exact(metadata!I813,"wastewater/sludge"),exact(metadata!I813,"water"))))</f>
        <v>0</v>
      </c>
      <c r="AJ813">
        <f>IF(metadata!J813="",FALSE,TRUE)</f>
        <v>0</v>
      </c>
      <c r="AK813">
        <f>OR(AND(IF(metadata!K813="",FALSE,TRUE),OR(exact(metadata!K813,"missing: not collected"),exact(metadata!K813,"missing: not provided"),exact(metadata!K813,"missing: restricted access"))),AND(IF(metadata!K813="",FALSE,ISNUMBER(VALUE(metadata!K813))),metadata!K813&gt;=-90.00,metadata!K813&lt;=90.00))</f>
        <v>0</v>
      </c>
      <c r="AL813">
        <f>OR(AND(IF(metadata!L813="",FALSE,TRUE),OR(exact(metadata!L813,"missing: not collected"),exact(metadata!L813,"missing: not provided"),exact(metadata!L813,"missing: restricted access"))),AND(IF(metadata!L813="",FALSE,ISNUMBER(VALUE(metadata!L813))),metadata!L813&gt;=-180.00,metadata!L813&lt;=180.00))</f>
        <v>0</v>
      </c>
      <c r="AM813">
        <f>IF(metadata!M813="",FALSE,TRUE)</f>
        <v>0</v>
      </c>
      <c r="AN813">
        <f>OR(AND(IF(metadata!N813="",FALSE,TRUE),OR(exact(metadata!N813,"missing: not collected"),exact(metadata!N813,"missing: not provided"),exact(metadata!N813,"missing: restricted access"))),AND(IF(metadata!N813="",FALSE,TRUE),OR(exact(metadata!N813,"TRUE"),exact(metadata!N813,"FALSE"))))</f>
        <v>0</v>
      </c>
      <c r="AO813">
        <f>IF(metadata!O813="",FALSE,TRUE)</f>
        <v>0</v>
      </c>
      <c r="AP813">
        <f>OR(AND(IF(metadata!P813="",FALSE,TRUE),OR(exact(metadata!P813,"missing: not collected"),exact(metadata!P813,"missing: not provided"))),AND(IF(metadata!P813="",FALSE,IF(ISERROR(INT(metadata!P813)),FALSE,INT(metadata!P813)=metadata!P813)),metadata!P813&gt;0))</f>
        <v>0</v>
      </c>
      <c r="AQ813">
        <f>IF(metadata!Q813="",FALSE,TRUE)</f>
        <v>0</v>
      </c>
    </row>
    <row r="814" spans="1:43">
      <c r="A814" s="5">
        <f>IF(B814=" "," ",HYPERLINK(CONCATENATE("#metadata!",ADDRESS(INDEX($W$2:$W$1001,MATCH(ROWS($U$2:U814),$U$2:$U$1001,0),0),1)),INDEX($Z$2:$Z$1001,MATCH(ROWS($U$2:U814),$U$2:$U$1001,0),0)))</f>
        <v>0</v>
      </c>
      <c r="B814" s="4">
        <f>IF(OR(INDEX($V$2:$V$1001,MATCH(ROWS($U$2:U814),$U$2:$U$1001,0),1)&gt;=100000,INDEX($AB$1005:$AQ$1005,1,MATCH(COLUMNS($AB$1006:AB1006),$AB$1006:$AQ$1006,0))&gt;=100000), " ",IF(INDEX($AB$2:$AQ$1001,MATCH(ROWS($U$2:U814),$U$2:$U$1001,0),MATCH(COLUMNS($AB$1006:AB1006),$AB$1006:$AQ$1006,0)), HYPERLINK("#",""), HYPERLINK(CONCATENATE("#metadata!", ADDRESS(INDEX($W$2:$W$1001,MATCH(ROWS($U$2:U814),$U$2:$U$1001,0),0), INDEX($AB$1004:$AQ$1004,1,MATCH(COLUMNS($AB$1006:AB1006),$AB$1006:$AQ$1006,0)))),"Fix")))</f>
        <v>0</v>
      </c>
      <c r="C814" s="4">
        <f>IF(OR(INDEX($V$2:$V$1001,MATCH(ROWS($U$2:U814),$U$2:$U$1001,0),1)&gt;=100000,INDEX($AB$1005:$AQ$1005,1,MATCH(COLUMNS($AB$1006:AC1006),$AB$1006:$AQ$1006,0))&gt;=100000), " ",IF(INDEX($AB$2:$AQ$1001,MATCH(ROWS($U$2:U814),$U$2:$U$1001,0),MATCH(COLUMNS($AB$1006:AC1006),$AB$1006:$AQ$1006,0)), HYPERLINK("#",""), HYPERLINK(CONCATENATE("#metadata!", ADDRESS(INDEX($W$2:$W$1001,MATCH(ROWS($U$2:U814),$U$2:$U$1001,0),0), INDEX($AB$1004:$AQ$1004,1,MATCH(COLUMNS($AB$1006:AC1006),$AB$1006:$AQ$1006,0)))),"Fix")))</f>
        <v>0</v>
      </c>
      <c r="D814" s="4">
        <f>IF(OR(INDEX($V$2:$V$1001,MATCH(ROWS($U$2:U814),$U$2:$U$1001,0),1)&gt;=100000,INDEX($AB$1005:$AQ$1005,1,MATCH(COLUMNS($AB$1006:AD1006),$AB$1006:$AQ$1006,0))&gt;=100000), " ",IF(INDEX($AB$2:$AQ$1001,MATCH(ROWS($U$2:U814),$U$2:$U$1001,0),MATCH(COLUMNS($AB$1006:AD1006),$AB$1006:$AQ$1006,0)), HYPERLINK("#",""), HYPERLINK(CONCATENATE("#metadata!", ADDRESS(INDEX($W$2:$W$1001,MATCH(ROWS($U$2:U814),$U$2:$U$1001,0),0), INDEX($AB$1004:$AQ$1004,1,MATCH(COLUMNS($AB$1006:AD1006),$AB$1006:$AQ$1006,0)))),"Fix")))</f>
        <v>0</v>
      </c>
      <c r="E814" s="4">
        <f>IF(OR(INDEX($V$2:$V$1001,MATCH(ROWS($U$2:U814),$U$2:$U$1001,0),1)&gt;=100000,INDEX($AB$1005:$AQ$1005,1,MATCH(COLUMNS($AB$1006:AE1006),$AB$1006:$AQ$1006,0))&gt;=100000), " ",IF(INDEX($AB$2:$AQ$1001,MATCH(ROWS($U$2:U814),$U$2:$U$1001,0),MATCH(COLUMNS($AB$1006:AE1006),$AB$1006:$AQ$1006,0)), HYPERLINK("#",""), HYPERLINK(CONCATENATE("#metadata!", ADDRESS(INDEX($W$2:$W$1001,MATCH(ROWS($U$2:U814),$U$2:$U$1001,0),0), INDEX($AB$1004:$AQ$1004,1,MATCH(COLUMNS($AB$1006:AE1006),$AB$1006:$AQ$1006,0)))),"Fix")))</f>
        <v>0</v>
      </c>
      <c r="F814" s="4">
        <f>IF(OR(INDEX($V$2:$V$1001,MATCH(ROWS($U$2:U814),$U$2:$U$1001,0),1)&gt;=100000,INDEX($AB$1005:$AQ$1005,1,MATCH(COLUMNS($AB$1006:AF1006),$AB$1006:$AQ$1006,0))&gt;=100000), " ",IF(INDEX($AB$2:$AQ$1001,MATCH(ROWS($U$2:U814),$U$2:$U$1001,0),MATCH(COLUMNS($AB$1006:AF1006),$AB$1006:$AQ$1006,0)), HYPERLINK("#",""), HYPERLINK(CONCATENATE("#metadata!", ADDRESS(INDEX($W$2:$W$1001,MATCH(ROWS($U$2:U814),$U$2:$U$1001,0),0), INDEX($AB$1004:$AQ$1004,1,MATCH(COLUMNS($AB$1006:AF1006),$AB$1006:$AQ$1006,0)))),"Fix")))</f>
        <v>0</v>
      </c>
      <c r="G814" s="4">
        <f>IF(OR(INDEX($V$2:$V$1001,MATCH(ROWS($U$2:U814),$U$2:$U$1001,0),1)&gt;=100000,INDEX($AB$1005:$AQ$1005,1,MATCH(COLUMNS($AB$1006:AG1006),$AB$1006:$AQ$1006,0))&gt;=100000), " ",IF(INDEX($AB$2:$AQ$1001,MATCH(ROWS($U$2:U814),$U$2:$U$1001,0),MATCH(COLUMNS($AB$1006:AG1006),$AB$1006:$AQ$1006,0)), HYPERLINK("#",""), HYPERLINK(CONCATENATE("#metadata!", ADDRESS(INDEX($W$2:$W$1001,MATCH(ROWS($U$2:U814),$U$2:$U$1001,0),0), INDEX($AB$1004:$AQ$1004,1,MATCH(COLUMNS($AB$1006:AG1006),$AB$1006:$AQ$1006,0)))),"Fix")))</f>
        <v>0</v>
      </c>
      <c r="H814" s="4">
        <f>IF(OR(INDEX($V$2:$V$1001,MATCH(ROWS($U$2:U814),$U$2:$U$1001,0),1)&gt;=100000,INDEX($AB$1005:$AQ$1005,1,MATCH(COLUMNS($AB$1006:AH1006),$AB$1006:$AQ$1006,0))&gt;=100000), " ",IF(INDEX($AB$2:$AQ$1001,MATCH(ROWS($U$2:U814),$U$2:$U$1001,0),MATCH(COLUMNS($AB$1006:AH1006),$AB$1006:$AQ$1006,0)), HYPERLINK("#",""), HYPERLINK(CONCATENATE("#metadata!", ADDRESS(INDEX($W$2:$W$1001,MATCH(ROWS($U$2:U814),$U$2:$U$1001,0),0), INDEX($AB$1004:$AQ$1004,1,MATCH(COLUMNS($AB$1006:AH1006),$AB$1006:$AQ$1006,0)))),"Fix")))</f>
        <v>0</v>
      </c>
      <c r="I814" s="4">
        <f>IF(OR(INDEX($V$2:$V$1001,MATCH(ROWS($U$2:U814),$U$2:$U$1001,0),1)&gt;=100000,INDEX($AB$1005:$AQ$1005,1,MATCH(COLUMNS($AB$1006:AI1006),$AB$1006:$AQ$1006,0))&gt;=100000), " ",IF(INDEX($AB$2:$AQ$1001,MATCH(ROWS($U$2:U814),$U$2:$U$1001,0),MATCH(COLUMNS($AB$1006:AI1006),$AB$1006:$AQ$1006,0)), HYPERLINK("#",""), HYPERLINK(CONCATENATE("#metadata!", ADDRESS(INDEX($W$2:$W$1001,MATCH(ROWS($U$2:U814),$U$2:$U$1001,0),0), INDEX($AB$1004:$AQ$1004,1,MATCH(COLUMNS($AB$1006:AI1006),$AB$1006:$AQ$1006,0)))),"Fix")))</f>
        <v>0</v>
      </c>
      <c r="J814" s="4">
        <f>IF(OR(INDEX($V$2:$V$1001,MATCH(ROWS($U$2:U814),$U$2:$U$1001,0),1)&gt;=100000,INDEX($AB$1005:$AQ$1005,1,MATCH(COLUMNS($AB$1006:AJ1006),$AB$1006:$AQ$1006,0))&gt;=100000), " ",IF(INDEX($AB$2:$AQ$1001,MATCH(ROWS($U$2:U814),$U$2:$U$1001,0),MATCH(COLUMNS($AB$1006:AJ1006),$AB$1006:$AQ$1006,0)), HYPERLINK("#",""), HYPERLINK(CONCATENATE("#metadata!", ADDRESS(INDEX($W$2:$W$1001,MATCH(ROWS($U$2:U814),$U$2:$U$1001,0),0), INDEX($AB$1004:$AQ$1004,1,MATCH(COLUMNS($AB$1006:AJ1006),$AB$1006:$AQ$1006,0)))),"Fix")))</f>
        <v>0</v>
      </c>
      <c r="K814" s="4">
        <f>IF(OR(INDEX($V$2:$V$1001,MATCH(ROWS($U$2:U814),$U$2:$U$1001,0),1)&gt;=100000,INDEX($AB$1005:$AQ$1005,1,MATCH(COLUMNS($AB$1006:AK1006),$AB$1006:$AQ$1006,0))&gt;=100000), " ",IF(INDEX($AB$2:$AQ$1001,MATCH(ROWS($U$2:U814),$U$2:$U$1001,0),MATCH(COLUMNS($AB$1006:AK1006),$AB$1006:$AQ$1006,0)), HYPERLINK("#",""), HYPERLINK(CONCATENATE("#metadata!", ADDRESS(INDEX($W$2:$W$1001,MATCH(ROWS($U$2:U814),$U$2:$U$1001,0),0), INDEX($AB$1004:$AQ$1004,1,MATCH(COLUMNS($AB$1006:AK1006),$AB$1006:$AQ$1006,0)))),"Fix")))</f>
        <v>0</v>
      </c>
      <c r="L814" s="4">
        <f>IF(OR(INDEX($V$2:$V$1001,MATCH(ROWS($U$2:U814),$U$2:$U$1001,0),1)&gt;=100000,INDEX($AB$1005:$AQ$1005,1,MATCH(COLUMNS($AB$1006:AL1006),$AB$1006:$AQ$1006,0))&gt;=100000), " ",IF(INDEX($AB$2:$AQ$1001,MATCH(ROWS($U$2:U814),$U$2:$U$1001,0),MATCH(COLUMNS($AB$1006:AL1006),$AB$1006:$AQ$1006,0)), HYPERLINK("#",""), HYPERLINK(CONCATENATE("#metadata!", ADDRESS(INDEX($W$2:$W$1001,MATCH(ROWS($U$2:U814),$U$2:$U$1001,0),0), INDEX($AB$1004:$AQ$1004,1,MATCH(COLUMNS($AB$1006:AL1006),$AB$1006:$AQ$1006,0)))),"Fix")))</f>
        <v>0</v>
      </c>
      <c r="M814" s="4">
        <f>IF(OR(INDEX($V$2:$V$1001,MATCH(ROWS($U$2:U814),$U$2:$U$1001,0),1)&gt;=100000,INDEX($AB$1005:$AQ$1005,1,MATCH(COLUMNS($AB$1006:AM1006),$AB$1006:$AQ$1006,0))&gt;=100000), " ",IF(INDEX($AB$2:$AQ$1001,MATCH(ROWS($U$2:U814),$U$2:$U$1001,0),MATCH(COLUMNS($AB$1006:AM1006),$AB$1006:$AQ$1006,0)), HYPERLINK("#",""), HYPERLINK(CONCATENATE("#metadata!", ADDRESS(INDEX($W$2:$W$1001,MATCH(ROWS($U$2:U814),$U$2:$U$1001,0),0), INDEX($AB$1004:$AQ$1004,1,MATCH(COLUMNS($AB$1006:AM1006),$AB$1006:$AQ$1006,0)))),"Fix")))</f>
        <v>0</v>
      </c>
      <c r="N814" s="4">
        <f>IF(OR(INDEX($V$2:$V$1001,MATCH(ROWS($U$2:U814),$U$2:$U$1001,0),1)&gt;=100000,INDEX($AB$1005:$AQ$1005,1,MATCH(COLUMNS($AB$1006:AN1006),$AB$1006:$AQ$1006,0))&gt;=100000), " ",IF(INDEX($AB$2:$AQ$1001,MATCH(ROWS($U$2:U814),$U$2:$U$1001,0),MATCH(COLUMNS($AB$1006:AN1006),$AB$1006:$AQ$1006,0)), HYPERLINK("#",""), HYPERLINK(CONCATENATE("#metadata!", ADDRESS(INDEX($W$2:$W$1001,MATCH(ROWS($U$2:U814),$U$2:$U$1001,0),0), INDEX($AB$1004:$AQ$1004,1,MATCH(COLUMNS($AB$1006:AN1006),$AB$1006:$AQ$1006,0)))),"Fix")))</f>
        <v>0</v>
      </c>
      <c r="O814" s="4">
        <f>IF(OR(INDEX($V$2:$V$1001,MATCH(ROWS($U$2:U814),$U$2:$U$1001,0),1)&gt;=100000,INDEX($AB$1005:$AQ$1005,1,MATCH(COLUMNS($AB$1006:AO1006),$AB$1006:$AQ$1006,0))&gt;=100000), " ",IF(INDEX($AB$2:$AQ$1001,MATCH(ROWS($U$2:U814),$U$2:$U$1001,0),MATCH(COLUMNS($AB$1006:AO1006),$AB$1006:$AQ$1006,0)), HYPERLINK("#",""), HYPERLINK(CONCATENATE("#metadata!", ADDRESS(INDEX($W$2:$W$1001,MATCH(ROWS($U$2:U814),$U$2:$U$1001,0),0), INDEX($AB$1004:$AQ$1004,1,MATCH(COLUMNS($AB$1006:AO1006),$AB$1006:$AQ$1006,0)))),"Fix")))</f>
        <v>0</v>
      </c>
      <c r="P814" s="4">
        <f>IF(OR(INDEX($V$2:$V$1001,MATCH(ROWS($U$2:U814),$U$2:$U$1001,0),1)&gt;=100000,INDEX($AB$1005:$AQ$1005,1,MATCH(COLUMNS($AB$1006:AP1006),$AB$1006:$AQ$1006,0))&gt;=100000), " ",IF(INDEX($AB$2:$AQ$1001,MATCH(ROWS($U$2:U814),$U$2:$U$1001,0),MATCH(COLUMNS($AB$1006:AP1006),$AB$1006:$AQ$1006,0)), HYPERLINK("#",""), HYPERLINK(CONCATENATE("#metadata!", ADDRESS(INDEX($W$2:$W$1001,MATCH(ROWS($U$2:U814),$U$2:$U$1001,0),0), INDEX($AB$1004:$AQ$1004,1,MATCH(COLUMNS($AB$1006:AP1006),$AB$1006:$AQ$1006,0)))),"Fix")))</f>
        <v>0</v>
      </c>
      <c r="Q814" s="4">
        <f>IF(OR(INDEX($V$2:$V$1001,MATCH(ROWS($U$2:U814),$U$2:$U$1001,0),1)&gt;=100000,INDEX($AB$1005:$AQ$1005,1,MATCH(COLUMNS($AB$1006:AQ1006),$AB$1006:$AQ$1006,0))&gt;=100000), " ",IF(INDEX($AB$2:$AQ$1001,MATCH(ROWS($U$2:U814),$U$2:$U$1001,0),MATCH(COLUMNS($AB$1006:AQ1006),$AB$1006:$AQ$1006,0)), HYPERLINK("#",""), HYPERLINK(CONCATENATE("#metadata!", ADDRESS(INDEX($W$2:$W$1001,MATCH(ROWS($U$2:U814),$U$2:$U$1001,0),0), INDEX($AB$1004:$AQ$1004,1,MATCH(COLUMNS($AB$1006:AQ1006),$AB$1006:$AQ$1006,0)))),"Fix")))</f>
        <v>0</v>
      </c>
      <c r="U814">
        <v>0</v>
      </c>
      <c r="V814">
        <v>0</v>
      </c>
      <c r="W814">
        <v>0</v>
      </c>
      <c r="X814">
        <f>IF(Y814,TRUE,AND(AB814:AQ814))</f>
        <v>0</v>
      </c>
      <c r="Y814">
        <f>COUNTBLANK(metadata!B814:Q814)=COLUMNS(metadata!B814:Q814)</f>
        <v>0</v>
      </c>
      <c r="Z814">
        <v>0</v>
      </c>
      <c r="AB814">
        <f>AND(IF(metadata!B814="",FALSE,TRUE),COUNTIF(metadata!B:B, metadata!B814) = 1,NOT(ISERROR(SUMPRODUCT(SEARCH(MID(metadata!B814,ROW(INDIRECT("1:"&amp;LEN(metadata!B814))), 1),"0123456789abcdefghijklmnopqrstuvwxyzABCDEFGHIJKLMNOPQRSTUVWXYZ.")))))</f>
        <v>0</v>
      </c>
      <c r="AC814">
        <f>OR(AND(IF(metadata!C814="",FALSE,TRUE),OR(exact(metadata!C814,"missing: not collected"),exact(metadata!C814,"missing: not provided"),exact(metadata!C814,"missing: restricted access"))),AND(IF(metadata!C814="",FALSE,TRUE),AND(AND(IFERROR(INT(LEFT(metadata!C814,4))&gt;1900,FALSE),IFERROR(INT(LEFT(metadata!C814,4))&lt;=YEAR(NOW()),FALSE)), OR(MID(metadata!C814,5,1)="", AND(AND(MID(metadata!C814,5,1)="-",IFERROR(INT(MID(metadata!C814,6,1))&gt;=0,FALSE),IFERROR(INT(MID(metadata!C814,6,1))&lt;=1,FALSE),NOT(MID(metadata!C814,7,1)=""),IFERROR(INT(MID(metadata!C814,6,2))&gt;=1,FALSE),IFERROR(INT(MID(metadata!C814,6,2))&lt;=12,FALSE)), OR(MID(metadata!C814,8,1)="", AND(AND(MID(metadata!C814,8,1)="-",IFERROR(INT(MID(metadata!C814,9,1))&gt;=0,FALSE),IFERROR(INT(MID(metadata!C814,9,1))&lt;=3,FALSE),NOT(MID(metadata!C814,10,1)=""),IFERROR(INT(MID(metadata!C814,9,2))&gt;=1,FALSE),IFERROR(INT(MID(metadata!C814,9,2))&lt;=31,FALSE)), OR(MID(metadata!C814,11,1)="", AND(AND(MID(metadata!C814,11,1)=" ",IFERROR(INT(MID(metadata!C814,12,1))&gt;=0,FALSE),IFERROR(INT(MID(metadata!C814,12,1))&lt;=2,FALSE),NOT(MID(metadata!C814,13,1)=""),IFERROR(INT(MID(metadata!C814,12,2))&gt;=0,FALSE),IFERROR(INT(MID(metadata!C814,12,2))&lt;=23,FALSE)), OR(MID(metadata!C814,14,1)="", AND(AND(MID(metadata!C814,14,1)=":",IFERROR(INT(MID(metadata!C814,15,1))&gt;=0,FALSE),IFERROR(INT(MID(metadata!C814,15,1))&lt;=5,FALSE),NOT(MID(metadata!C814,16,1)=""),IFERROR(INT(MID(metadata!C814,15,2))&gt;=0,FALSE),IFERROR(INT(MID(metadata!C814,15,2))&lt;=59,FALSE)), OR(MID(metadata!C814,17,1)="", AND(AND(MID(metadata!C814,17,1)=":",IFERROR(INT(MID(metadata!C814,18,1))&gt;=0,FALSE),IFERROR(INT(MID(metadata!C814,18,1))&lt;=5,FALSE),NOT(MID(metadata!C814,19,1)=""),IFERROR(INT(MID(metadata!C814,18,2))&gt;=0,FALSE),IFERROR(INT(MID(metadata!C814,18,2))&lt;=59,FALSE)), LEN(metadata!C814)&lt;=19)))))))))))))</f>
        <v>0</v>
      </c>
      <c r="AD814">
        <f>IF(metadata!D814="",FALSE,TRUE)</f>
        <v>0</v>
      </c>
      <c r="AE814">
        <f>OR(AND(IF(metadata!E814="",FALSE,TRUE),OR(exact(metadata!E814,"missing: not collected"),exact(metadata!E814,"missing: not provided"))),AND(IF(metadata!E814="",FALSE,TRUE),OR(exact(metadata!E814,"TRUE"),exact(metadata!E814,"FALSE"))))</f>
        <v>0</v>
      </c>
      <c r="AF814">
        <f>IF(metadata!F814="",FALSE,TRUE)</f>
        <v>0</v>
      </c>
      <c r="AG814">
        <f>IF(metadata!G814="",FALSE,TRUE)</f>
        <v>0</v>
      </c>
      <c r="AH814">
        <f>IF(metadata!H814="",FALSE,TRUE)</f>
        <v>0</v>
      </c>
      <c r="AI814">
        <f>OR(AND(IF(metadata!I814="",FALSE,TRUE),OR(exact(metadata!I814,"missing: not collected"),exact(metadata!I814,"missing: not provided"),exact(metadata!I814,"missing: restricted access"))),AND(IF(metadata!I814="",FALSE,TRUE),OR(exact(metadata!I814,"air"),exact(metadata!I814,"built environment"),exact(metadata!I814,"host-associated"),exact(metadata!I814,"human-associated"),exact(metadata!I814,"human-skin"),exact(metadata!I814,"human-oral"),exact(metadata!I814,"human-gut"),exact(metadata!I814,"human-vaginal"),exact(metadata!I814,"microbial mat/biofilm"),exact(metadata!I814,"misc environment"),exact(metadata!I814,"plant-associated"),exact(metadata!I814,"sediment"),exact(metadata!I814,"soil"),exact(metadata!I814,"wastewater/sludge"),exact(metadata!I814,"water"))))</f>
        <v>0</v>
      </c>
      <c r="AJ814">
        <f>IF(metadata!J814="",FALSE,TRUE)</f>
        <v>0</v>
      </c>
      <c r="AK814">
        <f>OR(AND(IF(metadata!K814="",FALSE,TRUE),OR(exact(metadata!K814,"missing: not collected"),exact(metadata!K814,"missing: not provided"),exact(metadata!K814,"missing: restricted access"))),AND(IF(metadata!K814="",FALSE,ISNUMBER(VALUE(metadata!K814))),metadata!K814&gt;=-90.00,metadata!K814&lt;=90.00))</f>
        <v>0</v>
      </c>
      <c r="AL814">
        <f>OR(AND(IF(metadata!L814="",FALSE,TRUE),OR(exact(metadata!L814,"missing: not collected"),exact(metadata!L814,"missing: not provided"),exact(metadata!L814,"missing: restricted access"))),AND(IF(metadata!L814="",FALSE,ISNUMBER(VALUE(metadata!L814))),metadata!L814&gt;=-180.00,metadata!L814&lt;=180.00))</f>
        <v>0</v>
      </c>
      <c r="AM814">
        <f>IF(metadata!M814="",FALSE,TRUE)</f>
        <v>0</v>
      </c>
      <c r="AN814">
        <f>OR(AND(IF(metadata!N814="",FALSE,TRUE),OR(exact(metadata!N814,"missing: not collected"),exact(metadata!N814,"missing: not provided"),exact(metadata!N814,"missing: restricted access"))),AND(IF(metadata!N814="",FALSE,TRUE),OR(exact(metadata!N814,"TRUE"),exact(metadata!N814,"FALSE"))))</f>
        <v>0</v>
      </c>
      <c r="AO814">
        <f>IF(metadata!O814="",FALSE,TRUE)</f>
        <v>0</v>
      </c>
      <c r="AP814">
        <f>OR(AND(IF(metadata!P814="",FALSE,TRUE),OR(exact(metadata!P814,"missing: not collected"),exact(metadata!P814,"missing: not provided"))),AND(IF(metadata!P814="",FALSE,IF(ISERROR(INT(metadata!P814)),FALSE,INT(metadata!P814)=metadata!P814)),metadata!P814&gt;0))</f>
        <v>0</v>
      </c>
      <c r="AQ814">
        <f>IF(metadata!Q814="",FALSE,TRUE)</f>
        <v>0</v>
      </c>
    </row>
    <row r="815" spans="1:43">
      <c r="A815" s="5">
        <f>IF(B815=" "," ",HYPERLINK(CONCATENATE("#metadata!",ADDRESS(INDEX($W$2:$W$1001,MATCH(ROWS($U$2:U815),$U$2:$U$1001,0),0),1)),INDEX($Z$2:$Z$1001,MATCH(ROWS($U$2:U815),$U$2:$U$1001,0),0)))</f>
        <v>0</v>
      </c>
      <c r="B815" s="4">
        <f>IF(OR(INDEX($V$2:$V$1001,MATCH(ROWS($U$2:U815),$U$2:$U$1001,0),1)&gt;=100000,INDEX($AB$1005:$AQ$1005,1,MATCH(COLUMNS($AB$1006:AB1006),$AB$1006:$AQ$1006,0))&gt;=100000), " ",IF(INDEX($AB$2:$AQ$1001,MATCH(ROWS($U$2:U815),$U$2:$U$1001,0),MATCH(COLUMNS($AB$1006:AB1006),$AB$1006:$AQ$1006,0)), HYPERLINK("#",""), HYPERLINK(CONCATENATE("#metadata!", ADDRESS(INDEX($W$2:$W$1001,MATCH(ROWS($U$2:U815),$U$2:$U$1001,0),0), INDEX($AB$1004:$AQ$1004,1,MATCH(COLUMNS($AB$1006:AB1006),$AB$1006:$AQ$1006,0)))),"Fix")))</f>
        <v>0</v>
      </c>
      <c r="C815" s="4">
        <f>IF(OR(INDEX($V$2:$V$1001,MATCH(ROWS($U$2:U815),$U$2:$U$1001,0),1)&gt;=100000,INDEX($AB$1005:$AQ$1005,1,MATCH(COLUMNS($AB$1006:AC1006),$AB$1006:$AQ$1006,0))&gt;=100000), " ",IF(INDEX($AB$2:$AQ$1001,MATCH(ROWS($U$2:U815),$U$2:$U$1001,0),MATCH(COLUMNS($AB$1006:AC1006),$AB$1006:$AQ$1006,0)), HYPERLINK("#",""), HYPERLINK(CONCATENATE("#metadata!", ADDRESS(INDEX($W$2:$W$1001,MATCH(ROWS($U$2:U815),$U$2:$U$1001,0),0), INDEX($AB$1004:$AQ$1004,1,MATCH(COLUMNS($AB$1006:AC1006),$AB$1006:$AQ$1006,0)))),"Fix")))</f>
        <v>0</v>
      </c>
      <c r="D815" s="4">
        <f>IF(OR(INDEX($V$2:$V$1001,MATCH(ROWS($U$2:U815),$U$2:$U$1001,0),1)&gt;=100000,INDEX($AB$1005:$AQ$1005,1,MATCH(COLUMNS($AB$1006:AD1006),$AB$1006:$AQ$1006,0))&gt;=100000), " ",IF(INDEX($AB$2:$AQ$1001,MATCH(ROWS($U$2:U815),$U$2:$U$1001,0),MATCH(COLUMNS($AB$1006:AD1006),$AB$1006:$AQ$1006,0)), HYPERLINK("#",""), HYPERLINK(CONCATENATE("#metadata!", ADDRESS(INDEX($W$2:$W$1001,MATCH(ROWS($U$2:U815),$U$2:$U$1001,0),0), INDEX($AB$1004:$AQ$1004,1,MATCH(COLUMNS($AB$1006:AD1006),$AB$1006:$AQ$1006,0)))),"Fix")))</f>
        <v>0</v>
      </c>
      <c r="E815" s="4">
        <f>IF(OR(INDEX($V$2:$V$1001,MATCH(ROWS($U$2:U815),$U$2:$U$1001,0),1)&gt;=100000,INDEX($AB$1005:$AQ$1005,1,MATCH(COLUMNS($AB$1006:AE1006),$AB$1006:$AQ$1006,0))&gt;=100000), " ",IF(INDEX($AB$2:$AQ$1001,MATCH(ROWS($U$2:U815),$U$2:$U$1001,0),MATCH(COLUMNS($AB$1006:AE1006),$AB$1006:$AQ$1006,0)), HYPERLINK("#",""), HYPERLINK(CONCATENATE("#metadata!", ADDRESS(INDEX($W$2:$W$1001,MATCH(ROWS($U$2:U815),$U$2:$U$1001,0),0), INDEX($AB$1004:$AQ$1004,1,MATCH(COLUMNS($AB$1006:AE1006),$AB$1006:$AQ$1006,0)))),"Fix")))</f>
        <v>0</v>
      </c>
      <c r="F815" s="4">
        <f>IF(OR(INDEX($V$2:$V$1001,MATCH(ROWS($U$2:U815),$U$2:$U$1001,0),1)&gt;=100000,INDEX($AB$1005:$AQ$1005,1,MATCH(COLUMNS($AB$1006:AF1006),$AB$1006:$AQ$1006,0))&gt;=100000), " ",IF(INDEX($AB$2:$AQ$1001,MATCH(ROWS($U$2:U815),$U$2:$U$1001,0),MATCH(COLUMNS($AB$1006:AF1006),$AB$1006:$AQ$1006,0)), HYPERLINK("#",""), HYPERLINK(CONCATENATE("#metadata!", ADDRESS(INDEX($W$2:$W$1001,MATCH(ROWS($U$2:U815),$U$2:$U$1001,0),0), INDEX($AB$1004:$AQ$1004,1,MATCH(COLUMNS($AB$1006:AF1006),$AB$1006:$AQ$1006,0)))),"Fix")))</f>
        <v>0</v>
      </c>
      <c r="G815" s="4">
        <f>IF(OR(INDEX($V$2:$V$1001,MATCH(ROWS($U$2:U815),$U$2:$U$1001,0),1)&gt;=100000,INDEX($AB$1005:$AQ$1005,1,MATCH(COLUMNS($AB$1006:AG1006),$AB$1006:$AQ$1006,0))&gt;=100000), " ",IF(INDEX($AB$2:$AQ$1001,MATCH(ROWS($U$2:U815),$U$2:$U$1001,0),MATCH(COLUMNS($AB$1006:AG1006),$AB$1006:$AQ$1006,0)), HYPERLINK("#",""), HYPERLINK(CONCATENATE("#metadata!", ADDRESS(INDEX($W$2:$W$1001,MATCH(ROWS($U$2:U815),$U$2:$U$1001,0),0), INDEX($AB$1004:$AQ$1004,1,MATCH(COLUMNS($AB$1006:AG1006),$AB$1006:$AQ$1006,0)))),"Fix")))</f>
        <v>0</v>
      </c>
      <c r="H815" s="4">
        <f>IF(OR(INDEX($V$2:$V$1001,MATCH(ROWS($U$2:U815),$U$2:$U$1001,0),1)&gt;=100000,INDEX($AB$1005:$AQ$1005,1,MATCH(COLUMNS($AB$1006:AH1006),$AB$1006:$AQ$1006,0))&gt;=100000), " ",IF(INDEX($AB$2:$AQ$1001,MATCH(ROWS($U$2:U815),$U$2:$U$1001,0),MATCH(COLUMNS($AB$1006:AH1006),$AB$1006:$AQ$1006,0)), HYPERLINK("#",""), HYPERLINK(CONCATENATE("#metadata!", ADDRESS(INDEX($W$2:$W$1001,MATCH(ROWS($U$2:U815),$U$2:$U$1001,0),0), INDEX($AB$1004:$AQ$1004,1,MATCH(COLUMNS($AB$1006:AH1006),$AB$1006:$AQ$1006,0)))),"Fix")))</f>
        <v>0</v>
      </c>
      <c r="I815" s="4">
        <f>IF(OR(INDEX($V$2:$V$1001,MATCH(ROWS($U$2:U815),$U$2:$U$1001,0),1)&gt;=100000,INDEX($AB$1005:$AQ$1005,1,MATCH(COLUMNS($AB$1006:AI1006),$AB$1006:$AQ$1006,0))&gt;=100000), " ",IF(INDEX($AB$2:$AQ$1001,MATCH(ROWS($U$2:U815),$U$2:$U$1001,0),MATCH(COLUMNS($AB$1006:AI1006),$AB$1006:$AQ$1006,0)), HYPERLINK("#",""), HYPERLINK(CONCATENATE("#metadata!", ADDRESS(INDEX($W$2:$W$1001,MATCH(ROWS($U$2:U815),$U$2:$U$1001,0),0), INDEX($AB$1004:$AQ$1004,1,MATCH(COLUMNS($AB$1006:AI1006),$AB$1006:$AQ$1006,0)))),"Fix")))</f>
        <v>0</v>
      </c>
      <c r="J815" s="4">
        <f>IF(OR(INDEX($V$2:$V$1001,MATCH(ROWS($U$2:U815),$U$2:$U$1001,0),1)&gt;=100000,INDEX($AB$1005:$AQ$1005,1,MATCH(COLUMNS($AB$1006:AJ1006),$AB$1006:$AQ$1006,0))&gt;=100000), " ",IF(INDEX($AB$2:$AQ$1001,MATCH(ROWS($U$2:U815),$U$2:$U$1001,0),MATCH(COLUMNS($AB$1006:AJ1006),$AB$1006:$AQ$1006,0)), HYPERLINK("#",""), HYPERLINK(CONCATENATE("#metadata!", ADDRESS(INDEX($W$2:$W$1001,MATCH(ROWS($U$2:U815),$U$2:$U$1001,0),0), INDEX($AB$1004:$AQ$1004,1,MATCH(COLUMNS($AB$1006:AJ1006),$AB$1006:$AQ$1006,0)))),"Fix")))</f>
        <v>0</v>
      </c>
      <c r="K815" s="4">
        <f>IF(OR(INDEX($V$2:$V$1001,MATCH(ROWS($U$2:U815),$U$2:$U$1001,0),1)&gt;=100000,INDEX($AB$1005:$AQ$1005,1,MATCH(COLUMNS($AB$1006:AK1006),$AB$1006:$AQ$1006,0))&gt;=100000), " ",IF(INDEX($AB$2:$AQ$1001,MATCH(ROWS($U$2:U815),$U$2:$U$1001,0),MATCH(COLUMNS($AB$1006:AK1006),$AB$1006:$AQ$1006,0)), HYPERLINK("#",""), HYPERLINK(CONCATENATE("#metadata!", ADDRESS(INDEX($W$2:$W$1001,MATCH(ROWS($U$2:U815),$U$2:$U$1001,0),0), INDEX($AB$1004:$AQ$1004,1,MATCH(COLUMNS($AB$1006:AK1006),$AB$1006:$AQ$1006,0)))),"Fix")))</f>
        <v>0</v>
      </c>
      <c r="L815" s="4">
        <f>IF(OR(INDEX($V$2:$V$1001,MATCH(ROWS($U$2:U815),$U$2:$U$1001,0),1)&gt;=100000,INDEX($AB$1005:$AQ$1005,1,MATCH(COLUMNS($AB$1006:AL1006),$AB$1006:$AQ$1006,0))&gt;=100000), " ",IF(INDEX($AB$2:$AQ$1001,MATCH(ROWS($U$2:U815),$U$2:$U$1001,0),MATCH(COLUMNS($AB$1006:AL1006),$AB$1006:$AQ$1006,0)), HYPERLINK("#",""), HYPERLINK(CONCATENATE("#metadata!", ADDRESS(INDEX($W$2:$W$1001,MATCH(ROWS($U$2:U815),$U$2:$U$1001,0),0), INDEX($AB$1004:$AQ$1004,1,MATCH(COLUMNS($AB$1006:AL1006),$AB$1006:$AQ$1006,0)))),"Fix")))</f>
        <v>0</v>
      </c>
      <c r="M815" s="4">
        <f>IF(OR(INDEX($V$2:$V$1001,MATCH(ROWS($U$2:U815),$U$2:$U$1001,0),1)&gt;=100000,INDEX($AB$1005:$AQ$1005,1,MATCH(COLUMNS($AB$1006:AM1006),$AB$1006:$AQ$1006,0))&gt;=100000), " ",IF(INDEX($AB$2:$AQ$1001,MATCH(ROWS($U$2:U815),$U$2:$U$1001,0),MATCH(COLUMNS($AB$1006:AM1006),$AB$1006:$AQ$1006,0)), HYPERLINK("#",""), HYPERLINK(CONCATENATE("#metadata!", ADDRESS(INDEX($W$2:$W$1001,MATCH(ROWS($U$2:U815),$U$2:$U$1001,0),0), INDEX($AB$1004:$AQ$1004,1,MATCH(COLUMNS($AB$1006:AM1006),$AB$1006:$AQ$1006,0)))),"Fix")))</f>
        <v>0</v>
      </c>
      <c r="N815" s="4">
        <f>IF(OR(INDEX($V$2:$V$1001,MATCH(ROWS($U$2:U815),$U$2:$U$1001,0),1)&gt;=100000,INDEX($AB$1005:$AQ$1005,1,MATCH(COLUMNS($AB$1006:AN1006),$AB$1006:$AQ$1006,0))&gt;=100000), " ",IF(INDEX($AB$2:$AQ$1001,MATCH(ROWS($U$2:U815),$U$2:$U$1001,0),MATCH(COLUMNS($AB$1006:AN1006),$AB$1006:$AQ$1006,0)), HYPERLINK("#",""), HYPERLINK(CONCATENATE("#metadata!", ADDRESS(INDEX($W$2:$W$1001,MATCH(ROWS($U$2:U815),$U$2:$U$1001,0),0), INDEX($AB$1004:$AQ$1004,1,MATCH(COLUMNS($AB$1006:AN1006),$AB$1006:$AQ$1006,0)))),"Fix")))</f>
        <v>0</v>
      </c>
      <c r="O815" s="4">
        <f>IF(OR(INDEX($V$2:$V$1001,MATCH(ROWS($U$2:U815),$U$2:$U$1001,0),1)&gt;=100000,INDEX($AB$1005:$AQ$1005,1,MATCH(COLUMNS($AB$1006:AO1006),$AB$1006:$AQ$1006,0))&gt;=100000), " ",IF(INDEX($AB$2:$AQ$1001,MATCH(ROWS($U$2:U815),$U$2:$U$1001,0),MATCH(COLUMNS($AB$1006:AO1006),$AB$1006:$AQ$1006,0)), HYPERLINK("#",""), HYPERLINK(CONCATENATE("#metadata!", ADDRESS(INDEX($W$2:$W$1001,MATCH(ROWS($U$2:U815),$U$2:$U$1001,0),0), INDEX($AB$1004:$AQ$1004,1,MATCH(COLUMNS($AB$1006:AO1006),$AB$1006:$AQ$1006,0)))),"Fix")))</f>
        <v>0</v>
      </c>
      <c r="P815" s="4">
        <f>IF(OR(INDEX($V$2:$V$1001,MATCH(ROWS($U$2:U815),$U$2:$U$1001,0),1)&gt;=100000,INDEX($AB$1005:$AQ$1005,1,MATCH(COLUMNS($AB$1006:AP1006),$AB$1006:$AQ$1006,0))&gt;=100000), " ",IF(INDEX($AB$2:$AQ$1001,MATCH(ROWS($U$2:U815),$U$2:$U$1001,0),MATCH(COLUMNS($AB$1006:AP1006),$AB$1006:$AQ$1006,0)), HYPERLINK("#",""), HYPERLINK(CONCATENATE("#metadata!", ADDRESS(INDEX($W$2:$W$1001,MATCH(ROWS($U$2:U815),$U$2:$U$1001,0),0), INDEX($AB$1004:$AQ$1004,1,MATCH(COLUMNS($AB$1006:AP1006),$AB$1006:$AQ$1006,0)))),"Fix")))</f>
        <v>0</v>
      </c>
      <c r="Q815" s="4">
        <f>IF(OR(INDEX($V$2:$V$1001,MATCH(ROWS($U$2:U815),$U$2:$U$1001,0),1)&gt;=100000,INDEX($AB$1005:$AQ$1005,1,MATCH(COLUMNS($AB$1006:AQ1006),$AB$1006:$AQ$1006,0))&gt;=100000), " ",IF(INDEX($AB$2:$AQ$1001,MATCH(ROWS($U$2:U815),$U$2:$U$1001,0),MATCH(COLUMNS($AB$1006:AQ1006),$AB$1006:$AQ$1006,0)), HYPERLINK("#",""), HYPERLINK(CONCATENATE("#metadata!", ADDRESS(INDEX($W$2:$W$1001,MATCH(ROWS($U$2:U815),$U$2:$U$1001,0),0), INDEX($AB$1004:$AQ$1004,1,MATCH(COLUMNS($AB$1006:AQ1006),$AB$1006:$AQ$1006,0)))),"Fix")))</f>
        <v>0</v>
      </c>
      <c r="U815">
        <v>0</v>
      </c>
      <c r="V815">
        <v>0</v>
      </c>
      <c r="W815">
        <v>0</v>
      </c>
      <c r="X815">
        <f>IF(Y815,TRUE,AND(AB815:AQ815))</f>
        <v>0</v>
      </c>
      <c r="Y815">
        <f>COUNTBLANK(metadata!B815:Q815)=COLUMNS(metadata!B815:Q815)</f>
        <v>0</v>
      </c>
      <c r="Z815">
        <v>0</v>
      </c>
      <c r="AB815">
        <f>AND(IF(metadata!B815="",FALSE,TRUE),COUNTIF(metadata!B:B, metadata!B815) = 1,NOT(ISERROR(SUMPRODUCT(SEARCH(MID(metadata!B815,ROW(INDIRECT("1:"&amp;LEN(metadata!B815))), 1),"0123456789abcdefghijklmnopqrstuvwxyzABCDEFGHIJKLMNOPQRSTUVWXYZ.")))))</f>
        <v>0</v>
      </c>
      <c r="AC815">
        <f>OR(AND(IF(metadata!C815="",FALSE,TRUE),OR(exact(metadata!C815,"missing: not collected"),exact(metadata!C815,"missing: not provided"),exact(metadata!C815,"missing: restricted access"))),AND(IF(metadata!C815="",FALSE,TRUE),AND(AND(IFERROR(INT(LEFT(metadata!C815,4))&gt;1900,FALSE),IFERROR(INT(LEFT(metadata!C815,4))&lt;=YEAR(NOW()),FALSE)), OR(MID(metadata!C815,5,1)="", AND(AND(MID(metadata!C815,5,1)="-",IFERROR(INT(MID(metadata!C815,6,1))&gt;=0,FALSE),IFERROR(INT(MID(metadata!C815,6,1))&lt;=1,FALSE),NOT(MID(metadata!C815,7,1)=""),IFERROR(INT(MID(metadata!C815,6,2))&gt;=1,FALSE),IFERROR(INT(MID(metadata!C815,6,2))&lt;=12,FALSE)), OR(MID(metadata!C815,8,1)="", AND(AND(MID(metadata!C815,8,1)="-",IFERROR(INT(MID(metadata!C815,9,1))&gt;=0,FALSE),IFERROR(INT(MID(metadata!C815,9,1))&lt;=3,FALSE),NOT(MID(metadata!C815,10,1)=""),IFERROR(INT(MID(metadata!C815,9,2))&gt;=1,FALSE),IFERROR(INT(MID(metadata!C815,9,2))&lt;=31,FALSE)), OR(MID(metadata!C815,11,1)="", AND(AND(MID(metadata!C815,11,1)=" ",IFERROR(INT(MID(metadata!C815,12,1))&gt;=0,FALSE),IFERROR(INT(MID(metadata!C815,12,1))&lt;=2,FALSE),NOT(MID(metadata!C815,13,1)=""),IFERROR(INT(MID(metadata!C815,12,2))&gt;=0,FALSE),IFERROR(INT(MID(metadata!C815,12,2))&lt;=23,FALSE)), OR(MID(metadata!C815,14,1)="", AND(AND(MID(metadata!C815,14,1)=":",IFERROR(INT(MID(metadata!C815,15,1))&gt;=0,FALSE),IFERROR(INT(MID(metadata!C815,15,1))&lt;=5,FALSE),NOT(MID(metadata!C815,16,1)=""),IFERROR(INT(MID(metadata!C815,15,2))&gt;=0,FALSE),IFERROR(INT(MID(metadata!C815,15,2))&lt;=59,FALSE)), OR(MID(metadata!C815,17,1)="", AND(AND(MID(metadata!C815,17,1)=":",IFERROR(INT(MID(metadata!C815,18,1))&gt;=0,FALSE),IFERROR(INT(MID(metadata!C815,18,1))&lt;=5,FALSE),NOT(MID(metadata!C815,19,1)=""),IFERROR(INT(MID(metadata!C815,18,2))&gt;=0,FALSE),IFERROR(INT(MID(metadata!C815,18,2))&lt;=59,FALSE)), LEN(metadata!C815)&lt;=19)))))))))))))</f>
        <v>0</v>
      </c>
      <c r="AD815">
        <f>IF(metadata!D815="",FALSE,TRUE)</f>
        <v>0</v>
      </c>
      <c r="AE815">
        <f>OR(AND(IF(metadata!E815="",FALSE,TRUE),OR(exact(metadata!E815,"missing: not collected"),exact(metadata!E815,"missing: not provided"))),AND(IF(metadata!E815="",FALSE,TRUE),OR(exact(metadata!E815,"TRUE"),exact(metadata!E815,"FALSE"))))</f>
        <v>0</v>
      </c>
      <c r="AF815">
        <f>IF(metadata!F815="",FALSE,TRUE)</f>
        <v>0</v>
      </c>
      <c r="AG815">
        <f>IF(metadata!G815="",FALSE,TRUE)</f>
        <v>0</v>
      </c>
      <c r="AH815">
        <f>IF(metadata!H815="",FALSE,TRUE)</f>
        <v>0</v>
      </c>
      <c r="AI815">
        <f>OR(AND(IF(metadata!I815="",FALSE,TRUE),OR(exact(metadata!I815,"missing: not collected"),exact(metadata!I815,"missing: not provided"),exact(metadata!I815,"missing: restricted access"))),AND(IF(metadata!I815="",FALSE,TRUE),OR(exact(metadata!I815,"air"),exact(metadata!I815,"built environment"),exact(metadata!I815,"host-associated"),exact(metadata!I815,"human-associated"),exact(metadata!I815,"human-skin"),exact(metadata!I815,"human-oral"),exact(metadata!I815,"human-gut"),exact(metadata!I815,"human-vaginal"),exact(metadata!I815,"microbial mat/biofilm"),exact(metadata!I815,"misc environment"),exact(metadata!I815,"plant-associated"),exact(metadata!I815,"sediment"),exact(metadata!I815,"soil"),exact(metadata!I815,"wastewater/sludge"),exact(metadata!I815,"water"))))</f>
        <v>0</v>
      </c>
      <c r="AJ815">
        <f>IF(metadata!J815="",FALSE,TRUE)</f>
        <v>0</v>
      </c>
      <c r="AK815">
        <f>OR(AND(IF(metadata!K815="",FALSE,TRUE),OR(exact(metadata!K815,"missing: not collected"),exact(metadata!K815,"missing: not provided"),exact(metadata!K815,"missing: restricted access"))),AND(IF(metadata!K815="",FALSE,ISNUMBER(VALUE(metadata!K815))),metadata!K815&gt;=-90.00,metadata!K815&lt;=90.00))</f>
        <v>0</v>
      </c>
      <c r="AL815">
        <f>OR(AND(IF(metadata!L815="",FALSE,TRUE),OR(exact(metadata!L815,"missing: not collected"),exact(metadata!L815,"missing: not provided"),exact(metadata!L815,"missing: restricted access"))),AND(IF(metadata!L815="",FALSE,ISNUMBER(VALUE(metadata!L815))),metadata!L815&gt;=-180.00,metadata!L815&lt;=180.00))</f>
        <v>0</v>
      </c>
      <c r="AM815">
        <f>IF(metadata!M815="",FALSE,TRUE)</f>
        <v>0</v>
      </c>
      <c r="AN815">
        <f>OR(AND(IF(metadata!N815="",FALSE,TRUE),OR(exact(metadata!N815,"missing: not collected"),exact(metadata!N815,"missing: not provided"),exact(metadata!N815,"missing: restricted access"))),AND(IF(metadata!N815="",FALSE,TRUE),OR(exact(metadata!N815,"TRUE"),exact(metadata!N815,"FALSE"))))</f>
        <v>0</v>
      </c>
      <c r="AO815">
        <f>IF(metadata!O815="",FALSE,TRUE)</f>
        <v>0</v>
      </c>
      <c r="AP815">
        <f>OR(AND(IF(metadata!P815="",FALSE,TRUE),OR(exact(metadata!P815,"missing: not collected"),exact(metadata!P815,"missing: not provided"))),AND(IF(metadata!P815="",FALSE,IF(ISERROR(INT(metadata!P815)),FALSE,INT(metadata!P815)=metadata!P815)),metadata!P815&gt;0))</f>
        <v>0</v>
      </c>
      <c r="AQ815">
        <f>IF(metadata!Q815="",FALSE,TRUE)</f>
        <v>0</v>
      </c>
    </row>
    <row r="816" spans="1:43">
      <c r="A816" s="5">
        <f>IF(B816=" "," ",HYPERLINK(CONCATENATE("#metadata!",ADDRESS(INDEX($W$2:$W$1001,MATCH(ROWS($U$2:U816),$U$2:$U$1001,0),0),1)),INDEX($Z$2:$Z$1001,MATCH(ROWS($U$2:U816),$U$2:$U$1001,0),0)))</f>
        <v>0</v>
      </c>
      <c r="B816" s="4">
        <f>IF(OR(INDEX($V$2:$V$1001,MATCH(ROWS($U$2:U816),$U$2:$U$1001,0),1)&gt;=100000,INDEX($AB$1005:$AQ$1005,1,MATCH(COLUMNS($AB$1006:AB1006),$AB$1006:$AQ$1006,0))&gt;=100000), " ",IF(INDEX($AB$2:$AQ$1001,MATCH(ROWS($U$2:U816),$U$2:$U$1001,0),MATCH(COLUMNS($AB$1006:AB1006),$AB$1006:$AQ$1006,0)), HYPERLINK("#",""), HYPERLINK(CONCATENATE("#metadata!", ADDRESS(INDEX($W$2:$W$1001,MATCH(ROWS($U$2:U816),$U$2:$U$1001,0),0), INDEX($AB$1004:$AQ$1004,1,MATCH(COLUMNS($AB$1006:AB1006),$AB$1006:$AQ$1006,0)))),"Fix")))</f>
        <v>0</v>
      </c>
      <c r="C816" s="4">
        <f>IF(OR(INDEX($V$2:$V$1001,MATCH(ROWS($U$2:U816),$U$2:$U$1001,0),1)&gt;=100000,INDEX($AB$1005:$AQ$1005,1,MATCH(COLUMNS($AB$1006:AC1006),$AB$1006:$AQ$1006,0))&gt;=100000), " ",IF(INDEX($AB$2:$AQ$1001,MATCH(ROWS($U$2:U816),$U$2:$U$1001,0),MATCH(COLUMNS($AB$1006:AC1006),$AB$1006:$AQ$1006,0)), HYPERLINK("#",""), HYPERLINK(CONCATENATE("#metadata!", ADDRESS(INDEX($W$2:$W$1001,MATCH(ROWS($U$2:U816),$U$2:$U$1001,0),0), INDEX($AB$1004:$AQ$1004,1,MATCH(COLUMNS($AB$1006:AC1006),$AB$1006:$AQ$1006,0)))),"Fix")))</f>
        <v>0</v>
      </c>
      <c r="D816" s="4">
        <f>IF(OR(INDEX($V$2:$V$1001,MATCH(ROWS($U$2:U816),$U$2:$U$1001,0),1)&gt;=100000,INDEX($AB$1005:$AQ$1005,1,MATCH(COLUMNS($AB$1006:AD1006),$AB$1006:$AQ$1006,0))&gt;=100000), " ",IF(INDEX($AB$2:$AQ$1001,MATCH(ROWS($U$2:U816),$U$2:$U$1001,0),MATCH(COLUMNS($AB$1006:AD1006),$AB$1006:$AQ$1006,0)), HYPERLINK("#",""), HYPERLINK(CONCATENATE("#metadata!", ADDRESS(INDEX($W$2:$W$1001,MATCH(ROWS($U$2:U816),$U$2:$U$1001,0),0), INDEX($AB$1004:$AQ$1004,1,MATCH(COLUMNS($AB$1006:AD1006),$AB$1006:$AQ$1006,0)))),"Fix")))</f>
        <v>0</v>
      </c>
      <c r="E816" s="4">
        <f>IF(OR(INDEX($V$2:$V$1001,MATCH(ROWS($U$2:U816),$U$2:$U$1001,0),1)&gt;=100000,INDEX($AB$1005:$AQ$1005,1,MATCH(COLUMNS($AB$1006:AE1006),$AB$1006:$AQ$1006,0))&gt;=100000), " ",IF(INDEX($AB$2:$AQ$1001,MATCH(ROWS($U$2:U816),$U$2:$U$1001,0),MATCH(COLUMNS($AB$1006:AE1006),$AB$1006:$AQ$1006,0)), HYPERLINK("#",""), HYPERLINK(CONCATENATE("#metadata!", ADDRESS(INDEX($W$2:$W$1001,MATCH(ROWS($U$2:U816),$U$2:$U$1001,0),0), INDEX($AB$1004:$AQ$1004,1,MATCH(COLUMNS($AB$1006:AE1006),$AB$1006:$AQ$1006,0)))),"Fix")))</f>
        <v>0</v>
      </c>
      <c r="F816" s="4">
        <f>IF(OR(INDEX($V$2:$V$1001,MATCH(ROWS($U$2:U816),$U$2:$U$1001,0),1)&gt;=100000,INDEX($AB$1005:$AQ$1005,1,MATCH(COLUMNS($AB$1006:AF1006),$AB$1006:$AQ$1006,0))&gt;=100000), " ",IF(INDEX($AB$2:$AQ$1001,MATCH(ROWS($U$2:U816),$U$2:$U$1001,0),MATCH(COLUMNS($AB$1006:AF1006),$AB$1006:$AQ$1006,0)), HYPERLINK("#",""), HYPERLINK(CONCATENATE("#metadata!", ADDRESS(INDEX($W$2:$W$1001,MATCH(ROWS($U$2:U816),$U$2:$U$1001,0),0), INDEX($AB$1004:$AQ$1004,1,MATCH(COLUMNS($AB$1006:AF1006),$AB$1006:$AQ$1006,0)))),"Fix")))</f>
        <v>0</v>
      </c>
      <c r="G816" s="4">
        <f>IF(OR(INDEX($V$2:$V$1001,MATCH(ROWS($U$2:U816),$U$2:$U$1001,0),1)&gt;=100000,INDEX($AB$1005:$AQ$1005,1,MATCH(COLUMNS($AB$1006:AG1006),$AB$1006:$AQ$1006,0))&gt;=100000), " ",IF(INDEX($AB$2:$AQ$1001,MATCH(ROWS($U$2:U816),$U$2:$U$1001,0),MATCH(COLUMNS($AB$1006:AG1006),$AB$1006:$AQ$1006,0)), HYPERLINK("#",""), HYPERLINK(CONCATENATE("#metadata!", ADDRESS(INDEX($W$2:$W$1001,MATCH(ROWS($U$2:U816),$U$2:$U$1001,0),0), INDEX($AB$1004:$AQ$1004,1,MATCH(COLUMNS($AB$1006:AG1006),$AB$1006:$AQ$1006,0)))),"Fix")))</f>
        <v>0</v>
      </c>
      <c r="H816" s="4">
        <f>IF(OR(INDEX($V$2:$V$1001,MATCH(ROWS($U$2:U816),$U$2:$U$1001,0),1)&gt;=100000,INDEX($AB$1005:$AQ$1005,1,MATCH(COLUMNS($AB$1006:AH1006),$AB$1006:$AQ$1006,0))&gt;=100000), " ",IF(INDEX($AB$2:$AQ$1001,MATCH(ROWS($U$2:U816),$U$2:$U$1001,0),MATCH(COLUMNS($AB$1006:AH1006),$AB$1006:$AQ$1006,0)), HYPERLINK("#",""), HYPERLINK(CONCATENATE("#metadata!", ADDRESS(INDEX($W$2:$W$1001,MATCH(ROWS($U$2:U816),$U$2:$U$1001,0),0), INDEX($AB$1004:$AQ$1004,1,MATCH(COLUMNS($AB$1006:AH1006),$AB$1006:$AQ$1006,0)))),"Fix")))</f>
        <v>0</v>
      </c>
      <c r="I816" s="4">
        <f>IF(OR(INDEX($V$2:$V$1001,MATCH(ROWS($U$2:U816),$U$2:$U$1001,0),1)&gt;=100000,INDEX($AB$1005:$AQ$1005,1,MATCH(COLUMNS($AB$1006:AI1006),$AB$1006:$AQ$1006,0))&gt;=100000), " ",IF(INDEX($AB$2:$AQ$1001,MATCH(ROWS($U$2:U816),$U$2:$U$1001,0),MATCH(COLUMNS($AB$1006:AI1006),$AB$1006:$AQ$1006,0)), HYPERLINK("#",""), HYPERLINK(CONCATENATE("#metadata!", ADDRESS(INDEX($W$2:$W$1001,MATCH(ROWS($U$2:U816),$U$2:$U$1001,0),0), INDEX($AB$1004:$AQ$1004,1,MATCH(COLUMNS($AB$1006:AI1006),$AB$1006:$AQ$1006,0)))),"Fix")))</f>
        <v>0</v>
      </c>
      <c r="J816" s="4">
        <f>IF(OR(INDEX($V$2:$V$1001,MATCH(ROWS($U$2:U816),$U$2:$U$1001,0),1)&gt;=100000,INDEX($AB$1005:$AQ$1005,1,MATCH(COLUMNS($AB$1006:AJ1006),$AB$1006:$AQ$1006,0))&gt;=100000), " ",IF(INDEX($AB$2:$AQ$1001,MATCH(ROWS($U$2:U816),$U$2:$U$1001,0),MATCH(COLUMNS($AB$1006:AJ1006),$AB$1006:$AQ$1006,0)), HYPERLINK("#",""), HYPERLINK(CONCATENATE("#metadata!", ADDRESS(INDEX($W$2:$W$1001,MATCH(ROWS($U$2:U816),$U$2:$U$1001,0),0), INDEX($AB$1004:$AQ$1004,1,MATCH(COLUMNS($AB$1006:AJ1006),$AB$1006:$AQ$1006,0)))),"Fix")))</f>
        <v>0</v>
      </c>
      <c r="K816" s="4">
        <f>IF(OR(INDEX($V$2:$V$1001,MATCH(ROWS($U$2:U816),$U$2:$U$1001,0),1)&gt;=100000,INDEX($AB$1005:$AQ$1005,1,MATCH(COLUMNS($AB$1006:AK1006),$AB$1006:$AQ$1006,0))&gt;=100000), " ",IF(INDEX($AB$2:$AQ$1001,MATCH(ROWS($U$2:U816),$U$2:$U$1001,0),MATCH(COLUMNS($AB$1006:AK1006),$AB$1006:$AQ$1006,0)), HYPERLINK("#",""), HYPERLINK(CONCATENATE("#metadata!", ADDRESS(INDEX($W$2:$W$1001,MATCH(ROWS($U$2:U816),$U$2:$U$1001,0),0), INDEX($AB$1004:$AQ$1004,1,MATCH(COLUMNS($AB$1006:AK1006),$AB$1006:$AQ$1006,0)))),"Fix")))</f>
        <v>0</v>
      </c>
      <c r="L816" s="4">
        <f>IF(OR(INDEX($V$2:$V$1001,MATCH(ROWS($U$2:U816),$U$2:$U$1001,0),1)&gt;=100000,INDEX($AB$1005:$AQ$1005,1,MATCH(COLUMNS($AB$1006:AL1006),$AB$1006:$AQ$1006,0))&gt;=100000), " ",IF(INDEX($AB$2:$AQ$1001,MATCH(ROWS($U$2:U816),$U$2:$U$1001,0),MATCH(COLUMNS($AB$1006:AL1006),$AB$1006:$AQ$1006,0)), HYPERLINK("#",""), HYPERLINK(CONCATENATE("#metadata!", ADDRESS(INDEX($W$2:$W$1001,MATCH(ROWS($U$2:U816),$U$2:$U$1001,0),0), INDEX($AB$1004:$AQ$1004,1,MATCH(COLUMNS($AB$1006:AL1006),$AB$1006:$AQ$1006,0)))),"Fix")))</f>
        <v>0</v>
      </c>
      <c r="M816" s="4">
        <f>IF(OR(INDEX($V$2:$V$1001,MATCH(ROWS($U$2:U816),$U$2:$U$1001,0),1)&gt;=100000,INDEX($AB$1005:$AQ$1005,1,MATCH(COLUMNS($AB$1006:AM1006),$AB$1006:$AQ$1006,0))&gt;=100000), " ",IF(INDEX($AB$2:$AQ$1001,MATCH(ROWS($U$2:U816),$U$2:$U$1001,0),MATCH(COLUMNS($AB$1006:AM1006),$AB$1006:$AQ$1006,0)), HYPERLINK("#",""), HYPERLINK(CONCATENATE("#metadata!", ADDRESS(INDEX($W$2:$W$1001,MATCH(ROWS($U$2:U816),$U$2:$U$1001,0),0), INDEX($AB$1004:$AQ$1004,1,MATCH(COLUMNS($AB$1006:AM1006),$AB$1006:$AQ$1006,0)))),"Fix")))</f>
        <v>0</v>
      </c>
      <c r="N816" s="4">
        <f>IF(OR(INDEX($V$2:$V$1001,MATCH(ROWS($U$2:U816),$U$2:$U$1001,0),1)&gt;=100000,INDEX($AB$1005:$AQ$1005,1,MATCH(COLUMNS($AB$1006:AN1006),$AB$1006:$AQ$1006,0))&gt;=100000), " ",IF(INDEX($AB$2:$AQ$1001,MATCH(ROWS($U$2:U816),$U$2:$U$1001,0),MATCH(COLUMNS($AB$1006:AN1006),$AB$1006:$AQ$1006,0)), HYPERLINK("#",""), HYPERLINK(CONCATENATE("#metadata!", ADDRESS(INDEX($W$2:$W$1001,MATCH(ROWS($U$2:U816),$U$2:$U$1001,0),0), INDEX($AB$1004:$AQ$1004,1,MATCH(COLUMNS($AB$1006:AN1006),$AB$1006:$AQ$1006,0)))),"Fix")))</f>
        <v>0</v>
      </c>
      <c r="O816" s="4">
        <f>IF(OR(INDEX($V$2:$V$1001,MATCH(ROWS($U$2:U816),$U$2:$U$1001,0),1)&gt;=100000,INDEX($AB$1005:$AQ$1005,1,MATCH(COLUMNS($AB$1006:AO1006),$AB$1006:$AQ$1006,0))&gt;=100000), " ",IF(INDEX($AB$2:$AQ$1001,MATCH(ROWS($U$2:U816),$U$2:$U$1001,0),MATCH(COLUMNS($AB$1006:AO1006),$AB$1006:$AQ$1006,0)), HYPERLINK("#",""), HYPERLINK(CONCATENATE("#metadata!", ADDRESS(INDEX($W$2:$W$1001,MATCH(ROWS($U$2:U816),$U$2:$U$1001,0),0), INDEX($AB$1004:$AQ$1004,1,MATCH(COLUMNS($AB$1006:AO1006),$AB$1006:$AQ$1006,0)))),"Fix")))</f>
        <v>0</v>
      </c>
      <c r="P816" s="4">
        <f>IF(OR(INDEX($V$2:$V$1001,MATCH(ROWS($U$2:U816),$U$2:$U$1001,0),1)&gt;=100000,INDEX($AB$1005:$AQ$1005,1,MATCH(COLUMNS($AB$1006:AP1006),$AB$1006:$AQ$1006,0))&gt;=100000), " ",IF(INDEX($AB$2:$AQ$1001,MATCH(ROWS($U$2:U816),$U$2:$U$1001,0),MATCH(COLUMNS($AB$1006:AP1006),$AB$1006:$AQ$1006,0)), HYPERLINK("#",""), HYPERLINK(CONCATENATE("#metadata!", ADDRESS(INDEX($W$2:$W$1001,MATCH(ROWS($U$2:U816),$U$2:$U$1001,0),0), INDEX($AB$1004:$AQ$1004,1,MATCH(COLUMNS($AB$1006:AP1006),$AB$1006:$AQ$1006,0)))),"Fix")))</f>
        <v>0</v>
      </c>
      <c r="Q816" s="4">
        <f>IF(OR(INDEX($V$2:$V$1001,MATCH(ROWS($U$2:U816),$U$2:$U$1001,0),1)&gt;=100000,INDEX($AB$1005:$AQ$1005,1,MATCH(COLUMNS($AB$1006:AQ1006),$AB$1006:$AQ$1006,0))&gt;=100000), " ",IF(INDEX($AB$2:$AQ$1001,MATCH(ROWS($U$2:U816),$U$2:$U$1001,0),MATCH(COLUMNS($AB$1006:AQ1006),$AB$1006:$AQ$1006,0)), HYPERLINK("#",""), HYPERLINK(CONCATENATE("#metadata!", ADDRESS(INDEX($W$2:$W$1001,MATCH(ROWS($U$2:U816),$U$2:$U$1001,0),0), INDEX($AB$1004:$AQ$1004,1,MATCH(COLUMNS($AB$1006:AQ1006),$AB$1006:$AQ$1006,0)))),"Fix")))</f>
        <v>0</v>
      </c>
      <c r="U816">
        <v>0</v>
      </c>
      <c r="V816">
        <v>0</v>
      </c>
      <c r="W816">
        <v>0</v>
      </c>
      <c r="X816">
        <f>IF(Y816,TRUE,AND(AB816:AQ816))</f>
        <v>0</v>
      </c>
      <c r="Y816">
        <f>COUNTBLANK(metadata!B816:Q816)=COLUMNS(metadata!B816:Q816)</f>
        <v>0</v>
      </c>
      <c r="Z816">
        <v>0</v>
      </c>
      <c r="AB816">
        <f>AND(IF(metadata!B816="",FALSE,TRUE),COUNTIF(metadata!B:B, metadata!B816) = 1,NOT(ISERROR(SUMPRODUCT(SEARCH(MID(metadata!B816,ROW(INDIRECT("1:"&amp;LEN(metadata!B816))), 1),"0123456789abcdefghijklmnopqrstuvwxyzABCDEFGHIJKLMNOPQRSTUVWXYZ.")))))</f>
        <v>0</v>
      </c>
      <c r="AC816">
        <f>OR(AND(IF(metadata!C816="",FALSE,TRUE),OR(exact(metadata!C816,"missing: not collected"),exact(metadata!C816,"missing: not provided"),exact(metadata!C816,"missing: restricted access"))),AND(IF(metadata!C816="",FALSE,TRUE),AND(AND(IFERROR(INT(LEFT(metadata!C816,4))&gt;1900,FALSE),IFERROR(INT(LEFT(metadata!C816,4))&lt;=YEAR(NOW()),FALSE)), OR(MID(metadata!C816,5,1)="", AND(AND(MID(metadata!C816,5,1)="-",IFERROR(INT(MID(metadata!C816,6,1))&gt;=0,FALSE),IFERROR(INT(MID(metadata!C816,6,1))&lt;=1,FALSE),NOT(MID(metadata!C816,7,1)=""),IFERROR(INT(MID(metadata!C816,6,2))&gt;=1,FALSE),IFERROR(INT(MID(metadata!C816,6,2))&lt;=12,FALSE)), OR(MID(metadata!C816,8,1)="", AND(AND(MID(metadata!C816,8,1)="-",IFERROR(INT(MID(metadata!C816,9,1))&gt;=0,FALSE),IFERROR(INT(MID(metadata!C816,9,1))&lt;=3,FALSE),NOT(MID(metadata!C816,10,1)=""),IFERROR(INT(MID(metadata!C816,9,2))&gt;=1,FALSE),IFERROR(INT(MID(metadata!C816,9,2))&lt;=31,FALSE)), OR(MID(metadata!C816,11,1)="", AND(AND(MID(metadata!C816,11,1)=" ",IFERROR(INT(MID(metadata!C816,12,1))&gt;=0,FALSE),IFERROR(INT(MID(metadata!C816,12,1))&lt;=2,FALSE),NOT(MID(metadata!C816,13,1)=""),IFERROR(INT(MID(metadata!C816,12,2))&gt;=0,FALSE),IFERROR(INT(MID(metadata!C816,12,2))&lt;=23,FALSE)), OR(MID(metadata!C816,14,1)="", AND(AND(MID(metadata!C816,14,1)=":",IFERROR(INT(MID(metadata!C816,15,1))&gt;=0,FALSE),IFERROR(INT(MID(metadata!C816,15,1))&lt;=5,FALSE),NOT(MID(metadata!C816,16,1)=""),IFERROR(INT(MID(metadata!C816,15,2))&gt;=0,FALSE),IFERROR(INT(MID(metadata!C816,15,2))&lt;=59,FALSE)), OR(MID(metadata!C816,17,1)="", AND(AND(MID(metadata!C816,17,1)=":",IFERROR(INT(MID(metadata!C816,18,1))&gt;=0,FALSE),IFERROR(INT(MID(metadata!C816,18,1))&lt;=5,FALSE),NOT(MID(metadata!C816,19,1)=""),IFERROR(INT(MID(metadata!C816,18,2))&gt;=0,FALSE),IFERROR(INT(MID(metadata!C816,18,2))&lt;=59,FALSE)), LEN(metadata!C816)&lt;=19)))))))))))))</f>
        <v>0</v>
      </c>
      <c r="AD816">
        <f>IF(metadata!D816="",FALSE,TRUE)</f>
        <v>0</v>
      </c>
      <c r="AE816">
        <f>OR(AND(IF(metadata!E816="",FALSE,TRUE),OR(exact(metadata!E816,"missing: not collected"),exact(metadata!E816,"missing: not provided"))),AND(IF(metadata!E816="",FALSE,TRUE),OR(exact(metadata!E816,"TRUE"),exact(metadata!E816,"FALSE"))))</f>
        <v>0</v>
      </c>
      <c r="AF816">
        <f>IF(metadata!F816="",FALSE,TRUE)</f>
        <v>0</v>
      </c>
      <c r="AG816">
        <f>IF(metadata!G816="",FALSE,TRUE)</f>
        <v>0</v>
      </c>
      <c r="AH816">
        <f>IF(metadata!H816="",FALSE,TRUE)</f>
        <v>0</v>
      </c>
      <c r="AI816">
        <f>OR(AND(IF(metadata!I816="",FALSE,TRUE),OR(exact(metadata!I816,"missing: not collected"),exact(metadata!I816,"missing: not provided"),exact(metadata!I816,"missing: restricted access"))),AND(IF(metadata!I816="",FALSE,TRUE),OR(exact(metadata!I816,"air"),exact(metadata!I816,"built environment"),exact(metadata!I816,"host-associated"),exact(metadata!I816,"human-associated"),exact(metadata!I816,"human-skin"),exact(metadata!I816,"human-oral"),exact(metadata!I816,"human-gut"),exact(metadata!I816,"human-vaginal"),exact(metadata!I816,"microbial mat/biofilm"),exact(metadata!I816,"misc environment"),exact(metadata!I816,"plant-associated"),exact(metadata!I816,"sediment"),exact(metadata!I816,"soil"),exact(metadata!I816,"wastewater/sludge"),exact(metadata!I816,"water"))))</f>
        <v>0</v>
      </c>
      <c r="AJ816">
        <f>IF(metadata!J816="",FALSE,TRUE)</f>
        <v>0</v>
      </c>
      <c r="AK816">
        <f>OR(AND(IF(metadata!K816="",FALSE,TRUE),OR(exact(metadata!K816,"missing: not collected"),exact(metadata!K816,"missing: not provided"),exact(metadata!K816,"missing: restricted access"))),AND(IF(metadata!K816="",FALSE,ISNUMBER(VALUE(metadata!K816))),metadata!K816&gt;=-90.00,metadata!K816&lt;=90.00))</f>
        <v>0</v>
      </c>
      <c r="AL816">
        <f>OR(AND(IF(metadata!L816="",FALSE,TRUE),OR(exact(metadata!L816,"missing: not collected"),exact(metadata!L816,"missing: not provided"),exact(metadata!L816,"missing: restricted access"))),AND(IF(metadata!L816="",FALSE,ISNUMBER(VALUE(metadata!L816))),metadata!L816&gt;=-180.00,metadata!L816&lt;=180.00))</f>
        <v>0</v>
      </c>
      <c r="AM816">
        <f>IF(metadata!M816="",FALSE,TRUE)</f>
        <v>0</v>
      </c>
      <c r="AN816">
        <f>OR(AND(IF(metadata!N816="",FALSE,TRUE),OR(exact(metadata!N816,"missing: not collected"),exact(metadata!N816,"missing: not provided"),exact(metadata!N816,"missing: restricted access"))),AND(IF(metadata!N816="",FALSE,TRUE),OR(exact(metadata!N816,"TRUE"),exact(metadata!N816,"FALSE"))))</f>
        <v>0</v>
      </c>
      <c r="AO816">
        <f>IF(metadata!O816="",FALSE,TRUE)</f>
        <v>0</v>
      </c>
      <c r="AP816">
        <f>OR(AND(IF(metadata!P816="",FALSE,TRUE),OR(exact(metadata!P816,"missing: not collected"),exact(metadata!P816,"missing: not provided"))),AND(IF(metadata!P816="",FALSE,IF(ISERROR(INT(metadata!P816)),FALSE,INT(metadata!P816)=metadata!P816)),metadata!P816&gt;0))</f>
        <v>0</v>
      </c>
      <c r="AQ816">
        <f>IF(metadata!Q816="",FALSE,TRUE)</f>
        <v>0</v>
      </c>
    </row>
    <row r="817" spans="1:43">
      <c r="A817" s="5">
        <f>IF(B817=" "," ",HYPERLINK(CONCATENATE("#metadata!",ADDRESS(INDEX($W$2:$W$1001,MATCH(ROWS($U$2:U817),$U$2:$U$1001,0),0),1)),INDEX($Z$2:$Z$1001,MATCH(ROWS($U$2:U817),$U$2:$U$1001,0),0)))</f>
        <v>0</v>
      </c>
      <c r="B817" s="4">
        <f>IF(OR(INDEX($V$2:$V$1001,MATCH(ROWS($U$2:U817),$U$2:$U$1001,0),1)&gt;=100000,INDEX($AB$1005:$AQ$1005,1,MATCH(COLUMNS($AB$1006:AB1006),$AB$1006:$AQ$1006,0))&gt;=100000), " ",IF(INDEX($AB$2:$AQ$1001,MATCH(ROWS($U$2:U817),$U$2:$U$1001,0),MATCH(COLUMNS($AB$1006:AB1006),$AB$1006:$AQ$1006,0)), HYPERLINK("#",""), HYPERLINK(CONCATENATE("#metadata!", ADDRESS(INDEX($W$2:$W$1001,MATCH(ROWS($U$2:U817),$U$2:$U$1001,0),0), INDEX($AB$1004:$AQ$1004,1,MATCH(COLUMNS($AB$1006:AB1006),$AB$1006:$AQ$1006,0)))),"Fix")))</f>
        <v>0</v>
      </c>
      <c r="C817" s="4">
        <f>IF(OR(INDEX($V$2:$V$1001,MATCH(ROWS($U$2:U817),$U$2:$U$1001,0),1)&gt;=100000,INDEX($AB$1005:$AQ$1005,1,MATCH(COLUMNS($AB$1006:AC1006),$AB$1006:$AQ$1006,0))&gt;=100000), " ",IF(INDEX($AB$2:$AQ$1001,MATCH(ROWS($U$2:U817),$U$2:$U$1001,0),MATCH(COLUMNS($AB$1006:AC1006),$AB$1006:$AQ$1006,0)), HYPERLINK("#",""), HYPERLINK(CONCATENATE("#metadata!", ADDRESS(INDEX($W$2:$W$1001,MATCH(ROWS($U$2:U817),$U$2:$U$1001,0),0), INDEX($AB$1004:$AQ$1004,1,MATCH(COLUMNS($AB$1006:AC1006),$AB$1006:$AQ$1006,0)))),"Fix")))</f>
        <v>0</v>
      </c>
      <c r="D817" s="4">
        <f>IF(OR(INDEX($V$2:$V$1001,MATCH(ROWS($U$2:U817),$U$2:$U$1001,0),1)&gt;=100000,INDEX($AB$1005:$AQ$1005,1,MATCH(COLUMNS($AB$1006:AD1006),$AB$1006:$AQ$1006,0))&gt;=100000), " ",IF(INDEX($AB$2:$AQ$1001,MATCH(ROWS($U$2:U817),$U$2:$U$1001,0),MATCH(COLUMNS($AB$1006:AD1006),$AB$1006:$AQ$1006,0)), HYPERLINK("#",""), HYPERLINK(CONCATENATE("#metadata!", ADDRESS(INDEX($W$2:$W$1001,MATCH(ROWS($U$2:U817),$U$2:$U$1001,0),0), INDEX($AB$1004:$AQ$1004,1,MATCH(COLUMNS($AB$1006:AD1006),$AB$1006:$AQ$1006,0)))),"Fix")))</f>
        <v>0</v>
      </c>
      <c r="E817" s="4">
        <f>IF(OR(INDEX($V$2:$V$1001,MATCH(ROWS($U$2:U817),$U$2:$U$1001,0),1)&gt;=100000,INDEX($AB$1005:$AQ$1005,1,MATCH(COLUMNS($AB$1006:AE1006),$AB$1006:$AQ$1006,0))&gt;=100000), " ",IF(INDEX($AB$2:$AQ$1001,MATCH(ROWS($U$2:U817),$U$2:$U$1001,0),MATCH(COLUMNS($AB$1006:AE1006),$AB$1006:$AQ$1006,0)), HYPERLINK("#",""), HYPERLINK(CONCATENATE("#metadata!", ADDRESS(INDEX($W$2:$W$1001,MATCH(ROWS($U$2:U817),$U$2:$U$1001,0),0), INDEX($AB$1004:$AQ$1004,1,MATCH(COLUMNS($AB$1006:AE1006),$AB$1006:$AQ$1006,0)))),"Fix")))</f>
        <v>0</v>
      </c>
      <c r="F817" s="4">
        <f>IF(OR(INDEX($V$2:$V$1001,MATCH(ROWS($U$2:U817),$U$2:$U$1001,0),1)&gt;=100000,INDEX($AB$1005:$AQ$1005,1,MATCH(COLUMNS($AB$1006:AF1006),$AB$1006:$AQ$1006,0))&gt;=100000), " ",IF(INDEX($AB$2:$AQ$1001,MATCH(ROWS($U$2:U817),$U$2:$U$1001,0),MATCH(COLUMNS($AB$1006:AF1006),$AB$1006:$AQ$1006,0)), HYPERLINK("#",""), HYPERLINK(CONCATENATE("#metadata!", ADDRESS(INDEX($W$2:$W$1001,MATCH(ROWS($U$2:U817),$U$2:$U$1001,0),0), INDEX($AB$1004:$AQ$1004,1,MATCH(COLUMNS($AB$1006:AF1006),$AB$1006:$AQ$1006,0)))),"Fix")))</f>
        <v>0</v>
      </c>
      <c r="G817" s="4">
        <f>IF(OR(INDEX($V$2:$V$1001,MATCH(ROWS($U$2:U817),$U$2:$U$1001,0),1)&gt;=100000,INDEX($AB$1005:$AQ$1005,1,MATCH(COLUMNS($AB$1006:AG1006),$AB$1006:$AQ$1006,0))&gt;=100000), " ",IF(INDEX($AB$2:$AQ$1001,MATCH(ROWS($U$2:U817),$U$2:$U$1001,0),MATCH(COLUMNS($AB$1006:AG1006),$AB$1006:$AQ$1006,0)), HYPERLINK("#",""), HYPERLINK(CONCATENATE("#metadata!", ADDRESS(INDEX($W$2:$W$1001,MATCH(ROWS($U$2:U817),$U$2:$U$1001,0),0), INDEX($AB$1004:$AQ$1004,1,MATCH(COLUMNS($AB$1006:AG1006),$AB$1006:$AQ$1006,0)))),"Fix")))</f>
        <v>0</v>
      </c>
      <c r="H817" s="4">
        <f>IF(OR(INDEX($V$2:$V$1001,MATCH(ROWS($U$2:U817),$U$2:$U$1001,0),1)&gt;=100000,INDEX($AB$1005:$AQ$1005,1,MATCH(COLUMNS($AB$1006:AH1006),$AB$1006:$AQ$1006,0))&gt;=100000), " ",IF(INDEX($AB$2:$AQ$1001,MATCH(ROWS($U$2:U817),$U$2:$U$1001,0),MATCH(COLUMNS($AB$1006:AH1006),$AB$1006:$AQ$1006,0)), HYPERLINK("#",""), HYPERLINK(CONCATENATE("#metadata!", ADDRESS(INDEX($W$2:$W$1001,MATCH(ROWS($U$2:U817),$U$2:$U$1001,0),0), INDEX($AB$1004:$AQ$1004,1,MATCH(COLUMNS($AB$1006:AH1006),$AB$1006:$AQ$1006,0)))),"Fix")))</f>
        <v>0</v>
      </c>
      <c r="I817" s="4">
        <f>IF(OR(INDEX($V$2:$V$1001,MATCH(ROWS($U$2:U817),$U$2:$U$1001,0),1)&gt;=100000,INDEX($AB$1005:$AQ$1005,1,MATCH(COLUMNS($AB$1006:AI1006),$AB$1006:$AQ$1006,0))&gt;=100000), " ",IF(INDEX($AB$2:$AQ$1001,MATCH(ROWS($U$2:U817),$U$2:$U$1001,0),MATCH(COLUMNS($AB$1006:AI1006),$AB$1006:$AQ$1006,0)), HYPERLINK("#",""), HYPERLINK(CONCATENATE("#metadata!", ADDRESS(INDEX($W$2:$W$1001,MATCH(ROWS($U$2:U817),$U$2:$U$1001,0),0), INDEX($AB$1004:$AQ$1004,1,MATCH(COLUMNS($AB$1006:AI1006),$AB$1006:$AQ$1006,0)))),"Fix")))</f>
        <v>0</v>
      </c>
      <c r="J817" s="4">
        <f>IF(OR(INDEX($V$2:$V$1001,MATCH(ROWS($U$2:U817),$U$2:$U$1001,0),1)&gt;=100000,INDEX($AB$1005:$AQ$1005,1,MATCH(COLUMNS($AB$1006:AJ1006),$AB$1006:$AQ$1006,0))&gt;=100000), " ",IF(INDEX($AB$2:$AQ$1001,MATCH(ROWS($U$2:U817),$U$2:$U$1001,0),MATCH(COLUMNS($AB$1006:AJ1006),$AB$1006:$AQ$1006,0)), HYPERLINK("#",""), HYPERLINK(CONCATENATE("#metadata!", ADDRESS(INDEX($W$2:$W$1001,MATCH(ROWS($U$2:U817),$U$2:$U$1001,0),0), INDEX($AB$1004:$AQ$1004,1,MATCH(COLUMNS($AB$1006:AJ1006),$AB$1006:$AQ$1006,0)))),"Fix")))</f>
        <v>0</v>
      </c>
      <c r="K817" s="4">
        <f>IF(OR(INDEX($V$2:$V$1001,MATCH(ROWS($U$2:U817),$U$2:$U$1001,0),1)&gt;=100000,INDEX($AB$1005:$AQ$1005,1,MATCH(COLUMNS($AB$1006:AK1006),$AB$1006:$AQ$1006,0))&gt;=100000), " ",IF(INDEX($AB$2:$AQ$1001,MATCH(ROWS($U$2:U817),$U$2:$U$1001,0),MATCH(COLUMNS($AB$1006:AK1006),$AB$1006:$AQ$1006,0)), HYPERLINK("#",""), HYPERLINK(CONCATENATE("#metadata!", ADDRESS(INDEX($W$2:$W$1001,MATCH(ROWS($U$2:U817),$U$2:$U$1001,0),0), INDEX($AB$1004:$AQ$1004,1,MATCH(COLUMNS($AB$1006:AK1006),$AB$1006:$AQ$1006,0)))),"Fix")))</f>
        <v>0</v>
      </c>
      <c r="L817" s="4">
        <f>IF(OR(INDEX($V$2:$V$1001,MATCH(ROWS($U$2:U817),$U$2:$U$1001,0),1)&gt;=100000,INDEX($AB$1005:$AQ$1005,1,MATCH(COLUMNS($AB$1006:AL1006),$AB$1006:$AQ$1006,0))&gt;=100000), " ",IF(INDEX($AB$2:$AQ$1001,MATCH(ROWS($U$2:U817),$U$2:$U$1001,0),MATCH(COLUMNS($AB$1006:AL1006),$AB$1006:$AQ$1006,0)), HYPERLINK("#",""), HYPERLINK(CONCATENATE("#metadata!", ADDRESS(INDEX($W$2:$W$1001,MATCH(ROWS($U$2:U817),$U$2:$U$1001,0),0), INDEX($AB$1004:$AQ$1004,1,MATCH(COLUMNS($AB$1006:AL1006),$AB$1006:$AQ$1006,0)))),"Fix")))</f>
        <v>0</v>
      </c>
      <c r="M817" s="4">
        <f>IF(OR(INDEX($V$2:$V$1001,MATCH(ROWS($U$2:U817),$U$2:$U$1001,0),1)&gt;=100000,INDEX($AB$1005:$AQ$1005,1,MATCH(COLUMNS($AB$1006:AM1006),$AB$1006:$AQ$1006,0))&gt;=100000), " ",IF(INDEX($AB$2:$AQ$1001,MATCH(ROWS($U$2:U817),$U$2:$U$1001,0),MATCH(COLUMNS($AB$1006:AM1006),$AB$1006:$AQ$1006,0)), HYPERLINK("#",""), HYPERLINK(CONCATENATE("#metadata!", ADDRESS(INDEX($W$2:$W$1001,MATCH(ROWS($U$2:U817),$U$2:$U$1001,0),0), INDEX($AB$1004:$AQ$1004,1,MATCH(COLUMNS($AB$1006:AM1006),$AB$1006:$AQ$1006,0)))),"Fix")))</f>
        <v>0</v>
      </c>
      <c r="N817" s="4">
        <f>IF(OR(INDEX($V$2:$V$1001,MATCH(ROWS($U$2:U817),$U$2:$U$1001,0),1)&gt;=100000,INDEX($AB$1005:$AQ$1005,1,MATCH(COLUMNS($AB$1006:AN1006),$AB$1006:$AQ$1006,0))&gt;=100000), " ",IF(INDEX($AB$2:$AQ$1001,MATCH(ROWS($U$2:U817),$U$2:$U$1001,0),MATCH(COLUMNS($AB$1006:AN1006),$AB$1006:$AQ$1006,0)), HYPERLINK("#",""), HYPERLINK(CONCATENATE("#metadata!", ADDRESS(INDEX($W$2:$W$1001,MATCH(ROWS($U$2:U817),$U$2:$U$1001,0),0), INDEX($AB$1004:$AQ$1004,1,MATCH(COLUMNS($AB$1006:AN1006),$AB$1006:$AQ$1006,0)))),"Fix")))</f>
        <v>0</v>
      </c>
      <c r="O817" s="4">
        <f>IF(OR(INDEX($V$2:$V$1001,MATCH(ROWS($U$2:U817),$U$2:$U$1001,0),1)&gt;=100000,INDEX($AB$1005:$AQ$1005,1,MATCH(COLUMNS($AB$1006:AO1006),$AB$1006:$AQ$1006,0))&gt;=100000), " ",IF(INDEX($AB$2:$AQ$1001,MATCH(ROWS($U$2:U817),$U$2:$U$1001,0),MATCH(COLUMNS($AB$1006:AO1006),$AB$1006:$AQ$1006,0)), HYPERLINK("#",""), HYPERLINK(CONCATENATE("#metadata!", ADDRESS(INDEX($W$2:$W$1001,MATCH(ROWS($U$2:U817),$U$2:$U$1001,0),0), INDEX($AB$1004:$AQ$1004,1,MATCH(COLUMNS($AB$1006:AO1006),$AB$1006:$AQ$1006,0)))),"Fix")))</f>
        <v>0</v>
      </c>
      <c r="P817" s="4">
        <f>IF(OR(INDEX($V$2:$V$1001,MATCH(ROWS($U$2:U817),$U$2:$U$1001,0),1)&gt;=100000,INDEX($AB$1005:$AQ$1005,1,MATCH(COLUMNS($AB$1006:AP1006),$AB$1006:$AQ$1006,0))&gt;=100000), " ",IF(INDEX($AB$2:$AQ$1001,MATCH(ROWS($U$2:U817),$U$2:$U$1001,0),MATCH(COLUMNS($AB$1006:AP1006),$AB$1006:$AQ$1006,0)), HYPERLINK("#",""), HYPERLINK(CONCATENATE("#metadata!", ADDRESS(INDEX($W$2:$W$1001,MATCH(ROWS($U$2:U817),$U$2:$U$1001,0),0), INDEX($AB$1004:$AQ$1004,1,MATCH(COLUMNS($AB$1006:AP1006),$AB$1006:$AQ$1006,0)))),"Fix")))</f>
        <v>0</v>
      </c>
      <c r="Q817" s="4">
        <f>IF(OR(INDEX($V$2:$V$1001,MATCH(ROWS($U$2:U817),$U$2:$U$1001,0),1)&gt;=100000,INDEX($AB$1005:$AQ$1005,1,MATCH(COLUMNS($AB$1006:AQ1006),$AB$1006:$AQ$1006,0))&gt;=100000), " ",IF(INDEX($AB$2:$AQ$1001,MATCH(ROWS($U$2:U817),$U$2:$U$1001,0),MATCH(COLUMNS($AB$1006:AQ1006),$AB$1006:$AQ$1006,0)), HYPERLINK("#",""), HYPERLINK(CONCATENATE("#metadata!", ADDRESS(INDEX($W$2:$W$1001,MATCH(ROWS($U$2:U817),$U$2:$U$1001,0),0), INDEX($AB$1004:$AQ$1004,1,MATCH(COLUMNS($AB$1006:AQ1006),$AB$1006:$AQ$1006,0)))),"Fix")))</f>
        <v>0</v>
      </c>
      <c r="U817">
        <v>0</v>
      </c>
      <c r="V817">
        <v>0</v>
      </c>
      <c r="W817">
        <v>0</v>
      </c>
      <c r="X817">
        <f>IF(Y817,TRUE,AND(AB817:AQ817))</f>
        <v>0</v>
      </c>
      <c r="Y817">
        <f>COUNTBLANK(metadata!B817:Q817)=COLUMNS(metadata!B817:Q817)</f>
        <v>0</v>
      </c>
      <c r="Z817">
        <v>0</v>
      </c>
      <c r="AB817">
        <f>AND(IF(metadata!B817="",FALSE,TRUE),COUNTIF(metadata!B:B, metadata!B817) = 1,NOT(ISERROR(SUMPRODUCT(SEARCH(MID(metadata!B817,ROW(INDIRECT("1:"&amp;LEN(metadata!B817))), 1),"0123456789abcdefghijklmnopqrstuvwxyzABCDEFGHIJKLMNOPQRSTUVWXYZ.")))))</f>
        <v>0</v>
      </c>
      <c r="AC817">
        <f>OR(AND(IF(metadata!C817="",FALSE,TRUE),OR(exact(metadata!C817,"missing: not collected"),exact(metadata!C817,"missing: not provided"),exact(metadata!C817,"missing: restricted access"))),AND(IF(metadata!C817="",FALSE,TRUE),AND(AND(IFERROR(INT(LEFT(metadata!C817,4))&gt;1900,FALSE),IFERROR(INT(LEFT(metadata!C817,4))&lt;=YEAR(NOW()),FALSE)), OR(MID(metadata!C817,5,1)="", AND(AND(MID(metadata!C817,5,1)="-",IFERROR(INT(MID(metadata!C817,6,1))&gt;=0,FALSE),IFERROR(INT(MID(metadata!C817,6,1))&lt;=1,FALSE),NOT(MID(metadata!C817,7,1)=""),IFERROR(INT(MID(metadata!C817,6,2))&gt;=1,FALSE),IFERROR(INT(MID(metadata!C817,6,2))&lt;=12,FALSE)), OR(MID(metadata!C817,8,1)="", AND(AND(MID(metadata!C817,8,1)="-",IFERROR(INT(MID(metadata!C817,9,1))&gt;=0,FALSE),IFERROR(INT(MID(metadata!C817,9,1))&lt;=3,FALSE),NOT(MID(metadata!C817,10,1)=""),IFERROR(INT(MID(metadata!C817,9,2))&gt;=1,FALSE),IFERROR(INT(MID(metadata!C817,9,2))&lt;=31,FALSE)), OR(MID(metadata!C817,11,1)="", AND(AND(MID(metadata!C817,11,1)=" ",IFERROR(INT(MID(metadata!C817,12,1))&gt;=0,FALSE),IFERROR(INT(MID(metadata!C817,12,1))&lt;=2,FALSE),NOT(MID(metadata!C817,13,1)=""),IFERROR(INT(MID(metadata!C817,12,2))&gt;=0,FALSE),IFERROR(INT(MID(metadata!C817,12,2))&lt;=23,FALSE)), OR(MID(metadata!C817,14,1)="", AND(AND(MID(metadata!C817,14,1)=":",IFERROR(INT(MID(metadata!C817,15,1))&gt;=0,FALSE),IFERROR(INT(MID(metadata!C817,15,1))&lt;=5,FALSE),NOT(MID(metadata!C817,16,1)=""),IFERROR(INT(MID(metadata!C817,15,2))&gt;=0,FALSE),IFERROR(INT(MID(metadata!C817,15,2))&lt;=59,FALSE)), OR(MID(metadata!C817,17,1)="", AND(AND(MID(metadata!C817,17,1)=":",IFERROR(INT(MID(metadata!C817,18,1))&gt;=0,FALSE),IFERROR(INT(MID(metadata!C817,18,1))&lt;=5,FALSE),NOT(MID(metadata!C817,19,1)=""),IFERROR(INT(MID(metadata!C817,18,2))&gt;=0,FALSE),IFERROR(INT(MID(metadata!C817,18,2))&lt;=59,FALSE)), LEN(metadata!C817)&lt;=19)))))))))))))</f>
        <v>0</v>
      </c>
      <c r="AD817">
        <f>IF(metadata!D817="",FALSE,TRUE)</f>
        <v>0</v>
      </c>
      <c r="AE817">
        <f>OR(AND(IF(metadata!E817="",FALSE,TRUE),OR(exact(metadata!E817,"missing: not collected"),exact(metadata!E817,"missing: not provided"))),AND(IF(metadata!E817="",FALSE,TRUE),OR(exact(metadata!E817,"TRUE"),exact(metadata!E817,"FALSE"))))</f>
        <v>0</v>
      </c>
      <c r="AF817">
        <f>IF(metadata!F817="",FALSE,TRUE)</f>
        <v>0</v>
      </c>
      <c r="AG817">
        <f>IF(metadata!G817="",FALSE,TRUE)</f>
        <v>0</v>
      </c>
      <c r="AH817">
        <f>IF(metadata!H817="",FALSE,TRUE)</f>
        <v>0</v>
      </c>
      <c r="AI817">
        <f>OR(AND(IF(metadata!I817="",FALSE,TRUE),OR(exact(metadata!I817,"missing: not collected"),exact(metadata!I817,"missing: not provided"),exact(metadata!I817,"missing: restricted access"))),AND(IF(metadata!I817="",FALSE,TRUE),OR(exact(metadata!I817,"air"),exact(metadata!I817,"built environment"),exact(metadata!I817,"host-associated"),exact(metadata!I817,"human-associated"),exact(metadata!I817,"human-skin"),exact(metadata!I817,"human-oral"),exact(metadata!I817,"human-gut"),exact(metadata!I817,"human-vaginal"),exact(metadata!I817,"microbial mat/biofilm"),exact(metadata!I817,"misc environment"),exact(metadata!I817,"plant-associated"),exact(metadata!I817,"sediment"),exact(metadata!I817,"soil"),exact(metadata!I817,"wastewater/sludge"),exact(metadata!I817,"water"))))</f>
        <v>0</v>
      </c>
      <c r="AJ817">
        <f>IF(metadata!J817="",FALSE,TRUE)</f>
        <v>0</v>
      </c>
      <c r="AK817">
        <f>OR(AND(IF(metadata!K817="",FALSE,TRUE),OR(exact(metadata!K817,"missing: not collected"),exact(metadata!K817,"missing: not provided"),exact(metadata!K817,"missing: restricted access"))),AND(IF(metadata!K817="",FALSE,ISNUMBER(VALUE(metadata!K817))),metadata!K817&gt;=-90.00,metadata!K817&lt;=90.00))</f>
        <v>0</v>
      </c>
      <c r="AL817">
        <f>OR(AND(IF(metadata!L817="",FALSE,TRUE),OR(exact(metadata!L817,"missing: not collected"),exact(metadata!L817,"missing: not provided"),exact(metadata!L817,"missing: restricted access"))),AND(IF(metadata!L817="",FALSE,ISNUMBER(VALUE(metadata!L817))),metadata!L817&gt;=-180.00,metadata!L817&lt;=180.00))</f>
        <v>0</v>
      </c>
      <c r="AM817">
        <f>IF(metadata!M817="",FALSE,TRUE)</f>
        <v>0</v>
      </c>
      <c r="AN817">
        <f>OR(AND(IF(metadata!N817="",FALSE,TRUE),OR(exact(metadata!N817,"missing: not collected"),exact(metadata!N817,"missing: not provided"),exact(metadata!N817,"missing: restricted access"))),AND(IF(metadata!N817="",FALSE,TRUE),OR(exact(metadata!N817,"TRUE"),exact(metadata!N817,"FALSE"))))</f>
        <v>0</v>
      </c>
      <c r="AO817">
        <f>IF(metadata!O817="",FALSE,TRUE)</f>
        <v>0</v>
      </c>
      <c r="AP817">
        <f>OR(AND(IF(metadata!P817="",FALSE,TRUE),OR(exact(metadata!P817,"missing: not collected"),exact(metadata!P817,"missing: not provided"))),AND(IF(metadata!P817="",FALSE,IF(ISERROR(INT(metadata!P817)),FALSE,INT(metadata!P817)=metadata!P817)),metadata!P817&gt;0))</f>
        <v>0</v>
      </c>
      <c r="AQ817">
        <f>IF(metadata!Q817="",FALSE,TRUE)</f>
        <v>0</v>
      </c>
    </row>
    <row r="818" spans="1:43">
      <c r="A818" s="5">
        <f>IF(B818=" "," ",HYPERLINK(CONCATENATE("#metadata!",ADDRESS(INDEX($W$2:$W$1001,MATCH(ROWS($U$2:U818),$U$2:$U$1001,0),0),1)),INDEX($Z$2:$Z$1001,MATCH(ROWS($U$2:U818),$U$2:$U$1001,0),0)))</f>
        <v>0</v>
      </c>
      <c r="B818" s="4">
        <f>IF(OR(INDEX($V$2:$V$1001,MATCH(ROWS($U$2:U818),$U$2:$U$1001,0),1)&gt;=100000,INDEX($AB$1005:$AQ$1005,1,MATCH(COLUMNS($AB$1006:AB1006),$AB$1006:$AQ$1006,0))&gt;=100000), " ",IF(INDEX($AB$2:$AQ$1001,MATCH(ROWS($U$2:U818),$U$2:$U$1001,0),MATCH(COLUMNS($AB$1006:AB1006),$AB$1006:$AQ$1006,0)), HYPERLINK("#",""), HYPERLINK(CONCATENATE("#metadata!", ADDRESS(INDEX($W$2:$W$1001,MATCH(ROWS($U$2:U818),$U$2:$U$1001,0),0), INDEX($AB$1004:$AQ$1004,1,MATCH(COLUMNS($AB$1006:AB1006),$AB$1006:$AQ$1006,0)))),"Fix")))</f>
        <v>0</v>
      </c>
      <c r="C818" s="4">
        <f>IF(OR(INDEX($V$2:$V$1001,MATCH(ROWS($U$2:U818),$U$2:$U$1001,0),1)&gt;=100000,INDEX($AB$1005:$AQ$1005,1,MATCH(COLUMNS($AB$1006:AC1006),$AB$1006:$AQ$1006,0))&gt;=100000), " ",IF(INDEX($AB$2:$AQ$1001,MATCH(ROWS($U$2:U818),$U$2:$U$1001,0),MATCH(COLUMNS($AB$1006:AC1006),$AB$1006:$AQ$1006,0)), HYPERLINK("#",""), HYPERLINK(CONCATENATE("#metadata!", ADDRESS(INDEX($W$2:$W$1001,MATCH(ROWS($U$2:U818),$U$2:$U$1001,0),0), INDEX($AB$1004:$AQ$1004,1,MATCH(COLUMNS($AB$1006:AC1006),$AB$1006:$AQ$1006,0)))),"Fix")))</f>
        <v>0</v>
      </c>
      <c r="D818" s="4">
        <f>IF(OR(INDEX($V$2:$V$1001,MATCH(ROWS($U$2:U818),$U$2:$U$1001,0),1)&gt;=100000,INDEX($AB$1005:$AQ$1005,1,MATCH(COLUMNS($AB$1006:AD1006),$AB$1006:$AQ$1006,0))&gt;=100000), " ",IF(INDEX($AB$2:$AQ$1001,MATCH(ROWS($U$2:U818),$U$2:$U$1001,0),MATCH(COLUMNS($AB$1006:AD1006),$AB$1006:$AQ$1006,0)), HYPERLINK("#",""), HYPERLINK(CONCATENATE("#metadata!", ADDRESS(INDEX($W$2:$W$1001,MATCH(ROWS($U$2:U818),$U$2:$U$1001,0),0), INDEX($AB$1004:$AQ$1004,1,MATCH(COLUMNS($AB$1006:AD1006),$AB$1006:$AQ$1006,0)))),"Fix")))</f>
        <v>0</v>
      </c>
      <c r="E818" s="4">
        <f>IF(OR(INDEX($V$2:$V$1001,MATCH(ROWS($U$2:U818),$U$2:$U$1001,0),1)&gt;=100000,INDEX($AB$1005:$AQ$1005,1,MATCH(COLUMNS($AB$1006:AE1006),$AB$1006:$AQ$1006,0))&gt;=100000), " ",IF(INDEX($AB$2:$AQ$1001,MATCH(ROWS($U$2:U818),$U$2:$U$1001,0),MATCH(COLUMNS($AB$1006:AE1006),$AB$1006:$AQ$1006,0)), HYPERLINK("#",""), HYPERLINK(CONCATENATE("#metadata!", ADDRESS(INDEX($W$2:$W$1001,MATCH(ROWS($U$2:U818),$U$2:$U$1001,0),0), INDEX($AB$1004:$AQ$1004,1,MATCH(COLUMNS($AB$1006:AE1006),$AB$1006:$AQ$1006,0)))),"Fix")))</f>
        <v>0</v>
      </c>
      <c r="F818" s="4">
        <f>IF(OR(INDEX($V$2:$V$1001,MATCH(ROWS($U$2:U818),$U$2:$U$1001,0),1)&gt;=100000,INDEX($AB$1005:$AQ$1005,1,MATCH(COLUMNS($AB$1006:AF1006),$AB$1006:$AQ$1006,0))&gt;=100000), " ",IF(INDEX($AB$2:$AQ$1001,MATCH(ROWS($U$2:U818),$U$2:$U$1001,0),MATCH(COLUMNS($AB$1006:AF1006),$AB$1006:$AQ$1006,0)), HYPERLINK("#",""), HYPERLINK(CONCATENATE("#metadata!", ADDRESS(INDEX($W$2:$W$1001,MATCH(ROWS($U$2:U818),$U$2:$U$1001,0),0), INDEX($AB$1004:$AQ$1004,1,MATCH(COLUMNS($AB$1006:AF1006),$AB$1006:$AQ$1006,0)))),"Fix")))</f>
        <v>0</v>
      </c>
      <c r="G818" s="4">
        <f>IF(OR(INDEX($V$2:$V$1001,MATCH(ROWS($U$2:U818),$U$2:$U$1001,0),1)&gt;=100000,INDEX($AB$1005:$AQ$1005,1,MATCH(COLUMNS($AB$1006:AG1006),$AB$1006:$AQ$1006,0))&gt;=100000), " ",IF(INDEX($AB$2:$AQ$1001,MATCH(ROWS($U$2:U818),$U$2:$U$1001,0),MATCH(COLUMNS($AB$1006:AG1006),$AB$1006:$AQ$1006,0)), HYPERLINK("#",""), HYPERLINK(CONCATENATE("#metadata!", ADDRESS(INDEX($W$2:$W$1001,MATCH(ROWS($U$2:U818),$U$2:$U$1001,0),0), INDEX($AB$1004:$AQ$1004,1,MATCH(COLUMNS($AB$1006:AG1006),$AB$1006:$AQ$1006,0)))),"Fix")))</f>
        <v>0</v>
      </c>
      <c r="H818" s="4">
        <f>IF(OR(INDEX($V$2:$V$1001,MATCH(ROWS($U$2:U818),$U$2:$U$1001,0),1)&gt;=100000,INDEX($AB$1005:$AQ$1005,1,MATCH(COLUMNS($AB$1006:AH1006),$AB$1006:$AQ$1006,0))&gt;=100000), " ",IF(INDEX($AB$2:$AQ$1001,MATCH(ROWS($U$2:U818),$U$2:$U$1001,0),MATCH(COLUMNS($AB$1006:AH1006),$AB$1006:$AQ$1006,0)), HYPERLINK("#",""), HYPERLINK(CONCATENATE("#metadata!", ADDRESS(INDEX($W$2:$W$1001,MATCH(ROWS($U$2:U818),$U$2:$U$1001,0),0), INDEX($AB$1004:$AQ$1004,1,MATCH(COLUMNS($AB$1006:AH1006),$AB$1006:$AQ$1006,0)))),"Fix")))</f>
        <v>0</v>
      </c>
      <c r="I818" s="4">
        <f>IF(OR(INDEX($V$2:$V$1001,MATCH(ROWS($U$2:U818),$U$2:$U$1001,0),1)&gt;=100000,INDEX($AB$1005:$AQ$1005,1,MATCH(COLUMNS($AB$1006:AI1006),$AB$1006:$AQ$1006,0))&gt;=100000), " ",IF(INDEX($AB$2:$AQ$1001,MATCH(ROWS($U$2:U818),$U$2:$U$1001,0),MATCH(COLUMNS($AB$1006:AI1006),$AB$1006:$AQ$1006,0)), HYPERLINK("#",""), HYPERLINK(CONCATENATE("#metadata!", ADDRESS(INDEX($W$2:$W$1001,MATCH(ROWS($U$2:U818),$U$2:$U$1001,0),0), INDEX($AB$1004:$AQ$1004,1,MATCH(COLUMNS($AB$1006:AI1006),$AB$1006:$AQ$1006,0)))),"Fix")))</f>
        <v>0</v>
      </c>
      <c r="J818" s="4">
        <f>IF(OR(INDEX($V$2:$V$1001,MATCH(ROWS($U$2:U818),$U$2:$U$1001,0),1)&gt;=100000,INDEX($AB$1005:$AQ$1005,1,MATCH(COLUMNS($AB$1006:AJ1006),$AB$1006:$AQ$1006,0))&gt;=100000), " ",IF(INDEX($AB$2:$AQ$1001,MATCH(ROWS($U$2:U818),$U$2:$U$1001,0),MATCH(COLUMNS($AB$1006:AJ1006),$AB$1006:$AQ$1006,0)), HYPERLINK("#",""), HYPERLINK(CONCATENATE("#metadata!", ADDRESS(INDEX($W$2:$W$1001,MATCH(ROWS($U$2:U818),$U$2:$U$1001,0),0), INDEX($AB$1004:$AQ$1004,1,MATCH(COLUMNS($AB$1006:AJ1006),$AB$1006:$AQ$1006,0)))),"Fix")))</f>
        <v>0</v>
      </c>
      <c r="K818" s="4">
        <f>IF(OR(INDEX($V$2:$V$1001,MATCH(ROWS($U$2:U818),$U$2:$U$1001,0),1)&gt;=100000,INDEX($AB$1005:$AQ$1005,1,MATCH(COLUMNS($AB$1006:AK1006),$AB$1006:$AQ$1006,0))&gt;=100000), " ",IF(INDEX($AB$2:$AQ$1001,MATCH(ROWS($U$2:U818),$U$2:$U$1001,0),MATCH(COLUMNS($AB$1006:AK1006),$AB$1006:$AQ$1006,0)), HYPERLINK("#",""), HYPERLINK(CONCATENATE("#metadata!", ADDRESS(INDEX($W$2:$W$1001,MATCH(ROWS($U$2:U818),$U$2:$U$1001,0),0), INDEX($AB$1004:$AQ$1004,1,MATCH(COLUMNS($AB$1006:AK1006),$AB$1006:$AQ$1006,0)))),"Fix")))</f>
        <v>0</v>
      </c>
      <c r="L818" s="4">
        <f>IF(OR(INDEX($V$2:$V$1001,MATCH(ROWS($U$2:U818),$U$2:$U$1001,0),1)&gt;=100000,INDEX($AB$1005:$AQ$1005,1,MATCH(COLUMNS($AB$1006:AL1006),$AB$1006:$AQ$1006,0))&gt;=100000), " ",IF(INDEX($AB$2:$AQ$1001,MATCH(ROWS($U$2:U818),$U$2:$U$1001,0),MATCH(COLUMNS($AB$1006:AL1006),$AB$1006:$AQ$1006,0)), HYPERLINK("#",""), HYPERLINK(CONCATENATE("#metadata!", ADDRESS(INDEX($W$2:$W$1001,MATCH(ROWS($U$2:U818),$U$2:$U$1001,0),0), INDEX($AB$1004:$AQ$1004,1,MATCH(COLUMNS($AB$1006:AL1006),$AB$1006:$AQ$1006,0)))),"Fix")))</f>
        <v>0</v>
      </c>
      <c r="M818" s="4">
        <f>IF(OR(INDEX($V$2:$V$1001,MATCH(ROWS($U$2:U818),$U$2:$U$1001,0),1)&gt;=100000,INDEX($AB$1005:$AQ$1005,1,MATCH(COLUMNS($AB$1006:AM1006),$AB$1006:$AQ$1006,0))&gt;=100000), " ",IF(INDEX($AB$2:$AQ$1001,MATCH(ROWS($U$2:U818),$U$2:$U$1001,0),MATCH(COLUMNS($AB$1006:AM1006),$AB$1006:$AQ$1006,0)), HYPERLINK("#",""), HYPERLINK(CONCATENATE("#metadata!", ADDRESS(INDEX($W$2:$W$1001,MATCH(ROWS($U$2:U818),$U$2:$U$1001,0),0), INDEX($AB$1004:$AQ$1004,1,MATCH(COLUMNS($AB$1006:AM1006),$AB$1006:$AQ$1006,0)))),"Fix")))</f>
        <v>0</v>
      </c>
      <c r="N818" s="4">
        <f>IF(OR(INDEX($V$2:$V$1001,MATCH(ROWS($U$2:U818),$U$2:$U$1001,0),1)&gt;=100000,INDEX($AB$1005:$AQ$1005,1,MATCH(COLUMNS($AB$1006:AN1006),$AB$1006:$AQ$1006,0))&gt;=100000), " ",IF(INDEX($AB$2:$AQ$1001,MATCH(ROWS($U$2:U818),$U$2:$U$1001,0),MATCH(COLUMNS($AB$1006:AN1006),$AB$1006:$AQ$1006,0)), HYPERLINK("#",""), HYPERLINK(CONCATENATE("#metadata!", ADDRESS(INDEX($W$2:$W$1001,MATCH(ROWS($U$2:U818),$U$2:$U$1001,0),0), INDEX($AB$1004:$AQ$1004,1,MATCH(COLUMNS($AB$1006:AN1006),$AB$1006:$AQ$1006,0)))),"Fix")))</f>
        <v>0</v>
      </c>
      <c r="O818" s="4">
        <f>IF(OR(INDEX($V$2:$V$1001,MATCH(ROWS($U$2:U818),$U$2:$U$1001,0),1)&gt;=100000,INDEX($AB$1005:$AQ$1005,1,MATCH(COLUMNS($AB$1006:AO1006),$AB$1006:$AQ$1006,0))&gt;=100000), " ",IF(INDEX($AB$2:$AQ$1001,MATCH(ROWS($U$2:U818),$U$2:$U$1001,0),MATCH(COLUMNS($AB$1006:AO1006),$AB$1006:$AQ$1006,0)), HYPERLINK("#",""), HYPERLINK(CONCATENATE("#metadata!", ADDRESS(INDEX($W$2:$W$1001,MATCH(ROWS($U$2:U818),$U$2:$U$1001,0),0), INDEX($AB$1004:$AQ$1004,1,MATCH(COLUMNS($AB$1006:AO1006),$AB$1006:$AQ$1006,0)))),"Fix")))</f>
        <v>0</v>
      </c>
      <c r="P818" s="4">
        <f>IF(OR(INDEX($V$2:$V$1001,MATCH(ROWS($U$2:U818),$U$2:$U$1001,0),1)&gt;=100000,INDEX($AB$1005:$AQ$1005,1,MATCH(COLUMNS($AB$1006:AP1006),$AB$1006:$AQ$1006,0))&gt;=100000), " ",IF(INDEX($AB$2:$AQ$1001,MATCH(ROWS($U$2:U818),$U$2:$U$1001,0),MATCH(COLUMNS($AB$1006:AP1006),$AB$1006:$AQ$1006,0)), HYPERLINK("#",""), HYPERLINK(CONCATENATE("#metadata!", ADDRESS(INDEX($W$2:$W$1001,MATCH(ROWS($U$2:U818),$U$2:$U$1001,0),0), INDEX($AB$1004:$AQ$1004,1,MATCH(COLUMNS($AB$1006:AP1006),$AB$1006:$AQ$1006,0)))),"Fix")))</f>
        <v>0</v>
      </c>
      <c r="Q818" s="4">
        <f>IF(OR(INDEX($V$2:$V$1001,MATCH(ROWS($U$2:U818),$U$2:$U$1001,0),1)&gt;=100000,INDEX($AB$1005:$AQ$1005,1,MATCH(COLUMNS($AB$1006:AQ1006),$AB$1006:$AQ$1006,0))&gt;=100000), " ",IF(INDEX($AB$2:$AQ$1001,MATCH(ROWS($U$2:U818),$U$2:$U$1001,0),MATCH(COLUMNS($AB$1006:AQ1006),$AB$1006:$AQ$1006,0)), HYPERLINK("#",""), HYPERLINK(CONCATENATE("#metadata!", ADDRESS(INDEX($W$2:$W$1001,MATCH(ROWS($U$2:U818),$U$2:$U$1001,0),0), INDEX($AB$1004:$AQ$1004,1,MATCH(COLUMNS($AB$1006:AQ1006),$AB$1006:$AQ$1006,0)))),"Fix")))</f>
        <v>0</v>
      </c>
      <c r="U818">
        <v>0</v>
      </c>
      <c r="V818">
        <v>0</v>
      </c>
      <c r="W818">
        <v>0</v>
      </c>
      <c r="X818">
        <f>IF(Y818,TRUE,AND(AB818:AQ818))</f>
        <v>0</v>
      </c>
      <c r="Y818">
        <f>COUNTBLANK(metadata!B818:Q818)=COLUMNS(metadata!B818:Q818)</f>
        <v>0</v>
      </c>
      <c r="Z818">
        <v>0</v>
      </c>
      <c r="AB818">
        <f>AND(IF(metadata!B818="",FALSE,TRUE),COUNTIF(metadata!B:B, metadata!B818) = 1,NOT(ISERROR(SUMPRODUCT(SEARCH(MID(metadata!B818,ROW(INDIRECT("1:"&amp;LEN(metadata!B818))), 1),"0123456789abcdefghijklmnopqrstuvwxyzABCDEFGHIJKLMNOPQRSTUVWXYZ.")))))</f>
        <v>0</v>
      </c>
      <c r="AC818">
        <f>OR(AND(IF(metadata!C818="",FALSE,TRUE),OR(exact(metadata!C818,"missing: not collected"),exact(metadata!C818,"missing: not provided"),exact(metadata!C818,"missing: restricted access"))),AND(IF(metadata!C818="",FALSE,TRUE),AND(AND(IFERROR(INT(LEFT(metadata!C818,4))&gt;1900,FALSE),IFERROR(INT(LEFT(metadata!C818,4))&lt;=YEAR(NOW()),FALSE)), OR(MID(metadata!C818,5,1)="", AND(AND(MID(metadata!C818,5,1)="-",IFERROR(INT(MID(metadata!C818,6,1))&gt;=0,FALSE),IFERROR(INT(MID(metadata!C818,6,1))&lt;=1,FALSE),NOT(MID(metadata!C818,7,1)=""),IFERROR(INT(MID(metadata!C818,6,2))&gt;=1,FALSE),IFERROR(INT(MID(metadata!C818,6,2))&lt;=12,FALSE)), OR(MID(metadata!C818,8,1)="", AND(AND(MID(metadata!C818,8,1)="-",IFERROR(INT(MID(metadata!C818,9,1))&gt;=0,FALSE),IFERROR(INT(MID(metadata!C818,9,1))&lt;=3,FALSE),NOT(MID(metadata!C818,10,1)=""),IFERROR(INT(MID(metadata!C818,9,2))&gt;=1,FALSE),IFERROR(INT(MID(metadata!C818,9,2))&lt;=31,FALSE)), OR(MID(metadata!C818,11,1)="", AND(AND(MID(metadata!C818,11,1)=" ",IFERROR(INT(MID(metadata!C818,12,1))&gt;=0,FALSE),IFERROR(INT(MID(metadata!C818,12,1))&lt;=2,FALSE),NOT(MID(metadata!C818,13,1)=""),IFERROR(INT(MID(metadata!C818,12,2))&gt;=0,FALSE),IFERROR(INT(MID(metadata!C818,12,2))&lt;=23,FALSE)), OR(MID(metadata!C818,14,1)="", AND(AND(MID(metadata!C818,14,1)=":",IFERROR(INT(MID(metadata!C818,15,1))&gt;=0,FALSE),IFERROR(INT(MID(metadata!C818,15,1))&lt;=5,FALSE),NOT(MID(metadata!C818,16,1)=""),IFERROR(INT(MID(metadata!C818,15,2))&gt;=0,FALSE),IFERROR(INT(MID(metadata!C818,15,2))&lt;=59,FALSE)), OR(MID(metadata!C818,17,1)="", AND(AND(MID(metadata!C818,17,1)=":",IFERROR(INT(MID(metadata!C818,18,1))&gt;=0,FALSE),IFERROR(INT(MID(metadata!C818,18,1))&lt;=5,FALSE),NOT(MID(metadata!C818,19,1)=""),IFERROR(INT(MID(metadata!C818,18,2))&gt;=0,FALSE),IFERROR(INT(MID(metadata!C818,18,2))&lt;=59,FALSE)), LEN(metadata!C818)&lt;=19)))))))))))))</f>
        <v>0</v>
      </c>
      <c r="AD818">
        <f>IF(metadata!D818="",FALSE,TRUE)</f>
        <v>0</v>
      </c>
      <c r="AE818">
        <f>OR(AND(IF(metadata!E818="",FALSE,TRUE),OR(exact(metadata!E818,"missing: not collected"),exact(metadata!E818,"missing: not provided"))),AND(IF(metadata!E818="",FALSE,TRUE),OR(exact(metadata!E818,"TRUE"),exact(metadata!E818,"FALSE"))))</f>
        <v>0</v>
      </c>
      <c r="AF818">
        <f>IF(metadata!F818="",FALSE,TRUE)</f>
        <v>0</v>
      </c>
      <c r="AG818">
        <f>IF(metadata!G818="",FALSE,TRUE)</f>
        <v>0</v>
      </c>
      <c r="AH818">
        <f>IF(metadata!H818="",FALSE,TRUE)</f>
        <v>0</v>
      </c>
      <c r="AI818">
        <f>OR(AND(IF(metadata!I818="",FALSE,TRUE),OR(exact(metadata!I818,"missing: not collected"),exact(metadata!I818,"missing: not provided"),exact(metadata!I818,"missing: restricted access"))),AND(IF(metadata!I818="",FALSE,TRUE),OR(exact(metadata!I818,"air"),exact(metadata!I818,"built environment"),exact(metadata!I818,"host-associated"),exact(metadata!I818,"human-associated"),exact(metadata!I818,"human-skin"),exact(metadata!I818,"human-oral"),exact(metadata!I818,"human-gut"),exact(metadata!I818,"human-vaginal"),exact(metadata!I818,"microbial mat/biofilm"),exact(metadata!I818,"misc environment"),exact(metadata!I818,"plant-associated"),exact(metadata!I818,"sediment"),exact(metadata!I818,"soil"),exact(metadata!I818,"wastewater/sludge"),exact(metadata!I818,"water"))))</f>
        <v>0</v>
      </c>
      <c r="AJ818">
        <f>IF(metadata!J818="",FALSE,TRUE)</f>
        <v>0</v>
      </c>
      <c r="AK818">
        <f>OR(AND(IF(metadata!K818="",FALSE,TRUE),OR(exact(metadata!K818,"missing: not collected"),exact(metadata!K818,"missing: not provided"),exact(metadata!K818,"missing: restricted access"))),AND(IF(metadata!K818="",FALSE,ISNUMBER(VALUE(metadata!K818))),metadata!K818&gt;=-90.00,metadata!K818&lt;=90.00))</f>
        <v>0</v>
      </c>
      <c r="AL818">
        <f>OR(AND(IF(metadata!L818="",FALSE,TRUE),OR(exact(metadata!L818,"missing: not collected"),exact(metadata!L818,"missing: not provided"),exact(metadata!L818,"missing: restricted access"))),AND(IF(metadata!L818="",FALSE,ISNUMBER(VALUE(metadata!L818))),metadata!L818&gt;=-180.00,metadata!L818&lt;=180.00))</f>
        <v>0</v>
      </c>
      <c r="AM818">
        <f>IF(metadata!M818="",FALSE,TRUE)</f>
        <v>0</v>
      </c>
      <c r="AN818">
        <f>OR(AND(IF(metadata!N818="",FALSE,TRUE),OR(exact(metadata!N818,"missing: not collected"),exact(metadata!N818,"missing: not provided"),exact(metadata!N818,"missing: restricted access"))),AND(IF(metadata!N818="",FALSE,TRUE),OR(exact(metadata!N818,"TRUE"),exact(metadata!N818,"FALSE"))))</f>
        <v>0</v>
      </c>
      <c r="AO818">
        <f>IF(metadata!O818="",FALSE,TRUE)</f>
        <v>0</v>
      </c>
      <c r="AP818">
        <f>OR(AND(IF(metadata!P818="",FALSE,TRUE),OR(exact(metadata!P818,"missing: not collected"),exact(metadata!P818,"missing: not provided"))),AND(IF(metadata!P818="",FALSE,IF(ISERROR(INT(metadata!P818)),FALSE,INT(metadata!P818)=metadata!P818)),metadata!P818&gt;0))</f>
        <v>0</v>
      </c>
      <c r="AQ818">
        <f>IF(metadata!Q818="",FALSE,TRUE)</f>
        <v>0</v>
      </c>
    </row>
    <row r="819" spans="1:43">
      <c r="A819" s="5">
        <f>IF(B819=" "," ",HYPERLINK(CONCATENATE("#metadata!",ADDRESS(INDEX($W$2:$W$1001,MATCH(ROWS($U$2:U819),$U$2:$U$1001,0),0),1)),INDEX($Z$2:$Z$1001,MATCH(ROWS($U$2:U819),$U$2:$U$1001,0),0)))</f>
        <v>0</v>
      </c>
      <c r="B819" s="4">
        <f>IF(OR(INDEX($V$2:$V$1001,MATCH(ROWS($U$2:U819),$U$2:$U$1001,0),1)&gt;=100000,INDEX($AB$1005:$AQ$1005,1,MATCH(COLUMNS($AB$1006:AB1006),$AB$1006:$AQ$1006,0))&gt;=100000), " ",IF(INDEX($AB$2:$AQ$1001,MATCH(ROWS($U$2:U819),$U$2:$U$1001,0),MATCH(COLUMNS($AB$1006:AB1006),$AB$1006:$AQ$1006,0)), HYPERLINK("#",""), HYPERLINK(CONCATENATE("#metadata!", ADDRESS(INDEX($W$2:$W$1001,MATCH(ROWS($U$2:U819),$U$2:$U$1001,0),0), INDEX($AB$1004:$AQ$1004,1,MATCH(COLUMNS($AB$1006:AB1006),$AB$1006:$AQ$1006,0)))),"Fix")))</f>
        <v>0</v>
      </c>
      <c r="C819" s="4">
        <f>IF(OR(INDEX($V$2:$V$1001,MATCH(ROWS($U$2:U819),$U$2:$U$1001,0),1)&gt;=100000,INDEX($AB$1005:$AQ$1005,1,MATCH(COLUMNS($AB$1006:AC1006),$AB$1006:$AQ$1006,0))&gt;=100000), " ",IF(INDEX($AB$2:$AQ$1001,MATCH(ROWS($U$2:U819),$U$2:$U$1001,0),MATCH(COLUMNS($AB$1006:AC1006),$AB$1006:$AQ$1006,0)), HYPERLINK("#",""), HYPERLINK(CONCATENATE("#metadata!", ADDRESS(INDEX($W$2:$W$1001,MATCH(ROWS($U$2:U819),$U$2:$U$1001,0),0), INDEX($AB$1004:$AQ$1004,1,MATCH(COLUMNS($AB$1006:AC1006),$AB$1006:$AQ$1006,0)))),"Fix")))</f>
        <v>0</v>
      </c>
      <c r="D819" s="4">
        <f>IF(OR(INDEX($V$2:$V$1001,MATCH(ROWS($U$2:U819),$U$2:$U$1001,0),1)&gt;=100000,INDEX($AB$1005:$AQ$1005,1,MATCH(COLUMNS($AB$1006:AD1006),$AB$1006:$AQ$1006,0))&gt;=100000), " ",IF(INDEX($AB$2:$AQ$1001,MATCH(ROWS($U$2:U819),$U$2:$U$1001,0),MATCH(COLUMNS($AB$1006:AD1006),$AB$1006:$AQ$1006,0)), HYPERLINK("#",""), HYPERLINK(CONCATENATE("#metadata!", ADDRESS(INDEX($W$2:$W$1001,MATCH(ROWS($U$2:U819),$U$2:$U$1001,0),0), INDEX($AB$1004:$AQ$1004,1,MATCH(COLUMNS($AB$1006:AD1006),$AB$1006:$AQ$1006,0)))),"Fix")))</f>
        <v>0</v>
      </c>
      <c r="E819" s="4">
        <f>IF(OR(INDEX($V$2:$V$1001,MATCH(ROWS($U$2:U819),$U$2:$U$1001,0),1)&gt;=100000,INDEX($AB$1005:$AQ$1005,1,MATCH(COLUMNS($AB$1006:AE1006),$AB$1006:$AQ$1006,0))&gt;=100000), " ",IF(INDEX($AB$2:$AQ$1001,MATCH(ROWS($U$2:U819),$U$2:$U$1001,0),MATCH(COLUMNS($AB$1006:AE1006),$AB$1006:$AQ$1006,0)), HYPERLINK("#",""), HYPERLINK(CONCATENATE("#metadata!", ADDRESS(INDEX($W$2:$W$1001,MATCH(ROWS($U$2:U819),$U$2:$U$1001,0),0), INDEX($AB$1004:$AQ$1004,1,MATCH(COLUMNS($AB$1006:AE1006),$AB$1006:$AQ$1006,0)))),"Fix")))</f>
        <v>0</v>
      </c>
      <c r="F819" s="4">
        <f>IF(OR(INDEX($V$2:$V$1001,MATCH(ROWS($U$2:U819),$U$2:$U$1001,0),1)&gt;=100000,INDEX($AB$1005:$AQ$1005,1,MATCH(COLUMNS($AB$1006:AF1006),$AB$1006:$AQ$1006,0))&gt;=100000), " ",IF(INDEX($AB$2:$AQ$1001,MATCH(ROWS($U$2:U819),$U$2:$U$1001,0),MATCH(COLUMNS($AB$1006:AF1006),$AB$1006:$AQ$1006,0)), HYPERLINK("#",""), HYPERLINK(CONCATENATE("#metadata!", ADDRESS(INDEX($W$2:$W$1001,MATCH(ROWS($U$2:U819),$U$2:$U$1001,0),0), INDEX($AB$1004:$AQ$1004,1,MATCH(COLUMNS($AB$1006:AF1006),$AB$1006:$AQ$1006,0)))),"Fix")))</f>
        <v>0</v>
      </c>
      <c r="G819" s="4">
        <f>IF(OR(INDEX($V$2:$V$1001,MATCH(ROWS($U$2:U819),$U$2:$U$1001,0),1)&gt;=100000,INDEX($AB$1005:$AQ$1005,1,MATCH(COLUMNS($AB$1006:AG1006),$AB$1006:$AQ$1006,0))&gt;=100000), " ",IF(INDEX($AB$2:$AQ$1001,MATCH(ROWS($U$2:U819),$U$2:$U$1001,0),MATCH(COLUMNS($AB$1006:AG1006),$AB$1006:$AQ$1006,0)), HYPERLINK("#",""), HYPERLINK(CONCATENATE("#metadata!", ADDRESS(INDEX($W$2:$W$1001,MATCH(ROWS($U$2:U819),$U$2:$U$1001,0),0), INDEX($AB$1004:$AQ$1004,1,MATCH(COLUMNS($AB$1006:AG1006),$AB$1006:$AQ$1006,0)))),"Fix")))</f>
        <v>0</v>
      </c>
      <c r="H819" s="4">
        <f>IF(OR(INDEX($V$2:$V$1001,MATCH(ROWS($U$2:U819),$U$2:$U$1001,0),1)&gt;=100000,INDEX($AB$1005:$AQ$1005,1,MATCH(COLUMNS($AB$1006:AH1006),$AB$1006:$AQ$1006,0))&gt;=100000), " ",IF(INDEX($AB$2:$AQ$1001,MATCH(ROWS($U$2:U819),$U$2:$U$1001,0),MATCH(COLUMNS($AB$1006:AH1006),$AB$1006:$AQ$1006,0)), HYPERLINK("#",""), HYPERLINK(CONCATENATE("#metadata!", ADDRESS(INDEX($W$2:$W$1001,MATCH(ROWS($U$2:U819),$U$2:$U$1001,0),0), INDEX($AB$1004:$AQ$1004,1,MATCH(COLUMNS($AB$1006:AH1006),$AB$1006:$AQ$1006,0)))),"Fix")))</f>
        <v>0</v>
      </c>
      <c r="I819" s="4">
        <f>IF(OR(INDEX($V$2:$V$1001,MATCH(ROWS($U$2:U819),$U$2:$U$1001,0),1)&gt;=100000,INDEX($AB$1005:$AQ$1005,1,MATCH(COLUMNS($AB$1006:AI1006),$AB$1006:$AQ$1006,0))&gt;=100000), " ",IF(INDEX($AB$2:$AQ$1001,MATCH(ROWS($U$2:U819),$U$2:$U$1001,0),MATCH(COLUMNS($AB$1006:AI1006),$AB$1006:$AQ$1006,0)), HYPERLINK("#",""), HYPERLINK(CONCATENATE("#metadata!", ADDRESS(INDEX($W$2:$W$1001,MATCH(ROWS($U$2:U819),$U$2:$U$1001,0),0), INDEX($AB$1004:$AQ$1004,1,MATCH(COLUMNS($AB$1006:AI1006),$AB$1006:$AQ$1006,0)))),"Fix")))</f>
        <v>0</v>
      </c>
      <c r="J819" s="4">
        <f>IF(OR(INDEX($V$2:$V$1001,MATCH(ROWS($U$2:U819),$U$2:$U$1001,0),1)&gt;=100000,INDEX($AB$1005:$AQ$1005,1,MATCH(COLUMNS($AB$1006:AJ1006),$AB$1006:$AQ$1006,0))&gt;=100000), " ",IF(INDEX($AB$2:$AQ$1001,MATCH(ROWS($U$2:U819),$U$2:$U$1001,0),MATCH(COLUMNS($AB$1006:AJ1006),$AB$1006:$AQ$1006,0)), HYPERLINK("#",""), HYPERLINK(CONCATENATE("#metadata!", ADDRESS(INDEX($W$2:$W$1001,MATCH(ROWS($U$2:U819),$U$2:$U$1001,0),0), INDEX($AB$1004:$AQ$1004,1,MATCH(COLUMNS($AB$1006:AJ1006),$AB$1006:$AQ$1006,0)))),"Fix")))</f>
        <v>0</v>
      </c>
      <c r="K819" s="4">
        <f>IF(OR(INDEX($V$2:$V$1001,MATCH(ROWS($U$2:U819),$U$2:$U$1001,0),1)&gt;=100000,INDEX($AB$1005:$AQ$1005,1,MATCH(COLUMNS($AB$1006:AK1006),$AB$1006:$AQ$1006,0))&gt;=100000), " ",IF(INDEX($AB$2:$AQ$1001,MATCH(ROWS($U$2:U819),$U$2:$U$1001,0),MATCH(COLUMNS($AB$1006:AK1006),$AB$1006:$AQ$1006,0)), HYPERLINK("#",""), HYPERLINK(CONCATENATE("#metadata!", ADDRESS(INDEX($W$2:$W$1001,MATCH(ROWS($U$2:U819),$U$2:$U$1001,0),0), INDEX($AB$1004:$AQ$1004,1,MATCH(COLUMNS($AB$1006:AK1006),$AB$1006:$AQ$1006,0)))),"Fix")))</f>
        <v>0</v>
      </c>
      <c r="L819" s="4">
        <f>IF(OR(INDEX($V$2:$V$1001,MATCH(ROWS($U$2:U819),$U$2:$U$1001,0),1)&gt;=100000,INDEX($AB$1005:$AQ$1005,1,MATCH(COLUMNS($AB$1006:AL1006),$AB$1006:$AQ$1006,0))&gt;=100000), " ",IF(INDEX($AB$2:$AQ$1001,MATCH(ROWS($U$2:U819),$U$2:$U$1001,0),MATCH(COLUMNS($AB$1006:AL1006),$AB$1006:$AQ$1006,0)), HYPERLINK("#",""), HYPERLINK(CONCATENATE("#metadata!", ADDRESS(INDEX($W$2:$W$1001,MATCH(ROWS($U$2:U819),$U$2:$U$1001,0),0), INDEX($AB$1004:$AQ$1004,1,MATCH(COLUMNS($AB$1006:AL1006),$AB$1006:$AQ$1006,0)))),"Fix")))</f>
        <v>0</v>
      </c>
      <c r="M819" s="4">
        <f>IF(OR(INDEX($V$2:$V$1001,MATCH(ROWS($U$2:U819),$U$2:$U$1001,0),1)&gt;=100000,INDEX($AB$1005:$AQ$1005,1,MATCH(COLUMNS($AB$1006:AM1006),$AB$1006:$AQ$1006,0))&gt;=100000), " ",IF(INDEX($AB$2:$AQ$1001,MATCH(ROWS($U$2:U819),$U$2:$U$1001,0),MATCH(COLUMNS($AB$1006:AM1006),$AB$1006:$AQ$1006,0)), HYPERLINK("#",""), HYPERLINK(CONCATENATE("#metadata!", ADDRESS(INDEX($W$2:$W$1001,MATCH(ROWS($U$2:U819),$U$2:$U$1001,0),0), INDEX($AB$1004:$AQ$1004,1,MATCH(COLUMNS($AB$1006:AM1006),$AB$1006:$AQ$1006,0)))),"Fix")))</f>
        <v>0</v>
      </c>
      <c r="N819" s="4">
        <f>IF(OR(INDEX($V$2:$V$1001,MATCH(ROWS($U$2:U819),$U$2:$U$1001,0),1)&gt;=100000,INDEX($AB$1005:$AQ$1005,1,MATCH(COLUMNS($AB$1006:AN1006),$AB$1006:$AQ$1006,0))&gt;=100000), " ",IF(INDEX($AB$2:$AQ$1001,MATCH(ROWS($U$2:U819),$U$2:$U$1001,0),MATCH(COLUMNS($AB$1006:AN1006),$AB$1006:$AQ$1006,0)), HYPERLINK("#",""), HYPERLINK(CONCATENATE("#metadata!", ADDRESS(INDEX($W$2:$W$1001,MATCH(ROWS($U$2:U819),$U$2:$U$1001,0),0), INDEX($AB$1004:$AQ$1004,1,MATCH(COLUMNS($AB$1006:AN1006),$AB$1006:$AQ$1006,0)))),"Fix")))</f>
        <v>0</v>
      </c>
      <c r="O819" s="4">
        <f>IF(OR(INDEX($V$2:$V$1001,MATCH(ROWS($U$2:U819),$U$2:$U$1001,0),1)&gt;=100000,INDEX($AB$1005:$AQ$1005,1,MATCH(COLUMNS($AB$1006:AO1006),$AB$1006:$AQ$1006,0))&gt;=100000), " ",IF(INDEX($AB$2:$AQ$1001,MATCH(ROWS($U$2:U819),$U$2:$U$1001,0),MATCH(COLUMNS($AB$1006:AO1006),$AB$1006:$AQ$1006,0)), HYPERLINK("#",""), HYPERLINK(CONCATENATE("#metadata!", ADDRESS(INDEX($W$2:$W$1001,MATCH(ROWS($U$2:U819),$U$2:$U$1001,0),0), INDEX($AB$1004:$AQ$1004,1,MATCH(COLUMNS($AB$1006:AO1006),$AB$1006:$AQ$1006,0)))),"Fix")))</f>
        <v>0</v>
      </c>
      <c r="P819" s="4">
        <f>IF(OR(INDEX($V$2:$V$1001,MATCH(ROWS($U$2:U819),$U$2:$U$1001,0),1)&gt;=100000,INDEX($AB$1005:$AQ$1005,1,MATCH(COLUMNS($AB$1006:AP1006),$AB$1006:$AQ$1006,0))&gt;=100000), " ",IF(INDEX($AB$2:$AQ$1001,MATCH(ROWS($U$2:U819),$U$2:$U$1001,0),MATCH(COLUMNS($AB$1006:AP1006),$AB$1006:$AQ$1006,0)), HYPERLINK("#",""), HYPERLINK(CONCATENATE("#metadata!", ADDRESS(INDEX($W$2:$W$1001,MATCH(ROWS($U$2:U819),$U$2:$U$1001,0),0), INDEX($AB$1004:$AQ$1004,1,MATCH(COLUMNS($AB$1006:AP1006),$AB$1006:$AQ$1006,0)))),"Fix")))</f>
        <v>0</v>
      </c>
      <c r="Q819" s="4">
        <f>IF(OR(INDEX($V$2:$V$1001,MATCH(ROWS($U$2:U819),$U$2:$U$1001,0),1)&gt;=100000,INDEX($AB$1005:$AQ$1005,1,MATCH(COLUMNS($AB$1006:AQ1006),$AB$1006:$AQ$1006,0))&gt;=100000), " ",IF(INDEX($AB$2:$AQ$1001,MATCH(ROWS($U$2:U819),$U$2:$U$1001,0),MATCH(COLUMNS($AB$1006:AQ1006),$AB$1006:$AQ$1006,0)), HYPERLINK("#",""), HYPERLINK(CONCATENATE("#metadata!", ADDRESS(INDEX($W$2:$W$1001,MATCH(ROWS($U$2:U819),$U$2:$U$1001,0),0), INDEX($AB$1004:$AQ$1004,1,MATCH(COLUMNS($AB$1006:AQ1006),$AB$1006:$AQ$1006,0)))),"Fix")))</f>
        <v>0</v>
      </c>
      <c r="U819">
        <v>0</v>
      </c>
      <c r="V819">
        <v>0</v>
      </c>
      <c r="W819">
        <v>0</v>
      </c>
      <c r="X819">
        <f>IF(Y819,TRUE,AND(AB819:AQ819))</f>
        <v>0</v>
      </c>
      <c r="Y819">
        <f>COUNTBLANK(metadata!B819:Q819)=COLUMNS(metadata!B819:Q819)</f>
        <v>0</v>
      </c>
      <c r="Z819">
        <v>0</v>
      </c>
      <c r="AB819">
        <f>AND(IF(metadata!B819="",FALSE,TRUE),COUNTIF(metadata!B:B, metadata!B819) = 1,NOT(ISERROR(SUMPRODUCT(SEARCH(MID(metadata!B819,ROW(INDIRECT("1:"&amp;LEN(metadata!B819))), 1),"0123456789abcdefghijklmnopqrstuvwxyzABCDEFGHIJKLMNOPQRSTUVWXYZ.")))))</f>
        <v>0</v>
      </c>
      <c r="AC819">
        <f>OR(AND(IF(metadata!C819="",FALSE,TRUE),OR(exact(metadata!C819,"missing: not collected"),exact(metadata!C819,"missing: not provided"),exact(metadata!C819,"missing: restricted access"))),AND(IF(metadata!C819="",FALSE,TRUE),AND(AND(IFERROR(INT(LEFT(metadata!C819,4))&gt;1900,FALSE),IFERROR(INT(LEFT(metadata!C819,4))&lt;=YEAR(NOW()),FALSE)), OR(MID(metadata!C819,5,1)="", AND(AND(MID(metadata!C819,5,1)="-",IFERROR(INT(MID(metadata!C819,6,1))&gt;=0,FALSE),IFERROR(INT(MID(metadata!C819,6,1))&lt;=1,FALSE),NOT(MID(metadata!C819,7,1)=""),IFERROR(INT(MID(metadata!C819,6,2))&gt;=1,FALSE),IFERROR(INT(MID(metadata!C819,6,2))&lt;=12,FALSE)), OR(MID(metadata!C819,8,1)="", AND(AND(MID(metadata!C819,8,1)="-",IFERROR(INT(MID(metadata!C819,9,1))&gt;=0,FALSE),IFERROR(INT(MID(metadata!C819,9,1))&lt;=3,FALSE),NOT(MID(metadata!C819,10,1)=""),IFERROR(INT(MID(metadata!C819,9,2))&gt;=1,FALSE),IFERROR(INT(MID(metadata!C819,9,2))&lt;=31,FALSE)), OR(MID(metadata!C819,11,1)="", AND(AND(MID(metadata!C819,11,1)=" ",IFERROR(INT(MID(metadata!C819,12,1))&gt;=0,FALSE),IFERROR(INT(MID(metadata!C819,12,1))&lt;=2,FALSE),NOT(MID(metadata!C819,13,1)=""),IFERROR(INT(MID(metadata!C819,12,2))&gt;=0,FALSE),IFERROR(INT(MID(metadata!C819,12,2))&lt;=23,FALSE)), OR(MID(metadata!C819,14,1)="", AND(AND(MID(metadata!C819,14,1)=":",IFERROR(INT(MID(metadata!C819,15,1))&gt;=0,FALSE),IFERROR(INT(MID(metadata!C819,15,1))&lt;=5,FALSE),NOT(MID(metadata!C819,16,1)=""),IFERROR(INT(MID(metadata!C819,15,2))&gt;=0,FALSE),IFERROR(INT(MID(metadata!C819,15,2))&lt;=59,FALSE)), OR(MID(metadata!C819,17,1)="", AND(AND(MID(metadata!C819,17,1)=":",IFERROR(INT(MID(metadata!C819,18,1))&gt;=0,FALSE),IFERROR(INT(MID(metadata!C819,18,1))&lt;=5,FALSE),NOT(MID(metadata!C819,19,1)=""),IFERROR(INT(MID(metadata!C819,18,2))&gt;=0,FALSE),IFERROR(INT(MID(metadata!C819,18,2))&lt;=59,FALSE)), LEN(metadata!C819)&lt;=19)))))))))))))</f>
        <v>0</v>
      </c>
      <c r="AD819">
        <f>IF(metadata!D819="",FALSE,TRUE)</f>
        <v>0</v>
      </c>
      <c r="AE819">
        <f>OR(AND(IF(metadata!E819="",FALSE,TRUE),OR(exact(metadata!E819,"missing: not collected"),exact(metadata!E819,"missing: not provided"))),AND(IF(metadata!E819="",FALSE,TRUE),OR(exact(metadata!E819,"TRUE"),exact(metadata!E819,"FALSE"))))</f>
        <v>0</v>
      </c>
      <c r="AF819">
        <f>IF(metadata!F819="",FALSE,TRUE)</f>
        <v>0</v>
      </c>
      <c r="AG819">
        <f>IF(metadata!G819="",FALSE,TRUE)</f>
        <v>0</v>
      </c>
      <c r="AH819">
        <f>IF(metadata!H819="",FALSE,TRUE)</f>
        <v>0</v>
      </c>
      <c r="AI819">
        <f>OR(AND(IF(metadata!I819="",FALSE,TRUE),OR(exact(metadata!I819,"missing: not collected"),exact(metadata!I819,"missing: not provided"),exact(metadata!I819,"missing: restricted access"))),AND(IF(metadata!I819="",FALSE,TRUE),OR(exact(metadata!I819,"air"),exact(metadata!I819,"built environment"),exact(metadata!I819,"host-associated"),exact(metadata!I819,"human-associated"),exact(metadata!I819,"human-skin"),exact(metadata!I819,"human-oral"),exact(metadata!I819,"human-gut"),exact(metadata!I819,"human-vaginal"),exact(metadata!I819,"microbial mat/biofilm"),exact(metadata!I819,"misc environment"),exact(metadata!I819,"plant-associated"),exact(metadata!I819,"sediment"),exact(metadata!I819,"soil"),exact(metadata!I819,"wastewater/sludge"),exact(metadata!I819,"water"))))</f>
        <v>0</v>
      </c>
      <c r="AJ819">
        <f>IF(metadata!J819="",FALSE,TRUE)</f>
        <v>0</v>
      </c>
      <c r="AK819">
        <f>OR(AND(IF(metadata!K819="",FALSE,TRUE),OR(exact(metadata!K819,"missing: not collected"),exact(metadata!K819,"missing: not provided"),exact(metadata!K819,"missing: restricted access"))),AND(IF(metadata!K819="",FALSE,ISNUMBER(VALUE(metadata!K819))),metadata!K819&gt;=-90.00,metadata!K819&lt;=90.00))</f>
        <v>0</v>
      </c>
      <c r="AL819">
        <f>OR(AND(IF(metadata!L819="",FALSE,TRUE),OR(exact(metadata!L819,"missing: not collected"),exact(metadata!L819,"missing: not provided"),exact(metadata!L819,"missing: restricted access"))),AND(IF(metadata!L819="",FALSE,ISNUMBER(VALUE(metadata!L819))),metadata!L819&gt;=-180.00,metadata!L819&lt;=180.00))</f>
        <v>0</v>
      </c>
      <c r="AM819">
        <f>IF(metadata!M819="",FALSE,TRUE)</f>
        <v>0</v>
      </c>
      <c r="AN819">
        <f>OR(AND(IF(metadata!N819="",FALSE,TRUE),OR(exact(metadata!N819,"missing: not collected"),exact(metadata!N819,"missing: not provided"),exact(metadata!N819,"missing: restricted access"))),AND(IF(metadata!N819="",FALSE,TRUE),OR(exact(metadata!N819,"TRUE"),exact(metadata!N819,"FALSE"))))</f>
        <v>0</v>
      </c>
      <c r="AO819">
        <f>IF(metadata!O819="",FALSE,TRUE)</f>
        <v>0</v>
      </c>
      <c r="AP819">
        <f>OR(AND(IF(metadata!P819="",FALSE,TRUE),OR(exact(metadata!P819,"missing: not collected"),exact(metadata!P819,"missing: not provided"))),AND(IF(metadata!P819="",FALSE,IF(ISERROR(INT(metadata!P819)),FALSE,INT(metadata!P819)=metadata!P819)),metadata!P819&gt;0))</f>
        <v>0</v>
      </c>
      <c r="AQ819">
        <f>IF(metadata!Q819="",FALSE,TRUE)</f>
        <v>0</v>
      </c>
    </row>
    <row r="820" spans="1:43">
      <c r="A820" s="5">
        <f>IF(B820=" "," ",HYPERLINK(CONCATENATE("#metadata!",ADDRESS(INDEX($W$2:$W$1001,MATCH(ROWS($U$2:U820),$U$2:$U$1001,0),0),1)),INDEX($Z$2:$Z$1001,MATCH(ROWS($U$2:U820),$U$2:$U$1001,0),0)))</f>
        <v>0</v>
      </c>
      <c r="B820" s="4">
        <f>IF(OR(INDEX($V$2:$V$1001,MATCH(ROWS($U$2:U820),$U$2:$U$1001,0),1)&gt;=100000,INDEX($AB$1005:$AQ$1005,1,MATCH(COLUMNS($AB$1006:AB1006),$AB$1006:$AQ$1006,0))&gt;=100000), " ",IF(INDEX($AB$2:$AQ$1001,MATCH(ROWS($U$2:U820),$U$2:$U$1001,0),MATCH(COLUMNS($AB$1006:AB1006),$AB$1006:$AQ$1006,0)), HYPERLINK("#",""), HYPERLINK(CONCATENATE("#metadata!", ADDRESS(INDEX($W$2:$W$1001,MATCH(ROWS($U$2:U820),$U$2:$U$1001,0),0), INDEX($AB$1004:$AQ$1004,1,MATCH(COLUMNS($AB$1006:AB1006),$AB$1006:$AQ$1006,0)))),"Fix")))</f>
        <v>0</v>
      </c>
      <c r="C820" s="4">
        <f>IF(OR(INDEX($V$2:$V$1001,MATCH(ROWS($U$2:U820),$U$2:$U$1001,0),1)&gt;=100000,INDEX($AB$1005:$AQ$1005,1,MATCH(COLUMNS($AB$1006:AC1006),$AB$1006:$AQ$1006,0))&gt;=100000), " ",IF(INDEX($AB$2:$AQ$1001,MATCH(ROWS($U$2:U820),$U$2:$U$1001,0),MATCH(COLUMNS($AB$1006:AC1006),$AB$1006:$AQ$1006,0)), HYPERLINK("#",""), HYPERLINK(CONCATENATE("#metadata!", ADDRESS(INDEX($W$2:$W$1001,MATCH(ROWS($U$2:U820),$U$2:$U$1001,0),0), INDEX($AB$1004:$AQ$1004,1,MATCH(COLUMNS($AB$1006:AC1006),$AB$1006:$AQ$1006,0)))),"Fix")))</f>
        <v>0</v>
      </c>
      <c r="D820" s="4">
        <f>IF(OR(INDEX($V$2:$V$1001,MATCH(ROWS($U$2:U820),$U$2:$U$1001,0),1)&gt;=100000,INDEX($AB$1005:$AQ$1005,1,MATCH(COLUMNS($AB$1006:AD1006),$AB$1006:$AQ$1006,0))&gt;=100000), " ",IF(INDEX($AB$2:$AQ$1001,MATCH(ROWS($U$2:U820),$U$2:$U$1001,0),MATCH(COLUMNS($AB$1006:AD1006),$AB$1006:$AQ$1006,0)), HYPERLINK("#",""), HYPERLINK(CONCATENATE("#metadata!", ADDRESS(INDEX($W$2:$W$1001,MATCH(ROWS($U$2:U820),$U$2:$U$1001,0),0), INDEX($AB$1004:$AQ$1004,1,MATCH(COLUMNS($AB$1006:AD1006),$AB$1006:$AQ$1006,0)))),"Fix")))</f>
        <v>0</v>
      </c>
      <c r="E820" s="4">
        <f>IF(OR(INDEX($V$2:$V$1001,MATCH(ROWS($U$2:U820),$U$2:$U$1001,0),1)&gt;=100000,INDEX($AB$1005:$AQ$1005,1,MATCH(COLUMNS($AB$1006:AE1006),$AB$1006:$AQ$1006,0))&gt;=100000), " ",IF(INDEX($AB$2:$AQ$1001,MATCH(ROWS($U$2:U820),$U$2:$U$1001,0),MATCH(COLUMNS($AB$1006:AE1006),$AB$1006:$AQ$1006,0)), HYPERLINK("#",""), HYPERLINK(CONCATENATE("#metadata!", ADDRESS(INDEX($W$2:$W$1001,MATCH(ROWS($U$2:U820),$U$2:$U$1001,0),0), INDEX($AB$1004:$AQ$1004,1,MATCH(COLUMNS($AB$1006:AE1006),$AB$1006:$AQ$1006,0)))),"Fix")))</f>
        <v>0</v>
      </c>
      <c r="F820" s="4">
        <f>IF(OR(INDEX($V$2:$V$1001,MATCH(ROWS($U$2:U820),$U$2:$U$1001,0),1)&gt;=100000,INDEX($AB$1005:$AQ$1005,1,MATCH(COLUMNS($AB$1006:AF1006),$AB$1006:$AQ$1006,0))&gt;=100000), " ",IF(INDEX($AB$2:$AQ$1001,MATCH(ROWS($U$2:U820),$U$2:$U$1001,0),MATCH(COLUMNS($AB$1006:AF1006),$AB$1006:$AQ$1006,0)), HYPERLINK("#",""), HYPERLINK(CONCATENATE("#metadata!", ADDRESS(INDEX($W$2:$W$1001,MATCH(ROWS($U$2:U820),$U$2:$U$1001,0),0), INDEX($AB$1004:$AQ$1004,1,MATCH(COLUMNS($AB$1006:AF1006),$AB$1006:$AQ$1006,0)))),"Fix")))</f>
        <v>0</v>
      </c>
      <c r="G820" s="4">
        <f>IF(OR(INDEX($V$2:$V$1001,MATCH(ROWS($U$2:U820),$U$2:$U$1001,0),1)&gt;=100000,INDEX($AB$1005:$AQ$1005,1,MATCH(COLUMNS($AB$1006:AG1006),$AB$1006:$AQ$1006,0))&gt;=100000), " ",IF(INDEX($AB$2:$AQ$1001,MATCH(ROWS($U$2:U820),$U$2:$U$1001,0),MATCH(COLUMNS($AB$1006:AG1006),$AB$1006:$AQ$1006,0)), HYPERLINK("#",""), HYPERLINK(CONCATENATE("#metadata!", ADDRESS(INDEX($W$2:$W$1001,MATCH(ROWS($U$2:U820),$U$2:$U$1001,0),0), INDEX($AB$1004:$AQ$1004,1,MATCH(COLUMNS($AB$1006:AG1006),$AB$1006:$AQ$1006,0)))),"Fix")))</f>
        <v>0</v>
      </c>
      <c r="H820" s="4">
        <f>IF(OR(INDEX($V$2:$V$1001,MATCH(ROWS($U$2:U820),$U$2:$U$1001,0),1)&gt;=100000,INDEX($AB$1005:$AQ$1005,1,MATCH(COLUMNS($AB$1006:AH1006),$AB$1006:$AQ$1006,0))&gt;=100000), " ",IF(INDEX($AB$2:$AQ$1001,MATCH(ROWS($U$2:U820),$U$2:$U$1001,0),MATCH(COLUMNS($AB$1006:AH1006),$AB$1006:$AQ$1006,0)), HYPERLINK("#",""), HYPERLINK(CONCATENATE("#metadata!", ADDRESS(INDEX($W$2:$W$1001,MATCH(ROWS($U$2:U820),$U$2:$U$1001,0),0), INDEX($AB$1004:$AQ$1004,1,MATCH(COLUMNS($AB$1006:AH1006),$AB$1006:$AQ$1006,0)))),"Fix")))</f>
        <v>0</v>
      </c>
      <c r="I820" s="4">
        <f>IF(OR(INDEX($V$2:$V$1001,MATCH(ROWS($U$2:U820),$U$2:$U$1001,0),1)&gt;=100000,INDEX($AB$1005:$AQ$1005,1,MATCH(COLUMNS($AB$1006:AI1006),$AB$1006:$AQ$1006,0))&gt;=100000), " ",IF(INDEX($AB$2:$AQ$1001,MATCH(ROWS($U$2:U820),$U$2:$U$1001,0),MATCH(COLUMNS($AB$1006:AI1006),$AB$1006:$AQ$1006,0)), HYPERLINK("#",""), HYPERLINK(CONCATENATE("#metadata!", ADDRESS(INDEX($W$2:$W$1001,MATCH(ROWS($U$2:U820),$U$2:$U$1001,0),0), INDEX($AB$1004:$AQ$1004,1,MATCH(COLUMNS($AB$1006:AI1006),$AB$1006:$AQ$1006,0)))),"Fix")))</f>
        <v>0</v>
      </c>
      <c r="J820" s="4">
        <f>IF(OR(INDEX($V$2:$V$1001,MATCH(ROWS($U$2:U820),$U$2:$U$1001,0),1)&gt;=100000,INDEX($AB$1005:$AQ$1005,1,MATCH(COLUMNS($AB$1006:AJ1006),$AB$1006:$AQ$1006,0))&gt;=100000), " ",IF(INDEX($AB$2:$AQ$1001,MATCH(ROWS($U$2:U820),$U$2:$U$1001,0),MATCH(COLUMNS($AB$1006:AJ1006),$AB$1006:$AQ$1006,0)), HYPERLINK("#",""), HYPERLINK(CONCATENATE("#metadata!", ADDRESS(INDEX($W$2:$W$1001,MATCH(ROWS($U$2:U820),$U$2:$U$1001,0),0), INDEX($AB$1004:$AQ$1004,1,MATCH(COLUMNS($AB$1006:AJ1006),$AB$1006:$AQ$1006,0)))),"Fix")))</f>
        <v>0</v>
      </c>
      <c r="K820" s="4">
        <f>IF(OR(INDEX($V$2:$V$1001,MATCH(ROWS($U$2:U820),$U$2:$U$1001,0),1)&gt;=100000,INDEX($AB$1005:$AQ$1005,1,MATCH(COLUMNS($AB$1006:AK1006),$AB$1006:$AQ$1006,0))&gt;=100000), " ",IF(INDEX($AB$2:$AQ$1001,MATCH(ROWS($U$2:U820),$U$2:$U$1001,0),MATCH(COLUMNS($AB$1006:AK1006),$AB$1006:$AQ$1006,0)), HYPERLINK("#",""), HYPERLINK(CONCATENATE("#metadata!", ADDRESS(INDEX($W$2:$W$1001,MATCH(ROWS($U$2:U820),$U$2:$U$1001,0),0), INDEX($AB$1004:$AQ$1004,1,MATCH(COLUMNS($AB$1006:AK1006),$AB$1006:$AQ$1006,0)))),"Fix")))</f>
        <v>0</v>
      </c>
      <c r="L820" s="4">
        <f>IF(OR(INDEX($V$2:$V$1001,MATCH(ROWS($U$2:U820),$U$2:$U$1001,0),1)&gt;=100000,INDEX($AB$1005:$AQ$1005,1,MATCH(COLUMNS($AB$1006:AL1006),$AB$1006:$AQ$1006,0))&gt;=100000), " ",IF(INDEX($AB$2:$AQ$1001,MATCH(ROWS($U$2:U820),$U$2:$U$1001,0),MATCH(COLUMNS($AB$1006:AL1006),$AB$1006:$AQ$1006,0)), HYPERLINK("#",""), HYPERLINK(CONCATENATE("#metadata!", ADDRESS(INDEX($W$2:$W$1001,MATCH(ROWS($U$2:U820),$U$2:$U$1001,0),0), INDEX($AB$1004:$AQ$1004,1,MATCH(COLUMNS($AB$1006:AL1006),$AB$1006:$AQ$1006,0)))),"Fix")))</f>
        <v>0</v>
      </c>
      <c r="M820" s="4">
        <f>IF(OR(INDEX($V$2:$V$1001,MATCH(ROWS($U$2:U820),$U$2:$U$1001,0),1)&gt;=100000,INDEX($AB$1005:$AQ$1005,1,MATCH(COLUMNS($AB$1006:AM1006),$AB$1006:$AQ$1006,0))&gt;=100000), " ",IF(INDEX($AB$2:$AQ$1001,MATCH(ROWS($U$2:U820),$U$2:$U$1001,0),MATCH(COLUMNS($AB$1006:AM1006),$AB$1006:$AQ$1006,0)), HYPERLINK("#",""), HYPERLINK(CONCATENATE("#metadata!", ADDRESS(INDEX($W$2:$W$1001,MATCH(ROWS($U$2:U820),$U$2:$U$1001,0),0), INDEX($AB$1004:$AQ$1004,1,MATCH(COLUMNS($AB$1006:AM1006),$AB$1006:$AQ$1006,0)))),"Fix")))</f>
        <v>0</v>
      </c>
      <c r="N820" s="4">
        <f>IF(OR(INDEX($V$2:$V$1001,MATCH(ROWS($U$2:U820),$U$2:$U$1001,0),1)&gt;=100000,INDEX($AB$1005:$AQ$1005,1,MATCH(COLUMNS($AB$1006:AN1006),$AB$1006:$AQ$1006,0))&gt;=100000), " ",IF(INDEX($AB$2:$AQ$1001,MATCH(ROWS($U$2:U820),$U$2:$U$1001,0),MATCH(COLUMNS($AB$1006:AN1006),$AB$1006:$AQ$1006,0)), HYPERLINK("#",""), HYPERLINK(CONCATENATE("#metadata!", ADDRESS(INDEX($W$2:$W$1001,MATCH(ROWS($U$2:U820),$U$2:$U$1001,0),0), INDEX($AB$1004:$AQ$1004,1,MATCH(COLUMNS($AB$1006:AN1006),$AB$1006:$AQ$1006,0)))),"Fix")))</f>
        <v>0</v>
      </c>
      <c r="O820" s="4">
        <f>IF(OR(INDEX($V$2:$V$1001,MATCH(ROWS($U$2:U820),$U$2:$U$1001,0),1)&gt;=100000,INDEX($AB$1005:$AQ$1005,1,MATCH(COLUMNS($AB$1006:AO1006),$AB$1006:$AQ$1006,0))&gt;=100000), " ",IF(INDEX($AB$2:$AQ$1001,MATCH(ROWS($U$2:U820),$U$2:$U$1001,0),MATCH(COLUMNS($AB$1006:AO1006),$AB$1006:$AQ$1006,0)), HYPERLINK("#",""), HYPERLINK(CONCATENATE("#metadata!", ADDRESS(INDEX($W$2:$W$1001,MATCH(ROWS($U$2:U820),$U$2:$U$1001,0),0), INDEX($AB$1004:$AQ$1004,1,MATCH(COLUMNS($AB$1006:AO1006),$AB$1006:$AQ$1006,0)))),"Fix")))</f>
        <v>0</v>
      </c>
      <c r="P820" s="4">
        <f>IF(OR(INDEX($V$2:$V$1001,MATCH(ROWS($U$2:U820),$U$2:$U$1001,0),1)&gt;=100000,INDEX($AB$1005:$AQ$1005,1,MATCH(COLUMNS($AB$1006:AP1006),$AB$1006:$AQ$1006,0))&gt;=100000), " ",IF(INDEX($AB$2:$AQ$1001,MATCH(ROWS($U$2:U820),$U$2:$U$1001,0),MATCH(COLUMNS($AB$1006:AP1006),$AB$1006:$AQ$1006,0)), HYPERLINK("#",""), HYPERLINK(CONCATENATE("#metadata!", ADDRESS(INDEX($W$2:$W$1001,MATCH(ROWS($U$2:U820),$U$2:$U$1001,0),0), INDEX($AB$1004:$AQ$1004,1,MATCH(COLUMNS($AB$1006:AP1006),$AB$1006:$AQ$1006,0)))),"Fix")))</f>
        <v>0</v>
      </c>
      <c r="Q820" s="4">
        <f>IF(OR(INDEX($V$2:$V$1001,MATCH(ROWS($U$2:U820),$U$2:$U$1001,0),1)&gt;=100000,INDEX($AB$1005:$AQ$1005,1,MATCH(COLUMNS($AB$1006:AQ1006),$AB$1006:$AQ$1006,0))&gt;=100000), " ",IF(INDEX($AB$2:$AQ$1001,MATCH(ROWS($U$2:U820),$U$2:$U$1001,0),MATCH(COLUMNS($AB$1006:AQ1006),$AB$1006:$AQ$1006,0)), HYPERLINK("#",""), HYPERLINK(CONCATENATE("#metadata!", ADDRESS(INDEX($W$2:$W$1001,MATCH(ROWS($U$2:U820),$U$2:$U$1001,0),0), INDEX($AB$1004:$AQ$1004,1,MATCH(COLUMNS($AB$1006:AQ1006),$AB$1006:$AQ$1006,0)))),"Fix")))</f>
        <v>0</v>
      </c>
      <c r="U820">
        <v>0</v>
      </c>
      <c r="V820">
        <v>0</v>
      </c>
      <c r="W820">
        <v>0</v>
      </c>
      <c r="X820">
        <f>IF(Y820,TRUE,AND(AB820:AQ820))</f>
        <v>0</v>
      </c>
      <c r="Y820">
        <f>COUNTBLANK(metadata!B820:Q820)=COLUMNS(metadata!B820:Q820)</f>
        <v>0</v>
      </c>
      <c r="Z820">
        <v>0</v>
      </c>
      <c r="AB820">
        <f>AND(IF(metadata!B820="",FALSE,TRUE),COUNTIF(metadata!B:B, metadata!B820) = 1,NOT(ISERROR(SUMPRODUCT(SEARCH(MID(metadata!B820,ROW(INDIRECT("1:"&amp;LEN(metadata!B820))), 1),"0123456789abcdefghijklmnopqrstuvwxyzABCDEFGHIJKLMNOPQRSTUVWXYZ.")))))</f>
        <v>0</v>
      </c>
      <c r="AC820">
        <f>OR(AND(IF(metadata!C820="",FALSE,TRUE),OR(exact(metadata!C820,"missing: not collected"),exact(metadata!C820,"missing: not provided"),exact(metadata!C820,"missing: restricted access"))),AND(IF(metadata!C820="",FALSE,TRUE),AND(AND(IFERROR(INT(LEFT(metadata!C820,4))&gt;1900,FALSE),IFERROR(INT(LEFT(metadata!C820,4))&lt;=YEAR(NOW()),FALSE)), OR(MID(metadata!C820,5,1)="", AND(AND(MID(metadata!C820,5,1)="-",IFERROR(INT(MID(metadata!C820,6,1))&gt;=0,FALSE),IFERROR(INT(MID(metadata!C820,6,1))&lt;=1,FALSE),NOT(MID(metadata!C820,7,1)=""),IFERROR(INT(MID(metadata!C820,6,2))&gt;=1,FALSE),IFERROR(INT(MID(metadata!C820,6,2))&lt;=12,FALSE)), OR(MID(metadata!C820,8,1)="", AND(AND(MID(metadata!C820,8,1)="-",IFERROR(INT(MID(metadata!C820,9,1))&gt;=0,FALSE),IFERROR(INT(MID(metadata!C820,9,1))&lt;=3,FALSE),NOT(MID(metadata!C820,10,1)=""),IFERROR(INT(MID(metadata!C820,9,2))&gt;=1,FALSE),IFERROR(INT(MID(metadata!C820,9,2))&lt;=31,FALSE)), OR(MID(metadata!C820,11,1)="", AND(AND(MID(metadata!C820,11,1)=" ",IFERROR(INT(MID(metadata!C820,12,1))&gt;=0,FALSE),IFERROR(INT(MID(metadata!C820,12,1))&lt;=2,FALSE),NOT(MID(metadata!C820,13,1)=""),IFERROR(INT(MID(metadata!C820,12,2))&gt;=0,FALSE),IFERROR(INT(MID(metadata!C820,12,2))&lt;=23,FALSE)), OR(MID(metadata!C820,14,1)="", AND(AND(MID(metadata!C820,14,1)=":",IFERROR(INT(MID(metadata!C820,15,1))&gt;=0,FALSE),IFERROR(INT(MID(metadata!C820,15,1))&lt;=5,FALSE),NOT(MID(metadata!C820,16,1)=""),IFERROR(INT(MID(metadata!C820,15,2))&gt;=0,FALSE),IFERROR(INT(MID(metadata!C820,15,2))&lt;=59,FALSE)), OR(MID(metadata!C820,17,1)="", AND(AND(MID(metadata!C820,17,1)=":",IFERROR(INT(MID(metadata!C820,18,1))&gt;=0,FALSE),IFERROR(INT(MID(metadata!C820,18,1))&lt;=5,FALSE),NOT(MID(metadata!C820,19,1)=""),IFERROR(INT(MID(metadata!C820,18,2))&gt;=0,FALSE),IFERROR(INT(MID(metadata!C820,18,2))&lt;=59,FALSE)), LEN(metadata!C820)&lt;=19)))))))))))))</f>
        <v>0</v>
      </c>
      <c r="AD820">
        <f>IF(metadata!D820="",FALSE,TRUE)</f>
        <v>0</v>
      </c>
      <c r="AE820">
        <f>OR(AND(IF(metadata!E820="",FALSE,TRUE),OR(exact(metadata!E820,"missing: not collected"),exact(metadata!E820,"missing: not provided"))),AND(IF(metadata!E820="",FALSE,TRUE),OR(exact(metadata!E820,"TRUE"),exact(metadata!E820,"FALSE"))))</f>
        <v>0</v>
      </c>
      <c r="AF820">
        <f>IF(metadata!F820="",FALSE,TRUE)</f>
        <v>0</v>
      </c>
      <c r="AG820">
        <f>IF(metadata!G820="",FALSE,TRUE)</f>
        <v>0</v>
      </c>
      <c r="AH820">
        <f>IF(metadata!H820="",FALSE,TRUE)</f>
        <v>0</v>
      </c>
      <c r="AI820">
        <f>OR(AND(IF(metadata!I820="",FALSE,TRUE),OR(exact(metadata!I820,"missing: not collected"),exact(metadata!I820,"missing: not provided"),exact(metadata!I820,"missing: restricted access"))),AND(IF(metadata!I820="",FALSE,TRUE),OR(exact(metadata!I820,"air"),exact(metadata!I820,"built environment"),exact(metadata!I820,"host-associated"),exact(metadata!I820,"human-associated"),exact(metadata!I820,"human-skin"),exact(metadata!I820,"human-oral"),exact(metadata!I820,"human-gut"),exact(metadata!I820,"human-vaginal"),exact(metadata!I820,"microbial mat/biofilm"),exact(metadata!I820,"misc environment"),exact(metadata!I820,"plant-associated"),exact(metadata!I820,"sediment"),exact(metadata!I820,"soil"),exact(metadata!I820,"wastewater/sludge"),exact(metadata!I820,"water"))))</f>
        <v>0</v>
      </c>
      <c r="AJ820">
        <f>IF(metadata!J820="",FALSE,TRUE)</f>
        <v>0</v>
      </c>
      <c r="AK820">
        <f>OR(AND(IF(metadata!K820="",FALSE,TRUE),OR(exact(metadata!K820,"missing: not collected"),exact(metadata!K820,"missing: not provided"),exact(metadata!K820,"missing: restricted access"))),AND(IF(metadata!K820="",FALSE,ISNUMBER(VALUE(metadata!K820))),metadata!K820&gt;=-90.00,metadata!K820&lt;=90.00))</f>
        <v>0</v>
      </c>
      <c r="AL820">
        <f>OR(AND(IF(metadata!L820="",FALSE,TRUE),OR(exact(metadata!L820,"missing: not collected"),exact(metadata!L820,"missing: not provided"),exact(metadata!L820,"missing: restricted access"))),AND(IF(metadata!L820="",FALSE,ISNUMBER(VALUE(metadata!L820))),metadata!L820&gt;=-180.00,metadata!L820&lt;=180.00))</f>
        <v>0</v>
      </c>
      <c r="AM820">
        <f>IF(metadata!M820="",FALSE,TRUE)</f>
        <v>0</v>
      </c>
      <c r="AN820">
        <f>OR(AND(IF(metadata!N820="",FALSE,TRUE),OR(exact(metadata!N820,"missing: not collected"),exact(metadata!N820,"missing: not provided"),exact(metadata!N820,"missing: restricted access"))),AND(IF(metadata!N820="",FALSE,TRUE),OR(exact(metadata!N820,"TRUE"),exact(metadata!N820,"FALSE"))))</f>
        <v>0</v>
      </c>
      <c r="AO820">
        <f>IF(metadata!O820="",FALSE,TRUE)</f>
        <v>0</v>
      </c>
      <c r="AP820">
        <f>OR(AND(IF(metadata!P820="",FALSE,TRUE),OR(exact(metadata!P820,"missing: not collected"),exact(metadata!P820,"missing: not provided"))),AND(IF(metadata!P820="",FALSE,IF(ISERROR(INT(metadata!P820)),FALSE,INT(metadata!P820)=metadata!P820)),metadata!P820&gt;0))</f>
        <v>0</v>
      </c>
      <c r="AQ820">
        <f>IF(metadata!Q820="",FALSE,TRUE)</f>
        <v>0</v>
      </c>
    </row>
    <row r="821" spans="1:43">
      <c r="A821" s="5">
        <f>IF(B821=" "," ",HYPERLINK(CONCATENATE("#metadata!",ADDRESS(INDEX($W$2:$W$1001,MATCH(ROWS($U$2:U821),$U$2:$U$1001,0),0),1)),INDEX($Z$2:$Z$1001,MATCH(ROWS($U$2:U821),$U$2:$U$1001,0),0)))</f>
        <v>0</v>
      </c>
      <c r="B821" s="4">
        <f>IF(OR(INDEX($V$2:$V$1001,MATCH(ROWS($U$2:U821),$U$2:$U$1001,0),1)&gt;=100000,INDEX($AB$1005:$AQ$1005,1,MATCH(COLUMNS($AB$1006:AB1006),$AB$1006:$AQ$1006,0))&gt;=100000), " ",IF(INDEX($AB$2:$AQ$1001,MATCH(ROWS($U$2:U821),$U$2:$U$1001,0),MATCH(COLUMNS($AB$1006:AB1006),$AB$1006:$AQ$1006,0)), HYPERLINK("#",""), HYPERLINK(CONCATENATE("#metadata!", ADDRESS(INDEX($W$2:$W$1001,MATCH(ROWS($U$2:U821),$U$2:$U$1001,0),0), INDEX($AB$1004:$AQ$1004,1,MATCH(COLUMNS($AB$1006:AB1006),$AB$1006:$AQ$1006,0)))),"Fix")))</f>
        <v>0</v>
      </c>
      <c r="C821" s="4">
        <f>IF(OR(INDEX($V$2:$V$1001,MATCH(ROWS($U$2:U821),$U$2:$U$1001,0),1)&gt;=100000,INDEX($AB$1005:$AQ$1005,1,MATCH(COLUMNS($AB$1006:AC1006),$AB$1006:$AQ$1006,0))&gt;=100000), " ",IF(INDEX($AB$2:$AQ$1001,MATCH(ROWS($U$2:U821),$U$2:$U$1001,0),MATCH(COLUMNS($AB$1006:AC1006),$AB$1006:$AQ$1006,0)), HYPERLINK("#",""), HYPERLINK(CONCATENATE("#metadata!", ADDRESS(INDEX($W$2:$W$1001,MATCH(ROWS($U$2:U821),$U$2:$U$1001,0),0), INDEX($AB$1004:$AQ$1004,1,MATCH(COLUMNS($AB$1006:AC1006),$AB$1006:$AQ$1006,0)))),"Fix")))</f>
        <v>0</v>
      </c>
      <c r="D821" s="4">
        <f>IF(OR(INDEX($V$2:$V$1001,MATCH(ROWS($U$2:U821),$U$2:$U$1001,0),1)&gt;=100000,INDEX($AB$1005:$AQ$1005,1,MATCH(COLUMNS($AB$1006:AD1006),$AB$1006:$AQ$1006,0))&gt;=100000), " ",IF(INDEX($AB$2:$AQ$1001,MATCH(ROWS($U$2:U821),$U$2:$U$1001,0),MATCH(COLUMNS($AB$1006:AD1006),$AB$1006:$AQ$1006,0)), HYPERLINK("#",""), HYPERLINK(CONCATENATE("#metadata!", ADDRESS(INDEX($W$2:$W$1001,MATCH(ROWS($U$2:U821),$U$2:$U$1001,0),0), INDEX($AB$1004:$AQ$1004,1,MATCH(COLUMNS($AB$1006:AD1006),$AB$1006:$AQ$1006,0)))),"Fix")))</f>
        <v>0</v>
      </c>
      <c r="E821" s="4">
        <f>IF(OR(INDEX($V$2:$V$1001,MATCH(ROWS($U$2:U821),$U$2:$U$1001,0),1)&gt;=100000,INDEX($AB$1005:$AQ$1005,1,MATCH(COLUMNS($AB$1006:AE1006),$AB$1006:$AQ$1006,0))&gt;=100000), " ",IF(INDEX($AB$2:$AQ$1001,MATCH(ROWS($U$2:U821),$U$2:$U$1001,0),MATCH(COLUMNS($AB$1006:AE1006),$AB$1006:$AQ$1006,0)), HYPERLINK("#",""), HYPERLINK(CONCATENATE("#metadata!", ADDRESS(INDEX($W$2:$W$1001,MATCH(ROWS($U$2:U821),$U$2:$U$1001,0),0), INDEX($AB$1004:$AQ$1004,1,MATCH(COLUMNS($AB$1006:AE1006),$AB$1006:$AQ$1006,0)))),"Fix")))</f>
        <v>0</v>
      </c>
      <c r="F821" s="4">
        <f>IF(OR(INDEX($V$2:$V$1001,MATCH(ROWS($U$2:U821),$U$2:$U$1001,0),1)&gt;=100000,INDEX($AB$1005:$AQ$1005,1,MATCH(COLUMNS($AB$1006:AF1006),$AB$1006:$AQ$1006,0))&gt;=100000), " ",IF(INDEX($AB$2:$AQ$1001,MATCH(ROWS($U$2:U821),$U$2:$U$1001,0),MATCH(COLUMNS($AB$1006:AF1006),$AB$1006:$AQ$1006,0)), HYPERLINK("#",""), HYPERLINK(CONCATENATE("#metadata!", ADDRESS(INDEX($W$2:$W$1001,MATCH(ROWS($U$2:U821),$U$2:$U$1001,0),0), INDEX($AB$1004:$AQ$1004,1,MATCH(COLUMNS($AB$1006:AF1006),$AB$1006:$AQ$1006,0)))),"Fix")))</f>
        <v>0</v>
      </c>
      <c r="G821" s="4">
        <f>IF(OR(INDEX($V$2:$V$1001,MATCH(ROWS($U$2:U821),$U$2:$U$1001,0),1)&gt;=100000,INDEX($AB$1005:$AQ$1005,1,MATCH(COLUMNS($AB$1006:AG1006),$AB$1006:$AQ$1006,0))&gt;=100000), " ",IF(INDEX($AB$2:$AQ$1001,MATCH(ROWS($U$2:U821),$U$2:$U$1001,0),MATCH(COLUMNS($AB$1006:AG1006),$AB$1006:$AQ$1006,0)), HYPERLINK("#",""), HYPERLINK(CONCATENATE("#metadata!", ADDRESS(INDEX($W$2:$W$1001,MATCH(ROWS($U$2:U821),$U$2:$U$1001,0),0), INDEX($AB$1004:$AQ$1004,1,MATCH(COLUMNS($AB$1006:AG1006),$AB$1006:$AQ$1006,0)))),"Fix")))</f>
        <v>0</v>
      </c>
      <c r="H821" s="4">
        <f>IF(OR(INDEX($V$2:$V$1001,MATCH(ROWS($U$2:U821),$U$2:$U$1001,0),1)&gt;=100000,INDEX($AB$1005:$AQ$1005,1,MATCH(COLUMNS($AB$1006:AH1006),$AB$1006:$AQ$1006,0))&gt;=100000), " ",IF(INDEX($AB$2:$AQ$1001,MATCH(ROWS($U$2:U821),$U$2:$U$1001,0),MATCH(COLUMNS($AB$1006:AH1006),$AB$1006:$AQ$1006,0)), HYPERLINK("#",""), HYPERLINK(CONCATENATE("#metadata!", ADDRESS(INDEX($W$2:$W$1001,MATCH(ROWS($U$2:U821),$U$2:$U$1001,0),0), INDEX($AB$1004:$AQ$1004,1,MATCH(COLUMNS($AB$1006:AH1006),$AB$1006:$AQ$1006,0)))),"Fix")))</f>
        <v>0</v>
      </c>
      <c r="I821" s="4">
        <f>IF(OR(INDEX($V$2:$V$1001,MATCH(ROWS($U$2:U821),$U$2:$U$1001,0),1)&gt;=100000,INDEX($AB$1005:$AQ$1005,1,MATCH(COLUMNS($AB$1006:AI1006),$AB$1006:$AQ$1006,0))&gt;=100000), " ",IF(INDEX($AB$2:$AQ$1001,MATCH(ROWS($U$2:U821),$U$2:$U$1001,0),MATCH(COLUMNS($AB$1006:AI1006),$AB$1006:$AQ$1006,0)), HYPERLINK("#",""), HYPERLINK(CONCATENATE("#metadata!", ADDRESS(INDEX($W$2:$W$1001,MATCH(ROWS($U$2:U821),$U$2:$U$1001,0),0), INDEX($AB$1004:$AQ$1004,1,MATCH(COLUMNS($AB$1006:AI1006),$AB$1006:$AQ$1006,0)))),"Fix")))</f>
        <v>0</v>
      </c>
      <c r="J821" s="4">
        <f>IF(OR(INDEX($V$2:$V$1001,MATCH(ROWS($U$2:U821),$U$2:$U$1001,0),1)&gt;=100000,INDEX($AB$1005:$AQ$1005,1,MATCH(COLUMNS($AB$1006:AJ1006),$AB$1006:$AQ$1006,0))&gt;=100000), " ",IF(INDEX($AB$2:$AQ$1001,MATCH(ROWS($U$2:U821),$U$2:$U$1001,0),MATCH(COLUMNS($AB$1006:AJ1006),$AB$1006:$AQ$1006,0)), HYPERLINK("#",""), HYPERLINK(CONCATENATE("#metadata!", ADDRESS(INDEX($W$2:$W$1001,MATCH(ROWS($U$2:U821),$U$2:$U$1001,0),0), INDEX($AB$1004:$AQ$1004,1,MATCH(COLUMNS($AB$1006:AJ1006),$AB$1006:$AQ$1006,0)))),"Fix")))</f>
        <v>0</v>
      </c>
      <c r="K821" s="4">
        <f>IF(OR(INDEX($V$2:$V$1001,MATCH(ROWS($U$2:U821),$U$2:$U$1001,0),1)&gt;=100000,INDEX($AB$1005:$AQ$1005,1,MATCH(COLUMNS($AB$1006:AK1006),$AB$1006:$AQ$1006,0))&gt;=100000), " ",IF(INDEX($AB$2:$AQ$1001,MATCH(ROWS($U$2:U821),$U$2:$U$1001,0),MATCH(COLUMNS($AB$1006:AK1006),$AB$1006:$AQ$1006,0)), HYPERLINK("#",""), HYPERLINK(CONCATENATE("#metadata!", ADDRESS(INDEX($W$2:$W$1001,MATCH(ROWS($U$2:U821),$U$2:$U$1001,0),0), INDEX($AB$1004:$AQ$1004,1,MATCH(COLUMNS($AB$1006:AK1006),$AB$1006:$AQ$1006,0)))),"Fix")))</f>
        <v>0</v>
      </c>
      <c r="L821" s="4">
        <f>IF(OR(INDEX($V$2:$V$1001,MATCH(ROWS($U$2:U821),$U$2:$U$1001,0),1)&gt;=100000,INDEX($AB$1005:$AQ$1005,1,MATCH(COLUMNS($AB$1006:AL1006),$AB$1006:$AQ$1006,0))&gt;=100000), " ",IF(INDEX($AB$2:$AQ$1001,MATCH(ROWS($U$2:U821),$U$2:$U$1001,0),MATCH(COLUMNS($AB$1006:AL1006),$AB$1006:$AQ$1006,0)), HYPERLINK("#",""), HYPERLINK(CONCATENATE("#metadata!", ADDRESS(INDEX($W$2:$W$1001,MATCH(ROWS($U$2:U821),$U$2:$U$1001,0),0), INDEX($AB$1004:$AQ$1004,1,MATCH(COLUMNS($AB$1006:AL1006),$AB$1006:$AQ$1006,0)))),"Fix")))</f>
        <v>0</v>
      </c>
      <c r="M821" s="4">
        <f>IF(OR(INDEX($V$2:$V$1001,MATCH(ROWS($U$2:U821),$U$2:$U$1001,0),1)&gt;=100000,INDEX($AB$1005:$AQ$1005,1,MATCH(COLUMNS($AB$1006:AM1006),$AB$1006:$AQ$1006,0))&gt;=100000), " ",IF(INDEX($AB$2:$AQ$1001,MATCH(ROWS($U$2:U821),$U$2:$U$1001,0),MATCH(COLUMNS($AB$1006:AM1006),$AB$1006:$AQ$1006,0)), HYPERLINK("#",""), HYPERLINK(CONCATENATE("#metadata!", ADDRESS(INDEX($W$2:$W$1001,MATCH(ROWS($U$2:U821),$U$2:$U$1001,0),0), INDEX($AB$1004:$AQ$1004,1,MATCH(COLUMNS($AB$1006:AM1006),$AB$1006:$AQ$1006,0)))),"Fix")))</f>
        <v>0</v>
      </c>
      <c r="N821" s="4">
        <f>IF(OR(INDEX($V$2:$V$1001,MATCH(ROWS($U$2:U821),$U$2:$U$1001,0),1)&gt;=100000,INDEX($AB$1005:$AQ$1005,1,MATCH(COLUMNS($AB$1006:AN1006),$AB$1006:$AQ$1006,0))&gt;=100000), " ",IF(INDEX($AB$2:$AQ$1001,MATCH(ROWS($U$2:U821),$U$2:$U$1001,0),MATCH(COLUMNS($AB$1006:AN1006),$AB$1006:$AQ$1006,0)), HYPERLINK("#",""), HYPERLINK(CONCATENATE("#metadata!", ADDRESS(INDEX($W$2:$W$1001,MATCH(ROWS($U$2:U821),$U$2:$U$1001,0),0), INDEX($AB$1004:$AQ$1004,1,MATCH(COLUMNS($AB$1006:AN1006),$AB$1006:$AQ$1006,0)))),"Fix")))</f>
        <v>0</v>
      </c>
      <c r="O821" s="4">
        <f>IF(OR(INDEX($V$2:$V$1001,MATCH(ROWS($U$2:U821),$U$2:$U$1001,0),1)&gt;=100000,INDEX($AB$1005:$AQ$1005,1,MATCH(COLUMNS($AB$1006:AO1006),$AB$1006:$AQ$1006,0))&gt;=100000), " ",IF(INDEX($AB$2:$AQ$1001,MATCH(ROWS($U$2:U821),$U$2:$U$1001,0),MATCH(COLUMNS($AB$1006:AO1006),$AB$1006:$AQ$1006,0)), HYPERLINK("#",""), HYPERLINK(CONCATENATE("#metadata!", ADDRESS(INDEX($W$2:$W$1001,MATCH(ROWS($U$2:U821),$U$2:$U$1001,0),0), INDEX($AB$1004:$AQ$1004,1,MATCH(COLUMNS($AB$1006:AO1006),$AB$1006:$AQ$1006,0)))),"Fix")))</f>
        <v>0</v>
      </c>
      <c r="P821" s="4">
        <f>IF(OR(INDEX($V$2:$V$1001,MATCH(ROWS($U$2:U821),$U$2:$U$1001,0),1)&gt;=100000,INDEX($AB$1005:$AQ$1005,1,MATCH(COLUMNS($AB$1006:AP1006),$AB$1006:$AQ$1006,0))&gt;=100000), " ",IF(INDEX($AB$2:$AQ$1001,MATCH(ROWS($U$2:U821),$U$2:$U$1001,0),MATCH(COLUMNS($AB$1006:AP1006),$AB$1006:$AQ$1006,0)), HYPERLINK("#",""), HYPERLINK(CONCATENATE("#metadata!", ADDRESS(INDEX($W$2:$W$1001,MATCH(ROWS($U$2:U821),$U$2:$U$1001,0),0), INDEX($AB$1004:$AQ$1004,1,MATCH(COLUMNS($AB$1006:AP1006),$AB$1006:$AQ$1006,0)))),"Fix")))</f>
        <v>0</v>
      </c>
      <c r="Q821" s="4">
        <f>IF(OR(INDEX($V$2:$V$1001,MATCH(ROWS($U$2:U821),$U$2:$U$1001,0),1)&gt;=100000,INDEX($AB$1005:$AQ$1005,1,MATCH(COLUMNS($AB$1006:AQ1006),$AB$1006:$AQ$1006,0))&gt;=100000), " ",IF(INDEX($AB$2:$AQ$1001,MATCH(ROWS($U$2:U821),$U$2:$U$1001,0),MATCH(COLUMNS($AB$1006:AQ1006),$AB$1006:$AQ$1006,0)), HYPERLINK("#",""), HYPERLINK(CONCATENATE("#metadata!", ADDRESS(INDEX($W$2:$W$1001,MATCH(ROWS($U$2:U821),$U$2:$U$1001,0),0), INDEX($AB$1004:$AQ$1004,1,MATCH(COLUMNS($AB$1006:AQ1006),$AB$1006:$AQ$1006,0)))),"Fix")))</f>
        <v>0</v>
      </c>
      <c r="U821">
        <v>0</v>
      </c>
      <c r="V821">
        <v>0</v>
      </c>
      <c r="W821">
        <v>0</v>
      </c>
      <c r="X821">
        <f>IF(Y821,TRUE,AND(AB821:AQ821))</f>
        <v>0</v>
      </c>
      <c r="Y821">
        <f>COUNTBLANK(metadata!B821:Q821)=COLUMNS(metadata!B821:Q821)</f>
        <v>0</v>
      </c>
      <c r="Z821">
        <v>0</v>
      </c>
      <c r="AB821">
        <f>AND(IF(metadata!B821="",FALSE,TRUE),COUNTIF(metadata!B:B, metadata!B821) = 1,NOT(ISERROR(SUMPRODUCT(SEARCH(MID(metadata!B821,ROW(INDIRECT("1:"&amp;LEN(metadata!B821))), 1),"0123456789abcdefghijklmnopqrstuvwxyzABCDEFGHIJKLMNOPQRSTUVWXYZ.")))))</f>
        <v>0</v>
      </c>
      <c r="AC821">
        <f>OR(AND(IF(metadata!C821="",FALSE,TRUE),OR(exact(metadata!C821,"missing: not collected"),exact(metadata!C821,"missing: not provided"),exact(metadata!C821,"missing: restricted access"))),AND(IF(metadata!C821="",FALSE,TRUE),AND(AND(IFERROR(INT(LEFT(metadata!C821,4))&gt;1900,FALSE),IFERROR(INT(LEFT(metadata!C821,4))&lt;=YEAR(NOW()),FALSE)), OR(MID(metadata!C821,5,1)="", AND(AND(MID(metadata!C821,5,1)="-",IFERROR(INT(MID(metadata!C821,6,1))&gt;=0,FALSE),IFERROR(INT(MID(metadata!C821,6,1))&lt;=1,FALSE),NOT(MID(metadata!C821,7,1)=""),IFERROR(INT(MID(metadata!C821,6,2))&gt;=1,FALSE),IFERROR(INT(MID(metadata!C821,6,2))&lt;=12,FALSE)), OR(MID(metadata!C821,8,1)="", AND(AND(MID(metadata!C821,8,1)="-",IFERROR(INT(MID(metadata!C821,9,1))&gt;=0,FALSE),IFERROR(INT(MID(metadata!C821,9,1))&lt;=3,FALSE),NOT(MID(metadata!C821,10,1)=""),IFERROR(INT(MID(metadata!C821,9,2))&gt;=1,FALSE),IFERROR(INT(MID(metadata!C821,9,2))&lt;=31,FALSE)), OR(MID(metadata!C821,11,1)="", AND(AND(MID(metadata!C821,11,1)=" ",IFERROR(INT(MID(metadata!C821,12,1))&gt;=0,FALSE),IFERROR(INT(MID(metadata!C821,12,1))&lt;=2,FALSE),NOT(MID(metadata!C821,13,1)=""),IFERROR(INT(MID(metadata!C821,12,2))&gt;=0,FALSE),IFERROR(INT(MID(metadata!C821,12,2))&lt;=23,FALSE)), OR(MID(metadata!C821,14,1)="", AND(AND(MID(metadata!C821,14,1)=":",IFERROR(INT(MID(metadata!C821,15,1))&gt;=0,FALSE),IFERROR(INT(MID(metadata!C821,15,1))&lt;=5,FALSE),NOT(MID(metadata!C821,16,1)=""),IFERROR(INT(MID(metadata!C821,15,2))&gt;=0,FALSE),IFERROR(INT(MID(metadata!C821,15,2))&lt;=59,FALSE)), OR(MID(metadata!C821,17,1)="", AND(AND(MID(metadata!C821,17,1)=":",IFERROR(INT(MID(metadata!C821,18,1))&gt;=0,FALSE),IFERROR(INT(MID(metadata!C821,18,1))&lt;=5,FALSE),NOT(MID(metadata!C821,19,1)=""),IFERROR(INT(MID(metadata!C821,18,2))&gt;=0,FALSE),IFERROR(INT(MID(metadata!C821,18,2))&lt;=59,FALSE)), LEN(metadata!C821)&lt;=19)))))))))))))</f>
        <v>0</v>
      </c>
      <c r="AD821">
        <f>IF(metadata!D821="",FALSE,TRUE)</f>
        <v>0</v>
      </c>
      <c r="AE821">
        <f>OR(AND(IF(metadata!E821="",FALSE,TRUE),OR(exact(metadata!E821,"missing: not collected"),exact(metadata!E821,"missing: not provided"))),AND(IF(metadata!E821="",FALSE,TRUE),OR(exact(metadata!E821,"TRUE"),exact(metadata!E821,"FALSE"))))</f>
        <v>0</v>
      </c>
      <c r="AF821">
        <f>IF(metadata!F821="",FALSE,TRUE)</f>
        <v>0</v>
      </c>
      <c r="AG821">
        <f>IF(metadata!G821="",FALSE,TRUE)</f>
        <v>0</v>
      </c>
      <c r="AH821">
        <f>IF(metadata!H821="",FALSE,TRUE)</f>
        <v>0</v>
      </c>
      <c r="AI821">
        <f>OR(AND(IF(metadata!I821="",FALSE,TRUE),OR(exact(metadata!I821,"missing: not collected"),exact(metadata!I821,"missing: not provided"),exact(metadata!I821,"missing: restricted access"))),AND(IF(metadata!I821="",FALSE,TRUE),OR(exact(metadata!I821,"air"),exact(metadata!I821,"built environment"),exact(metadata!I821,"host-associated"),exact(metadata!I821,"human-associated"),exact(metadata!I821,"human-skin"),exact(metadata!I821,"human-oral"),exact(metadata!I821,"human-gut"),exact(metadata!I821,"human-vaginal"),exact(metadata!I821,"microbial mat/biofilm"),exact(metadata!I821,"misc environment"),exact(metadata!I821,"plant-associated"),exact(metadata!I821,"sediment"),exact(metadata!I821,"soil"),exact(metadata!I821,"wastewater/sludge"),exact(metadata!I821,"water"))))</f>
        <v>0</v>
      </c>
      <c r="AJ821">
        <f>IF(metadata!J821="",FALSE,TRUE)</f>
        <v>0</v>
      </c>
      <c r="AK821">
        <f>OR(AND(IF(metadata!K821="",FALSE,TRUE),OR(exact(metadata!K821,"missing: not collected"),exact(metadata!K821,"missing: not provided"),exact(metadata!K821,"missing: restricted access"))),AND(IF(metadata!K821="",FALSE,ISNUMBER(VALUE(metadata!K821))),metadata!K821&gt;=-90.00,metadata!K821&lt;=90.00))</f>
        <v>0</v>
      </c>
      <c r="AL821">
        <f>OR(AND(IF(metadata!L821="",FALSE,TRUE),OR(exact(metadata!L821,"missing: not collected"),exact(metadata!L821,"missing: not provided"),exact(metadata!L821,"missing: restricted access"))),AND(IF(metadata!L821="",FALSE,ISNUMBER(VALUE(metadata!L821))),metadata!L821&gt;=-180.00,metadata!L821&lt;=180.00))</f>
        <v>0</v>
      </c>
      <c r="AM821">
        <f>IF(metadata!M821="",FALSE,TRUE)</f>
        <v>0</v>
      </c>
      <c r="AN821">
        <f>OR(AND(IF(metadata!N821="",FALSE,TRUE),OR(exact(metadata!N821,"missing: not collected"),exact(metadata!N821,"missing: not provided"),exact(metadata!N821,"missing: restricted access"))),AND(IF(metadata!N821="",FALSE,TRUE),OR(exact(metadata!N821,"TRUE"),exact(metadata!N821,"FALSE"))))</f>
        <v>0</v>
      </c>
      <c r="AO821">
        <f>IF(metadata!O821="",FALSE,TRUE)</f>
        <v>0</v>
      </c>
      <c r="AP821">
        <f>OR(AND(IF(metadata!P821="",FALSE,TRUE),OR(exact(metadata!P821,"missing: not collected"),exact(metadata!P821,"missing: not provided"))),AND(IF(metadata!P821="",FALSE,IF(ISERROR(INT(metadata!P821)),FALSE,INT(metadata!P821)=metadata!P821)),metadata!P821&gt;0))</f>
        <v>0</v>
      </c>
      <c r="AQ821">
        <f>IF(metadata!Q821="",FALSE,TRUE)</f>
        <v>0</v>
      </c>
    </row>
    <row r="822" spans="1:43">
      <c r="A822" s="5">
        <f>IF(B822=" "," ",HYPERLINK(CONCATENATE("#metadata!",ADDRESS(INDEX($W$2:$W$1001,MATCH(ROWS($U$2:U822),$U$2:$U$1001,0),0),1)),INDEX($Z$2:$Z$1001,MATCH(ROWS($U$2:U822),$U$2:$U$1001,0),0)))</f>
        <v>0</v>
      </c>
      <c r="B822" s="4">
        <f>IF(OR(INDEX($V$2:$V$1001,MATCH(ROWS($U$2:U822),$U$2:$U$1001,0),1)&gt;=100000,INDEX($AB$1005:$AQ$1005,1,MATCH(COLUMNS($AB$1006:AB1006),$AB$1006:$AQ$1006,0))&gt;=100000), " ",IF(INDEX($AB$2:$AQ$1001,MATCH(ROWS($U$2:U822),$U$2:$U$1001,0),MATCH(COLUMNS($AB$1006:AB1006),$AB$1006:$AQ$1006,0)), HYPERLINK("#",""), HYPERLINK(CONCATENATE("#metadata!", ADDRESS(INDEX($W$2:$W$1001,MATCH(ROWS($U$2:U822),$U$2:$U$1001,0),0), INDEX($AB$1004:$AQ$1004,1,MATCH(COLUMNS($AB$1006:AB1006),$AB$1006:$AQ$1006,0)))),"Fix")))</f>
        <v>0</v>
      </c>
      <c r="C822" s="4">
        <f>IF(OR(INDEX($V$2:$V$1001,MATCH(ROWS($U$2:U822),$U$2:$U$1001,0),1)&gt;=100000,INDEX($AB$1005:$AQ$1005,1,MATCH(COLUMNS($AB$1006:AC1006),$AB$1006:$AQ$1006,0))&gt;=100000), " ",IF(INDEX($AB$2:$AQ$1001,MATCH(ROWS($U$2:U822),$U$2:$U$1001,0),MATCH(COLUMNS($AB$1006:AC1006),$AB$1006:$AQ$1006,0)), HYPERLINK("#",""), HYPERLINK(CONCATENATE("#metadata!", ADDRESS(INDEX($W$2:$W$1001,MATCH(ROWS($U$2:U822),$U$2:$U$1001,0),0), INDEX($AB$1004:$AQ$1004,1,MATCH(COLUMNS($AB$1006:AC1006),$AB$1006:$AQ$1006,0)))),"Fix")))</f>
        <v>0</v>
      </c>
      <c r="D822" s="4">
        <f>IF(OR(INDEX($V$2:$V$1001,MATCH(ROWS($U$2:U822),$U$2:$U$1001,0),1)&gt;=100000,INDEX($AB$1005:$AQ$1005,1,MATCH(COLUMNS($AB$1006:AD1006),$AB$1006:$AQ$1006,0))&gt;=100000), " ",IF(INDEX($AB$2:$AQ$1001,MATCH(ROWS($U$2:U822),$U$2:$U$1001,0),MATCH(COLUMNS($AB$1006:AD1006),$AB$1006:$AQ$1006,0)), HYPERLINK("#",""), HYPERLINK(CONCATENATE("#metadata!", ADDRESS(INDEX($W$2:$W$1001,MATCH(ROWS($U$2:U822),$U$2:$U$1001,0),0), INDEX($AB$1004:$AQ$1004,1,MATCH(COLUMNS($AB$1006:AD1006),$AB$1006:$AQ$1006,0)))),"Fix")))</f>
        <v>0</v>
      </c>
      <c r="E822" s="4">
        <f>IF(OR(INDEX($V$2:$V$1001,MATCH(ROWS($U$2:U822),$U$2:$U$1001,0),1)&gt;=100000,INDEX($AB$1005:$AQ$1005,1,MATCH(COLUMNS($AB$1006:AE1006),$AB$1006:$AQ$1006,0))&gt;=100000), " ",IF(INDEX($AB$2:$AQ$1001,MATCH(ROWS($U$2:U822),$U$2:$U$1001,0),MATCH(COLUMNS($AB$1006:AE1006),$AB$1006:$AQ$1006,0)), HYPERLINK("#",""), HYPERLINK(CONCATENATE("#metadata!", ADDRESS(INDEX($W$2:$W$1001,MATCH(ROWS($U$2:U822),$U$2:$U$1001,0),0), INDEX($AB$1004:$AQ$1004,1,MATCH(COLUMNS($AB$1006:AE1006),$AB$1006:$AQ$1006,0)))),"Fix")))</f>
        <v>0</v>
      </c>
      <c r="F822" s="4">
        <f>IF(OR(INDEX($V$2:$V$1001,MATCH(ROWS($U$2:U822),$U$2:$U$1001,0),1)&gt;=100000,INDEX($AB$1005:$AQ$1005,1,MATCH(COLUMNS($AB$1006:AF1006),$AB$1006:$AQ$1006,0))&gt;=100000), " ",IF(INDEX($AB$2:$AQ$1001,MATCH(ROWS($U$2:U822),$U$2:$U$1001,0),MATCH(COLUMNS($AB$1006:AF1006),$AB$1006:$AQ$1006,0)), HYPERLINK("#",""), HYPERLINK(CONCATENATE("#metadata!", ADDRESS(INDEX($W$2:$W$1001,MATCH(ROWS($U$2:U822),$U$2:$U$1001,0),0), INDEX($AB$1004:$AQ$1004,1,MATCH(COLUMNS($AB$1006:AF1006),$AB$1006:$AQ$1006,0)))),"Fix")))</f>
        <v>0</v>
      </c>
      <c r="G822" s="4">
        <f>IF(OR(INDEX($V$2:$V$1001,MATCH(ROWS($U$2:U822),$U$2:$U$1001,0),1)&gt;=100000,INDEX($AB$1005:$AQ$1005,1,MATCH(COLUMNS($AB$1006:AG1006),$AB$1006:$AQ$1006,0))&gt;=100000), " ",IF(INDEX($AB$2:$AQ$1001,MATCH(ROWS($U$2:U822),$U$2:$U$1001,0),MATCH(COLUMNS($AB$1006:AG1006),$AB$1006:$AQ$1006,0)), HYPERLINK("#",""), HYPERLINK(CONCATENATE("#metadata!", ADDRESS(INDEX($W$2:$W$1001,MATCH(ROWS($U$2:U822),$U$2:$U$1001,0),0), INDEX($AB$1004:$AQ$1004,1,MATCH(COLUMNS($AB$1006:AG1006),$AB$1006:$AQ$1006,0)))),"Fix")))</f>
        <v>0</v>
      </c>
      <c r="H822" s="4">
        <f>IF(OR(INDEX($V$2:$V$1001,MATCH(ROWS($U$2:U822),$U$2:$U$1001,0),1)&gt;=100000,INDEX($AB$1005:$AQ$1005,1,MATCH(COLUMNS($AB$1006:AH1006),$AB$1006:$AQ$1006,0))&gt;=100000), " ",IF(INDEX($AB$2:$AQ$1001,MATCH(ROWS($U$2:U822),$U$2:$U$1001,0),MATCH(COLUMNS($AB$1006:AH1006),$AB$1006:$AQ$1006,0)), HYPERLINK("#",""), HYPERLINK(CONCATENATE("#metadata!", ADDRESS(INDEX($W$2:$W$1001,MATCH(ROWS($U$2:U822),$U$2:$U$1001,0),0), INDEX($AB$1004:$AQ$1004,1,MATCH(COLUMNS($AB$1006:AH1006),$AB$1006:$AQ$1006,0)))),"Fix")))</f>
        <v>0</v>
      </c>
      <c r="I822" s="4">
        <f>IF(OR(INDEX($V$2:$V$1001,MATCH(ROWS($U$2:U822),$U$2:$U$1001,0),1)&gt;=100000,INDEX($AB$1005:$AQ$1005,1,MATCH(COLUMNS($AB$1006:AI1006),$AB$1006:$AQ$1006,0))&gt;=100000), " ",IF(INDEX($AB$2:$AQ$1001,MATCH(ROWS($U$2:U822),$U$2:$U$1001,0),MATCH(COLUMNS($AB$1006:AI1006),$AB$1006:$AQ$1006,0)), HYPERLINK("#",""), HYPERLINK(CONCATENATE("#metadata!", ADDRESS(INDEX($W$2:$W$1001,MATCH(ROWS($U$2:U822),$U$2:$U$1001,0),0), INDEX($AB$1004:$AQ$1004,1,MATCH(COLUMNS($AB$1006:AI1006),$AB$1006:$AQ$1006,0)))),"Fix")))</f>
        <v>0</v>
      </c>
      <c r="J822" s="4">
        <f>IF(OR(INDEX($V$2:$V$1001,MATCH(ROWS($U$2:U822),$U$2:$U$1001,0),1)&gt;=100000,INDEX($AB$1005:$AQ$1005,1,MATCH(COLUMNS($AB$1006:AJ1006),$AB$1006:$AQ$1006,0))&gt;=100000), " ",IF(INDEX($AB$2:$AQ$1001,MATCH(ROWS($U$2:U822),$U$2:$U$1001,0),MATCH(COLUMNS($AB$1006:AJ1006),$AB$1006:$AQ$1006,0)), HYPERLINK("#",""), HYPERLINK(CONCATENATE("#metadata!", ADDRESS(INDEX($W$2:$W$1001,MATCH(ROWS($U$2:U822),$U$2:$U$1001,0),0), INDEX($AB$1004:$AQ$1004,1,MATCH(COLUMNS($AB$1006:AJ1006),$AB$1006:$AQ$1006,0)))),"Fix")))</f>
        <v>0</v>
      </c>
      <c r="K822" s="4">
        <f>IF(OR(INDEX($V$2:$V$1001,MATCH(ROWS($U$2:U822),$U$2:$U$1001,0),1)&gt;=100000,INDEX($AB$1005:$AQ$1005,1,MATCH(COLUMNS($AB$1006:AK1006),$AB$1006:$AQ$1006,0))&gt;=100000), " ",IF(INDEX($AB$2:$AQ$1001,MATCH(ROWS($U$2:U822),$U$2:$U$1001,0),MATCH(COLUMNS($AB$1006:AK1006),$AB$1006:$AQ$1006,0)), HYPERLINK("#",""), HYPERLINK(CONCATENATE("#metadata!", ADDRESS(INDEX($W$2:$W$1001,MATCH(ROWS($U$2:U822),$U$2:$U$1001,0),0), INDEX($AB$1004:$AQ$1004,1,MATCH(COLUMNS($AB$1006:AK1006),$AB$1006:$AQ$1006,0)))),"Fix")))</f>
        <v>0</v>
      </c>
      <c r="L822" s="4">
        <f>IF(OR(INDEX($V$2:$V$1001,MATCH(ROWS($U$2:U822),$U$2:$U$1001,0),1)&gt;=100000,INDEX($AB$1005:$AQ$1005,1,MATCH(COLUMNS($AB$1006:AL1006),$AB$1006:$AQ$1006,0))&gt;=100000), " ",IF(INDEX($AB$2:$AQ$1001,MATCH(ROWS($U$2:U822),$U$2:$U$1001,0),MATCH(COLUMNS($AB$1006:AL1006),$AB$1006:$AQ$1006,0)), HYPERLINK("#",""), HYPERLINK(CONCATENATE("#metadata!", ADDRESS(INDEX($W$2:$W$1001,MATCH(ROWS($U$2:U822),$U$2:$U$1001,0),0), INDEX($AB$1004:$AQ$1004,1,MATCH(COLUMNS($AB$1006:AL1006),$AB$1006:$AQ$1006,0)))),"Fix")))</f>
        <v>0</v>
      </c>
      <c r="M822" s="4">
        <f>IF(OR(INDEX($V$2:$V$1001,MATCH(ROWS($U$2:U822),$U$2:$U$1001,0),1)&gt;=100000,INDEX($AB$1005:$AQ$1005,1,MATCH(COLUMNS($AB$1006:AM1006),$AB$1006:$AQ$1006,0))&gt;=100000), " ",IF(INDEX($AB$2:$AQ$1001,MATCH(ROWS($U$2:U822),$U$2:$U$1001,0),MATCH(COLUMNS($AB$1006:AM1006),$AB$1006:$AQ$1006,0)), HYPERLINK("#",""), HYPERLINK(CONCATENATE("#metadata!", ADDRESS(INDEX($W$2:$W$1001,MATCH(ROWS($U$2:U822),$U$2:$U$1001,0),0), INDEX($AB$1004:$AQ$1004,1,MATCH(COLUMNS($AB$1006:AM1006),$AB$1006:$AQ$1006,0)))),"Fix")))</f>
        <v>0</v>
      </c>
      <c r="N822" s="4">
        <f>IF(OR(INDEX($V$2:$V$1001,MATCH(ROWS($U$2:U822),$U$2:$U$1001,0),1)&gt;=100000,INDEX($AB$1005:$AQ$1005,1,MATCH(COLUMNS($AB$1006:AN1006),$AB$1006:$AQ$1006,0))&gt;=100000), " ",IF(INDEX($AB$2:$AQ$1001,MATCH(ROWS($U$2:U822),$U$2:$U$1001,0),MATCH(COLUMNS($AB$1006:AN1006),$AB$1006:$AQ$1006,0)), HYPERLINK("#",""), HYPERLINK(CONCATENATE("#metadata!", ADDRESS(INDEX($W$2:$W$1001,MATCH(ROWS($U$2:U822),$U$2:$U$1001,0),0), INDEX($AB$1004:$AQ$1004,1,MATCH(COLUMNS($AB$1006:AN1006),$AB$1006:$AQ$1006,0)))),"Fix")))</f>
        <v>0</v>
      </c>
      <c r="O822" s="4">
        <f>IF(OR(INDEX($V$2:$V$1001,MATCH(ROWS($U$2:U822),$U$2:$U$1001,0),1)&gt;=100000,INDEX($AB$1005:$AQ$1005,1,MATCH(COLUMNS($AB$1006:AO1006),$AB$1006:$AQ$1006,0))&gt;=100000), " ",IF(INDEX($AB$2:$AQ$1001,MATCH(ROWS($U$2:U822),$U$2:$U$1001,0),MATCH(COLUMNS($AB$1006:AO1006),$AB$1006:$AQ$1006,0)), HYPERLINK("#",""), HYPERLINK(CONCATENATE("#metadata!", ADDRESS(INDEX($W$2:$W$1001,MATCH(ROWS($U$2:U822),$U$2:$U$1001,0),0), INDEX($AB$1004:$AQ$1004,1,MATCH(COLUMNS($AB$1006:AO1006),$AB$1006:$AQ$1006,0)))),"Fix")))</f>
        <v>0</v>
      </c>
      <c r="P822" s="4">
        <f>IF(OR(INDEX($V$2:$V$1001,MATCH(ROWS($U$2:U822),$U$2:$U$1001,0),1)&gt;=100000,INDEX($AB$1005:$AQ$1005,1,MATCH(COLUMNS($AB$1006:AP1006),$AB$1006:$AQ$1006,0))&gt;=100000), " ",IF(INDEX($AB$2:$AQ$1001,MATCH(ROWS($U$2:U822),$U$2:$U$1001,0),MATCH(COLUMNS($AB$1006:AP1006),$AB$1006:$AQ$1006,0)), HYPERLINK("#",""), HYPERLINK(CONCATENATE("#metadata!", ADDRESS(INDEX($W$2:$W$1001,MATCH(ROWS($U$2:U822),$U$2:$U$1001,0),0), INDEX($AB$1004:$AQ$1004,1,MATCH(COLUMNS($AB$1006:AP1006),$AB$1006:$AQ$1006,0)))),"Fix")))</f>
        <v>0</v>
      </c>
      <c r="Q822" s="4">
        <f>IF(OR(INDEX($V$2:$V$1001,MATCH(ROWS($U$2:U822),$U$2:$U$1001,0),1)&gt;=100000,INDEX($AB$1005:$AQ$1005,1,MATCH(COLUMNS($AB$1006:AQ1006),$AB$1006:$AQ$1006,0))&gt;=100000), " ",IF(INDEX($AB$2:$AQ$1001,MATCH(ROWS($U$2:U822),$U$2:$U$1001,0),MATCH(COLUMNS($AB$1006:AQ1006),$AB$1006:$AQ$1006,0)), HYPERLINK("#",""), HYPERLINK(CONCATENATE("#metadata!", ADDRESS(INDEX($W$2:$W$1001,MATCH(ROWS($U$2:U822),$U$2:$U$1001,0),0), INDEX($AB$1004:$AQ$1004,1,MATCH(COLUMNS($AB$1006:AQ1006),$AB$1006:$AQ$1006,0)))),"Fix")))</f>
        <v>0</v>
      </c>
      <c r="U822">
        <v>0</v>
      </c>
      <c r="V822">
        <v>0</v>
      </c>
      <c r="W822">
        <v>0</v>
      </c>
      <c r="X822">
        <f>IF(Y822,TRUE,AND(AB822:AQ822))</f>
        <v>0</v>
      </c>
      <c r="Y822">
        <f>COUNTBLANK(metadata!B822:Q822)=COLUMNS(metadata!B822:Q822)</f>
        <v>0</v>
      </c>
      <c r="Z822">
        <v>0</v>
      </c>
      <c r="AB822">
        <f>AND(IF(metadata!B822="",FALSE,TRUE),COUNTIF(metadata!B:B, metadata!B822) = 1,NOT(ISERROR(SUMPRODUCT(SEARCH(MID(metadata!B822,ROW(INDIRECT("1:"&amp;LEN(metadata!B822))), 1),"0123456789abcdefghijklmnopqrstuvwxyzABCDEFGHIJKLMNOPQRSTUVWXYZ.")))))</f>
        <v>0</v>
      </c>
      <c r="AC822">
        <f>OR(AND(IF(metadata!C822="",FALSE,TRUE),OR(exact(metadata!C822,"missing: not collected"),exact(metadata!C822,"missing: not provided"),exact(metadata!C822,"missing: restricted access"))),AND(IF(metadata!C822="",FALSE,TRUE),AND(AND(IFERROR(INT(LEFT(metadata!C822,4))&gt;1900,FALSE),IFERROR(INT(LEFT(metadata!C822,4))&lt;=YEAR(NOW()),FALSE)), OR(MID(metadata!C822,5,1)="", AND(AND(MID(metadata!C822,5,1)="-",IFERROR(INT(MID(metadata!C822,6,1))&gt;=0,FALSE),IFERROR(INT(MID(metadata!C822,6,1))&lt;=1,FALSE),NOT(MID(metadata!C822,7,1)=""),IFERROR(INT(MID(metadata!C822,6,2))&gt;=1,FALSE),IFERROR(INT(MID(metadata!C822,6,2))&lt;=12,FALSE)), OR(MID(metadata!C822,8,1)="", AND(AND(MID(metadata!C822,8,1)="-",IFERROR(INT(MID(metadata!C822,9,1))&gt;=0,FALSE),IFERROR(INT(MID(metadata!C822,9,1))&lt;=3,FALSE),NOT(MID(metadata!C822,10,1)=""),IFERROR(INT(MID(metadata!C822,9,2))&gt;=1,FALSE),IFERROR(INT(MID(metadata!C822,9,2))&lt;=31,FALSE)), OR(MID(metadata!C822,11,1)="", AND(AND(MID(metadata!C822,11,1)=" ",IFERROR(INT(MID(metadata!C822,12,1))&gt;=0,FALSE),IFERROR(INT(MID(metadata!C822,12,1))&lt;=2,FALSE),NOT(MID(metadata!C822,13,1)=""),IFERROR(INT(MID(metadata!C822,12,2))&gt;=0,FALSE),IFERROR(INT(MID(metadata!C822,12,2))&lt;=23,FALSE)), OR(MID(metadata!C822,14,1)="", AND(AND(MID(metadata!C822,14,1)=":",IFERROR(INT(MID(metadata!C822,15,1))&gt;=0,FALSE),IFERROR(INT(MID(metadata!C822,15,1))&lt;=5,FALSE),NOT(MID(metadata!C822,16,1)=""),IFERROR(INT(MID(metadata!C822,15,2))&gt;=0,FALSE),IFERROR(INT(MID(metadata!C822,15,2))&lt;=59,FALSE)), OR(MID(metadata!C822,17,1)="", AND(AND(MID(metadata!C822,17,1)=":",IFERROR(INT(MID(metadata!C822,18,1))&gt;=0,FALSE),IFERROR(INT(MID(metadata!C822,18,1))&lt;=5,FALSE),NOT(MID(metadata!C822,19,1)=""),IFERROR(INT(MID(metadata!C822,18,2))&gt;=0,FALSE),IFERROR(INT(MID(metadata!C822,18,2))&lt;=59,FALSE)), LEN(metadata!C822)&lt;=19)))))))))))))</f>
        <v>0</v>
      </c>
      <c r="AD822">
        <f>IF(metadata!D822="",FALSE,TRUE)</f>
        <v>0</v>
      </c>
      <c r="AE822">
        <f>OR(AND(IF(metadata!E822="",FALSE,TRUE),OR(exact(metadata!E822,"missing: not collected"),exact(metadata!E822,"missing: not provided"))),AND(IF(metadata!E822="",FALSE,TRUE),OR(exact(metadata!E822,"TRUE"),exact(metadata!E822,"FALSE"))))</f>
        <v>0</v>
      </c>
      <c r="AF822">
        <f>IF(metadata!F822="",FALSE,TRUE)</f>
        <v>0</v>
      </c>
      <c r="AG822">
        <f>IF(metadata!G822="",FALSE,TRUE)</f>
        <v>0</v>
      </c>
      <c r="AH822">
        <f>IF(metadata!H822="",FALSE,TRUE)</f>
        <v>0</v>
      </c>
      <c r="AI822">
        <f>OR(AND(IF(metadata!I822="",FALSE,TRUE),OR(exact(metadata!I822,"missing: not collected"),exact(metadata!I822,"missing: not provided"),exact(metadata!I822,"missing: restricted access"))),AND(IF(metadata!I822="",FALSE,TRUE),OR(exact(metadata!I822,"air"),exact(metadata!I822,"built environment"),exact(metadata!I822,"host-associated"),exact(metadata!I822,"human-associated"),exact(metadata!I822,"human-skin"),exact(metadata!I822,"human-oral"),exact(metadata!I822,"human-gut"),exact(metadata!I822,"human-vaginal"),exact(metadata!I822,"microbial mat/biofilm"),exact(metadata!I822,"misc environment"),exact(metadata!I822,"plant-associated"),exact(metadata!I822,"sediment"),exact(metadata!I822,"soil"),exact(metadata!I822,"wastewater/sludge"),exact(metadata!I822,"water"))))</f>
        <v>0</v>
      </c>
      <c r="AJ822">
        <f>IF(metadata!J822="",FALSE,TRUE)</f>
        <v>0</v>
      </c>
      <c r="AK822">
        <f>OR(AND(IF(metadata!K822="",FALSE,TRUE),OR(exact(metadata!K822,"missing: not collected"),exact(metadata!K822,"missing: not provided"),exact(metadata!K822,"missing: restricted access"))),AND(IF(metadata!K822="",FALSE,ISNUMBER(VALUE(metadata!K822))),metadata!K822&gt;=-90.00,metadata!K822&lt;=90.00))</f>
        <v>0</v>
      </c>
      <c r="AL822">
        <f>OR(AND(IF(metadata!L822="",FALSE,TRUE),OR(exact(metadata!L822,"missing: not collected"),exact(metadata!L822,"missing: not provided"),exact(metadata!L822,"missing: restricted access"))),AND(IF(metadata!L822="",FALSE,ISNUMBER(VALUE(metadata!L822))),metadata!L822&gt;=-180.00,metadata!L822&lt;=180.00))</f>
        <v>0</v>
      </c>
      <c r="AM822">
        <f>IF(metadata!M822="",FALSE,TRUE)</f>
        <v>0</v>
      </c>
      <c r="AN822">
        <f>OR(AND(IF(metadata!N822="",FALSE,TRUE),OR(exact(metadata!N822,"missing: not collected"),exact(metadata!N822,"missing: not provided"),exact(metadata!N822,"missing: restricted access"))),AND(IF(metadata!N822="",FALSE,TRUE),OR(exact(metadata!N822,"TRUE"),exact(metadata!N822,"FALSE"))))</f>
        <v>0</v>
      </c>
      <c r="AO822">
        <f>IF(metadata!O822="",FALSE,TRUE)</f>
        <v>0</v>
      </c>
      <c r="AP822">
        <f>OR(AND(IF(metadata!P822="",FALSE,TRUE),OR(exact(metadata!P822,"missing: not collected"),exact(metadata!P822,"missing: not provided"))),AND(IF(metadata!P822="",FALSE,IF(ISERROR(INT(metadata!P822)),FALSE,INT(metadata!P822)=metadata!P822)),metadata!P822&gt;0))</f>
        <v>0</v>
      </c>
      <c r="AQ822">
        <f>IF(metadata!Q822="",FALSE,TRUE)</f>
        <v>0</v>
      </c>
    </row>
    <row r="823" spans="1:43">
      <c r="A823" s="5">
        <f>IF(B823=" "," ",HYPERLINK(CONCATENATE("#metadata!",ADDRESS(INDEX($W$2:$W$1001,MATCH(ROWS($U$2:U823),$U$2:$U$1001,0),0),1)),INDEX($Z$2:$Z$1001,MATCH(ROWS($U$2:U823),$U$2:$U$1001,0),0)))</f>
        <v>0</v>
      </c>
      <c r="B823" s="4">
        <f>IF(OR(INDEX($V$2:$V$1001,MATCH(ROWS($U$2:U823),$U$2:$U$1001,0),1)&gt;=100000,INDEX($AB$1005:$AQ$1005,1,MATCH(COLUMNS($AB$1006:AB1006),$AB$1006:$AQ$1006,0))&gt;=100000), " ",IF(INDEX($AB$2:$AQ$1001,MATCH(ROWS($U$2:U823),$U$2:$U$1001,0),MATCH(COLUMNS($AB$1006:AB1006),$AB$1006:$AQ$1006,0)), HYPERLINK("#",""), HYPERLINK(CONCATENATE("#metadata!", ADDRESS(INDEX($W$2:$W$1001,MATCH(ROWS($U$2:U823),$U$2:$U$1001,0),0), INDEX($AB$1004:$AQ$1004,1,MATCH(COLUMNS($AB$1006:AB1006),$AB$1006:$AQ$1006,0)))),"Fix")))</f>
        <v>0</v>
      </c>
      <c r="C823" s="4">
        <f>IF(OR(INDEX($V$2:$V$1001,MATCH(ROWS($U$2:U823),$U$2:$U$1001,0),1)&gt;=100000,INDEX($AB$1005:$AQ$1005,1,MATCH(COLUMNS($AB$1006:AC1006),$AB$1006:$AQ$1006,0))&gt;=100000), " ",IF(INDEX($AB$2:$AQ$1001,MATCH(ROWS($U$2:U823),$U$2:$U$1001,0),MATCH(COLUMNS($AB$1006:AC1006),$AB$1006:$AQ$1006,0)), HYPERLINK("#",""), HYPERLINK(CONCATENATE("#metadata!", ADDRESS(INDEX($W$2:$W$1001,MATCH(ROWS($U$2:U823),$U$2:$U$1001,0),0), INDEX($AB$1004:$AQ$1004,1,MATCH(COLUMNS($AB$1006:AC1006),$AB$1006:$AQ$1006,0)))),"Fix")))</f>
        <v>0</v>
      </c>
      <c r="D823" s="4">
        <f>IF(OR(INDEX($V$2:$V$1001,MATCH(ROWS($U$2:U823),$U$2:$U$1001,0),1)&gt;=100000,INDEX($AB$1005:$AQ$1005,1,MATCH(COLUMNS($AB$1006:AD1006),$AB$1006:$AQ$1006,0))&gt;=100000), " ",IF(INDEX($AB$2:$AQ$1001,MATCH(ROWS($U$2:U823),$U$2:$U$1001,0),MATCH(COLUMNS($AB$1006:AD1006),$AB$1006:$AQ$1006,0)), HYPERLINK("#",""), HYPERLINK(CONCATENATE("#metadata!", ADDRESS(INDEX($W$2:$W$1001,MATCH(ROWS($U$2:U823),$U$2:$U$1001,0),0), INDEX($AB$1004:$AQ$1004,1,MATCH(COLUMNS($AB$1006:AD1006),$AB$1006:$AQ$1006,0)))),"Fix")))</f>
        <v>0</v>
      </c>
      <c r="E823" s="4">
        <f>IF(OR(INDEX($V$2:$V$1001,MATCH(ROWS($U$2:U823),$U$2:$U$1001,0),1)&gt;=100000,INDEX($AB$1005:$AQ$1005,1,MATCH(COLUMNS($AB$1006:AE1006),$AB$1006:$AQ$1006,0))&gt;=100000), " ",IF(INDEX($AB$2:$AQ$1001,MATCH(ROWS($U$2:U823),$U$2:$U$1001,0),MATCH(COLUMNS($AB$1006:AE1006),$AB$1006:$AQ$1006,0)), HYPERLINK("#",""), HYPERLINK(CONCATENATE("#metadata!", ADDRESS(INDEX($W$2:$W$1001,MATCH(ROWS($U$2:U823),$U$2:$U$1001,0),0), INDEX($AB$1004:$AQ$1004,1,MATCH(COLUMNS($AB$1006:AE1006),$AB$1006:$AQ$1006,0)))),"Fix")))</f>
        <v>0</v>
      </c>
      <c r="F823" s="4">
        <f>IF(OR(INDEX($V$2:$V$1001,MATCH(ROWS($U$2:U823),$U$2:$U$1001,0),1)&gt;=100000,INDEX($AB$1005:$AQ$1005,1,MATCH(COLUMNS($AB$1006:AF1006),$AB$1006:$AQ$1006,0))&gt;=100000), " ",IF(INDEX($AB$2:$AQ$1001,MATCH(ROWS($U$2:U823),$U$2:$U$1001,0),MATCH(COLUMNS($AB$1006:AF1006),$AB$1006:$AQ$1006,0)), HYPERLINK("#",""), HYPERLINK(CONCATENATE("#metadata!", ADDRESS(INDEX($W$2:$W$1001,MATCH(ROWS($U$2:U823),$U$2:$U$1001,0),0), INDEX($AB$1004:$AQ$1004,1,MATCH(COLUMNS($AB$1006:AF1006),$AB$1006:$AQ$1006,0)))),"Fix")))</f>
        <v>0</v>
      </c>
      <c r="G823" s="4">
        <f>IF(OR(INDEX($V$2:$V$1001,MATCH(ROWS($U$2:U823),$U$2:$U$1001,0),1)&gt;=100000,INDEX($AB$1005:$AQ$1005,1,MATCH(COLUMNS($AB$1006:AG1006),$AB$1006:$AQ$1006,0))&gt;=100000), " ",IF(INDEX($AB$2:$AQ$1001,MATCH(ROWS($U$2:U823),$U$2:$U$1001,0),MATCH(COLUMNS($AB$1006:AG1006),$AB$1006:$AQ$1006,0)), HYPERLINK("#",""), HYPERLINK(CONCATENATE("#metadata!", ADDRESS(INDEX($W$2:$W$1001,MATCH(ROWS($U$2:U823),$U$2:$U$1001,0),0), INDEX($AB$1004:$AQ$1004,1,MATCH(COLUMNS($AB$1006:AG1006),$AB$1006:$AQ$1006,0)))),"Fix")))</f>
        <v>0</v>
      </c>
      <c r="H823" s="4">
        <f>IF(OR(INDEX($V$2:$V$1001,MATCH(ROWS($U$2:U823),$U$2:$U$1001,0),1)&gt;=100000,INDEX($AB$1005:$AQ$1005,1,MATCH(COLUMNS($AB$1006:AH1006),$AB$1006:$AQ$1006,0))&gt;=100000), " ",IF(INDEX($AB$2:$AQ$1001,MATCH(ROWS($U$2:U823),$U$2:$U$1001,0),MATCH(COLUMNS($AB$1006:AH1006),$AB$1006:$AQ$1006,0)), HYPERLINK("#",""), HYPERLINK(CONCATENATE("#metadata!", ADDRESS(INDEX($W$2:$W$1001,MATCH(ROWS($U$2:U823),$U$2:$U$1001,0),0), INDEX($AB$1004:$AQ$1004,1,MATCH(COLUMNS($AB$1006:AH1006),$AB$1006:$AQ$1006,0)))),"Fix")))</f>
        <v>0</v>
      </c>
      <c r="I823" s="4">
        <f>IF(OR(INDEX($V$2:$V$1001,MATCH(ROWS($U$2:U823),$U$2:$U$1001,0),1)&gt;=100000,INDEX($AB$1005:$AQ$1005,1,MATCH(COLUMNS($AB$1006:AI1006),$AB$1006:$AQ$1006,0))&gt;=100000), " ",IF(INDEX($AB$2:$AQ$1001,MATCH(ROWS($U$2:U823),$U$2:$U$1001,0),MATCH(COLUMNS($AB$1006:AI1006),$AB$1006:$AQ$1006,0)), HYPERLINK("#",""), HYPERLINK(CONCATENATE("#metadata!", ADDRESS(INDEX($W$2:$W$1001,MATCH(ROWS($U$2:U823),$U$2:$U$1001,0),0), INDEX($AB$1004:$AQ$1004,1,MATCH(COLUMNS($AB$1006:AI1006),$AB$1006:$AQ$1006,0)))),"Fix")))</f>
        <v>0</v>
      </c>
      <c r="J823" s="4">
        <f>IF(OR(INDEX($V$2:$V$1001,MATCH(ROWS($U$2:U823),$U$2:$U$1001,0),1)&gt;=100000,INDEX($AB$1005:$AQ$1005,1,MATCH(COLUMNS($AB$1006:AJ1006),$AB$1006:$AQ$1006,0))&gt;=100000), " ",IF(INDEX($AB$2:$AQ$1001,MATCH(ROWS($U$2:U823),$U$2:$U$1001,0),MATCH(COLUMNS($AB$1006:AJ1006),$AB$1006:$AQ$1006,0)), HYPERLINK("#",""), HYPERLINK(CONCATENATE("#metadata!", ADDRESS(INDEX($W$2:$W$1001,MATCH(ROWS($U$2:U823),$U$2:$U$1001,0),0), INDEX($AB$1004:$AQ$1004,1,MATCH(COLUMNS($AB$1006:AJ1006),$AB$1006:$AQ$1006,0)))),"Fix")))</f>
        <v>0</v>
      </c>
      <c r="K823" s="4">
        <f>IF(OR(INDEX($V$2:$V$1001,MATCH(ROWS($U$2:U823),$U$2:$U$1001,0),1)&gt;=100000,INDEX($AB$1005:$AQ$1005,1,MATCH(COLUMNS($AB$1006:AK1006),$AB$1006:$AQ$1006,0))&gt;=100000), " ",IF(INDEX($AB$2:$AQ$1001,MATCH(ROWS($U$2:U823),$U$2:$U$1001,0),MATCH(COLUMNS($AB$1006:AK1006),$AB$1006:$AQ$1006,0)), HYPERLINK("#",""), HYPERLINK(CONCATENATE("#metadata!", ADDRESS(INDEX($W$2:$W$1001,MATCH(ROWS($U$2:U823),$U$2:$U$1001,0),0), INDEX($AB$1004:$AQ$1004,1,MATCH(COLUMNS($AB$1006:AK1006),$AB$1006:$AQ$1006,0)))),"Fix")))</f>
        <v>0</v>
      </c>
      <c r="L823" s="4">
        <f>IF(OR(INDEX($V$2:$V$1001,MATCH(ROWS($U$2:U823),$U$2:$U$1001,0),1)&gt;=100000,INDEX($AB$1005:$AQ$1005,1,MATCH(COLUMNS($AB$1006:AL1006),$AB$1006:$AQ$1006,0))&gt;=100000), " ",IF(INDEX($AB$2:$AQ$1001,MATCH(ROWS($U$2:U823),$U$2:$U$1001,0),MATCH(COLUMNS($AB$1006:AL1006),$AB$1006:$AQ$1006,0)), HYPERLINK("#",""), HYPERLINK(CONCATENATE("#metadata!", ADDRESS(INDEX($W$2:$W$1001,MATCH(ROWS($U$2:U823),$U$2:$U$1001,0),0), INDEX($AB$1004:$AQ$1004,1,MATCH(COLUMNS($AB$1006:AL1006),$AB$1006:$AQ$1006,0)))),"Fix")))</f>
        <v>0</v>
      </c>
      <c r="M823" s="4">
        <f>IF(OR(INDEX($V$2:$V$1001,MATCH(ROWS($U$2:U823),$U$2:$U$1001,0),1)&gt;=100000,INDEX($AB$1005:$AQ$1005,1,MATCH(COLUMNS($AB$1006:AM1006),$AB$1006:$AQ$1006,0))&gt;=100000), " ",IF(INDEX($AB$2:$AQ$1001,MATCH(ROWS($U$2:U823),$U$2:$U$1001,0),MATCH(COLUMNS($AB$1006:AM1006),$AB$1006:$AQ$1006,0)), HYPERLINK("#",""), HYPERLINK(CONCATENATE("#metadata!", ADDRESS(INDEX($W$2:$W$1001,MATCH(ROWS($U$2:U823),$U$2:$U$1001,0),0), INDEX($AB$1004:$AQ$1004,1,MATCH(COLUMNS($AB$1006:AM1006),$AB$1006:$AQ$1006,0)))),"Fix")))</f>
        <v>0</v>
      </c>
      <c r="N823" s="4">
        <f>IF(OR(INDEX($V$2:$V$1001,MATCH(ROWS($U$2:U823),$U$2:$U$1001,0),1)&gt;=100000,INDEX($AB$1005:$AQ$1005,1,MATCH(COLUMNS($AB$1006:AN1006),$AB$1006:$AQ$1006,0))&gt;=100000), " ",IF(INDEX($AB$2:$AQ$1001,MATCH(ROWS($U$2:U823),$U$2:$U$1001,0),MATCH(COLUMNS($AB$1006:AN1006),$AB$1006:$AQ$1006,0)), HYPERLINK("#",""), HYPERLINK(CONCATENATE("#metadata!", ADDRESS(INDEX($W$2:$W$1001,MATCH(ROWS($U$2:U823),$U$2:$U$1001,0),0), INDEX($AB$1004:$AQ$1004,1,MATCH(COLUMNS($AB$1006:AN1006),$AB$1006:$AQ$1006,0)))),"Fix")))</f>
        <v>0</v>
      </c>
      <c r="O823" s="4">
        <f>IF(OR(INDEX($V$2:$V$1001,MATCH(ROWS($U$2:U823),$U$2:$U$1001,0),1)&gt;=100000,INDEX($AB$1005:$AQ$1005,1,MATCH(COLUMNS($AB$1006:AO1006),$AB$1006:$AQ$1006,0))&gt;=100000), " ",IF(INDEX($AB$2:$AQ$1001,MATCH(ROWS($U$2:U823),$U$2:$U$1001,0),MATCH(COLUMNS($AB$1006:AO1006),$AB$1006:$AQ$1006,0)), HYPERLINK("#",""), HYPERLINK(CONCATENATE("#metadata!", ADDRESS(INDEX($W$2:$W$1001,MATCH(ROWS($U$2:U823),$U$2:$U$1001,0),0), INDEX($AB$1004:$AQ$1004,1,MATCH(COLUMNS($AB$1006:AO1006),$AB$1006:$AQ$1006,0)))),"Fix")))</f>
        <v>0</v>
      </c>
      <c r="P823" s="4">
        <f>IF(OR(INDEX($V$2:$V$1001,MATCH(ROWS($U$2:U823),$U$2:$U$1001,0),1)&gt;=100000,INDEX($AB$1005:$AQ$1005,1,MATCH(COLUMNS($AB$1006:AP1006),$AB$1006:$AQ$1006,0))&gt;=100000), " ",IF(INDEX($AB$2:$AQ$1001,MATCH(ROWS($U$2:U823),$U$2:$U$1001,0),MATCH(COLUMNS($AB$1006:AP1006),$AB$1006:$AQ$1006,0)), HYPERLINK("#",""), HYPERLINK(CONCATENATE("#metadata!", ADDRESS(INDEX($W$2:$W$1001,MATCH(ROWS($U$2:U823),$U$2:$U$1001,0),0), INDEX($AB$1004:$AQ$1004,1,MATCH(COLUMNS($AB$1006:AP1006),$AB$1006:$AQ$1006,0)))),"Fix")))</f>
        <v>0</v>
      </c>
      <c r="Q823" s="4">
        <f>IF(OR(INDEX($V$2:$V$1001,MATCH(ROWS($U$2:U823),$U$2:$U$1001,0),1)&gt;=100000,INDEX($AB$1005:$AQ$1005,1,MATCH(COLUMNS($AB$1006:AQ1006),$AB$1006:$AQ$1006,0))&gt;=100000), " ",IF(INDEX($AB$2:$AQ$1001,MATCH(ROWS($U$2:U823),$U$2:$U$1001,0),MATCH(COLUMNS($AB$1006:AQ1006),$AB$1006:$AQ$1006,0)), HYPERLINK("#",""), HYPERLINK(CONCATENATE("#metadata!", ADDRESS(INDEX($W$2:$W$1001,MATCH(ROWS($U$2:U823),$U$2:$U$1001,0),0), INDEX($AB$1004:$AQ$1004,1,MATCH(COLUMNS($AB$1006:AQ1006),$AB$1006:$AQ$1006,0)))),"Fix")))</f>
        <v>0</v>
      </c>
      <c r="U823">
        <v>0</v>
      </c>
      <c r="V823">
        <v>0</v>
      </c>
      <c r="W823">
        <v>0</v>
      </c>
      <c r="X823">
        <f>IF(Y823,TRUE,AND(AB823:AQ823))</f>
        <v>0</v>
      </c>
      <c r="Y823">
        <f>COUNTBLANK(metadata!B823:Q823)=COLUMNS(metadata!B823:Q823)</f>
        <v>0</v>
      </c>
      <c r="Z823">
        <v>0</v>
      </c>
      <c r="AB823">
        <f>AND(IF(metadata!B823="",FALSE,TRUE),COUNTIF(metadata!B:B, metadata!B823) = 1,NOT(ISERROR(SUMPRODUCT(SEARCH(MID(metadata!B823,ROW(INDIRECT("1:"&amp;LEN(metadata!B823))), 1),"0123456789abcdefghijklmnopqrstuvwxyzABCDEFGHIJKLMNOPQRSTUVWXYZ.")))))</f>
        <v>0</v>
      </c>
      <c r="AC823">
        <f>OR(AND(IF(metadata!C823="",FALSE,TRUE),OR(exact(metadata!C823,"missing: not collected"),exact(metadata!C823,"missing: not provided"),exact(metadata!C823,"missing: restricted access"))),AND(IF(metadata!C823="",FALSE,TRUE),AND(AND(IFERROR(INT(LEFT(metadata!C823,4))&gt;1900,FALSE),IFERROR(INT(LEFT(metadata!C823,4))&lt;=YEAR(NOW()),FALSE)), OR(MID(metadata!C823,5,1)="", AND(AND(MID(metadata!C823,5,1)="-",IFERROR(INT(MID(metadata!C823,6,1))&gt;=0,FALSE),IFERROR(INT(MID(metadata!C823,6,1))&lt;=1,FALSE),NOT(MID(metadata!C823,7,1)=""),IFERROR(INT(MID(metadata!C823,6,2))&gt;=1,FALSE),IFERROR(INT(MID(metadata!C823,6,2))&lt;=12,FALSE)), OR(MID(metadata!C823,8,1)="", AND(AND(MID(metadata!C823,8,1)="-",IFERROR(INT(MID(metadata!C823,9,1))&gt;=0,FALSE),IFERROR(INT(MID(metadata!C823,9,1))&lt;=3,FALSE),NOT(MID(metadata!C823,10,1)=""),IFERROR(INT(MID(metadata!C823,9,2))&gt;=1,FALSE),IFERROR(INT(MID(metadata!C823,9,2))&lt;=31,FALSE)), OR(MID(metadata!C823,11,1)="", AND(AND(MID(metadata!C823,11,1)=" ",IFERROR(INT(MID(metadata!C823,12,1))&gt;=0,FALSE),IFERROR(INT(MID(metadata!C823,12,1))&lt;=2,FALSE),NOT(MID(metadata!C823,13,1)=""),IFERROR(INT(MID(metadata!C823,12,2))&gt;=0,FALSE),IFERROR(INT(MID(metadata!C823,12,2))&lt;=23,FALSE)), OR(MID(metadata!C823,14,1)="", AND(AND(MID(metadata!C823,14,1)=":",IFERROR(INT(MID(metadata!C823,15,1))&gt;=0,FALSE),IFERROR(INT(MID(metadata!C823,15,1))&lt;=5,FALSE),NOT(MID(metadata!C823,16,1)=""),IFERROR(INT(MID(metadata!C823,15,2))&gt;=0,FALSE),IFERROR(INT(MID(metadata!C823,15,2))&lt;=59,FALSE)), OR(MID(metadata!C823,17,1)="", AND(AND(MID(metadata!C823,17,1)=":",IFERROR(INT(MID(metadata!C823,18,1))&gt;=0,FALSE),IFERROR(INT(MID(metadata!C823,18,1))&lt;=5,FALSE),NOT(MID(metadata!C823,19,1)=""),IFERROR(INT(MID(metadata!C823,18,2))&gt;=0,FALSE),IFERROR(INT(MID(metadata!C823,18,2))&lt;=59,FALSE)), LEN(metadata!C823)&lt;=19)))))))))))))</f>
        <v>0</v>
      </c>
      <c r="AD823">
        <f>IF(metadata!D823="",FALSE,TRUE)</f>
        <v>0</v>
      </c>
      <c r="AE823">
        <f>OR(AND(IF(metadata!E823="",FALSE,TRUE),OR(exact(metadata!E823,"missing: not collected"),exact(metadata!E823,"missing: not provided"))),AND(IF(metadata!E823="",FALSE,TRUE),OR(exact(metadata!E823,"TRUE"),exact(metadata!E823,"FALSE"))))</f>
        <v>0</v>
      </c>
      <c r="AF823">
        <f>IF(metadata!F823="",FALSE,TRUE)</f>
        <v>0</v>
      </c>
      <c r="AG823">
        <f>IF(metadata!G823="",FALSE,TRUE)</f>
        <v>0</v>
      </c>
      <c r="AH823">
        <f>IF(metadata!H823="",FALSE,TRUE)</f>
        <v>0</v>
      </c>
      <c r="AI823">
        <f>OR(AND(IF(metadata!I823="",FALSE,TRUE),OR(exact(metadata!I823,"missing: not collected"),exact(metadata!I823,"missing: not provided"),exact(metadata!I823,"missing: restricted access"))),AND(IF(metadata!I823="",FALSE,TRUE),OR(exact(metadata!I823,"air"),exact(metadata!I823,"built environment"),exact(metadata!I823,"host-associated"),exact(metadata!I823,"human-associated"),exact(metadata!I823,"human-skin"),exact(metadata!I823,"human-oral"),exact(metadata!I823,"human-gut"),exact(metadata!I823,"human-vaginal"),exact(metadata!I823,"microbial mat/biofilm"),exact(metadata!I823,"misc environment"),exact(metadata!I823,"plant-associated"),exact(metadata!I823,"sediment"),exact(metadata!I823,"soil"),exact(metadata!I823,"wastewater/sludge"),exact(metadata!I823,"water"))))</f>
        <v>0</v>
      </c>
      <c r="AJ823">
        <f>IF(metadata!J823="",FALSE,TRUE)</f>
        <v>0</v>
      </c>
      <c r="AK823">
        <f>OR(AND(IF(metadata!K823="",FALSE,TRUE),OR(exact(metadata!K823,"missing: not collected"),exact(metadata!K823,"missing: not provided"),exact(metadata!K823,"missing: restricted access"))),AND(IF(metadata!K823="",FALSE,ISNUMBER(VALUE(metadata!K823))),metadata!K823&gt;=-90.00,metadata!K823&lt;=90.00))</f>
        <v>0</v>
      </c>
      <c r="AL823">
        <f>OR(AND(IF(metadata!L823="",FALSE,TRUE),OR(exact(metadata!L823,"missing: not collected"),exact(metadata!L823,"missing: not provided"),exact(metadata!L823,"missing: restricted access"))),AND(IF(metadata!L823="",FALSE,ISNUMBER(VALUE(metadata!L823))),metadata!L823&gt;=-180.00,metadata!L823&lt;=180.00))</f>
        <v>0</v>
      </c>
      <c r="AM823">
        <f>IF(metadata!M823="",FALSE,TRUE)</f>
        <v>0</v>
      </c>
      <c r="AN823">
        <f>OR(AND(IF(metadata!N823="",FALSE,TRUE),OR(exact(metadata!N823,"missing: not collected"),exact(metadata!N823,"missing: not provided"),exact(metadata!N823,"missing: restricted access"))),AND(IF(metadata!N823="",FALSE,TRUE),OR(exact(metadata!N823,"TRUE"),exact(metadata!N823,"FALSE"))))</f>
        <v>0</v>
      </c>
      <c r="AO823">
        <f>IF(metadata!O823="",FALSE,TRUE)</f>
        <v>0</v>
      </c>
      <c r="AP823">
        <f>OR(AND(IF(metadata!P823="",FALSE,TRUE),OR(exact(metadata!P823,"missing: not collected"),exact(metadata!P823,"missing: not provided"))),AND(IF(metadata!P823="",FALSE,IF(ISERROR(INT(metadata!P823)),FALSE,INT(metadata!P823)=metadata!P823)),metadata!P823&gt;0))</f>
        <v>0</v>
      </c>
      <c r="AQ823">
        <f>IF(metadata!Q823="",FALSE,TRUE)</f>
        <v>0</v>
      </c>
    </row>
    <row r="824" spans="1:43">
      <c r="A824" s="5">
        <f>IF(B824=" "," ",HYPERLINK(CONCATENATE("#metadata!",ADDRESS(INDEX($W$2:$W$1001,MATCH(ROWS($U$2:U824),$U$2:$U$1001,0),0),1)),INDEX($Z$2:$Z$1001,MATCH(ROWS($U$2:U824),$U$2:$U$1001,0),0)))</f>
        <v>0</v>
      </c>
      <c r="B824" s="4">
        <f>IF(OR(INDEX($V$2:$V$1001,MATCH(ROWS($U$2:U824),$U$2:$U$1001,0),1)&gt;=100000,INDEX($AB$1005:$AQ$1005,1,MATCH(COLUMNS($AB$1006:AB1006),$AB$1006:$AQ$1006,0))&gt;=100000), " ",IF(INDEX($AB$2:$AQ$1001,MATCH(ROWS($U$2:U824),$U$2:$U$1001,0),MATCH(COLUMNS($AB$1006:AB1006),$AB$1006:$AQ$1006,0)), HYPERLINK("#",""), HYPERLINK(CONCATENATE("#metadata!", ADDRESS(INDEX($W$2:$W$1001,MATCH(ROWS($U$2:U824),$U$2:$U$1001,0),0), INDEX($AB$1004:$AQ$1004,1,MATCH(COLUMNS($AB$1006:AB1006),$AB$1006:$AQ$1006,0)))),"Fix")))</f>
        <v>0</v>
      </c>
      <c r="C824" s="4">
        <f>IF(OR(INDEX($V$2:$V$1001,MATCH(ROWS($U$2:U824),$U$2:$U$1001,0),1)&gt;=100000,INDEX($AB$1005:$AQ$1005,1,MATCH(COLUMNS($AB$1006:AC1006),$AB$1006:$AQ$1006,0))&gt;=100000), " ",IF(INDEX($AB$2:$AQ$1001,MATCH(ROWS($U$2:U824),$U$2:$U$1001,0),MATCH(COLUMNS($AB$1006:AC1006),$AB$1006:$AQ$1006,0)), HYPERLINK("#",""), HYPERLINK(CONCATENATE("#metadata!", ADDRESS(INDEX($W$2:$W$1001,MATCH(ROWS($U$2:U824),$U$2:$U$1001,0),0), INDEX($AB$1004:$AQ$1004,1,MATCH(COLUMNS($AB$1006:AC1006),$AB$1006:$AQ$1006,0)))),"Fix")))</f>
        <v>0</v>
      </c>
      <c r="D824" s="4">
        <f>IF(OR(INDEX($V$2:$V$1001,MATCH(ROWS($U$2:U824),$U$2:$U$1001,0),1)&gt;=100000,INDEX($AB$1005:$AQ$1005,1,MATCH(COLUMNS($AB$1006:AD1006),$AB$1006:$AQ$1006,0))&gt;=100000), " ",IF(INDEX($AB$2:$AQ$1001,MATCH(ROWS($U$2:U824),$U$2:$U$1001,0),MATCH(COLUMNS($AB$1006:AD1006),$AB$1006:$AQ$1006,0)), HYPERLINK("#",""), HYPERLINK(CONCATENATE("#metadata!", ADDRESS(INDEX($W$2:$W$1001,MATCH(ROWS($U$2:U824),$U$2:$U$1001,0),0), INDEX($AB$1004:$AQ$1004,1,MATCH(COLUMNS($AB$1006:AD1006),$AB$1006:$AQ$1006,0)))),"Fix")))</f>
        <v>0</v>
      </c>
      <c r="E824" s="4">
        <f>IF(OR(INDEX($V$2:$V$1001,MATCH(ROWS($U$2:U824),$U$2:$U$1001,0),1)&gt;=100000,INDEX($AB$1005:$AQ$1005,1,MATCH(COLUMNS($AB$1006:AE1006),$AB$1006:$AQ$1006,0))&gt;=100000), " ",IF(INDEX($AB$2:$AQ$1001,MATCH(ROWS($U$2:U824),$U$2:$U$1001,0),MATCH(COLUMNS($AB$1006:AE1006),$AB$1006:$AQ$1006,0)), HYPERLINK("#",""), HYPERLINK(CONCATENATE("#metadata!", ADDRESS(INDEX($W$2:$W$1001,MATCH(ROWS($U$2:U824),$U$2:$U$1001,0),0), INDEX($AB$1004:$AQ$1004,1,MATCH(COLUMNS($AB$1006:AE1006),$AB$1006:$AQ$1006,0)))),"Fix")))</f>
        <v>0</v>
      </c>
      <c r="F824" s="4">
        <f>IF(OR(INDEX($V$2:$V$1001,MATCH(ROWS($U$2:U824),$U$2:$U$1001,0),1)&gt;=100000,INDEX($AB$1005:$AQ$1005,1,MATCH(COLUMNS($AB$1006:AF1006),$AB$1006:$AQ$1006,0))&gt;=100000), " ",IF(INDEX($AB$2:$AQ$1001,MATCH(ROWS($U$2:U824),$U$2:$U$1001,0),MATCH(COLUMNS($AB$1006:AF1006),$AB$1006:$AQ$1006,0)), HYPERLINK("#",""), HYPERLINK(CONCATENATE("#metadata!", ADDRESS(INDEX($W$2:$W$1001,MATCH(ROWS($U$2:U824),$U$2:$U$1001,0),0), INDEX($AB$1004:$AQ$1004,1,MATCH(COLUMNS($AB$1006:AF1006),$AB$1006:$AQ$1006,0)))),"Fix")))</f>
        <v>0</v>
      </c>
      <c r="G824" s="4">
        <f>IF(OR(INDEX($V$2:$V$1001,MATCH(ROWS($U$2:U824),$U$2:$U$1001,0),1)&gt;=100000,INDEX($AB$1005:$AQ$1005,1,MATCH(COLUMNS($AB$1006:AG1006),$AB$1006:$AQ$1006,0))&gt;=100000), " ",IF(INDEX($AB$2:$AQ$1001,MATCH(ROWS($U$2:U824),$U$2:$U$1001,0),MATCH(COLUMNS($AB$1006:AG1006),$AB$1006:$AQ$1006,0)), HYPERLINK("#",""), HYPERLINK(CONCATENATE("#metadata!", ADDRESS(INDEX($W$2:$W$1001,MATCH(ROWS($U$2:U824),$U$2:$U$1001,0),0), INDEX($AB$1004:$AQ$1004,1,MATCH(COLUMNS($AB$1006:AG1006),$AB$1006:$AQ$1006,0)))),"Fix")))</f>
        <v>0</v>
      </c>
      <c r="H824" s="4">
        <f>IF(OR(INDEX($V$2:$V$1001,MATCH(ROWS($U$2:U824),$U$2:$U$1001,0),1)&gt;=100000,INDEX($AB$1005:$AQ$1005,1,MATCH(COLUMNS($AB$1006:AH1006),$AB$1006:$AQ$1006,0))&gt;=100000), " ",IF(INDEX($AB$2:$AQ$1001,MATCH(ROWS($U$2:U824),$U$2:$U$1001,0),MATCH(COLUMNS($AB$1006:AH1006),$AB$1006:$AQ$1006,0)), HYPERLINK("#",""), HYPERLINK(CONCATENATE("#metadata!", ADDRESS(INDEX($W$2:$W$1001,MATCH(ROWS($U$2:U824),$U$2:$U$1001,0),0), INDEX($AB$1004:$AQ$1004,1,MATCH(COLUMNS($AB$1006:AH1006),$AB$1006:$AQ$1006,0)))),"Fix")))</f>
        <v>0</v>
      </c>
      <c r="I824" s="4">
        <f>IF(OR(INDEX($V$2:$V$1001,MATCH(ROWS($U$2:U824),$U$2:$U$1001,0),1)&gt;=100000,INDEX($AB$1005:$AQ$1005,1,MATCH(COLUMNS($AB$1006:AI1006),$AB$1006:$AQ$1006,0))&gt;=100000), " ",IF(INDEX($AB$2:$AQ$1001,MATCH(ROWS($U$2:U824),$U$2:$U$1001,0),MATCH(COLUMNS($AB$1006:AI1006),$AB$1006:$AQ$1006,0)), HYPERLINK("#",""), HYPERLINK(CONCATENATE("#metadata!", ADDRESS(INDEX($W$2:$W$1001,MATCH(ROWS($U$2:U824),$U$2:$U$1001,0),0), INDEX($AB$1004:$AQ$1004,1,MATCH(COLUMNS($AB$1006:AI1006),$AB$1006:$AQ$1006,0)))),"Fix")))</f>
        <v>0</v>
      </c>
      <c r="J824" s="4">
        <f>IF(OR(INDEX($V$2:$V$1001,MATCH(ROWS($U$2:U824),$U$2:$U$1001,0),1)&gt;=100000,INDEX($AB$1005:$AQ$1005,1,MATCH(COLUMNS($AB$1006:AJ1006),$AB$1006:$AQ$1006,0))&gt;=100000), " ",IF(INDEX($AB$2:$AQ$1001,MATCH(ROWS($U$2:U824),$U$2:$U$1001,0),MATCH(COLUMNS($AB$1006:AJ1006),$AB$1006:$AQ$1006,0)), HYPERLINK("#",""), HYPERLINK(CONCATENATE("#metadata!", ADDRESS(INDEX($W$2:$W$1001,MATCH(ROWS($U$2:U824),$U$2:$U$1001,0),0), INDEX($AB$1004:$AQ$1004,1,MATCH(COLUMNS($AB$1006:AJ1006),$AB$1006:$AQ$1006,0)))),"Fix")))</f>
        <v>0</v>
      </c>
      <c r="K824" s="4">
        <f>IF(OR(INDEX($V$2:$V$1001,MATCH(ROWS($U$2:U824),$U$2:$U$1001,0),1)&gt;=100000,INDEX($AB$1005:$AQ$1005,1,MATCH(COLUMNS($AB$1006:AK1006),$AB$1006:$AQ$1006,0))&gt;=100000), " ",IF(INDEX($AB$2:$AQ$1001,MATCH(ROWS($U$2:U824),$U$2:$U$1001,0),MATCH(COLUMNS($AB$1006:AK1006),$AB$1006:$AQ$1006,0)), HYPERLINK("#",""), HYPERLINK(CONCATENATE("#metadata!", ADDRESS(INDEX($W$2:$W$1001,MATCH(ROWS($U$2:U824),$U$2:$U$1001,0),0), INDEX($AB$1004:$AQ$1004,1,MATCH(COLUMNS($AB$1006:AK1006),$AB$1006:$AQ$1006,0)))),"Fix")))</f>
        <v>0</v>
      </c>
      <c r="L824" s="4">
        <f>IF(OR(INDEX($V$2:$V$1001,MATCH(ROWS($U$2:U824),$U$2:$U$1001,0),1)&gt;=100000,INDEX($AB$1005:$AQ$1005,1,MATCH(COLUMNS($AB$1006:AL1006),$AB$1006:$AQ$1006,0))&gt;=100000), " ",IF(INDEX($AB$2:$AQ$1001,MATCH(ROWS($U$2:U824),$U$2:$U$1001,0),MATCH(COLUMNS($AB$1006:AL1006),$AB$1006:$AQ$1006,0)), HYPERLINK("#",""), HYPERLINK(CONCATENATE("#metadata!", ADDRESS(INDEX($W$2:$W$1001,MATCH(ROWS($U$2:U824),$U$2:$U$1001,0),0), INDEX($AB$1004:$AQ$1004,1,MATCH(COLUMNS($AB$1006:AL1006),$AB$1006:$AQ$1006,0)))),"Fix")))</f>
        <v>0</v>
      </c>
      <c r="M824" s="4">
        <f>IF(OR(INDEX($V$2:$V$1001,MATCH(ROWS($U$2:U824),$U$2:$U$1001,0),1)&gt;=100000,INDEX($AB$1005:$AQ$1005,1,MATCH(COLUMNS($AB$1006:AM1006),$AB$1006:$AQ$1006,0))&gt;=100000), " ",IF(INDEX($AB$2:$AQ$1001,MATCH(ROWS($U$2:U824),$U$2:$U$1001,0),MATCH(COLUMNS($AB$1006:AM1006),$AB$1006:$AQ$1006,0)), HYPERLINK("#",""), HYPERLINK(CONCATENATE("#metadata!", ADDRESS(INDEX($W$2:$W$1001,MATCH(ROWS($U$2:U824),$U$2:$U$1001,0),0), INDEX($AB$1004:$AQ$1004,1,MATCH(COLUMNS($AB$1006:AM1006),$AB$1006:$AQ$1006,0)))),"Fix")))</f>
        <v>0</v>
      </c>
      <c r="N824" s="4">
        <f>IF(OR(INDEX($V$2:$V$1001,MATCH(ROWS($U$2:U824),$U$2:$U$1001,0),1)&gt;=100000,INDEX($AB$1005:$AQ$1005,1,MATCH(COLUMNS($AB$1006:AN1006),$AB$1006:$AQ$1006,0))&gt;=100000), " ",IF(INDEX($AB$2:$AQ$1001,MATCH(ROWS($U$2:U824),$U$2:$U$1001,0),MATCH(COLUMNS($AB$1006:AN1006),$AB$1006:$AQ$1006,0)), HYPERLINK("#",""), HYPERLINK(CONCATENATE("#metadata!", ADDRESS(INDEX($W$2:$W$1001,MATCH(ROWS($U$2:U824),$U$2:$U$1001,0),0), INDEX($AB$1004:$AQ$1004,1,MATCH(COLUMNS($AB$1006:AN1006),$AB$1006:$AQ$1006,0)))),"Fix")))</f>
        <v>0</v>
      </c>
      <c r="O824" s="4">
        <f>IF(OR(INDEX($V$2:$V$1001,MATCH(ROWS($U$2:U824),$U$2:$U$1001,0),1)&gt;=100000,INDEX($AB$1005:$AQ$1005,1,MATCH(COLUMNS($AB$1006:AO1006),$AB$1006:$AQ$1006,0))&gt;=100000), " ",IF(INDEX($AB$2:$AQ$1001,MATCH(ROWS($U$2:U824),$U$2:$U$1001,0),MATCH(COLUMNS($AB$1006:AO1006),$AB$1006:$AQ$1006,0)), HYPERLINK("#",""), HYPERLINK(CONCATENATE("#metadata!", ADDRESS(INDEX($W$2:$W$1001,MATCH(ROWS($U$2:U824),$U$2:$U$1001,0),0), INDEX($AB$1004:$AQ$1004,1,MATCH(COLUMNS($AB$1006:AO1006),$AB$1006:$AQ$1006,0)))),"Fix")))</f>
        <v>0</v>
      </c>
      <c r="P824" s="4">
        <f>IF(OR(INDEX($V$2:$V$1001,MATCH(ROWS($U$2:U824),$U$2:$U$1001,0),1)&gt;=100000,INDEX($AB$1005:$AQ$1005,1,MATCH(COLUMNS($AB$1006:AP1006),$AB$1006:$AQ$1006,0))&gt;=100000), " ",IF(INDEX($AB$2:$AQ$1001,MATCH(ROWS($U$2:U824),$U$2:$U$1001,0),MATCH(COLUMNS($AB$1006:AP1006),$AB$1006:$AQ$1006,0)), HYPERLINK("#",""), HYPERLINK(CONCATENATE("#metadata!", ADDRESS(INDEX($W$2:$W$1001,MATCH(ROWS($U$2:U824),$U$2:$U$1001,0),0), INDEX($AB$1004:$AQ$1004,1,MATCH(COLUMNS($AB$1006:AP1006),$AB$1006:$AQ$1006,0)))),"Fix")))</f>
        <v>0</v>
      </c>
      <c r="Q824" s="4">
        <f>IF(OR(INDEX($V$2:$V$1001,MATCH(ROWS($U$2:U824),$U$2:$U$1001,0),1)&gt;=100000,INDEX($AB$1005:$AQ$1005,1,MATCH(COLUMNS($AB$1006:AQ1006),$AB$1006:$AQ$1006,0))&gt;=100000), " ",IF(INDEX($AB$2:$AQ$1001,MATCH(ROWS($U$2:U824),$U$2:$U$1001,0),MATCH(COLUMNS($AB$1006:AQ1006),$AB$1006:$AQ$1006,0)), HYPERLINK("#",""), HYPERLINK(CONCATENATE("#metadata!", ADDRESS(INDEX($W$2:$W$1001,MATCH(ROWS($U$2:U824),$U$2:$U$1001,0),0), INDEX($AB$1004:$AQ$1004,1,MATCH(COLUMNS($AB$1006:AQ1006),$AB$1006:$AQ$1006,0)))),"Fix")))</f>
        <v>0</v>
      </c>
      <c r="U824">
        <v>0</v>
      </c>
      <c r="V824">
        <v>0</v>
      </c>
      <c r="W824">
        <v>0</v>
      </c>
      <c r="X824">
        <f>IF(Y824,TRUE,AND(AB824:AQ824))</f>
        <v>0</v>
      </c>
      <c r="Y824">
        <f>COUNTBLANK(metadata!B824:Q824)=COLUMNS(metadata!B824:Q824)</f>
        <v>0</v>
      </c>
      <c r="Z824">
        <v>0</v>
      </c>
      <c r="AB824">
        <f>AND(IF(metadata!B824="",FALSE,TRUE),COUNTIF(metadata!B:B, metadata!B824) = 1,NOT(ISERROR(SUMPRODUCT(SEARCH(MID(metadata!B824,ROW(INDIRECT("1:"&amp;LEN(metadata!B824))), 1),"0123456789abcdefghijklmnopqrstuvwxyzABCDEFGHIJKLMNOPQRSTUVWXYZ.")))))</f>
        <v>0</v>
      </c>
      <c r="AC824">
        <f>OR(AND(IF(metadata!C824="",FALSE,TRUE),OR(exact(metadata!C824,"missing: not collected"),exact(metadata!C824,"missing: not provided"),exact(metadata!C824,"missing: restricted access"))),AND(IF(metadata!C824="",FALSE,TRUE),AND(AND(IFERROR(INT(LEFT(metadata!C824,4))&gt;1900,FALSE),IFERROR(INT(LEFT(metadata!C824,4))&lt;=YEAR(NOW()),FALSE)), OR(MID(metadata!C824,5,1)="", AND(AND(MID(metadata!C824,5,1)="-",IFERROR(INT(MID(metadata!C824,6,1))&gt;=0,FALSE),IFERROR(INT(MID(metadata!C824,6,1))&lt;=1,FALSE),NOT(MID(metadata!C824,7,1)=""),IFERROR(INT(MID(metadata!C824,6,2))&gt;=1,FALSE),IFERROR(INT(MID(metadata!C824,6,2))&lt;=12,FALSE)), OR(MID(metadata!C824,8,1)="", AND(AND(MID(metadata!C824,8,1)="-",IFERROR(INT(MID(metadata!C824,9,1))&gt;=0,FALSE),IFERROR(INT(MID(metadata!C824,9,1))&lt;=3,FALSE),NOT(MID(metadata!C824,10,1)=""),IFERROR(INT(MID(metadata!C824,9,2))&gt;=1,FALSE),IFERROR(INT(MID(metadata!C824,9,2))&lt;=31,FALSE)), OR(MID(metadata!C824,11,1)="", AND(AND(MID(metadata!C824,11,1)=" ",IFERROR(INT(MID(metadata!C824,12,1))&gt;=0,FALSE),IFERROR(INT(MID(metadata!C824,12,1))&lt;=2,FALSE),NOT(MID(metadata!C824,13,1)=""),IFERROR(INT(MID(metadata!C824,12,2))&gt;=0,FALSE),IFERROR(INT(MID(metadata!C824,12,2))&lt;=23,FALSE)), OR(MID(metadata!C824,14,1)="", AND(AND(MID(metadata!C824,14,1)=":",IFERROR(INT(MID(metadata!C824,15,1))&gt;=0,FALSE),IFERROR(INT(MID(metadata!C824,15,1))&lt;=5,FALSE),NOT(MID(metadata!C824,16,1)=""),IFERROR(INT(MID(metadata!C824,15,2))&gt;=0,FALSE),IFERROR(INT(MID(metadata!C824,15,2))&lt;=59,FALSE)), OR(MID(metadata!C824,17,1)="", AND(AND(MID(metadata!C824,17,1)=":",IFERROR(INT(MID(metadata!C824,18,1))&gt;=0,FALSE),IFERROR(INT(MID(metadata!C824,18,1))&lt;=5,FALSE),NOT(MID(metadata!C824,19,1)=""),IFERROR(INT(MID(metadata!C824,18,2))&gt;=0,FALSE),IFERROR(INT(MID(metadata!C824,18,2))&lt;=59,FALSE)), LEN(metadata!C824)&lt;=19)))))))))))))</f>
        <v>0</v>
      </c>
      <c r="AD824">
        <f>IF(metadata!D824="",FALSE,TRUE)</f>
        <v>0</v>
      </c>
      <c r="AE824">
        <f>OR(AND(IF(metadata!E824="",FALSE,TRUE),OR(exact(metadata!E824,"missing: not collected"),exact(metadata!E824,"missing: not provided"))),AND(IF(metadata!E824="",FALSE,TRUE),OR(exact(metadata!E824,"TRUE"),exact(metadata!E824,"FALSE"))))</f>
        <v>0</v>
      </c>
      <c r="AF824">
        <f>IF(metadata!F824="",FALSE,TRUE)</f>
        <v>0</v>
      </c>
      <c r="AG824">
        <f>IF(metadata!G824="",FALSE,TRUE)</f>
        <v>0</v>
      </c>
      <c r="AH824">
        <f>IF(metadata!H824="",FALSE,TRUE)</f>
        <v>0</v>
      </c>
      <c r="AI824">
        <f>OR(AND(IF(metadata!I824="",FALSE,TRUE),OR(exact(metadata!I824,"missing: not collected"),exact(metadata!I824,"missing: not provided"),exact(metadata!I824,"missing: restricted access"))),AND(IF(metadata!I824="",FALSE,TRUE),OR(exact(metadata!I824,"air"),exact(metadata!I824,"built environment"),exact(metadata!I824,"host-associated"),exact(metadata!I824,"human-associated"),exact(metadata!I824,"human-skin"),exact(metadata!I824,"human-oral"),exact(metadata!I824,"human-gut"),exact(metadata!I824,"human-vaginal"),exact(metadata!I824,"microbial mat/biofilm"),exact(metadata!I824,"misc environment"),exact(metadata!I824,"plant-associated"),exact(metadata!I824,"sediment"),exact(metadata!I824,"soil"),exact(metadata!I824,"wastewater/sludge"),exact(metadata!I824,"water"))))</f>
        <v>0</v>
      </c>
      <c r="AJ824">
        <f>IF(metadata!J824="",FALSE,TRUE)</f>
        <v>0</v>
      </c>
      <c r="AK824">
        <f>OR(AND(IF(metadata!K824="",FALSE,TRUE),OR(exact(metadata!K824,"missing: not collected"),exact(metadata!K824,"missing: not provided"),exact(metadata!K824,"missing: restricted access"))),AND(IF(metadata!K824="",FALSE,ISNUMBER(VALUE(metadata!K824))),metadata!K824&gt;=-90.00,metadata!K824&lt;=90.00))</f>
        <v>0</v>
      </c>
      <c r="AL824">
        <f>OR(AND(IF(metadata!L824="",FALSE,TRUE),OR(exact(metadata!L824,"missing: not collected"),exact(metadata!L824,"missing: not provided"),exact(metadata!L824,"missing: restricted access"))),AND(IF(metadata!L824="",FALSE,ISNUMBER(VALUE(metadata!L824))),metadata!L824&gt;=-180.00,metadata!L824&lt;=180.00))</f>
        <v>0</v>
      </c>
      <c r="AM824">
        <f>IF(metadata!M824="",FALSE,TRUE)</f>
        <v>0</v>
      </c>
      <c r="AN824">
        <f>OR(AND(IF(metadata!N824="",FALSE,TRUE),OR(exact(metadata!N824,"missing: not collected"),exact(metadata!N824,"missing: not provided"),exact(metadata!N824,"missing: restricted access"))),AND(IF(metadata!N824="",FALSE,TRUE),OR(exact(metadata!N824,"TRUE"),exact(metadata!N824,"FALSE"))))</f>
        <v>0</v>
      </c>
      <c r="AO824">
        <f>IF(metadata!O824="",FALSE,TRUE)</f>
        <v>0</v>
      </c>
      <c r="AP824">
        <f>OR(AND(IF(metadata!P824="",FALSE,TRUE),OR(exact(metadata!P824,"missing: not collected"),exact(metadata!P824,"missing: not provided"))),AND(IF(metadata!P824="",FALSE,IF(ISERROR(INT(metadata!P824)),FALSE,INT(metadata!P824)=metadata!P824)),metadata!P824&gt;0))</f>
        <v>0</v>
      </c>
      <c r="AQ824">
        <f>IF(metadata!Q824="",FALSE,TRUE)</f>
        <v>0</v>
      </c>
    </row>
    <row r="825" spans="1:43">
      <c r="A825" s="5">
        <f>IF(B825=" "," ",HYPERLINK(CONCATENATE("#metadata!",ADDRESS(INDEX($W$2:$W$1001,MATCH(ROWS($U$2:U825),$U$2:$U$1001,0),0),1)),INDEX($Z$2:$Z$1001,MATCH(ROWS($U$2:U825),$U$2:$U$1001,0),0)))</f>
        <v>0</v>
      </c>
      <c r="B825" s="4">
        <f>IF(OR(INDEX($V$2:$V$1001,MATCH(ROWS($U$2:U825),$U$2:$U$1001,0),1)&gt;=100000,INDEX($AB$1005:$AQ$1005,1,MATCH(COLUMNS($AB$1006:AB1006),$AB$1006:$AQ$1006,0))&gt;=100000), " ",IF(INDEX($AB$2:$AQ$1001,MATCH(ROWS($U$2:U825),$U$2:$U$1001,0),MATCH(COLUMNS($AB$1006:AB1006),$AB$1006:$AQ$1006,0)), HYPERLINK("#",""), HYPERLINK(CONCATENATE("#metadata!", ADDRESS(INDEX($W$2:$W$1001,MATCH(ROWS($U$2:U825),$U$2:$U$1001,0),0), INDEX($AB$1004:$AQ$1004,1,MATCH(COLUMNS($AB$1006:AB1006),$AB$1006:$AQ$1006,0)))),"Fix")))</f>
        <v>0</v>
      </c>
      <c r="C825" s="4">
        <f>IF(OR(INDEX($V$2:$V$1001,MATCH(ROWS($U$2:U825),$U$2:$U$1001,0),1)&gt;=100000,INDEX($AB$1005:$AQ$1005,1,MATCH(COLUMNS($AB$1006:AC1006),$AB$1006:$AQ$1006,0))&gt;=100000), " ",IF(INDEX($AB$2:$AQ$1001,MATCH(ROWS($U$2:U825),$U$2:$U$1001,0),MATCH(COLUMNS($AB$1006:AC1006),$AB$1006:$AQ$1006,0)), HYPERLINK("#",""), HYPERLINK(CONCATENATE("#metadata!", ADDRESS(INDEX($W$2:$W$1001,MATCH(ROWS($U$2:U825),$U$2:$U$1001,0),0), INDEX($AB$1004:$AQ$1004,1,MATCH(COLUMNS($AB$1006:AC1006),$AB$1006:$AQ$1006,0)))),"Fix")))</f>
        <v>0</v>
      </c>
      <c r="D825" s="4">
        <f>IF(OR(INDEX($V$2:$V$1001,MATCH(ROWS($U$2:U825),$U$2:$U$1001,0),1)&gt;=100000,INDEX($AB$1005:$AQ$1005,1,MATCH(COLUMNS($AB$1006:AD1006),$AB$1006:$AQ$1006,0))&gt;=100000), " ",IF(INDEX($AB$2:$AQ$1001,MATCH(ROWS($U$2:U825),$U$2:$U$1001,0),MATCH(COLUMNS($AB$1006:AD1006),$AB$1006:$AQ$1006,0)), HYPERLINK("#",""), HYPERLINK(CONCATENATE("#metadata!", ADDRESS(INDEX($W$2:$W$1001,MATCH(ROWS($U$2:U825),$U$2:$U$1001,0),0), INDEX($AB$1004:$AQ$1004,1,MATCH(COLUMNS($AB$1006:AD1006),$AB$1006:$AQ$1006,0)))),"Fix")))</f>
        <v>0</v>
      </c>
      <c r="E825" s="4">
        <f>IF(OR(INDEX($V$2:$V$1001,MATCH(ROWS($U$2:U825),$U$2:$U$1001,0),1)&gt;=100000,INDEX($AB$1005:$AQ$1005,1,MATCH(COLUMNS($AB$1006:AE1006),$AB$1006:$AQ$1006,0))&gt;=100000), " ",IF(INDEX($AB$2:$AQ$1001,MATCH(ROWS($U$2:U825),$U$2:$U$1001,0),MATCH(COLUMNS($AB$1006:AE1006),$AB$1006:$AQ$1006,0)), HYPERLINK("#",""), HYPERLINK(CONCATENATE("#metadata!", ADDRESS(INDEX($W$2:$W$1001,MATCH(ROWS($U$2:U825),$U$2:$U$1001,0),0), INDEX($AB$1004:$AQ$1004,1,MATCH(COLUMNS($AB$1006:AE1006),$AB$1006:$AQ$1006,0)))),"Fix")))</f>
        <v>0</v>
      </c>
      <c r="F825" s="4">
        <f>IF(OR(INDEX($V$2:$V$1001,MATCH(ROWS($U$2:U825),$U$2:$U$1001,0),1)&gt;=100000,INDEX($AB$1005:$AQ$1005,1,MATCH(COLUMNS($AB$1006:AF1006),$AB$1006:$AQ$1006,0))&gt;=100000), " ",IF(INDEX($AB$2:$AQ$1001,MATCH(ROWS($U$2:U825),$U$2:$U$1001,0),MATCH(COLUMNS($AB$1006:AF1006),$AB$1006:$AQ$1006,0)), HYPERLINK("#",""), HYPERLINK(CONCATENATE("#metadata!", ADDRESS(INDEX($W$2:$W$1001,MATCH(ROWS($U$2:U825),$U$2:$U$1001,0),0), INDEX($AB$1004:$AQ$1004,1,MATCH(COLUMNS($AB$1006:AF1006),$AB$1006:$AQ$1006,0)))),"Fix")))</f>
        <v>0</v>
      </c>
      <c r="G825" s="4">
        <f>IF(OR(INDEX($V$2:$V$1001,MATCH(ROWS($U$2:U825),$U$2:$U$1001,0),1)&gt;=100000,INDEX($AB$1005:$AQ$1005,1,MATCH(COLUMNS($AB$1006:AG1006),$AB$1006:$AQ$1006,0))&gt;=100000), " ",IF(INDEX($AB$2:$AQ$1001,MATCH(ROWS($U$2:U825),$U$2:$U$1001,0),MATCH(COLUMNS($AB$1006:AG1006),$AB$1006:$AQ$1006,0)), HYPERLINK("#",""), HYPERLINK(CONCATENATE("#metadata!", ADDRESS(INDEX($W$2:$W$1001,MATCH(ROWS($U$2:U825),$U$2:$U$1001,0),0), INDEX($AB$1004:$AQ$1004,1,MATCH(COLUMNS($AB$1006:AG1006),$AB$1006:$AQ$1006,0)))),"Fix")))</f>
        <v>0</v>
      </c>
      <c r="H825" s="4">
        <f>IF(OR(INDEX($V$2:$V$1001,MATCH(ROWS($U$2:U825),$U$2:$U$1001,0),1)&gt;=100000,INDEX($AB$1005:$AQ$1005,1,MATCH(COLUMNS($AB$1006:AH1006),$AB$1006:$AQ$1006,0))&gt;=100000), " ",IF(INDEX($AB$2:$AQ$1001,MATCH(ROWS($U$2:U825),$U$2:$U$1001,0),MATCH(COLUMNS($AB$1006:AH1006),$AB$1006:$AQ$1006,0)), HYPERLINK("#",""), HYPERLINK(CONCATENATE("#metadata!", ADDRESS(INDEX($W$2:$W$1001,MATCH(ROWS($U$2:U825),$U$2:$U$1001,0),0), INDEX($AB$1004:$AQ$1004,1,MATCH(COLUMNS($AB$1006:AH1006),$AB$1006:$AQ$1006,0)))),"Fix")))</f>
        <v>0</v>
      </c>
      <c r="I825" s="4">
        <f>IF(OR(INDEX($V$2:$V$1001,MATCH(ROWS($U$2:U825),$U$2:$U$1001,0),1)&gt;=100000,INDEX($AB$1005:$AQ$1005,1,MATCH(COLUMNS($AB$1006:AI1006),$AB$1006:$AQ$1006,0))&gt;=100000), " ",IF(INDEX($AB$2:$AQ$1001,MATCH(ROWS($U$2:U825),$U$2:$U$1001,0),MATCH(COLUMNS($AB$1006:AI1006),$AB$1006:$AQ$1006,0)), HYPERLINK("#",""), HYPERLINK(CONCATENATE("#metadata!", ADDRESS(INDEX($W$2:$W$1001,MATCH(ROWS($U$2:U825),$U$2:$U$1001,0),0), INDEX($AB$1004:$AQ$1004,1,MATCH(COLUMNS($AB$1006:AI1006),$AB$1006:$AQ$1006,0)))),"Fix")))</f>
        <v>0</v>
      </c>
      <c r="J825" s="4">
        <f>IF(OR(INDEX($V$2:$V$1001,MATCH(ROWS($U$2:U825),$U$2:$U$1001,0),1)&gt;=100000,INDEX($AB$1005:$AQ$1005,1,MATCH(COLUMNS($AB$1006:AJ1006),$AB$1006:$AQ$1006,0))&gt;=100000), " ",IF(INDEX($AB$2:$AQ$1001,MATCH(ROWS($U$2:U825),$U$2:$U$1001,0),MATCH(COLUMNS($AB$1006:AJ1006),$AB$1006:$AQ$1006,0)), HYPERLINK("#",""), HYPERLINK(CONCATENATE("#metadata!", ADDRESS(INDEX($W$2:$W$1001,MATCH(ROWS($U$2:U825),$U$2:$U$1001,0),0), INDEX($AB$1004:$AQ$1004,1,MATCH(COLUMNS($AB$1006:AJ1006),$AB$1006:$AQ$1006,0)))),"Fix")))</f>
        <v>0</v>
      </c>
      <c r="K825" s="4">
        <f>IF(OR(INDEX($V$2:$V$1001,MATCH(ROWS($U$2:U825),$U$2:$U$1001,0),1)&gt;=100000,INDEX($AB$1005:$AQ$1005,1,MATCH(COLUMNS($AB$1006:AK1006),$AB$1006:$AQ$1006,0))&gt;=100000), " ",IF(INDEX($AB$2:$AQ$1001,MATCH(ROWS($U$2:U825),$U$2:$U$1001,0),MATCH(COLUMNS($AB$1006:AK1006),$AB$1006:$AQ$1006,0)), HYPERLINK("#",""), HYPERLINK(CONCATENATE("#metadata!", ADDRESS(INDEX($W$2:$W$1001,MATCH(ROWS($U$2:U825),$U$2:$U$1001,0),0), INDEX($AB$1004:$AQ$1004,1,MATCH(COLUMNS($AB$1006:AK1006),$AB$1006:$AQ$1006,0)))),"Fix")))</f>
        <v>0</v>
      </c>
      <c r="L825" s="4">
        <f>IF(OR(INDEX($V$2:$V$1001,MATCH(ROWS($U$2:U825),$U$2:$U$1001,0),1)&gt;=100000,INDEX($AB$1005:$AQ$1005,1,MATCH(COLUMNS($AB$1006:AL1006),$AB$1006:$AQ$1006,0))&gt;=100000), " ",IF(INDEX($AB$2:$AQ$1001,MATCH(ROWS($U$2:U825),$U$2:$U$1001,0),MATCH(COLUMNS($AB$1006:AL1006),$AB$1006:$AQ$1006,0)), HYPERLINK("#",""), HYPERLINK(CONCATENATE("#metadata!", ADDRESS(INDEX($W$2:$W$1001,MATCH(ROWS($U$2:U825),$U$2:$U$1001,0),0), INDEX($AB$1004:$AQ$1004,1,MATCH(COLUMNS($AB$1006:AL1006),$AB$1006:$AQ$1006,0)))),"Fix")))</f>
        <v>0</v>
      </c>
      <c r="M825" s="4">
        <f>IF(OR(INDEX($V$2:$V$1001,MATCH(ROWS($U$2:U825),$U$2:$U$1001,0),1)&gt;=100000,INDEX($AB$1005:$AQ$1005,1,MATCH(COLUMNS($AB$1006:AM1006),$AB$1006:$AQ$1006,0))&gt;=100000), " ",IF(INDEX($AB$2:$AQ$1001,MATCH(ROWS($U$2:U825),$U$2:$U$1001,0),MATCH(COLUMNS($AB$1006:AM1006),$AB$1006:$AQ$1006,0)), HYPERLINK("#",""), HYPERLINK(CONCATENATE("#metadata!", ADDRESS(INDEX($W$2:$W$1001,MATCH(ROWS($U$2:U825),$U$2:$U$1001,0),0), INDEX($AB$1004:$AQ$1004,1,MATCH(COLUMNS($AB$1006:AM1006),$AB$1006:$AQ$1006,0)))),"Fix")))</f>
        <v>0</v>
      </c>
      <c r="N825" s="4">
        <f>IF(OR(INDEX($V$2:$V$1001,MATCH(ROWS($U$2:U825),$U$2:$U$1001,0),1)&gt;=100000,INDEX($AB$1005:$AQ$1005,1,MATCH(COLUMNS($AB$1006:AN1006),$AB$1006:$AQ$1006,0))&gt;=100000), " ",IF(INDEX($AB$2:$AQ$1001,MATCH(ROWS($U$2:U825),$U$2:$U$1001,0),MATCH(COLUMNS($AB$1006:AN1006),$AB$1006:$AQ$1006,0)), HYPERLINK("#",""), HYPERLINK(CONCATENATE("#metadata!", ADDRESS(INDEX($W$2:$W$1001,MATCH(ROWS($U$2:U825),$U$2:$U$1001,0),0), INDEX($AB$1004:$AQ$1004,1,MATCH(COLUMNS($AB$1006:AN1006),$AB$1006:$AQ$1006,0)))),"Fix")))</f>
        <v>0</v>
      </c>
      <c r="O825" s="4">
        <f>IF(OR(INDEX($V$2:$V$1001,MATCH(ROWS($U$2:U825),$U$2:$U$1001,0),1)&gt;=100000,INDEX($AB$1005:$AQ$1005,1,MATCH(COLUMNS($AB$1006:AO1006),$AB$1006:$AQ$1006,0))&gt;=100000), " ",IF(INDEX($AB$2:$AQ$1001,MATCH(ROWS($U$2:U825),$U$2:$U$1001,0),MATCH(COLUMNS($AB$1006:AO1006),$AB$1006:$AQ$1006,0)), HYPERLINK("#",""), HYPERLINK(CONCATENATE("#metadata!", ADDRESS(INDEX($W$2:$W$1001,MATCH(ROWS($U$2:U825),$U$2:$U$1001,0),0), INDEX($AB$1004:$AQ$1004,1,MATCH(COLUMNS($AB$1006:AO1006),$AB$1006:$AQ$1006,0)))),"Fix")))</f>
        <v>0</v>
      </c>
      <c r="P825" s="4">
        <f>IF(OR(INDEX($V$2:$V$1001,MATCH(ROWS($U$2:U825),$U$2:$U$1001,0),1)&gt;=100000,INDEX($AB$1005:$AQ$1005,1,MATCH(COLUMNS($AB$1006:AP1006),$AB$1006:$AQ$1006,0))&gt;=100000), " ",IF(INDEX($AB$2:$AQ$1001,MATCH(ROWS($U$2:U825),$U$2:$U$1001,0),MATCH(COLUMNS($AB$1006:AP1006),$AB$1006:$AQ$1006,0)), HYPERLINK("#",""), HYPERLINK(CONCATENATE("#metadata!", ADDRESS(INDEX($W$2:$W$1001,MATCH(ROWS($U$2:U825),$U$2:$U$1001,0),0), INDEX($AB$1004:$AQ$1004,1,MATCH(COLUMNS($AB$1006:AP1006),$AB$1006:$AQ$1006,0)))),"Fix")))</f>
        <v>0</v>
      </c>
      <c r="Q825" s="4">
        <f>IF(OR(INDEX($V$2:$V$1001,MATCH(ROWS($U$2:U825),$U$2:$U$1001,0),1)&gt;=100000,INDEX($AB$1005:$AQ$1005,1,MATCH(COLUMNS($AB$1006:AQ1006),$AB$1006:$AQ$1006,0))&gt;=100000), " ",IF(INDEX($AB$2:$AQ$1001,MATCH(ROWS($U$2:U825),$U$2:$U$1001,0),MATCH(COLUMNS($AB$1006:AQ1006),$AB$1006:$AQ$1006,0)), HYPERLINK("#",""), HYPERLINK(CONCATENATE("#metadata!", ADDRESS(INDEX($W$2:$W$1001,MATCH(ROWS($U$2:U825),$U$2:$U$1001,0),0), INDEX($AB$1004:$AQ$1004,1,MATCH(COLUMNS($AB$1006:AQ1006),$AB$1006:$AQ$1006,0)))),"Fix")))</f>
        <v>0</v>
      </c>
      <c r="U825">
        <v>0</v>
      </c>
      <c r="V825">
        <v>0</v>
      </c>
      <c r="W825">
        <v>0</v>
      </c>
      <c r="X825">
        <f>IF(Y825,TRUE,AND(AB825:AQ825))</f>
        <v>0</v>
      </c>
      <c r="Y825">
        <f>COUNTBLANK(metadata!B825:Q825)=COLUMNS(metadata!B825:Q825)</f>
        <v>0</v>
      </c>
      <c r="Z825">
        <v>0</v>
      </c>
      <c r="AB825">
        <f>AND(IF(metadata!B825="",FALSE,TRUE),COUNTIF(metadata!B:B, metadata!B825) = 1,NOT(ISERROR(SUMPRODUCT(SEARCH(MID(metadata!B825,ROW(INDIRECT("1:"&amp;LEN(metadata!B825))), 1),"0123456789abcdefghijklmnopqrstuvwxyzABCDEFGHIJKLMNOPQRSTUVWXYZ.")))))</f>
        <v>0</v>
      </c>
      <c r="AC825">
        <f>OR(AND(IF(metadata!C825="",FALSE,TRUE),OR(exact(metadata!C825,"missing: not collected"),exact(metadata!C825,"missing: not provided"),exact(metadata!C825,"missing: restricted access"))),AND(IF(metadata!C825="",FALSE,TRUE),AND(AND(IFERROR(INT(LEFT(metadata!C825,4))&gt;1900,FALSE),IFERROR(INT(LEFT(metadata!C825,4))&lt;=YEAR(NOW()),FALSE)), OR(MID(metadata!C825,5,1)="", AND(AND(MID(metadata!C825,5,1)="-",IFERROR(INT(MID(metadata!C825,6,1))&gt;=0,FALSE),IFERROR(INT(MID(metadata!C825,6,1))&lt;=1,FALSE),NOT(MID(metadata!C825,7,1)=""),IFERROR(INT(MID(metadata!C825,6,2))&gt;=1,FALSE),IFERROR(INT(MID(metadata!C825,6,2))&lt;=12,FALSE)), OR(MID(metadata!C825,8,1)="", AND(AND(MID(metadata!C825,8,1)="-",IFERROR(INT(MID(metadata!C825,9,1))&gt;=0,FALSE),IFERROR(INT(MID(metadata!C825,9,1))&lt;=3,FALSE),NOT(MID(metadata!C825,10,1)=""),IFERROR(INT(MID(metadata!C825,9,2))&gt;=1,FALSE),IFERROR(INT(MID(metadata!C825,9,2))&lt;=31,FALSE)), OR(MID(metadata!C825,11,1)="", AND(AND(MID(metadata!C825,11,1)=" ",IFERROR(INT(MID(metadata!C825,12,1))&gt;=0,FALSE),IFERROR(INT(MID(metadata!C825,12,1))&lt;=2,FALSE),NOT(MID(metadata!C825,13,1)=""),IFERROR(INT(MID(metadata!C825,12,2))&gt;=0,FALSE),IFERROR(INT(MID(metadata!C825,12,2))&lt;=23,FALSE)), OR(MID(metadata!C825,14,1)="", AND(AND(MID(metadata!C825,14,1)=":",IFERROR(INT(MID(metadata!C825,15,1))&gt;=0,FALSE),IFERROR(INT(MID(metadata!C825,15,1))&lt;=5,FALSE),NOT(MID(metadata!C825,16,1)=""),IFERROR(INT(MID(metadata!C825,15,2))&gt;=0,FALSE),IFERROR(INT(MID(metadata!C825,15,2))&lt;=59,FALSE)), OR(MID(metadata!C825,17,1)="", AND(AND(MID(metadata!C825,17,1)=":",IFERROR(INT(MID(metadata!C825,18,1))&gt;=0,FALSE),IFERROR(INT(MID(metadata!C825,18,1))&lt;=5,FALSE),NOT(MID(metadata!C825,19,1)=""),IFERROR(INT(MID(metadata!C825,18,2))&gt;=0,FALSE),IFERROR(INT(MID(metadata!C825,18,2))&lt;=59,FALSE)), LEN(metadata!C825)&lt;=19)))))))))))))</f>
        <v>0</v>
      </c>
      <c r="AD825">
        <f>IF(metadata!D825="",FALSE,TRUE)</f>
        <v>0</v>
      </c>
      <c r="AE825">
        <f>OR(AND(IF(metadata!E825="",FALSE,TRUE),OR(exact(metadata!E825,"missing: not collected"),exact(metadata!E825,"missing: not provided"))),AND(IF(metadata!E825="",FALSE,TRUE),OR(exact(metadata!E825,"TRUE"),exact(metadata!E825,"FALSE"))))</f>
        <v>0</v>
      </c>
      <c r="AF825">
        <f>IF(metadata!F825="",FALSE,TRUE)</f>
        <v>0</v>
      </c>
      <c r="AG825">
        <f>IF(metadata!G825="",FALSE,TRUE)</f>
        <v>0</v>
      </c>
      <c r="AH825">
        <f>IF(metadata!H825="",FALSE,TRUE)</f>
        <v>0</v>
      </c>
      <c r="AI825">
        <f>OR(AND(IF(metadata!I825="",FALSE,TRUE),OR(exact(metadata!I825,"missing: not collected"),exact(metadata!I825,"missing: not provided"),exact(metadata!I825,"missing: restricted access"))),AND(IF(metadata!I825="",FALSE,TRUE),OR(exact(metadata!I825,"air"),exact(metadata!I825,"built environment"),exact(metadata!I825,"host-associated"),exact(metadata!I825,"human-associated"),exact(metadata!I825,"human-skin"),exact(metadata!I825,"human-oral"),exact(metadata!I825,"human-gut"),exact(metadata!I825,"human-vaginal"),exact(metadata!I825,"microbial mat/biofilm"),exact(metadata!I825,"misc environment"),exact(metadata!I825,"plant-associated"),exact(metadata!I825,"sediment"),exact(metadata!I825,"soil"),exact(metadata!I825,"wastewater/sludge"),exact(metadata!I825,"water"))))</f>
        <v>0</v>
      </c>
      <c r="AJ825">
        <f>IF(metadata!J825="",FALSE,TRUE)</f>
        <v>0</v>
      </c>
      <c r="AK825">
        <f>OR(AND(IF(metadata!K825="",FALSE,TRUE),OR(exact(metadata!K825,"missing: not collected"),exact(metadata!K825,"missing: not provided"),exact(metadata!K825,"missing: restricted access"))),AND(IF(metadata!K825="",FALSE,ISNUMBER(VALUE(metadata!K825))),metadata!K825&gt;=-90.00,metadata!K825&lt;=90.00))</f>
        <v>0</v>
      </c>
      <c r="AL825">
        <f>OR(AND(IF(metadata!L825="",FALSE,TRUE),OR(exact(metadata!L825,"missing: not collected"),exact(metadata!L825,"missing: not provided"),exact(metadata!L825,"missing: restricted access"))),AND(IF(metadata!L825="",FALSE,ISNUMBER(VALUE(metadata!L825))),metadata!L825&gt;=-180.00,metadata!L825&lt;=180.00))</f>
        <v>0</v>
      </c>
      <c r="AM825">
        <f>IF(metadata!M825="",FALSE,TRUE)</f>
        <v>0</v>
      </c>
      <c r="AN825">
        <f>OR(AND(IF(metadata!N825="",FALSE,TRUE),OR(exact(metadata!N825,"missing: not collected"),exact(metadata!N825,"missing: not provided"),exact(metadata!N825,"missing: restricted access"))),AND(IF(metadata!N825="",FALSE,TRUE),OR(exact(metadata!N825,"TRUE"),exact(metadata!N825,"FALSE"))))</f>
        <v>0</v>
      </c>
      <c r="AO825">
        <f>IF(metadata!O825="",FALSE,TRUE)</f>
        <v>0</v>
      </c>
      <c r="AP825">
        <f>OR(AND(IF(metadata!P825="",FALSE,TRUE),OR(exact(metadata!P825,"missing: not collected"),exact(metadata!P825,"missing: not provided"))),AND(IF(metadata!P825="",FALSE,IF(ISERROR(INT(metadata!P825)),FALSE,INT(metadata!P825)=metadata!P825)),metadata!P825&gt;0))</f>
        <v>0</v>
      </c>
      <c r="AQ825">
        <f>IF(metadata!Q825="",FALSE,TRUE)</f>
        <v>0</v>
      </c>
    </row>
    <row r="826" spans="1:43">
      <c r="A826" s="5">
        <f>IF(B826=" "," ",HYPERLINK(CONCATENATE("#metadata!",ADDRESS(INDEX($W$2:$W$1001,MATCH(ROWS($U$2:U826),$U$2:$U$1001,0),0),1)),INDEX($Z$2:$Z$1001,MATCH(ROWS($U$2:U826),$U$2:$U$1001,0),0)))</f>
        <v>0</v>
      </c>
      <c r="B826" s="4">
        <f>IF(OR(INDEX($V$2:$V$1001,MATCH(ROWS($U$2:U826),$U$2:$U$1001,0),1)&gt;=100000,INDEX($AB$1005:$AQ$1005,1,MATCH(COLUMNS($AB$1006:AB1006),$AB$1006:$AQ$1006,0))&gt;=100000), " ",IF(INDEX($AB$2:$AQ$1001,MATCH(ROWS($U$2:U826),$U$2:$U$1001,0),MATCH(COLUMNS($AB$1006:AB1006),$AB$1006:$AQ$1006,0)), HYPERLINK("#",""), HYPERLINK(CONCATENATE("#metadata!", ADDRESS(INDEX($W$2:$W$1001,MATCH(ROWS($U$2:U826),$U$2:$U$1001,0),0), INDEX($AB$1004:$AQ$1004,1,MATCH(COLUMNS($AB$1006:AB1006),$AB$1006:$AQ$1006,0)))),"Fix")))</f>
        <v>0</v>
      </c>
      <c r="C826" s="4">
        <f>IF(OR(INDEX($V$2:$V$1001,MATCH(ROWS($U$2:U826),$U$2:$U$1001,0),1)&gt;=100000,INDEX($AB$1005:$AQ$1005,1,MATCH(COLUMNS($AB$1006:AC1006),$AB$1006:$AQ$1006,0))&gt;=100000), " ",IF(INDEX($AB$2:$AQ$1001,MATCH(ROWS($U$2:U826),$U$2:$U$1001,0),MATCH(COLUMNS($AB$1006:AC1006),$AB$1006:$AQ$1006,0)), HYPERLINK("#",""), HYPERLINK(CONCATENATE("#metadata!", ADDRESS(INDEX($W$2:$W$1001,MATCH(ROWS($U$2:U826),$U$2:$U$1001,0),0), INDEX($AB$1004:$AQ$1004,1,MATCH(COLUMNS($AB$1006:AC1006),$AB$1006:$AQ$1006,0)))),"Fix")))</f>
        <v>0</v>
      </c>
      <c r="D826" s="4">
        <f>IF(OR(INDEX($V$2:$V$1001,MATCH(ROWS($U$2:U826),$U$2:$U$1001,0),1)&gt;=100000,INDEX($AB$1005:$AQ$1005,1,MATCH(COLUMNS($AB$1006:AD1006),$AB$1006:$AQ$1006,0))&gt;=100000), " ",IF(INDEX($AB$2:$AQ$1001,MATCH(ROWS($U$2:U826),$U$2:$U$1001,0),MATCH(COLUMNS($AB$1006:AD1006),$AB$1006:$AQ$1006,0)), HYPERLINK("#",""), HYPERLINK(CONCATENATE("#metadata!", ADDRESS(INDEX($W$2:$W$1001,MATCH(ROWS($U$2:U826),$U$2:$U$1001,0),0), INDEX($AB$1004:$AQ$1004,1,MATCH(COLUMNS($AB$1006:AD1006),$AB$1006:$AQ$1006,0)))),"Fix")))</f>
        <v>0</v>
      </c>
      <c r="E826" s="4">
        <f>IF(OR(INDEX($V$2:$V$1001,MATCH(ROWS($U$2:U826),$U$2:$U$1001,0),1)&gt;=100000,INDEX($AB$1005:$AQ$1005,1,MATCH(COLUMNS($AB$1006:AE1006),$AB$1006:$AQ$1006,0))&gt;=100000), " ",IF(INDEX($AB$2:$AQ$1001,MATCH(ROWS($U$2:U826),$U$2:$U$1001,0),MATCH(COLUMNS($AB$1006:AE1006),$AB$1006:$AQ$1006,0)), HYPERLINK("#",""), HYPERLINK(CONCATENATE("#metadata!", ADDRESS(INDEX($W$2:$W$1001,MATCH(ROWS($U$2:U826),$U$2:$U$1001,0),0), INDEX($AB$1004:$AQ$1004,1,MATCH(COLUMNS($AB$1006:AE1006),$AB$1006:$AQ$1006,0)))),"Fix")))</f>
        <v>0</v>
      </c>
      <c r="F826" s="4">
        <f>IF(OR(INDEX($V$2:$V$1001,MATCH(ROWS($U$2:U826),$U$2:$U$1001,0),1)&gt;=100000,INDEX($AB$1005:$AQ$1005,1,MATCH(COLUMNS($AB$1006:AF1006),$AB$1006:$AQ$1006,0))&gt;=100000), " ",IF(INDEX($AB$2:$AQ$1001,MATCH(ROWS($U$2:U826),$U$2:$U$1001,0),MATCH(COLUMNS($AB$1006:AF1006),$AB$1006:$AQ$1006,0)), HYPERLINK("#",""), HYPERLINK(CONCATENATE("#metadata!", ADDRESS(INDEX($W$2:$W$1001,MATCH(ROWS($U$2:U826),$U$2:$U$1001,0),0), INDEX($AB$1004:$AQ$1004,1,MATCH(COLUMNS($AB$1006:AF1006),$AB$1006:$AQ$1006,0)))),"Fix")))</f>
        <v>0</v>
      </c>
      <c r="G826" s="4">
        <f>IF(OR(INDEX($V$2:$V$1001,MATCH(ROWS($U$2:U826),$U$2:$U$1001,0),1)&gt;=100000,INDEX($AB$1005:$AQ$1005,1,MATCH(COLUMNS($AB$1006:AG1006),$AB$1006:$AQ$1006,0))&gt;=100000), " ",IF(INDEX($AB$2:$AQ$1001,MATCH(ROWS($U$2:U826),$U$2:$U$1001,0),MATCH(COLUMNS($AB$1006:AG1006),$AB$1006:$AQ$1006,0)), HYPERLINK("#",""), HYPERLINK(CONCATENATE("#metadata!", ADDRESS(INDEX($W$2:$W$1001,MATCH(ROWS($U$2:U826),$U$2:$U$1001,0),0), INDEX($AB$1004:$AQ$1004,1,MATCH(COLUMNS($AB$1006:AG1006),$AB$1006:$AQ$1006,0)))),"Fix")))</f>
        <v>0</v>
      </c>
      <c r="H826" s="4">
        <f>IF(OR(INDEX($V$2:$V$1001,MATCH(ROWS($U$2:U826),$U$2:$U$1001,0),1)&gt;=100000,INDEX($AB$1005:$AQ$1005,1,MATCH(COLUMNS($AB$1006:AH1006),$AB$1006:$AQ$1006,0))&gt;=100000), " ",IF(INDEX($AB$2:$AQ$1001,MATCH(ROWS($U$2:U826),$U$2:$U$1001,0),MATCH(COLUMNS($AB$1006:AH1006),$AB$1006:$AQ$1006,0)), HYPERLINK("#",""), HYPERLINK(CONCATENATE("#metadata!", ADDRESS(INDEX($W$2:$W$1001,MATCH(ROWS($U$2:U826),$U$2:$U$1001,0),0), INDEX($AB$1004:$AQ$1004,1,MATCH(COLUMNS($AB$1006:AH1006),$AB$1006:$AQ$1006,0)))),"Fix")))</f>
        <v>0</v>
      </c>
      <c r="I826" s="4">
        <f>IF(OR(INDEX($V$2:$V$1001,MATCH(ROWS($U$2:U826),$U$2:$U$1001,0),1)&gt;=100000,INDEX($AB$1005:$AQ$1005,1,MATCH(COLUMNS($AB$1006:AI1006),$AB$1006:$AQ$1006,0))&gt;=100000), " ",IF(INDEX($AB$2:$AQ$1001,MATCH(ROWS($U$2:U826),$U$2:$U$1001,0),MATCH(COLUMNS($AB$1006:AI1006),$AB$1006:$AQ$1006,0)), HYPERLINK("#",""), HYPERLINK(CONCATENATE("#metadata!", ADDRESS(INDEX($W$2:$W$1001,MATCH(ROWS($U$2:U826),$U$2:$U$1001,0),0), INDEX($AB$1004:$AQ$1004,1,MATCH(COLUMNS($AB$1006:AI1006),$AB$1006:$AQ$1006,0)))),"Fix")))</f>
        <v>0</v>
      </c>
      <c r="J826" s="4">
        <f>IF(OR(INDEX($V$2:$V$1001,MATCH(ROWS($U$2:U826),$U$2:$U$1001,0),1)&gt;=100000,INDEX($AB$1005:$AQ$1005,1,MATCH(COLUMNS($AB$1006:AJ1006),$AB$1006:$AQ$1006,0))&gt;=100000), " ",IF(INDEX($AB$2:$AQ$1001,MATCH(ROWS($U$2:U826),$U$2:$U$1001,0),MATCH(COLUMNS($AB$1006:AJ1006),$AB$1006:$AQ$1006,0)), HYPERLINK("#",""), HYPERLINK(CONCATENATE("#metadata!", ADDRESS(INDEX($W$2:$W$1001,MATCH(ROWS($U$2:U826),$U$2:$U$1001,0),0), INDEX($AB$1004:$AQ$1004,1,MATCH(COLUMNS($AB$1006:AJ1006),$AB$1006:$AQ$1006,0)))),"Fix")))</f>
        <v>0</v>
      </c>
      <c r="K826" s="4">
        <f>IF(OR(INDEX($V$2:$V$1001,MATCH(ROWS($U$2:U826),$U$2:$U$1001,0),1)&gt;=100000,INDEX($AB$1005:$AQ$1005,1,MATCH(COLUMNS($AB$1006:AK1006),$AB$1006:$AQ$1006,0))&gt;=100000), " ",IF(INDEX($AB$2:$AQ$1001,MATCH(ROWS($U$2:U826),$U$2:$U$1001,0),MATCH(COLUMNS($AB$1006:AK1006),$AB$1006:$AQ$1006,0)), HYPERLINK("#",""), HYPERLINK(CONCATENATE("#metadata!", ADDRESS(INDEX($W$2:$W$1001,MATCH(ROWS($U$2:U826),$U$2:$U$1001,0),0), INDEX($AB$1004:$AQ$1004,1,MATCH(COLUMNS($AB$1006:AK1006),$AB$1006:$AQ$1006,0)))),"Fix")))</f>
        <v>0</v>
      </c>
      <c r="L826" s="4">
        <f>IF(OR(INDEX($V$2:$V$1001,MATCH(ROWS($U$2:U826),$U$2:$U$1001,0),1)&gt;=100000,INDEX($AB$1005:$AQ$1005,1,MATCH(COLUMNS($AB$1006:AL1006),$AB$1006:$AQ$1006,0))&gt;=100000), " ",IF(INDEX($AB$2:$AQ$1001,MATCH(ROWS($U$2:U826),$U$2:$U$1001,0),MATCH(COLUMNS($AB$1006:AL1006),$AB$1006:$AQ$1006,0)), HYPERLINK("#",""), HYPERLINK(CONCATENATE("#metadata!", ADDRESS(INDEX($W$2:$W$1001,MATCH(ROWS($U$2:U826),$U$2:$U$1001,0),0), INDEX($AB$1004:$AQ$1004,1,MATCH(COLUMNS($AB$1006:AL1006),$AB$1006:$AQ$1006,0)))),"Fix")))</f>
        <v>0</v>
      </c>
      <c r="M826" s="4">
        <f>IF(OR(INDEX($V$2:$V$1001,MATCH(ROWS($U$2:U826),$U$2:$U$1001,0),1)&gt;=100000,INDEX($AB$1005:$AQ$1005,1,MATCH(COLUMNS($AB$1006:AM1006),$AB$1006:$AQ$1006,0))&gt;=100000), " ",IF(INDEX($AB$2:$AQ$1001,MATCH(ROWS($U$2:U826),$U$2:$U$1001,0),MATCH(COLUMNS($AB$1006:AM1006),$AB$1006:$AQ$1006,0)), HYPERLINK("#",""), HYPERLINK(CONCATENATE("#metadata!", ADDRESS(INDEX($W$2:$W$1001,MATCH(ROWS($U$2:U826),$U$2:$U$1001,0),0), INDEX($AB$1004:$AQ$1004,1,MATCH(COLUMNS($AB$1006:AM1006),$AB$1006:$AQ$1006,0)))),"Fix")))</f>
        <v>0</v>
      </c>
      <c r="N826" s="4">
        <f>IF(OR(INDEX($V$2:$V$1001,MATCH(ROWS($U$2:U826),$U$2:$U$1001,0),1)&gt;=100000,INDEX($AB$1005:$AQ$1005,1,MATCH(COLUMNS($AB$1006:AN1006),$AB$1006:$AQ$1006,0))&gt;=100000), " ",IF(INDEX($AB$2:$AQ$1001,MATCH(ROWS($U$2:U826),$U$2:$U$1001,0),MATCH(COLUMNS($AB$1006:AN1006),$AB$1006:$AQ$1006,0)), HYPERLINK("#",""), HYPERLINK(CONCATENATE("#metadata!", ADDRESS(INDEX($W$2:$W$1001,MATCH(ROWS($U$2:U826),$U$2:$U$1001,0),0), INDEX($AB$1004:$AQ$1004,1,MATCH(COLUMNS($AB$1006:AN1006),$AB$1006:$AQ$1006,0)))),"Fix")))</f>
        <v>0</v>
      </c>
      <c r="O826" s="4">
        <f>IF(OR(INDEX($V$2:$V$1001,MATCH(ROWS($U$2:U826),$U$2:$U$1001,0),1)&gt;=100000,INDEX($AB$1005:$AQ$1005,1,MATCH(COLUMNS($AB$1006:AO1006),$AB$1006:$AQ$1006,0))&gt;=100000), " ",IF(INDEX($AB$2:$AQ$1001,MATCH(ROWS($U$2:U826),$U$2:$U$1001,0),MATCH(COLUMNS($AB$1006:AO1006),$AB$1006:$AQ$1006,0)), HYPERLINK("#",""), HYPERLINK(CONCATENATE("#metadata!", ADDRESS(INDEX($W$2:$W$1001,MATCH(ROWS($U$2:U826),$U$2:$U$1001,0),0), INDEX($AB$1004:$AQ$1004,1,MATCH(COLUMNS($AB$1006:AO1006),$AB$1006:$AQ$1006,0)))),"Fix")))</f>
        <v>0</v>
      </c>
      <c r="P826" s="4">
        <f>IF(OR(INDEX($V$2:$V$1001,MATCH(ROWS($U$2:U826),$U$2:$U$1001,0),1)&gt;=100000,INDEX($AB$1005:$AQ$1005,1,MATCH(COLUMNS($AB$1006:AP1006),$AB$1006:$AQ$1006,0))&gt;=100000), " ",IF(INDEX($AB$2:$AQ$1001,MATCH(ROWS($U$2:U826),$U$2:$U$1001,0),MATCH(COLUMNS($AB$1006:AP1006),$AB$1006:$AQ$1006,0)), HYPERLINK("#",""), HYPERLINK(CONCATENATE("#metadata!", ADDRESS(INDEX($W$2:$W$1001,MATCH(ROWS($U$2:U826),$U$2:$U$1001,0),0), INDEX($AB$1004:$AQ$1004,1,MATCH(COLUMNS($AB$1006:AP1006),$AB$1006:$AQ$1006,0)))),"Fix")))</f>
        <v>0</v>
      </c>
      <c r="Q826" s="4">
        <f>IF(OR(INDEX($V$2:$V$1001,MATCH(ROWS($U$2:U826),$U$2:$U$1001,0),1)&gt;=100000,INDEX($AB$1005:$AQ$1005,1,MATCH(COLUMNS($AB$1006:AQ1006),$AB$1006:$AQ$1006,0))&gt;=100000), " ",IF(INDEX($AB$2:$AQ$1001,MATCH(ROWS($U$2:U826),$U$2:$U$1001,0),MATCH(COLUMNS($AB$1006:AQ1006),$AB$1006:$AQ$1006,0)), HYPERLINK("#",""), HYPERLINK(CONCATENATE("#metadata!", ADDRESS(INDEX($W$2:$W$1001,MATCH(ROWS($U$2:U826),$U$2:$U$1001,0),0), INDEX($AB$1004:$AQ$1004,1,MATCH(COLUMNS($AB$1006:AQ1006),$AB$1006:$AQ$1006,0)))),"Fix")))</f>
        <v>0</v>
      </c>
      <c r="U826">
        <v>0</v>
      </c>
      <c r="V826">
        <v>0</v>
      </c>
      <c r="W826">
        <v>0</v>
      </c>
      <c r="X826">
        <f>IF(Y826,TRUE,AND(AB826:AQ826))</f>
        <v>0</v>
      </c>
      <c r="Y826">
        <f>COUNTBLANK(metadata!B826:Q826)=COLUMNS(metadata!B826:Q826)</f>
        <v>0</v>
      </c>
      <c r="Z826">
        <v>0</v>
      </c>
      <c r="AB826">
        <f>AND(IF(metadata!B826="",FALSE,TRUE),COUNTIF(metadata!B:B, metadata!B826) = 1,NOT(ISERROR(SUMPRODUCT(SEARCH(MID(metadata!B826,ROW(INDIRECT("1:"&amp;LEN(metadata!B826))), 1),"0123456789abcdefghijklmnopqrstuvwxyzABCDEFGHIJKLMNOPQRSTUVWXYZ.")))))</f>
        <v>0</v>
      </c>
      <c r="AC826">
        <f>OR(AND(IF(metadata!C826="",FALSE,TRUE),OR(exact(metadata!C826,"missing: not collected"),exact(metadata!C826,"missing: not provided"),exact(metadata!C826,"missing: restricted access"))),AND(IF(metadata!C826="",FALSE,TRUE),AND(AND(IFERROR(INT(LEFT(metadata!C826,4))&gt;1900,FALSE),IFERROR(INT(LEFT(metadata!C826,4))&lt;=YEAR(NOW()),FALSE)), OR(MID(metadata!C826,5,1)="", AND(AND(MID(metadata!C826,5,1)="-",IFERROR(INT(MID(metadata!C826,6,1))&gt;=0,FALSE),IFERROR(INT(MID(metadata!C826,6,1))&lt;=1,FALSE),NOT(MID(metadata!C826,7,1)=""),IFERROR(INT(MID(metadata!C826,6,2))&gt;=1,FALSE),IFERROR(INT(MID(metadata!C826,6,2))&lt;=12,FALSE)), OR(MID(metadata!C826,8,1)="", AND(AND(MID(metadata!C826,8,1)="-",IFERROR(INT(MID(metadata!C826,9,1))&gt;=0,FALSE),IFERROR(INT(MID(metadata!C826,9,1))&lt;=3,FALSE),NOT(MID(metadata!C826,10,1)=""),IFERROR(INT(MID(metadata!C826,9,2))&gt;=1,FALSE),IFERROR(INT(MID(metadata!C826,9,2))&lt;=31,FALSE)), OR(MID(metadata!C826,11,1)="", AND(AND(MID(metadata!C826,11,1)=" ",IFERROR(INT(MID(metadata!C826,12,1))&gt;=0,FALSE),IFERROR(INT(MID(metadata!C826,12,1))&lt;=2,FALSE),NOT(MID(metadata!C826,13,1)=""),IFERROR(INT(MID(metadata!C826,12,2))&gt;=0,FALSE),IFERROR(INT(MID(metadata!C826,12,2))&lt;=23,FALSE)), OR(MID(metadata!C826,14,1)="", AND(AND(MID(metadata!C826,14,1)=":",IFERROR(INT(MID(metadata!C826,15,1))&gt;=0,FALSE),IFERROR(INT(MID(metadata!C826,15,1))&lt;=5,FALSE),NOT(MID(metadata!C826,16,1)=""),IFERROR(INT(MID(metadata!C826,15,2))&gt;=0,FALSE),IFERROR(INT(MID(metadata!C826,15,2))&lt;=59,FALSE)), OR(MID(metadata!C826,17,1)="", AND(AND(MID(metadata!C826,17,1)=":",IFERROR(INT(MID(metadata!C826,18,1))&gt;=0,FALSE),IFERROR(INT(MID(metadata!C826,18,1))&lt;=5,FALSE),NOT(MID(metadata!C826,19,1)=""),IFERROR(INT(MID(metadata!C826,18,2))&gt;=0,FALSE),IFERROR(INT(MID(metadata!C826,18,2))&lt;=59,FALSE)), LEN(metadata!C826)&lt;=19)))))))))))))</f>
        <v>0</v>
      </c>
      <c r="AD826">
        <f>IF(metadata!D826="",FALSE,TRUE)</f>
        <v>0</v>
      </c>
      <c r="AE826">
        <f>OR(AND(IF(metadata!E826="",FALSE,TRUE),OR(exact(metadata!E826,"missing: not collected"),exact(metadata!E826,"missing: not provided"))),AND(IF(metadata!E826="",FALSE,TRUE),OR(exact(metadata!E826,"TRUE"),exact(metadata!E826,"FALSE"))))</f>
        <v>0</v>
      </c>
      <c r="AF826">
        <f>IF(metadata!F826="",FALSE,TRUE)</f>
        <v>0</v>
      </c>
      <c r="AG826">
        <f>IF(metadata!G826="",FALSE,TRUE)</f>
        <v>0</v>
      </c>
      <c r="AH826">
        <f>IF(metadata!H826="",FALSE,TRUE)</f>
        <v>0</v>
      </c>
      <c r="AI826">
        <f>OR(AND(IF(metadata!I826="",FALSE,TRUE),OR(exact(metadata!I826,"missing: not collected"),exact(metadata!I826,"missing: not provided"),exact(metadata!I826,"missing: restricted access"))),AND(IF(metadata!I826="",FALSE,TRUE),OR(exact(metadata!I826,"air"),exact(metadata!I826,"built environment"),exact(metadata!I826,"host-associated"),exact(metadata!I826,"human-associated"),exact(metadata!I826,"human-skin"),exact(metadata!I826,"human-oral"),exact(metadata!I826,"human-gut"),exact(metadata!I826,"human-vaginal"),exact(metadata!I826,"microbial mat/biofilm"),exact(metadata!I826,"misc environment"),exact(metadata!I826,"plant-associated"),exact(metadata!I826,"sediment"),exact(metadata!I826,"soil"),exact(metadata!I826,"wastewater/sludge"),exact(metadata!I826,"water"))))</f>
        <v>0</v>
      </c>
      <c r="AJ826">
        <f>IF(metadata!J826="",FALSE,TRUE)</f>
        <v>0</v>
      </c>
      <c r="AK826">
        <f>OR(AND(IF(metadata!K826="",FALSE,TRUE),OR(exact(metadata!K826,"missing: not collected"),exact(metadata!K826,"missing: not provided"),exact(metadata!K826,"missing: restricted access"))),AND(IF(metadata!K826="",FALSE,ISNUMBER(VALUE(metadata!K826))),metadata!K826&gt;=-90.00,metadata!K826&lt;=90.00))</f>
        <v>0</v>
      </c>
      <c r="AL826">
        <f>OR(AND(IF(metadata!L826="",FALSE,TRUE),OR(exact(metadata!L826,"missing: not collected"),exact(metadata!L826,"missing: not provided"),exact(metadata!L826,"missing: restricted access"))),AND(IF(metadata!L826="",FALSE,ISNUMBER(VALUE(metadata!L826))),metadata!L826&gt;=-180.00,metadata!L826&lt;=180.00))</f>
        <v>0</v>
      </c>
      <c r="AM826">
        <f>IF(metadata!M826="",FALSE,TRUE)</f>
        <v>0</v>
      </c>
      <c r="AN826">
        <f>OR(AND(IF(metadata!N826="",FALSE,TRUE),OR(exact(metadata!N826,"missing: not collected"),exact(metadata!N826,"missing: not provided"),exact(metadata!N826,"missing: restricted access"))),AND(IF(metadata!N826="",FALSE,TRUE),OR(exact(metadata!N826,"TRUE"),exact(metadata!N826,"FALSE"))))</f>
        <v>0</v>
      </c>
      <c r="AO826">
        <f>IF(metadata!O826="",FALSE,TRUE)</f>
        <v>0</v>
      </c>
      <c r="AP826">
        <f>OR(AND(IF(metadata!P826="",FALSE,TRUE),OR(exact(metadata!P826,"missing: not collected"),exact(metadata!P826,"missing: not provided"))),AND(IF(metadata!P826="",FALSE,IF(ISERROR(INT(metadata!P826)),FALSE,INT(metadata!P826)=metadata!P826)),metadata!P826&gt;0))</f>
        <v>0</v>
      </c>
      <c r="AQ826">
        <f>IF(metadata!Q826="",FALSE,TRUE)</f>
        <v>0</v>
      </c>
    </row>
    <row r="827" spans="1:43">
      <c r="A827" s="5">
        <f>IF(B827=" "," ",HYPERLINK(CONCATENATE("#metadata!",ADDRESS(INDEX($W$2:$W$1001,MATCH(ROWS($U$2:U827),$U$2:$U$1001,0),0),1)),INDEX($Z$2:$Z$1001,MATCH(ROWS($U$2:U827),$U$2:$U$1001,0),0)))</f>
        <v>0</v>
      </c>
      <c r="B827" s="4">
        <f>IF(OR(INDEX($V$2:$V$1001,MATCH(ROWS($U$2:U827),$U$2:$U$1001,0),1)&gt;=100000,INDEX($AB$1005:$AQ$1005,1,MATCH(COLUMNS($AB$1006:AB1006),$AB$1006:$AQ$1006,0))&gt;=100000), " ",IF(INDEX($AB$2:$AQ$1001,MATCH(ROWS($U$2:U827),$U$2:$U$1001,0),MATCH(COLUMNS($AB$1006:AB1006),$AB$1006:$AQ$1006,0)), HYPERLINK("#",""), HYPERLINK(CONCATENATE("#metadata!", ADDRESS(INDEX($W$2:$W$1001,MATCH(ROWS($U$2:U827),$U$2:$U$1001,0),0), INDEX($AB$1004:$AQ$1004,1,MATCH(COLUMNS($AB$1006:AB1006),$AB$1006:$AQ$1006,0)))),"Fix")))</f>
        <v>0</v>
      </c>
      <c r="C827" s="4">
        <f>IF(OR(INDEX($V$2:$V$1001,MATCH(ROWS($U$2:U827),$U$2:$U$1001,0),1)&gt;=100000,INDEX($AB$1005:$AQ$1005,1,MATCH(COLUMNS($AB$1006:AC1006),$AB$1006:$AQ$1006,0))&gt;=100000), " ",IF(INDEX($AB$2:$AQ$1001,MATCH(ROWS($U$2:U827),$U$2:$U$1001,0),MATCH(COLUMNS($AB$1006:AC1006),$AB$1006:$AQ$1006,0)), HYPERLINK("#",""), HYPERLINK(CONCATENATE("#metadata!", ADDRESS(INDEX($W$2:$W$1001,MATCH(ROWS($U$2:U827),$U$2:$U$1001,0),0), INDEX($AB$1004:$AQ$1004,1,MATCH(COLUMNS($AB$1006:AC1006),$AB$1006:$AQ$1006,0)))),"Fix")))</f>
        <v>0</v>
      </c>
      <c r="D827" s="4">
        <f>IF(OR(INDEX($V$2:$V$1001,MATCH(ROWS($U$2:U827),$U$2:$U$1001,0),1)&gt;=100000,INDEX($AB$1005:$AQ$1005,1,MATCH(COLUMNS($AB$1006:AD1006),$AB$1006:$AQ$1006,0))&gt;=100000), " ",IF(INDEX($AB$2:$AQ$1001,MATCH(ROWS($U$2:U827),$U$2:$U$1001,0),MATCH(COLUMNS($AB$1006:AD1006),$AB$1006:$AQ$1006,0)), HYPERLINK("#",""), HYPERLINK(CONCATENATE("#metadata!", ADDRESS(INDEX($W$2:$W$1001,MATCH(ROWS($U$2:U827),$U$2:$U$1001,0),0), INDEX($AB$1004:$AQ$1004,1,MATCH(COLUMNS($AB$1006:AD1006),$AB$1006:$AQ$1006,0)))),"Fix")))</f>
        <v>0</v>
      </c>
      <c r="E827" s="4">
        <f>IF(OR(INDEX($V$2:$V$1001,MATCH(ROWS($U$2:U827),$U$2:$U$1001,0),1)&gt;=100000,INDEX($AB$1005:$AQ$1005,1,MATCH(COLUMNS($AB$1006:AE1006),$AB$1006:$AQ$1006,0))&gt;=100000), " ",IF(INDEX($AB$2:$AQ$1001,MATCH(ROWS($U$2:U827),$U$2:$U$1001,0),MATCH(COLUMNS($AB$1006:AE1006),$AB$1006:$AQ$1006,0)), HYPERLINK("#",""), HYPERLINK(CONCATENATE("#metadata!", ADDRESS(INDEX($W$2:$W$1001,MATCH(ROWS($U$2:U827),$U$2:$U$1001,0),0), INDEX($AB$1004:$AQ$1004,1,MATCH(COLUMNS($AB$1006:AE1006),$AB$1006:$AQ$1006,0)))),"Fix")))</f>
        <v>0</v>
      </c>
      <c r="F827" s="4">
        <f>IF(OR(INDEX($V$2:$V$1001,MATCH(ROWS($U$2:U827),$U$2:$U$1001,0),1)&gt;=100000,INDEX($AB$1005:$AQ$1005,1,MATCH(COLUMNS($AB$1006:AF1006),$AB$1006:$AQ$1006,0))&gt;=100000), " ",IF(INDEX($AB$2:$AQ$1001,MATCH(ROWS($U$2:U827),$U$2:$U$1001,0),MATCH(COLUMNS($AB$1006:AF1006),$AB$1006:$AQ$1006,0)), HYPERLINK("#",""), HYPERLINK(CONCATENATE("#metadata!", ADDRESS(INDEX($W$2:$W$1001,MATCH(ROWS($U$2:U827),$U$2:$U$1001,0),0), INDEX($AB$1004:$AQ$1004,1,MATCH(COLUMNS($AB$1006:AF1006),$AB$1006:$AQ$1006,0)))),"Fix")))</f>
        <v>0</v>
      </c>
      <c r="G827" s="4">
        <f>IF(OR(INDEX($V$2:$V$1001,MATCH(ROWS($U$2:U827),$U$2:$U$1001,0),1)&gt;=100000,INDEX($AB$1005:$AQ$1005,1,MATCH(COLUMNS($AB$1006:AG1006),$AB$1006:$AQ$1006,0))&gt;=100000), " ",IF(INDEX($AB$2:$AQ$1001,MATCH(ROWS($U$2:U827),$U$2:$U$1001,0),MATCH(COLUMNS($AB$1006:AG1006),$AB$1006:$AQ$1006,0)), HYPERLINK("#",""), HYPERLINK(CONCATENATE("#metadata!", ADDRESS(INDEX($W$2:$W$1001,MATCH(ROWS($U$2:U827),$U$2:$U$1001,0),0), INDEX($AB$1004:$AQ$1004,1,MATCH(COLUMNS($AB$1006:AG1006),$AB$1006:$AQ$1006,0)))),"Fix")))</f>
        <v>0</v>
      </c>
      <c r="H827" s="4">
        <f>IF(OR(INDEX($V$2:$V$1001,MATCH(ROWS($U$2:U827),$U$2:$U$1001,0),1)&gt;=100000,INDEX($AB$1005:$AQ$1005,1,MATCH(COLUMNS($AB$1006:AH1006),$AB$1006:$AQ$1006,0))&gt;=100000), " ",IF(INDEX($AB$2:$AQ$1001,MATCH(ROWS($U$2:U827),$U$2:$U$1001,0),MATCH(COLUMNS($AB$1006:AH1006),$AB$1006:$AQ$1006,0)), HYPERLINK("#",""), HYPERLINK(CONCATENATE("#metadata!", ADDRESS(INDEX($W$2:$W$1001,MATCH(ROWS($U$2:U827),$U$2:$U$1001,0),0), INDEX($AB$1004:$AQ$1004,1,MATCH(COLUMNS($AB$1006:AH1006),$AB$1006:$AQ$1006,0)))),"Fix")))</f>
        <v>0</v>
      </c>
      <c r="I827" s="4">
        <f>IF(OR(INDEX($V$2:$V$1001,MATCH(ROWS($U$2:U827),$U$2:$U$1001,0),1)&gt;=100000,INDEX($AB$1005:$AQ$1005,1,MATCH(COLUMNS($AB$1006:AI1006),$AB$1006:$AQ$1006,0))&gt;=100000), " ",IF(INDEX($AB$2:$AQ$1001,MATCH(ROWS($U$2:U827),$U$2:$U$1001,0),MATCH(COLUMNS($AB$1006:AI1006),$AB$1006:$AQ$1006,0)), HYPERLINK("#",""), HYPERLINK(CONCATENATE("#metadata!", ADDRESS(INDEX($W$2:$W$1001,MATCH(ROWS($U$2:U827),$U$2:$U$1001,0),0), INDEX($AB$1004:$AQ$1004,1,MATCH(COLUMNS($AB$1006:AI1006),$AB$1006:$AQ$1006,0)))),"Fix")))</f>
        <v>0</v>
      </c>
      <c r="J827" s="4">
        <f>IF(OR(INDEX($V$2:$V$1001,MATCH(ROWS($U$2:U827),$U$2:$U$1001,0),1)&gt;=100000,INDEX($AB$1005:$AQ$1005,1,MATCH(COLUMNS($AB$1006:AJ1006),$AB$1006:$AQ$1006,0))&gt;=100000), " ",IF(INDEX($AB$2:$AQ$1001,MATCH(ROWS($U$2:U827),$U$2:$U$1001,0),MATCH(COLUMNS($AB$1006:AJ1006),$AB$1006:$AQ$1006,0)), HYPERLINK("#",""), HYPERLINK(CONCATENATE("#metadata!", ADDRESS(INDEX($W$2:$W$1001,MATCH(ROWS($U$2:U827),$U$2:$U$1001,0),0), INDEX($AB$1004:$AQ$1004,1,MATCH(COLUMNS($AB$1006:AJ1006),$AB$1006:$AQ$1006,0)))),"Fix")))</f>
        <v>0</v>
      </c>
      <c r="K827" s="4">
        <f>IF(OR(INDEX($V$2:$V$1001,MATCH(ROWS($U$2:U827),$U$2:$U$1001,0),1)&gt;=100000,INDEX($AB$1005:$AQ$1005,1,MATCH(COLUMNS($AB$1006:AK1006),$AB$1006:$AQ$1006,0))&gt;=100000), " ",IF(INDEX($AB$2:$AQ$1001,MATCH(ROWS($U$2:U827),$U$2:$U$1001,0),MATCH(COLUMNS($AB$1006:AK1006),$AB$1006:$AQ$1006,0)), HYPERLINK("#",""), HYPERLINK(CONCATENATE("#metadata!", ADDRESS(INDEX($W$2:$W$1001,MATCH(ROWS($U$2:U827),$U$2:$U$1001,0),0), INDEX($AB$1004:$AQ$1004,1,MATCH(COLUMNS($AB$1006:AK1006),$AB$1006:$AQ$1006,0)))),"Fix")))</f>
        <v>0</v>
      </c>
      <c r="L827" s="4">
        <f>IF(OR(INDEX($V$2:$V$1001,MATCH(ROWS($U$2:U827),$U$2:$U$1001,0),1)&gt;=100000,INDEX($AB$1005:$AQ$1005,1,MATCH(COLUMNS($AB$1006:AL1006),$AB$1006:$AQ$1006,0))&gt;=100000), " ",IF(INDEX($AB$2:$AQ$1001,MATCH(ROWS($U$2:U827),$U$2:$U$1001,0),MATCH(COLUMNS($AB$1006:AL1006),$AB$1006:$AQ$1006,0)), HYPERLINK("#",""), HYPERLINK(CONCATENATE("#metadata!", ADDRESS(INDEX($W$2:$W$1001,MATCH(ROWS($U$2:U827),$U$2:$U$1001,0),0), INDEX($AB$1004:$AQ$1004,1,MATCH(COLUMNS($AB$1006:AL1006),$AB$1006:$AQ$1006,0)))),"Fix")))</f>
        <v>0</v>
      </c>
      <c r="M827" s="4">
        <f>IF(OR(INDEX($V$2:$V$1001,MATCH(ROWS($U$2:U827),$U$2:$U$1001,0),1)&gt;=100000,INDEX($AB$1005:$AQ$1005,1,MATCH(COLUMNS($AB$1006:AM1006),$AB$1006:$AQ$1006,0))&gt;=100000), " ",IF(INDEX($AB$2:$AQ$1001,MATCH(ROWS($U$2:U827),$U$2:$U$1001,0),MATCH(COLUMNS($AB$1006:AM1006),$AB$1006:$AQ$1006,0)), HYPERLINK("#",""), HYPERLINK(CONCATENATE("#metadata!", ADDRESS(INDEX($W$2:$W$1001,MATCH(ROWS($U$2:U827),$U$2:$U$1001,0),0), INDEX($AB$1004:$AQ$1004,1,MATCH(COLUMNS($AB$1006:AM1006),$AB$1006:$AQ$1006,0)))),"Fix")))</f>
        <v>0</v>
      </c>
      <c r="N827" s="4">
        <f>IF(OR(INDEX($V$2:$V$1001,MATCH(ROWS($U$2:U827),$U$2:$U$1001,0),1)&gt;=100000,INDEX($AB$1005:$AQ$1005,1,MATCH(COLUMNS($AB$1006:AN1006),$AB$1006:$AQ$1006,0))&gt;=100000), " ",IF(INDEX($AB$2:$AQ$1001,MATCH(ROWS($U$2:U827),$U$2:$U$1001,0),MATCH(COLUMNS($AB$1006:AN1006),$AB$1006:$AQ$1006,0)), HYPERLINK("#",""), HYPERLINK(CONCATENATE("#metadata!", ADDRESS(INDEX($W$2:$W$1001,MATCH(ROWS($U$2:U827),$U$2:$U$1001,0),0), INDEX($AB$1004:$AQ$1004,1,MATCH(COLUMNS($AB$1006:AN1006),$AB$1006:$AQ$1006,0)))),"Fix")))</f>
        <v>0</v>
      </c>
      <c r="O827" s="4">
        <f>IF(OR(INDEX($V$2:$V$1001,MATCH(ROWS($U$2:U827),$U$2:$U$1001,0),1)&gt;=100000,INDEX($AB$1005:$AQ$1005,1,MATCH(COLUMNS($AB$1006:AO1006),$AB$1006:$AQ$1006,0))&gt;=100000), " ",IF(INDEX($AB$2:$AQ$1001,MATCH(ROWS($U$2:U827),$U$2:$U$1001,0),MATCH(COLUMNS($AB$1006:AO1006),$AB$1006:$AQ$1006,0)), HYPERLINK("#",""), HYPERLINK(CONCATENATE("#metadata!", ADDRESS(INDEX($W$2:$W$1001,MATCH(ROWS($U$2:U827),$U$2:$U$1001,0),0), INDEX($AB$1004:$AQ$1004,1,MATCH(COLUMNS($AB$1006:AO1006),$AB$1006:$AQ$1006,0)))),"Fix")))</f>
        <v>0</v>
      </c>
      <c r="P827" s="4">
        <f>IF(OR(INDEX($V$2:$V$1001,MATCH(ROWS($U$2:U827),$U$2:$U$1001,0),1)&gt;=100000,INDEX($AB$1005:$AQ$1005,1,MATCH(COLUMNS($AB$1006:AP1006),$AB$1006:$AQ$1006,0))&gt;=100000), " ",IF(INDEX($AB$2:$AQ$1001,MATCH(ROWS($U$2:U827),$U$2:$U$1001,0),MATCH(COLUMNS($AB$1006:AP1006),$AB$1006:$AQ$1006,0)), HYPERLINK("#",""), HYPERLINK(CONCATENATE("#metadata!", ADDRESS(INDEX($W$2:$W$1001,MATCH(ROWS($U$2:U827),$U$2:$U$1001,0),0), INDEX($AB$1004:$AQ$1004,1,MATCH(COLUMNS($AB$1006:AP1006),$AB$1006:$AQ$1006,0)))),"Fix")))</f>
        <v>0</v>
      </c>
      <c r="Q827" s="4">
        <f>IF(OR(INDEX($V$2:$V$1001,MATCH(ROWS($U$2:U827),$U$2:$U$1001,0),1)&gt;=100000,INDEX($AB$1005:$AQ$1005,1,MATCH(COLUMNS($AB$1006:AQ1006),$AB$1006:$AQ$1006,0))&gt;=100000), " ",IF(INDEX($AB$2:$AQ$1001,MATCH(ROWS($U$2:U827),$U$2:$U$1001,0),MATCH(COLUMNS($AB$1006:AQ1006),$AB$1006:$AQ$1006,0)), HYPERLINK("#",""), HYPERLINK(CONCATENATE("#metadata!", ADDRESS(INDEX($W$2:$W$1001,MATCH(ROWS($U$2:U827),$U$2:$U$1001,0),0), INDEX($AB$1004:$AQ$1004,1,MATCH(COLUMNS($AB$1006:AQ1006),$AB$1006:$AQ$1006,0)))),"Fix")))</f>
        <v>0</v>
      </c>
      <c r="U827">
        <v>0</v>
      </c>
      <c r="V827">
        <v>0</v>
      </c>
      <c r="W827">
        <v>0</v>
      </c>
      <c r="X827">
        <f>IF(Y827,TRUE,AND(AB827:AQ827))</f>
        <v>0</v>
      </c>
      <c r="Y827">
        <f>COUNTBLANK(metadata!B827:Q827)=COLUMNS(metadata!B827:Q827)</f>
        <v>0</v>
      </c>
      <c r="Z827">
        <v>0</v>
      </c>
      <c r="AB827">
        <f>AND(IF(metadata!B827="",FALSE,TRUE),COUNTIF(metadata!B:B, metadata!B827) = 1,NOT(ISERROR(SUMPRODUCT(SEARCH(MID(metadata!B827,ROW(INDIRECT("1:"&amp;LEN(metadata!B827))), 1),"0123456789abcdefghijklmnopqrstuvwxyzABCDEFGHIJKLMNOPQRSTUVWXYZ.")))))</f>
        <v>0</v>
      </c>
      <c r="AC827">
        <f>OR(AND(IF(metadata!C827="",FALSE,TRUE),OR(exact(metadata!C827,"missing: not collected"),exact(metadata!C827,"missing: not provided"),exact(metadata!C827,"missing: restricted access"))),AND(IF(metadata!C827="",FALSE,TRUE),AND(AND(IFERROR(INT(LEFT(metadata!C827,4))&gt;1900,FALSE),IFERROR(INT(LEFT(metadata!C827,4))&lt;=YEAR(NOW()),FALSE)), OR(MID(metadata!C827,5,1)="", AND(AND(MID(metadata!C827,5,1)="-",IFERROR(INT(MID(metadata!C827,6,1))&gt;=0,FALSE),IFERROR(INT(MID(metadata!C827,6,1))&lt;=1,FALSE),NOT(MID(metadata!C827,7,1)=""),IFERROR(INT(MID(metadata!C827,6,2))&gt;=1,FALSE),IFERROR(INT(MID(metadata!C827,6,2))&lt;=12,FALSE)), OR(MID(metadata!C827,8,1)="", AND(AND(MID(metadata!C827,8,1)="-",IFERROR(INT(MID(metadata!C827,9,1))&gt;=0,FALSE),IFERROR(INT(MID(metadata!C827,9,1))&lt;=3,FALSE),NOT(MID(metadata!C827,10,1)=""),IFERROR(INT(MID(metadata!C827,9,2))&gt;=1,FALSE),IFERROR(INT(MID(metadata!C827,9,2))&lt;=31,FALSE)), OR(MID(metadata!C827,11,1)="", AND(AND(MID(metadata!C827,11,1)=" ",IFERROR(INT(MID(metadata!C827,12,1))&gt;=0,FALSE),IFERROR(INT(MID(metadata!C827,12,1))&lt;=2,FALSE),NOT(MID(metadata!C827,13,1)=""),IFERROR(INT(MID(metadata!C827,12,2))&gt;=0,FALSE),IFERROR(INT(MID(metadata!C827,12,2))&lt;=23,FALSE)), OR(MID(metadata!C827,14,1)="", AND(AND(MID(metadata!C827,14,1)=":",IFERROR(INT(MID(metadata!C827,15,1))&gt;=0,FALSE),IFERROR(INT(MID(metadata!C827,15,1))&lt;=5,FALSE),NOT(MID(metadata!C827,16,1)=""),IFERROR(INT(MID(metadata!C827,15,2))&gt;=0,FALSE),IFERROR(INT(MID(metadata!C827,15,2))&lt;=59,FALSE)), OR(MID(metadata!C827,17,1)="", AND(AND(MID(metadata!C827,17,1)=":",IFERROR(INT(MID(metadata!C827,18,1))&gt;=0,FALSE),IFERROR(INT(MID(metadata!C827,18,1))&lt;=5,FALSE),NOT(MID(metadata!C827,19,1)=""),IFERROR(INT(MID(metadata!C827,18,2))&gt;=0,FALSE),IFERROR(INT(MID(metadata!C827,18,2))&lt;=59,FALSE)), LEN(metadata!C827)&lt;=19)))))))))))))</f>
        <v>0</v>
      </c>
      <c r="AD827">
        <f>IF(metadata!D827="",FALSE,TRUE)</f>
        <v>0</v>
      </c>
      <c r="AE827">
        <f>OR(AND(IF(metadata!E827="",FALSE,TRUE),OR(exact(metadata!E827,"missing: not collected"),exact(metadata!E827,"missing: not provided"))),AND(IF(metadata!E827="",FALSE,TRUE),OR(exact(metadata!E827,"TRUE"),exact(metadata!E827,"FALSE"))))</f>
        <v>0</v>
      </c>
      <c r="AF827">
        <f>IF(metadata!F827="",FALSE,TRUE)</f>
        <v>0</v>
      </c>
      <c r="AG827">
        <f>IF(metadata!G827="",FALSE,TRUE)</f>
        <v>0</v>
      </c>
      <c r="AH827">
        <f>IF(metadata!H827="",FALSE,TRUE)</f>
        <v>0</v>
      </c>
      <c r="AI827">
        <f>OR(AND(IF(metadata!I827="",FALSE,TRUE),OR(exact(metadata!I827,"missing: not collected"),exact(metadata!I827,"missing: not provided"),exact(metadata!I827,"missing: restricted access"))),AND(IF(metadata!I827="",FALSE,TRUE),OR(exact(metadata!I827,"air"),exact(metadata!I827,"built environment"),exact(metadata!I827,"host-associated"),exact(metadata!I827,"human-associated"),exact(metadata!I827,"human-skin"),exact(metadata!I827,"human-oral"),exact(metadata!I827,"human-gut"),exact(metadata!I827,"human-vaginal"),exact(metadata!I827,"microbial mat/biofilm"),exact(metadata!I827,"misc environment"),exact(metadata!I827,"plant-associated"),exact(metadata!I827,"sediment"),exact(metadata!I827,"soil"),exact(metadata!I827,"wastewater/sludge"),exact(metadata!I827,"water"))))</f>
        <v>0</v>
      </c>
      <c r="AJ827">
        <f>IF(metadata!J827="",FALSE,TRUE)</f>
        <v>0</v>
      </c>
      <c r="AK827">
        <f>OR(AND(IF(metadata!K827="",FALSE,TRUE),OR(exact(metadata!K827,"missing: not collected"),exact(metadata!K827,"missing: not provided"),exact(metadata!K827,"missing: restricted access"))),AND(IF(metadata!K827="",FALSE,ISNUMBER(VALUE(metadata!K827))),metadata!K827&gt;=-90.00,metadata!K827&lt;=90.00))</f>
        <v>0</v>
      </c>
      <c r="AL827">
        <f>OR(AND(IF(metadata!L827="",FALSE,TRUE),OR(exact(metadata!L827,"missing: not collected"),exact(metadata!L827,"missing: not provided"),exact(metadata!L827,"missing: restricted access"))),AND(IF(metadata!L827="",FALSE,ISNUMBER(VALUE(metadata!L827))),metadata!L827&gt;=-180.00,metadata!L827&lt;=180.00))</f>
        <v>0</v>
      </c>
      <c r="AM827">
        <f>IF(metadata!M827="",FALSE,TRUE)</f>
        <v>0</v>
      </c>
      <c r="AN827">
        <f>OR(AND(IF(metadata!N827="",FALSE,TRUE),OR(exact(metadata!N827,"missing: not collected"),exact(metadata!N827,"missing: not provided"),exact(metadata!N827,"missing: restricted access"))),AND(IF(metadata!N827="",FALSE,TRUE),OR(exact(metadata!N827,"TRUE"),exact(metadata!N827,"FALSE"))))</f>
        <v>0</v>
      </c>
      <c r="AO827">
        <f>IF(metadata!O827="",FALSE,TRUE)</f>
        <v>0</v>
      </c>
      <c r="AP827">
        <f>OR(AND(IF(metadata!P827="",FALSE,TRUE),OR(exact(metadata!P827,"missing: not collected"),exact(metadata!P827,"missing: not provided"))),AND(IF(metadata!P827="",FALSE,IF(ISERROR(INT(metadata!P827)),FALSE,INT(metadata!P827)=metadata!P827)),metadata!P827&gt;0))</f>
        <v>0</v>
      </c>
      <c r="AQ827">
        <f>IF(metadata!Q827="",FALSE,TRUE)</f>
        <v>0</v>
      </c>
    </row>
    <row r="828" spans="1:43">
      <c r="A828" s="5">
        <f>IF(B828=" "," ",HYPERLINK(CONCATENATE("#metadata!",ADDRESS(INDEX($W$2:$W$1001,MATCH(ROWS($U$2:U828),$U$2:$U$1001,0),0),1)),INDEX($Z$2:$Z$1001,MATCH(ROWS($U$2:U828),$U$2:$U$1001,0),0)))</f>
        <v>0</v>
      </c>
      <c r="B828" s="4">
        <f>IF(OR(INDEX($V$2:$V$1001,MATCH(ROWS($U$2:U828),$U$2:$U$1001,0),1)&gt;=100000,INDEX($AB$1005:$AQ$1005,1,MATCH(COLUMNS($AB$1006:AB1006),$AB$1006:$AQ$1006,0))&gt;=100000), " ",IF(INDEX($AB$2:$AQ$1001,MATCH(ROWS($U$2:U828),$U$2:$U$1001,0),MATCH(COLUMNS($AB$1006:AB1006),$AB$1006:$AQ$1006,0)), HYPERLINK("#",""), HYPERLINK(CONCATENATE("#metadata!", ADDRESS(INDEX($W$2:$W$1001,MATCH(ROWS($U$2:U828),$U$2:$U$1001,0),0), INDEX($AB$1004:$AQ$1004,1,MATCH(COLUMNS($AB$1006:AB1006),$AB$1006:$AQ$1006,0)))),"Fix")))</f>
        <v>0</v>
      </c>
      <c r="C828" s="4">
        <f>IF(OR(INDEX($V$2:$V$1001,MATCH(ROWS($U$2:U828),$U$2:$U$1001,0),1)&gt;=100000,INDEX($AB$1005:$AQ$1005,1,MATCH(COLUMNS($AB$1006:AC1006),$AB$1006:$AQ$1006,0))&gt;=100000), " ",IF(INDEX($AB$2:$AQ$1001,MATCH(ROWS($U$2:U828),$U$2:$U$1001,0),MATCH(COLUMNS($AB$1006:AC1006),$AB$1006:$AQ$1006,0)), HYPERLINK("#",""), HYPERLINK(CONCATENATE("#metadata!", ADDRESS(INDEX($W$2:$W$1001,MATCH(ROWS($U$2:U828),$U$2:$U$1001,0),0), INDEX($AB$1004:$AQ$1004,1,MATCH(COLUMNS($AB$1006:AC1006),$AB$1006:$AQ$1006,0)))),"Fix")))</f>
        <v>0</v>
      </c>
      <c r="D828" s="4">
        <f>IF(OR(INDEX($V$2:$V$1001,MATCH(ROWS($U$2:U828),$U$2:$U$1001,0),1)&gt;=100000,INDEX($AB$1005:$AQ$1005,1,MATCH(COLUMNS($AB$1006:AD1006),$AB$1006:$AQ$1006,0))&gt;=100000), " ",IF(INDEX($AB$2:$AQ$1001,MATCH(ROWS($U$2:U828),$U$2:$U$1001,0),MATCH(COLUMNS($AB$1006:AD1006),$AB$1006:$AQ$1006,0)), HYPERLINK("#",""), HYPERLINK(CONCATENATE("#metadata!", ADDRESS(INDEX($W$2:$W$1001,MATCH(ROWS($U$2:U828),$U$2:$U$1001,0),0), INDEX($AB$1004:$AQ$1004,1,MATCH(COLUMNS($AB$1006:AD1006),$AB$1006:$AQ$1006,0)))),"Fix")))</f>
        <v>0</v>
      </c>
      <c r="E828" s="4">
        <f>IF(OR(INDEX($V$2:$V$1001,MATCH(ROWS($U$2:U828),$U$2:$U$1001,0),1)&gt;=100000,INDEX($AB$1005:$AQ$1005,1,MATCH(COLUMNS($AB$1006:AE1006),$AB$1006:$AQ$1006,0))&gt;=100000), " ",IF(INDEX($AB$2:$AQ$1001,MATCH(ROWS($U$2:U828),$U$2:$U$1001,0),MATCH(COLUMNS($AB$1006:AE1006),$AB$1006:$AQ$1006,0)), HYPERLINK("#",""), HYPERLINK(CONCATENATE("#metadata!", ADDRESS(INDEX($W$2:$W$1001,MATCH(ROWS($U$2:U828),$U$2:$U$1001,0),0), INDEX($AB$1004:$AQ$1004,1,MATCH(COLUMNS($AB$1006:AE1006),$AB$1006:$AQ$1006,0)))),"Fix")))</f>
        <v>0</v>
      </c>
      <c r="F828" s="4">
        <f>IF(OR(INDEX($V$2:$V$1001,MATCH(ROWS($U$2:U828),$U$2:$U$1001,0),1)&gt;=100000,INDEX($AB$1005:$AQ$1005,1,MATCH(COLUMNS($AB$1006:AF1006),$AB$1006:$AQ$1006,0))&gt;=100000), " ",IF(INDEX($AB$2:$AQ$1001,MATCH(ROWS($U$2:U828),$U$2:$U$1001,0),MATCH(COLUMNS($AB$1006:AF1006),$AB$1006:$AQ$1006,0)), HYPERLINK("#",""), HYPERLINK(CONCATENATE("#metadata!", ADDRESS(INDEX($W$2:$W$1001,MATCH(ROWS($U$2:U828),$U$2:$U$1001,0),0), INDEX($AB$1004:$AQ$1004,1,MATCH(COLUMNS($AB$1006:AF1006),$AB$1006:$AQ$1006,0)))),"Fix")))</f>
        <v>0</v>
      </c>
      <c r="G828" s="4">
        <f>IF(OR(INDEX($V$2:$V$1001,MATCH(ROWS($U$2:U828),$U$2:$U$1001,0),1)&gt;=100000,INDEX($AB$1005:$AQ$1005,1,MATCH(COLUMNS($AB$1006:AG1006),$AB$1006:$AQ$1006,0))&gt;=100000), " ",IF(INDEX($AB$2:$AQ$1001,MATCH(ROWS($U$2:U828),$U$2:$U$1001,0),MATCH(COLUMNS($AB$1006:AG1006),$AB$1006:$AQ$1006,0)), HYPERLINK("#",""), HYPERLINK(CONCATENATE("#metadata!", ADDRESS(INDEX($W$2:$W$1001,MATCH(ROWS($U$2:U828),$U$2:$U$1001,0),0), INDEX($AB$1004:$AQ$1004,1,MATCH(COLUMNS($AB$1006:AG1006),$AB$1006:$AQ$1006,0)))),"Fix")))</f>
        <v>0</v>
      </c>
      <c r="H828" s="4">
        <f>IF(OR(INDEX($V$2:$V$1001,MATCH(ROWS($U$2:U828),$U$2:$U$1001,0),1)&gt;=100000,INDEX($AB$1005:$AQ$1005,1,MATCH(COLUMNS($AB$1006:AH1006),$AB$1006:$AQ$1006,0))&gt;=100000), " ",IF(INDEX($AB$2:$AQ$1001,MATCH(ROWS($U$2:U828),$U$2:$U$1001,0),MATCH(COLUMNS($AB$1006:AH1006),$AB$1006:$AQ$1006,0)), HYPERLINK("#",""), HYPERLINK(CONCATENATE("#metadata!", ADDRESS(INDEX($W$2:$W$1001,MATCH(ROWS($U$2:U828),$U$2:$U$1001,0),0), INDEX($AB$1004:$AQ$1004,1,MATCH(COLUMNS($AB$1006:AH1006),$AB$1006:$AQ$1006,0)))),"Fix")))</f>
        <v>0</v>
      </c>
      <c r="I828" s="4">
        <f>IF(OR(INDEX($V$2:$V$1001,MATCH(ROWS($U$2:U828),$U$2:$U$1001,0),1)&gt;=100000,INDEX($AB$1005:$AQ$1005,1,MATCH(COLUMNS($AB$1006:AI1006),$AB$1006:$AQ$1006,0))&gt;=100000), " ",IF(INDEX($AB$2:$AQ$1001,MATCH(ROWS($U$2:U828),$U$2:$U$1001,0),MATCH(COLUMNS($AB$1006:AI1006),$AB$1006:$AQ$1006,0)), HYPERLINK("#",""), HYPERLINK(CONCATENATE("#metadata!", ADDRESS(INDEX($W$2:$W$1001,MATCH(ROWS($U$2:U828),$U$2:$U$1001,0),0), INDEX($AB$1004:$AQ$1004,1,MATCH(COLUMNS($AB$1006:AI1006),$AB$1006:$AQ$1006,0)))),"Fix")))</f>
        <v>0</v>
      </c>
      <c r="J828" s="4">
        <f>IF(OR(INDEX($V$2:$V$1001,MATCH(ROWS($U$2:U828),$U$2:$U$1001,0),1)&gt;=100000,INDEX($AB$1005:$AQ$1005,1,MATCH(COLUMNS($AB$1006:AJ1006),$AB$1006:$AQ$1006,0))&gt;=100000), " ",IF(INDEX($AB$2:$AQ$1001,MATCH(ROWS($U$2:U828),$U$2:$U$1001,0),MATCH(COLUMNS($AB$1006:AJ1006),$AB$1006:$AQ$1006,0)), HYPERLINK("#",""), HYPERLINK(CONCATENATE("#metadata!", ADDRESS(INDEX($W$2:$W$1001,MATCH(ROWS($U$2:U828),$U$2:$U$1001,0),0), INDEX($AB$1004:$AQ$1004,1,MATCH(COLUMNS($AB$1006:AJ1006),$AB$1006:$AQ$1006,0)))),"Fix")))</f>
        <v>0</v>
      </c>
      <c r="K828" s="4">
        <f>IF(OR(INDEX($V$2:$V$1001,MATCH(ROWS($U$2:U828),$U$2:$U$1001,0),1)&gt;=100000,INDEX($AB$1005:$AQ$1005,1,MATCH(COLUMNS($AB$1006:AK1006),$AB$1006:$AQ$1006,0))&gt;=100000), " ",IF(INDEX($AB$2:$AQ$1001,MATCH(ROWS($U$2:U828),$U$2:$U$1001,0),MATCH(COLUMNS($AB$1006:AK1006),$AB$1006:$AQ$1006,0)), HYPERLINK("#",""), HYPERLINK(CONCATENATE("#metadata!", ADDRESS(INDEX($W$2:$W$1001,MATCH(ROWS($U$2:U828),$U$2:$U$1001,0),0), INDEX($AB$1004:$AQ$1004,1,MATCH(COLUMNS($AB$1006:AK1006),$AB$1006:$AQ$1006,0)))),"Fix")))</f>
        <v>0</v>
      </c>
      <c r="L828" s="4">
        <f>IF(OR(INDEX($V$2:$V$1001,MATCH(ROWS($U$2:U828),$U$2:$U$1001,0),1)&gt;=100000,INDEX($AB$1005:$AQ$1005,1,MATCH(COLUMNS($AB$1006:AL1006),$AB$1006:$AQ$1006,0))&gt;=100000), " ",IF(INDEX($AB$2:$AQ$1001,MATCH(ROWS($U$2:U828),$U$2:$U$1001,0),MATCH(COLUMNS($AB$1006:AL1006),$AB$1006:$AQ$1006,0)), HYPERLINK("#",""), HYPERLINK(CONCATENATE("#metadata!", ADDRESS(INDEX($W$2:$W$1001,MATCH(ROWS($U$2:U828),$U$2:$U$1001,0),0), INDEX($AB$1004:$AQ$1004,1,MATCH(COLUMNS($AB$1006:AL1006),$AB$1006:$AQ$1006,0)))),"Fix")))</f>
        <v>0</v>
      </c>
      <c r="M828" s="4">
        <f>IF(OR(INDEX($V$2:$V$1001,MATCH(ROWS($U$2:U828),$U$2:$U$1001,0),1)&gt;=100000,INDEX($AB$1005:$AQ$1005,1,MATCH(COLUMNS($AB$1006:AM1006),$AB$1006:$AQ$1006,0))&gt;=100000), " ",IF(INDEX($AB$2:$AQ$1001,MATCH(ROWS($U$2:U828),$U$2:$U$1001,0),MATCH(COLUMNS($AB$1006:AM1006),$AB$1006:$AQ$1006,0)), HYPERLINK("#",""), HYPERLINK(CONCATENATE("#metadata!", ADDRESS(INDEX($W$2:$W$1001,MATCH(ROWS($U$2:U828),$U$2:$U$1001,0),0), INDEX($AB$1004:$AQ$1004,1,MATCH(COLUMNS($AB$1006:AM1006),$AB$1006:$AQ$1006,0)))),"Fix")))</f>
        <v>0</v>
      </c>
      <c r="N828" s="4">
        <f>IF(OR(INDEX($V$2:$V$1001,MATCH(ROWS($U$2:U828),$U$2:$U$1001,0),1)&gt;=100000,INDEX($AB$1005:$AQ$1005,1,MATCH(COLUMNS($AB$1006:AN1006),$AB$1006:$AQ$1006,0))&gt;=100000), " ",IF(INDEX($AB$2:$AQ$1001,MATCH(ROWS($U$2:U828),$U$2:$U$1001,0),MATCH(COLUMNS($AB$1006:AN1006),$AB$1006:$AQ$1006,0)), HYPERLINK("#",""), HYPERLINK(CONCATENATE("#metadata!", ADDRESS(INDEX($W$2:$W$1001,MATCH(ROWS($U$2:U828),$U$2:$U$1001,0),0), INDEX($AB$1004:$AQ$1004,1,MATCH(COLUMNS($AB$1006:AN1006),$AB$1006:$AQ$1006,0)))),"Fix")))</f>
        <v>0</v>
      </c>
      <c r="O828" s="4">
        <f>IF(OR(INDEX($V$2:$V$1001,MATCH(ROWS($U$2:U828),$U$2:$U$1001,0),1)&gt;=100000,INDEX($AB$1005:$AQ$1005,1,MATCH(COLUMNS($AB$1006:AO1006),$AB$1006:$AQ$1006,0))&gt;=100000), " ",IF(INDEX($AB$2:$AQ$1001,MATCH(ROWS($U$2:U828),$U$2:$U$1001,0),MATCH(COLUMNS($AB$1006:AO1006),$AB$1006:$AQ$1006,0)), HYPERLINK("#",""), HYPERLINK(CONCATENATE("#metadata!", ADDRESS(INDEX($W$2:$W$1001,MATCH(ROWS($U$2:U828),$U$2:$U$1001,0),0), INDEX($AB$1004:$AQ$1004,1,MATCH(COLUMNS($AB$1006:AO1006),$AB$1006:$AQ$1006,0)))),"Fix")))</f>
        <v>0</v>
      </c>
      <c r="P828" s="4">
        <f>IF(OR(INDEX($V$2:$V$1001,MATCH(ROWS($U$2:U828),$U$2:$U$1001,0),1)&gt;=100000,INDEX($AB$1005:$AQ$1005,1,MATCH(COLUMNS($AB$1006:AP1006),$AB$1006:$AQ$1006,0))&gt;=100000), " ",IF(INDEX($AB$2:$AQ$1001,MATCH(ROWS($U$2:U828),$U$2:$U$1001,0),MATCH(COLUMNS($AB$1006:AP1006),$AB$1006:$AQ$1006,0)), HYPERLINK("#",""), HYPERLINK(CONCATENATE("#metadata!", ADDRESS(INDEX($W$2:$W$1001,MATCH(ROWS($U$2:U828),$U$2:$U$1001,0),0), INDEX($AB$1004:$AQ$1004,1,MATCH(COLUMNS($AB$1006:AP1006),$AB$1006:$AQ$1006,0)))),"Fix")))</f>
        <v>0</v>
      </c>
      <c r="Q828" s="4">
        <f>IF(OR(INDEX($V$2:$V$1001,MATCH(ROWS($U$2:U828),$U$2:$U$1001,0),1)&gt;=100000,INDEX($AB$1005:$AQ$1005,1,MATCH(COLUMNS($AB$1006:AQ1006),$AB$1006:$AQ$1006,0))&gt;=100000), " ",IF(INDEX($AB$2:$AQ$1001,MATCH(ROWS($U$2:U828),$U$2:$U$1001,0),MATCH(COLUMNS($AB$1006:AQ1006),$AB$1006:$AQ$1006,0)), HYPERLINK("#",""), HYPERLINK(CONCATENATE("#metadata!", ADDRESS(INDEX($W$2:$W$1001,MATCH(ROWS($U$2:U828),$U$2:$U$1001,0),0), INDEX($AB$1004:$AQ$1004,1,MATCH(COLUMNS($AB$1006:AQ1006),$AB$1006:$AQ$1006,0)))),"Fix")))</f>
        <v>0</v>
      </c>
      <c r="U828">
        <v>0</v>
      </c>
      <c r="V828">
        <v>0</v>
      </c>
      <c r="W828">
        <v>0</v>
      </c>
      <c r="X828">
        <f>IF(Y828,TRUE,AND(AB828:AQ828))</f>
        <v>0</v>
      </c>
      <c r="Y828">
        <f>COUNTBLANK(metadata!B828:Q828)=COLUMNS(metadata!B828:Q828)</f>
        <v>0</v>
      </c>
      <c r="Z828">
        <v>0</v>
      </c>
      <c r="AB828">
        <f>AND(IF(metadata!B828="",FALSE,TRUE),COUNTIF(metadata!B:B, metadata!B828) = 1,NOT(ISERROR(SUMPRODUCT(SEARCH(MID(metadata!B828,ROW(INDIRECT("1:"&amp;LEN(metadata!B828))), 1),"0123456789abcdefghijklmnopqrstuvwxyzABCDEFGHIJKLMNOPQRSTUVWXYZ.")))))</f>
        <v>0</v>
      </c>
      <c r="AC828">
        <f>OR(AND(IF(metadata!C828="",FALSE,TRUE),OR(exact(metadata!C828,"missing: not collected"),exact(metadata!C828,"missing: not provided"),exact(metadata!C828,"missing: restricted access"))),AND(IF(metadata!C828="",FALSE,TRUE),AND(AND(IFERROR(INT(LEFT(metadata!C828,4))&gt;1900,FALSE),IFERROR(INT(LEFT(metadata!C828,4))&lt;=YEAR(NOW()),FALSE)), OR(MID(metadata!C828,5,1)="", AND(AND(MID(metadata!C828,5,1)="-",IFERROR(INT(MID(metadata!C828,6,1))&gt;=0,FALSE),IFERROR(INT(MID(metadata!C828,6,1))&lt;=1,FALSE),NOT(MID(metadata!C828,7,1)=""),IFERROR(INT(MID(metadata!C828,6,2))&gt;=1,FALSE),IFERROR(INT(MID(metadata!C828,6,2))&lt;=12,FALSE)), OR(MID(metadata!C828,8,1)="", AND(AND(MID(metadata!C828,8,1)="-",IFERROR(INT(MID(metadata!C828,9,1))&gt;=0,FALSE),IFERROR(INT(MID(metadata!C828,9,1))&lt;=3,FALSE),NOT(MID(metadata!C828,10,1)=""),IFERROR(INT(MID(metadata!C828,9,2))&gt;=1,FALSE),IFERROR(INT(MID(metadata!C828,9,2))&lt;=31,FALSE)), OR(MID(metadata!C828,11,1)="", AND(AND(MID(metadata!C828,11,1)=" ",IFERROR(INT(MID(metadata!C828,12,1))&gt;=0,FALSE),IFERROR(INT(MID(metadata!C828,12,1))&lt;=2,FALSE),NOT(MID(metadata!C828,13,1)=""),IFERROR(INT(MID(metadata!C828,12,2))&gt;=0,FALSE),IFERROR(INT(MID(metadata!C828,12,2))&lt;=23,FALSE)), OR(MID(metadata!C828,14,1)="", AND(AND(MID(metadata!C828,14,1)=":",IFERROR(INT(MID(metadata!C828,15,1))&gt;=0,FALSE),IFERROR(INT(MID(metadata!C828,15,1))&lt;=5,FALSE),NOT(MID(metadata!C828,16,1)=""),IFERROR(INT(MID(metadata!C828,15,2))&gt;=0,FALSE),IFERROR(INT(MID(metadata!C828,15,2))&lt;=59,FALSE)), OR(MID(metadata!C828,17,1)="", AND(AND(MID(metadata!C828,17,1)=":",IFERROR(INT(MID(metadata!C828,18,1))&gt;=0,FALSE),IFERROR(INT(MID(metadata!C828,18,1))&lt;=5,FALSE),NOT(MID(metadata!C828,19,1)=""),IFERROR(INT(MID(metadata!C828,18,2))&gt;=0,FALSE),IFERROR(INT(MID(metadata!C828,18,2))&lt;=59,FALSE)), LEN(metadata!C828)&lt;=19)))))))))))))</f>
        <v>0</v>
      </c>
      <c r="AD828">
        <f>IF(metadata!D828="",FALSE,TRUE)</f>
        <v>0</v>
      </c>
      <c r="AE828">
        <f>OR(AND(IF(metadata!E828="",FALSE,TRUE),OR(exact(metadata!E828,"missing: not collected"),exact(metadata!E828,"missing: not provided"))),AND(IF(metadata!E828="",FALSE,TRUE),OR(exact(metadata!E828,"TRUE"),exact(metadata!E828,"FALSE"))))</f>
        <v>0</v>
      </c>
      <c r="AF828">
        <f>IF(metadata!F828="",FALSE,TRUE)</f>
        <v>0</v>
      </c>
      <c r="AG828">
        <f>IF(metadata!G828="",FALSE,TRUE)</f>
        <v>0</v>
      </c>
      <c r="AH828">
        <f>IF(metadata!H828="",FALSE,TRUE)</f>
        <v>0</v>
      </c>
      <c r="AI828">
        <f>OR(AND(IF(metadata!I828="",FALSE,TRUE),OR(exact(metadata!I828,"missing: not collected"),exact(metadata!I828,"missing: not provided"),exact(metadata!I828,"missing: restricted access"))),AND(IF(metadata!I828="",FALSE,TRUE),OR(exact(metadata!I828,"air"),exact(metadata!I828,"built environment"),exact(metadata!I828,"host-associated"),exact(metadata!I828,"human-associated"),exact(metadata!I828,"human-skin"),exact(metadata!I828,"human-oral"),exact(metadata!I828,"human-gut"),exact(metadata!I828,"human-vaginal"),exact(metadata!I828,"microbial mat/biofilm"),exact(metadata!I828,"misc environment"),exact(metadata!I828,"plant-associated"),exact(metadata!I828,"sediment"),exact(metadata!I828,"soil"),exact(metadata!I828,"wastewater/sludge"),exact(metadata!I828,"water"))))</f>
        <v>0</v>
      </c>
      <c r="AJ828">
        <f>IF(metadata!J828="",FALSE,TRUE)</f>
        <v>0</v>
      </c>
      <c r="AK828">
        <f>OR(AND(IF(metadata!K828="",FALSE,TRUE),OR(exact(metadata!K828,"missing: not collected"),exact(metadata!K828,"missing: not provided"),exact(metadata!K828,"missing: restricted access"))),AND(IF(metadata!K828="",FALSE,ISNUMBER(VALUE(metadata!K828))),metadata!K828&gt;=-90.00,metadata!K828&lt;=90.00))</f>
        <v>0</v>
      </c>
      <c r="AL828">
        <f>OR(AND(IF(metadata!L828="",FALSE,TRUE),OR(exact(metadata!L828,"missing: not collected"),exact(metadata!L828,"missing: not provided"),exact(metadata!L828,"missing: restricted access"))),AND(IF(metadata!L828="",FALSE,ISNUMBER(VALUE(metadata!L828))),metadata!L828&gt;=-180.00,metadata!L828&lt;=180.00))</f>
        <v>0</v>
      </c>
      <c r="AM828">
        <f>IF(metadata!M828="",FALSE,TRUE)</f>
        <v>0</v>
      </c>
      <c r="AN828">
        <f>OR(AND(IF(metadata!N828="",FALSE,TRUE),OR(exact(metadata!N828,"missing: not collected"),exact(metadata!N828,"missing: not provided"),exact(metadata!N828,"missing: restricted access"))),AND(IF(metadata!N828="",FALSE,TRUE),OR(exact(metadata!N828,"TRUE"),exact(metadata!N828,"FALSE"))))</f>
        <v>0</v>
      </c>
      <c r="AO828">
        <f>IF(metadata!O828="",FALSE,TRUE)</f>
        <v>0</v>
      </c>
      <c r="AP828">
        <f>OR(AND(IF(metadata!P828="",FALSE,TRUE),OR(exact(metadata!P828,"missing: not collected"),exact(metadata!P828,"missing: not provided"))),AND(IF(metadata!P828="",FALSE,IF(ISERROR(INT(metadata!P828)),FALSE,INT(metadata!P828)=metadata!P828)),metadata!P828&gt;0))</f>
        <v>0</v>
      </c>
      <c r="AQ828">
        <f>IF(metadata!Q828="",FALSE,TRUE)</f>
        <v>0</v>
      </c>
    </row>
    <row r="829" spans="1:43">
      <c r="A829" s="5">
        <f>IF(B829=" "," ",HYPERLINK(CONCATENATE("#metadata!",ADDRESS(INDEX($W$2:$W$1001,MATCH(ROWS($U$2:U829),$U$2:$U$1001,0),0),1)),INDEX($Z$2:$Z$1001,MATCH(ROWS($U$2:U829),$U$2:$U$1001,0),0)))</f>
        <v>0</v>
      </c>
      <c r="B829" s="4">
        <f>IF(OR(INDEX($V$2:$V$1001,MATCH(ROWS($U$2:U829),$U$2:$U$1001,0),1)&gt;=100000,INDEX($AB$1005:$AQ$1005,1,MATCH(COLUMNS($AB$1006:AB1006),$AB$1006:$AQ$1006,0))&gt;=100000), " ",IF(INDEX($AB$2:$AQ$1001,MATCH(ROWS($U$2:U829),$U$2:$U$1001,0),MATCH(COLUMNS($AB$1006:AB1006),$AB$1006:$AQ$1006,0)), HYPERLINK("#",""), HYPERLINK(CONCATENATE("#metadata!", ADDRESS(INDEX($W$2:$W$1001,MATCH(ROWS($U$2:U829),$U$2:$U$1001,0),0), INDEX($AB$1004:$AQ$1004,1,MATCH(COLUMNS($AB$1006:AB1006),$AB$1006:$AQ$1006,0)))),"Fix")))</f>
        <v>0</v>
      </c>
      <c r="C829" s="4">
        <f>IF(OR(INDEX($V$2:$V$1001,MATCH(ROWS($U$2:U829),$U$2:$U$1001,0),1)&gt;=100000,INDEX($AB$1005:$AQ$1005,1,MATCH(COLUMNS($AB$1006:AC1006),$AB$1006:$AQ$1006,0))&gt;=100000), " ",IF(INDEX($AB$2:$AQ$1001,MATCH(ROWS($U$2:U829),$U$2:$U$1001,0),MATCH(COLUMNS($AB$1006:AC1006),$AB$1006:$AQ$1006,0)), HYPERLINK("#",""), HYPERLINK(CONCATENATE("#metadata!", ADDRESS(INDEX($W$2:$W$1001,MATCH(ROWS($U$2:U829),$U$2:$U$1001,0),0), INDEX($AB$1004:$AQ$1004,1,MATCH(COLUMNS($AB$1006:AC1006),$AB$1006:$AQ$1006,0)))),"Fix")))</f>
        <v>0</v>
      </c>
      <c r="D829" s="4">
        <f>IF(OR(INDEX($V$2:$V$1001,MATCH(ROWS($U$2:U829),$U$2:$U$1001,0),1)&gt;=100000,INDEX($AB$1005:$AQ$1005,1,MATCH(COLUMNS($AB$1006:AD1006),$AB$1006:$AQ$1006,0))&gt;=100000), " ",IF(INDEX($AB$2:$AQ$1001,MATCH(ROWS($U$2:U829),$U$2:$U$1001,0),MATCH(COLUMNS($AB$1006:AD1006),$AB$1006:$AQ$1006,0)), HYPERLINK("#",""), HYPERLINK(CONCATENATE("#metadata!", ADDRESS(INDEX($W$2:$W$1001,MATCH(ROWS($U$2:U829),$U$2:$U$1001,0),0), INDEX($AB$1004:$AQ$1004,1,MATCH(COLUMNS($AB$1006:AD1006),$AB$1006:$AQ$1006,0)))),"Fix")))</f>
        <v>0</v>
      </c>
      <c r="E829" s="4">
        <f>IF(OR(INDEX($V$2:$V$1001,MATCH(ROWS($U$2:U829),$U$2:$U$1001,0),1)&gt;=100000,INDEX($AB$1005:$AQ$1005,1,MATCH(COLUMNS($AB$1006:AE1006),$AB$1006:$AQ$1006,0))&gt;=100000), " ",IF(INDEX($AB$2:$AQ$1001,MATCH(ROWS($U$2:U829),$U$2:$U$1001,0),MATCH(COLUMNS($AB$1006:AE1006),$AB$1006:$AQ$1006,0)), HYPERLINK("#",""), HYPERLINK(CONCATENATE("#metadata!", ADDRESS(INDEX($W$2:$W$1001,MATCH(ROWS($U$2:U829),$U$2:$U$1001,0),0), INDEX($AB$1004:$AQ$1004,1,MATCH(COLUMNS($AB$1006:AE1006),$AB$1006:$AQ$1006,0)))),"Fix")))</f>
        <v>0</v>
      </c>
      <c r="F829" s="4">
        <f>IF(OR(INDEX($V$2:$V$1001,MATCH(ROWS($U$2:U829),$U$2:$U$1001,0),1)&gt;=100000,INDEX($AB$1005:$AQ$1005,1,MATCH(COLUMNS($AB$1006:AF1006),$AB$1006:$AQ$1006,0))&gt;=100000), " ",IF(INDEX($AB$2:$AQ$1001,MATCH(ROWS($U$2:U829),$U$2:$U$1001,0),MATCH(COLUMNS($AB$1006:AF1006),$AB$1006:$AQ$1006,0)), HYPERLINK("#",""), HYPERLINK(CONCATENATE("#metadata!", ADDRESS(INDEX($W$2:$W$1001,MATCH(ROWS($U$2:U829),$U$2:$U$1001,0),0), INDEX($AB$1004:$AQ$1004,1,MATCH(COLUMNS($AB$1006:AF1006),$AB$1006:$AQ$1006,0)))),"Fix")))</f>
        <v>0</v>
      </c>
      <c r="G829" s="4">
        <f>IF(OR(INDEX($V$2:$V$1001,MATCH(ROWS($U$2:U829),$U$2:$U$1001,0),1)&gt;=100000,INDEX($AB$1005:$AQ$1005,1,MATCH(COLUMNS($AB$1006:AG1006),$AB$1006:$AQ$1006,0))&gt;=100000), " ",IF(INDEX($AB$2:$AQ$1001,MATCH(ROWS($U$2:U829),$U$2:$U$1001,0),MATCH(COLUMNS($AB$1006:AG1006),$AB$1006:$AQ$1006,0)), HYPERLINK("#",""), HYPERLINK(CONCATENATE("#metadata!", ADDRESS(INDEX($W$2:$W$1001,MATCH(ROWS($U$2:U829),$U$2:$U$1001,0),0), INDEX($AB$1004:$AQ$1004,1,MATCH(COLUMNS($AB$1006:AG1006),$AB$1006:$AQ$1006,0)))),"Fix")))</f>
        <v>0</v>
      </c>
      <c r="H829" s="4">
        <f>IF(OR(INDEX($V$2:$V$1001,MATCH(ROWS($U$2:U829),$U$2:$U$1001,0),1)&gt;=100000,INDEX($AB$1005:$AQ$1005,1,MATCH(COLUMNS($AB$1006:AH1006),$AB$1006:$AQ$1006,0))&gt;=100000), " ",IF(INDEX($AB$2:$AQ$1001,MATCH(ROWS($U$2:U829),$U$2:$U$1001,0),MATCH(COLUMNS($AB$1006:AH1006),$AB$1006:$AQ$1006,0)), HYPERLINK("#",""), HYPERLINK(CONCATENATE("#metadata!", ADDRESS(INDEX($W$2:$W$1001,MATCH(ROWS($U$2:U829),$U$2:$U$1001,0),0), INDEX($AB$1004:$AQ$1004,1,MATCH(COLUMNS($AB$1006:AH1006),$AB$1006:$AQ$1006,0)))),"Fix")))</f>
        <v>0</v>
      </c>
      <c r="I829" s="4">
        <f>IF(OR(INDEX($V$2:$V$1001,MATCH(ROWS($U$2:U829),$U$2:$U$1001,0),1)&gt;=100000,INDEX($AB$1005:$AQ$1005,1,MATCH(COLUMNS($AB$1006:AI1006),$AB$1006:$AQ$1006,0))&gt;=100000), " ",IF(INDEX($AB$2:$AQ$1001,MATCH(ROWS($U$2:U829),$U$2:$U$1001,0),MATCH(COLUMNS($AB$1006:AI1006),$AB$1006:$AQ$1006,0)), HYPERLINK("#",""), HYPERLINK(CONCATENATE("#metadata!", ADDRESS(INDEX($W$2:$W$1001,MATCH(ROWS($U$2:U829),$U$2:$U$1001,0),0), INDEX($AB$1004:$AQ$1004,1,MATCH(COLUMNS($AB$1006:AI1006),$AB$1006:$AQ$1006,0)))),"Fix")))</f>
        <v>0</v>
      </c>
      <c r="J829" s="4">
        <f>IF(OR(INDEX($V$2:$V$1001,MATCH(ROWS($U$2:U829),$U$2:$U$1001,0),1)&gt;=100000,INDEX($AB$1005:$AQ$1005,1,MATCH(COLUMNS($AB$1006:AJ1006),$AB$1006:$AQ$1006,0))&gt;=100000), " ",IF(INDEX($AB$2:$AQ$1001,MATCH(ROWS($U$2:U829),$U$2:$U$1001,0),MATCH(COLUMNS($AB$1006:AJ1006),$AB$1006:$AQ$1006,0)), HYPERLINK("#",""), HYPERLINK(CONCATENATE("#metadata!", ADDRESS(INDEX($W$2:$W$1001,MATCH(ROWS($U$2:U829),$U$2:$U$1001,0),0), INDEX($AB$1004:$AQ$1004,1,MATCH(COLUMNS($AB$1006:AJ1006),$AB$1006:$AQ$1006,0)))),"Fix")))</f>
        <v>0</v>
      </c>
      <c r="K829" s="4">
        <f>IF(OR(INDEX($V$2:$V$1001,MATCH(ROWS($U$2:U829),$U$2:$U$1001,0),1)&gt;=100000,INDEX($AB$1005:$AQ$1005,1,MATCH(COLUMNS($AB$1006:AK1006),$AB$1006:$AQ$1006,0))&gt;=100000), " ",IF(INDEX($AB$2:$AQ$1001,MATCH(ROWS($U$2:U829),$U$2:$U$1001,0),MATCH(COLUMNS($AB$1006:AK1006),$AB$1006:$AQ$1006,0)), HYPERLINK("#",""), HYPERLINK(CONCATENATE("#metadata!", ADDRESS(INDEX($W$2:$W$1001,MATCH(ROWS($U$2:U829),$U$2:$U$1001,0),0), INDEX($AB$1004:$AQ$1004,1,MATCH(COLUMNS($AB$1006:AK1006),$AB$1006:$AQ$1006,0)))),"Fix")))</f>
        <v>0</v>
      </c>
      <c r="L829" s="4">
        <f>IF(OR(INDEX($V$2:$V$1001,MATCH(ROWS($U$2:U829),$U$2:$U$1001,0),1)&gt;=100000,INDEX($AB$1005:$AQ$1005,1,MATCH(COLUMNS($AB$1006:AL1006),$AB$1006:$AQ$1006,0))&gt;=100000), " ",IF(INDEX($AB$2:$AQ$1001,MATCH(ROWS($U$2:U829),$U$2:$U$1001,0),MATCH(COLUMNS($AB$1006:AL1006),$AB$1006:$AQ$1006,0)), HYPERLINK("#",""), HYPERLINK(CONCATENATE("#metadata!", ADDRESS(INDEX($W$2:$W$1001,MATCH(ROWS($U$2:U829),$U$2:$U$1001,0),0), INDEX($AB$1004:$AQ$1004,1,MATCH(COLUMNS($AB$1006:AL1006),$AB$1006:$AQ$1006,0)))),"Fix")))</f>
        <v>0</v>
      </c>
      <c r="M829" s="4">
        <f>IF(OR(INDEX($V$2:$V$1001,MATCH(ROWS($U$2:U829),$U$2:$U$1001,0),1)&gt;=100000,INDEX($AB$1005:$AQ$1005,1,MATCH(COLUMNS($AB$1006:AM1006),$AB$1006:$AQ$1006,0))&gt;=100000), " ",IF(INDEX($AB$2:$AQ$1001,MATCH(ROWS($U$2:U829),$U$2:$U$1001,0),MATCH(COLUMNS($AB$1006:AM1006),$AB$1006:$AQ$1006,0)), HYPERLINK("#",""), HYPERLINK(CONCATENATE("#metadata!", ADDRESS(INDEX($W$2:$W$1001,MATCH(ROWS($U$2:U829),$U$2:$U$1001,0),0), INDEX($AB$1004:$AQ$1004,1,MATCH(COLUMNS($AB$1006:AM1006),$AB$1006:$AQ$1006,0)))),"Fix")))</f>
        <v>0</v>
      </c>
      <c r="N829" s="4">
        <f>IF(OR(INDEX($V$2:$V$1001,MATCH(ROWS($U$2:U829),$U$2:$U$1001,0),1)&gt;=100000,INDEX($AB$1005:$AQ$1005,1,MATCH(COLUMNS($AB$1006:AN1006),$AB$1006:$AQ$1006,0))&gt;=100000), " ",IF(INDEX($AB$2:$AQ$1001,MATCH(ROWS($U$2:U829),$U$2:$U$1001,0),MATCH(COLUMNS($AB$1006:AN1006),$AB$1006:$AQ$1006,0)), HYPERLINK("#",""), HYPERLINK(CONCATENATE("#metadata!", ADDRESS(INDEX($W$2:$W$1001,MATCH(ROWS($U$2:U829),$U$2:$U$1001,0),0), INDEX($AB$1004:$AQ$1004,1,MATCH(COLUMNS($AB$1006:AN1006),$AB$1006:$AQ$1006,0)))),"Fix")))</f>
        <v>0</v>
      </c>
      <c r="O829" s="4">
        <f>IF(OR(INDEX($V$2:$V$1001,MATCH(ROWS($U$2:U829),$U$2:$U$1001,0),1)&gt;=100000,INDEX($AB$1005:$AQ$1005,1,MATCH(COLUMNS($AB$1006:AO1006),$AB$1006:$AQ$1006,0))&gt;=100000), " ",IF(INDEX($AB$2:$AQ$1001,MATCH(ROWS($U$2:U829),$U$2:$U$1001,0),MATCH(COLUMNS($AB$1006:AO1006),$AB$1006:$AQ$1006,0)), HYPERLINK("#",""), HYPERLINK(CONCATENATE("#metadata!", ADDRESS(INDEX($W$2:$W$1001,MATCH(ROWS($U$2:U829),$U$2:$U$1001,0),0), INDEX($AB$1004:$AQ$1004,1,MATCH(COLUMNS($AB$1006:AO1006),$AB$1006:$AQ$1006,0)))),"Fix")))</f>
        <v>0</v>
      </c>
      <c r="P829" s="4">
        <f>IF(OR(INDEX($V$2:$V$1001,MATCH(ROWS($U$2:U829),$U$2:$U$1001,0),1)&gt;=100000,INDEX($AB$1005:$AQ$1005,1,MATCH(COLUMNS($AB$1006:AP1006),$AB$1006:$AQ$1006,0))&gt;=100000), " ",IF(INDEX($AB$2:$AQ$1001,MATCH(ROWS($U$2:U829),$U$2:$U$1001,0),MATCH(COLUMNS($AB$1006:AP1006),$AB$1006:$AQ$1006,0)), HYPERLINK("#",""), HYPERLINK(CONCATENATE("#metadata!", ADDRESS(INDEX($W$2:$W$1001,MATCH(ROWS($U$2:U829),$U$2:$U$1001,0),0), INDEX($AB$1004:$AQ$1004,1,MATCH(COLUMNS($AB$1006:AP1006),$AB$1006:$AQ$1006,0)))),"Fix")))</f>
        <v>0</v>
      </c>
      <c r="Q829" s="4">
        <f>IF(OR(INDEX($V$2:$V$1001,MATCH(ROWS($U$2:U829),$U$2:$U$1001,0),1)&gt;=100000,INDEX($AB$1005:$AQ$1005,1,MATCH(COLUMNS($AB$1006:AQ1006),$AB$1006:$AQ$1006,0))&gt;=100000), " ",IF(INDEX($AB$2:$AQ$1001,MATCH(ROWS($U$2:U829),$U$2:$U$1001,0),MATCH(COLUMNS($AB$1006:AQ1006),$AB$1006:$AQ$1006,0)), HYPERLINK("#",""), HYPERLINK(CONCATENATE("#metadata!", ADDRESS(INDEX($W$2:$W$1001,MATCH(ROWS($U$2:U829),$U$2:$U$1001,0),0), INDEX($AB$1004:$AQ$1004,1,MATCH(COLUMNS($AB$1006:AQ1006),$AB$1006:$AQ$1006,0)))),"Fix")))</f>
        <v>0</v>
      </c>
      <c r="U829">
        <v>0</v>
      </c>
      <c r="V829">
        <v>0</v>
      </c>
      <c r="W829">
        <v>0</v>
      </c>
      <c r="X829">
        <f>IF(Y829,TRUE,AND(AB829:AQ829))</f>
        <v>0</v>
      </c>
      <c r="Y829">
        <f>COUNTBLANK(metadata!B829:Q829)=COLUMNS(metadata!B829:Q829)</f>
        <v>0</v>
      </c>
      <c r="Z829">
        <v>0</v>
      </c>
      <c r="AB829">
        <f>AND(IF(metadata!B829="",FALSE,TRUE),COUNTIF(metadata!B:B, metadata!B829) = 1,NOT(ISERROR(SUMPRODUCT(SEARCH(MID(metadata!B829,ROW(INDIRECT("1:"&amp;LEN(metadata!B829))), 1),"0123456789abcdefghijklmnopqrstuvwxyzABCDEFGHIJKLMNOPQRSTUVWXYZ.")))))</f>
        <v>0</v>
      </c>
      <c r="AC829">
        <f>OR(AND(IF(metadata!C829="",FALSE,TRUE),OR(exact(metadata!C829,"missing: not collected"),exact(metadata!C829,"missing: not provided"),exact(metadata!C829,"missing: restricted access"))),AND(IF(metadata!C829="",FALSE,TRUE),AND(AND(IFERROR(INT(LEFT(metadata!C829,4))&gt;1900,FALSE),IFERROR(INT(LEFT(metadata!C829,4))&lt;=YEAR(NOW()),FALSE)), OR(MID(metadata!C829,5,1)="", AND(AND(MID(metadata!C829,5,1)="-",IFERROR(INT(MID(metadata!C829,6,1))&gt;=0,FALSE),IFERROR(INT(MID(metadata!C829,6,1))&lt;=1,FALSE),NOT(MID(metadata!C829,7,1)=""),IFERROR(INT(MID(metadata!C829,6,2))&gt;=1,FALSE),IFERROR(INT(MID(metadata!C829,6,2))&lt;=12,FALSE)), OR(MID(metadata!C829,8,1)="", AND(AND(MID(metadata!C829,8,1)="-",IFERROR(INT(MID(metadata!C829,9,1))&gt;=0,FALSE),IFERROR(INT(MID(metadata!C829,9,1))&lt;=3,FALSE),NOT(MID(metadata!C829,10,1)=""),IFERROR(INT(MID(metadata!C829,9,2))&gt;=1,FALSE),IFERROR(INT(MID(metadata!C829,9,2))&lt;=31,FALSE)), OR(MID(metadata!C829,11,1)="", AND(AND(MID(metadata!C829,11,1)=" ",IFERROR(INT(MID(metadata!C829,12,1))&gt;=0,FALSE),IFERROR(INT(MID(metadata!C829,12,1))&lt;=2,FALSE),NOT(MID(metadata!C829,13,1)=""),IFERROR(INT(MID(metadata!C829,12,2))&gt;=0,FALSE),IFERROR(INT(MID(metadata!C829,12,2))&lt;=23,FALSE)), OR(MID(metadata!C829,14,1)="", AND(AND(MID(metadata!C829,14,1)=":",IFERROR(INT(MID(metadata!C829,15,1))&gt;=0,FALSE),IFERROR(INT(MID(metadata!C829,15,1))&lt;=5,FALSE),NOT(MID(metadata!C829,16,1)=""),IFERROR(INT(MID(metadata!C829,15,2))&gt;=0,FALSE),IFERROR(INT(MID(metadata!C829,15,2))&lt;=59,FALSE)), OR(MID(metadata!C829,17,1)="", AND(AND(MID(metadata!C829,17,1)=":",IFERROR(INT(MID(metadata!C829,18,1))&gt;=0,FALSE),IFERROR(INT(MID(metadata!C829,18,1))&lt;=5,FALSE),NOT(MID(metadata!C829,19,1)=""),IFERROR(INT(MID(metadata!C829,18,2))&gt;=0,FALSE),IFERROR(INT(MID(metadata!C829,18,2))&lt;=59,FALSE)), LEN(metadata!C829)&lt;=19)))))))))))))</f>
        <v>0</v>
      </c>
      <c r="AD829">
        <f>IF(metadata!D829="",FALSE,TRUE)</f>
        <v>0</v>
      </c>
      <c r="AE829">
        <f>OR(AND(IF(metadata!E829="",FALSE,TRUE),OR(exact(metadata!E829,"missing: not collected"),exact(metadata!E829,"missing: not provided"))),AND(IF(metadata!E829="",FALSE,TRUE),OR(exact(metadata!E829,"TRUE"),exact(metadata!E829,"FALSE"))))</f>
        <v>0</v>
      </c>
      <c r="AF829">
        <f>IF(metadata!F829="",FALSE,TRUE)</f>
        <v>0</v>
      </c>
      <c r="AG829">
        <f>IF(metadata!G829="",FALSE,TRUE)</f>
        <v>0</v>
      </c>
      <c r="AH829">
        <f>IF(metadata!H829="",FALSE,TRUE)</f>
        <v>0</v>
      </c>
      <c r="AI829">
        <f>OR(AND(IF(metadata!I829="",FALSE,TRUE),OR(exact(metadata!I829,"missing: not collected"),exact(metadata!I829,"missing: not provided"),exact(metadata!I829,"missing: restricted access"))),AND(IF(metadata!I829="",FALSE,TRUE),OR(exact(metadata!I829,"air"),exact(metadata!I829,"built environment"),exact(metadata!I829,"host-associated"),exact(metadata!I829,"human-associated"),exact(metadata!I829,"human-skin"),exact(metadata!I829,"human-oral"),exact(metadata!I829,"human-gut"),exact(metadata!I829,"human-vaginal"),exact(metadata!I829,"microbial mat/biofilm"),exact(metadata!I829,"misc environment"),exact(metadata!I829,"plant-associated"),exact(metadata!I829,"sediment"),exact(metadata!I829,"soil"),exact(metadata!I829,"wastewater/sludge"),exact(metadata!I829,"water"))))</f>
        <v>0</v>
      </c>
      <c r="AJ829">
        <f>IF(metadata!J829="",FALSE,TRUE)</f>
        <v>0</v>
      </c>
      <c r="AK829">
        <f>OR(AND(IF(metadata!K829="",FALSE,TRUE),OR(exact(metadata!K829,"missing: not collected"),exact(metadata!K829,"missing: not provided"),exact(metadata!K829,"missing: restricted access"))),AND(IF(metadata!K829="",FALSE,ISNUMBER(VALUE(metadata!K829))),metadata!K829&gt;=-90.00,metadata!K829&lt;=90.00))</f>
        <v>0</v>
      </c>
      <c r="AL829">
        <f>OR(AND(IF(metadata!L829="",FALSE,TRUE),OR(exact(metadata!L829,"missing: not collected"),exact(metadata!L829,"missing: not provided"),exact(metadata!L829,"missing: restricted access"))),AND(IF(metadata!L829="",FALSE,ISNUMBER(VALUE(metadata!L829))),metadata!L829&gt;=-180.00,metadata!L829&lt;=180.00))</f>
        <v>0</v>
      </c>
      <c r="AM829">
        <f>IF(metadata!M829="",FALSE,TRUE)</f>
        <v>0</v>
      </c>
      <c r="AN829">
        <f>OR(AND(IF(metadata!N829="",FALSE,TRUE),OR(exact(metadata!N829,"missing: not collected"),exact(metadata!N829,"missing: not provided"),exact(metadata!N829,"missing: restricted access"))),AND(IF(metadata!N829="",FALSE,TRUE),OR(exact(metadata!N829,"TRUE"),exact(metadata!N829,"FALSE"))))</f>
        <v>0</v>
      </c>
      <c r="AO829">
        <f>IF(metadata!O829="",FALSE,TRUE)</f>
        <v>0</v>
      </c>
      <c r="AP829">
        <f>OR(AND(IF(metadata!P829="",FALSE,TRUE),OR(exact(metadata!P829,"missing: not collected"),exact(metadata!P829,"missing: not provided"))),AND(IF(metadata!P829="",FALSE,IF(ISERROR(INT(metadata!P829)),FALSE,INT(metadata!P829)=metadata!P829)),metadata!P829&gt;0))</f>
        <v>0</v>
      </c>
      <c r="AQ829">
        <f>IF(metadata!Q829="",FALSE,TRUE)</f>
        <v>0</v>
      </c>
    </row>
    <row r="830" spans="1:43">
      <c r="A830" s="5">
        <f>IF(B830=" "," ",HYPERLINK(CONCATENATE("#metadata!",ADDRESS(INDEX($W$2:$W$1001,MATCH(ROWS($U$2:U830),$U$2:$U$1001,0),0),1)),INDEX($Z$2:$Z$1001,MATCH(ROWS($U$2:U830),$U$2:$U$1001,0),0)))</f>
        <v>0</v>
      </c>
      <c r="B830" s="4">
        <f>IF(OR(INDEX($V$2:$V$1001,MATCH(ROWS($U$2:U830),$U$2:$U$1001,0),1)&gt;=100000,INDEX($AB$1005:$AQ$1005,1,MATCH(COLUMNS($AB$1006:AB1006),$AB$1006:$AQ$1006,0))&gt;=100000), " ",IF(INDEX($AB$2:$AQ$1001,MATCH(ROWS($U$2:U830),$U$2:$U$1001,0),MATCH(COLUMNS($AB$1006:AB1006),$AB$1006:$AQ$1006,0)), HYPERLINK("#",""), HYPERLINK(CONCATENATE("#metadata!", ADDRESS(INDEX($W$2:$W$1001,MATCH(ROWS($U$2:U830),$U$2:$U$1001,0),0), INDEX($AB$1004:$AQ$1004,1,MATCH(COLUMNS($AB$1006:AB1006),$AB$1006:$AQ$1006,0)))),"Fix")))</f>
        <v>0</v>
      </c>
      <c r="C830" s="4">
        <f>IF(OR(INDEX($V$2:$V$1001,MATCH(ROWS($U$2:U830),$U$2:$U$1001,0),1)&gt;=100000,INDEX($AB$1005:$AQ$1005,1,MATCH(COLUMNS($AB$1006:AC1006),$AB$1006:$AQ$1006,0))&gt;=100000), " ",IF(INDEX($AB$2:$AQ$1001,MATCH(ROWS($U$2:U830),$U$2:$U$1001,0),MATCH(COLUMNS($AB$1006:AC1006),$AB$1006:$AQ$1006,0)), HYPERLINK("#",""), HYPERLINK(CONCATENATE("#metadata!", ADDRESS(INDEX($W$2:$W$1001,MATCH(ROWS($U$2:U830),$U$2:$U$1001,0),0), INDEX($AB$1004:$AQ$1004,1,MATCH(COLUMNS($AB$1006:AC1006),$AB$1006:$AQ$1006,0)))),"Fix")))</f>
        <v>0</v>
      </c>
      <c r="D830" s="4">
        <f>IF(OR(INDEX($V$2:$V$1001,MATCH(ROWS($U$2:U830),$U$2:$U$1001,0),1)&gt;=100000,INDEX($AB$1005:$AQ$1005,1,MATCH(COLUMNS($AB$1006:AD1006),$AB$1006:$AQ$1006,0))&gt;=100000), " ",IF(INDEX($AB$2:$AQ$1001,MATCH(ROWS($U$2:U830),$U$2:$U$1001,0),MATCH(COLUMNS($AB$1006:AD1006),$AB$1006:$AQ$1006,0)), HYPERLINK("#",""), HYPERLINK(CONCATENATE("#metadata!", ADDRESS(INDEX($W$2:$W$1001,MATCH(ROWS($U$2:U830),$U$2:$U$1001,0),0), INDEX($AB$1004:$AQ$1004,1,MATCH(COLUMNS($AB$1006:AD1006),$AB$1006:$AQ$1006,0)))),"Fix")))</f>
        <v>0</v>
      </c>
      <c r="E830" s="4">
        <f>IF(OR(INDEX($V$2:$V$1001,MATCH(ROWS($U$2:U830),$U$2:$U$1001,0),1)&gt;=100000,INDEX($AB$1005:$AQ$1005,1,MATCH(COLUMNS($AB$1006:AE1006),$AB$1006:$AQ$1006,0))&gt;=100000), " ",IF(INDEX($AB$2:$AQ$1001,MATCH(ROWS($U$2:U830),$U$2:$U$1001,0),MATCH(COLUMNS($AB$1006:AE1006),$AB$1006:$AQ$1006,0)), HYPERLINK("#",""), HYPERLINK(CONCATENATE("#metadata!", ADDRESS(INDEX($W$2:$W$1001,MATCH(ROWS($U$2:U830),$U$2:$U$1001,0),0), INDEX($AB$1004:$AQ$1004,1,MATCH(COLUMNS($AB$1006:AE1006),$AB$1006:$AQ$1006,0)))),"Fix")))</f>
        <v>0</v>
      </c>
      <c r="F830" s="4">
        <f>IF(OR(INDEX($V$2:$V$1001,MATCH(ROWS($U$2:U830),$U$2:$U$1001,0),1)&gt;=100000,INDEX($AB$1005:$AQ$1005,1,MATCH(COLUMNS($AB$1006:AF1006),$AB$1006:$AQ$1006,0))&gt;=100000), " ",IF(INDEX($AB$2:$AQ$1001,MATCH(ROWS($U$2:U830),$U$2:$U$1001,0),MATCH(COLUMNS($AB$1006:AF1006),$AB$1006:$AQ$1006,0)), HYPERLINK("#",""), HYPERLINK(CONCATENATE("#metadata!", ADDRESS(INDEX($W$2:$W$1001,MATCH(ROWS($U$2:U830),$U$2:$U$1001,0),0), INDEX($AB$1004:$AQ$1004,1,MATCH(COLUMNS($AB$1006:AF1006),$AB$1006:$AQ$1006,0)))),"Fix")))</f>
        <v>0</v>
      </c>
      <c r="G830" s="4">
        <f>IF(OR(INDEX($V$2:$V$1001,MATCH(ROWS($U$2:U830),$U$2:$U$1001,0),1)&gt;=100000,INDEX($AB$1005:$AQ$1005,1,MATCH(COLUMNS($AB$1006:AG1006),$AB$1006:$AQ$1006,0))&gt;=100000), " ",IF(INDEX($AB$2:$AQ$1001,MATCH(ROWS($U$2:U830),$U$2:$U$1001,0),MATCH(COLUMNS($AB$1006:AG1006),$AB$1006:$AQ$1006,0)), HYPERLINK("#",""), HYPERLINK(CONCATENATE("#metadata!", ADDRESS(INDEX($W$2:$W$1001,MATCH(ROWS($U$2:U830),$U$2:$U$1001,0),0), INDEX($AB$1004:$AQ$1004,1,MATCH(COLUMNS($AB$1006:AG1006),$AB$1006:$AQ$1006,0)))),"Fix")))</f>
        <v>0</v>
      </c>
      <c r="H830" s="4">
        <f>IF(OR(INDEX($V$2:$V$1001,MATCH(ROWS($U$2:U830),$U$2:$U$1001,0),1)&gt;=100000,INDEX($AB$1005:$AQ$1005,1,MATCH(COLUMNS($AB$1006:AH1006),$AB$1006:$AQ$1006,0))&gt;=100000), " ",IF(INDEX($AB$2:$AQ$1001,MATCH(ROWS($U$2:U830),$U$2:$U$1001,0),MATCH(COLUMNS($AB$1006:AH1006),$AB$1006:$AQ$1006,0)), HYPERLINK("#",""), HYPERLINK(CONCATENATE("#metadata!", ADDRESS(INDEX($W$2:$W$1001,MATCH(ROWS($U$2:U830),$U$2:$U$1001,0),0), INDEX($AB$1004:$AQ$1004,1,MATCH(COLUMNS($AB$1006:AH1006),$AB$1006:$AQ$1006,0)))),"Fix")))</f>
        <v>0</v>
      </c>
      <c r="I830" s="4">
        <f>IF(OR(INDEX($V$2:$V$1001,MATCH(ROWS($U$2:U830),$U$2:$U$1001,0),1)&gt;=100000,INDEX($AB$1005:$AQ$1005,1,MATCH(COLUMNS($AB$1006:AI1006),$AB$1006:$AQ$1006,0))&gt;=100000), " ",IF(INDEX($AB$2:$AQ$1001,MATCH(ROWS($U$2:U830),$U$2:$U$1001,0),MATCH(COLUMNS($AB$1006:AI1006),$AB$1006:$AQ$1006,0)), HYPERLINK("#",""), HYPERLINK(CONCATENATE("#metadata!", ADDRESS(INDEX($W$2:$W$1001,MATCH(ROWS($U$2:U830),$U$2:$U$1001,0),0), INDEX($AB$1004:$AQ$1004,1,MATCH(COLUMNS($AB$1006:AI1006),$AB$1006:$AQ$1006,0)))),"Fix")))</f>
        <v>0</v>
      </c>
      <c r="J830" s="4">
        <f>IF(OR(INDEX($V$2:$V$1001,MATCH(ROWS($U$2:U830),$U$2:$U$1001,0),1)&gt;=100000,INDEX($AB$1005:$AQ$1005,1,MATCH(COLUMNS($AB$1006:AJ1006),$AB$1006:$AQ$1006,0))&gt;=100000), " ",IF(INDEX($AB$2:$AQ$1001,MATCH(ROWS($U$2:U830),$U$2:$U$1001,0),MATCH(COLUMNS($AB$1006:AJ1006),$AB$1006:$AQ$1006,0)), HYPERLINK("#",""), HYPERLINK(CONCATENATE("#metadata!", ADDRESS(INDEX($W$2:$W$1001,MATCH(ROWS($U$2:U830),$U$2:$U$1001,0),0), INDEX($AB$1004:$AQ$1004,1,MATCH(COLUMNS($AB$1006:AJ1006),$AB$1006:$AQ$1006,0)))),"Fix")))</f>
        <v>0</v>
      </c>
      <c r="K830" s="4">
        <f>IF(OR(INDEX($V$2:$V$1001,MATCH(ROWS($U$2:U830),$U$2:$U$1001,0),1)&gt;=100000,INDEX($AB$1005:$AQ$1005,1,MATCH(COLUMNS($AB$1006:AK1006),$AB$1006:$AQ$1006,0))&gt;=100000), " ",IF(INDEX($AB$2:$AQ$1001,MATCH(ROWS($U$2:U830),$U$2:$U$1001,0),MATCH(COLUMNS($AB$1006:AK1006),$AB$1006:$AQ$1006,0)), HYPERLINK("#",""), HYPERLINK(CONCATENATE("#metadata!", ADDRESS(INDEX($W$2:$W$1001,MATCH(ROWS($U$2:U830),$U$2:$U$1001,0),0), INDEX($AB$1004:$AQ$1004,1,MATCH(COLUMNS($AB$1006:AK1006),$AB$1006:$AQ$1006,0)))),"Fix")))</f>
        <v>0</v>
      </c>
      <c r="L830" s="4">
        <f>IF(OR(INDEX($V$2:$V$1001,MATCH(ROWS($U$2:U830),$U$2:$U$1001,0),1)&gt;=100000,INDEX($AB$1005:$AQ$1005,1,MATCH(COLUMNS($AB$1006:AL1006),$AB$1006:$AQ$1006,0))&gt;=100000), " ",IF(INDEX($AB$2:$AQ$1001,MATCH(ROWS($U$2:U830),$U$2:$U$1001,0),MATCH(COLUMNS($AB$1006:AL1006),$AB$1006:$AQ$1006,0)), HYPERLINK("#",""), HYPERLINK(CONCATENATE("#metadata!", ADDRESS(INDEX($W$2:$W$1001,MATCH(ROWS($U$2:U830),$U$2:$U$1001,0),0), INDEX($AB$1004:$AQ$1004,1,MATCH(COLUMNS($AB$1006:AL1006),$AB$1006:$AQ$1006,0)))),"Fix")))</f>
        <v>0</v>
      </c>
      <c r="M830" s="4">
        <f>IF(OR(INDEX($V$2:$V$1001,MATCH(ROWS($U$2:U830),$U$2:$U$1001,0),1)&gt;=100000,INDEX($AB$1005:$AQ$1005,1,MATCH(COLUMNS($AB$1006:AM1006),$AB$1006:$AQ$1006,0))&gt;=100000), " ",IF(INDEX($AB$2:$AQ$1001,MATCH(ROWS($U$2:U830),$U$2:$U$1001,0),MATCH(COLUMNS($AB$1006:AM1006),$AB$1006:$AQ$1006,0)), HYPERLINK("#",""), HYPERLINK(CONCATENATE("#metadata!", ADDRESS(INDEX($W$2:$W$1001,MATCH(ROWS($U$2:U830),$U$2:$U$1001,0),0), INDEX($AB$1004:$AQ$1004,1,MATCH(COLUMNS($AB$1006:AM1006),$AB$1006:$AQ$1006,0)))),"Fix")))</f>
        <v>0</v>
      </c>
      <c r="N830" s="4">
        <f>IF(OR(INDEX($V$2:$V$1001,MATCH(ROWS($U$2:U830),$U$2:$U$1001,0),1)&gt;=100000,INDEX($AB$1005:$AQ$1005,1,MATCH(COLUMNS($AB$1006:AN1006),$AB$1006:$AQ$1006,0))&gt;=100000), " ",IF(INDEX($AB$2:$AQ$1001,MATCH(ROWS($U$2:U830),$U$2:$U$1001,0),MATCH(COLUMNS($AB$1006:AN1006),$AB$1006:$AQ$1006,0)), HYPERLINK("#",""), HYPERLINK(CONCATENATE("#metadata!", ADDRESS(INDEX($W$2:$W$1001,MATCH(ROWS($U$2:U830),$U$2:$U$1001,0),0), INDEX($AB$1004:$AQ$1004,1,MATCH(COLUMNS($AB$1006:AN1006),$AB$1006:$AQ$1006,0)))),"Fix")))</f>
        <v>0</v>
      </c>
      <c r="O830" s="4">
        <f>IF(OR(INDEX($V$2:$V$1001,MATCH(ROWS($U$2:U830),$U$2:$U$1001,0),1)&gt;=100000,INDEX($AB$1005:$AQ$1005,1,MATCH(COLUMNS($AB$1006:AO1006),$AB$1006:$AQ$1006,0))&gt;=100000), " ",IF(INDEX($AB$2:$AQ$1001,MATCH(ROWS($U$2:U830),$U$2:$U$1001,0),MATCH(COLUMNS($AB$1006:AO1006),$AB$1006:$AQ$1006,0)), HYPERLINK("#",""), HYPERLINK(CONCATENATE("#metadata!", ADDRESS(INDEX($W$2:$W$1001,MATCH(ROWS($U$2:U830),$U$2:$U$1001,0),0), INDEX($AB$1004:$AQ$1004,1,MATCH(COLUMNS($AB$1006:AO1006),$AB$1006:$AQ$1006,0)))),"Fix")))</f>
        <v>0</v>
      </c>
      <c r="P830" s="4">
        <f>IF(OR(INDEX($V$2:$V$1001,MATCH(ROWS($U$2:U830),$U$2:$U$1001,0),1)&gt;=100000,INDEX($AB$1005:$AQ$1005,1,MATCH(COLUMNS($AB$1006:AP1006),$AB$1006:$AQ$1006,0))&gt;=100000), " ",IF(INDEX($AB$2:$AQ$1001,MATCH(ROWS($U$2:U830),$U$2:$U$1001,0),MATCH(COLUMNS($AB$1006:AP1006),$AB$1006:$AQ$1006,0)), HYPERLINK("#",""), HYPERLINK(CONCATENATE("#metadata!", ADDRESS(INDEX($W$2:$W$1001,MATCH(ROWS($U$2:U830),$U$2:$U$1001,0),0), INDEX($AB$1004:$AQ$1004,1,MATCH(COLUMNS($AB$1006:AP1006),$AB$1006:$AQ$1006,0)))),"Fix")))</f>
        <v>0</v>
      </c>
      <c r="Q830" s="4">
        <f>IF(OR(INDEX($V$2:$V$1001,MATCH(ROWS($U$2:U830),$U$2:$U$1001,0),1)&gt;=100000,INDEX($AB$1005:$AQ$1005,1,MATCH(COLUMNS($AB$1006:AQ1006),$AB$1006:$AQ$1006,0))&gt;=100000), " ",IF(INDEX($AB$2:$AQ$1001,MATCH(ROWS($U$2:U830),$U$2:$U$1001,0),MATCH(COLUMNS($AB$1006:AQ1006),$AB$1006:$AQ$1006,0)), HYPERLINK("#",""), HYPERLINK(CONCATENATE("#metadata!", ADDRESS(INDEX($W$2:$W$1001,MATCH(ROWS($U$2:U830),$U$2:$U$1001,0),0), INDEX($AB$1004:$AQ$1004,1,MATCH(COLUMNS($AB$1006:AQ1006),$AB$1006:$AQ$1006,0)))),"Fix")))</f>
        <v>0</v>
      </c>
      <c r="U830">
        <v>0</v>
      </c>
      <c r="V830">
        <v>0</v>
      </c>
      <c r="W830">
        <v>0</v>
      </c>
      <c r="X830">
        <f>IF(Y830,TRUE,AND(AB830:AQ830))</f>
        <v>0</v>
      </c>
      <c r="Y830">
        <f>COUNTBLANK(metadata!B830:Q830)=COLUMNS(metadata!B830:Q830)</f>
        <v>0</v>
      </c>
      <c r="Z830">
        <v>0</v>
      </c>
      <c r="AB830">
        <f>AND(IF(metadata!B830="",FALSE,TRUE),COUNTIF(metadata!B:B, metadata!B830) = 1,NOT(ISERROR(SUMPRODUCT(SEARCH(MID(metadata!B830,ROW(INDIRECT("1:"&amp;LEN(metadata!B830))), 1),"0123456789abcdefghijklmnopqrstuvwxyzABCDEFGHIJKLMNOPQRSTUVWXYZ.")))))</f>
        <v>0</v>
      </c>
      <c r="AC830">
        <f>OR(AND(IF(metadata!C830="",FALSE,TRUE),OR(exact(metadata!C830,"missing: not collected"),exact(metadata!C830,"missing: not provided"),exact(metadata!C830,"missing: restricted access"))),AND(IF(metadata!C830="",FALSE,TRUE),AND(AND(IFERROR(INT(LEFT(metadata!C830,4))&gt;1900,FALSE),IFERROR(INT(LEFT(metadata!C830,4))&lt;=YEAR(NOW()),FALSE)), OR(MID(metadata!C830,5,1)="", AND(AND(MID(metadata!C830,5,1)="-",IFERROR(INT(MID(metadata!C830,6,1))&gt;=0,FALSE),IFERROR(INT(MID(metadata!C830,6,1))&lt;=1,FALSE),NOT(MID(metadata!C830,7,1)=""),IFERROR(INT(MID(metadata!C830,6,2))&gt;=1,FALSE),IFERROR(INT(MID(metadata!C830,6,2))&lt;=12,FALSE)), OR(MID(metadata!C830,8,1)="", AND(AND(MID(metadata!C830,8,1)="-",IFERROR(INT(MID(metadata!C830,9,1))&gt;=0,FALSE),IFERROR(INT(MID(metadata!C830,9,1))&lt;=3,FALSE),NOT(MID(metadata!C830,10,1)=""),IFERROR(INT(MID(metadata!C830,9,2))&gt;=1,FALSE),IFERROR(INT(MID(metadata!C830,9,2))&lt;=31,FALSE)), OR(MID(metadata!C830,11,1)="", AND(AND(MID(metadata!C830,11,1)=" ",IFERROR(INT(MID(metadata!C830,12,1))&gt;=0,FALSE),IFERROR(INT(MID(metadata!C830,12,1))&lt;=2,FALSE),NOT(MID(metadata!C830,13,1)=""),IFERROR(INT(MID(metadata!C830,12,2))&gt;=0,FALSE),IFERROR(INT(MID(metadata!C830,12,2))&lt;=23,FALSE)), OR(MID(metadata!C830,14,1)="", AND(AND(MID(metadata!C830,14,1)=":",IFERROR(INT(MID(metadata!C830,15,1))&gt;=0,FALSE),IFERROR(INT(MID(metadata!C830,15,1))&lt;=5,FALSE),NOT(MID(metadata!C830,16,1)=""),IFERROR(INT(MID(metadata!C830,15,2))&gt;=0,FALSE),IFERROR(INT(MID(metadata!C830,15,2))&lt;=59,FALSE)), OR(MID(metadata!C830,17,1)="", AND(AND(MID(metadata!C830,17,1)=":",IFERROR(INT(MID(metadata!C830,18,1))&gt;=0,FALSE),IFERROR(INT(MID(metadata!C830,18,1))&lt;=5,FALSE),NOT(MID(metadata!C830,19,1)=""),IFERROR(INT(MID(metadata!C830,18,2))&gt;=0,FALSE),IFERROR(INT(MID(metadata!C830,18,2))&lt;=59,FALSE)), LEN(metadata!C830)&lt;=19)))))))))))))</f>
        <v>0</v>
      </c>
      <c r="AD830">
        <f>IF(metadata!D830="",FALSE,TRUE)</f>
        <v>0</v>
      </c>
      <c r="AE830">
        <f>OR(AND(IF(metadata!E830="",FALSE,TRUE),OR(exact(metadata!E830,"missing: not collected"),exact(metadata!E830,"missing: not provided"))),AND(IF(metadata!E830="",FALSE,TRUE),OR(exact(metadata!E830,"TRUE"),exact(metadata!E830,"FALSE"))))</f>
        <v>0</v>
      </c>
      <c r="AF830">
        <f>IF(metadata!F830="",FALSE,TRUE)</f>
        <v>0</v>
      </c>
      <c r="AG830">
        <f>IF(metadata!G830="",FALSE,TRUE)</f>
        <v>0</v>
      </c>
      <c r="AH830">
        <f>IF(metadata!H830="",FALSE,TRUE)</f>
        <v>0</v>
      </c>
      <c r="AI830">
        <f>OR(AND(IF(metadata!I830="",FALSE,TRUE),OR(exact(metadata!I830,"missing: not collected"),exact(metadata!I830,"missing: not provided"),exact(metadata!I830,"missing: restricted access"))),AND(IF(metadata!I830="",FALSE,TRUE),OR(exact(metadata!I830,"air"),exact(metadata!I830,"built environment"),exact(metadata!I830,"host-associated"),exact(metadata!I830,"human-associated"),exact(metadata!I830,"human-skin"),exact(metadata!I830,"human-oral"),exact(metadata!I830,"human-gut"),exact(metadata!I830,"human-vaginal"),exact(metadata!I830,"microbial mat/biofilm"),exact(metadata!I830,"misc environment"),exact(metadata!I830,"plant-associated"),exact(metadata!I830,"sediment"),exact(metadata!I830,"soil"),exact(metadata!I830,"wastewater/sludge"),exact(metadata!I830,"water"))))</f>
        <v>0</v>
      </c>
      <c r="AJ830">
        <f>IF(metadata!J830="",FALSE,TRUE)</f>
        <v>0</v>
      </c>
      <c r="AK830">
        <f>OR(AND(IF(metadata!K830="",FALSE,TRUE),OR(exact(metadata!K830,"missing: not collected"),exact(metadata!K830,"missing: not provided"),exact(metadata!K830,"missing: restricted access"))),AND(IF(metadata!K830="",FALSE,ISNUMBER(VALUE(metadata!K830))),metadata!K830&gt;=-90.00,metadata!K830&lt;=90.00))</f>
        <v>0</v>
      </c>
      <c r="AL830">
        <f>OR(AND(IF(metadata!L830="",FALSE,TRUE),OR(exact(metadata!L830,"missing: not collected"),exact(metadata!L830,"missing: not provided"),exact(metadata!L830,"missing: restricted access"))),AND(IF(metadata!L830="",FALSE,ISNUMBER(VALUE(metadata!L830))),metadata!L830&gt;=-180.00,metadata!L830&lt;=180.00))</f>
        <v>0</v>
      </c>
      <c r="AM830">
        <f>IF(metadata!M830="",FALSE,TRUE)</f>
        <v>0</v>
      </c>
      <c r="AN830">
        <f>OR(AND(IF(metadata!N830="",FALSE,TRUE),OR(exact(metadata!N830,"missing: not collected"),exact(metadata!N830,"missing: not provided"),exact(metadata!N830,"missing: restricted access"))),AND(IF(metadata!N830="",FALSE,TRUE),OR(exact(metadata!N830,"TRUE"),exact(metadata!N830,"FALSE"))))</f>
        <v>0</v>
      </c>
      <c r="AO830">
        <f>IF(metadata!O830="",FALSE,TRUE)</f>
        <v>0</v>
      </c>
      <c r="AP830">
        <f>OR(AND(IF(metadata!P830="",FALSE,TRUE),OR(exact(metadata!P830,"missing: not collected"),exact(metadata!P830,"missing: not provided"))),AND(IF(metadata!P830="",FALSE,IF(ISERROR(INT(metadata!P830)),FALSE,INT(metadata!P830)=metadata!P830)),metadata!P830&gt;0))</f>
        <v>0</v>
      </c>
      <c r="AQ830">
        <f>IF(metadata!Q830="",FALSE,TRUE)</f>
        <v>0</v>
      </c>
    </row>
    <row r="831" spans="1:43">
      <c r="A831" s="5">
        <f>IF(B831=" "," ",HYPERLINK(CONCATENATE("#metadata!",ADDRESS(INDEX($W$2:$W$1001,MATCH(ROWS($U$2:U831),$U$2:$U$1001,0),0),1)),INDEX($Z$2:$Z$1001,MATCH(ROWS($U$2:U831),$U$2:$U$1001,0),0)))</f>
        <v>0</v>
      </c>
      <c r="B831" s="4">
        <f>IF(OR(INDEX($V$2:$V$1001,MATCH(ROWS($U$2:U831),$U$2:$U$1001,0),1)&gt;=100000,INDEX($AB$1005:$AQ$1005,1,MATCH(COLUMNS($AB$1006:AB1006),$AB$1006:$AQ$1006,0))&gt;=100000), " ",IF(INDEX($AB$2:$AQ$1001,MATCH(ROWS($U$2:U831),$U$2:$U$1001,0),MATCH(COLUMNS($AB$1006:AB1006),$AB$1006:$AQ$1006,0)), HYPERLINK("#",""), HYPERLINK(CONCATENATE("#metadata!", ADDRESS(INDEX($W$2:$W$1001,MATCH(ROWS($U$2:U831),$U$2:$U$1001,0),0), INDEX($AB$1004:$AQ$1004,1,MATCH(COLUMNS($AB$1006:AB1006),$AB$1006:$AQ$1006,0)))),"Fix")))</f>
        <v>0</v>
      </c>
      <c r="C831" s="4">
        <f>IF(OR(INDEX($V$2:$V$1001,MATCH(ROWS($U$2:U831),$U$2:$U$1001,0),1)&gt;=100000,INDEX($AB$1005:$AQ$1005,1,MATCH(COLUMNS($AB$1006:AC1006),$AB$1006:$AQ$1006,0))&gt;=100000), " ",IF(INDEX($AB$2:$AQ$1001,MATCH(ROWS($U$2:U831),$U$2:$U$1001,0),MATCH(COLUMNS($AB$1006:AC1006),$AB$1006:$AQ$1006,0)), HYPERLINK("#",""), HYPERLINK(CONCATENATE("#metadata!", ADDRESS(INDEX($W$2:$W$1001,MATCH(ROWS($U$2:U831),$U$2:$U$1001,0),0), INDEX($AB$1004:$AQ$1004,1,MATCH(COLUMNS($AB$1006:AC1006),$AB$1006:$AQ$1006,0)))),"Fix")))</f>
        <v>0</v>
      </c>
      <c r="D831" s="4">
        <f>IF(OR(INDEX($V$2:$V$1001,MATCH(ROWS($U$2:U831),$U$2:$U$1001,0),1)&gt;=100000,INDEX($AB$1005:$AQ$1005,1,MATCH(COLUMNS($AB$1006:AD1006),$AB$1006:$AQ$1006,0))&gt;=100000), " ",IF(INDEX($AB$2:$AQ$1001,MATCH(ROWS($U$2:U831),$U$2:$U$1001,0),MATCH(COLUMNS($AB$1006:AD1006),$AB$1006:$AQ$1006,0)), HYPERLINK("#",""), HYPERLINK(CONCATENATE("#metadata!", ADDRESS(INDEX($W$2:$W$1001,MATCH(ROWS($U$2:U831),$U$2:$U$1001,0),0), INDEX($AB$1004:$AQ$1004,1,MATCH(COLUMNS($AB$1006:AD1006),$AB$1006:$AQ$1006,0)))),"Fix")))</f>
        <v>0</v>
      </c>
      <c r="E831" s="4">
        <f>IF(OR(INDEX($V$2:$V$1001,MATCH(ROWS($U$2:U831),$U$2:$U$1001,0),1)&gt;=100000,INDEX($AB$1005:$AQ$1005,1,MATCH(COLUMNS($AB$1006:AE1006),$AB$1006:$AQ$1006,0))&gt;=100000), " ",IF(INDEX($AB$2:$AQ$1001,MATCH(ROWS($U$2:U831),$U$2:$U$1001,0),MATCH(COLUMNS($AB$1006:AE1006),$AB$1006:$AQ$1006,0)), HYPERLINK("#",""), HYPERLINK(CONCATENATE("#metadata!", ADDRESS(INDEX($W$2:$W$1001,MATCH(ROWS($U$2:U831),$U$2:$U$1001,0),0), INDEX($AB$1004:$AQ$1004,1,MATCH(COLUMNS($AB$1006:AE1006),$AB$1006:$AQ$1006,0)))),"Fix")))</f>
        <v>0</v>
      </c>
      <c r="F831" s="4">
        <f>IF(OR(INDEX($V$2:$V$1001,MATCH(ROWS($U$2:U831),$U$2:$U$1001,0),1)&gt;=100000,INDEX($AB$1005:$AQ$1005,1,MATCH(COLUMNS($AB$1006:AF1006),$AB$1006:$AQ$1006,0))&gt;=100000), " ",IF(INDEX($AB$2:$AQ$1001,MATCH(ROWS($U$2:U831),$U$2:$U$1001,0),MATCH(COLUMNS($AB$1006:AF1006),$AB$1006:$AQ$1006,0)), HYPERLINK("#",""), HYPERLINK(CONCATENATE("#metadata!", ADDRESS(INDEX($W$2:$W$1001,MATCH(ROWS($U$2:U831),$U$2:$U$1001,0),0), INDEX($AB$1004:$AQ$1004,1,MATCH(COLUMNS($AB$1006:AF1006),$AB$1006:$AQ$1006,0)))),"Fix")))</f>
        <v>0</v>
      </c>
      <c r="G831" s="4">
        <f>IF(OR(INDEX($V$2:$V$1001,MATCH(ROWS($U$2:U831),$U$2:$U$1001,0),1)&gt;=100000,INDEX($AB$1005:$AQ$1005,1,MATCH(COLUMNS($AB$1006:AG1006),$AB$1006:$AQ$1006,0))&gt;=100000), " ",IF(INDEX($AB$2:$AQ$1001,MATCH(ROWS($U$2:U831),$U$2:$U$1001,0),MATCH(COLUMNS($AB$1006:AG1006),$AB$1006:$AQ$1006,0)), HYPERLINK("#",""), HYPERLINK(CONCATENATE("#metadata!", ADDRESS(INDEX($W$2:$W$1001,MATCH(ROWS($U$2:U831),$U$2:$U$1001,0),0), INDEX($AB$1004:$AQ$1004,1,MATCH(COLUMNS($AB$1006:AG1006),$AB$1006:$AQ$1006,0)))),"Fix")))</f>
        <v>0</v>
      </c>
      <c r="H831" s="4">
        <f>IF(OR(INDEX($V$2:$V$1001,MATCH(ROWS($U$2:U831),$U$2:$U$1001,0),1)&gt;=100000,INDEX($AB$1005:$AQ$1005,1,MATCH(COLUMNS($AB$1006:AH1006),$AB$1006:$AQ$1006,0))&gt;=100000), " ",IF(INDEX($AB$2:$AQ$1001,MATCH(ROWS($U$2:U831),$U$2:$U$1001,0),MATCH(COLUMNS($AB$1006:AH1006),$AB$1006:$AQ$1006,0)), HYPERLINK("#",""), HYPERLINK(CONCATENATE("#metadata!", ADDRESS(INDEX($W$2:$W$1001,MATCH(ROWS($U$2:U831),$U$2:$U$1001,0),0), INDEX($AB$1004:$AQ$1004,1,MATCH(COLUMNS($AB$1006:AH1006),$AB$1006:$AQ$1006,0)))),"Fix")))</f>
        <v>0</v>
      </c>
      <c r="I831" s="4">
        <f>IF(OR(INDEX($V$2:$V$1001,MATCH(ROWS($U$2:U831),$U$2:$U$1001,0),1)&gt;=100000,INDEX($AB$1005:$AQ$1005,1,MATCH(COLUMNS($AB$1006:AI1006),$AB$1006:$AQ$1006,0))&gt;=100000), " ",IF(INDEX($AB$2:$AQ$1001,MATCH(ROWS($U$2:U831),$U$2:$U$1001,0),MATCH(COLUMNS($AB$1006:AI1006),$AB$1006:$AQ$1006,0)), HYPERLINK("#",""), HYPERLINK(CONCATENATE("#metadata!", ADDRESS(INDEX($W$2:$W$1001,MATCH(ROWS($U$2:U831),$U$2:$U$1001,0),0), INDEX($AB$1004:$AQ$1004,1,MATCH(COLUMNS($AB$1006:AI1006),$AB$1006:$AQ$1006,0)))),"Fix")))</f>
        <v>0</v>
      </c>
      <c r="J831" s="4">
        <f>IF(OR(INDEX($V$2:$V$1001,MATCH(ROWS($U$2:U831),$U$2:$U$1001,0),1)&gt;=100000,INDEX($AB$1005:$AQ$1005,1,MATCH(COLUMNS($AB$1006:AJ1006),$AB$1006:$AQ$1006,0))&gt;=100000), " ",IF(INDEX($AB$2:$AQ$1001,MATCH(ROWS($U$2:U831),$U$2:$U$1001,0),MATCH(COLUMNS($AB$1006:AJ1006),$AB$1006:$AQ$1006,0)), HYPERLINK("#",""), HYPERLINK(CONCATENATE("#metadata!", ADDRESS(INDEX($W$2:$W$1001,MATCH(ROWS($U$2:U831),$U$2:$U$1001,0),0), INDEX($AB$1004:$AQ$1004,1,MATCH(COLUMNS($AB$1006:AJ1006),$AB$1006:$AQ$1006,0)))),"Fix")))</f>
        <v>0</v>
      </c>
      <c r="K831" s="4">
        <f>IF(OR(INDEX($V$2:$V$1001,MATCH(ROWS($U$2:U831),$U$2:$U$1001,0),1)&gt;=100000,INDEX($AB$1005:$AQ$1005,1,MATCH(COLUMNS($AB$1006:AK1006),$AB$1006:$AQ$1006,0))&gt;=100000), " ",IF(INDEX($AB$2:$AQ$1001,MATCH(ROWS($U$2:U831),$U$2:$U$1001,0),MATCH(COLUMNS($AB$1006:AK1006),$AB$1006:$AQ$1006,0)), HYPERLINK("#",""), HYPERLINK(CONCATENATE("#metadata!", ADDRESS(INDEX($W$2:$W$1001,MATCH(ROWS($U$2:U831),$U$2:$U$1001,0),0), INDEX($AB$1004:$AQ$1004,1,MATCH(COLUMNS($AB$1006:AK1006),$AB$1006:$AQ$1006,0)))),"Fix")))</f>
        <v>0</v>
      </c>
      <c r="L831" s="4">
        <f>IF(OR(INDEX($V$2:$V$1001,MATCH(ROWS($U$2:U831),$U$2:$U$1001,0),1)&gt;=100000,INDEX($AB$1005:$AQ$1005,1,MATCH(COLUMNS($AB$1006:AL1006),$AB$1006:$AQ$1006,0))&gt;=100000), " ",IF(INDEX($AB$2:$AQ$1001,MATCH(ROWS($U$2:U831),$U$2:$U$1001,0),MATCH(COLUMNS($AB$1006:AL1006),$AB$1006:$AQ$1006,0)), HYPERLINK("#",""), HYPERLINK(CONCATENATE("#metadata!", ADDRESS(INDEX($W$2:$W$1001,MATCH(ROWS($U$2:U831),$U$2:$U$1001,0),0), INDEX($AB$1004:$AQ$1004,1,MATCH(COLUMNS($AB$1006:AL1006),$AB$1006:$AQ$1006,0)))),"Fix")))</f>
        <v>0</v>
      </c>
      <c r="M831" s="4">
        <f>IF(OR(INDEX($V$2:$V$1001,MATCH(ROWS($U$2:U831),$U$2:$U$1001,0),1)&gt;=100000,INDEX($AB$1005:$AQ$1005,1,MATCH(COLUMNS($AB$1006:AM1006),$AB$1006:$AQ$1006,0))&gt;=100000), " ",IF(INDEX($AB$2:$AQ$1001,MATCH(ROWS($U$2:U831),$U$2:$U$1001,0),MATCH(COLUMNS($AB$1006:AM1006),$AB$1006:$AQ$1006,0)), HYPERLINK("#",""), HYPERLINK(CONCATENATE("#metadata!", ADDRESS(INDEX($W$2:$W$1001,MATCH(ROWS($U$2:U831),$U$2:$U$1001,0),0), INDEX($AB$1004:$AQ$1004,1,MATCH(COLUMNS($AB$1006:AM1006),$AB$1006:$AQ$1006,0)))),"Fix")))</f>
        <v>0</v>
      </c>
      <c r="N831" s="4">
        <f>IF(OR(INDEX($V$2:$V$1001,MATCH(ROWS($U$2:U831),$U$2:$U$1001,0),1)&gt;=100000,INDEX($AB$1005:$AQ$1005,1,MATCH(COLUMNS($AB$1006:AN1006),$AB$1006:$AQ$1006,0))&gt;=100000), " ",IF(INDEX($AB$2:$AQ$1001,MATCH(ROWS($U$2:U831),$U$2:$U$1001,0),MATCH(COLUMNS($AB$1006:AN1006),$AB$1006:$AQ$1006,0)), HYPERLINK("#",""), HYPERLINK(CONCATENATE("#metadata!", ADDRESS(INDEX($W$2:$W$1001,MATCH(ROWS($U$2:U831),$U$2:$U$1001,0),0), INDEX($AB$1004:$AQ$1004,1,MATCH(COLUMNS($AB$1006:AN1006),$AB$1006:$AQ$1006,0)))),"Fix")))</f>
        <v>0</v>
      </c>
      <c r="O831" s="4">
        <f>IF(OR(INDEX($V$2:$V$1001,MATCH(ROWS($U$2:U831),$U$2:$U$1001,0),1)&gt;=100000,INDEX($AB$1005:$AQ$1005,1,MATCH(COLUMNS($AB$1006:AO1006),$AB$1006:$AQ$1006,0))&gt;=100000), " ",IF(INDEX($AB$2:$AQ$1001,MATCH(ROWS($U$2:U831),$U$2:$U$1001,0),MATCH(COLUMNS($AB$1006:AO1006),$AB$1006:$AQ$1006,0)), HYPERLINK("#",""), HYPERLINK(CONCATENATE("#metadata!", ADDRESS(INDEX($W$2:$W$1001,MATCH(ROWS($U$2:U831),$U$2:$U$1001,0),0), INDEX($AB$1004:$AQ$1004,1,MATCH(COLUMNS($AB$1006:AO1006),$AB$1006:$AQ$1006,0)))),"Fix")))</f>
        <v>0</v>
      </c>
      <c r="P831" s="4">
        <f>IF(OR(INDEX($V$2:$V$1001,MATCH(ROWS($U$2:U831),$U$2:$U$1001,0),1)&gt;=100000,INDEX($AB$1005:$AQ$1005,1,MATCH(COLUMNS($AB$1006:AP1006),$AB$1006:$AQ$1006,0))&gt;=100000), " ",IF(INDEX($AB$2:$AQ$1001,MATCH(ROWS($U$2:U831),$U$2:$U$1001,0),MATCH(COLUMNS($AB$1006:AP1006),$AB$1006:$AQ$1006,0)), HYPERLINK("#",""), HYPERLINK(CONCATENATE("#metadata!", ADDRESS(INDEX($W$2:$W$1001,MATCH(ROWS($U$2:U831),$U$2:$U$1001,0),0), INDEX($AB$1004:$AQ$1004,1,MATCH(COLUMNS($AB$1006:AP1006),$AB$1006:$AQ$1006,0)))),"Fix")))</f>
        <v>0</v>
      </c>
      <c r="Q831" s="4">
        <f>IF(OR(INDEX($V$2:$V$1001,MATCH(ROWS($U$2:U831),$U$2:$U$1001,0),1)&gt;=100000,INDEX($AB$1005:$AQ$1005,1,MATCH(COLUMNS($AB$1006:AQ1006),$AB$1006:$AQ$1006,0))&gt;=100000), " ",IF(INDEX($AB$2:$AQ$1001,MATCH(ROWS($U$2:U831),$U$2:$U$1001,0),MATCH(COLUMNS($AB$1006:AQ1006),$AB$1006:$AQ$1006,0)), HYPERLINK("#",""), HYPERLINK(CONCATENATE("#metadata!", ADDRESS(INDEX($W$2:$W$1001,MATCH(ROWS($U$2:U831),$U$2:$U$1001,0),0), INDEX($AB$1004:$AQ$1004,1,MATCH(COLUMNS($AB$1006:AQ1006),$AB$1006:$AQ$1006,0)))),"Fix")))</f>
        <v>0</v>
      </c>
      <c r="U831">
        <v>0</v>
      </c>
      <c r="V831">
        <v>0</v>
      </c>
      <c r="W831">
        <v>0</v>
      </c>
      <c r="X831">
        <f>IF(Y831,TRUE,AND(AB831:AQ831))</f>
        <v>0</v>
      </c>
      <c r="Y831">
        <f>COUNTBLANK(metadata!B831:Q831)=COLUMNS(metadata!B831:Q831)</f>
        <v>0</v>
      </c>
      <c r="Z831">
        <v>0</v>
      </c>
      <c r="AB831">
        <f>AND(IF(metadata!B831="",FALSE,TRUE),COUNTIF(metadata!B:B, metadata!B831) = 1,NOT(ISERROR(SUMPRODUCT(SEARCH(MID(metadata!B831,ROW(INDIRECT("1:"&amp;LEN(metadata!B831))), 1),"0123456789abcdefghijklmnopqrstuvwxyzABCDEFGHIJKLMNOPQRSTUVWXYZ.")))))</f>
        <v>0</v>
      </c>
      <c r="AC831">
        <f>OR(AND(IF(metadata!C831="",FALSE,TRUE),OR(exact(metadata!C831,"missing: not collected"),exact(metadata!C831,"missing: not provided"),exact(metadata!C831,"missing: restricted access"))),AND(IF(metadata!C831="",FALSE,TRUE),AND(AND(IFERROR(INT(LEFT(metadata!C831,4))&gt;1900,FALSE),IFERROR(INT(LEFT(metadata!C831,4))&lt;=YEAR(NOW()),FALSE)), OR(MID(metadata!C831,5,1)="", AND(AND(MID(metadata!C831,5,1)="-",IFERROR(INT(MID(metadata!C831,6,1))&gt;=0,FALSE),IFERROR(INT(MID(metadata!C831,6,1))&lt;=1,FALSE),NOT(MID(metadata!C831,7,1)=""),IFERROR(INT(MID(metadata!C831,6,2))&gt;=1,FALSE),IFERROR(INT(MID(metadata!C831,6,2))&lt;=12,FALSE)), OR(MID(metadata!C831,8,1)="", AND(AND(MID(metadata!C831,8,1)="-",IFERROR(INT(MID(metadata!C831,9,1))&gt;=0,FALSE),IFERROR(INT(MID(metadata!C831,9,1))&lt;=3,FALSE),NOT(MID(metadata!C831,10,1)=""),IFERROR(INT(MID(metadata!C831,9,2))&gt;=1,FALSE),IFERROR(INT(MID(metadata!C831,9,2))&lt;=31,FALSE)), OR(MID(metadata!C831,11,1)="", AND(AND(MID(metadata!C831,11,1)=" ",IFERROR(INT(MID(metadata!C831,12,1))&gt;=0,FALSE),IFERROR(INT(MID(metadata!C831,12,1))&lt;=2,FALSE),NOT(MID(metadata!C831,13,1)=""),IFERROR(INT(MID(metadata!C831,12,2))&gt;=0,FALSE),IFERROR(INT(MID(metadata!C831,12,2))&lt;=23,FALSE)), OR(MID(metadata!C831,14,1)="", AND(AND(MID(metadata!C831,14,1)=":",IFERROR(INT(MID(metadata!C831,15,1))&gt;=0,FALSE),IFERROR(INT(MID(metadata!C831,15,1))&lt;=5,FALSE),NOT(MID(metadata!C831,16,1)=""),IFERROR(INT(MID(metadata!C831,15,2))&gt;=0,FALSE),IFERROR(INT(MID(metadata!C831,15,2))&lt;=59,FALSE)), OR(MID(metadata!C831,17,1)="", AND(AND(MID(metadata!C831,17,1)=":",IFERROR(INT(MID(metadata!C831,18,1))&gt;=0,FALSE),IFERROR(INT(MID(metadata!C831,18,1))&lt;=5,FALSE),NOT(MID(metadata!C831,19,1)=""),IFERROR(INT(MID(metadata!C831,18,2))&gt;=0,FALSE),IFERROR(INT(MID(metadata!C831,18,2))&lt;=59,FALSE)), LEN(metadata!C831)&lt;=19)))))))))))))</f>
        <v>0</v>
      </c>
      <c r="AD831">
        <f>IF(metadata!D831="",FALSE,TRUE)</f>
        <v>0</v>
      </c>
      <c r="AE831">
        <f>OR(AND(IF(metadata!E831="",FALSE,TRUE),OR(exact(metadata!E831,"missing: not collected"),exact(metadata!E831,"missing: not provided"))),AND(IF(metadata!E831="",FALSE,TRUE),OR(exact(metadata!E831,"TRUE"),exact(metadata!E831,"FALSE"))))</f>
        <v>0</v>
      </c>
      <c r="AF831">
        <f>IF(metadata!F831="",FALSE,TRUE)</f>
        <v>0</v>
      </c>
      <c r="AG831">
        <f>IF(metadata!G831="",FALSE,TRUE)</f>
        <v>0</v>
      </c>
      <c r="AH831">
        <f>IF(metadata!H831="",FALSE,TRUE)</f>
        <v>0</v>
      </c>
      <c r="AI831">
        <f>OR(AND(IF(metadata!I831="",FALSE,TRUE),OR(exact(metadata!I831,"missing: not collected"),exact(metadata!I831,"missing: not provided"),exact(metadata!I831,"missing: restricted access"))),AND(IF(metadata!I831="",FALSE,TRUE),OR(exact(metadata!I831,"air"),exact(metadata!I831,"built environment"),exact(metadata!I831,"host-associated"),exact(metadata!I831,"human-associated"),exact(metadata!I831,"human-skin"),exact(metadata!I831,"human-oral"),exact(metadata!I831,"human-gut"),exact(metadata!I831,"human-vaginal"),exact(metadata!I831,"microbial mat/biofilm"),exact(metadata!I831,"misc environment"),exact(metadata!I831,"plant-associated"),exact(metadata!I831,"sediment"),exact(metadata!I831,"soil"),exact(metadata!I831,"wastewater/sludge"),exact(metadata!I831,"water"))))</f>
        <v>0</v>
      </c>
      <c r="AJ831">
        <f>IF(metadata!J831="",FALSE,TRUE)</f>
        <v>0</v>
      </c>
      <c r="AK831">
        <f>OR(AND(IF(metadata!K831="",FALSE,TRUE),OR(exact(metadata!K831,"missing: not collected"),exact(metadata!K831,"missing: not provided"),exact(metadata!K831,"missing: restricted access"))),AND(IF(metadata!K831="",FALSE,ISNUMBER(VALUE(metadata!K831))),metadata!K831&gt;=-90.00,metadata!K831&lt;=90.00))</f>
        <v>0</v>
      </c>
      <c r="AL831">
        <f>OR(AND(IF(metadata!L831="",FALSE,TRUE),OR(exact(metadata!L831,"missing: not collected"),exact(metadata!L831,"missing: not provided"),exact(metadata!L831,"missing: restricted access"))),AND(IF(metadata!L831="",FALSE,ISNUMBER(VALUE(metadata!L831))),metadata!L831&gt;=-180.00,metadata!L831&lt;=180.00))</f>
        <v>0</v>
      </c>
      <c r="AM831">
        <f>IF(metadata!M831="",FALSE,TRUE)</f>
        <v>0</v>
      </c>
      <c r="AN831">
        <f>OR(AND(IF(metadata!N831="",FALSE,TRUE),OR(exact(metadata!N831,"missing: not collected"),exact(metadata!N831,"missing: not provided"),exact(metadata!N831,"missing: restricted access"))),AND(IF(metadata!N831="",FALSE,TRUE),OR(exact(metadata!N831,"TRUE"),exact(metadata!N831,"FALSE"))))</f>
        <v>0</v>
      </c>
      <c r="AO831">
        <f>IF(metadata!O831="",FALSE,TRUE)</f>
        <v>0</v>
      </c>
      <c r="AP831">
        <f>OR(AND(IF(metadata!P831="",FALSE,TRUE),OR(exact(metadata!P831,"missing: not collected"),exact(metadata!P831,"missing: not provided"))),AND(IF(metadata!P831="",FALSE,IF(ISERROR(INT(metadata!P831)),FALSE,INT(metadata!P831)=metadata!P831)),metadata!P831&gt;0))</f>
        <v>0</v>
      </c>
      <c r="AQ831">
        <f>IF(metadata!Q831="",FALSE,TRUE)</f>
        <v>0</v>
      </c>
    </row>
    <row r="832" spans="1:43">
      <c r="A832" s="5">
        <f>IF(B832=" "," ",HYPERLINK(CONCATENATE("#metadata!",ADDRESS(INDEX($W$2:$W$1001,MATCH(ROWS($U$2:U832),$U$2:$U$1001,0),0),1)),INDEX($Z$2:$Z$1001,MATCH(ROWS($U$2:U832),$U$2:$U$1001,0),0)))</f>
        <v>0</v>
      </c>
      <c r="B832" s="4">
        <f>IF(OR(INDEX($V$2:$V$1001,MATCH(ROWS($U$2:U832),$U$2:$U$1001,0),1)&gt;=100000,INDEX($AB$1005:$AQ$1005,1,MATCH(COLUMNS($AB$1006:AB1006),$AB$1006:$AQ$1006,0))&gt;=100000), " ",IF(INDEX($AB$2:$AQ$1001,MATCH(ROWS($U$2:U832),$U$2:$U$1001,0),MATCH(COLUMNS($AB$1006:AB1006),$AB$1006:$AQ$1006,0)), HYPERLINK("#",""), HYPERLINK(CONCATENATE("#metadata!", ADDRESS(INDEX($W$2:$W$1001,MATCH(ROWS($U$2:U832),$U$2:$U$1001,0),0), INDEX($AB$1004:$AQ$1004,1,MATCH(COLUMNS($AB$1006:AB1006),$AB$1006:$AQ$1006,0)))),"Fix")))</f>
        <v>0</v>
      </c>
      <c r="C832" s="4">
        <f>IF(OR(INDEX($V$2:$V$1001,MATCH(ROWS($U$2:U832),$U$2:$U$1001,0),1)&gt;=100000,INDEX($AB$1005:$AQ$1005,1,MATCH(COLUMNS($AB$1006:AC1006),$AB$1006:$AQ$1006,0))&gt;=100000), " ",IF(INDEX($AB$2:$AQ$1001,MATCH(ROWS($U$2:U832),$U$2:$U$1001,0),MATCH(COLUMNS($AB$1006:AC1006),$AB$1006:$AQ$1006,0)), HYPERLINK("#",""), HYPERLINK(CONCATENATE("#metadata!", ADDRESS(INDEX($W$2:$W$1001,MATCH(ROWS($U$2:U832),$U$2:$U$1001,0),0), INDEX($AB$1004:$AQ$1004,1,MATCH(COLUMNS($AB$1006:AC1006),$AB$1006:$AQ$1006,0)))),"Fix")))</f>
        <v>0</v>
      </c>
      <c r="D832" s="4">
        <f>IF(OR(INDEX($V$2:$V$1001,MATCH(ROWS($U$2:U832),$U$2:$U$1001,0),1)&gt;=100000,INDEX($AB$1005:$AQ$1005,1,MATCH(COLUMNS($AB$1006:AD1006),$AB$1006:$AQ$1006,0))&gt;=100000), " ",IF(INDEX($AB$2:$AQ$1001,MATCH(ROWS($U$2:U832),$U$2:$U$1001,0),MATCH(COLUMNS($AB$1006:AD1006),$AB$1006:$AQ$1006,0)), HYPERLINK("#",""), HYPERLINK(CONCATENATE("#metadata!", ADDRESS(INDEX($W$2:$W$1001,MATCH(ROWS($U$2:U832),$U$2:$U$1001,0),0), INDEX($AB$1004:$AQ$1004,1,MATCH(COLUMNS($AB$1006:AD1006),$AB$1006:$AQ$1006,0)))),"Fix")))</f>
        <v>0</v>
      </c>
      <c r="E832" s="4">
        <f>IF(OR(INDEX($V$2:$V$1001,MATCH(ROWS($U$2:U832),$U$2:$U$1001,0),1)&gt;=100000,INDEX($AB$1005:$AQ$1005,1,MATCH(COLUMNS($AB$1006:AE1006),$AB$1006:$AQ$1006,0))&gt;=100000), " ",IF(INDEX($AB$2:$AQ$1001,MATCH(ROWS($U$2:U832),$U$2:$U$1001,0),MATCH(COLUMNS($AB$1006:AE1006),$AB$1006:$AQ$1006,0)), HYPERLINK("#",""), HYPERLINK(CONCATENATE("#metadata!", ADDRESS(INDEX($W$2:$W$1001,MATCH(ROWS($U$2:U832),$U$2:$U$1001,0),0), INDEX($AB$1004:$AQ$1004,1,MATCH(COLUMNS($AB$1006:AE1006),$AB$1006:$AQ$1006,0)))),"Fix")))</f>
        <v>0</v>
      </c>
      <c r="F832" s="4">
        <f>IF(OR(INDEX($V$2:$V$1001,MATCH(ROWS($U$2:U832),$U$2:$U$1001,0),1)&gt;=100000,INDEX($AB$1005:$AQ$1005,1,MATCH(COLUMNS($AB$1006:AF1006),$AB$1006:$AQ$1006,0))&gt;=100000), " ",IF(INDEX($AB$2:$AQ$1001,MATCH(ROWS($U$2:U832),$U$2:$U$1001,0),MATCH(COLUMNS($AB$1006:AF1006),$AB$1006:$AQ$1006,0)), HYPERLINK("#",""), HYPERLINK(CONCATENATE("#metadata!", ADDRESS(INDEX($W$2:$W$1001,MATCH(ROWS($U$2:U832),$U$2:$U$1001,0),0), INDEX($AB$1004:$AQ$1004,1,MATCH(COLUMNS($AB$1006:AF1006),$AB$1006:$AQ$1006,0)))),"Fix")))</f>
        <v>0</v>
      </c>
      <c r="G832" s="4">
        <f>IF(OR(INDEX($V$2:$V$1001,MATCH(ROWS($U$2:U832),$U$2:$U$1001,0),1)&gt;=100000,INDEX($AB$1005:$AQ$1005,1,MATCH(COLUMNS($AB$1006:AG1006),$AB$1006:$AQ$1006,0))&gt;=100000), " ",IF(INDEX($AB$2:$AQ$1001,MATCH(ROWS($U$2:U832),$U$2:$U$1001,0),MATCH(COLUMNS($AB$1006:AG1006),$AB$1006:$AQ$1006,0)), HYPERLINK("#",""), HYPERLINK(CONCATENATE("#metadata!", ADDRESS(INDEX($W$2:$W$1001,MATCH(ROWS($U$2:U832),$U$2:$U$1001,0),0), INDEX($AB$1004:$AQ$1004,1,MATCH(COLUMNS($AB$1006:AG1006),$AB$1006:$AQ$1006,0)))),"Fix")))</f>
        <v>0</v>
      </c>
      <c r="H832" s="4">
        <f>IF(OR(INDEX($V$2:$V$1001,MATCH(ROWS($U$2:U832),$U$2:$U$1001,0),1)&gt;=100000,INDEX($AB$1005:$AQ$1005,1,MATCH(COLUMNS($AB$1006:AH1006),$AB$1006:$AQ$1006,0))&gt;=100000), " ",IF(INDEX($AB$2:$AQ$1001,MATCH(ROWS($U$2:U832),$U$2:$U$1001,0),MATCH(COLUMNS($AB$1006:AH1006),$AB$1006:$AQ$1006,0)), HYPERLINK("#",""), HYPERLINK(CONCATENATE("#metadata!", ADDRESS(INDEX($W$2:$W$1001,MATCH(ROWS($U$2:U832),$U$2:$U$1001,0),0), INDEX($AB$1004:$AQ$1004,1,MATCH(COLUMNS($AB$1006:AH1006),$AB$1006:$AQ$1006,0)))),"Fix")))</f>
        <v>0</v>
      </c>
      <c r="I832" s="4">
        <f>IF(OR(INDEX($V$2:$V$1001,MATCH(ROWS($U$2:U832),$U$2:$U$1001,0),1)&gt;=100000,INDEX($AB$1005:$AQ$1005,1,MATCH(COLUMNS($AB$1006:AI1006),$AB$1006:$AQ$1006,0))&gt;=100000), " ",IF(INDEX($AB$2:$AQ$1001,MATCH(ROWS($U$2:U832),$U$2:$U$1001,0),MATCH(COLUMNS($AB$1006:AI1006),$AB$1006:$AQ$1006,0)), HYPERLINK("#",""), HYPERLINK(CONCATENATE("#metadata!", ADDRESS(INDEX($W$2:$W$1001,MATCH(ROWS($U$2:U832),$U$2:$U$1001,0),0), INDEX($AB$1004:$AQ$1004,1,MATCH(COLUMNS($AB$1006:AI1006),$AB$1006:$AQ$1006,0)))),"Fix")))</f>
        <v>0</v>
      </c>
      <c r="J832" s="4">
        <f>IF(OR(INDEX($V$2:$V$1001,MATCH(ROWS($U$2:U832),$U$2:$U$1001,0),1)&gt;=100000,INDEX($AB$1005:$AQ$1005,1,MATCH(COLUMNS($AB$1006:AJ1006),$AB$1006:$AQ$1006,0))&gt;=100000), " ",IF(INDEX($AB$2:$AQ$1001,MATCH(ROWS($U$2:U832),$U$2:$U$1001,0),MATCH(COLUMNS($AB$1006:AJ1006),$AB$1006:$AQ$1006,0)), HYPERLINK("#",""), HYPERLINK(CONCATENATE("#metadata!", ADDRESS(INDEX($W$2:$W$1001,MATCH(ROWS($U$2:U832),$U$2:$U$1001,0),0), INDEX($AB$1004:$AQ$1004,1,MATCH(COLUMNS($AB$1006:AJ1006),$AB$1006:$AQ$1006,0)))),"Fix")))</f>
        <v>0</v>
      </c>
      <c r="K832" s="4">
        <f>IF(OR(INDEX($V$2:$V$1001,MATCH(ROWS($U$2:U832),$U$2:$U$1001,0),1)&gt;=100000,INDEX($AB$1005:$AQ$1005,1,MATCH(COLUMNS($AB$1006:AK1006),$AB$1006:$AQ$1006,0))&gt;=100000), " ",IF(INDEX($AB$2:$AQ$1001,MATCH(ROWS($U$2:U832),$U$2:$U$1001,0),MATCH(COLUMNS($AB$1006:AK1006),$AB$1006:$AQ$1006,0)), HYPERLINK("#",""), HYPERLINK(CONCATENATE("#metadata!", ADDRESS(INDEX($W$2:$W$1001,MATCH(ROWS($U$2:U832),$U$2:$U$1001,0),0), INDEX($AB$1004:$AQ$1004,1,MATCH(COLUMNS($AB$1006:AK1006),$AB$1006:$AQ$1006,0)))),"Fix")))</f>
        <v>0</v>
      </c>
      <c r="L832" s="4">
        <f>IF(OR(INDEX($V$2:$V$1001,MATCH(ROWS($U$2:U832),$U$2:$U$1001,0),1)&gt;=100000,INDEX($AB$1005:$AQ$1005,1,MATCH(COLUMNS($AB$1006:AL1006),$AB$1006:$AQ$1006,0))&gt;=100000), " ",IF(INDEX($AB$2:$AQ$1001,MATCH(ROWS($U$2:U832),$U$2:$U$1001,0),MATCH(COLUMNS($AB$1006:AL1006),$AB$1006:$AQ$1006,0)), HYPERLINK("#",""), HYPERLINK(CONCATENATE("#metadata!", ADDRESS(INDEX($W$2:$W$1001,MATCH(ROWS($U$2:U832),$U$2:$U$1001,0),0), INDEX($AB$1004:$AQ$1004,1,MATCH(COLUMNS($AB$1006:AL1006),$AB$1006:$AQ$1006,0)))),"Fix")))</f>
        <v>0</v>
      </c>
      <c r="M832" s="4">
        <f>IF(OR(INDEX($V$2:$V$1001,MATCH(ROWS($U$2:U832),$U$2:$U$1001,0),1)&gt;=100000,INDEX($AB$1005:$AQ$1005,1,MATCH(COLUMNS($AB$1006:AM1006),$AB$1006:$AQ$1006,0))&gt;=100000), " ",IF(INDEX($AB$2:$AQ$1001,MATCH(ROWS($U$2:U832),$U$2:$U$1001,0),MATCH(COLUMNS($AB$1006:AM1006),$AB$1006:$AQ$1006,0)), HYPERLINK("#",""), HYPERLINK(CONCATENATE("#metadata!", ADDRESS(INDEX($W$2:$W$1001,MATCH(ROWS($U$2:U832),$U$2:$U$1001,0),0), INDEX($AB$1004:$AQ$1004,1,MATCH(COLUMNS($AB$1006:AM1006),$AB$1006:$AQ$1006,0)))),"Fix")))</f>
        <v>0</v>
      </c>
      <c r="N832" s="4">
        <f>IF(OR(INDEX($V$2:$V$1001,MATCH(ROWS($U$2:U832),$U$2:$U$1001,0),1)&gt;=100000,INDEX($AB$1005:$AQ$1005,1,MATCH(COLUMNS($AB$1006:AN1006),$AB$1006:$AQ$1006,0))&gt;=100000), " ",IF(INDEX($AB$2:$AQ$1001,MATCH(ROWS($U$2:U832),$U$2:$U$1001,0),MATCH(COLUMNS($AB$1006:AN1006),$AB$1006:$AQ$1006,0)), HYPERLINK("#",""), HYPERLINK(CONCATENATE("#metadata!", ADDRESS(INDEX($W$2:$W$1001,MATCH(ROWS($U$2:U832),$U$2:$U$1001,0),0), INDEX($AB$1004:$AQ$1004,1,MATCH(COLUMNS($AB$1006:AN1006),$AB$1006:$AQ$1006,0)))),"Fix")))</f>
        <v>0</v>
      </c>
      <c r="O832" s="4">
        <f>IF(OR(INDEX($V$2:$V$1001,MATCH(ROWS($U$2:U832),$U$2:$U$1001,0),1)&gt;=100000,INDEX($AB$1005:$AQ$1005,1,MATCH(COLUMNS($AB$1006:AO1006),$AB$1006:$AQ$1006,0))&gt;=100000), " ",IF(INDEX($AB$2:$AQ$1001,MATCH(ROWS($U$2:U832),$U$2:$U$1001,0),MATCH(COLUMNS($AB$1006:AO1006),$AB$1006:$AQ$1006,0)), HYPERLINK("#",""), HYPERLINK(CONCATENATE("#metadata!", ADDRESS(INDEX($W$2:$W$1001,MATCH(ROWS($U$2:U832),$U$2:$U$1001,0),0), INDEX($AB$1004:$AQ$1004,1,MATCH(COLUMNS($AB$1006:AO1006),$AB$1006:$AQ$1006,0)))),"Fix")))</f>
        <v>0</v>
      </c>
      <c r="P832" s="4">
        <f>IF(OR(INDEX($V$2:$V$1001,MATCH(ROWS($U$2:U832),$U$2:$U$1001,0),1)&gt;=100000,INDEX($AB$1005:$AQ$1005,1,MATCH(COLUMNS($AB$1006:AP1006),$AB$1006:$AQ$1006,0))&gt;=100000), " ",IF(INDEX($AB$2:$AQ$1001,MATCH(ROWS($U$2:U832),$U$2:$U$1001,0),MATCH(COLUMNS($AB$1006:AP1006),$AB$1006:$AQ$1006,0)), HYPERLINK("#",""), HYPERLINK(CONCATENATE("#metadata!", ADDRESS(INDEX($W$2:$W$1001,MATCH(ROWS($U$2:U832),$U$2:$U$1001,0),0), INDEX($AB$1004:$AQ$1004,1,MATCH(COLUMNS($AB$1006:AP1006),$AB$1006:$AQ$1006,0)))),"Fix")))</f>
        <v>0</v>
      </c>
      <c r="Q832" s="4">
        <f>IF(OR(INDEX($V$2:$V$1001,MATCH(ROWS($U$2:U832),$U$2:$U$1001,0),1)&gt;=100000,INDEX($AB$1005:$AQ$1005,1,MATCH(COLUMNS($AB$1006:AQ1006),$AB$1006:$AQ$1006,0))&gt;=100000), " ",IF(INDEX($AB$2:$AQ$1001,MATCH(ROWS($U$2:U832),$U$2:$U$1001,0),MATCH(COLUMNS($AB$1006:AQ1006),$AB$1006:$AQ$1006,0)), HYPERLINK("#",""), HYPERLINK(CONCATENATE("#metadata!", ADDRESS(INDEX($W$2:$W$1001,MATCH(ROWS($U$2:U832),$U$2:$U$1001,0),0), INDEX($AB$1004:$AQ$1004,1,MATCH(COLUMNS($AB$1006:AQ1006),$AB$1006:$AQ$1006,0)))),"Fix")))</f>
        <v>0</v>
      </c>
      <c r="U832">
        <v>0</v>
      </c>
      <c r="V832">
        <v>0</v>
      </c>
      <c r="W832">
        <v>0</v>
      </c>
      <c r="X832">
        <f>IF(Y832,TRUE,AND(AB832:AQ832))</f>
        <v>0</v>
      </c>
      <c r="Y832">
        <f>COUNTBLANK(metadata!B832:Q832)=COLUMNS(metadata!B832:Q832)</f>
        <v>0</v>
      </c>
      <c r="Z832">
        <v>0</v>
      </c>
      <c r="AB832">
        <f>AND(IF(metadata!B832="",FALSE,TRUE),COUNTIF(metadata!B:B, metadata!B832) = 1,NOT(ISERROR(SUMPRODUCT(SEARCH(MID(metadata!B832,ROW(INDIRECT("1:"&amp;LEN(metadata!B832))), 1),"0123456789abcdefghijklmnopqrstuvwxyzABCDEFGHIJKLMNOPQRSTUVWXYZ.")))))</f>
        <v>0</v>
      </c>
      <c r="AC832">
        <f>OR(AND(IF(metadata!C832="",FALSE,TRUE),OR(exact(metadata!C832,"missing: not collected"),exact(metadata!C832,"missing: not provided"),exact(metadata!C832,"missing: restricted access"))),AND(IF(metadata!C832="",FALSE,TRUE),AND(AND(IFERROR(INT(LEFT(metadata!C832,4))&gt;1900,FALSE),IFERROR(INT(LEFT(metadata!C832,4))&lt;=YEAR(NOW()),FALSE)), OR(MID(metadata!C832,5,1)="", AND(AND(MID(metadata!C832,5,1)="-",IFERROR(INT(MID(metadata!C832,6,1))&gt;=0,FALSE),IFERROR(INT(MID(metadata!C832,6,1))&lt;=1,FALSE),NOT(MID(metadata!C832,7,1)=""),IFERROR(INT(MID(metadata!C832,6,2))&gt;=1,FALSE),IFERROR(INT(MID(metadata!C832,6,2))&lt;=12,FALSE)), OR(MID(metadata!C832,8,1)="", AND(AND(MID(metadata!C832,8,1)="-",IFERROR(INT(MID(metadata!C832,9,1))&gt;=0,FALSE),IFERROR(INT(MID(metadata!C832,9,1))&lt;=3,FALSE),NOT(MID(metadata!C832,10,1)=""),IFERROR(INT(MID(metadata!C832,9,2))&gt;=1,FALSE),IFERROR(INT(MID(metadata!C832,9,2))&lt;=31,FALSE)), OR(MID(metadata!C832,11,1)="", AND(AND(MID(metadata!C832,11,1)=" ",IFERROR(INT(MID(metadata!C832,12,1))&gt;=0,FALSE),IFERROR(INT(MID(metadata!C832,12,1))&lt;=2,FALSE),NOT(MID(metadata!C832,13,1)=""),IFERROR(INT(MID(metadata!C832,12,2))&gt;=0,FALSE),IFERROR(INT(MID(metadata!C832,12,2))&lt;=23,FALSE)), OR(MID(metadata!C832,14,1)="", AND(AND(MID(metadata!C832,14,1)=":",IFERROR(INT(MID(metadata!C832,15,1))&gt;=0,FALSE),IFERROR(INT(MID(metadata!C832,15,1))&lt;=5,FALSE),NOT(MID(metadata!C832,16,1)=""),IFERROR(INT(MID(metadata!C832,15,2))&gt;=0,FALSE),IFERROR(INT(MID(metadata!C832,15,2))&lt;=59,FALSE)), OR(MID(metadata!C832,17,1)="", AND(AND(MID(metadata!C832,17,1)=":",IFERROR(INT(MID(metadata!C832,18,1))&gt;=0,FALSE),IFERROR(INT(MID(metadata!C832,18,1))&lt;=5,FALSE),NOT(MID(metadata!C832,19,1)=""),IFERROR(INT(MID(metadata!C832,18,2))&gt;=0,FALSE),IFERROR(INT(MID(metadata!C832,18,2))&lt;=59,FALSE)), LEN(metadata!C832)&lt;=19)))))))))))))</f>
        <v>0</v>
      </c>
      <c r="AD832">
        <f>IF(metadata!D832="",FALSE,TRUE)</f>
        <v>0</v>
      </c>
      <c r="AE832">
        <f>OR(AND(IF(metadata!E832="",FALSE,TRUE),OR(exact(metadata!E832,"missing: not collected"),exact(metadata!E832,"missing: not provided"))),AND(IF(metadata!E832="",FALSE,TRUE),OR(exact(metadata!E832,"TRUE"),exact(metadata!E832,"FALSE"))))</f>
        <v>0</v>
      </c>
      <c r="AF832">
        <f>IF(metadata!F832="",FALSE,TRUE)</f>
        <v>0</v>
      </c>
      <c r="AG832">
        <f>IF(metadata!G832="",FALSE,TRUE)</f>
        <v>0</v>
      </c>
      <c r="AH832">
        <f>IF(metadata!H832="",FALSE,TRUE)</f>
        <v>0</v>
      </c>
      <c r="AI832">
        <f>OR(AND(IF(metadata!I832="",FALSE,TRUE),OR(exact(metadata!I832,"missing: not collected"),exact(metadata!I832,"missing: not provided"),exact(metadata!I832,"missing: restricted access"))),AND(IF(metadata!I832="",FALSE,TRUE),OR(exact(metadata!I832,"air"),exact(metadata!I832,"built environment"),exact(metadata!I832,"host-associated"),exact(metadata!I832,"human-associated"),exact(metadata!I832,"human-skin"),exact(metadata!I832,"human-oral"),exact(metadata!I832,"human-gut"),exact(metadata!I832,"human-vaginal"),exact(metadata!I832,"microbial mat/biofilm"),exact(metadata!I832,"misc environment"),exact(metadata!I832,"plant-associated"),exact(metadata!I832,"sediment"),exact(metadata!I832,"soil"),exact(metadata!I832,"wastewater/sludge"),exact(metadata!I832,"water"))))</f>
        <v>0</v>
      </c>
      <c r="AJ832">
        <f>IF(metadata!J832="",FALSE,TRUE)</f>
        <v>0</v>
      </c>
      <c r="AK832">
        <f>OR(AND(IF(metadata!K832="",FALSE,TRUE),OR(exact(metadata!K832,"missing: not collected"),exact(metadata!K832,"missing: not provided"),exact(metadata!K832,"missing: restricted access"))),AND(IF(metadata!K832="",FALSE,ISNUMBER(VALUE(metadata!K832))),metadata!K832&gt;=-90.00,metadata!K832&lt;=90.00))</f>
        <v>0</v>
      </c>
      <c r="AL832">
        <f>OR(AND(IF(metadata!L832="",FALSE,TRUE),OR(exact(metadata!L832,"missing: not collected"),exact(metadata!L832,"missing: not provided"),exact(metadata!L832,"missing: restricted access"))),AND(IF(metadata!L832="",FALSE,ISNUMBER(VALUE(metadata!L832))),metadata!L832&gt;=-180.00,metadata!L832&lt;=180.00))</f>
        <v>0</v>
      </c>
      <c r="AM832">
        <f>IF(metadata!M832="",FALSE,TRUE)</f>
        <v>0</v>
      </c>
      <c r="AN832">
        <f>OR(AND(IF(metadata!N832="",FALSE,TRUE),OR(exact(metadata!N832,"missing: not collected"),exact(metadata!N832,"missing: not provided"),exact(metadata!N832,"missing: restricted access"))),AND(IF(metadata!N832="",FALSE,TRUE),OR(exact(metadata!N832,"TRUE"),exact(metadata!N832,"FALSE"))))</f>
        <v>0</v>
      </c>
      <c r="AO832">
        <f>IF(metadata!O832="",FALSE,TRUE)</f>
        <v>0</v>
      </c>
      <c r="AP832">
        <f>OR(AND(IF(metadata!P832="",FALSE,TRUE),OR(exact(metadata!P832,"missing: not collected"),exact(metadata!P832,"missing: not provided"))),AND(IF(metadata!P832="",FALSE,IF(ISERROR(INT(metadata!P832)),FALSE,INT(metadata!P832)=metadata!P832)),metadata!P832&gt;0))</f>
        <v>0</v>
      </c>
      <c r="AQ832">
        <f>IF(metadata!Q832="",FALSE,TRUE)</f>
        <v>0</v>
      </c>
    </row>
    <row r="833" spans="1:43">
      <c r="A833" s="5">
        <f>IF(B833=" "," ",HYPERLINK(CONCATENATE("#metadata!",ADDRESS(INDEX($W$2:$W$1001,MATCH(ROWS($U$2:U833),$U$2:$U$1001,0),0),1)),INDEX($Z$2:$Z$1001,MATCH(ROWS($U$2:U833),$U$2:$U$1001,0),0)))</f>
        <v>0</v>
      </c>
      <c r="B833" s="4">
        <f>IF(OR(INDEX($V$2:$V$1001,MATCH(ROWS($U$2:U833),$U$2:$U$1001,0),1)&gt;=100000,INDEX($AB$1005:$AQ$1005,1,MATCH(COLUMNS($AB$1006:AB1006),$AB$1006:$AQ$1006,0))&gt;=100000), " ",IF(INDEX($AB$2:$AQ$1001,MATCH(ROWS($U$2:U833),$U$2:$U$1001,0),MATCH(COLUMNS($AB$1006:AB1006),$AB$1006:$AQ$1006,0)), HYPERLINK("#",""), HYPERLINK(CONCATENATE("#metadata!", ADDRESS(INDEX($W$2:$W$1001,MATCH(ROWS($U$2:U833),$U$2:$U$1001,0),0), INDEX($AB$1004:$AQ$1004,1,MATCH(COLUMNS($AB$1006:AB1006),$AB$1006:$AQ$1006,0)))),"Fix")))</f>
        <v>0</v>
      </c>
      <c r="C833" s="4">
        <f>IF(OR(INDEX($V$2:$V$1001,MATCH(ROWS($U$2:U833),$U$2:$U$1001,0),1)&gt;=100000,INDEX($AB$1005:$AQ$1005,1,MATCH(COLUMNS($AB$1006:AC1006),$AB$1006:$AQ$1006,0))&gt;=100000), " ",IF(INDEX($AB$2:$AQ$1001,MATCH(ROWS($U$2:U833),$U$2:$U$1001,0),MATCH(COLUMNS($AB$1006:AC1006),$AB$1006:$AQ$1006,0)), HYPERLINK("#",""), HYPERLINK(CONCATENATE("#metadata!", ADDRESS(INDEX($W$2:$W$1001,MATCH(ROWS($U$2:U833),$U$2:$U$1001,0),0), INDEX($AB$1004:$AQ$1004,1,MATCH(COLUMNS($AB$1006:AC1006),$AB$1006:$AQ$1006,0)))),"Fix")))</f>
        <v>0</v>
      </c>
      <c r="D833" s="4">
        <f>IF(OR(INDEX($V$2:$V$1001,MATCH(ROWS($U$2:U833),$U$2:$U$1001,0),1)&gt;=100000,INDEX($AB$1005:$AQ$1005,1,MATCH(COLUMNS($AB$1006:AD1006),$AB$1006:$AQ$1006,0))&gt;=100000), " ",IF(INDEX($AB$2:$AQ$1001,MATCH(ROWS($U$2:U833),$U$2:$U$1001,0),MATCH(COLUMNS($AB$1006:AD1006),$AB$1006:$AQ$1006,0)), HYPERLINK("#",""), HYPERLINK(CONCATENATE("#metadata!", ADDRESS(INDEX($W$2:$W$1001,MATCH(ROWS($U$2:U833),$U$2:$U$1001,0),0), INDEX($AB$1004:$AQ$1004,1,MATCH(COLUMNS($AB$1006:AD1006),$AB$1006:$AQ$1006,0)))),"Fix")))</f>
        <v>0</v>
      </c>
      <c r="E833" s="4">
        <f>IF(OR(INDEX($V$2:$V$1001,MATCH(ROWS($U$2:U833),$U$2:$U$1001,0),1)&gt;=100000,INDEX($AB$1005:$AQ$1005,1,MATCH(COLUMNS($AB$1006:AE1006),$AB$1006:$AQ$1006,0))&gt;=100000), " ",IF(INDEX($AB$2:$AQ$1001,MATCH(ROWS($U$2:U833),$U$2:$U$1001,0),MATCH(COLUMNS($AB$1006:AE1006),$AB$1006:$AQ$1006,0)), HYPERLINK("#",""), HYPERLINK(CONCATENATE("#metadata!", ADDRESS(INDEX($W$2:$W$1001,MATCH(ROWS($U$2:U833),$U$2:$U$1001,0),0), INDEX($AB$1004:$AQ$1004,1,MATCH(COLUMNS($AB$1006:AE1006),$AB$1006:$AQ$1006,0)))),"Fix")))</f>
        <v>0</v>
      </c>
      <c r="F833" s="4">
        <f>IF(OR(INDEX($V$2:$V$1001,MATCH(ROWS($U$2:U833),$U$2:$U$1001,0),1)&gt;=100000,INDEX($AB$1005:$AQ$1005,1,MATCH(COLUMNS($AB$1006:AF1006),$AB$1006:$AQ$1006,0))&gt;=100000), " ",IF(INDEX($AB$2:$AQ$1001,MATCH(ROWS($U$2:U833),$U$2:$U$1001,0),MATCH(COLUMNS($AB$1006:AF1006),$AB$1006:$AQ$1006,0)), HYPERLINK("#",""), HYPERLINK(CONCATENATE("#metadata!", ADDRESS(INDEX($W$2:$W$1001,MATCH(ROWS($U$2:U833),$U$2:$U$1001,0),0), INDEX($AB$1004:$AQ$1004,1,MATCH(COLUMNS($AB$1006:AF1006),$AB$1006:$AQ$1006,0)))),"Fix")))</f>
        <v>0</v>
      </c>
      <c r="G833" s="4">
        <f>IF(OR(INDEX($V$2:$V$1001,MATCH(ROWS($U$2:U833),$U$2:$U$1001,0),1)&gt;=100000,INDEX($AB$1005:$AQ$1005,1,MATCH(COLUMNS($AB$1006:AG1006),$AB$1006:$AQ$1006,0))&gt;=100000), " ",IF(INDEX($AB$2:$AQ$1001,MATCH(ROWS($U$2:U833),$U$2:$U$1001,0),MATCH(COLUMNS($AB$1006:AG1006),$AB$1006:$AQ$1006,0)), HYPERLINK("#",""), HYPERLINK(CONCATENATE("#metadata!", ADDRESS(INDEX($W$2:$W$1001,MATCH(ROWS($U$2:U833),$U$2:$U$1001,0),0), INDEX($AB$1004:$AQ$1004,1,MATCH(COLUMNS($AB$1006:AG1006),$AB$1006:$AQ$1006,0)))),"Fix")))</f>
        <v>0</v>
      </c>
      <c r="H833" s="4">
        <f>IF(OR(INDEX($V$2:$V$1001,MATCH(ROWS($U$2:U833),$U$2:$U$1001,0),1)&gt;=100000,INDEX($AB$1005:$AQ$1005,1,MATCH(COLUMNS($AB$1006:AH1006),$AB$1006:$AQ$1006,0))&gt;=100000), " ",IF(INDEX($AB$2:$AQ$1001,MATCH(ROWS($U$2:U833),$U$2:$U$1001,0),MATCH(COLUMNS($AB$1006:AH1006),$AB$1006:$AQ$1006,0)), HYPERLINK("#",""), HYPERLINK(CONCATENATE("#metadata!", ADDRESS(INDEX($W$2:$W$1001,MATCH(ROWS($U$2:U833),$U$2:$U$1001,0),0), INDEX($AB$1004:$AQ$1004,1,MATCH(COLUMNS($AB$1006:AH1006),$AB$1006:$AQ$1006,0)))),"Fix")))</f>
        <v>0</v>
      </c>
      <c r="I833" s="4">
        <f>IF(OR(INDEX($V$2:$V$1001,MATCH(ROWS($U$2:U833),$U$2:$U$1001,0),1)&gt;=100000,INDEX($AB$1005:$AQ$1005,1,MATCH(COLUMNS($AB$1006:AI1006),$AB$1006:$AQ$1006,0))&gt;=100000), " ",IF(INDEX($AB$2:$AQ$1001,MATCH(ROWS($U$2:U833),$U$2:$U$1001,0),MATCH(COLUMNS($AB$1006:AI1006),$AB$1006:$AQ$1006,0)), HYPERLINK("#",""), HYPERLINK(CONCATENATE("#metadata!", ADDRESS(INDEX($W$2:$W$1001,MATCH(ROWS($U$2:U833),$U$2:$U$1001,0),0), INDEX($AB$1004:$AQ$1004,1,MATCH(COLUMNS($AB$1006:AI1006),$AB$1006:$AQ$1006,0)))),"Fix")))</f>
        <v>0</v>
      </c>
      <c r="J833" s="4">
        <f>IF(OR(INDEX($V$2:$V$1001,MATCH(ROWS($U$2:U833),$U$2:$U$1001,0),1)&gt;=100000,INDEX($AB$1005:$AQ$1005,1,MATCH(COLUMNS($AB$1006:AJ1006),$AB$1006:$AQ$1006,0))&gt;=100000), " ",IF(INDEX($AB$2:$AQ$1001,MATCH(ROWS($U$2:U833),$U$2:$U$1001,0),MATCH(COLUMNS($AB$1006:AJ1006),$AB$1006:$AQ$1006,0)), HYPERLINK("#",""), HYPERLINK(CONCATENATE("#metadata!", ADDRESS(INDEX($W$2:$W$1001,MATCH(ROWS($U$2:U833),$U$2:$U$1001,0),0), INDEX($AB$1004:$AQ$1004,1,MATCH(COLUMNS($AB$1006:AJ1006),$AB$1006:$AQ$1006,0)))),"Fix")))</f>
        <v>0</v>
      </c>
      <c r="K833" s="4">
        <f>IF(OR(INDEX($V$2:$V$1001,MATCH(ROWS($U$2:U833),$U$2:$U$1001,0),1)&gt;=100000,INDEX($AB$1005:$AQ$1005,1,MATCH(COLUMNS($AB$1006:AK1006),$AB$1006:$AQ$1006,0))&gt;=100000), " ",IF(INDEX($AB$2:$AQ$1001,MATCH(ROWS($U$2:U833),$U$2:$U$1001,0),MATCH(COLUMNS($AB$1006:AK1006),$AB$1006:$AQ$1006,0)), HYPERLINK("#",""), HYPERLINK(CONCATENATE("#metadata!", ADDRESS(INDEX($W$2:$W$1001,MATCH(ROWS($U$2:U833),$U$2:$U$1001,0),0), INDEX($AB$1004:$AQ$1004,1,MATCH(COLUMNS($AB$1006:AK1006),$AB$1006:$AQ$1006,0)))),"Fix")))</f>
        <v>0</v>
      </c>
      <c r="L833" s="4">
        <f>IF(OR(INDEX($V$2:$V$1001,MATCH(ROWS($U$2:U833),$U$2:$U$1001,0),1)&gt;=100000,INDEX($AB$1005:$AQ$1005,1,MATCH(COLUMNS($AB$1006:AL1006),$AB$1006:$AQ$1006,0))&gt;=100000), " ",IF(INDEX($AB$2:$AQ$1001,MATCH(ROWS($U$2:U833),$U$2:$U$1001,0),MATCH(COLUMNS($AB$1006:AL1006),$AB$1006:$AQ$1006,0)), HYPERLINK("#",""), HYPERLINK(CONCATENATE("#metadata!", ADDRESS(INDEX($W$2:$W$1001,MATCH(ROWS($U$2:U833),$U$2:$U$1001,0),0), INDEX($AB$1004:$AQ$1004,1,MATCH(COLUMNS($AB$1006:AL1006),$AB$1006:$AQ$1006,0)))),"Fix")))</f>
        <v>0</v>
      </c>
      <c r="M833" s="4">
        <f>IF(OR(INDEX($V$2:$V$1001,MATCH(ROWS($U$2:U833),$U$2:$U$1001,0),1)&gt;=100000,INDEX($AB$1005:$AQ$1005,1,MATCH(COLUMNS($AB$1006:AM1006),$AB$1006:$AQ$1006,0))&gt;=100000), " ",IF(INDEX($AB$2:$AQ$1001,MATCH(ROWS($U$2:U833),$U$2:$U$1001,0),MATCH(COLUMNS($AB$1006:AM1006),$AB$1006:$AQ$1006,0)), HYPERLINK("#",""), HYPERLINK(CONCATENATE("#metadata!", ADDRESS(INDEX($W$2:$W$1001,MATCH(ROWS($U$2:U833),$U$2:$U$1001,0),0), INDEX($AB$1004:$AQ$1004,1,MATCH(COLUMNS($AB$1006:AM1006),$AB$1006:$AQ$1006,0)))),"Fix")))</f>
        <v>0</v>
      </c>
      <c r="N833" s="4">
        <f>IF(OR(INDEX($V$2:$V$1001,MATCH(ROWS($U$2:U833),$U$2:$U$1001,0),1)&gt;=100000,INDEX($AB$1005:$AQ$1005,1,MATCH(COLUMNS($AB$1006:AN1006),$AB$1006:$AQ$1006,0))&gt;=100000), " ",IF(INDEX($AB$2:$AQ$1001,MATCH(ROWS($U$2:U833),$U$2:$U$1001,0),MATCH(COLUMNS($AB$1006:AN1006),$AB$1006:$AQ$1006,0)), HYPERLINK("#",""), HYPERLINK(CONCATENATE("#metadata!", ADDRESS(INDEX($W$2:$W$1001,MATCH(ROWS($U$2:U833),$U$2:$U$1001,0),0), INDEX($AB$1004:$AQ$1004,1,MATCH(COLUMNS($AB$1006:AN1006),$AB$1006:$AQ$1006,0)))),"Fix")))</f>
        <v>0</v>
      </c>
      <c r="O833" s="4">
        <f>IF(OR(INDEX($V$2:$V$1001,MATCH(ROWS($U$2:U833),$U$2:$U$1001,0),1)&gt;=100000,INDEX($AB$1005:$AQ$1005,1,MATCH(COLUMNS($AB$1006:AO1006),$AB$1006:$AQ$1006,0))&gt;=100000), " ",IF(INDEX($AB$2:$AQ$1001,MATCH(ROWS($U$2:U833),$U$2:$U$1001,0),MATCH(COLUMNS($AB$1006:AO1006),$AB$1006:$AQ$1006,0)), HYPERLINK("#",""), HYPERLINK(CONCATENATE("#metadata!", ADDRESS(INDEX($W$2:$W$1001,MATCH(ROWS($U$2:U833),$U$2:$U$1001,0),0), INDEX($AB$1004:$AQ$1004,1,MATCH(COLUMNS($AB$1006:AO1006),$AB$1006:$AQ$1006,0)))),"Fix")))</f>
        <v>0</v>
      </c>
      <c r="P833" s="4">
        <f>IF(OR(INDEX($V$2:$V$1001,MATCH(ROWS($U$2:U833),$U$2:$U$1001,0),1)&gt;=100000,INDEX($AB$1005:$AQ$1005,1,MATCH(COLUMNS($AB$1006:AP1006),$AB$1006:$AQ$1006,0))&gt;=100000), " ",IF(INDEX($AB$2:$AQ$1001,MATCH(ROWS($U$2:U833),$U$2:$U$1001,0),MATCH(COLUMNS($AB$1006:AP1006),$AB$1006:$AQ$1006,0)), HYPERLINK("#",""), HYPERLINK(CONCATENATE("#metadata!", ADDRESS(INDEX($W$2:$W$1001,MATCH(ROWS($U$2:U833),$U$2:$U$1001,0),0), INDEX($AB$1004:$AQ$1004,1,MATCH(COLUMNS($AB$1006:AP1006),$AB$1006:$AQ$1006,0)))),"Fix")))</f>
        <v>0</v>
      </c>
      <c r="Q833" s="4">
        <f>IF(OR(INDEX($V$2:$V$1001,MATCH(ROWS($U$2:U833),$U$2:$U$1001,0),1)&gt;=100000,INDEX($AB$1005:$AQ$1005,1,MATCH(COLUMNS($AB$1006:AQ1006),$AB$1006:$AQ$1006,0))&gt;=100000), " ",IF(INDEX($AB$2:$AQ$1001,MATCH(ROWS($U$2:U833),$U$2:$U$1001,0),MATCH(COLUMNS($AB$1006:AQ1006),$AB$1006:$AQ$1006,0)), HYPERLINK("#",""), HYPERLINK(CONCATENATE("#metadata!", ADDRESS(INDEX($W$2:$W$1001,MATCH(ROWS($U$2:U833),$U$2:$U$1001,0),0), INDEX($AB$1004:$AQ$1004,1,MATCH(COLUMNS($AB$1006:AQ1006),$AB$1006:$AQ$1006,0)))),"Fix")))</f>
        <v>0</v>
      </c>
      <c r="U833">
        <v>0</v>
      </c>
      <c r="V833">
        <v>0</v>
      </c>
      <c r="W833">
        <v>0</v>
      </c>
      <c r="X833">
        <f>IF(Y833,TRUE,AND(AB833:AQ833))</f>
        <v>0</v>
      </c>
      <c r="Y833">
        <f>COUNTBLANK(metadata!B833:Q833)=COLUMNS(metadata!B833:Q833)</f>
        <v>0</v>
      </c>
      <c r="Z833">
        <v>0</v>
      </c>
      <c r="AB833">
        <f>AND(IF(metadata!B833="",FALSE,TRUE),COUNTIF(metadata!B:B, metadata!B833) = 1,NOT(ISERROR(SUMPRODUCT(SEARCH(MID(metadata!B833,ROW(INDIRECT("1:"&amp;LEN(metadata!B833))), 1),"0123456789abcdefghijklmnopqrstuvwxyzABCDEFGHIJKLMNOPQRSTUVWXYZ.")))))</f>
        <v>0</v>
      </c>
      <c r="AC833">
        <f>OR(AND(IF(metadata!C833="",FALSE,TRUE),OR(exact(metadata!C833,"missing: not collected"),exact(metadata!C833,"missing: not provided"),exact(metadata!C833,"missing: restricted access"))),AND(IF(metadata!C833="",FALSE,TRUE),AND(AND(IFERROR(INT(LEFT(metadata!C833,4))&gt;1900,FALSE),IFERROR(INT(LEFT(metadata!C833,4))&lt;=YEAR(NOW()),FALSE)), OR(MID(metadata!C833,5,1)="", AND(AND(MID(metadata!C833,5,1)="-",IFERROR(INT(MID(metadata!C833,6,1))&gt;=0,FALSE),IFERROR(INT(MID(metadata!C833,6,1))&lt;=1,FALSE),NOT(MID(metadata!C833,7,1)=""),IFERROR(INT(MID(metadata!C833,6,2))&gt;=1,FALSE),IFERROR(INT(MID(metadata!C833,6,2))&lt;=12,FALSE)), OR(MID(metadata!C833,8,1)="", AND(AND(MID(metadata!C833,8,1)="-",IFERROR(INT(MID(metadata!C833,9,1))&gt;=0,FALSE),IFERROR(INT(MID(metadata!C833,9,1))&lt;=3,FALSE),NOT(MID(metadata!C833,10,1)=""),IFERROR(INT(MID(metadata!C833,9,2))&gt;=1,FALSE),IFERROR(INT(MID(metadata!C833,9,2))&lt;=31,FALSE)), OR(MID(metadata!C833,11,1)="", AND(AND(MID(metadata!C833,11,1)=" ",IFERROR(INT(MID(metadata!C833,12,1))&gt;=0,FALSE),IFERROR(INT(MID(metadata!C833,12,1))&lt;=2,FALSE),NOT(MID(metadata!C833,13,1)=""),IFERROR(INT(MID(metadata!C833,12,2))&gt;=0,FALSE),IFERROR(INT(MID(metadata!C833,12,2))&lt;=23,FALSE)), OR(MID(metadata!C833,14,1)="", AND(AND(MID(metadata!C833,14,1)=":",IFERROR(INT(MID(metadata!C833,15,1))&gt;=0,FALSE),IFERROR(INT(MID(metadata!C833,15,1))&lt;=5,FALSE),NOT(MID(metadata!C833,16,1)=""),IFERROR(INT(MID(metadata!C833,15,2))&gt;=0,FALSE),IFERROR(INT(MID(metadata!C833,15,2))&lt;=59,FALSE)), OR(MID(metadata!C833,17,1)="", AND(AND(MID(metadata!C833,17,1)=":",IFERROR(INT(MID(metadata!C833,18,1))&gt;=0,FALSE),IFERROR(INT(MID(metadata!C833,18,1))&lt;=5,FALSE),NOT(MID(metadata!C833,19,1)=""),IFERROR(INT(MID(metadata!C833,18,2))&gt;=0,FALSE),IFERROR(INT(MID(metadata!C833,18,2))&lt;=59,FALSE)), LEN(metadata!C833)&lt;=19)))))))))))))</f>
        <v>0</v>
      </c>
      <c r="AD833">
        <f>IF(metadata!D833="",FALSE,TRUE)</f>
        <v>0</v>
      </c>
      <c r="AE833">
        <f>OR(AND(IF(metadata!E833="",FALSE,TRUE),OR(exact(metadata!E833,"missing: not collected"),exact(metadata!E833,"missing: not provided"))),AND(IF(metadata!E833="",FALSE,TRUE),OR(exact(metadata!E833,"TRUE"),exact(metadata!E833,"FALSE"))))</f>
        <v>0</v>
      </c>
      <c r="AF833">
        <f>IF(metadata!F833="",FALSE,TRUE)</f>
        <v>0</v>
      </c>
      <c r="AG833">
        <f>IF(metadata!G833="",FALSE,TRUE)</f>
        <v>0</v>
      </c>
      <c r="AH833">
        <f>IF(metadata!H833="",FALSE,TRUE)</f>
        <v>0</v>
      </c>
      <c r="AI833">
        <f>OR(AND(IF(metadata!I833="",FALSE,TRUE),OR(exact(metadata!I833,"missing: not collected"),exact(metadata!I833,"missing: not provided"),exact(metadata!I833,"missing: restricted access"))),AND(IF(metadata!I833="",FALSE,TRUE),OR(exact(metadata!I833,"air"),exact(metadata!I833,"built environment"),exact(metadata!I833,"host-associated"),exact(metadata!I833,"human-associated"),exact(metadata!I833,"human-skin"),exact(metadata!I833,"human-oral"),exact(metadata!I833,"human-gut"),exact(metadata!I833,"human-vaginal"),exact(metadata!I833,"microbial mat/biofilm"),exact(metadata!I833,"misc environment"),exact(metadata!I833,"plant-associated"),exact(metadata!I833,"sediment"),exact(metadata!I833,"soil"),exact(metadata!I833,"wastewater/sludge"),exact(metadata!I833,"water"))))</f>
        <v>0</v>
      </c>
      <c r="AJ833">
        <f>IF(metadata!J833="",FALSE,TRUE)</f>
        <v>0</v>
      </c>
      <c r="AK833">
        <f>OR(AND(IF(metadata!K833="",FALSE,TRUE),OR(exact(metadata!K833,"missing: not collected"),exact(metadata!K833,"missing: not provided"),exact(metadata!K833,"missing: restricted access"))),AND(IF(metadata!K833="",FALSE,ISNUMBER(VALUE(metadata!K833))),metadata!K833&gt;=-90.00,metadata!K833&lt;=90.00))</f>
        <v>0</v>
      </c>
      <c r="AL833">
        <f>OR(AND(IF(metadata!L833="",FALSE,TRUE),OR(exact(metadata!L833,"missing: not collected"),exact(metadata!L833,"missing: not provided"),exact(metadata!L833,"missing: restricted access"))),AND(IF(metadata!L833="",FALSE,ISNUMBER(VALUE(metadata!L833))),metadata!L833&gt;=-180.00,metadata!L833&lt;=180.00))</f>
        <v>0</v>
      </c>
      <c r="AM833">
        <f>IF(metadata!M833="",FALSE,TRUE)</f>
        <v>0</v>
      </c>
      <c r="AN833">
        <f>OR(AND(IF(metadata!N833="",FALSE,TRUE),OR(exact(metadata!N833,"missing: not collected"),exact(metadata!N833,"missing: not provided"),exact(metadata!N833,"missing: restricted access"))),AND(IF(metadata!N833="",FALSE,TRUE),OR(exact(metadata!N833,"TRUE"),exact(metadata!N833,"FALSE"))))</f>
        <v>0</v>
      </c>
      <c r="AO833">
        <f>IF(metadata!O833="",FALSE,TRUE)</f>
        <v>0</v>
      </c>
      <c r="AP833">
        <f>OR(AND(IF(metadata!P833="",FALSE,TRUE),OR(exact(metadata!P833,"missing: not collected"),exact(metadata!P833,"missing: not provided"))),AND(IF(metadata!P833="",FALSE,IF(ISERROR(INT(metadata!P833)),FALSE,INT(metadata!P833)=metadata!P833)),metadata!P833&gt;0))</f>
        <v>0</v>
      </c>
      <c r="AQ833">
        <f>IF(metadata!Q833="",FALSE,TRUE)</f>
        <v>0</v>
      </c>
    </row>
    <row r="834" spans="1:43">
      <c r="A834" s="5">
        <f>IF(B834=" "," ",HYPERLINK(CONCATENATE("#metadata!",ADDRESS(INDEX($W$2:$W$1001,MATCH(ROWS($U$2:U834),$U$2:$U$1001,0),0),1)),INDEX($Z$2:$Z$1001,MATCH(ROWS($U$2:U834),$U$2:$U$1001,0),0)))</f>
        <v>0</v>
      </c>
      <c r="B834" s="4">
        <f>IF(OR(INDEX($V$2:$V$1001,MATCH(ROWS($U$2:U834),$U$2:$U$1001,0),1)&gt;=100000,INDEX($AB$1005:$AQ$1005,1,MATCH(COLUMNS($AB$1006:AB1006),$AB$1006:$AQ$1006,0))&gt;=100000), " ",IF(INDEX($AB$2:$AQ$1001,MATCH(ROWS($U$2:U834),$U$2:$U$1001,0),MATCH(COLUMNS($AB$1006:AB1006),$AB$1006:$AQ$1006,0)), HYPERLINK("#",""), HYPERLINK(CONCATENATE("#metadata!", ADDRESS(INDEX($W$2:$W$1001,MATCH(ROWS($U$2:U834),$U$2:$U$1001,0),0), INDEX($AB$1004:$AQ$1004,1,MATCH(COLUMNS($AB$1006:AB1006),$AB$1006:$AQ$1006,0)))),"Fix")))</f>
        <v>0</v>
      </c>
      <c r="C834" s="4">
        <f>IF(OR(INDEX($V$2:$V$1001,MATCH(ROWS($U$2:U834),$U$2:$U$1001,0),1)&gt;=100000,INDEX($AB$1005:$AQ$1005,1,MATCH(COLUMNS($AB$1006:AC1006),$AB$1006:$AQ$1006,0))&gt;=100000), " ",IF(INDEX($AB$2:$AQ$1001,MATCH(ROWS($U$2:U834),$U$2:$U$1001,0),MATCH(COLUMNS($AB$1006:AC1006),$AB$1006:$AQ$1006,0)), HYPERLINK("#",""), HYPERLINK(CONCATENATE("#metadata!", ADDRESS(INDEX($W$2:$W$1001,MATCH(ROWS($U$2:U834),$U$2:$U$1001,0),0), INDEX($AB$1004:$AQ$1004,1,MATCH(COLUMNS($AB$1006:AC1006),$AB$1006:$AQ$1006,0)))),"Fix")))</f>
        <v>0</v>
      </c>
      <c r="D834" s="4">
        <f>IF(OR(INDEX($V$2:$V$1001,MATCH(ROWS($U$2:U834),$U$2:$U$1001,0),1)&gt;=100000,INDEX($AB$1005:$AQ$1005,1,MATCH(COLUMNS($AB$1006:AD1006),$AB$1006:$AQ$1006,0))&gt;=100000), " ",IF(INDEX($AB$2:$AQ$1001,MATCH(ROWS($U$2:U834),$U$2:$U$1001,0),MATCH(COLUMNS($AB$1006:AD1006),$AB$1006:$AQ$1006,0)), HYPERLINK("#",""), HYPERLINK(CONCATENATE("#metadata!", ADDRESS(INDEX($W$2:$W$1001,MATCH(ROWS($U$2:U834),$U$2:$U$1001,0),0), INDEX($AB$1004:$AQ$1004,1,MATCH(COLUMNS($AB$1006:AD1006),$AB$1006:$AQ$1006,0)))),"Fix")))</f>
        <v>0</v>
      </c>
      <c r="E834" s="4">
        <f>IF(OR(INDEX($V$2:$V$1001,MATCH(ROWS($U$2:U834),$U$2:$U$1001,0),1)&gt;=100000,INDEX($AB$1005:$AQ$1005,1,MATCH(COLUMNS($AB$1006:AE1006),$AB$1006:$AQ$1006,0))&gt;=100000), " ",IF(INDEX($AB$2:$AQ$1001,MATCH(ROWS($U$2:U834),$U$2:$U$1001,0),MATCH(COLUMNS($AB$1006:AE1006),$AB$1006:$AQ$1006,0)), HYPERLINK("#",""), HYPERLINK(CONCATENATE("#metadata!", ADDRESS(INDEX($W$2:$W$1001,MATCH(ROWS($U$2:U834),$U$2:$U$1001,0),0), INDEX($AB$1004:$AQ$1004,1,MATCH(COLUMNS($AB$1006:AE1006),$AB$1006:$AQ$1006,0)))),"Fix")))</f>
        <v>0</v>
      </c>
      <c r="F834" s="4">
        <f>IF(OR(INDEX($V$2:$V$1001,MATCH(ROWS($U$2:U834),$U$2:$U$1001,0),1)&gt;=100000,INDEX($AB$1005:$AQ$1005,1,MATCH(COLUMNS($AB$1006:AF1006),$AB$1006:$AQ$1006,0))&gt;=100000), " ",IF(INDEX($AB$2:$AQ$1001,MATCH(ROWS($U$2:U834),$U$2:$U$1001,0),MATCH(COLUMNS($AB$1006:AF1006),$AB$1006:$AQ$1006,0)), HYPERLINK("#",""), HYPERLINK(CONCATENATE("#metadata!", ADDRESS(INDEX($W$2:$W$1001,MATCH(ROWS($U$2:U834),$U$2:$U$1001,0),0), INDEX($AB$1004:$AQ$1004,1,MATCH(COLUMNS($AB$1006:AF1006),$AB$1006:$AQ$1006,0)))),"Fix")))</f>
        <v>0</v>
      </c>
      <c r="G834" s="4">
        <f>IF(OR(INDEX($V$2:$V$1001,MATCH(ROWS($U$2:U834),$U$2:$U$1001,0),1)&gt;=100000,INDEX($AB$1005:$AQ$1005,1,MATCH(COLUMNS($AB$1006:AG1006),$AB$1006:$AQ$1006,0))&gt;=100000), " ",IF(INDEX($AB$2:$AQ$1001,MATCH(ROWS($U$2:U834),$U$2:$U$1001,0),MATCH(COLUMNS($AB$1006:AG1006),$AB$1006:$AQ$1006,0)), HYPERLINK("#",""), HYPERLINK(CONCATENATE("#metadata!", ADDRESS(INDEX($W$2:$W$1001,MATCH(ROWS($U$2:U834),$U$2:$U$1001,0),0), INDEX($AB$1004:$AQ$1004,1,MATCH(COLUMNS($AB$1006:AG1006),$AB$1006:$AQ$1006,0)))),"Fix")))</f>
        <v>0</v>
      </c>
      <c r="H834" s="4">
        <f>IF(OR(INDEX($V$2:$V$1001,MATCH(ROWS($U$2:U834),$U$2:$U$1001,0),1)&gt;=100000,INDEX($AB$1005:$AQ$1005,1,MATCH(COLUMNS($AB$1006:AH1006),$AB$1006:$AQ$1006,0))&gt;=100000), " ",IF(INDEX($AB$2:$AQ$1001,MATCH(ROWS($U$2:U834),$U$2:$U$1001,0),MATCH(COLUMNS($AB$1006:AH1006),$AB$1006:$AQ$1006,0)), HYPERLINK("#",""), HYPERLINK(CONCATENATE("#metadata!", ADDRESS(INDEX($W$2:$W$1001,MATCH(ROWS($U$2:U834),$U$2:$U$1001,0),0), INDEX($AB$1004:$AQ$1004,1,MATCH(COLUMNS($AB$1006:AH1006),$AB$1006:$AQ$1006,0)))),"Fix")))</f>
        <v>0</v>
      </c>
      <c r="I834" s="4">
        <f>IF(OR(INDEX($V$2:$V$1001,MATCH(ROWS($U$2:U834),$U$2:$U$1001,0),1)&gt;=100000,INDEX($AB$1005:$AQ$1005,1,MATCH(COLUMNS($AB$1006:AI1006),$AB$1006:$AQ$1006,0))&gt;=100000), " ",IF(INDEX($AB$2:$AQ$1001,MATCH(ROWS($U$2:U834),$U$2:$U$1001,0),MATCH(COLUMNS($AB$1006:AI1006),$AB$1006:$AQ$1006,0)), HYPERLINK("#",""), HYPERLINK(CONCATENATE("#metadata!", ADDRESS(INDEX($W$2:$W$1001,MATCH(ROWS($U$2:U834),$U$2:$U$1001,0),0), INDEX($AB$1004:$AQ$1004,1,MATCH(COLUMNS($AB$1006:AI1006),$AB$1006:$AQ$1006,0)))),"Fix")))</f>
        <v>0</v>
      </c>
      <c r="J834" s="4">
        <f>IF(OR(INDEX($V$2:$V$1001,MATCH(ROWS($U$2:U834),$U$2:$U$1001,0),1)&gt;=100000,INDEX($AB$1005:$AQ$1005,1,MATCH(COLUMNS($AB$1006:AJ1006),$AB$1006:$AQ$1006,0))&gt;=100000), " ",IF(INDEX($AB$2:$AQ$1001,MATCH(ROWS($U$2:U834),$U$2:$U$1001,0),MATCH(COLUMNS($AB$1006:AJ1006),$AB$1006:$AQ$1006,0)), HYPERLINK("#",""), HYPERLINK(CONCATENATE("#metadata!", ADDRESS(INDEX($W$2:$W$1001,MATCH(ROWS($U$2:U834),$U$2:$U$1001,0),0), INDEX($AB$1004:$AQ$1004,1,MATCH(COLUMNS($AB$1006:AJ1006),$AB$1006:$AQ$1006,0)))),"Fix")))</f>
        <v>0</v>
      </c>
      <c r="K834" s="4">
        <f>IF(OR(INDEX($V$2:$V$1001,MATCH(ROWS($U$2:U834),$U$2:$U$1001,0),1)&gt;=100000,INDEX($AB$1005:$AQ$1005,1,MATCH(COLUMNS($AB$1006:AK1006),$AB$1006:$AQ$1006,0))&gt;=100000), " ",IF(INDEX($AB$2:$AQ$1001,MATCH(ROWS($U$2:U834),$U$2:$U$1001,0),MATCH(COLUMNS($AB$1006:AK1006),$AB$1006:$AQ$1006,0)), HYPERLINK("#",""), HYPERLINK(CONCATENATE("#metadata!", ADDRESS(INDEX($W$2:$W$1001,MATCH(ROWS($U$2:U834),$U$2:$U$1001,0),0), INDEX($AB$1004:$AQ$1004,1,MATCH(COLUMNS($AB$1006:AK1006),$AB$1006:$AQ$1006,0)))),"Fix")))</f>
        <v>0</v>
      </c>
      <c r="L834" s="4">
        <f>IF(OR(INDEX($V$2:$V$1001,MATCH(ROWS($U$2:U834),$U$2:$U$1001,0),1)&gt;=100000,INDEX($AB$1005:$AQ$1005,1,MATCH(COLUMNS($AB$1006:AL1006),$AB$1006:$AQ$1006,0))&gt;=100000), " ",IF(INDEX($AB$2:$AQ$1001,MATCH(ROWS($U$2:U834),$U$2:$U$1001,0),MATCH(COLUMNS($AB$1006:AL1006),$AB$1006:$AQ$1006,0)), HYPERLINK("#",""), HYPERLINK(CONCATENATE("#metadata!", ADDRESS(INDEX($W$2:$W$1001,MATCH(ROWS($U$2:U834),$U$2:$U$1001,0),0), INDEX($AB$1004:$AQ$1004,1,MATCH(COLUMNS($AB$1006:AL1006),$AB$1006:$AQ$1006,0)))),"Fix")))</f>
        <v>0</v>
      </c>
      <c r="M834" s="4">
        <f>IF(OR(INDEX($V$2:$V$1001,MATCH(ROWS($U$2:U834),$U$2:$U$1001,0),1)&gt;=100000,INDEX($AB$1005:$AQ$1005,1,MATCH(COLUMNS($AB$1006:AM1006),$AB$1006:$AQ$1006,0))&gt;=100000), " ",IF(INDEX($AB$2:$AQ$1001,MATCH(ROWS($U$2:U834),$U$2:$U$1001,0),MATCH(COLUMNS($AB$1006:AM1006),$AB$1006:$AQ$1006,0)), HYPERLINK("#",""), HYPERLINK(CONCATENATE("#metadata!", ADDRESS(INDEX($W$2:$W$1001,MATCH(ROWS($U$2:U834),$U$2:$U$1001,0),0), INDEX($AB$1004:$AQ$1004,1,MATCH(COLUMNS($AB$1006:AM1006),$AB$1006:$AQ$1006,0)))),"Fix")))</f>
        <v>0</v>
      </c>
      <c r="N834" s="4">
        <f>IF(OR(INDEX($V$2:$V$1001,MATCH(ROWS($U$2:U834),$U$2:$U$1001,0),1)&gt;=100000,INDEX($AB$1005:$AQ$1005,1,MATCH(COLUMNS($AB$1006:AN1006),$AB$1006:$AQ$1006,0))&gt;=100000), " ",IF(INDEX($AB$2:$AQ$1001,MATCH(ROWS($U$2:U834),$U$2:$U$1001,0),MATCH(COLUMNS($AB$1006:AN1006),$AB$1006:$AQ$1006,0)), HYPERLINK("#",""), HYPERLINK(CONCATENATE("#metadata!", ADDRESS(INDEX($W$2:$W$1001,MATCH(ROWS($U$2:U834),$U$2:$U$1001,0),0), INDEX($AB$1004:$AQ$1004,1,MATCH(COLUMNS($AB$1006:AN1006),$AB$1006:$AQ$1006,0)))),"Fix")))</f>
        <v>0</v>
      </c>
      <c r="O834" s="4">
        <f>IF(OR(INDEX($V$2:$V$1001,MATCH(ROWS($U$2:U834),$U$2:$U$1001,0),1)&gt;=100000,INDEX($AB$1005:$AQ$1005,1,MATCH(COLUMNS($AB$1006:AO1006),$AB$1006:$AQ$1006,0))&gt;=100000), " ",IF(INDEX($AB$2:$AQ$1001,MATCH(ROWS($U$2:U834),$U$2:$U$1001,0),MATCH(COLUMNS($AB$1006:AO1006),$AB$1006:$AQ$1006,0)), HYPERLINK("#",""), HYPERLINK(CONCATENATE("#metadata!", ADDRESS(INDEX($W$2:$W$1001,MATCH(ROWS($U$2:U834),$U$2:$U$1001,0),0), INDEX($AB$1004:$AQ$1004,1,MATCH(COLUMNS($AB$1006:AO1006),$AB$1006:$AQ$1006,0)))),"Fix")))</f>
        <v>0</v>
      </c>
      <c r="P834" s="4">
        <f>IF(OR(INDEX($V$2:$V$1001,MATCH(ROWS($U$2:U834),$U$2:$U$1001,0),1)&gt;=100000,INDEX($AB$1005:$AQ$1005,1,MATCH(COLUMNS($AB$1006:AP1006),$AB$1006:$AQ$1006,0))&gt;=100000), " ",IF(INDEX($AB$2:$AQ$1001,MATCH(ROWS($U$2:U834),$U$2:$U$1001,0),MATCH(COLUMNS($AB$1006:AP1006),$AB$1006:$AQ$1006,0)), HYPERLINK("#",""), HYPERLINK(CONCATENATE("#metadata!", ADDRESS(INDEX($W$2:$W$1001,MATCH(ROWS($U$2:U834),$U$2:$U$1001,0),0), INDEX($AB$1004:$AQ$1004,1,MATCH(COLUMNS($AB$1006:AP1006),$AB$1006:$AQ$1006,0)))),"Fix")))</f>
        <v>0</v>
      </c>
      <c r="Q834" s="4">
        <f>IF(OR(INDEX($V$2:$V$1001,MATCH(ROWS($U$2:U834),$U$2:$U$1001,0),1)&gt;=100000,INDEX($AB$1005:$AQ$1005,1,MATCH(COLUMNS($AB$1006:AQ1006),$AB$1006:$AQ$1006,0))&gt;=100000), " ",IF(INDEX($AB$2:$AQ$1001,MATCH(ROWS($U$2:U834),$U$2:$U$1001,0),MATCH(COLUMNS($AB$1006:AQ1006),$AB$1006:$AQ$1006,0)), HYPERLINK("#",""), HYPERLINK(CONCATENATE("#metadata!", ADDRESS(INDEX($W$2:$W$1001,MATCH(ROWS($U$2:U834),$U$2:$U$1001,0),0), INDEX($AB$1004:$AQ$1004,1,MATCH(COLUMNS($AB$1006:AQ1006),$AB$1006:$AQ$1006,0)))),"Fix")))</f>
        <v>0</v>
      </c>
      <c r="U834">
        <v>0</v>
      </c>
      <c r="V834">
        <v>0</v>
      </c>
      <c r="W834">
        <v>0</v>
      </c>
      <c r="X834">
        <f>IF(Y834,TRUE,AND(AB834:AQ834))</f>
        <v>0</v>
      </c>
      <c r="Y834">
        <f>COUNTBLANK(metadata!B834:Q834)=COLUMNS(metadata!B834:Q834)</f>
        <v>0</v>
      </c>
      <c r="Z834">
        <v>0</v>
      </c>
      <c r="AB834">
        <f>AND(IF(metadata!B834="",FALSE,TRUE),COUNTIF(metadata!B:B, metadata!B834) = 1,NOT(ISERROR(SUMPRODUCT(SEARCH(MID(metadata!B834,ROW(INDIRECT("1:"&amp;LEN(metadata!B834))), 1),"0123456789abcdefghijklmnopqrstuvwxyzABCDEFGHIJKLMNOPQRSTUVWXYZ.")))))</f>
        <v>0</v>
      </c>
      <c r="AC834">
        <f>OR(AND(IF(metadata!C834="",FALSE,TRUE),OR(exact(metadata!C834,"missing: not collected"),exact(metadata!C834,"missing: not provided"),exact(metadata!C834,"missing: restricted access"))),AND(IF(metadata!C834="",FALSE,TRUE),AND(AND(IFERROR(INT(LEFT(metadata!C834,4))&gt;1900,FALSE),IFERROR(INT(LEFT(metadata!C834,4))&lt;=YEAR(NOW()),FALSE)), OR(MID(metadata!C834,5,1)="", AND(AND(MID(metadata!C834,5,1)="-",IFERROR(INT(MID(metadata!C834,6,1))&gt;=0,FALSE),IFERROR(INT(MID(metadata!C834,6,1))&lt;=1,FALSE),NOT(MID(metadata!C834,7,1)=""),IFERROR(INT(MID(metadata!C834,6,2))&gt;=1,FALSE),IFERROR(INT(MID(metadata!C834,6,2))&lt;=12,FALSE)), OR(MID(metadata!C834,8,1)="", AND(AND(MID(metadata!C834,8,1)="-",IFERROR(INT(MID(metadata!C834,9,1))&gt;=0,FALSE),IFERROR(INT(MID(metadata!C834,9,1))&lt;=3,FALSE),NOT(MID(metadata!C834,10,1)=""),IFERROR(INT(MID(metadata!C834,9,2))&gt;=1,FALSE),IFERROR(INT(MID(metadata!C834,9,2))&lt;=31,FALSE)), OR(MID(metadata!C834,11,1)="", AND(AND(MID(metadata!C834,11,1)=" ",IFERROR(INT(MID(metadata!C834,12,1))&gt;=0,FALSE),IFERROR(INT(MID(metadata!C834,12,1))&lt;=2,FALSE),NOT(MID(metadata!C834,13,1)=""),IFERROR(INT(MID(metadata!C834,12,2))&gt;=0,FALSE),IFERROR(INT(MID(metadata!C834,12,2))&lt;=23,FALSE)), OR(MID(metadata!C834,14,1)="", AND(AND(MID(metadata!C834,14,1)=":",IFERROR(INT(MID(metadata!C834,15,1))&gt;=0,FALSE),IFERROR(INT(MID(metadata!C834,15,1))&lt;=5,FALSE),NOT(MID(metadata!C834,16,1)=""),IFERROR(INT(MID(metadata!C834,15,2))&gt;=0,FALSE),IFERROR(INT(MID(metadata!C834,15,2))&lt;=59,FALSE)), OR(MID(metadata!C834,17,1)="", AND(AND(MID(metadata!C834,17,1)=":",IFERROR(INT(MID(metadata!C834,18,1))&gt;=0,FALSE),IFERROR(INT(MID(metadata!C834,18,1))&lt;=5,FALSE),NOT(MID(metadata!C834,19,1)=""),IFERROR(INT(MID(metadata!C834,18,2))&gt;=0,FALSE),IFERROR(INT(MID(metadata!C834,18,2))&lt;=59,FALSE)), LEN(metadata!C834)&lt;=19)))))))))))))</f>
        <v>0</v>
      </c>
      <c r="AD834">
        <f>IF(metadata!D834="",FALSE,TRUE)</f>
        <v>0</v>
      </c>
      <c r="AE834">
        <f>OR(AND(IF(metadata!E834="",FALSE,TRUE),OR(exact(metadata!E834,"missing: not collected"),exact(metadata!E834,"missing: not provided"))),AND(IF(metadata!E834="",FALSE,TRUE),OR(exact(metadata!E834,"TRUE"),exact(metadata!E834,"FALSE"))))</f>
        <v>0</v>
      </c>
      <c r="AF834">
        <f>IF(metadata!F834="",FALSE,TRUE)</f>
        <v>0</v>
      </c>
      <c r="AG834">
        <f>IF(metadata!G834="",FALSE,TRUE)</f>
        <v>0</v>
      </c>
      <c r="AH834">
        <f>IF(metadata!H834="",FALSE,TRUE)</f>
        <v>0</v>
      </c>
      <c r="AI834">
        <f>OR(AND(IF(metadata!I834="",FALSE,TRUE),OR(exact(metadata!I834,"missing: not collected"),exact(metadata!I834,"missing: not provided"),exact(metadata!I834,"missing: restricted access"))),AND(IF(metadata!I834="",FALSE,TRUE),OR(exact(metadata!I834,"air"),exact(metadata!I834,"built environment"),exact(metadata!I834,"host-associated"),exact(metadata!I834,"human-associated"),exact(metadata!I834,"human-skin"),exact(metadata!I834,"human-oral"),exact(metadata!I834,"human-gut"),exact(metadata!I834,"human-vaginal"),exact(metadata!I834,"microbial mat/biofilm"),exact(metadata!I834,"misc environment"),exact(metadata!I834,"plant-associated"),exact(metadata!I834,"sediment"),exact(metadata!I834,"soil"),exact(metadata!I834,"wastewater/sludge"),exact(metadata!I834,"water"))))</f>
        <v>0</v>
      </c>
      <c r="AJ834">
        <f>IF(metadata!J834="",FALSE,TRUE)</f>
        <v>0</v>
      </c>
      <c r="AK834">
        <f>OR(AND(IF(metadata!K834="",FALSE,TRUE),OR(exact(metadata!K834,"missing: not collected"),exact(metadata!K834,"missing: not provided"),exact(metadata!K834,"missing: restricted access"))),AND(IF(metadata!K834="",FALSE,ISNUMBER(VALUE(metadata!K834))),metadata!K834&gt;=-90.00,metadata!K834&lt;=90.00))</f>
        <v>0</v>
      </c>
      <c r="AL834">
        <f>OR(AND(IF(metadata!L834="",FALSE,TRUE),OR(exact(metadata!L834,"missing: not collected"),exact(metadata!L834,"missing: not provided"),exact(metadata!L834,"missing: restricted access"))),AND(IF(metadata!L834="",FALSE,ISNUMBER(VALUE(metadata!L834))),metadata!L834&gt;=-180.00,metadata!L834&lt;=180.00))</f>
        <v>0</v>
      </c>
      <c r="AM834">
        <f>IF(metadata!M834="",FALSE,TRUE)</f>
        <v>0</v>
      </c>
      <c r="AN834">
        <f>OR(AND(IF(metadata!N834="",FALSE,TRUE),OR(exact(metadata!N834,"missing: not collected"),exact(metadata!N834,"missing: not provided"),exact(metadata!N834,"missing: restricted access"))),AND(IF(metadata!N834="",FALSE,TRUE),OR(exact(metadata!N834,"TRUE"),exact(metadata!N834,"FALSE"))))</f>
        <v>0</v>
      </c>
      <c r="AO834">
        <f>IF(metadata!O834="",FALSE,TRUE)</f>
        <v>0</v>
      </c>
      <c r="AP834">
        <f>OR(AND(IF(metadata!P834="",FALSE,TRUE),OR(exact(metadata!P834,"missing: not collected"),exact(metadata!P834,"missing: not provided"))),AND(IF(metadata!P834="",FALSE,IF(ISERROR(INT(metadata!P834)),FALSE,INT(metadata!P834)=metadata!P834)),metadata!P834&gt;0))</f>
        <v>0</v>
      </c>
      <c r="AQ834">
        <f>IF(metadata!Q834="",FALSE,TRUE)</f>
        <v>0</v>
      </c>
    </row>
    <row r="835" spans="1:43">
      <c r="A835" s="5">
        <f>IF(B835=" "," ",HYPERLINK(CONCATENATE("#metadata!",ADDRESS(INDEX($W$2:$W$1001,MATCH(ROWS($U$2:U835),$U$2:$U$1001,0),0),1)),INDEX($Z$2:$Z$1001,MATCH(ROWS($U$2:U835),$U$2:$U$1001,0),0)))</f>
        <v>0</v>
      </c>
      <c r="B835" s="4">
        <f>IF(OR(INDEX($V$2:$V$1001,MATCH(ROWS($U$2:U835),$U$2:$U$1001,0),1)&gt;=100000,INDEX($AB$1005:$AQ$1005,1,MATCH(COLUMNS($AB$1006:AB1006),$AB$1006:$AQ$1006,0))&gt;=100000), " ",IF(INDEX($AB$2:$AQ$1001,MATCH(ROWS($U$2:U835),$U$2:$U$1001,0),MATCH(COLUMNS($AB$1006:AB1006),$AB$1006:$AQ$1006,0)), HYPERLINK("#",""), HYPERLINK(CONCATENATE("#metadata!", ADDRESS(INDEX($W$2:$W$1001,MATCH(ROWS($U$2:U835),$U$2:$U$1001,0),0), INDEX($AB$1004:$AQ$1004,1,MATCH(COLUMNS($AB$1006:AB1006),$AB$1006:$AQ$1006,0)))),"Fix")))</f>
        <v>0</v>
      </c>
      <c r="C835" s="4">
        <f>IF(OR(INDEX($V$2:$V$1001,MATCH(ROWS($U$2:U835),$U$2:$U$1001,0),1)&gt;=100000,INDEX($AB$1005:$AQ$1005,1,MATCH(COLUMNS($AB$1006:AC1006),$AB$1006:$AQ$1006,0))&gt;=100000), " ",IF(INDEX($AB$2:$AQ$1001,MATCH(ROWS($U$2:U835),$U$2:$U$1001,0),MATCH(COLUMNS($AB$1006:AC1006),$AB$1006:$AQ$1006,0)), HYPERLINK("#",""), HYPERLINK(CONCATENATE("#metadata!", ADDRESS(INDEX($W$2:$W$1001,MATCH(ROWS($U$2:U835),$U$2:$U$1001,0),0), INDEX($AB$1004:$AQ$1004,1,MATCH(COLUMNS($AB$1006:AC1006),$AB$1006:$AQ$1006,0)))),"Fix")))</f>
        <v>0</v>
      </c>
      <c r="D835" s="4">
        <f>IF(OR(INDEX($V$2:$V$1001,MATCH(ROWS($U$2:U835),$U$2:$U$1001,0),1)&gt;=100000,INDEX($AB$1005:$AQ$1005,1,MATCH(COLUMNS($AB$1006:AD1006),$AB$1006:$AQ$1006,0))&gt;=100000), " ",IF(INDEX($AB$2:$AQ$1001,MATCH(ROWS($U$2:U835),$U$2:$U$1001,0),MATCH(COLUMNS($AB$1006:AD1006),$AB$1006:$AQ$1006,0)), HYPERLINK("#",""), HYPERLINK(CONCATENATE("#metadata!", ADDRESS(INDEX($W$2:$W$1001,MATCH(ROWS($U$2:U835),$U$2:$U$1001,0),0), INDEX($AB$1004:$AQ$1004,1,MATCH(COLUMNS($AB$1006:AD1006),$AB$1006:$AQ$1006,0)))),"Fix")))</f>
        <v>0</v>
      </c>
      <c r="E835" s="4">
        <f>IF(OR(INDEX($V$2:$V$1001,MATCH(ROWS($U$2:U835),$U$2:$U$1001,0),1)&gt;=100000,INDEX($AB$1005:$AQ$1005,1,MATCH(COLUMNS($AB$1006:AE1006),$AB$1006:$AQ$1006,0))&gt;=100000), " ",IF(INDEX($AB$2:$AQ$1001,MATCH(ROWS($U$2:U835),$U$2:$U$1001,0),MATCH(COLUMNS($AB$1006:AE1006),$AB$1006:$AQ$1006,0)), HYPERLINK("#",""), HYPERLINK(CONCATENATE("#metadata!", ADDRESS(INDEX($W$2:$W$1001,MATCH(ROWS($U$2:U835),$U$2:$U$1001,0),0), INDEX($AB$1004:$AQ$1004,1,MATCH(COLUMNS($AB$1006:AE1006),$AB$1006:$AQ$1006,0)))),"Fix")))</f>
        <v>0</v>
      </c>
      <c r="F835" s="4">
        <f>IF(OR(INDEX($V$2:$V$1001,MATCH(ROWS($U$2:U835),$U$2:$U$1001,0),1)&gt;=100000,INDEX($AB$1005:$AQ$1005,1,MATCH(COLUMNS($AB$1006:AF1006),$AB$1006:$AQ$1006,0))&gt;=100000), " ",IF(INDEX($AB$2:$AQ$1001,MATCH(ROWS($U$2:U835),$U$2:$U$1001,0),MATCH(COLUMNS($AB$1006:AF1006),$AB$1006:$AQ$1006,0)), HYPERLINK("#",""), HYPERLINK(CONCATENATE("#metadata!", ADDRESS(INDEX($W$2:$W$1001,MATCH(ROWS($U$2:U835),$U$2:$U$1001,0),0), INDEX($AB$1004:$AQ$1004,1,MATCH(COLUMNS($AB$1006:AF1006),$AB$1006:$AQ$1006,0)))),"Fix")))</f>
        <v>0</v>
      </c>
      <c r="G835" s="4">
        <f>IF(OR(INDEX($V$2:$V$1001,MATCH(ROWS($U$2:U835),$U$2:$U$1001,0),1)&gt;=100000,INDEX($AB$1005:$AQ$1005,1,MATCH(COLUMNS($AB$1006:AG1006),$AB$1006:$AQ$1006,0))&gt;=100000), " ",IF(INDEX($AB$2:$AQ$1001,MATCH(ROWS($U$2:U835),$U$2:$U$1001,0),MATCH(COLUMNS($AB$1006:AG1006),$AB$1006:$AQ$1006,0)), HYPERLINK("#",""), HYPERLINK(CONCATENATE("#metadata!", ADDRESS(INDEX($W$2:$W$1001,MATCH(ROWS($U$2:U835),$U$2:$U$1001,0),0), INDEX($AB$1004:$AQ$1004,1,MATCH(COLUMNS($AB$1006:AG1006),$AB$1006:$AQ$1006,0)))),"Fix")))</f>
        <v>0</v>
      </c>
      <c r="H835" s="4">
        <f>IF(OR(INDEX($V$2:$V$1001,MATCH(ROWS($U$2:U835),$U$2:$U$1001,0),1)&gt;=100000,INDEX($AB$1005:$AQ$1005,1,MATCH(COLUMNS($AB$1006:AH1006),$AB$1006:$AQ$1006,0))&gt;=100000), " ",IF(INDEX($AB$2:$AQ$1001,MATCH(ROWS($U$2:U835),$U$2:$U$1001,0),MATCH(COLUMNS($AB$1006:AH1006),$AB$1006:$AQ$1006,0)), HYPERLINK("#",""), HYPERLINK(CONCATENATE("#metadata!", ADDRESS(INDEX($W$2:$W$1001,MATCH(ROWS($U$2:U835),$U$2:$U$1001,0),0), INDEX($AB$1004:$AQ$1004,1,MATCH(COLUMNS($AB$1006:AH1006),$AB$1006:$AQ$1006,0)))),"Fix")))</f>
        <v>0</v>
      </c>
      <c r="I835" s="4">
        <f>IF(OR(INDEX($V$2:$V$1001,MATCH(ROWS($U$2:U835),$U$2:$U$1001,0),1)&gt;=100000,INDEX($AB$1005:$AQ$1005,1,MATCH(COLUMNS($AB$1006:AI1006),$AB$1006:$AQ$1006,0))&gt;=100000), " ",IF(INDEX($AB$2:$AQ$1001,MATCH(ROWS($U$2:U835),$U$2:$U$1001,0),MATCH(COLUMNS($AB$1006:AI1006),$AB$1006:$AQ$1006,0)), HYPERLINK("#",""), HYPERLINK(CONCATENATE("#metadata!", ADDRESS(INDEX($W$2:$W$1001,MATCH(ROWS($U$2:U835),$U$2:$U$1001,0),0), INDEX($AB$1004:$AQ$1004,1,MATCH(COLUMNS($AB$1006:AI1006),$AB$1006:$AQ$1006,0)))),"Fix")))</f>
        <v>0</v>
      </c>
      <c r="J835" s="4">
        <f>IF(OR(INDEX($V$2:$V$1001,MATCH(ROWS($U$2:U835),$U$2:$U$1001,0),1)&gt;=100000,INDEX($AB$1005:$AQ$1005,1,MATCH(COLUMNS($AB$1006:AJ1006),$AB$1006:$AQ$1006,0))&gt;=100000), " ",IF(INDEX($AB$2:$AQ$1001,MATCH(ROWS($U$2:U835),$U$2:$U$1001,0),MATCH(COLUMNS($AB$1006:AJ1006),$AB$1006:$AQ$1006,0)), HYPERLINK("#",""), HYPERLINK(CONCATENATE("#metadata!", ADDRESS(INDEX($W$2:$W$1001,MATCH(ROWS($U$2:U835),$U$2:$U$1001,0),0), INDEX($AB$1004:$AQ$1004,1,MATCH(COLUMNS($AB$1006:AJ1006),$AB$1006:$AQ$1006,0)))),"Fix")))</f>
        <v>0</v>
      </c>
      <c r="K835" s="4">
        <f>IF(OR(INDEX($V$2:$V$1001,MATCH(ROWS($U$2:U835),$U$2:$U$1001,0),1)&gt;=100000,INDEX($AB$1005:$AQ$1005,1,MATCH(COLUMNS($AB$1006:AK1006),$AB$1006:$AQ$1006,0))&gt;=100000), " ",IF(INDEX($AB$2:$AQ$1001,MATCH(ROWS($U$2:U835),$U$2:$U$1001,0),MATCH(COLUMNS($AB$1006:AK1006),$AB$1006:$AQ$1006,0)), HYPERLINK("#",""), HYPERLINK(CONCATENATE("#metadata!", ADDRESS(INDEX($W$2:$W$1001,MATCH(ROWS($U$2:U835),$U$2:$U$1001,0),0), INDEX($AB$1004:$AQ$1004,1,MATCH(COLUMNS($AB$1006:AK1006),$AB$1006:$AQ$1006,0)))),"Fix")))</f>
        <v>0</v>
      </c>
      <c r="L835" s="4">
        <f>IF(OR(INDEX($V$2:$V$1001,MATCH(ROWS($U$2:U835),$U$2:$U$1001,0),1)&gt;=100000,INDEX($AB$1005:$AQ$1005,1,MATCH(COLUMNS($AB$1006:AL1006),$AB$1006:$AQ$1006,0))&gt;=100000), " ",IF(INDEX($AB$2:$AQ$1001,MATCH(ROWS($U$2:U835),$U$2:$U$1001,0),MATCH(COLUMNS($AB$1006:AL1006),$AB$1006:$AQ$1006,0)), HYPERLINK("#",""), HYPERLINK(CONCATENATE("#metadata!", ADDRESS(INDEX($W$2:$W$1001,MATCH(ROWS($U$2:U835),$U$2:$U$1001,0),0), INDEX($AB$1004:$AQ$1004,1,MATCH(COLUMNS($AB$1006:AL1006),$AB$1006:$AQ$1006,0)))),"Fix")))</f>
        <v>0</v>
      </c>
      <c r="M835" s="4">
        <f>IF(OR(INDEX($V$2:$V$1001,MATCH(ROWS($U$2:U835),$U$2:$U$1001,0),1)&gt;=100000,INDEX($AB$1005:$AQ$1005,1,MATCH(COLUMNS($AB$1006:AM1006),$AB$1006:$AQ$1006,0))&gt;=100000), " ",IF(INDEX($AB$2:$AQ$1001,MATCH(ROWS($U$2:U835),$U$2:$U$1001,0),MATCH(COLUMNS($AB$1006:AM1006),$AB$1006:$AQ$1006,0)), HYPERLINK("#",""), HYPERLINK(CONCATENATE("#metadata!", ADDRESS(INDEX($W$2:$W$1001,MATCH(ROWS($U$2:U835),$U$2:$U$1001,0),0), INDEX($AB$1004:$AQ$1004,1,MATCH(COLUMNS($AB$1006:AM1006),$AB$1006:$AQ$1006,0)))),"Fix")))</f>
        <v>0</v>
      </c>
      <c r="N835" s="4">
        <f>IF(OR(INDEX($V$2:$V$1001,MATCH(ROWS($U$2:U835),$U$2:$U$1001,0),1)&gt;=100000,INDEX($AB$1005:$AQ$1005,1,MATCH(COLUMNS($AB$1006:AN1006),$AB$1006:$AQ$1006,0))&gt;=100000), " ",IF(INDEX($AB$2:$AQ$1001,MATCH(ROWS($U$2:U835),$U$2:$U$1001,0),MATCH(COLUMNS($AB$1006:AN1006),$AB$1006:$AQ$1006,0)), HYPERLINK("#",""), HYPERLINK(CONCATENATE("#metadata!", ADDRESS(INDEX($W$2:$W$1001,MATCH(ROWS($U$2:U835),$U$2:$U$1001,0),0), INDEX($AB$1004:$AQ$1004,1,MATCH(COLUMNS($AB$1006:AN1006),$AB$1006:$AQ$1006,0)))),"Fix")))</f>
        <v>0</v>
      </c>
      <c r="O835" s="4">
        <f>IF(OR(INDEX($V$2:$V$1001,MATCH(ROWS($U$2:U835),$U$2:$U$1001,0),1)&gt;=100000,INDEX($AB$1005:$AQ$1005,1,MATCH(COLUMNS($AB$1006:AO1006),$AB$1006:$AQ$1006,0))&gt;=100000), " ",IF(INDEX($AB$2:$AQ$1001,MATCH(ROWS($U$2:U835),$U$2:$U$1001,0),MATCH(COLUMNS($AB$1006:AO1006),$AB$1006:$AQ$1006,0)), HYPERLINK("#",""), HYPERLINK(CONCATENATE("#metadata!", ADDRESS(INDEX($W$2:$W$1001,MATCH(ROWS($U$2:U835),$U$2:$U$1001,0),0), INDEX($AB$1004:$AQ$1004,1,MATCH(COLUMNS($AB$1006:AO1006),$AB$1006:$AQ$1006,0)))),"Fix")))</f>
        <v>0</v>
      </c>
      <c r="P835" s="4">
        <f>IF(OR(INDEX($V$2:$V$1001,MATCH(ROWS($U$2:U835),$U$2:$U$1001,0),1)&gt;=100000,INDEX($AB$1005:$AQ$1005,1,MATCH(COLUMNS($AB$1006:AP1006),$AB$1006:$AQ$1006,0))&gt;=100000), " ",IF(INDEX($AB$2:$AQ$1001,MATCH(ROWS($U$2:U835),$U$2:$U$1001,0),MATCH(COLUMNS($AB$1006:AP1006),$AB$1006:$AQ$1006,0)), HYPERLINK("#",""), HYPERLINK(CONCATENATE("#metadata!", ADDRESS(INDEX($W$2:$W$1001,MATCH(ROWS($U$2:U835),$U$2:$U$1001,0),0), INDEX($AB$1004:$AQ$1004,1,MATCH(COLUMNS($AB$1006:AP1006),$AB$1006:$AQ$1006,0)))),"Fix")))</f>
        <v>0</v>
      </c>
      <c r="Q835" s="4">
        <f>IF(OR(INDEX($V$2:$V$1001,MATCH(ROWS($U$2:U835),$U$2:$U$1001,0),1)&gt;=100000,INDEX($AB$1005:$AQ$1005,1,MATCH(COLUMNS($AB$1006:AQ1006),$AB$1006:$AQ$1006,0))&gt;=100000), " ",IF(INDEX($AB$2:$AQ$1001,MATCH(ROWS($U$2:U835),$U$2:$U$1001,0),MATCH(COLUMNS($AB$1006:AQ1006),$AB$1006:$AQ$1006,0)), HYPERLINK("#",""), HYPERLINK(CONCATENATE("#metadata!", ADDRESS(INDEX($W$2:$W$1001,MATCH(ROWS($U$2:U835),$U$2:$U$1001,0),0), INDEX($AB$1004:$AQ$1004,1,MATCH(COLUMNS($AB$1006:AQ1006),$AB$1006:$AQ$1006,0)))),"Fix")))</f>
        <v>0</v>
      </c>
      <c r="U835">
        <v>0</v>
      </c>
      <c r="V835">
        <v>0</v>
      </c>
      <c r="W835">
        <v>0</v>
      </c>
      <c r="X835">
        <f>IF(Y835,TRUE,AND(AB835:AQ835))</f>
        <v>0</v>
      </c>
      <c r="Y835">
        <f>COUNTBLANK(metadata!B835:Q835)=COLUMNS(metadata!B835:Q835)</f>
        <v>0</v>
      </c>
      <c r="Z835">
        <v>0</v>
      </c>
      <c r="AB835">
        <f>AND(IF(metadata!B835="",FALSE,TRUE),COUNTIF(metadata!B:B, metadata!B835) = 1,NOT(ISERROR(SUMPRODUCT(SEARCH(MID(metadata!B835,ROW(INDIRECT("1:"&amp;LEN(metadata!B835))), 1),"0123456789abcdefghijklmnopqrstuvwxyzABCDEFGHIJKLMNOPQRSTUVWXYZ.")))))</f>
        <v>0</v>
      </c>
      <c r="AC835">
        <f>OR(AND(IF(metadata!C835="",FALSE,TRUE),OR(exact(metadata!C835,"missing: not collected"),exact(metadata!C835,"missing: not provided"),exact(metadata!C835,"missing: restricted access"))),AND(IF(metadata!C835="",FALSE,TRUE),AND(AND(IFERROR(INT(LEFT(metadata!C835,4))&gt;1900,FALSE),IFERROR(INT(LEFT(metadata!C835,4))&lt;=YEAR(NOW()),FALSE)), OR(MID(metadata!C835,5,1)="", AND(AND(MID(metadata!C835,5,1)="-",IFERROR(INT(MID(metadata!C835,6,1))&gt;=0,FALSE),IFERROR(INT(MID(metadata!C835,6,1))&lt;=1,FALSE),NOT(MID(metadata!C835,7,1)=""),IFERROR(INT(MID(metadata!C835,6,2))&gt;=1,FALSE),IFERROR(INT(MID(metadata!C835,6,2))&lt;=12,FALSE)), OR(MID(metadata!C835,8,1)="", AND(AND(MID(metadata!C835,8,1)="-",IFERROR(INT(MID(metadata!C835,9,1))&gt;=0,FALSE),IFERROR(INT(MID(metadata!C835,9,1))&lt;=3,FALSE),NOT(MID(metadata!C835,10,1)=""),IFERROR(INT(MID(metadata!C835,9,2))&gt;=1,FALSE),IFERROR(INT(MID(metadata!C835,9,2))&lt;=31,FALSE)), OR(MID(metadata!C835,11,1)="", AND(AND(MID(metadata!C835,11,1)=" ",IFERROR(INT(MID(metadata!C835,12,1))&gt;=0,FALSE),IFERROR(INT(MID(metadata!C835,12,1))&lt;=2,FALSE),NOT(MID(metadata!C835,13,1)=""),IFERROR(INT(MID(metadata!C835,12,2))&gt;=0,FALSE),IFERROR(INT(MID(metadata!C835,12,2))&lt;=23,FALSE)), OR(MID(metadata!C835,14,1)="", AND(AND(MID(metadata!C835,14,1)=":",IFERROR(INT(MID(metadata!C835,15,1))&gt;=0,FALSE),IFERROR(INT(MID(metadata!C835,15,1))&lt;=5,FALSE),NOT(MID(metadata!C835,16,1)=""),IFERROR(INT(MID(metadata!C835,15,2))&gt;=0,FALSE),IFERROR(INT(MID(metadata!C835,15,2))&lt;=59,FALSE)), OR(MID(metadata!C835,17,1)="", AND(AND(MID(metadata!C835,17,1)=":",IFERROR(INT(MID(metadata!C835,18,1))&gt;=0,FALSE),IFERROR(INT(MID(metadata!C835,18,1))&lt;=5,FALSE),NOT(MID(metadata!C835,19,1)=""),IFERROR(INT(MID(metadata!C835,18,2))&gt;=0,FALSE),IFERROR(INT(MID(metadata!C835,18,2))&lt;=59,FALSE)), LEN(metadata!C835)&lt;=19)))))))))))))</f>
        <v>0</v>
      </c>
      <c r="AD835">
        <f>IF(metadata!D835="",FALSE,TRUE)</f>
        <v>0</v>
      </c>
      <c r="AE835">
        <f>OR(AND(IF(metadata!E835="",FALSE,TRUE),OR(exact(metadata!E835,"missing: not collected"),exact(metadata!E835,"missing: not provided"))),AND(IF(metadata!E835="",FALSE,TRUE),OR(exact(metadata!E835,"TRUE"),exact(metadata!E835,"FALSE"))))</f>
        <v>0</v>
      </c>
      <c r="AF835">
        <f>IF(metadata!F835="",FALSE,TRUE)</f>
        <v>0</v>
      </c>
      <c r="AG835">
        <f>IF(metadata!G835="",FALSE,TRUE)</f>
        <v>0</v>
      </c>
      <c r="AH835">
        <f>IF(metadata!H835="",FALSE,TRUE)</f>
        <v>0</v>
      </c>
      <c r="AI835">
        <f>OR(AND(IF(metadata!I835="",FALSE,TRUE),OR(exact(metadata!I835,"missing: not collected"),exact(metadata!I835,"missing: not provided"),exact(metadata!I835,"missing: restricted access"))),AND(IF(metadata!I835="",FALSE,TRUE),OR(exact(metadata!I835,"air"),exact(metadata!I835,"built environment"),exact(metadata!I835,"host-associated"),exact(metadata!I835,"human-associated"),exact(metadata!I835,"human-skin"),exact(metadata!I835,"human-oral"),exact(metadata!I835,"human-gut"),exact(metadata!I835,"human-vaginal"),exact(metadata!I835,"microbial mat/biofilm"),exact(metadata!I835,"misc environment"),exact(metadata!I835,"plant-associated"),exact(metadata!I835,"sediment"),exact(metadata!I835,"soil"),exact(metadata!I835,"wastewater/sludge"),exact(metadata!I835,"water"))))</f>
        <v>0</v>
      </c>
      <c r="AJ835">
        <f>IF(metadata!J835="",FALSE,TRUE)</f>
        <v>0</v>
      </c>
      <c r="AK835">
        <f>OR(AND(IF(metadata!K835="",FALSE,TRUE),OR(exact(metadata!K835,"missing: not collected"),exact(metadata!K835,"missing: not provided"),exact(metadata!K835,"missing: restricted access"))),AND(IF(metadata!K835="",FALSE,ISNUMBER(VALUE(metadata!K835))),metadata!K835&gt;=-90.00,metadata!K835&lt;=90.00))</f>
        <v>0</v>
      </c>
      <c r="AL835">
        <f>OR(AND(IF(metadata!L835="",FALSE,TRUE),OR(exact(metadata!L835,"missing: not collected"),exact(metadata!L835,"missing: not provided"),exact(metadata!L835,"missing: restricted access"))),AND(IF(metadata!L835="",FALSE,ISNUMBER(VALUE(metadata!L835))),metadata!L835&gt;=-180.00,metadata!L835&lt;=180.00))</f>
        <v>0</v>
      </c>
      <c r="AM835">
        <f>IF(metadata!M835="",FALSE,TRUE)</f>
        <v>0</v>
      </c>
      <c r="AN835">
        <f>OR(AND(IF(metadata!N835="",FALSE,TRUE),OR(exact(metadata!N835,"missing: not collected"),exact(metadata!N835,"missing: not provided"),exact(metadata!N835,"missing: restricted access"))),AND(IF(metadata!N835="",FALSE,TRUE),OR(exact(metadata!N835,"TRUE"),exact(metadata!N835,"FALSE"))))</f>
        <v>0</v>
      </c>
      <c r="AO835">
        <f>IF(metadata!O835="",FALSE,TRUE)</f>
        <v>0</v>
      </c>
      <c r="AP835">
        <f>OR(AND(IF(metadata!P835="",FALSE,TRUE),OR(exact(metadata!P835,"missing: not collected"),exact(metadata!P835,"missing: not provided"))),AND(IF(metadata!P835="",FALSE,IF(ISERROR(INT(metadata!P835)),FALSE,INT(metadata!P835)=metadata!P835)),metadata!P835&gt;0))</f>
        <v>0</v>
      </c>
      <c r="AQ835">
        <f>IF(metadata!Q835="",FALSE,TRUE)</f>
        <v>0</v>
      </c>
    </row>
    <row r="836" spans="1:43">
      <c r="A836" s="5">
        <f>IF(B836=" "," ",HYPERLINK(CONCATENATE("#metadata!",ADDRESS(INDEX($W$2:$W$1001,MATCH(ROWS($U$2:U836),$U$2:$U$1001,0),0),1)),INDEX($Z$2:$Z$1001,MATCH(ROWS($U$2:U836),$U$2:$U$1001,0),0)))</f>
        <v>0</v>
      </c>
      <c r="B836" s="4">
        <f>IF(OR(INDEX($V$2:$V$1001,MATCH(ROWS($U$2:U836),$U$2:$U$1001,0),1)&gt;=100000,INDEX($AB$1005:$AQ$1005,1,MATCH(COLUMNS($AB$1006:AB1006),$AB$1006:$AQ$1006,0))&gt;=100000), " ",IF(INDEX($AB$2:$AQ$1001,MATCH(ROWS($U$2:U836),$U$2:$U$1001,0),MATCH(COLUMNS($AB$1006:AB1006),$AB$1006:$AQ$1006,0)), HYPERLINK("#",""), HYPERLINK(CONCATENATE("#metadata!", ADDRESS(INDEX($W$2:$W$1001,MATCH(ROWS($U$2:U836),$U$2:$U$1001,0),0), INDEX($AB$1004:$AQ$1004,1,MATCH(COLUMNS($AB$1006:AB1006),$AB$1006:$AQ$1006,0)))),"Fix")))</f>
        <v>0</v>
      </c>
      <c r="C836" s="4">
        <f>IF(OR(INDEX($V$2:$V$1001,MATCH(ROWS($U$2:U836),$U$2:$U$1001,0),1)&gt;=100000,INDEX($AB$1005:$AQ$1005,1,MATCH(COLUMNS($AB$1006:AC1006),$AB$1006:$AQ$1006,0))&gt;=100000), " ",IF(INDEX($AB$2:$AQ$1001,MATCH(ROWS($U$2:U836),$U$2:$U$1001,0),MATCH(COLUMNS($AB$1006:AC1006),$AB$1006:$AQ$1006,0)), HYPERLINK("#",""), HYPERLINK(CONCATENATE("#metadata!", ADDRESS(INDEX($W$2:$W$1001,MATCH(ROWS($U$2:U836),$U$2:$U$1001,0),0), INDEX($AB$1004:$AQ$1004,1,MATCH(COLUMNS($AB$1006:AC1006),$AB$1006:$AQ$1006,0)))),"Fix")))</f>
        <v>0</v>
      </c>
      <c r="D836" s="4">
        <f>IF(OR(INDEX($V$2:$V$1001,MATCH(ROWS($U$2:U836),$U$2:$U$1001,0),1)&gt;=100000,INDEX($AB$1005:$AQ$1005,1,MATCH(COLUMNS($AB$1006:AD1006),$AB$1006:$AQ$1006,0))&gt;=100000), " ",IF(INDEX($AB$2:$AQ$1001,MATCH(ROWS($U$2:U836),$U$2:$U$1001,0),MATCH(COLUMNS($AB$1006:AD1006),$AB$1006:$AQ$1006,0)), HYPERLINK("#",""), HYPERLINK(CONCATENATE("#metadata!", ADDRESS(INDEX($W$2:$W$1001,MATCH(ROWS($U$2:U836),$U$2:$U$1001,0),0), INDEX($AB$1004:$AQ$1004,1,MATCH(COLUMNS($AB$1006:AD1006),$AB$1006:$AQ$1006,0)))),"Fix")))</f>
        <v>0</v>
      </c>
      <c r="E836" s="4">
        <f>IF(OR(INDEX($V$2:$V$1001,MATCH(ROWS($U$2:U836),$U$2:$U$1001,0),1)&gt;=100000,INDEX($AB$1005:$AQ$1005,1,MATCH(COLUMNS($AB$1006:AE1006),$AB$1006:$AQ$1006,0))&gt;=100000), " ",IF(INDEX($AB$2:$AQ$1001,MATCH(ROWS($U$2:U836),$U$2:$U$1001,0),MATCH(COLUMNS($AB$1006:AE1006),$AB$1006:$AQ$1006,0)), HYPERLINK("#",""), HYPERLINK(CONCATENATE("#metadata!", ADDRESS(INDEX($W$2:$W$1001,MATCH(ROWS($U$2:U836),$U$2:$U$1001,0),0), INDEX($AB$1004:$AQ$1004,1,MATCH(COLUMNS($AB$1006:AE1006),$AB$1006:$AQ$1006,0)))),"Fix")))</f>
        <v>0</v>
      </c>
      <c r="F836" s="4">
        <f>IF(OR(INDEX($V$2:$V$1001,MATCH(ROWS($U$2:U836),$U$2:$U$1001,0),1)&gt;=100000,INDEX($AB$1005:$AQ$1005,1,MATCH(COLUMNS($AB$1006:AF1006),$AB$1006:$AQ$1006,0))&gt;=100000), " ",IF(INDEX($AB$2:$AQ$1001,MATCH(ROWS($U$2:U836),$U$2:$U$1001,0),MATCH(COLUMNS($AB$1006:AF1006),$AB$1006:$AQ$1006,0)), HYPERLINK("#",""), HYPERLINK(CONCATENATE("#metadata!", ADDRESS(INDEX($W$2:$W$1001,MATCH(ROWS($U$2:U836),$U$2:$U$1001,0),0), INDEX($AB$1004:$AQ$1004,1,MATCH(COLUMNS($AB$1006:AF1006),$AB$1006:$AQ$1006,0)))),"Fix")))</f>
        <v>0</v>
      </c>
      <c r="G836" s="4">
        <f>IF(OR(INDEX($V$2:$V$1001,MATCH(ROWS($U$2:U836),$U$2:$U$1001,0),1)&gt;=100000,INDEX($AB$1005:$AQ$1005,1,MATCH(COLUMNS($AB$1006:AG1006),$AB$1006:$AQ$1006,0))&gt;=100000), " ",IF(INDEX($AB$2:$AQ$1001,MATCH(ROWS($U$2:U836),$U$2:$U$1001,0),MATCH(COLUMNS($AB$1006:AG1006),$AB$1006:$AQ$1006,0)), HYPERLINK("#",""), HYPERLINK(CONCATENATE("#metadata!", ADDRESS(INDEX($W$2:$W$1001,MATCH(ROWS($U$2:U836),$U$2:$U$1001,0),0), INDEX($AB$1004:$AQ$1004,1,MATCH(COLUMNS($AB$1006:AG1006),$AB$1006:$AQ$1006,0)))),"Fix")))</f>
        <v>0</v>
      </c>
      <c r="H836" s="4">
        <f>IF(OR(INDEX($V$2:$V$1001,MATCH(ROWS($U$2:U836),$U$2:$U$1001,0),1)&gt;=100000,INDEX($AB$1005:$AQ$1005,1,MATCH(COLUMNS($AB$1006:AH1006),$AB$1006:$AQ$1006,0))&gt;=100000), " ",IF(INDEX($AB$2:$AQ$1001,MATCH(ROWS($U$2:U836),$U$2:$U$1001,0),MATCH(COLUMNS($AB$1006:AH1006),$AB$1006:$AQ$1006,0)), HYPERLINK("#",""), HYPERLINK(CONCATENATE("#metadata!", ADDRESS(INDEX($W$2:$W$1001,MATCH(ROWS($U$2:U836),$U$2:$U$1001,0),0), INDEX($AB$1004:$AQ$1004,1,MATCH(COLUMNS($AB$1006:AH1006),$AB$1006:$AQ$1006,0)))),"Fix")))</f>
        <v>0</v>
      </c>
      <c r="I836" s="4">
        <f>IF(OR(INDEX($V$2:$V$1001,MATCH(ROWS($U$2:U836),$U$2:$U$1001,0),1)&gt;=100000,INDEX($AB$1005:$AQ$1005,1,MATCH(COLUMNS($AB$1006:AI1006),$AB$1006:$AQ$1006,0))&gt;=100000), " ",IF(INDEX($AB$2:$AQ$1001,MATCH(ROWS($U$2:U836),$U$2:$U$1001,0),MATCH(COLUMNS($AB$1006:AI1006),$AB$1006:$AQ$1006,0)), HYPERLINK("#",""), HYPERLINK(CONCATENATE("#metadata!", ADDRESS(INDEX($W$2:$W$1001,MATCH(ROWS($U$2:U836),$U$2:$U$1001,0),0), INDEX($AB$1004:$AQ$1004,1,MATCH(COLUMNS($AB$1006:AI1006),$AB$1006:$AQ$1006,0)))),"Fix")))</f>
        <v>0</v>
      </c>
      <c r="J836" s="4">
        <f>IF(OR(INDEX($V$2:$V$1001,MATCH(ROWS($U$2:U836),$U$2:$U$1001,0),1)&gt;=100000,INDEX($AB$1005:$AQ$1005,1,MATCH(COLUMNS($AB$1006:AJ1006),$AB$1006:$AQ$1006,0))&gt;=100000), " ",IF(INDEX($AB$2:$AQ$1001,MATCH(ROWS($U$2:U836),$U$2:$U$1001,0),MATCH(COLUMNS($AB$1006:AJ1006),$AB$1006:$AQ$1006,0)), HYPERLINK("#",""), HYPERLINK(CONCATENATE("#metadata!", ADDRESS(INDEX($W$2:$W$1001,MATCH(ROWS($U$2:U836),$U$2:$U$1001,0),0), INDEX($AB$1004:$AQ$1004,1,MATCH(COLUMNS($AB$1006:AJ1006),$AB$1006:$AQ$1006,0)))),"Fix")))</f>
        <v>0</v>
      </c>
      <c r="K836" s="4">
        <f>IF(OR(INDEX($V$2:$V$1001,MATCH(ROWS($U$2:U836),$U$2:$U$1001,0),1)&gt;=100000,INDEX($AB$1005:$AQ$1005,1,MATCH(COLUMNS($AB$1006:AK1006),$AB$1006:$AQ$1006,0))&gt;=100000), " ",IF(INDEX($AB$2:$AQ$1001,MATCH(ROWS($U$2:U836),$U$2:$U$1001,0),MATCH(COLUMNS($AB$1006:AK1006),$AB$1006:$AQ$1006,0)), HYPERLINK("#",""), HYPERLINK(CONCATENATE("#metadata!", ADDRESS(INDEX($W$2:$W$1001,MATCH(ROWS($U$2:U836),$U$2:$U$1001,0),0), INDEX($AB$1004:$AQ$1004,1,MATCH(COLUMNS($AB$1006:AK1006),$AB$1006:$AQ$1006,0)))),"Fix")))</f>
        <v>0</v>
      </c>
      <c r="L836" s="4">
        <f>IF(OR(INDEX($V$2:$V$1001,MATCH(ROWS($U$2:U836),$U$2:$U$1001,0),1)&gt;=100000,INDEX($AB$1005:$AQ$1005,1,MATCH(COLUMNS($AB$1006:AL1006),$AB$1006:$AQ$1006,0))&gt;=100000), " ",IF(INDEX($AB$2:$AQ$1001,MATCH(ROWS($U$2:U836),$U$2:$U$1001,0),MATCH(COLUMNS($AB$1006:AL1006),$AB$1006:$AQ$1006,0)), HYPERLINK("#",""), HYPERLINK(CONCATENATE("#metadata!", ADDRESS(INDEX($W$2:$W$1001,MATCH(ROWS($U$2:U836),$U$2:$U$1001,0),0), INDEX($AB$1004:$AQ$1004,1,MATCH(COLUMNS($AB$1006:AL1006),$AB$1006:$AQ$1006,0)))),"Fix")))</f>
        <v>0</v>
      </c>
      <c r="M836" s="4">
        <f>IF(OR(INDEX($V$2:$V$1001,MATCH(ROWS($U$2:U836),$U$2:$U$1001,0),1)&gt;=100000,INDEX($AB$1005:$AQ$1005,1,MATCH(COLUMNS($AB$1006:AM1006),$AB$1006:$AQ$1006,0))&gt;=100000), " ",IF(INDEX($AB$2:$AQ$1001,MATCH(ROWS($U$2:U836),$U$2:$U$1001,0),MATCH(COLUMNS($AB$1006:AM1006),$AB$1006:$AQ$1006,0)), HYPERLINK("#",""), HYPERLINK(CONCATENATE("#metadata!", ADDRESS(INDEX($W$2:$W$1001,MATCH(ROWS($U$2:U836),$U$2:$U$1001,0),0), INDEX($AB$1004:$AQ$1004,1,MATCH(COLUMNS($AB$1006:AM1006),$AB$1006:$AQ$1006,0)))),"Fix")))</f>
        <v>0</v>
      </c>
      <c r="N836" s="4">
        <f>IF(OR(INDEX($V$2:$V$1001,MATCH(ROWS($U$2:U836),$U$2:$U$1001,0),1)&gt;=100000,INDEX($AB$1005:$AQ$1005,1,MATCH(COLUMNS($AB$1006:AN1006),$AB$1006:$AQ$1006,0))&gt;=100000), " ",IF(INDEX($AB$2:$AQ$1001,MATCH(ROWS($U$2:U836),$U$2:$U$1001,0),MATCH(COLUMNS($AB$1006:AN1006),$AB$1006:$AQ$1006,0)), HYPERLINK("#",""), HYPERLINK(CONCATENATE("#metadata!", ADDRESS(INDEX($W$2:$W$1001,MATCH(ROWS($U$2:U836),$U$2:$U$1001,0),0), INDEX($AB$1004:$AQ$1004,1,MATCH(COLUMNS($AB$1006:AN1006),$AB$1006:$AQ$1006,0)))),"Fix")))</f>
        <v>0</v>
      </c>
      <c r="O836" s="4">
        <f>IF(OR(INDEX($V$2:$V$1001,MATCH(ROWS($U$2:U836),$U$2:$U$1001,0),1)&gt;=100000,INDEX($AB$1005:$AQ$1005,1,MATCH(COLUMNS($AB$1006:AO1006),$AB$1006:$AQ$1006,0))&gt;=100000), " ",IF(INDEX($AB$2:$AQ$1001,MATCH(ROWS($U$2:U836),$U$2:$U$1001,0),MATCH(COLUMNS($AB$1006:AO1006),$AB$1006:$AQ$1006,0)), HYPERLINK("#",""), HYPERLINK(CONCATENATE("#metadata!", ADDRESS(INDEX($W$2:$W$1001,MATCH(ROWS($U$2:U836),$U$2:$U$1001,0),0), INDEX($AB$1004:$AQ$1004,1,MATCH(COLUMNS($AB$1006:AO1006),$AB$1006:$AQ$1006,0)))),"Fix")))</f>
        <v>0</v>
      </c>
      <c r="P836" s="4">
        <f>IF(OR(INDEX($V$2:$V$1001,MATCH(ROWS($U$2:U836),$U$2:$U$1001,0),1)&gt;=100000,INDEX($AB$1005:$AQ$1005,1,MATCH(COLUMNS($AB$1006:AP1006),$AB$1006:$AQ$1006,0))&gt;=100000), " ",IF(INDEX($AB$2:$AQ$1001,MATCH(ROWS($U$2:U836),$U$2:$U$1001,0),MATCH(COLUMNS($AB$1006:AP1006),$AB$1006:$AQ$1006,0)), HYPERLINK("#",""), HYPERLINK(CONCATENATE("#metadata!", ADDRESS(INDEX($W$2:$W$1001,MATCH(ROWS($U$2:U836),$U$2:$U$1001,0),0), INDEX($AB$1004:$AQ$1004,1,MATCH(COLUMNS($AB$1006:AP1006),$AB$1006:$AQ$1006,0)))),"Fix")))</f>
        <v>0</v>
      </c>
      <c r="Q836" s="4">
        <f>IF(OR(INDEX($V$2:$V$1001,MATCH(ROWS($U$2:U836),$U$2:$U$1001,0),1)&gt;=100000,INDEX($AB$1005:$AQ$1005,1,MATCH(COLUMNS($AB$1006:AQ1006),$AB$1006:$AQ$1006,0))&gt;=100000), " ",IF(INDEX($AB$2:$AQ$1001,MATCH(ROWS($U$2:U836),$U$2:$U$1001,0),MATCH(COLUMNS($AB$1006:AQ1006),$AB$1006:$AQ$1006,0)), HYPERLINK("#",""), HYPERLINK(CONCATENATE("#metadata!", ADDRESS(INDEX($W$2:$W$1001,MATCH(ROWS($U$2:U836),$U$2:$U$1001,0),0), INDEX($AB$1004:$AQ$1004,1,MATCH(COLUMNS($AB$1006:AQ1006),$AB$1006:$AQ$1006,0)))),"Fix")))</f>
        <v>0</v>
      </c>
      <c r="U836">
        <v>0</v>
      </c>
      <c r="V836">
        <v>0</v>
      </c>
      <c r="W836">
        <v>0</v>
      </c>
      <c r="X836">
        <f>IF(Y836,TRUE,AND(AB836:AQ836))</f>
        <v>0</v>
      </c>
      <c r="Y836">
        <f>COUNTBLANK(metadata!B836:Q836)=COLUMNS(metadata!B836:Q836)</f>
        <v>0</v>
      </c>
      <c r="Z836">
        <v>0</v>
      </c>
      <c r="AB836">
        <f>AND(IF(metadata!B836="",FALSE,TRUE),COUNTIF(metadata!B:B, metadata!B836) = 1,NOT(ISERROR(SUMPRODUCT(SEARCH(MID(metadata!B836,ROW(INDIRECT("1:"&amp;LEN(metadata!B836))), 1),"0123456789abcdefghijklmnopqrstuvwxyzABCDEFGHIJKLMNOPQRSTUVWXYZ.")))))</f>
        <v>0</v>
      </c>
      <c r="AC836">
        <f>OR(AND(IF(metadata!C836="",FALSE,TRUE),OR(exact(metadata!C836,"missing: not collected"),exact(metadata!C836,"missing: not provided"),exact(metadata!C836,"missing: restricted access"))),AND(IF(metadata!C836="",FALSE,TRUE),AND(AND(IFERROR(INT(LEFT(metadata!C836,4))&gt;1900,FALSE),IFERROR(INT(LEFT(metadata!C836,4))&lt;=YEAR(NOW()),FALSE)), OR(MID(metadata!C836,5,1)="", AND(AND(MID(metadata!C836,5,1)="-",IFERROR(INT(MID(metadata!C836,6,1))&gt;=0,FALSE),IFERROR(INT(MID(metadata!C836,6,1))&lt;=1,FALSE),NOT(MID(metadata!C836,7,1)=""),IFERROR(INT(MID(metadata!C836,6,2))&gt;=1,FALSE),IFERROR(INT(MID(metadata!C836,6,2))&lt;=12,FALSE)), OR(MID(metadata!C836,8,1)="", AND(AND(MID(metadata!C836,8,1)="-",IFERROR(INT(MID(metadata!C836,9,1))&gt;=0,FALSE),IFERROR(INT(MID(metadata!C836,9,1))&lt;=3,FALSE),NOT(MID(metadata!C836,10,1)=""),IFERROR(INT(MID(metadata!C836,9,2))&gt;=1,FALSE),IFERROR(INT(MID(metadata!C836,9,2))&lt;=31,FALSE)), OR(MID(metadata!C836,11,1)="", AND(AND(MID(metadata!C836,11,1)=" ",IFERROR(INT(MID(metadata!C836,12,1))&gt;=0,FALSE),IFERROR(INT(MID(metadata!C836,12,1))&lt;=2,FALSE),NOT(MID(metadata!C836,13,1)=""),IFERROR(INT(MID(metadata!C836,12,2))&gt;=0,FALSE),IFERROR(INT(MID(metadata!C836,12,2))&lt;=23,FALSE)), OR(MID(metadata!C836,14,1)="", AND(AND(MID(metadata!C836,14,1)=":",IFERROR(INT(MID(metadata!C836,15,1))&gt;=0,FALSE),IFERROR(INT(MID(metadata!C836,15,1))&lt;=5,FALSE),NOT(MID(metadata!C836,16,1)=""),IFERROR(INT(MID(metadata!C836,15,2))&gt;=0,FALSE),IFERROR(INT(MID(metadata!C836,15,2))&lt;=59,FALSE)), OR(MID(metadata!C836,17,1)="", AND(AND(MID(metadata!C836,17,1)=":",IFERROR(INT(MID(metadata!C836,18,1))&gt;=0,FALSE),IFERROR(INT(MID(metadata!C836,18,1))&lt;=5,FALSE),NOT(MID(metadata!C836,19,1)=""),IFERROR(INT(MID(metadata!C836,18,2))&gt;=0,FALSE),IFERROR(INT(MID(metadata!C836,18,2))&lt;=59,FALSE)), LEN(metadata!C836)&lt;=19)))))))))))))</f>
        <v>0</v>
      </c>
      <c r="AD836">
        <f>IF(metadata!D836="",FALSE,TRUE)</f>
        <v>0</v>
      </c>
      <c r="AE836">
        <f>OR(AND(IF(metadata!E836="",FALSE,TRUE),OR(exact(metadata!E836,"missing: not collected"),exact(metadata!E836,"missing: not provided"))),AND(IF(metadata!E836="",FALSE,TRUE),OR(exact(metadata!E836,"TRUE"),exact(metadata!E836,"FALSE"))))</f>
        <v>0</v>
      </c>
      <c r="AF836">
        <f>IF(metadata!F836="",FALSE,TRUE)</f>
        <v>0</v>
      </c>
      <c r="AG836">
        <f>IF(metadata!G836="",FALSE,TRUE)</f>
        <v>0</v>
      </c>
      <c r="AH836">
        <f>IF(metadata!H836="",FALSE,TRUE)</f>
        <v>0</v>
      </c>
      <c r="AI836">
        <f>OR(AND(IF(metadata!I836="",FALSE,TRUE),OR(exact(metadata!I836,"missing: not collected"),exact(metadata!I836,"missing: not provided"),exact(metadata!I836,"missing: restricted access"))),AND(IF(metadata!I836="",FALSE,TRUE),OR(exact(metadata!I836,"air"),exact(metadata!I836,"built environment"),exact(metadata!I836,"host-associated"),exact(metadata!I836,"human-associated"),exact(metadata!I836,"human-skin"),exact(metadata!I836,"human-oral"),exact(metadata!I836,"human-gut"),exact(metadata!I836,"human-vaginal"),exact(metadata!I836,"microbial mat/biofilm"),exact(metadata!I836,"misc environment"),exact(metadata!I836,"plant-associated"),exact(metadata!I836,"sediment"),exact(metadata!I836,"soil"),exact(metadata!I836,"wastewater/sludge"),exact(metadata!I836,"water"))))</f>
        <v>0</v>
      </c>
      <c r="AJ836">
        <f>IF(metadata!J836="",FALSE,TRUE)</f>
        <v>0</v>
      </c>
      <c r="AK836">
        <f>OR(AND(IF(metadata!K836="",FALSE,TRUE),OR(exact(metadata!K836,"missing: not collected"),exact(metadata!K836,"missing: not provided"),exact(metadata!K836,"missing: restricted access"))),AND(IF(metadata!K836="",FALSE,ISNUMBER(VALUE(metadata!K836))),metadata!K836&gt;=-90.00,metadata!K836&lt;=90.00))</f>
        <v>0</v>
      </c>
      <c r="AL836">
        <f>OR(AND(IF(metadata!L836="",FALSE,TRUE),OR(exact(metadata!L836,"missing: not collected"),exact(metadata!L836,"missing: not provided"),exact(metadata!L836,"missing: restricted access"))),AND(IF(metadata!L836="",FALSE,ISNUMBER(VALUE(metadata!L836))),metadata!L836&gt;=-180.00,metadata!L836&lt;=180.00))</f>
        <v>0</v>
      </c>
      <c r="AM836">
        <f>IF(metadata!M836="",FALSE,TRUE)</f>
        <v>0</v>
      </c>
      <c r="AN836">
        <f>OR(AND(IF(metadata!N836="",FALSE,TRUE),OR(exact(metadata!N836,"missing: not collected"),exact(metadata!N836,"missing: not provided"),exact(metadata!N836,"missing: restricted access"))),AND(IF(metadata!N836="",FALSE,TRUE),OR(exact(metadata!N836,"TRUE"),exact(metadata!N836,"FALSE"))))</f>
        <v>0</v>
      </c>
      <c r="AO836">
        <f>IF(metadata!O836="",FALSE,TRUE)</f>
        <v>0</v>
      </c>
      <c r="AP836">
        <f>OR(AND(IF(metadata!P836="",FALSE,TRUE),OR(exact(metadata!P836,"missing: not collected"),exact(metadata!P836,"missing: not provided"))),AND(IF(metadata!P836="",FALSE,IF(ISERROR(INT(metadata!P836)),FALSE,INT(metadata!P836)=metadata!P836)),metadata!P836&gt;0))</f>
        <v>0</v>
      </c>
      <c r="AQ836">
        <f>IF(metadata!Q836="",FALSE,TRUE)</f>
        <v>0</v>
      </c>
    </row>
    <row r="837" spans="1:43">
      <c r="A837" s="5">
        <f>IF(B837=" "," ",HYPERLINK(CONCATENATE("#metadata!",ADDRESS(INDEX($W$2:$W$1001,MATCH(ROWS($U$2:U837),$U$2:$U$1001,0),0),1)),INDEX($Z$2:$Z$1001,MATCH(ROWS($U$2:U837),$U$2:$U$1001,0),0)))</f>
        <v>0</v>
      </c>
      <c r="B837" s="4">
        <f>IF(OR(INDEX($V$2:$V$1001,MATCH(ROWS($U$2:U837),$U$2:$U$1001,0),1)&gt;=100000,INDEX($AB$1005:$AQ$1005,1,MATCH(COLUMNS($AB$1006:AB1006),$AB$1006:$AQ$1006,0))&gt;=100000), " ",IF(INDEX($AB$2:$AQ$1001,MATCH(ROWS($U$2:U837),$U$2:$U$1001,0),MATCH(COLUMNS($AB$1006:AB1006),$AB$1006:$AQ$1006,0)), HYPERLINK("#",""), HYPERLINK(CONCATENATE("#metadata!", ADDRESS(INDEX($W$2:$W$1001,MATCH(ROWS($U$2:U837),$U$2:$U$1001,0),0), INDEX($AB$1004:$AQ$1004,1,MATCH(COLUMNS($AB$1006:AB1006),$AB$1006:$AQ$1006,0)))),"Fix")))</f>
        <v>0</v>
      </c>
      <c r="C837" s="4">
        <f>IF(OR(INDEX($V$2:$V$1001,MATCH(ROWS($U$2:U837),$U$2:$U$1001,0),1)&gt;=100000,INDEX($AB$1005:$AQ$1005,1,MATCH(COLUMNS($AB$1006:AC1006),$AB$1006:$AQ$1006,0))&gt;=100000), " ",IF(INDEX($AB$2:$AQ$1001,MATCH(ROWS($U$2:U837),$U$2:$U$1001,0),MATCH(COLUMNS($AB$1006:AC1006),$AB$1006:$AQ$1006,0)), HYPERLINK("#",""), HYPERLINK(CONCATENATE("#metadata!", ADDRESS(INDEX($W$2:$W$1001,MATCH(ROWS($U$2:U837),$U$2:$U$1001,0),0), INDEX($AB$1004:$AQ$1004,1,MATCH(COLUMNS($AB$1006:AC1006),$AB$1006:$AQ$1006,0)))),"Fix")))</f>
        <v>0</v>
      </c>
      <c r="D837" s="4">
        <f>IF(OR(INDEX($V$2:$V$1001,MATCH(ROWS($U$2:U837),$U$2:$U$1001,0),1)&gt;=100000,INDEX($AB$1005:$AQ$1005,1,MATCH(COLUMNS($AB$1006:AD1006),$AB$1006:$AQ$1006,0))&gt;=100000), " ",IF(INDEX($AB$2:$AQ$1001,MATCH(ROWS($U$2:U837),$U$2:$U$1001,0),MATCH(COLUMNS($AB$1006:AD1006),$AB$1006:$AQ$1006,0)), HYPERLINK("#",""), HYPERLINK(CONCATENATE("#metadata!", ADDRESS(INDEX($W$2:$W$1001,MATCH(ROWS($U$2:U837),$U$2:$U$1001,0),0), INDEX($AB$1004:$AQ$1004,1,MATCH(COLUMNS($AB$1006:AD1006),$AB$1006:$AQ$1006,0)))),"Fix")))</f>
        <v>0</v>
      </c>
      <c r="E837" s="4">
        <f>IF(OR(INDEX($V$2:$V$1001,MATCH(ROWS($U$2:U837),$U$2:$U$1001,0),1)&gt;=100000,INDEX($AB$1005:$AQ$1005,1,MATCH(COLUMNS($AB$1006:AE1006),$AB$1006:$AQ$1006,0))&gt;=100000), " ",IF(INDEX($AB$2:$AQ$1001,MATCH(ROWS($U$2:U837),$U$2:$U$1001,0),MATCH(COLUMNS($AB$1006:AE1006),$AB$1006:$AQ$1006,0)), HYPERLINK("#",""), HYPERLINK(CONCATENATE("#metadata!", ADDRESS(INDEX($W$2:$W$1001,MATCH(ROWS($U$2:U837),$U$2:$U$1001,0),0), INDEX($AB$1004:$AQ$1004,1,MATCH(COLUMNS($AB$1006:AE1006),$AB$1006:$AQ$1006,0)))),"Fix")))</f>
        <v>0</v>
      </c>
      <c r="F837" s="4">
        <f>IF(OR(INDEX($V$2:$V$1001,MATCH(ROWS($U$2:U837),$U$2:$U$1001,0),1)&gt;=100000,INDEX($AB$1005:$AQ$1005,1,MATCH(COLUMNS($AB$1006:AF1006),$AB$1006:$AQ$1006,0))&gt;=100000), " ",IF(INDEX($AB$2:$AQ$1001,MATCH(ROWS($U$2:U837),$U$2:$U$1001,0),MATCH(COLUMNS($AB$1006:AF1006),$AB$1006:$AQ$1006,0)), HYPERLINK("#",""), HYPERLINK(CONCATENATE("#metadata!", ADDRESS(INDEX($W$2:$W$1001,MATCH(ROWS($U$2:U837),$U$2:$U$1001,0),0), INDEX($AB$1004:$AQ$1004,1,MATCH(COLUMNS($AB$1006:AF1006),$AB$1006:$AQ$1006,0)))),"Fix")))</f>
        <v>0</v>
      </c>
      <c r="G837" s="4">
        <f>IF(OR(INDEX($V$2:$V$1001,MATCH(ROWS($U$2:U837),$U$2:$U$1001,0),1)&gt;=100000,INDEX($AB$1005:$AQ$1005,1,MATCH(COLUMNS($AB$1006:AG1006),$AB$1006:$AQ$1006,0))&gt;=100000), " ",IF(INDEX($AB$2:$AQ$1001,MATCH(ROWS($U$2:U837),$U$2:$U$1001,0),MATCH(COLUMNS($AB$1006:AG1006),$AB$1006:$AQ$1006,0)), HYPERLINK("#",""), HYPERLINK(CONCATENATE("#metadata!", ADDRESS(INDEX($W$2:$W$1001,MATCH(ROWS($U$2:U837),$U$2:$U$1001,0),0), INDEX($AB$1004:$AQ$1004,1,MATCH(COLUMNS($AB$1006:AG1006),$AB$1006:$AQ$1006,0)))),"Fix")))</f>
        <v>0</v>
      </c>
      <c r="H837" s="4">
        <f>IF(OR(INDEX($V$2:$V$1001,MATCH(ROWS($U$2:U837),$U$2:$U$1001,0),1)&gt;=100000,INDEX($AB$1005:$AQ$1005,1,MATCH(COLUMNS($AB$1006:AH1006),$AB$1006:$AQ$1006,0))&gt;=100000), " ",IF(INDEX($AB$2:$AQ$1001,MATCH(ROWS($U$2:U837),$U$2:$U$1001,0),MATCH(COLUMNS($AB$1006:AH1006),$AB$1006:$AQ$1006,0)), HYPERLINK("#",""), HYPERLINK(CONCATENATE("#metadata!", ADDRESS(INDEX($W$2:$W$1001,MATCH(ROWS($U$2:U837),$U$2:$U$1001,0),0), INDEX($AB$1004:$AQ$1004,1,MATCH(COLUMNS($AB$1006:AH1006),$AB$1006:$AQ$1006,0)))),"Fix")))</f>
        <v>0</v>
      </c>
      <c r="I837" s="4">
        <f>IF(OR(INDEX($V$2:$V$1001,MATCH(ROWS($U$2:U837),$U$2:$U$1001,0),1)&gt;=100000,INDEX($AB$1005:$AQ$1005,1,MATCH(COLUMNS($AB$1006:AI1006),$AB$1006:$AQ$1006,0))&gt;=100000), " ",IF(INDEX($AB$2:$AQ$1001,MATCH(ROWS($U$2:U837),$U$2:$U$1001,0),MATCH(COLUMNS($AB$1006:AI1006),$AB$1006:$AQ$1006,0)), HYPERLINK("#",""), HYPERLINK(CONCATENATE("#metadata!", ADDRESS(INDEX($W$2:$W$1001,MATCH(ROWS($U$2:U837),$U$2:$U$1001,0),0), INDEX($AB$1004:$AQ$1004,1,MATCH(COLUMNS($AB$1006:AI1006),$AB$1006:$AQ$1006,0)))),"Fix")))</f>
        <v>0</v>
      </c>
      <c r="J837" s="4">
        <f>IF(OR(INDEX($V$2:$V$1001,MATCH(ROWS($U$2:U837),$U$2:$U$1001,0),1)&gt;=100000,INDEX($AB$1005:$AQ$1005,1,MATCH(COLUMNS($AB$1006:AJ1006),$AB$1006:$AQ$1006,0))&gt;=100000), " ",IF(INDEX($AB$2:$AQ$1001,MATCH(ROWS($U$2:U837),$U$2:$U$1001,0),MATCH(COLUMNS($AB$1006:AJ1006),$AB$1006:$AQ$1006,0)), HYPERLINK("#",""), HYPERLINK(CONCATENATE("#metadata!", ADDRESS(INDEX($W$2:$W$1001,MATCH(ROWS($U$2:U837),$U$2:$U$1001,0),0), INDEX($AB$1004:$AQ$1004,1,MATCH(COLUMNS($AB$1006:AJ1006),$AB$1006:$AQ$1006,0)))),"Fix")))</f>
        <v>0</v>
      </c>
      <c r="K837" s="4">
        <f>IF(OR(INDEX($V$2:$V$1001,MATCH(ROWS($U$2:U837),$U$2:$U$1001,0),1)&gt;=100000,INDEX($AB$1005:$AQ$1005,1,MATCH(COLUMNS($AB$1006:AK1006),$AB$1006:$AQ$1006,0))&gt;=100000), " ",IF(INDEX($AB$2:$AQ$1001,MATCH(ROWS($U$2:U837),$U$2:$U$1001,0),MATCH(COLUMNS($AB$1006:AK1006),$AB$1006:$AQ$1006,0)), HYPERLINK("#",""), HYPERLINK(CONCATENATE("#metadata!", ADDRESS(INDEX($W$2:$W$1001,MATCH(ROWS($U$2:U837),$U$2:$U$1001,0),0), INDEX($AB$1004:$AQ$1004,1,MATCH(COLUMNS($AB$1006:AK1006),$AB$1006:$AQ$1006,0)))),"Fix")))</f>
        <v>0</v>
      </c>
      <c r="L837" s="4">
        <f>IF(OR(INDEX($V$2:$V$1001,MATCH(ROWS($U$2:U837),$U$2:$U$1001,0),1)&gt;=100000,INDEX($AB$1005:$AQ$1005,1,MATCH(COLUMNS($AB$1006:AL1006),$AB$1006:$AQ$1006,0))&gt;=100000), " ",IF(INDEX($AB$2:$AQ$1001,MATCH(ROWS($U$2:U837),$U$2:$U$1001,0),MATCH(COLUMNS($AB$1006:AL1006),$AB$1006:$AQ$1006,0)), HYPERLINK("#",""), HYPERLINK(CONCATENATE("#metadata!", ADDRESS(INDEX($W$2:$W$1001,MATCH(ROWS($U$2:U837),$U$2:$U$1001,0),0), INDEX($AB$1004:$AQ$1004,1,MATCH(COLUMNS($AB$1006:AL1006),$AB$1006:$AQ$1006,0)))),"Fix")))</f>
        <v>0</v>
      </c>
      <c r="M837" s="4">
        <f>IF(OR(INDEX($V$2:$V$1001,MATCH(ROWS($U$2:U837),$U$2:$U$1001,0),1)&gt;=100000,INDEX($AB$1005:$AQ$1005,1,MATCH(COLUMNS($AB$1006:AM1006),$AB$1006:$AQ$1006,0))&gt;=100000), " ",IF(INDEX($AB$2:$AQ$1001,MATCH(ROWS($U$2:U837),$U$2:$U$1001,0),MATCH(COLUMNS($AB$1006:AM1006),$AB$1006:$AQ$1006,0)), HYPERLINK("#",""), HYPERLINK(CONCATENATE("#metadata!", ADDRESS(INDEX($W$2:$W$1001,MATCH(ROWS($U$2:U837),$U$2:$U$1001,0),0), INDEX($AB$1004:$AQ$1004,1,MATCH(COLUMNS($AB$1006:AM1006),$AB$1006:$AQ$1006,0)))),"Fix")))</f>
        <v>0</v>
      </c>
      <c r="N837" s="4">
        <f>IF(OR(INDEX($V$2:$V$1001,MATCH(ROWS($U$2:U837),$U$2:$U$1001,0),1)&gt;=100000,INDEX($AB$1005:$AQ$1005,1,MATCH(COLUMNS($AB$1006:AN1006),$AB$1006:$AQ$1006,0))&gt;=100000), " ",IF(INDEX($AB$2:$AQ$1001,MATCH(ROWS($U$2:U837),$U$2:$U$1001,0),MATCH(COLUMNS($AB$1006:AN1006),$AB$1006:$AQ$1006,0)), HYPERLINK("#",""), HYPERLINK(CONCATENATE("#metadata!", ADDRESS(INDEX($W$2:$W$1001,MATCH(ROWS($U$2:U837),$U$2:$U$1001,0),0), INDEX($AB$1004:$AQ$1004,1,MATCH(COLUMNS($AB$1006:AN1006),$AB$1006:$AQ$1006,0)))),"Fix")))</f>
        <v>0</v>
      </c>
      <c r="O837" s="4">
        <f>IF(OR(INDEX($V$2:$V$1001,MATCH(ROWS($U$2:U837),$U$2:$U$1001,0),1)&gt;=100000,INDEX($AB$1005:$AQ$1005,1,MATCH(COLUMNS($AB$1006:AO1006),$AB$1006:$AQ$1006,0))&gt;=100000), " ",IF(INDEX($AB$2:$AQ$1001,MATCH(ROWS($U$2:U837),$U$2:$U$1001,0),MATCH(COLUMNS($AB$1006:AO1006),$AB$1006:$AQ$1006,0)), HYPERLINK("#",""), HYPERLINK(CONCATENATE("#metadata!", ADDRESS(INDEX($W$2:$W$1001,MATCH(ROWS($U$2:U837),$U$2:$U$1001,0),0), INDEX($AB$1004:$AQ$1004,1,MATCH(COLUMNS($AB$1006:AO1006),$AB$1006:$AQ$1006,0)))),"Fix")))</f>
        <v>0</v>
      </c>
      <c r="P837" s="4">
        <f>IF(OR(INDEX($V$2:$V$1001,MATCH(ROWS($U$2:U837),$U$2:$U$1001,0),1)&gt;=100000,INDEX($AB$1005:$AQ$1005,1,MATCH(COLUMNS($AB$1006:AP1006),$AB$1006:$AQ$1006,0))&gt;=100000), " ",IF(INDEX($AB$2:$AQ$1001,MATCH(ROWS($U$2:U837),$U$2:$U$1001,0),MATCH(COLUMNS($AB$1006:AP1006),$AB$1006:$AQ$1006,0)), HYPERLINK("#",""), HYPERLINK(CONCATENATE("#metadata!", ADDRESS(INDEX($W$2:$W$1001,MATCH(ROWS($U$2:U837),$U$2:$U$1001,0),0), INDEX($AB$1004:$AQ$1004,1,MATCH(COLUMNS($AB$1006:AP1006),$AB$1006:$AQ$1006,0)))),"Fix")))</f>
        <v>0</v>
      </c>
      <c r="Q837" s="4">
        <f>IF(OR(INDEX($V$2:$V$1001,MATCH(ROWS($U$2:U837),$U$2:$U$1001,0),1)&gt;=100000,INDEX($AB$1005:$AQ$1005,1,MATCH(COLUMNS($AB$1006:AQ1006),$AB$1006:$AQ$1006,0))&gt;=100000), " ",IF(INDEX($AB$2:$AQ$1001,MATCH(ROWS($U$2:U837),$U$2:$U$1001,0),MATCH(COLUMNS($AB$1006:AQ1006),$AB$1006:$AQ$1006,0)), HYPERLINK("#",""), HYPERLINK(CONCATENATE("#metadata!", ADDRESS(INDEX($W$2:$W$1001,MATCH(ROWS($U$2:U837),$U$2:$U$1001,0),0), INDEX($AB$1004:$AQ$1004,1,MATCH(COLUMNS($AB$1006:AQ1006),$AB$1006:$AQ$1006,0)))),"Fix")))</f>
        <v>0</v>
      </c>
      <c r="U837">
        <v>0</v>
      </c>
      <c r="V837">
        <v>0</v>
      </c>
      <c r="W837">
        <v>0</v>
      </c>
      <c r="X837">
        <f>IF(Y837,TRUE,AND(AB837:AQ837))</f>
        <v>0</v>
      </c>
      <c r="Y837">
        <f>COUNTBLANK(metadata!B837:Q837)=COLUMNS(metadata!B837:Q837)</f>
        <v>0</v>
      </c>
      <c r="Z837">
        <v>0</v>
      </c>
      <c r="AB837">
        <f>AND(IF(metadata!B837="",FALSE,TRUE),COUNTIF(metadata!B:B, metadata!B837) = 1,NOT(ISERROR(SUMPRODUCT(SEARCH(MID(metadata!B837,ROW(INDIRECT("1:"&amp;LEN(metadata!B837))), 1),"0123456789abcdefghijklmnopqrstuvwxyzABCDEFGHIJKLMNOPQRSTUVWXYZ.")))))</f>
        <v>0</v>
      </c>
      <c r="AC837">
        <f>OR(AND(IF(metadata!C837="",FALSE,TRUE),OR(exact(metadata!C837,"missing: not collected"),exact(metadata!C837,"missing: not provided"),exact(metadata!C837,"missing: restricted access"))),AND(IF(metadata!C837="",FALSE,TRUE),AND(AND(IFERROR(INT(LEFT(metadata!C837,4))&gt;1900,FALSE),IFERROR(INT(LEFT(metadata!C837,4))&lt;=YEAR(NOW()),FALSE)), OR(MID(metadata!C837,5,1)="", AND(AND(MID(metadata!C837,5,1)="-",IFERROR(INT(MID(metadata!C837,6,1))&gt;=0,FALSE),IFERROR(INT(MID(metadata!C837,6,1))&lt;=1,FALSE),NOT(MID(metadata!C837,7,1)=""),IFERROR(INT(MID(metadata!C837,6,2))&gt;=1,FALSE),IFERROR(INT(MID(metadata!C837,6,2))&lt;=12,FALSE)), OR(MID(metadata!C837,8,1)="", AND(AND(MID(metadata!C837,8,1)="-",IFERROR(INT(MID(metadata!C837,9,1))&gt;=0,FALSE),IFERROR(INT(MID(metadata!C837,9,1))&lt;=3,FALSE),NOT(MID(metadata!C837,10,1)=""),IFERROR(INT(MID(metadata!C837,9,2))&gt;=1,FALSE),IFERROR(INT(MID(metadata!C837,9,2))&lt;=31,FALSE)), OR(MID(metadata!C837,11,1)="", AND(AND(MID(metadata!C837,11,1)=" ",IFERROR(INT(MID(metadata!C837,12,1))&gt;=0,FALSE),IFERROR(INT(MID(metadata!C837,12,1))&lt;=2,FALSE),NOT(MID(metadata!C837,13,1)=""),IFERROR(INT(MID(metadata!C837,12,2))&gt;=0,FALSE),IFERROR(INT(MID(metadata!C837,12,2))&lt;=23,FALSE)), OR(MID(metadata!C837,14,1)="", AND(AND(MID(metadata!C837,14,1)=":",IFERROR(INT(MID(metadata!C837,15,1))&gt;=0,FALSE),IFERROR(INT(MID(metadata!C837,15,1))&lt;=5,FALSE),NOT(MID(metadata!C837,16,1)=""),IFERROR(INT(MID(metadata!C837,15,2))&gt;=0,FALSE),IFERROR(INT(MID(metadata!C837,15,2))&lt;=59,FALSE)), OR(MID(metadata!C837,17,1)="", AND(AND(MID(metadata!C837,17,1)=":",IFERROR(INT(MID(metadata!C837,18,1))&gt;=0,FALSE),IFERROR(INT(MID(metadata!C837,18,1))&lt;=5,FALSE),NOT(MID(metadata!C837,19,1)=""),IFERROR(INT(MID(metadata!C837,18,2))&gt;=0,FALSE),IFERROR(INT(MID(metadata!C837,18,2))&lt;=59,FALSE)), LEN(metadata!C837)&lt;=19)))))))))))))</f>
        <v>0</v>
      </c>
      <c r="AD837">
        <f>IF(metadata!D837="",FALSE,TRUE)</f>
        <v>0</v>
      </c>
      <c r="AE837">
        <f>OR(AND(IF(metadata!E837="",FALSE,TRUE),OR(exact(metadata!E837,"missing: not collected"),exact(metadata!E837,"missing: not provided"))),AND(IF(metadata!E837="",FALSE,TRUE),OR(exact(metadata!E837,"TRUE"),exact(metadata!E837,"FALSE"))))</f>
        <v>0</v>
      </c>
      <c r="AF837">
        <f>IF(metadata!F837="",FALSE,TRUE)</f>
        <v>0</v>
      </c>
      <c r="AG837">
        <f>IF(metadata!G837="",FALSE,TRUE)</f>
        <v>0</v>
      </c>
      <c r="AH837">
        <f>IF(metadata!H837="",FALSE,TRUE)</f>
        <v>0</v>
      </c>
      <c r="AI837">
        <f>OR(AND(IF(metadata!I837="",FALSE,TRUE),OR(exact(metadata!I837,"missing: not collected"),exact(metadata!I837,"missing: not provided"),exact(metadata!I837,"missing: restricted access"))),AND(IF(metadata!I837="",FALSE,TRUE),OR(exact(metadata!I837,"air"),exact(metadata!I837,"built environment"),exact(metadata!I837,"host-associated"),exact(metadata!I837,"human-associated"),exact(metadata!I837,"human-skin"),exact(metadata!I837,"human-oral"),exact(metadata!I837,"human-gut"),exact(metadata!I837,"human-vaginal"),exact(metadata!I837,"microbial mat/biofilm"),exact(metadata!I837,"misc environment"),exact(metadata!I837,"plant-associated"),exact(metadata!I837,"sediment"),exact(metadata!I837,"soil"),exact(metadata!I837,"wastewater/sludge"),exact(metadata!I837,"water"))))</f>
        <v>0</v>
      </c>
      <c r="AJ837">
        <f>IF(metadata!J837="",FALSE,TRUE)</f>
        <v>0</v>
      </c>
      <c r="AK837">
        <f>OR(AND(IF(metadata!K837="",FALSE,TRUE),OR(exact(metadata!K837,"missing: not collected"),exact(metadata!K837,"missing: not provided"),exact(metadata!K837,"missing: restricted access"))),AND(IF(metadata!K837="",FALSE,ISNUMBER(VALUE(metadata!K837))),metadata!K837&gt;=-90.00,metadata!K837&lt;=90.00))</f>
        <v>0</v>
      </c>
      <c r="AL837">
        <f>OR(AND(IF(metadata!L837="",FALSE,TRUE),OR(exact(metadata!L837,"missing: not collected"),exact(metadata!L837,"missing: not provided"),exact(metadata!L837,"missing: restricted access"))),AND(IF(metadata!L837="",FALSE,ISNUMBER(VALUE(metadata!L837))),metadata!L837&gt;=-180.00,metadata!L837&lt;=180.00))</f>
        <v>0</v>
      </c>
      <c r="AM837">
        <f>IF(metadata!M837="",FALSE,TRUE)</f>
        <v>0</v>
      </c>
      <c r="AN837">
        <f>OR(AND(IF(metadata!N837="",FALSE,TRUE),OR(exact(metadata!N837,"missing: not collected"),exact(metadata!N837,"missing: not provided"),exact(metadata!N837,"missing: restricted access"))),AND(IF(metadata!N837="",FALSE,TRUE),OR(exact(metadata!N837,"TRUE"),exact(metadata!N837,"FALSE"))))</f>
        <v>0</v>
      </c>
      <c r="AO837">
        <f>IF(metadata!O837="",FALSE,TRUE)</f>
        <v>0</v>
      </c>
      <c r="AP837">
        <f>OR(AND(IF(metadata!P837="",FALSE,TRUE),OR(exact(metadata!P837,"missing: not collected"),exact(metadata!P837,"missing: not provided"))),AND(IF(metadata!P837="",FALSE,IF(ISERROR(INT(metadata!P837)),FALSE,INT(metadata!P837)=metadata!P837)),metadata!P837&gt;0))</f>
        <v>0</v>
      </c>
      <c r="AQ837">
        <f>IF(metadata!Q837="",FALSE,TRUE)</f>
        <v>0</v>
      </c>
    </row>
    <row r="838" spans="1:43">
      <c r="A838" s="5">
        <f>IF(B838=" "," ",HYPERLINK(CONCATENATE("#metadata!",ADDRESS(INDEX($W$2:$W$1001,MATCH(ROWS($U$2:U838),$U$2:$U$1001,0),0),1)),INDEX($Z$2:$Z$1001,MATCH(ROWS($U$2:U838),$U$2:$U$1001,0),0)))</f>
        <v>0</v>
      </c>
      <c r="B838" s="4">
        <f>IF(OR(INDEX($V$2:$V$1001,MATCH(ROWS($U$2:U838),$U$2:$U$1001,0),1)&gt;=100000,INDEX($AB$1005:$AQ$1005,1,MATCH(COLUMNS($AB$1006:AB1006),$AB$1006:$AQ$1006,0))&gt;=100000), " ",IF(INDEX($AB$2:$AQ$1001,MATCH(ROWS($U$2:U838),$U$2:$U$1001,0),MATCH(COLUMNS($AB$1006:AB1006),$AB$1006:$AQ$1006,0)), HYPERLINK("#",""), HYPERLINK(CONCATENATE("#metadata!", ADDRESS(INDEX($W$2:$W$1001,MATCH(ROWS($U$2:U838),$U$2:$U$1001,0),0), INDEX($AB$1004:$AQ$1004,1,MATCH(COLUMNS($AB$1006:AB1006),$AB$1006:$AQ$1006,0)))),"Fix")))</f>
        <v>0</v>
      </c>
      <c r="C838" s="4">
        <f>IF(OR(INDEX($V$2:$V$1001,MATCH(ROWS($U$2:U838),$U$2:$U$1001,0),1)&gt;=100000,INDEX($AB$1005:$AQ$1005,1,MATCH(COLUMNS($AB$1006:AC1006),$AB$1006:$AQ$1006,0))&gt;=100000), " ",IF(INDEX($AB$2:$AQ$1001,MATCH(ROWS($U$2:U838),$U$2:$U$1001,0),MATCH(COLUMNS($AB$1006:AC1006),$AB$1006:$AQ$1006,0)), HYPERLINK("#",""), HYPERLINK(CONCATENATE("#metadata!", ADDRESS(INDEX($W$2:$W$1001,MATCH(ROWS($U$2:U838),$U$2:$U$1001,0),0), INDEX($AB$1004:$AQ$1004,1,MATCH(COLUMNS($AB$1006:AC1006),$AB$1006:$AQ$1006,0)))),"Fix")))</f>
        <v>0</v>
      </c>
      <c r="D838" s="4">
        <f>IF(OR(INDEX($V$2:$V$1001,MATCH(ROWS($U$2:U838),$U$2:$U$1001,0),1)&gt;=100000,INDEX($AB$1005:$AQ$1005,1,MATCH(COLUMNS($AB$1006:AD1006),$AB$1006:$AQ$1006,0))&gt;=100000), " ",IF(INDEX($AB$2:$AQ$1001,MATCH(ROWS($U$2:U838),$U$2:$U$1001,0),MATCH(COLUMNS($AB$1006:AD1006),$AB$1006:$AQ$1006,0)), HYPERLINK("#",""), HYPERLINK(CONCATENATE("#metadata!", ADDRESS(INDEX($W$2:$W$1001,MATCH(ROWS($U$2:U838),$U$2:$U$1001,0),0), INDEX($AB$1004:$AQ$1004,1,MATCH(COLUMNS($AB$1006:AD1006),$AB$1006:$AQ$1006,0)))),"Fix")))</f>
        <v>0</v>
      </c>
      <c r="E838" s="4">
        <f>IF(OR(INDEX($V$2:$V$1001,MATCH(ROWS($U$2:U838),$U$2:$U$1001,0),1)&gt;=100000,INDEX($AB$1005:$AQ$1005,1,MATCH(COLUMNS($AB$1006:AE1006),$AB$1006:$AQ$1006,0))&gt;=100000), " ",IF(INDEX($AB$2:$AQ$1001,MATCH(ROWS($U$2:U838),$U$2:$U$1001,0),MATCH(COLUMNS($AB$1006:AE1006),$AB$1006:$AQ$1006,0)), HYPERLINK("#",""), HYPERLINK(CONCATENATE("#metadata!", ADDRESS(INDEX($W$2:$W$1001,MATCH(ROWS($U$2:U838),$U$2:$U$1001,0),0), INDEX($AB$1004:$AQ$1004,1,MATCH(COLUMNS($AB$1006:AE1006),$AB$1006:$AQ$1006,0)))),"Fix")))</f>
        <v>0</v>
      </c>
      <c r="F838" s="4">
        <f>IF(OR(INDEX($V$2:$V$1001,MATCH(ROWS($U$2:U838),$U$2:$U$1001,0),1)&gt;=100000,INDEX($AB$1005:$AQ$1005,1,MATCH(COLUMNS($AB$1006:AF1006),$AB$1006:$AQ$1006,0))&gt;=100000), " ",IF(INDEX($AB$2:$AQ$1001,MATCH(ROWS($U$2:U838),$U$2:$U$1001,0),MATCH(COLUMNS($AB$1006:AF1006),$AB$1006:$AQ$1006,0)), HYPERLINK("#",""), HYPERLINK(CONCATENATE("#metadata!", ADDRESS(INDEX($W$2:$W$1001,MATCH(ROWS($U$2:U838),$U$2:$U$1001,0),0), INDEX($AB$1004:$AQ$1004,1,MATCH(COLUMNS($AB$1006:AF1006),$AB$1006:$AQ$1006,0)))),"Fix")))</f>
        <v>0</v>
      </c>
      <c r="G838" s="4">
        <f>IF(OR(INDEX($V$2:$V$1001,MATCH(ROWS($U$2:U838),$U$2:$U$1001,0),1)&gt;=100000,INDEX($AB$1005:$AQ$1005,1,MATCH(COLUMNS($AB$1006:AG1006),$AB$1006:$AQ$1006,0))&gt;=100000), " ",IF(INDEX($AB$2:$AQ$1001,MATCH(ROWS($U$2:U838),$U$2:$U$1001,0),MATCH(COLUMNS($AB$1006:AG1006),$AB$1006:$AQ$1006,0)), HYPERLINK("#",""), HYPERLINK(CONCATENATE("#metadata!", ADDRESS(INDEX($W$2:$W$1001,MATCH(ROWS($U$2:U838),$U$2:$U$1001,0),0), INDEX($AB$1004:$AQ$1004,1,MATCH(COLUMNS($AB$1006:AG1006),$AB$1006:$AQ$1006,0)))),"Fix")))</f>
        <v>0</v>
      </c>
      <c r="H838" s="4">
        <f>IF(OR(INDEX($V$2:$V$1001,MATCH(ROWS($U$2:U838),$U$2:$U$1001,0),1)&gt;=100000,INDEX($AB$1005:$AQ$1005,1,MATCH(COLUMNS($AB$1006:AH1006),$AB$1006:$AQ$1006,0))&gt;=100000), " ",IF(INDEX($AB$2:$AQ$1001,MATCH(ROWS($U$2:U838),$U$2:$U$1001,0),MATCH(COLUMNS($AB$1006:AH1006),$AB$1006:$AQ$1006,0)), HYPERLINK("#",""), HYPERLINK(CONCATENATE("#metadata!", ADDRESS(INDEX($W$2:$W$1001,MATCH(ROWS($U$2:U838),$U$2:$U$1001,0),0), INDEX($AB$1004:$AQ$1004,1,MATCH(COLUMNS($AB$1006:AH1006),$AB$1006:$AQ$1006,0)))),"Fix")))</f>
        <v>0</v>
      </c>
      <c r="I838" s="4">
        <f>IF(OR(INDEX($V$2:$V$1001,MATCH(ROWS($U$2:U838),$U$2:$U$1001,0),1)&gt;=100000,INDEX($AB$1005:$AQ$1005,1,MATCH(COLUMNS($AB$1006:AI1006),$AB$1006:$AQ$1006,0))&gt;=100000), " ",IF(INDEX($AB$2:$AQ$1001,MATCH(ROWS($U$2:U838),$U$2:$U$1001,0),MATCH(COLUMNS($AB$1006:AI1006),$AB$1006:$AQ$1006,0)), HYPERLINK("#",""), HYPERLINK(CONCATENATE("#metadata!", ADDRESS(INDEX($W$2:$W$1001,MATCH(ROWS($U$2:U838),$U$2:$U$1001,0),0), INDEX($AB$1004:$AQ$1004,1,MATCH(COLUMNS($AB$1006:AI1006),$AB$1006:$AQ$1006,0)))),"Fix")))</f>
        <v>0</v>
      </c>
      <c r="J838" s="4">
        <f>IF(OR(INDEX($V$2:$V$1001,MATCH(ROWS($U$2:U838),$U$2:$U$1001,0),1)&gt;=100000,INDEX($AB$1005:$AQ$1005,1,MATCH(COLUMNS($AB$1006:AJ1006),$AB$1006:$AQ$1006,0))&gt;=100000), " ",IF(INDEX($AB$2:$AQ$1001,MATCH(ROWS($U$2:U838),$U$2:$U$1001,0),MATCH(COLUMNS($AB$1006:AJ1006),$AB$1006:$AQ$1006,0)), HYPERLINK("#",""), HYPERLINK(CONCATENATE("#metadata!", ADDRESS(INDEX($W$2:$W$1001,MATCH(ROWS($U$2:U838),$U$2:$U$1001,0),0), INDEX($AB$1004:$AQ$1004,1,MATCH(COLUMNS($AB$1006:AJ1006),$AB$1006:$AQ$1006,0)))),"Fix")))</f>
        <v>0</v>
      </c>
      <c r="K838" s="4">
        <f>IF(OR(INDEX($V$2:$V$1001,MATCH(ROWS($U$2:U838),$U$2:$U$1001,0),1)&gt;=100000,INDEX($AB$1005:$AQ$1005,1,MATCH(COLUMNS($AB$1006:AK1006),$AB$1006:$AQ$1006,0))&gt;=100000), " ",IF(INDEX($AB$2:$AQ$1001,MATCH(ROWS($U$2:U838),$U$2:$U$1001,0),MATCH(COLUMNS($AB$1006:AK1006),$AB$1006:$AQ$1006,0)), HYPERLINK("#",""), HYPERLINK(CONCATENATE("#metadata!", ADDRESS(INDEX($W$2:$W$1001,MATCH(ROWS($U$2:U838),$U$2:$U$1001,0),0), INDEX($AB$1004:$AQ$1004,1,MATCH(COLUMNS($AB$1006:AK1006),$AB$1006:$AQ$1006,0)))),"Fix")))</f>
        <v>0</v>
      </c>
      <c r="L838" s="4">
        <f>IF(OR(INDEX($V$2:$V$1001,MATCH(ROWS($U$2:U838),$U$2:$U$1001,0),1)&gt;=100000,INDEX($AB$1005:$AQ$1005,1,MATCH(COLUMNS($AB$1006:AL1006),$AB$1006:$AQ$1006,0))&gt;=100000), " ",IF(INDEX($AB$2:$AQ$1001,MATCH(ROWS($U$2:U838),$U$2:$U$1001,0),MATCH(COLUMNS($AB$1006:AL1006),$AB$1006:$AQ$1006,0)), HYPERLINK("#",""), HYPERLINK(CONCATENATE("#metadata!", ADDRESS(INDEX($W$2:$W$1001,MATCH(ROWS($U$2:U838),$U$2:$U$1001,0),0), INDEX($AB$1004:$AQ$1004,1,MATCH(COLUMNS($AB$1006:AL1006),$AB$1006:$AQ$1006,0)))),"Fix")))</f>
        <v>0</v>
      </c>
      <c r="M838" s="4">
        <f>IF(OR(INDEX($V$2:$V$1001,MATCH(ROWS($U$2:U838),$U$2:$U$1001,0),1)&gt;=100000,INDEX($AB$1005:$AQ$1005,1,MATCH(COLUMNS($AB$1006:AM1006),$AB$1006:$AQ$1006,0))&gt;=100000), " ",IF(INDEX($AB$2:$AQ$1001,MATCH(ROWS($U$2:U838),$U$2:$U$1001,0),MATCH(COLUMNS($AB$1006:AM1006),$AB$1006:$AQ$1006,0)), HYPERLINK("#",""), HYPERLINK(CONCATENATE("#metadata!", ADDRESS(INDEX($W$2:$W$1001,MATCH(ROWS($U$2:U838),$U$2:$U$1001,0),0), INDEX($AB$1004:$AQ$1004,1,MATCH(COLUMNS($AB$1006:AM1006),$AB$1006:$AQ$1006,0)))),"Fix")))</f>
        <v>0</v>
      </c>
      <c r="N838" s="4">
        <f>IF(OR(INDEX($V$2:$V$1001,MATCH(ROWS($U$2:U838),$U$2:$U$1001,0),1)&gt;=100000,INDEX($AB$1005:$AQ$1005,1,MATCH(COLUMNS($AB$1006:AN1006),$AB$1006:$AQ$1006,0))&gt;=100000), " ",IF(INDEX($AB$2:$AQ$1001,MATCH(ROWS($U$2:U838),$U$2:$U$1001,0),MATCH(COLUMNS($AB$1006:AN1006),$AB$1006:$AQ$1006,0)), HYPERLINK("#",""), HYPERLINK(CONCATENATE("#metadata!", ADDRESS(INDEX($W$2:$W$1001,MATCH(ROWS($U$2:U838),$U$2:$U$1001,0),0), INDEX($AB$1004:$AQ$1004,1,MATCH(COLUMNS($AB$1006:AN1006),$AB$1006:$AQ$1006,0)))),"Fix")))</f>
        <v>0</v>
      </c>
      <c r="O838" s="4">
        <f>IF(OR(INDEX($V$2:$V$1001,MATCH(ROWS($U$2:U838),$U$2:$U$1001,0),1)&gt;=100000,INDEX($AB$1005:$AQ$1005,1,MATCH(COLUMNS($AB$1006:AO1006),$AB$1006:$AQ$1006,0))&gt;=100000), " ",IF(INDEX($AB$2:$AQ$1001,MATCH(ROWS($U$2:U838),$U$2:$U$1001,0),MATCH(COLUMNS($AB$1006:AO1006),$AB$1006:$AQ$1006,0)), HYPERLINK("#",""), HYPERLINK(CONCATENATE("#metadata!", ADDRESS(INDEX($W$2:$W$1001,MATCH(ROWS($U$2:U838),$U$2:$U$1001,0),0), INDEX($AB$1004:$AQ$1004,1,MATCH(COLUMNS($AB$1006:AO1006),$AB$1006:$AQ$1006,0)))),"Fix")))</f>
        <v>0</v>
      </c>
      <c r="P838" s="4">
        <f>IF(OR(INDEX($V$2:$V$1001,MATCH(ROWS($U$2:U838),$U$2:$U$1001,0),1)&gt;=100000,INDEX($AB$1005:$AQ$1005,1,MATCH(COLUMNS($AB$1006:AP1006),$AB$1006:$AQ$1006,0))&gt;=100000), " ",IF(INDEX($AB$2:$AQ$1001,MATCH(ROWS($U$2:U838),$U$2:$U$1001,0),MATCH(COLUMNS($AB$1006:AP1006),$AB$1006:$AQ$1006,0)), HYPERLINK("#",""), HYPERLINK(CONCATENATE("#metadata!", ADDRESS(INDEX($W$2:$W$1001,MATCH(ROWS($U$2:U838),$U$2:$U$1001,0),0), INDEX($AB$1004:$AQ$1004,1,MATCH(COLUMNS($AB$1006:AP1006),$AB$1006:$AQ$1006,0)))),"Fix")))</f>
        <v>0</v>
      </c>
      <c r="Q838" s="4">
        <f>IF(OR(INDEX($V$2:$V$1001,MATCH(ROWS($U$2:U838),$U$2:$U$1001,0),1)&gt;=100000,INDEX($AB$1005:$AQ$1005,1,MATCH(COLUMNS($AB$1006:AQ1006),$AB$1006:$AQ$1006,0))&gt;=100000), " ",IF(INDEX($AB$2:$AQ$1001,MATCH(ROWS($U$2:U838),$U$2:$U$1001,0),MATCH(COLUMNS($AB$1006:AQ1006),$AB$1006:$AQ$1006,0)), HYPERLINK("#",""), HYPERLINK(CONCATENATE("#metadata!", ADDRESS(INDEX($W$2:$W$1001,MATCH(ROWS($U$2:U838),$U$2:$U$1001,0),0), INDEX($AB$1004:$AQ$1004,1,MATCH(COLUMNS($AB$1006:AQ1006),$AB$1006:$AQ$1006,0)))),"Fix")))</f>
        <v>0</v>
      </c>
      <c r="U838">
        <v>0</v>
      </c>
      <c r="V838">
        <v>0</v>
      </c>
      <c r="W838">
        <v>0</v>
      </c>
      <c r="X838">
        <f>IF(Y838,TRUE,AND(AB838:AQ838))</f>
        <v>0</v>
      </c>
      <c r="Y838">
        <f>COUNTBLANK(metadata!B838:Q838)=COLUMNS(metadata!B838:Q838)</f>
        <v>0</v>
      </c>
      <c r="Z838">
        <v>0</v>
      </c>
      <c r="AB838">
        <f>AND(IF(metadata!B838="",FALSE,TRUE),COUNTIF(metadata!B:B, metadata!B838) = 1,NOT(ISERROR(SUMPRODUCT(SEARCH(MID(metadata!B838,ROW(INDIRECT("1:"&amp;LEN(metadata!B838))), 1),"0123456789abcdefghijklmnopqrstuvwxyzABCDEFGHIJKLMNOPQRSTUVWXYZ.")))))</f>
        <v>0</v>
      </c>
      <c r="AC838">
        <f>OR(AND(IF(metadata!C838="",FALSE,TRUE),OR(exact(metadata!C838,"missing: not collected"),exact(metadata!C838,"missing: not provided"),exact(metadata!C838,"missing: restricted access"))),AND(IF(metadata!C838="",FALSE,TRUE),AND(AND(IFERROR(INT(LEFT(metadata!C838,4))&gt;1900,FALSE),IFERROR(INT(LEFT(metadata!C838,4))&lt;=YEAR(NOW()),FALSE)), OR(MID(metadata!C838,5,1)="", AND(AND(MID(metadata!C838,5,1)="-",IFERROR(INT(MID(metadata!C838,6,1))&gt;=0,FALSE),IFERROR(INT(MID(metadata!C838,6,1))&lt;=1,FALSE),NOT(MID(metadata!C838,7,1)=""),IFERROR(INT(MID(metadata!C838,6,2))&gt;=1,FALSE),IFERROR(INT(MID(metadata!C838,6,2))&lt;=12,FALSE)), OR(MID(metadata!C838,8,1)="", AND(AND(MID(metadata!C838,8,1)="-",IFERROR(INT(MID(metadata!C838,9,1))&gt;=0,FALSE),IFERROR(INT(MID(metadata!C838,9,1))&lt;=3,FALSE),NOT(MID(metadata!C838,10,1)=""),IFERROR(INT(MID(metadata!C838,9,2))&gt;=1,FALSE),IFERROR(INT(MID(metadata!C838,9,2))&lt;=31,FALSE)), OR(MID(metadata!C838,11,1)="", AND(AND(MID(metadata!C838,11,1)=" ",IFERROR(INT(MID(metadata!C838,12,1))&gt;=0,FALSE),IFERROR(INT(MID(metadata!C838,12,1))&lt;=2,FALSE),NOT(MID(metadata!C838,13,1)=""),IFERROR(INT(MID(metadata!C838,12,2))&gt;=0,FALSE),IFERROR(INT(MID(metadata!C838,12,2))&lt;=23,FALSE)), OR(MID(metadata!C838,14,1)="", AND(AND(MID(metadata!C838,14,1)=":",IFERROR(INT(MID(metadata!C838,15,1))&gt;=0,FALSE),IFERROR(INT(MID(metadata!C838,15,1))&lt;=5,FALSE),NOT(MID(metadata!C838,16,1)=""),IFERROR(INT(MID(metadata!C838,15,2))&gt;=0,FALSE),IFERROR(INT(MID(metadata!C838,15,2))&lt;=59,FALSE)), OR(MID(metadata!C838,17,1)="", AND(AND(MID(metadata!C838,17,1)=":",IFERROR(INT(MID(metadata!C838,18,1))&gt;=0,FALSE),IFERROR(INT(MID(metadata!C838,18,1))&lt;=5,FALSE),NOT(MID(metadata!C838,19,1)=""),IFERROR(INT(MID(metadata!C838,18,2))&gt;=0,FALSE),IFERROR(INT(MID(metadata!C838,18,2))&lt;=59,FALSE)), LEN(metadata!C838)&lt;=19)))))))))))))</f>
        <v>0</v>
      </c>
      <c r="AD838">
        <f>IF(metadata!D838="",FALSE,TRUE)</f>
        <v>0</v>
      </c>
      <c r="AE838">
        <f>OR(AND(IF(metadata!E838="",FALSE,TRUE),OR(exact(metadata!E838,"missing: not collected"),exact(metadata!E838,"missing: not provided"))),AND(IF(metadata!E838="",FALSE,TRUE),OR(exact(metadata!E838,"TRUE"),exact(metadata!E838,"FALSE"))))</f>
        <v>0</v>
      </c>
      <c r="AF838">
        <f>IF(metadata!F838="",FALSE,TRUE)</f>
        <v>0</v>
      </c>
      <c r="AG838">
        <f>IF(metadata!G838="",FALSE,TRUE)</f>
        <v>0</v>
      </c>
      <c r="AH838">
        <f>IF(metadata!H838="",FALSE,TRUE)</f>
        <v>0</v>
      </c>
      <c r="AI838">
        <f>OR(AND(IF(metadata!I838="",FALSE,TRUE),OR(exact(metadata!I838,"missing: not collected"),exact(metadata!I838,"missing: not provided"),exact(metadata!I838,"missing: restricted access"))),AND(IF(metadata!I838="",FALSE,TRUE),OR(exact(metadata!I838,"air"),exact(metadata!I838,"built environment"),exact(metadata!I838,"host-associated"),exact(metadata!I838,"human-associated"),exact(metadata!I838,"human-skin"),exact(metadata!I838,"human-oral"),exact(metadata!I838,"human-gut"),exact(metadata!I838,"human-vaginal"),exact(metadata!I838,"microbial mat/biofilm"),exact(metadata!I838,"misc environment"),exact(metadata!I838,"plant-associated"),exact(metadata!I838,"sediment"),exact(metadata!I838,"soil"),exact(metadata!I838,"wastewater/sludge"),exact(metadata!I838,"water"))))</f>
        <v>0</v>
      </c>
      <c r="AJ838">
        <f>IF(metadata!J838="",FALSE,TRUE)</f>
        <v>0</v>
      </c>
      <c r="AK838">
        <f>OR(AND(IF(metadata!K838="",FALSE,TRUE),OR(exact(metadata!K838,"missing: not collected"),exact(metadata!K838,"missing: not provided"),exact(metadata!K838,"missing: restricted access"))),AND(IF(metadata!K838="",FALSE,ISNUMBER(VALUE(metadata!K838))),metadata!K838&gt;=-90.00,metadata!K838&lt;=90.00))</f>
        <v>0</v>
      </c>
      <c r="AL838">
        <f>OR(AND(IF(metadata!L838="",FALSE,TRUE),OR(exact(metadata!L838,"missing: not collected"),exact(metadata!L838,"missing: not provided"),exact(metadata!L838,"missing: restricted access"))),AND(IF(metadata!L838="",FALSE,ISNUMBER(VALUE(metadata!L838))),metadata!L838&gt;=-180.00,metadata!L838&lt;=180.00))</f>
        <v>0</v>
      </c>
      <c r="AM838">
        <f>IF(metadata!M838="",FALSE,TRUE)</f>
        <v>0</v>
      </c>
      <c r="AN838">
        <f>OR(AND(IF(metadata!N838="",FALSE,TRUE),OR(exact(metadata!N838,"missing: not collected"),exact(metadata!N838,"missing: not provided"),exact(metadata!N838,"missing: restricted access"))),AND(IF(metadata!N838="",FALSE,TRUE),OR(exact(metadata!N838,"TRUE"),exact(metadata!N838,"FALSE"))))</f>
        <v>0</v>
      </c>
      <c r="AO838">
        <f>IF(metadata!O838="",FALSE,TRUE)</f>
        <v>0</v>
      </c>
      <c r="AP838">
        <f>OR(AND(IF(metadata!P838="",FALSE,TRUE),OR(exact(metadata!P838,"missing: not collected"),exact(metadata!P838,"missing: not provided"))),AND(IF(metadata!P838="",FALSE,IF(ISERROR(INT(metadata!P838)),FALSE,INT(metadata!P838)=metadata!P838)),metadata!P838&gt;0))</f>
        <v>0</v>
      </c>
      <c r="AQ838">
        <f>IF(metadata!Q838="",FALSE,TRUE)</f>
        <v>0</v>
      </c>
    </row>
    <row r="839" spans="1:43">
      <c r="A839" s="5">
        <f>IF(B839=" "," ",HYPERLINK(CONCATENATE("#metadata!",ADDRESS(INDEX($W$2:$W$1001,MATCH(ROWS($U$2:U839),$U$2:$U$1001,0),0),1)),INDEX($Z$2:$Z$1001,MATCH(ROWS($U$2:U839),$U$2:$U$1001,0),0)))</f>
        <v>0</v>
      </c>
      <c r="B839" s="4">
        <f>IF(OR(INDEX($V$2:$V$1001,MATCH(ROWS($U$2:U839),$U$2:$U$1001,0),1)&gt;=100000,INDEX($AB$1005:$AQ$1005,1,MATCH(COLUMNS($AB$1006:AB1006),$AB$1006:$AQ$1006,0))&gt;=100000), " ",IF(INDEX($AB$2:$AQ$1001,MATCH(ROWS($U$2:U839),$U$2:$U$1001,0),MATCH(COLUMNS($AB$1006:AB1006),$AB$1006:$AQ$1006,0)), HYPERLINK("#",""), HYPERLINK(CONCATENATE("#metadata!", ADDRESS(INDEX($W$2:$W$1001,MATCH(ROWS($U$2:U839),$U$2:$U$1001,0),0), INDEX($AB$1004:$AQ$1004,1,MATCH(COLUMNS($AB$1006:AB1006),$AB$1006:$AQ$1006,0)))),"Fix")))</f>
        <v>0</v>
      </c>
      <c r="C839" s="4">
        <f>IF(OR(INDEX($V$2:$V$1001,MATCH(ROWS($U$2:U839),$U$2:$U$1001,0),1)&gt;=100000,INDEX($AB$1005:$AQ$1005,1,MATCH(COLUMNS($AB$1006:AC1006),$AB$1006:$AQ$1006,0))&gt;=100000), " ",IF(INDEX($AB$2:$AQ$1001,MATCH(ROWS($U$2:U839),$U$2:$U$1001,0),MATCH(COLUMNS($AB$1006:AC1006),$AB$1006:$AQ$1006,0)), HYPERLINK("#",""), HYPERLINK(CONCATENATE("#metadata!", ADDRESS(INDEX($W$2:$W$1001,MATCH(ROWS($U$2:U839),$U$2:$U$1001,0),0), INDEX($AB$1004:$AQ$1004,1,MATCH(COLUMNS($AB$1006:AC1006),$AB$1006:$AQ$1006,0)))),"Fix")))</f>
        <v>0</v>
      </c>
      <c r="D839" s="4">
        <f>IF(OR(INDEX($V$2:$V$1001,MATCH(ROWS($U$2:U839),$U$2:$U$1001,0),1)&gt;=100000,INDEX($AB$1005:$AQ$1005,1,MATCH(COLUMNS($AB$1006:AD1006),$AB$1006:$AQ$1006,0))&gt;=100000), " ",IF(INDEX($AB$2:$AQ$1001,MATCH(ROWS($U$2:U839),$U$2:$U$1001,0),MATCH(COLUMNS($AB$1006:AD1006),$AB$1006:$AQ$1006,0)), HYPERLINK("#",""), HYPERLINK(CONCATENATE("#metadata!", ADDRESS(INDEX($W$2:$W$1001,MATCH(ROWS($U$2:U839),$U$2:$U$1001,0),0), INDEX($AB$1004:$AQ$1004,1,MATCH(COLUMNS($AB$1006:AD1006),$AB$1006:$AQ$1006,0)))),"Fix")))</f>
        <v>0</v>
      </c>
      <c r="E839" s="4">
        <f>IF(OR(INDEX($V$2:$V$1001,MATCH(ROWS($U$2:U839),$U$2:$U$1001,0),1)&gt;=100000,INDEX($AB$1005:$AQ$1005,1,MATCH(COLUMNS($AB$1006:AE1006),$AB$1006:$AQ$1006,0))&gt;=100000), " ",IF(INDEX($AB$2:$AQ$1001,MATCH(ROWS($U$2:U839),$U$2:$U$1001,0),MATCH(COLUMNS($AB$1006:AE1006),$AB$1006:$AQ$1006,0)), HYPERLINK("#",""), HYPERLINK(CONCATENATE("#metadata!", ADDRESS(INDEX($W$2:$W$1001,MATCH(ROWS($U$2:U839),$U$2:$U$1001,0),0), INDEX($AB$1004:$AQ$1004,1,MATCH(COLUMNS($AB$1006:AE1006),$AB$1006:$AQ$1006,0)))),"Fix")))</f>
        <v>0</v>
      </c>
      <c r="F839" s="4">
        <f>IF(OR(INDEX($V$2:$V$1001,MATCH(ROWS($U$2:U839),$U$2:$U$1001,0),1)&gt;=100000,INDEX($AB$1005:$AQ$1005,1,MATCH(COLUMNS($AB$1006:AF1006),$AB$1006:$AQ$1006,0))&gt;=100000), " ",IF(INDEX($AB$2:$AQ$1001,MATCH(ROWS($U$2:U839),$U$2:$U$1001,0),MATCH(COLUMNS($AB$1006:AF1006),$AB$1006:$AQ$1006,0)), HYPERLINK("#",""), HYPERLINK(CONCATENATE("#metadata!", ADDRESS(INDEX($W$2:$W$1001,MATCH(ROWS($U$2:U839),$U$2:$U$1001,0),0), INDEX($AB$1004:$AQ$1004,1,MATCH(COLUMNS($AB$1006:AF1006),$AB$1006:$AQ$1006,0)))),"Fix")))</f>
        <v>0</v>
      </c>
      <c r="G839" s="4">
        <f>IF(OR(INDEX($V$2:$V$1001,MATCH(ROWS($U$2:U839),$U$2:$U$1001,0),1)&gt;=100000,INDEX($AB$1005:$AQ$1005,1,MATCH(COLUMNS($AB$1006:AG1006),$AB$1006:$AQ$1006,0))&gt;=100000), " ",IF(INDEX($AB$2:$AQ$1001,MATCH(ROWS($U$2:U839),$U$2:$U$1001,0),MATCH(COLUMNS($AB$1006:AG1006),$AB$1006:$AQ$1006,0)), HYPERLINK("#",""), HYPERLINK(CONCATENATE("#metadata!", ADDRESS(INDEX($W$2:$W$1001,MATCH(ROWS($U$2:U839),$U$2:$U$1001,0),0), INDEX($AB$1004:$AQ$1004,1,MATCH(COLUMNS($AB$1006:AG1006),$AB$1006:$AQ$1006,0)))),"Fix")))</f>
        <v>0</v>
      </c>
      <c r="H839" s="4">
        <f>IF(OR(INDEX($V$2:$V$1001,MATCH(ROWS($U$2:U839),$U$2:$U$1001,0),1)&gt;=100000,INDEX($AB$1005:$AQ$1005,1,MATCH(COLUMNS($AB$1006:AH1006),$AB$1006:$AQ$1006,0))&gt;=100000), " ",IF(INDEX($AB$2:$AQ$1001,MATCH(ROWS($U$2:U839),$U$2:$U$1001,0),MATCH(COLUMNS($AB$1006:AH1006),$AB$1006:$AQ$1006,0)), HYPERLINK("#",""), HYPERLINK(CONCATENATE("#metadata!", ADDRESS(INDEX($W$2:$W$1001,MATCH(ROWS($U$2:U839),$U$2:$U$1001,0),0), INDEX($AB$1004:$AQ$1004,1,MATCH(COLUMNS($AB$1006:AH1006),$AB$1006:$AQ$1006,0)))),"Fix")))</f>
        <v>0</v>
      </c>
      <c r="I839" s="4">
        <f>IF(OR(INDEX($V$2:$V$1001,MATCH(ROWS($U$2:U839),$U$2:$U$1001,0),1)&gt;=100000,INDEX($AB$1005:$AQ$1005,1,MATCH(COLUMNS($AB$1006:AI1006),$AB$1006:$AQ$1006,0))&gt;=100000), " ",IF(INDEX($AB$2:$AQ$1001,MATCH(ROWS($U$2:U839),$U$2:$U$1001,0),MATCH(COLUMNS($AB$1006:AI1006),$AB$1006:$AQ$1006,0)), HYPERLINK("#",""), HYPERLINK(CONCATENATE("#metadata!", ADDRESS(INDEX($W$2:$W$1001,MATCH(ROWS($U$2:U839),$U$2:$U$1001,0),0), INDEX($AB$1004:$AQ$1004,1,MATCH(COLUMNS($AB$1006:AI1006),$AB$1006:$AQ$1006,0)))),"Fix")))</f>
        <v>0</v>
      </c>
      <c r="J839" s="4">
        <f>IF(OR(INDEX($V$2:$V$1001,MATCH(ROWS($U$2:U839),$U$2:$U$1001,0),1)&gt;=100000,INDEX($AB$1005:$AQ$1005,1,MATCH(COLUMNS($AB$1006:AJ1006),$AB$1006:$AQ$1006,0))&gt;=100000), " ",IF(INDEX($AB$2:$AQ$1001,MATCH(ROWS($U$2:U839),$U$2:$U$1001,0),MATCH(COLUMNS($AB$1006:AJ1006),$AB$1006:$AQ$1006,0)), HYPERLINK("#",""), HYPERLINK(CONCATENATE("#metadata!", ADDRESS(INDEX($W$2:$W$1001,MATCH(ROWS($U$2:U839),$U$2:$U$1001,0),0), INDEX($AB$1004:$AQ$1004,1,MATCH(COLUMNS($AB$1006:AJ1006),$AB$1006:$AQ$1006,0)))),"Fix")))</f>
        <v>0</v>
      </c>
      <c r="K839" s="4">
        <f>IF(OR(INDEX($V$2:$V$1001,MATCH(ROWS($U$2:U839),$U$2:$U$1001,0),1)&gt;=100000,INDEX($AB$1005:$AQ$1005,1,MATCH(COLUMNS($AB$1006:AK1006),$AB$1006:$AQ$1006,0))&gt;=100000), " ",IF(INDEX($AB$2:$AQ$1001,MATCH(ROWS($U$2:U839),$U$2:$U$1001,0),MATCH(COLUMNS($AB$1006:AK1006),$AB$1006:$AQ$1006,0)), HYPERLINK("#",""), HYPERLINK(CONCATENATE("#metadata!", ADDRESS(INDEX($W$2:$W$1001,MATCH(ROWS($U$2:U839),$U$2:$U$1001,0),0), INDEX($AB$1004:$AQ$1004,1,MATCH(COLUMNS($AB$1006:AK1006),$AB$1006:$AQ$1006,0)))),"Fix")))</f>
        <v>0</v>
      </c>
      <c r="L839" s="4">
        <f>IF(OR(INDEX($V$2:$V$1001,MATCH(ROWS($U$2:U839),$U$2:$U$1001,0),1)&gt;=100000,INDEX($AB$1005:$AQ$1005,1,MATCH(COLUMNS($AB$1006:AL1006),$AB$1006:$AQ$1006,0))&gt;=100000), " ",IF(INDEX($AB$2:$AQ$1001,MATCH(ROWS($U$2:U839),$U$2:$U$1001,0),MATCH(COLUMNS($AB$1006:AL1006),$AB$1006:$AQ$1006,0)), HYPERLINK("#",""), HYPERLINK(CONCATENATE("#metadata!", ADDRESS(INDEX($W$2:$W$1001,MATCH(ROWS($U$2:U839),$U$2:$U$1001,0),0), INDEX($AB$1004:$AQ$1004,1,MATCH(COLUMNS($AB$1006:AL1006),$AB$1006:$AQ$1006,0)))),"Fix")))</f>
        <v>0</v>
      </c>
      <c r="M839" s="4">
        <f>IF(OR(INDEX($V$2:$V$1001,MATCH(ROWS($U$2:U839),$U$2:$U$1001,0),1)&gt;=100000,INDEX($AB$1005:$AQ$1005,1,MATCH(COLUMNS($AB$1006:AM1006),$AB$1006:$AQ$1006,0))&gt;=100000), " ",IF(INDEX($AB$2:$AQ$1001,MATCH(ROWS($U$2:U839),$U$2:$U$1001,0),MATCH(COLUMNS($AB$1006:AM1006),$AB$1006:$AQ$1006,0)), HYPERLINK("#",""), HYPERLINK(CONCATENATE("#metadata!", ADDRESS(INDEX($W$2:$W$1001,MATCH(ROWS($U$2:U839),$U$2:$U$1001,0),0), INDEX($AB$1004:$AQ$1004,1,MATCH(COLUMNS($AB$1006:AM1006),$AB$1006:$AQ$1006,0)))),"Fix")))</f>
        <v>0</v>
      </c>
      <c r="N839" s="4">
        <f>IF(OR(INDEX($V$2:$V$1001,MATCH(ROWS($U$2:U839),$U$2:$U$1001,0),1)&gt;=100000,INDEX($AB$1005:$AQ$1005,1,MATCH(COLUMNS($AB$1006:AN1006),$AB$1006:$AQ$1006,0))&gt;=100000), " ",IF(INDEX($AB$2:$AQ$1001,MATCH(ROWS($U$2:U839),$U$2:$U$1001,0),MATCH(COLUMNS($AB$1006:AN1006),$AB$1006:$AQ$1006,0)), HYPERLINK("#",""), HYPERLINK(CONCATENATE("#metadata!", ADDRESS(INDEX($W$2:$W$1001,MATCH(ROWS($U$2:U839),$U$2:$U$1001,0),0), INDEX($AB$1004:$AQ$1004,1,MATCH(COLUMNS($AB$1006:AN1006),$AB$1006:$AQ$1006,0)))),"Fix")))</f>
        <v>0</v>
      </c>
      <c r="O839" s="4">
        <f>IF(OR(INDEX($V$2:$V$1001,MATCH(ROWS($U$2:U839),$U$2:$U$1001,0),1)&gt;=100000,INDEX($AB$1005:$AQ$1005,1,MATCH(COLUMNS($AB$1006:AO1006),$AB$1006:$AQ$1006,0))&gt;=100000), " ",IF(INDEX($AB$2:$AQ$1001,MATCH(ROWS($U$2:U839),$U$2:$U$1001,0),MATCH(COLUMNS($AB$1006:AO1006),$AB$1006:$AQ$1006,0)), HYPERLINK("#",""), HYPERLINK(CONCATENATE("#metadata!", ADDRESS(INDEX($W$2:$W$1001,MATCH(ROWS($U$2:U839),$U$2:$U$1001,0),0), INDEX($AB$1004:$AQ$1004,1,MATCH(COLUMNS($AB$1006:AO1006),$AB$1006:$AQ$1006,0)))),"Fix")))</f>
        <v>0</v>
      </c>
      <c r="P839" s="4">
        <f>IF(OR(INDEX($V$2:$V$1001,MATCH(ROWS($U$2:U839),$U$2:$U$1001,0),1)&gt;=100000,INDEX($AB$1005:$AQ$1005,1,MATCH(COLUMNS($AB$1006:AP1006),$AB$1006:$AQ$1006,0))&gt;=100000), " ",IF(INDEX($AB$2:$AQ$1001,MATCH(ROWS($U$2:U839),$U$2:$U$1001,0),MATCH(COLUMNS($AB$1006:AP1006),$AB$1006:$AQ$1006,0)), HYPERLINK("#",""), HYPERLINK(CONCATENATE("#metadata!", ADDRESS(INDEX($W$2:$W$1001,MATCH(ROWS($U$2:U839),$U$2:$U$1001,0),0), INDEX($AB$1004:$AQ$1004,1,MATCH(COLUMNS($AB$1006:AP1006),$AB$1006:$AQ$1006,0)))),"Fix")))</f>
        <v>0</v>
      </c>
      <c r="Q839" s="4">
        <f>IF(OR(INDEX($V$2:$V$1001,MATCH(ROWS($U$2:U839),$U$2:$U$1001,0),1)&gt;=100000,INDEX($AB$1005:$AQ$1005,1,MATCH(COLUMNS($AB$1006:AQ1006),$AB$1006:$AQ$1006,0))&gt;=100000), " ",IF(INDEX($AB$2:$AQ$1001,MATCH(ROWS($U$2:U839),$U$2:$U$1001,0),MATCH(COLUMNS($AB$1006:AQ1006),$AB$1006:$AQ$1006,0)), HYPERLINK("#",""), HYPERLINK(CONCATENATE("#metadata!", ADDRESS(INDEX($W$2:$W$1001,MATCH(ROWS($U$2:U839),$U$2:$U$1001,0),0), INDEX($AB$1004:$AQ$1004,1,MATCH(COLUMNS($AB$1006:AQ1006),$AB$1006:$AQ$1006,0)))),"Fix")))</f>
        <v>0</v>
      </c>
      <c r="U839">
        <v>0</v>
      </c>
      <c r="V839">
        <v>0</v>
      </c>
      <c r="W839">
        <v>0</v>
      </c>
      <c r="X839">
        <f>IF(Y839,TRUE,AND(AB839:AQ839))</f>
        <v>0</v>
      </c>
      <c r="Y839">
        <f>COUNTBLANK(metadata!B839:Q839)=COLUMNS(metadata!B839:Q839)</f>
        <v>0</v>
      </c>
      <c r="Z839">
        <v>0</v>
      </c>
      <c r="AB839">
        <f>AND(IF(metadata!B839="",FALSE,TRUE),COUNTIF(metadata!B:B, metadata!B839) = 1,NOT(ISERROR(SUMPRODUCT(SEARCH(MID(metadata!B839,ROW(INDIRECT("1:"&amp;LEN(metadata!B839))), 1),"0123456789abcdefghijklmnopqrstuvwxyzABCDEFGHIJKLMNOPQRSTUVWXYZ.")))))</f>
        <v>0</v>
      </c>
      <c r="AC839">
        <f>OR(AND(IF(metadata!C839="",FALSE,TRUE),OR(exact(metadata!C839,"missing: not collected"),exact(metadata!C839,"missing: not provided"),exact(metadata!C839,"missing: restricted access"))),AND(IF(metadata!C839="",FALSE,TRUE),AND(AND(IFERROR(INT(LEFT(metadata!C839,4))&gt;1900,FALSE),IFERROR(INT(LEFT(metadata!C839,4))&lt;=YEAR(NOW()),FALSE)), OR(MID(metadata!C839,5,1)="", AND(AND(MID(metadata!C839,5,1)="-",IFERROR(INT(MID(metadata!C839,6,1))&gt;=0,FALSE),IFERROR(INT(MID(metadata!C839,6,1))&lt;=1,FALSE),NOT(MID(metadata!C839,7,1)=""),IFERROR(INT(MID(metadata!C839,6,2))&gt;=1,FALSE),IFERROR(INT(MID(metadata!C839,6,2))&lt;=12,FALSE)), OR(MID(metadata!C839,8,1)="", AND(AND(MID(metadata!C839,8,1)="-",IFERROR(INT(MID(metadata!C839,9,1))&gt;=0,FALSE),IFERROR(INT(MID(metadata!C839,9,1))&lt;=3,FALSE),NOT(MID(metadata!C839,10,1)=""),IFERROR(INT(MID(metadata!C839,9,2))&gt;=1,FALSE),IFERROR(INT(MID(metadata!C839,9,2))&lt;=31,FALSE)), OR(MID(metadata!C839,11,1)="", AND(AND(MID(metadata!C839,11,1)=" ",IFERROR(INT(MID(metadata!C839,12,1))&gt;=0,FALSE),IFERROR(INT(MID(metadata!C839,12,1))&lt;=2,FALSE),NOT(MID(metadata!C839,13,1)=""),IFERROR(INT(MID(metadata!C839,12,2))&gt;=0,FALSE),IFERROR(INT(MID(metadata!C839,12,2))&lt;=23,FALSE)), OR(MID(metadata!C839,14,1)="", AND(AND(MID(metadata!C839,14,1)=":",IFERROR(INT(MID(metadata!C839,15,1))&gt;=0,FALSE),IFERROR(INT(MID(metadata!C839,15,1))&lt;=5,FALSE),NOT(MID(metadata!C839,16,1)=""),IFERROR(INT(MID(metadata!C839,15,2))&gt;=0,FALSE),IFERROR(INT(MID(metadata!C839,15,2))&lt;=59,FALSE)), OR(MID(metadata!C839,17,1)="", AND(AND(MID(metadata!C839,17,1)=":",IFERROR(INT(MID(metadata!C839,18,1))&gt;=0,FALSE),IFERROR(INT(MID(metadata!C839,18,1))&lt;=5,FALSE),NOT(MID(metadata!C839,19,1)=""),IFERROR(INT(MID(metadata!C839,18,2))&gt;=0,FALSE),IFERROR(INT(MID(metadata!C839,18,2))&lt;=59,FALSE)), LEN(metadata!C839)&lt;=19)))))))))))))</f>
        <v>0</v>
      </c>
      <c r="AD839">
        <f>IF(metadata!D839="",FALSE,TRUE)</f>
        <v>0</v>
      </c>
      <c r="AE839">
        <f>OR(AND(IF(metadata!E839="",FALSE,TRUE),OR(exact(metadata!E839,"missing: not collected"),exact(metadata!E839,"missing: not provided"))),AND(IF(metadata!E839="",FALSE,TRUE),OR(exact(metadata!E839,"TRUE"),exact(metadata!E839,"FALSE"))))</f>
        <v>0</v>
      </c>
      <c r="AF839">
        <f>IF(metadata!F839="",FALSE,TRUE)</f>
        <v>0</v>
      </c>
      <c r="AG839">
        <f>IF(metadata!G839="",FALSE,TRUE)</f>
        <v>0</v>
      </c>
      <c r="AH839">
        <f>IF(metadata!H839="",FALSE,TRUE)</f>
        <v>0</v>
      </c>
      <c r="AI839">
        <f>OR(AND(IF(metadata!I839="",FALSE,TRUE),OR(exact(metadata!I839,"missing: not collected"),exact(metadata!I839,"missing: not provided"),exact(metadata!I839,"missing: restricted access"))),AND(IF(metadata!I839="",FALSE,TRUE),OR(exact(metadata!I839,"air"),exact(metadata!I839,"built environment"),exact(metadata!I839,"host-associated"),exact(metadata!I839,"human-associated"),exact(metadata!I839,"human-skin"),exact(metadata!I839,"human-oral"),exact(metadata!I839,"human-gut"),exact(metadata!I839,"human-vaginal"),exact(metadata!I839,"microbial mat/biofilm"),exact(metadata!I839,"misc environment"),exact(metadata!I839,"plant-associated"),exact(metadata!I839,"sediment"),exact(metadata!I839,"soil"),exact(metadata!I839,"wastewater/sludge"),exact(metadata!I839,"water"))))</f>
        <v>0</v>
      </c>
      <c r="AJ839">
        <f>IF(metadata!J839="",FALSE,TRUE)</f>
        <v>0</v>
      </c>
      <c r="AK839">
        <f>OR(AND(IF(metadata!K839="",FALSE,TRUE),OR(exact(metadata!K839,"missing: not collected"),exact(metadata!K839,"missing: not provided"),exact(metadata!K839,"missing: restricted access"))),AND(IF(metadata!K839="",FALSE,ISNUMBER(VALUE(metadata!K839))),metadata!K839&gt;=-90.00,metadata!K839&lt;=90.00))</f>
        <v>0</v>
      </c>
      <c r="AL839">
        <f>OR(AND(IF(metadata!L839="",FALSE,TRUE),OR(exact(metadata!L839,"missing: not collected"),exact(metadata!L839,"missing: not provided"),exact(metadata!L839,"missing: restricted access"))),AND(IF(metadata!L839="",FALSE,ISNUMBER(VALUE(metadata!L839))),metadata!L839&gt;=-180.00,metadata!L839&lt;=180.00))</f>
        <v>0</v>
      </c>
      <c r="AM839">
        <f>IF(metadata!M839="",FALSE,TRUE)</f>
        <v>0</v>
      </c>
      <c r="AN839">
        <f>OR(AND(IF(metadata!N839="",FALSE,TRUE),OR(exact(metadata!N839,"missing: not collected"),exact(metadata!N839,"missing: not provided"),exact(metadata!N839,"missing: restricted access"))),AND(IF(metadata!N839="",FALSE,TRUE),OR(exact(metadata!N839,"TRUE"),exact(metadata!N839,"FALSE"))))</f>
        <v>0</v>
      </c>
      <c r="AO839">
        <f>IF(metadata!O839="",FALSE,TRUE)</f>
        <v>0</v>
      </c>
      <c r="AP839">
        <f>OR(AND(IF(metadata!P839="",FALSE,TRUE),OR(exact(metadata!P839,"missing: not collected"),exact(metadata!P839,"missing: not provided"))),AND(IF(metadata!P839="",FALSE,IF(ISERROR(INT(metadata!P839)),FALSE,INT(metadata!P839)=metadata!P839)),metadata!P839&gt;0))</f>
        <v>0</v>
      </c>
      <c r="AQ839">
        <f>IF(metadata!Q839="",FALSE,TRUE)</f>
        <v>0</v>
      </c>
    </row>
    <row r="840" spans="1:43">
      <c r="A840" s="5">
        <f>IF(B840=" "," ",HYPERLINK(CONCATENATE("#metadata!",ADDRESS(INDEX($W$2:$W$1001,MATCH(ROWS($U$2:U840),$U$2:$U$1001,0),0),1)),INDEX($Z$2:$Z$1001,MATCH(ROWS($U$2:U840),$U$2:$U$1001,0),0)))</f>
        <v>0</v>
      </c>
      <c r="B840" s="4">
        <f>IF(OR(INDEX($V$2:$V$1001,MATCH(ROWS($U$2:U840),$U$2:$U$1001,0),1)&gt;=100000,INDEX($AB$1005:$AQ$1005,1,MATCH(COLUMNS($AB$1006:AB1006),$AB$1006:$AQ$1006,0))&gt;=100000), " ",IF(INDEX($AB$2:$AQ$1001,MATCH(ROWS($U$2:U840),$U$2:$U$1001,0),MATCH(COLUMNS($AB$1006:AB1006),$AB$1006:$AQ$1006,0)), HYPERLINK("#",""), HYPERLINK(CONCATENATE("#metadata!", ADDRESS(INDEX($W$2:$W$1001,MATCH(ROWS($U$2:U840),$U$2:$U$1001,0),0), INDEX($AB$1004:$AQ$1004,1,MATCH(COLUMNS($AB$1006:AB1006),$AB$1006:$AQ$1006,0)))),"Fix")))</f>
        <v>0</v>
      </c>
      <c r="C840" s="4">
        <f>IF(OR(INDEX($V$2:$V$1001,MATCH(ROWS($U$2:U840),$U$2:$U$1001,0),1)&gt;=100000,INDEX($AB$1005:$AQ$1005,1,MATCH(COLUMNS($AB$1006:AC1006),$AB$1006:$AQ$1006,0))&gt;=100000), " ",IF(INDEX($AB$2:$AQ$1001,MATCH(ROWS($U$2:U840),$U$2:$U$1001,0),MATCH(COLUMNS($AB$1006:AC1006),$AB$1006:$AQ$1006,0)), HYPERLINK("#",""), HYPERLINK(CONCATENATE("#metadata!", ADDRESS(INDEX($W$2:$W$1001,MATCH(ROWS($U$2:U840),$U$2:$U$1001,0),0), INDEX($AB$1004:$AQ$1004,1,MATCH(COLUMNS($AB$1006:AC1006),$AB$1006:$AQ$1006,0)))),"Fix")))</f>
        <v>0</v>
      </c>
      <c r="D840" s="4">
        <f>IF(OR(INDEX($V$2:$V$1001,MATCH(ROWS($U$2:U840),$U$2:$U$1001,0),1)&gt;=100000,INDEX($AB$1005:$AQ$1005,1,MATCH(COLUMNS($AB$1006:AD1006),$AB$1006:$AQ$1006,0))&gt;=100000), " ",IF(INDEX($AB$2:$AQ$1001,MATCH(ROWS($U$2:U840),$U$2:$U$1001,0),MATCH(COLUMNS($AB$1006:AD1006),$AB$1006:$AQ$1006,0)), HYPERLINK("#",""), HYPERLINK(CONCATENATE("#metadata!", ADDRESS(INDEX($W$2:$W$1001,MATCH(ROWS($U$2:U840),$U$2:$U$1001,0),0), INDEX($AB$1004:$AQ$1004,1,MATCH(COLUMNS($AB$1006:AD1006),$AB$1006:$AQ$1006,0)))),"Fix")))</f>
        <v>0</v>
      </c>
      <c r="E840" s="4">
        <f>IF(OR(INDEX($V$2:$V$1001,MATCH(ROWS($U$2:U840),$U$2:$U$1001,0),1)&gt;=100000,INDEX($AB$1005:$AQ$1005,1,MATCH(COLUMNS($AB$1006:AE1006),$AB$1006:$AQ$1006,0))&gt;=100000), " ",IF(INDEX($AB$2:$AQ$1001,MATCH(ROWS($U$2:U840),$U$2:$U$1001,0),MATCH(COLUMNS($AB$1006:AE1006),$AB$1006:$AQ$1006,0)), HYPERLINK("#",""), HYPERLINK(CONCATENATE("#metadata!", ADDRESS(INDEX($W$2:$W$1001,MATCH(ROWS($U$2:U840),$U$2:$U$1001,0),0), INDEX($AB$1004:$AQ$1004,1,MATCH(COLUMNS($AB$1006:AE1006),$AB$1006:$AQ$1006,0)))),"Fix")))</f>
        <v>0</v>
      </c>
      <c r="F840" s="4">
        <f>IF(OR(INDEX($V$2:$V$1001,MATCH(ROWS($U$2:U840),$U$2:$U$1001,0),1)&gt;=100000,INDEX($AB$1005:$AQ$1005,1,MATCH(COLUMNS($AB$1006:AF1006),$AB$1006:$AQ$1006,0))&gt;=100000), " ",IF(INDEX($AB$2:$AQ$1001,MATCH(ROWS($U$2:U840),$U$2:$U$1001,0),MATCH(COLUMNS($AB$1006:AF1006),$AB$1006:$AQ$1006,0)), HYPERLINK("#",""), HYPERLINK(CONCATENATE("#metadata!", ADDRESS(INDEX($W$2:$W$1001,MATCH(ROWS($U$2:U840),$U$2:$U$1001,0),0), INDEX($AB$1004:$AQ$1004,1,MATCH(COLUMNS($AB$1006:AF1006),$AB$1006:$AQ$1006,0)))),"Fix")))</f>
        <v>0</v>
      </c>
      <c r="G840" s="4">
        <f>IF(OR(INDEX($V$2:$V$1001,MATCH(ROWS($U$2:U840),$U$2:$U$1001,0),1)&gt;=100000,INDEX($AB$1005:$AQ$1005,1,MATCH(COLUMNS($AB$1006:AG1006),$AB$1006:$AQ$1006,0))&gt;=100000), " ",IF(INDEX($AB$2:$AQ$1001,MATCH(ROWS($U$2:U840),$U$2:$U$1001,0),MATCH(COLUMNS($AB$1006:AG1006),$AB$1006:$AQ$1006,0)), HYPERLINK("#",""), HYPERLINK(CONCATENATE("#metadata!", ADDRESS(INDEX($W$2:$W$1001,MATCH(ROWS($U$2:U840),$U$2:$U$1001,0),0), INDEX($AB$1004:$AQ$1004,1,MATCH(COLUMNS($AB$1006:AG1006),$AB$1006:$AQ$1006,0)))),"Fix")))</f>
        <v>0</v>
      </c>
      <c r="H840" s="4">
        <f>IF(OR(INDEX($V$2:$V$1001,MATCH(ROWS($U$2:U840),$U$2:$U$1001,0),1)&gt;=100000,INDEX($AB$1005:$AQ$1005,1,MATCH(COLUMNS($AB$1006:AH1006),$AB$1006:$AQ$1006,0))&gt;=100000), " ",IF(INDEX($AB$2:$AQ$1001,MATCH(ROWS($U$2:U840),$U$2:$U$1001,0),MATCH(COLUMNS($AB$1006:AH1006),$AB$1006:$AQ$1006,0)), HYPERLINK("#",""), HYPERLINK(CONCATENATE("#metadata!", ADDRESS(INDEX($W$2:$W$1001,MATCH(ROWS($U$2:U840),$U$2:$U$1001,0),0), INDEX($AB$1004:$AQ$1004,1,MATCH(COLUMNS($AB$1006:AH1006),$AB$1006:$AQ$1006,0)))),"Fix")))</f>
        <v>0</v>
      </c>
      <c r="I840" s="4">
        <f>IF(OR(INDEX($V$2:$V$1001,MATCH(ROWS($U$2:U840),$U$2:$U$1001,0),1)&gt;=100000,INDEX($AB$1005:$AQ$1005,1,MATCH(COLUMNS($AB$1006:AI1006),$AB$1006:$AQ$1006,0))&gt;=100000), " ",IF(INDEX($AB$2:$AQ$1001,MATCH(ROWS($U$2:U840),$U$2:$U$1001,0),MATCH(COLUMNS($AB$1006:AI1006),$AB$1006:$AQ$1006,0)), HYPERLINK("#",""), HYPERLINK(CONCATENATE("#metadata!", ADDRESS(INDEX($W$2:$W$1001,MATCH(ROWS($U$2:U840),$U$2:$U$1001,0),0), INDEX($AB$1004:$AQ$1004,1,MATCH(COLUMNS($AB$1006:AI1006),$AB$1006:$AQ$1006,0)))),"Fix")))</f>
        <v>0</v>
      </c>
      <c r="J840" s="4">
        <f>IF(OR(INDEX($V$2:$V$1001,MATCH(ROWS($U$2:U840),$U$2:$U$1001,0),1)&gt;=100000,INDEX($AB$1005:$AQ$1005,1,MATCH(COLUMNS($AB$1006:AJ1006),$AB$1006:$AQ$1006,0))&gt;=100000), " ",IF(INDEX($AB$2:$AQ$1001,MATCH(ROWS($U$2:U840),$U$2:$U$1001,0),MATCH(COLUMNS($AB$1006:AJ1006),$AB$1006:$AQ$1006,0)), HYPERLINK("#",""), HYPERLINK(CONCATENATE("#metadata!", ADDRESS(INDEX($W$2:$W$1001,MATCH(ROWS($U$2:U840),$U$2:$U$1001,0),0), INDEX($AB$1004:$AQ$1004,1,MATCH(COLUMNS($AB$1006:AJ1006),$AB$1006:$AQ$1006,0)))),"Fix")))</f>
        <v>0</v>
      </c>
      <c r="K840" s="4">
        <f>IF(OR(INDEX($V$2:$V$1001,MATCH(ROWS($U$2:U840),$U$2:$U$1001,0),1)&gt;=100000,INDEX($AB$1005:$AQ$1005,1,MATCH(COLUMNS($AB$1006:AK1006),$AB$1006:$AQ$1006,0))&gt;=100000), " ",IF(INDEX($AB$2:$AQ$1001,MATCH(ROWS($U$2:U840),$U$2:$U$1001,0),MATCH(COLUMNS($AB$1006:AK1006),$AB$1006:$AQ$1006,0)), HYPERLINK("#",""), HYPERLINK(CONCATENATE("#metadata!", ADDRESS(INDEX($W$2:$W$1001,MATCH(ROWS($U$2:U840),$U$2:$U$1001,0),0), INDEX($AB$1004:$AQ$1004,1,MATCH(COLUMNS($AB$1006:AK1006),$AB$1006:$AQ$1006,0)))),"Fix")))</f>
        <v>0</v>
      </c>
      <c r="L840" s="4">
        <f>IF(OR(INDEX($V$2:$V$1001,MATCH(ROWS($U$2:U840),$U$2:$U$1001,0),1)&gt;=100000,INDEX($AB$1005:$AQ$1005,1,MATCH(COLUMNS($AB$1006:AL1006),$AB$1006:$AQ$1006,0))&gt;=100000), " ",IF(INDEX($AB$2:$AQ$1001,MATCH(ROWS($U$2:U840),$U$2:$U$1001,0),MATCH(COLUMNS($AB$1006:AL1006),$AB$1006:$AQ$1006,0)), HYPERLINK("#",""), HYPERLINK(CONCATENATE("#metadata!", ADDRESS(INDEX($W$2:$W$1001,MATCH(ROWS($U$2:U840),$U$2:$U$1001,0),0), INDEX($AB$1004:$AQ$1004,1,MATCH(COLUMNS($AB$1006:AL1006),$AB$1006:$AQ$1006,0)))),"Fix")))</f>
        <v>0</v>
      </c>
      <c r="M840" s="4">
        <f>IF(OR(INDEX($V$2:$V$1001,MATCH(ROWS($U$2:U840),$U$2:$U$1001,0),1)&gt;=100000,INDEX($AB$1005:$AQ$1005,1,MATCH(COLUMNS($AB$1006:AM1006),$AB$1006:$AQ$1006,0))&gt;=100000), " ",IF(INDEX($AB$2:$AQ$1001,MATCH(ROWS($U$2:U840),$U$2:$U$1001,0),MATCH(COLUMNS($AB$1006:AM1006),$AB$1006:$AQ$1006,0)), HYPERLINK("#",""), HYPERLINK(CONCATENATE("#metadata!", ADDRESS(INDEX($W$2:$W$1001,MATCH(ROWS($U$2:U840),$U$2:$U$1001,0),0), INDEX($AB$1004:$AQ$1004,1,MATCH(COLUMNS($AB$1006:AM1006),$AB$1006:$AQ$1006,0)))),"Fix")))</f>
        <v>0</v>
      </c>
      <c r="N840" s="4">
        <f>IF(OR(INDEX($V$2:$V$1001,MATCH(ROWS($U$2:U840),$U$2:$U$1001,0),1)&gt;=100000,INDEX($AB$1005:$AQ$1005,1,MATCH(COLUMNS($AB$1006:AN1006),$AB$1006:$AQ$1006,0))&gt;=100000), " ",IF(INDEX($AB$2:$AQ$1001,MATCH(ROWS($U$2:U840),$U$2:$U$1001,0),MATCH(COLUMNS($AB$1006:AN1006),$AB$1006:$AQ$1006,0)), HYPERLINK("#",""), HYPERLINK(CONCATENATE("#metadata!", ADDRESS(INDEX($W$2:$W$1001,MATCH(ROWS($U$2:U840),$U$2:$U$1001,0),0), INDEX($AB$1004:$AQ$1004,1,MATCH(COLUMNS($AB$1006:AN1006),$AB$1006:$AQ$1006,0)))),"Fix")))</f>
        <v>0</v>
      </c>
      <c r="O840" s="4">
        <f>IF(OR(INDEX($V$2:$V$1001,MATCH(ROWS($U$2:U840),$U$2:$U$1001,0),1)&gt;=100000,INDEX($AB$1005:$AQ$1005,1,MATCH(COLUMNS($AB$1006:AO1006),$AB$1006:$AQ$1006,0))&gt;=100000), " ",IF(INDEX($AB$2:$AQ$1001,MATCH(ROWS($U$2:U840),$U$2:$U$1001,0),MATCH(COLUMNS($AB$1006:AO1006),$AB$1006:$AQ$1006,0)), HYPERLINK("#",""), HYPERLINK(CONCATENATE("#metadata!", ADDRESS(INDEX($W$2:$W$1001,MATCH(ROWS($U$2:U840),$U$2:$U$1001,0),0), INDEX($AB$1004:$AQ$1004,1,MATCH(COLUMNS($AB$1006:AO1006),$AB$1006:$AQ$1006,0)))),"Fix")))</f>
        <v>0</v>
      </c>
      <c r="P840" s="4">
        <f>IF(OR(INDEX($V$2:$V$1001,MATCH(ROWS($U$2:U840),$U$2:$U$1001,0),1)&gt;=100000,INDEX($AB$1005:$AQ$1005,1,MATCH(COLUMNS($AB$1006:AP1006),$AB$1006:$AQ$1006,0))&gt;=100000), " ",IF(INDEX($AB$2:$AQ$1001,MATCH(ROWS($U$2:U840),$U$2:$U$1001,0),MATCH(COLUMNS($AB$1006:AP1006),$AB$1006:$AQ$1006,0)), HYPERLINK("#",""), HYPERLINK(CONCATENATE("#metadata!", ADDRESS(INDEX($W$2:$W$1001,MATCH(ROWS($U$2:U840),$U$2:$U$1001,0),0), INDEX($AB$1004:$AQ$1004,1,MATCH(COLUMNS($AB$1006:AP1006),$AB$1006:$AQ$1006,0)))),"Fix")))</f>
        <v>0</v>
      </c>
      <c r="Q840" s="4">
        <f>IF(OR(INDEX($V$2:$V$1001,MATCH(ROWS($U$2:U840),$U$2:$U$1001,0),1)&gt;=100000,INDEX($AB$1005:$AQ$1005,1,MATCH(COLUMNS($AB$1006:AQ1006),$AB$1006:$AQ$1006,0))&gt;=100000), " ",IF(INDEX($AB$2:$AQ$1001,MATCH(ROWS($U$2:U840),$U$2:$U$1001,0),MATCH(COLUMNS($AB$1006:AQ1006),$AB$1006:$AQ$1006,0)), HYPERLINK("#",""), HYPERLINK(CONCATENATE("#metadata!", ADDRESS(INDEX($W$2:$W$1001,MATCH(ROWS($U$2:U840),$U$2:$U$1001,0),0), INDEX($AB$1004:$AQ$1004,1,MATCH(COLUMNS($AB$1006:AQ1006),$AB$1006:$AQ$1006,0)))),"Fix")))</f>
        <v>0</v>
      </c>
      <c r="U840">
        <v>0</v>
      </c>
      <c r="V840">
        <v>0</v>
      </c>
      <c r="W840">
        <v>0</v>
      </c>
      <c r="X840">
        <f>IF(Y840,TRUE,AND(AB840:AQ840))</f>
        <v>0</v>
      </c>
      <c r="Y840">
        <f>COUNTBLANK(metadata!B840:Q840)=COLUMNS(metadata!B840:Q840)</f>
        <v>0</v>
      </c>
      <c r="Z840">
        <v>0</v>
      </c>
      <c r="AB840">
        <f>AND(IF(metadata!B840="",FALSE,TRUE),COUNTIF(metadata!B:B, metadata!B840) = 1,NOT(ISERROR(SUMPRODUCT(SEARCH(MID(metadata!B840,ROW(INDIRECT("1:"&amp;LEN(metadata!B840))), 1),"0123456789abcdefghijklmnopqrstuvwxyzABCDEFGHIJKLMNOPQRSTUVWXYZ.")))))</f>
        <v>0</v>
      </c>
      <c r="AC840">
        <f>OR(AND(IF(metadata!C840="",FALSE,TRUE),OR(exact(metadata!C840,"missing: not collected"),exact(metadata!C840,"missing: not provided"),exact(metadata!C840,"missing: restricted access"))),AND(IF(metadata!C840="",FALSE,TRUE),AND(AND(IFERROR(INT(LEFT(metadata!C840,4))&gt;1900,FALSE),IFERROR(INT(LEFT(metadata!C840,4))&lt;=YEAR(NOW()),FALSE)), OR(MID(metadata!C840,5,1)="", AND(AND(MID(metadata!C840,5,1)="-",IFERROR(INT(MID(metadata!C840,6,1))&gt;=0,FALSE),IFERROR(INT(MID(metadata!C840,6,1))&lt;=1,FALSE),NOT(MID(metadata!C840,7,1)=""),IFERROR(INT(MID(metadata!C840,6,2))&gt;=1,FALSE),IFERROR(INT(MID(metadata!C840,6,2))&lt;=12,FALSE)), OR(MID(metadata!C840,8,1)="", AND(AND(MID(metadata!C840,8,1)="-",IFERROR(INT(MID(metadata!C840,9,1))&gt;=0,FALSE),IFERROR(INT(MID(metadata!C840,9,1))&lt;=3,FALSE),NOT(MID(metadata!C840,10,1)=""),IFERROR(INT(MID(metadata!C840,9,2))&gt;=1,FALSE),IFERROR(INT(MID(metadata!C840,9,2))&lt;=31,FALSE)), OR(MID(metadata!C840,11,1)="", AND(AND(MID(metadata!C840,11,1)=" ",IFERROR(INT(MID(metadata!C840,12,1))&gt;=0,FALSE),IFERROR(INT(MID(metadata!C840,12,1))&lt;=2,FALSE),NOT(MID(metadata!C840,13,1)=""),IFERROR(INT(MID(metadata!C840,12,2))&gt;=0,FALSE),IFERROR(INT(MID(metadata!C840,12,2))&lt;=23,FALSE)), OR(MID(metadata!C840,14,1)="", AND(AND(MID(metadata!C840,14,1)=":",IFERROR(INT(MID(metadata!C840,15,1))&gt;=0,FALSE),IFERROR(INT(MID(metadata!C840,15,1))&lt;=5,FALSE),NOT(MID(metadata!C840,16,1)=""),IFERROR(INT(MID(metadata!C840,15,2))&gt;=0,FALSE),IFERROR(INT(MID(metadata!C840,15,2))&lt;=59,FALSE)), OR(MID(metadata!C840,17,1)="", AND(AND(MID(metadata!C840,17,1)=":",IFERROR(INT(MID(metadata!C840,18,1))&gt;=0,FALSE),IFERROR(INT(MID(metadata!C840,18,1))&lt;=5,FALSE),NOT(MID(metadata!C840,19,1)=""),IFERROR(INT(MID(metadata!C840,18,2))&gt;=0,FALSE),IFERROR(INT(MID(metadata!C840,18,2))&lt;=59,FALSE)), LEN(metadata!C840)&lt;=19)))))))))))))</f>
        <v>0</v>
      </c>
      <c r="AD840">
        <f>IF(metadata!D840="",FALSE,TRUE)</f>
        <v>0</v>
      </c>
      <c r="AE840">
        <f>OR(AND(IF(metadata!E840="",FALSE,TRUE),OR(exact(metadata!E840,"missing: not collected"),exact(metadata!E840,"missing: not provided"))),AND(IF(metadata!E840="",FALSE,TRUE),OR(exact(metadata!E840,"TRUE"),exact(metadata!E840,"FALSE"))))</f>
        <v>0</v>
      </c>
      <c r="AF840">
        <f>IF(metadata!F840="",FALSE,TRUE)</f>
        <v>0</v>
      </c>
      <c r="AG840">
        <f>IF(metadata!G840="",FALSE,TRUE)</f>
        <v>0</v>
      </c>
      <c r="AH840">
        <f>IF(metadata!H840="",FALSE,TRUE)</f>
        <v>0</v>
      </c>
      <c r="AI840">
        <f>OR(AND(IF(metadata!I840="",FALSE,TRUE),OR(exact(metadata!I840,"missing: not collected"),exact(metadata!I840,"missing: not provided"),exact(metadata!I840,"missing: restricted access"))),AND(IF(metadata!I840="",FALSE,TRUE),OR(exact(metadata!I840,"air"),exact(metadata!I840,"built environment"),exact(metadata!I840,"host-associated"),exact(metadata!I840,"human-associated"),exact(metadata!I840,"human-skin"),exact(metadata!I840,"human-oral"),exact(metadata!I840,"human-gut"),exact(metadata!I840,"human-vaginal"),exact(metadata!I840,"microbial mat/biofilm"),exact(metadata!I840,"misc environment"),exact(metadata!I840,"plant-associated"),exact(metadata!I840,"sediment"),exact(metadata!I840,"soil"),exact(metadata!I840,"wastewater/sludge"),exact(metadata!I840,"water"))))</f>
        <v>0</v>
      </c>
      <c r="AJ840">
        <f>IF(metadata!J840="",FALSE,TRUE)</f>
        <v>0</v>
      </c>
      <c r="AK840">
        <f>OR(AND(IF(metadata!K840="",FALSE,TRUE),OR(exact(metadata!K840,"missing: not collected"),exact(metadata!K840,"missing: not provided"),exact(metadata!K840,"missing: restricted access"))),AND(IF(metadata!K840="",FALSE,ISNUMBER(VALUE(metadata!K840))),metadata!K840&gt;=-90.00,metadata!K840&lt;=90.00))</f>
        <v>0</v>
      </c>
      <c r="AL840">
        <f>OR(AND(IF(metadata!L840="",FALSE,TRUE),OR(exact(metadata!L840,"missing: not collected"),exact(metadata!L840,"missing: not provided"),exact(metadata!L840,"missing: restricted access"))),AND(IF(metadata!L840="",FALSE,ISNUMBER(VALUE(metadata!L840))),metadata!L840&gt;=-180.00,metadata!L840&lt;=180.00))</f>
        <v>0</v>
      </c>
      <c r="AM840">
        <f>IF(metadata!M840="",FALSE,TRUE)</f>
        <v>0</v>
      </c>
      <c r="AN840">
        <f>OR(AND(IF(metadata!N840="",FALSE,TRUE),OR(exact(metadata!N840,"missing: not collected"),exact(metadata!N840,"missing: not provided"),exact(metadata!N840,"missing: restricted access"))),AND(IF(metadata!N840="",FALSE,TRUE),OR(exact(metadata!N840,"TRUE"),exact(metadata!N840,"FALSE"))))</f>
        <v>0</v>
      </c>
      <c r="AO840">
        <f>IF(metadata!O840="",FALSE,TRUE)</f>
        <v>0</v>
      </c>
      <c r="AP840">
        <f>OR(AND(IF(metadata!P840="",FALSE,TRUE),OR(exact(metadata!P840,"missing: not collected"),exact(metadata!P840,"missing: not provided"))),AND(IF(metadata!P840="",FALSE,IF(ISERROR(INT(metadata!P840)),FALSE,INT(metadata!P840)=metadata!P840)),metadata!P840&gt;0))</f>
        <v>0</v>
      </c>
      <c r="AQ840">
        <f>IF(metadata!Q840="",FALSE,TRUE)</f>
        <v>0</v>
      </c>
    </row>
    <row r="841" spans="1:43">
      <c r="A841" s="5">
        <f>IF(B841=" "," ",HYPERLINK(CONCATENATE("#metadata!",ADDRESS(INDEX($W$2:$W$1001,MATCH(ROWS($U$2:U841),$U$2:$U$1001,0),0),1)),INDEX($Z$2:$Z$1001,MATCH(ROWS($U$2:U841),$U$2:$U$1001,0),0)))</f>
        <v>0</v>
      </c>
      <c r="B841" s="4">
        <f>IF(OR(INDEX($V$2:$V$1001,MATCH(ROWS($U$2:U841),$U$2:$U$1001,0),1)&gt;=100000,INDEX($AB$1005:$AQ$1005,1,MATCH(COLUMNS($AB$1006:AB1006),$AB$1006:$AQ$1006,0))&gt;=100000), " ",IF(INDEX($AB$2:$AQ$1001,MATCH(ROWS($U$2:U841),$U$2:$U$1001,0),MATCH(COLUMNS($AB$1006:AB1006),$AB$1006:$AQ$1006,0)), HYPERLINK("#",""), HYPERLINK(CONCATENATE("#metadata!", ADDRESS(INDEX($W$2:$W$1001,MATCH(ROWS($U$2:U841),$U$2:$U$1001,0),0), INDEX($AB$1004:$AQ$1004,1,MATCH(COLUMNS($AB$1006:AB1006),$AB$1006:$AQ$1006,0)))),"Fix")))</f>
        <v>0</v>
      </c>
      <c r="C841" s="4">
        <f>IF(OR(INDEX($V$2:$V$1001,MATCH(ROWS($U$2:U841),$U$2:$U$1001,0),1)&gt;=100000,INDEX($AB$1005:$AQ$1005,1,MATCH(COLUMNS($AB$1006:AC1006),$AB$1006:$AQ$1006,0))&gt;=100000), " ",IF(INDEX($AB$2:$AQ$1001,MATCH(ROWS($U$2:U841),$U$2:$U$1001,0),MATCH(COLUMNS($AB$1006:AC1006),$AB$1006:$AQ$1006,0)), HYPERLINK("#",""), HYPERLINK(CONCATENATE("#metadata!", ADDRESS(INDEX($W$2:$W$1001,MATCH(ROWS($U$2:U841),$U$2:$U$1001,0),0), INDEX($AB$1004:$AQ$1004,1,MATCH(COLUMNS($AB$1006:AC1006),$AB$1006:$AQ$1006,0)))),"Fix")))</f>
        <v>0</v>
      </c>
      <c r="D841" s="4">
        <f>IF(OR(INDEX($V$2:$V$1001,MATCH(ROWS($U$2:U841),$U$2:$U$1001,0),1)&gt;=100000,INDEX($AB$1005:$AQ$1005,1,MATCH(COLUMNS($AB$1006:AD1006),$AB$1006:$AQ$1006,0))&gt;=100000), " ",IF(INDEX($AB$2:$AQ$1001,MATCH(ROWS($U$2:U841),$U$2:$U$1001,0),MATCH(COLUMNS($AB$1006:AD1006),$AB$1006:$AQ$1006,0)), HYPERLINK("#",""), HYPERLINK(CONCATENATE("#metadata!", ADDRESS(INDEX($W$2:$W$1001,MATCH(ROWS($U$2:U841),$U$2:$U$1001,0),0), INDEX($AB$1004:$AQ$1004,1,MATCH(COLUMNS($AB$1006:AD1006),$AB$1006:$AQ$1006,0)))),"Fix")))</f>
        <v>0</v>
      </c>
      <c r="E841" s="4">
        <f>IF(OR(INDEX($V$2:$V$1001,MATCH(ROWS($U$2:U841),$U$2:$U$1001,0),1)&gt;=100000,INDEX($AB$1005:$AQ$1005,1,MATCH(COLUMNS($AB$1006:AE1006),$AB$1006:$AQ$1006,0))&gt;=100000), " ",IF(INDEX($AB$2:$AQ$1001,MATCH(ROWS($U$2:U841),$U$2:$U$1001,0),MATCH(COLUMNS($AB$1006:AE1006),$AB$1006:$AQ$1006,0)), HYPERLINK("#",""), HYPERLINK(CONCATENATE("#metadata!", ADDRESS(INDEX($W$2:$W$1001,MATCH(ROWS($U$2:U841),$U$2:$U$1001,0),0), INDEX($AB$1004:$AQ$1004,1,MATCH(COLUMNS($AB$1006:AE1006),$AB$1006:$AQ$1006,0)))),"Fix")))</f>
        <v>0</v>
      </c>
      <c r="F841" s="4">
        <f>IF(OR(INDEX($V$2:$V$1001,MATCH(ROWS($U$2:U841),$U$2:$U$1001,0),1)&gt;=100000,INDEX($AB$1005:$AQ$1005,1,MATCH(COLUMNS($AB$1006:AF1006),$AB$1006:$AQ$1006,0))&gt;=100000), " ",IF(INDEX($AB$2:$AQ$1001,MATCH(ROWS($U$2:U841),$U$2:$U$1001,0),MATCH(COLUMNS($AB$1006:AF1006),$AB$1006:$AQ$1006,0)), HYPERLINK("#",""), HYPERLINK(CONCATENATE("#metadata!", ADDRESS(INDEX($W$2:$W$1001,MATCH(ROWS($U$2:U841),$U$2:$U$1001,0),0), INDEX($AB$1004:$AQ$1004,1,MATCH(COLUMNS($AB$1006:AF1006),$AB$1006:$AQ$1006,0)))),"Fix")))</f>
        <v>0</v>
      </c>
      <c r="G841" s="4">
        <f>IF(OR(INDEX($V$2:$V$1001,MATCH(ROWS($U$2:U841),$U$2:$U$1001,0),1)&gt;=100000,INDEX($AB$1005:$AQ$1005,1,MATCH(COLUMNS($AB$1006:AG1006),$AB$1006:$AQ$1006,0))&gt;=100000), " ",IF(INDEX($AB$2:$AQ$1001,MATCH(ROWS($U$2:U841),$U$2:$U$1001,0),MATCH(COLUMNS($AB$1006:AG1006),$AB$1006:$AQ$1006,0)), HYPERLINK("#",""), HYPERLINK(CONCATENATE("#metadata!", ADDRESS(INDEX($W$2:$W$1001,MATCH(ROWS($U$2:U841),$U$2:$U$1001,0),0), INDEX($AB$1004:$AQ$1004,1,MATCH(COLUMNS($AB$1006:AG1006),$AB$1006:$AQ$1006,0)))),"Fix")))</f>
        <v>0</v>
      </c>
      <c r="H841" s="4">
        <f>IF(OR(INDEX($V$2:$V$1001,MATCH(ROWS($U$2:U841),$U$2:$U$1001,0),1)&gt;=100000,INDEX($AB$1005:$AQ$1005,1,MATCH(COLUMNS($AB$1006:AH1006),$AB$1006:$AQ$1006,0))&gt;=100000), " ",IF(INDEX($AB$2:$AQ$1001,MATCH(ROWS($U$2:U841),$U$2:$U$1001,0),MATCH(COLUMNS($AB$1006:AH1006),$AB$1006:$AQ$1006,0)), HYPERLINK("#",""), HYPERLINK(CONCATENATE("#metadata!", ADDRESS(INDEX($W$2:$W$1001,MATCH(ROWS($U$2:U841),$U$2:$U$1001,0),0), INDEX($AB$1004:$AQ$1004,1,MATCH(COLUMNS($AB$1006:AH1006),$AB$1006:$AQ$1006,0)))),"Fix")))</f>
        <v>0</v>
      </c>
      <c r="I841" s="4">
        <f>IF(OR(INDEX($V$2:$V$1001,MATCH(ROWS($U$2:U841),$U$2:$U$1001,0),1)&gt;=100000,INDEX($AB$1005:$AQ$1005,1,MATCH(COLUMNS($AB$1006:AI1006),$AB$1006:$AQ$1006,0))&gt;=100000), " ",IF(INDEX($AB$2:$AQ$1001,MATCH(ROWS($U$2:U841),$U$2:$U$1001,0),MATCH(COLUMNS($AB$1006:AI1006),$AB$1006:$AQ$1006,0)), HYPERLINK("#",""), HYPERLINK(CONCATENATE("#metadata!", ADDRESS(INDEX($W$2:$W$1001,MATCH(ROWS($U$2:U841),$U$2:$U$1001,0),0), INDEX($AB$1004:$AQ$1004,1,MATCH(COLUMNS($AB$1006:AI1006),$AB$1006:$AQ$1006,0)))),"Fix")))</f>
        <v>0</v>
      </c>
      <c r="J841" s="4">
        <f>IF(OR(INDEX($V$2:$V$1001,MATCH(ROWS($U$2:U841),$U$2:$U$1001,0),1)&gt;=100000,INDEX($AB$1005:$AQ$1005,1,MATCH(COLUMNS($AB$1006:AJ1006),$AB$1006:$AQ$1006,0))&gt;=100000), " ",IF(INDEX($AB$2:$AQ$1001,MATCH(ROWS($U$2:U841),$U$2:$U$1001,0),MATCH(COLUMNS($AB$1006:AJ1006),$AB$1006:$AQ$1006,0)), HYPERLINK("#",""), HYPERLINK(CONCATENATE("#metadata!", ADDRESS(INDEX($W$2:$W$1001,MATCH(ROWS($U$2:U841),$U$2:$U$1001,0),0), INDEX($AB$1004:$AQ$1004,1,MATCH(COLUMNS($AB$1006:AJ1006),$AB$1006:$AQ$1006,0)))),"Fix")))</f>
        <v>0</v>
      </c>
      <c r="K841" s="4">
        <f>IF(OR(INDEX($V$2:$V$1001,MATCH(ROWS($U$2:U841),$U$2:$U$1001,0),1)&gt;=100000,INDEX($AB$1005:$AQ$1005,1,MATCH(COLUMNS($AB$1006:AK1006),$AB$1006:$AQ$1006,0))&gt;=100000), " ",IF(INDEX($AB$2:$AQ$1001,MATCH(ROWS($U$2:U841),$U$2:$U$1001,0),MATCH(COLUMNS($AB$1006:AK1006),$AB$1006:$AQ$1006,0)), HYPERLINK("#",""), HYPERLINK(CONCATENATE("#metadata!", ADDRESS(INDEX($W$2:$W$1001,MATCH(ROWS($U$2:U841),$U$2:$U$1001,0),0), INDEX($AB$1004:$AQ$1004,1,MATCH(COLUMNS($AB$1006:AK1006),$AB$1006:$AQ$1006,0)))),"Fix")))</f>
        <v>0</v>
      </c>
      <c r="L841" s="4">
        <f>IF(OR(INDEX($V$2:$V$1001,MATCH(ROWS($U$2:U841),$U$2:$U$1001,0),1)&gt;=100000,INDEX($AB$1005:$AQ$1005,1,MATCH(COLUMNS($AB$1006:AL1006),$AB$1006:$AQ$1006,0))&gt;=100000), " ",IF(INDEX($AB$2:$AQ$1001,MATCH(ROWS($U$2:U841),$U$2:$U$1001,0),MATCH(COLUMNS($AB$1006:AL1006),$AB$1006:$AQ$1006,0)), HYPERLINK("#",""), HYPERLINK(CONCATENATE("#metadata!", ADDRESS(INDEX($W$2:$W$1001,MATCH(ROWS($U$2:U841),$U$2:$U$1001,0),0), INDEX($AB$1004:$AQ$1004,1,MATCH(COLUMNS($AB$1006:AL1006),$AB$1006:$AQ$1006,0)))),"Fix")))</f>
        <v>0</v>
      </c>
      <c r="M841" s="4">
        <f>IF(OR(INDEX($V$2:$V$1001,MATCH(ROWS($U$2:U841),$U$2:$U$1001,0),1)&gt;=100000,INDEX($AB$1005:$AQ$1005,1,MATCH(COLUMNS($AB$1006:AM1006),$AB$1006:$AQ$1006,0))&gt;=100000), " ",IF(INDEX($AB$2:$AQ$1001,MATCH(ROWS($U$2:U841),$U$2:$U$1001,0),MATCH(COLUMNS($AB$1006:AM1006),$AB$1006:$AQ$1006,0)), HYPERLINK("#",""), HYPERLINK(CONCATENATE("#metadata!", ADDRESS(INDEX($W$2:$W$1001,MATCH(ROWS($U$2:U841),$U$2:$U$1001,0),0), INDEX($AB$1004:$AQ$1004,1,MATCH(COLUMNS($AB$1006:AM1006),$AB$1006:$AQ$1006,0)))),"Fix")))</f>
        <v>0</v>
      </c>
      <c r="N841" s="4">
        <f>IF(OR(INDEX($V$2:$V$1001,MATCH(ROWS($U$2:U841),$U$2:$U$1001,0),1)&gt;=100000,INDEX($AB$1005:$AQ$1005,1,MATCH(COLUMNS($AB$1006:AN1006),$AB$1006:$AQ$1006,0))&gt;=100000), " ",IF(INDEX($AB$2:$AQ$1001,MATCH(ROWS($U$2:U841),$U$2:$U$1001,0),MATCH(COLUMNS($AB$1006:AN1006),$AB$1006:$AQ$1006,0)), HYPERLINK("#",""), HYPERLINK(CONCATENATE("#metadata!", ADDRESS(INDEX($W$2:$W$1001,MATCH(ROWS($U$2:U841),$U$2:$U$1001,0),0), INDEX($AB$1004:$AQ$1004,1,MATCH(COLUMNS($AB$1006:AN1006),$AB$1006:$AQ$1006,0)))),"Fix")))</f>
        <v>0</v>
      </c>
      <c r="O841" s="4">
        <f>IF(OR(INDEX($V$2:$V$1001,MATCH(ROWS($U$2:U841),$U$2:$U$1001,0),1)&gt;=100000,INDEX($AB$1005:$AQ$1005,1,MATCH(COLUMNS($AB$1006:AO1006),$AB$1006:$AQ$1006,0))&gt;=100000), " ",IF(INDEX($AB$2:$AQ$1001,MATCH(ROWS($U$2:U841),$U$2:$U$1001,0),MATCH(COLUMNS($AB$1006:AO1006),$AB$1006:$AQ$1006,0)), HYPERLINK("#",""), HYPERLINK(CONCATENATE("#metadata!", ADDRESS(INDEX($W$2:$W$1001,MATCH(ROWS($U$2:U841),$U$2:$U$1001,0),0), INDEX($AB$1004:$AQ$1004,1,MATCH(COLUMNS($AB$1006:AO1006),$AB$1006:$AQ$1006,0)))),"Fix")))</f>
        <v>0</v>
      </c>
      <c r="P841" s="4">
        <f>IF(OR(INDEX($V$2:$V$1001,MATCH(ROWS($U$2:U841),$U$2:$U$1001,0),1)&gt;=100000,INDEX($AB$1005:$AQ$1005,1,MATCH(COLUMNS($AB$1006:AP1006),$AB$1006:$AQ$1006,0))&gt;=100000), " ",IF(INDEX($AB$2:$AQ$1001,MATCH(ROWS($U$2:U841),$U$2:$U$1001,0),MATCH(COLUMNS($AB$1006:AP1006),$AB$1006:$AQ$1006,0)), HYPERLINK("#",""), HYPERLINK(CONCATENATE("#metadata!", ADDRESS(INDEX($W$2:$W$1001,MATCH(ROWS($U$2:U841),$U$2:$U$1001,0),0), INDEX($AB$1004:$AQ$1004,1,MATCH(COLUMNS($AB$1006:AP1006),$AB$1006:$AQ$1006,0)))),"Fix")))</f>
        <v>0</v>
      </c>
      <c r="Q841" s="4">
        <f>IF(OR(INDEX($V$2:$V$1001,MATCH(ROWS($U$2:U841),$U$2:$U$1001,0),1)&gt;=100000,INDEX($AB$1005:$AQ$1005,1,MATCH(COLUMNS($AB$1006:AQ1006),$AB$1006:$AQ$1006,0))&gt;=100000), " ",IF(INDEX($AB$2:$AQ$1001,MATCH(ROWS($U$2:U841),$U$2:$U$1001,0),MATCH(COLUMNS($AB$1006:AQ1006),$AB$1006:$AQ$1006,0)), HYPERLINK("#",""), HYPERLINK(CONCATENATE("#metadata!", ADDRESS(INDEX($W$2:$W$1001,MATCH(ROWS($U$2:U841),$U$2:$U$1001,0),0), INDEX($AB$1004:$AQ$1004,1,MATCH(COLUMNS($AB$1006:AQ1006),$AB$1006:$AQ$1006,0)))),"Fix")))</f>
        <v>0</v>
      </c>
      <c r="U841">
        <v>0</v>
      </c>
      <c r="V841">
        <v>0</v>
      </c>
      <c r="W841">
        <v>0</v>
      </c>
      <c r="X841">
        <f>IF(Y841,TRUE,AND(AB841:AQ841))</f>
        <v>0</v>
      </c>
      <c r="Y841">
        <f>COUNTBLANK(metadata!B841:Q841)=COLUMNS(metadata!B841:Q841)</f>
        <v>0</v>
      </c>
      <c r="Z841">
        <v>0</v>
      </c>
      <c r="AB841">
        <f>AND(IF(metadata!B841="",FALSE,TRUE),COUNTIF(metadata!B:B, metadata!B841) = 1,NOT(ISERROR(SUMPRODUCT(SEARCH(MID(metadata!B841,ROW(INDIRECT("1:"&amp;LEN(metadata!B841))), 1),"0123456789abcdefghijklmnopqrstuvwxyzABCDEFGHIJKLMNOPQRSTUVWXYZ.")))))</f>
        <v>0</v>
      </c>
      <c r="AC841">
        <f>OR(AND(IF(metadata!C841="",FALSE,TRUE),OR(exact(metadata!C841,"missing: not collected"),exact(metadata!C841,"missing: not provided"),exact(metadata!C841,"missing: restricted access"))),AND(IF(metadata!C841="",FALSE,TRUE),AND(AND(IFERROR(INT(LEFT(metadata!C841,4))&gt;1900,FALSE),IFERROR(INT(LEFT(metadata!C841,4))&lt;=YEAR(NOW()),FALSE)), OR(MID(metadata!C841,5,1)="", AND(AND(MID(metadata!C841,5,1)="-",IFERROR(INT(MID(metadata!C841,6,1))&gt;=0,FALSE),IFERROR(INT(MID(metadata!C841,6,1))&lt;=1,FALSE),NOT(MID(metadata!C841,7,1)=""),IFERROR(INT(MID(metadata!C841,6,2))&gt;=1,FALSE),IFERROR(INT(MID(metadata!C841,6,2))&lt;=12,FALSE)), OR(MID(metadata!C841,8,1)="", AND(AND(MID(metadata!C841,8,1)="-",IFERROR(INT(MID(metadata!C841,9,1))&gt;=0,FALSE),IFERROR(INT(MID(metadata!C841,9,1))&lt;=3,FALSE),NOT(MID(metadata!C841,10,1)=""),IFERROR(INT(MID(metadata!C841,9,2))&gt;=1,FALSE),IFERROR(INT(MID(metadata!C841,9,2))&lt;=31,FALSE)), OR(MID(metadata!C841,11,1)="", AND(AND(MID(metadata!C841,11,1)=" ",IFERROR(INT(MID(metadata!C841,12,1))&gt;=0,FALSE),IFERROR(INT(MID(metadata!C841,12,1))&lt;=2,FALSE),NOT(MID(metadata!C841,13,1)=""),IFERROR(INT(MID(metadata!C841,12,2))&gt;=0,FALSE),IFERROR(INT(MID(metadata!C841,12,2))&lt;=23,FALSE)), OR(MID(metadata!C841,14,1)="", AND(AND(MID(metadata!C841,14,1)=":",IFERROR(INT(MID(metadata!C841,15,1))&gt;=0,FALSE),IFERROR(INT(MID(metadata!C841,15,1))&lt;=5,FALSE),NOT(MID(metadata!C841,16,1)=""),IFERROR(INT(MID(metadata!C841,15,2))&gt;=0,FALSE),IFERROR(INT(MID(metadata!C841,15,2))&lt;=59,FALSE)), OR(MID(metadata!C841,17,1)="", AND(AND(MID(metadata!C841,17,1)=":",IFERROR(INT(MID(metadata!C841,18,1))&gt;=0,FALSE),IFERROR(INT(MID(metadata!C841,18,1))&lt;=5,FALSE),NOT(MID(metadata!C841,19,1)=""),IFERROR(INT(MID(metadata!C841,18,2))&gt;=0,FALSE),IFERROR(INT(MID(metadata!C841,18,2))&lt;=59,FALSE)), LEN(metadata!C841)&lt;=19)))))))))))))</f>
        <v>0</v>
      </c>
      <c r="AD841">
        <f>IF(metadata!D841="",FALSE,TRUE)</f>
        <v>0</v>
      </c>
      <c r="AE841">
        <f>OR(AND(IF(metadata!E841="",FALSE,TRUE),OR(exact(metadata!E841,"missing: not collected"),exact(metadata!E841,"missing: not provided"))),AND(IF(metadata!E841="",FALSE,TRUE),OR(exact(metadata!E841,"TRUE"),exact(metadata!E841,"FALSE"))))</f>
        <v>0</v>
      </c>
      <c r="AF841">
        <f>IF(metadata!F841="",FALSE,TRUE)</f>
        <v>0</v>
      </c>
      <c r="AG841">
        <f>IF(metadata!G841="",FALSE,TRUE)</f>
        <v>0</v>
      </c>
      <c r="AH841">
        <f>IF(metadata!H841="",FALSE,TRUE)</f>
        <v>0</v>
      </c>
      <c r="AI841">
        <f>OR(AND(IF(metadata!I841="",FALSE,TRUE),OR(exact(metadata!I841,"missing: not collected"),exact(metadata!I841,"missing: not provided"),exact(metadata!I841,"missing: restricted access"))),AND(IF(metadata!I841="",FALSE,TRUE),OR(exact(metadata!I841,"air"),exact(metadata!I841,"built environment"),exact(metadata!I841,"host-associated"),exact(metadata!I841,"human-associated"),exact(metadata!I841,"human-skin"),exact(metadata!I841,"human-oral"),exact(metadata!I841,"human-gut"),exact(metadata!I841,"human-vaginal"),exact(metadata!I841,"microbial mat/biofilm"),exact(metadata!I841,"misc environment"),exact(metadata!I841,"plant-associated"),exact(metadata!I841,"sediment"),exact(metadata!I841,"soil"),exact(metadata!I841,"wastewater/sludge"),exact(metadata!I841,"water"))))</f>
        <v>0</v>
      </c>
      <c r="AJ841">
        <f>IF(metadata!J841="",FALSE,TRUE)</f>
        <v>0</v>
      </c>
      <c r="AK841">
        <f>OR(AND(IF(metadata!K841="",FALSE,TRUE),OR(exact(metadata!K841,"missing: not collected"),exact(metadata!K841,"missing: not provided"),exact(metadata!K841,"missing: restricted access"))),AND(IF(metadata!K841="",FALSE,ISNUMBER(VALUE(metadata!K841))),metadata!K841&gt;=-90.00,metadata!K841&lt;=90.00))</f>
        <v>0</v>
      </c>
      <c r="AL841">
        <f>OR(AND(IF(metadata!L841="",FALSE,TRUE),OR(exact(metadata!L841,"missing: not collected"),exact(metadata!L841,"missing: not provided"),exact(metadata!L841,"missing: restricted access"))),AND(IF(metadata!L841="",FALSE,ISNUMBER(VALUE(metadata!L841))),metadata!L841&gt;=-180.00,metadata!L841&lt;=180.00))</f>
        <v>0</v>
      </c>
      <c r="AM841">
        <f>IF(metadata!M841="",FALSE,TRUE)</f>
        <v>0</v>
      </c>
      <c r="AN841">
        <f>OR(AND(IF(metadata!N841="",FALSE,TRUE),OR(exact(metadata!N841,"missing: not collected"),exact(metadata!N841,"missing: not provided"),exact(metadata!N841,"missing: restricted access"))),AND(IF(metadata!N841="",FALSE,TRUE),OR(exact(metadata!N841,"TRUE"),exact(metadata!N841,"FALSE"))))</f>
        <v>0</v>
      </c>
      <c r="AO841">
        <f>IF(metadata!O841="",FALSE,TRUE)</f>
        <v>0</v>
      </c>
      <c r="AP841">
        <f>OR(AND(IF(metadata!P841="",FALSE,TRUE),OR(exact(metadata!P841,"missing: not collected"),exact(metadata!P841,"missing: not provided"))),AND(IF(metadata!P841="",FALSE,IF(ISERROR(INT(metadata!P841)),FALSE,INT(metadata!P841)=metadata!P841)),metadata!P841&gt;0))</f>
        <v>0</v>
      </c>
      <c r="AQ841">
        <f>IF(metadata!Q841="",FALSE,TRUE)</f>
        <v>0</v>
      </c>
    </row>
    <row r="842" spans="1:43">
      <c r="A842" s="5">
        <f>IF(B842=" "," ",HYPERLINK(CONCATENATE("#metadata!",ADDRESS(INDEX($W$2:$W$1001,MATCH(ROWS($U$2:U842),$U$2:$U$1001,0),0),1)),INDEX($Z$2:$Z$1001,MATCH(ROWS($U$2:U842),$U$2:$U$1001,0),0)))</f>
        <v>0</v>
      </c>
      <c r="B842" s="4">
        <f>IF(OR(INDEX($V$2:$V$1001,MATCH(ROWS($U$2:U842),$U$2:$U$1001,0),1)&gt;=100000,INDEX($AB$1005:$AQ$1005,1,MATCH(COLUMNS($AB$1006:AB1006),$AB$1006:$AQ$1006,0))&gt;=100000), " ",IF(INDEX($AB$2:$AQ$1001,MATCH(ROWS($U$2:U842),$U$2:$U$1001,0),MATCH(COLUMNS($AB$1006:AB1006),$AB$1006:$AQ$1006,0)), HYPERLINK("#",""), HYPERLINK(CONCATENATE("#metadata!", ADDRESS(INDEX($W$2:$W$1001,MATCH(ROWS($U$2:U842),$U$2:$U$1001,0),0), INDEX($AB$1004:$AQ$1004,1,MATCH(COLUMNS($AB$1006:AB1006),$AB$1006:$AQ$1006,0)))),"Fix")))</f>
        <v>0</v>
      </c>
      <c r="C842" s="4">
        <f>IF(OR(INDEX($V$2:$V$1001,MATCH(ROWS($U$2:U842),$U$2:$U$1001,0),1)&gt;=100000,INDEX($AB$1005:$AQ$1005,1,MATCH(COLUMNS($AB$1006:AC1006),$AB$1006:$AQ$1006,0))&gt;=100000), " ",IF(INDEX($AB$2:$AQ$1001,MATCH(ROWS($U$2:U842),$U$2:$U$1001,0),MATCH(COLUMNS($AB$1006:AC1006),$AB$1006:$AQ$1006,0)), HYPERLINK("#",""), HYPERLINK(CONCATENATE("#metadata!", ADDRESS(INDEX($W$2:$W$1001,MATCH(ROWS($U$2:U842),$U$2:$U$1001,0),0), INDEX($AB$1004:$AQ$1004,1,MATCH(COLUMNS($AB$1006:AC1006),$AB$1006:$AQ$1006,0)))),"Fix")))</f>
        <v>0</v>
      </c>
      <c r="D842" s="4">
        <f>IF(OR(INDEX($V$2:$V$1001,MATCH(ROWS($U$2:U842),$U$2:$U$1001,0),1)&gt;=100000,INDEX($AB$1005:$AQ$1005,1,MATCH(COLUMNS($AB$1006:AD1006),$AB$1006:$AQ$1006,0))&gt;=100000), " ",IF(INDEX($AB$2:$AQ$1001,MATCH(ROWS($U$2:U842),$U$2:$U$1001,0),MATCH(COLUMNS($AB$1006:AD1006),$AB$1006:$AQ$1006,0)), HYPERLINK("#",""), HYPERLINK(CONCATENATE("#metadata!", ADDRESS(INDEX($W$2:$W$1001,MATCH(ROWS($U$2:U842),$U$2:$U$1001,0),0), INDEX($AB$1004:$AQ$1004,1,MATCH(COLUMNS($AB$1006:AD1006),$AB$1006:$AQ$1006,0)))),"Fix")))</f>
        <v>0</v>
      </c>
      <c r="E842" s="4">
        <f>IF(OR(INDEX($V$2:$V$1001,MATCH(ROWS($U$2:U842),$U$2:$U$1001,0),1)&gt;=100000,INDEX($AB$1005:$AQ$1005,1,MATCH(COLUMNS($AB$1006:AE1006),$AB$1006:$AQ$1006,0))&gt;=100000), " ",IF(INDEX($AB$2:$AQ$1001,MATCH(ROWS($U$2:U842),$U$2:$U$1001,0),MATCH(COLUMNS($AB$1006:AE1006),$AB$1006:$AQ$1006,0)), HYPERLINK("#",""), HYPERLINK(CONCATENATE("#metadata!", ADDRESS(INDEX($W$2:$W$1001,MATCH(ROWS($U$2:U842),$U$2:$U$1001,0),0), INDEX($AB$1004:$AQ$1004,1,MATCH(COLUMNS($AB$1006:AE1006),$AB$1006:$AQ$1006,0)))),"Fix")))</f>
        <v>0</v>
      </c>
      <c r="F842" s="4">
        <f>IF(OR(INDEX($V$2:$V$1001,MATCH(ROWS($U$2:U842),$U$2:$U$1001,0),1)&gt;=100000,INDEX($AB$1005:$AQ$1005,1,MATCH(COLUMNS($AB$1006:AF1006),$AB$1006:$AQ$1006,0))&gt;=100000), " ",IF(INDEX($AB$2:$AQ$1001,MATCH(ROWS($U$2:U842),$U$2:$U$1001,0),MATCH(COLUMNS($AB$1006:AF1006),$AB$1006:$AQ$1006,0)), HYPERLINK("#",""), HYPERLINK(CONCATENATE("#metadata!", ADDRESS(INDEX($W$2:$W$1001,MATCH(ROWS($U$2:U842),$U$2:$U$1001,0),0), INDEX($AB$1004:$AQ$1004,1,MATCH(COLUMNS($AB$1006:AF1006),$AB$1006:$AQ$1006,0)))),"Fix")))</f>
        <v>0</v>
      </c>
      <c r="G842" s="4">
        <f>IF(OR(INDEX($V$2:$V$1001,MATCH(ROWS($U$2:U842),$U$2:$U$1001,0),1)&gt;=100000,INDEX($AB$1005:$AQ$1005,1,MATCH(COLUMNS($AB$1006:AG1006),$AB$1006:$AQ$1006,0))&gt;=100000), " ",IF(INDEX($AB$2:$AQ$1001,MATCH(ROWS($U$2:U842),$U$2:$U$1001,0),MATCH(COLUMNS($AB$1006:AG1006),$AB$1006:$AQ$1006,0)), HYPERLINK("#",""), HYPERLINK(CONCATENATE("#metadata!", ADDRESS(INDEX($W$2:$W$1001,MATCH(ROWS($U$2:U842),$U$2:$U$1001,0),0), INDEX($AB$1004:$AQ$1004,1,MATCH(COLUMNS($AB$1006:AG1006),$AB$1006:$AQ$1006,0)))),"Fix")))</f>
        <v>0</v>
      </c>
      <c r="H842" s="4">
        <f>IF(OR(INDEX($V$2:$V$1001,MATCH(ROWS($U$2:U842),$U$2:$U$1001,0),1)&gt;=100000,INDEX($AB$1005:$AQ$1005,1,MATCH(COLUMNS($AB$1006:AH1006),$AB$1006:$AQ$1006,0))&gt;=100000), " ",IF(INDEX($AB$2:$AQ$1001,MATCH(ROWS($U$2:U842),$U$2:$U$1001,0),MATCH(COLUMNS($AB$1006:AH1006),$AB$1006:$AQ$1006,0)), HYPERLINK("#",""), HYPERLINK(CONCATENATE("#metadata!", ADDRESS(INDEX($W$2:$W$1001,MATCH(ROWS($U$2:U842),$U$2:$U$1001,0),0), INDEX($AB$1004:$AQ$1004,1,MATCH(COLUMNS($AB$1006:AH1006),$AB$1006:$AQ$1006,0)))),"Fix")))</f>
        <v>0</v>
      </c>
      <c r="I842" s="4">
        <f>IF(OR(INDEX($V$2:$V$1001,MATCH(ROWS($U$2:U842),$U$2:$U$1001,0),1)&gt;=100000,INDEX($AB$1005:$AQ$1005,1,MATCH(COLUMNS($AB$1006:AI1006),$AB$1006:$AQ$1006,0))&gt;=100000), " ",IF(INDEX($AB$2:$AQ$1001,MATCH(ROWS($U$2:U842),$U$2:$U$1001,0),MATCH(COLUMNS($AB$1006:AI1006),$AB$1006:$AQ$1006,0)), HYPERLINK("#",""), HYPERLINK(CONCATENATE("#metadata!", ADDRESS(INDEX($W$2:$W$1001,MATCH(ROWS($U$2:U842),$U$2:$U$1001,0),0), INDEX($AB$1004:$AQ$1004,1,MATCH(COLUMNS($AB$1006:AI1006),$AB$1006:$AQ$1006,0)))),"Fix")))</f>
        <v>0</v>
      </c>
      <c r="J842" s="4">
        <f>IF(OR(INDEX($V$2:$V$1001,MATCH(ROWS($U$2:U842),$U$2:$U$1001,0),1)&gt;=100000,INDEX($AB$1005:$AQ$1005,1,MATCH(COLUMNS($AB$1006:AJ1006),$AB$1006:$AQ$1006,0))&gt;=100000), " ",IF(INDEX($AB$2:$AQ$1001,MATCH(ROWS($U$2:U842),$U$2:$U$1001,0),MATCH(COLUMNS($AB$1006:AJ1006),$AB$1006:$AQ$1006,0)), HYPERLINK("#",""), HYPERLINK(CONCATENATE("#metadata!", ADDRESS(INDEX($W$2:$W$1001,MATCH(ROWS($U$2:U842),$U$2:$U$1001,0),0), INDEX($AB$1004:$AQ$1004,1,MATCH(COLUMNS($AB$1006:AJ1006),$AB$1006:$AQ$1006,0)))),"Fix")))</f>
        <v>0</v>
      </c>
      <c r="K842" s="4">
        <f>IF(OR(INDEX($V$2:$V$1001,MATCH(ROWS($U$2:U842),$U$2:$U$1001,0),1)&gt;=100000,INDEX($AB$1005:$AQ$1005,1,MATCH(COLUMNS($AB$1006:AK1006),$AB$1006:$AQ$1006,0))&gt;=100000), " ",IF(INDEX($AB$2:$AQ$1001,MATCH(ROWS($U$2:U842),$U$2:$U$1001,0),MATCH(COLUMNS($AB$1006:AK1006),$AB$1006:$AQ$1006,0)), HYPERLINK("#",""), HYPERLINK(CONCATENATE("#metadata!", ADDRESS(INDEX($W$2:$W$1001,MATCH(ROWS($U$2:U842),$U$2:$U$1001,0),0), INDEX($AB$1004:$AQ$1004,1,MATCH(COLUMNS($AB$1006:AK1006),$AB$1006:$AQ$1006,0)))),"Fix")))</f>
        <v>0</v>
      </c>
      <c r="L842" s="4">
        <f>IF(OR(INDEX($V$2:$V$1001,MATCH(ROWS($U$2:U842),$U$2:$U$1001,0),1)&gt;=100000,INDEX($AB$1005:$AQ$1005,1,MATCH(COLUMNS($AB$1006:AL1006),$AB$1006:$AQ$1006,0))&gt;=100000), " ",IF(INDEX($AB$2:$AQ$1001,MATCH(ROWS($U$2:U842),$U$2:$U$1001,0),MATCH(COLUMNS($AB$1006:AL1006),$AB$1006:$AQ$1006,0)), HYPERLINK("#",""), HYPERLINK(CONCATENATE("#metadata!", ADDRESS(INDEX($W$2:$W$1001,MATCH(ROWS($U$2:U842),$U$2:$U$1001,0),0), INDEX($AB$1004:$AQ$1004,1,MATCH(COLUMNS($AB$1006:AL1006),$AB$1006:$AQ$1006,0)))),"Fix")))</f>
        <v>0</v>
      </c>
      <c r="M842" s="4">
        <f>IF(OR(INDEX($V$2:$V$1001,MATCH(ROWS($U$2:U842),$U$2:$U$1001,0),1)&gt;=100000,INDEX($AB$1005:$AQ$1005,1,MATCH(COLUMNS($AB$1006:AM1006),$AB$1006:$AQ$1006,0))&gt;=100000), " ",IF(INDEX($AB$2:$AQ$1001,MATCH(ROWS($U$2:U842),$U$2:$U$1001,0),MATCH(COLUMNS($AB$1006:AM1006),$AB$1006:$AQ$1006,0)), HYPERLINK("#",""), HYPERLINK(CONCATENATE("#metadata!", ADDRESS(INDEX($W$2:$W$1001,MATCH(ROWS($U$2:U842),$U$2:$U$1001,0),0), INDEX($AB$1004:$AQ$1004,1,MATCH(COLUMNS($AB$1006:AM1006),$AB$1006:$AQ$1006,0)))),"Fix")))</f>
        <v>0</v>
      </c>
      <c r="N842" s="4">
        <f>IF(OR(INDEX($V$2:$V$1001,MATCH(ROWS($U$2:U842),$U$2:$U$1001,0),1)&gt;=100000,INDEX($AB$1005:$AQ$1005,1,MATCH(COLUMNS($AB$1006:AN1006),$AB$1006:$AQ$1006,0))&gt;=100000), " ",IF(INDEX($AB$2:$AQ$1001,MATCH(ROWS($U$2:U842),$U$2:$U$1001,0),MATCH(COLUMNS($AB$1006:AN1006),$AB$1006:$AQ$1006,0)), HYPERLINK("#",""), HYPERLINK(CONCATENATE("#metadata!", ADDRESS(INDEX($W$2:$W$1001,MATCH(ROWS($U$2:U842),$U$2:$U$1001,0),0), INDEX($AB$1004:$AQ$1004,1,MATCH(COLUMNS($AB$1006:AN1006),$AB$1006:$AQ$1006,0)))),"Fix")))</f>
        <v>0</v>
      </c>
      <c r="O842" s="4">
        <f>IF(OR(INDEX($V$2:$V$1001,MATCH(ROWS($U$2:U842),$U$2:$U$1001,0),1)&gt;=100000,INDEX($AB$1005:$AQ$1005,1,MATCH(COLUMNS($AB$1006:AO1006),$AB$1006:$AQ$1006,0))&gt;=100000), " ",IF(INDEX($AB$2:$AQ$1001,MATCH(ROWS($U$2:U842),$U$2:$U$1001,0),MATCH(COLUMNS($AB$1006:AO1006),$AB$1006:$AQ$1006,0)), HYPERLINK("#",""), HYPERLINK(CONCATENATE("#metadata!", ADDRESS(INDEX($W$2:$W$1001,MATCH(ROWS($U$2:U842),$U$2:$U$1001,0),0), INDEX($AB$1004:$AQ$1004,1,MATCH(COLUMNS($AB$1006:AO1006),$AB$1006:$AQ$1006,0)))),"Fix")))</f>
        <v>0</v>
      </c>
      <c r="P842" s="4">
        <f>IF(OR(INDEX($V$2:$V$1001,MATCH(ROWS($U$2:U842),$U$2:$U$1001,0),1)&gt;=100000,INDEX($AB$1005:$AQ$1005,1,MATCH(COLUMNS($AB$1006:AP1006),$AB$1006:$AQ$1006,0))&gt;=100000), " ",IF(INDEX($AB$2:$AQ$1001,MATCH(ROWS($U$2:U842),$U$2:$U$1001,0),MATCH(COLUMNS($AB$1006:AP1006),$AB$1006:$AQ$1006,0)), HYPERLINK("#",""), HYPERLINK(CONCATENATE("#metadata!", ADDRESS(INDEX($W$2:$W$1001,MATCH(ROWS($U$2:U842),$U$2:$U$1001,0),0), INDEX($AB$1004:$AQ$1004,1,MATCH(COLUMNS($AB$1006:AP1006),$AB$1006:$AQ$1006,0)))),"Fix")))</f>
        <v>0</v>
      </c>
      <c r="Q842" s="4">
        <f>IF(OR(INDEX($V$2:$V$1001,MATCH(ROWS($U$2:U842),$U$2:$U$1001,0),1)&gt;=100000,INDEX($AB$1005:$AQ$1005,1,MATCH(COLUMNS($AB$1006:AQ1006),$AB$1006:$AQ$1006,0))&gt;=100000), " ",IF(INDEX($AB$2:$AQ$1001,MATCH(ROWS($U$2:U842),$U$2:$U$1001,0),MATCH(COLUMNS($AB$1006:AQ1006),$AB$1006:$AQ$1006,0)), HYPERLINK("#",""), HYPERLINK(CONCATENATE("#metadata!", ADDRESS(INDEX($W$2:$W$1001,MATCH(ROWS($U$2:U842),$U$2:$U$1001,0),0), INDEX($AB$1004:$AQ$1004,1,MATCH(COLUMNS($AB$1006:AQ1006),$AB$1006:$AQ$1006,0)))),"Fix")))</f>
        <v>0</v>
      </c>
      <c r="U842">
        <v>0</v>
      </c>
      <c r="V842">
        <v>0</v>
      </c>
      <c r="W842">
        <v>0</v>
      </c>
      <c r="X842">
        <f>IF(Y842,TRUE,AND(AB842:AQ842))</f>
        <v>0</v>
      </c>
      <c r="Y842">
        <f>COUNTBLANK(metadata!B842:Q842)=COLUMNS(metadata!B842:Q842)</f>
        <v>0</v>
      </c>
      <c r="Z842">
        <v>0</v>
      </c>
      <c r="AB842">
        <f>AND(IF(metadata!B842="",FALSE,TRUE),COUNTIF(metadata!B:B, metadata!B842) = 1,NOT(ISERROR(SUMPRODUCT(SEARCH(MID(metadata!B842,ROW(INDIRECT("1:"&amp;LEN(metadata!B842))), 1),"0123456789abcdefghijklmnopqrstuvwxyzABCDEFGHIJKLMNOPQRSTUVWXYZ.")))))</f>
        <v>0</v>
      </c>
      <c r="AC842">
        <f>OR(AND(IF(metadata!C842="",FALSE,TRUE),OR(exact(metadata!C842,"missing: not collected"),exact(metadata!C842,"missing: not provided"),exact(metadata!C842,"missing: restricted access"))),AND(IF(metadata!C842="",FALSE,TRUE),AND(AND(IFERROR(INT(LEFT(metadata!C842,4))&gt;1900,FALSE),IFERROR(INT(LEFT(metadata!C842,4))&lt;=YEAR(NOW()),FALSE)), OR(MID(metadata!C842,5,1)="", AND(AND(MID(metadata!C842,5,1)="-",IFERROR(INT(MID(metadata!C842,6,1))&gt;=0,FALSE),IFERROR(INT(MID(metadata!C842,6,1))&lt;=1,FALSE),NOT(MID(metadata!C842,7,1)=""),IFERROR(INT(MID(metadata!C842,6,2))&gt;=1,FALSE),IFERROR(INT(MID(metadata!C842,6,2))&lt;=12,FALSE)), OR(MID(metadata!C842,8,1)="", AND(AND(MID(metadata!C842,8,1)="-",IFERROR(INT(MID(metadata!C842,9,1))&gt;=0,FALSE),IFERROR(INT(MID(metadata!C842,9,1))&lt;=3,FALSE),NOT(MID(metadata!C842,10,1)=""),IFERROR(INT(MID(metadata!C842,9,2))&gt;=1,FALSE),IFERROR(INT(MID(metadata!C842,9,2))&lt;=31,FALSE)), OR(MID(metadata!C842,11,1)="", AND(AND(MID(metadata!C842,11,1)=" ",IFERROR(INT(MID(metadata!C842,12,1))&gt;=0,FALSE),IFERROR(INT(MID(metadata!C842,12,1))&lt;=2,FALSE),NOT(MID(metadata!C842,13,1)=""),IFERROR(INT(MID(metadata!C842,12,2))&gt;=0,FALSE),IFERROR(INT(MID(metadata!C842,12,2))&lt;=23,FALSE)), OR(MID(metadata!C842,14,1)="", AND(AND(MID(metadata!C842,14,1)=":",IFERROR(INT(MID(metadata!C842,15,1))&gt;=0,FALSE),IFERROR(INT(MID(metadata!C842,15,1))&lt;=5,FALSE),NOT(MID(metadata!C842,16,1)=""),IFERROR(INT(MID(metadata!C842,15,2))&gt;=0,FALSE),IFERROR(INT(MID(metadata!C842,15,2))&lt;=59,FALSE)), OR(MID(metadata!C842,17,1)="", AND(AND(MID(metadata!C842,17,1)=":",IFERROR(INT(MID(metadata!C842,18,1))&gt;=0,FALSE),IFERROR(INT(MID(metadata!C842,18,1))&lt;=5,FALSE),NOT(MID(metadata!C842,19,1)=""),IFERROR(INT(MID(metadata!C842,18,2))&gt;=0,FALSE),IFERROR(INT(MID(metadata!C842,18,2))&lt;=59,FALSE)), LEN(metadata!C842)&lt;=19)))))))))))))</f>
        <v>0</v>
      </c>
      <c r="AD842">
        <f>IF(metadata!D842="",FALSE,TRUE)</f>
        <v>0</v>
      </c>
      <c r="AE842">
        <f>OR(AND(IF(metadata!E842="",FALSE,TRUE),OR(exact(metadata!E842,"missing: not collected"),exact(metadata!E842,"missing: not provided"))),AND(IF(metadata!E842="",FALSE,TRUE),OR(exact(metadata!E842,"TRUE"),exact(metadata!E842,"FALSE"))))</f>
        <v>0</v>
      </c>
      <c r="AF842">
        <f>IF(metadata!F842="",FALSE,TRUE)</f>
        <v>0</v>
      </c>
      <c r="AG842">
        <f>IF(metadata!G842="",FALSE,TRUE)</f>
        <v>0</v>
      </c>
      <c r="AH842">
        <f>IF(metadata!H842="",FALSE,TRUE)</f>
        <v>0</v>
      </c>
      <c r="AI842">
        <f>OR(AND(IF(metadata!I842="",FALSE,TRUE),OR(exact(metadata!I842,"missing: not collected"),exact(metadata!I842,"missing: not provided"),exact(metadata!I842,"missing: restricted access"))),AND(IF(metadata!I842="",FALSE,TRUE),OR(exact(metadata!I842,"air"),exact(metadata!I842,"built environment"),exact(metadata!I842,"host-associated"),exact(metadata!I842,"human-associated"),exact(metadata!I842,"human-skin"),exact(metadata!I842,"human-oral"),exact(metadata!I842,"human-gut"),exact(metadata!I842,"human-vaginal"),exact(metadata!I842,"microbial mat/biofilm"),exact(metadata!I842,"misc environment"),exact(metadata!I842,"plant-associated"),exact(metadata!I842,"sediment"),exact(metadata!I842,"soil"),exact(metadata!I842,"wastewater/sludge"),exact(metadata!I842,"water"))))</f>
        <v>0</v>
      </c>
      <c r="AJ842">
        <f>IF(metadata!J842="",FALSE,TRUE)</f>
        <v>0</v>
      </c>
      <c r="AK842">
        <f>OR(AND(IF(metadata!K842="",FALSE,TRUE),OR(exact(metadata!K842,"missing: not collected"),exact(metadata!K842,"missing: not provided"),exact(metadata!K842,"missing: restricted access"))),AND(IF(metadata!K842="",FALSE,ISNUMBER(VALUE(metadata!K842))),metadata!K842&gt;=-90.00,metadata!K842&lt;=90.00))</f>
        <v>0</v>
      </c>
      <c r="AL842">
        <f>OR(AND(IF(metadata!L842="",FALSE,TRUE),OR(exact(metadata!L842,"missing: not collected"),exact(metadata!L842,"missing: not provided"),exact(metadata!L842,"missing: restricted access"))),AND(IF(metadata!L842="",FALSE,ISNUMBER(VALUE(metadata!L842))),metadata!L842&gt;=-180.00,metadata!L842&lt;=180.00))</f>
        <v>0</v>
      </c>
      <c r="AM842">
        <f>IF(metadata!M842="",FALSE,TRUE)</f>
        <v>0</v>
      </c>
      <c r="AN842">
        <f>OR(AND(IF(metadata!N842="",FALSE,TRUE),OR(exact(metadata!N842,"missing: not collected"),exact(metadata!N842,"missing: not provided"),exact(metadata!N842,"missing: restricted access"))),AND(IF(metadata!N842="",FALSE,TRUE),OR(exact(metadata!N842,"TRUE"),exact(metadata!N842,"FALSE"))))</f>
        <v>0</v>
      </c>
      <c r="AO842">
        <f>IF(metadata!O842="",FALSE,TRUE)</f>
        <v>0</v>
      </c>
      <c r="AP842">
        <f>OR(AND(IF(metadata!P842="",FALSE,TRUE),OR(exact(metadata!P842,"missing: not collected"),exact(metadata!P842,"missing: not provided"))),AND(IF(metadata!P842="",FALSE,IF(ISERROR(INT(metadata!P842)),FALSE,INT(metadata!P842)=metadata!P842)),metadata!P842&gt;0))</f>
        <v>0</v>
      </c>
      <c r="AQ842">
        <f>IF(metadata!Q842="",FALSE,TRUE)</f>
        <v>0</v>
      </c>
    </row>
    <row r="843" spans="1:43">
      <c r="A843" s="5">
        <f>IF(B843=" "," ",HYPERLINK(CONCATENATE("#metadata!",ADDRESS(INDEX($W$2:$W$1001,MATCH(ROWS($U$2:U843),$U$2:$U$1001,0),0),1)),INDEX($Z$2:$Z$1001,MATCH(ROWS($U$2:U843),$U$2:$U$1001,0),0)))</f>
        <v>0</v>
      </c>
      <c r="B843" s="4">
        <f>IF(OR(INDEX($V$2:$V$1001,MATCH(ROWS($U$2:U843),$U$2:$U$1001,0),1)&gt;=100000,INDEX($AB$1005:$AQ$1005,1,MATCH(COLUMNS($AB$1006:AB1006),$AB$1006:$AQ$1006,0))&gt;=100000), " ",IF(INDEX($AB$2:$AQ$1001,MATCH(ROWS($U$2:U843),$U$2:$U$1001,0),MATCH(COLUMNS($AB$1006:AB1006),$AB$1006:$AQ$1006,0)), HYPERLINK("#",""), HYPERLINK(CONCATENATE("#metadata!", ADDRESS(INDEX($W$2:$W$1001,MATCH(ROWS($U$2:U843),$U$2:$U$1001,0),0), INDEX($AB$1004:$AQ$1004,1,MATCH(COLUMNS($AB$1006:AB1006),$AB$1006:$AQ$1006,0)))),"Fix")))</f>
        <v>0</v>
      </c>
      <c r="C843" s="4">
        <f>IF(OR(INDEX($V$2:$V$1001,MATCH(ROWS($U$2:U843),$U$2:$U$1001,0),1)&gt;=100000,INDEX($AB$1005:$AQ$1005,1,MATCH(COLUMNS($AB$1006:AC1006),$AB$1006:$AQ$1006,0))&gt;=100000), " ",IF(INDEX($AB$2:$AQ$1001,MATCH(ROWS($U$2:U843),$U$2:$U$1001,0),MATCH(COLUMNS($AB$1006:AC1006),$AB$1006:$AQ$1006,0)), HYPERLINK("#",""), HYPERLINK(CONCATENATE("#metadata!", ADDRESS(INDEX($W$2:$W$1001,MATCH(ROWS($U$2:U843),$U$2:$U$1001,0),0), INDEX($AB$1004:$AQ$1004,1,MATCH(COLUMNS($AB$1006:AC1006),$AB$1006:$AQ$1006,0)))),"Fix")))</f>
        <v>0</v>
      </c>
      <c r="D843" s="4">
        <f>IF(OR(INDEX($V$2:$V$1001,MATCH(ROWS($U$2:U843),$U$2:$U$1001,0),1)&gt;=100000,INDEX($AB$1005:$AQ$1005,1,MATCH(COLUMNS($AB$1006:AD1006),$AB$1006:$AQ$1006,0))&gt;=100000), " ",IF(INDEX($AB$2:$AQ$1001,MATCH(ROWS($U$2:U843),$U$2:$U$1001,0),MATCH(COLUMNS($AB$1006:AD1006),$AB$1006:$AQ$1006,0)), HYPERLINK("#",""), HYPERLINK(CONCATENATE("#metadata!", ADDRESS(INDEX($W$2:$W$1001,MATCH(ROWS($U$2:U843),$U$2:$U$1001,0),0), INDEX($AB$1004:$AQ$1004,1,MATCH(COLUMNS($AB$1006:AD1006),$AB$1006:$AQ$1006,0)))),"Fix")))</f>
        <v>0</v>
      </c>
      <c r="E843" s="4">
        <f>IF(OR(INDEX($V$2:$V$1001,MATCH(ROWS($U$2:U843),$U$2:$U$1001,0),1)&gt;=100000,INDEX($AB$1005:$AQ$1005,1,MATCH(COLUMNS($AB$1006:AE1006),$AB$1006:$AQ$1006,0))&gt;=100000), " ",IF(INDEX($AB$2:$AQ$1001,MATCH(ROWS($U$2:U843),$U$2:$U$1001,0),MATCH(COLUMNS($AB$1006:AE1006),$AB$1006:$AQ$1006,0)), HYPERLINK("#",""), HYPERLINK(CONCATENATE("#metadata!", ADDRESS(INDEX($W$2:$W$1001,MATCH(ROWS($U$2:U843),$U$2:$U$1001,0),0), INDEX($AB$1004:$AQ$1004,1,MATCH(COLUMNS($AB$1006:AE1006),$AB$1006:$AQ$1006,0)))),"Fix")))</f>
        <v>0</v>
      </c>
      <c r="F843" s="4">
        <f>IF(OR(INDEX($V$2:$V$1001,MATCH(ROWS($U$2:U843),$U$2:$U$1001,0),1)&gt;=100000,INDEX($AB$1005:$AQ$1005,1,MATCH(COLUMNS($AB$1006:AF1006),$AB$1006:$AQ$1006,0))&gt;=100000), " ",IF(INDEX($AB$2:$AQ$1001,MATCH(ROWS($U$2:U843),$U$2:$U$1001,0),MATCH(COLUMNS($AB$1006:AF1006),$AB$1006:$AQ$1006,0)), HYPERLINK("#",""), HYPERLINK(CONCATENATE("#metadata!", ADDRESS(INDEX($W$2:$W$1001,MATCH(ROWS($U$2:U843),$U$2:$U$1001,0),0), INDEX($AB$1004:$AQ$1004,1,MATCH(COLUMNS($AB$1006:AF1006),$AB$1006:$AQ$1006,0)))),"Fix")))</f>
        <v>0</v>
      </c>
      <c r="G843" s="4">
        <f>IF(OR(INDEX($V$2:$V$1001,MATCH(ROWS($U$2:U843),$U$2:$U$1001,0),1)&gt;=100000,INDEX($AB$1005:$AQ$1005,1,MATCH(COLUMNS($AB$1006:AG1006),$AB$1006:$AQ$1006,0))&gt;=100000), " ",IF(INDEX($AB$2:$AQ$1001,MATCH(ROWS($U$2:U843),$U$2:$U$1001,0),MATCH(COLUMNS($AB$1006:AG1006),$AB$1006:$AQ$1006,0)), HYPERLINK("#",""), HYPERLINK(CONCATENATE("#metadata!", ADDRESS(INDEX($W$2:$W$1001,MATCH(ROWS($U$2:U843),$U$2:$U$1001,0),0), INDEX($AB$1004:$AQ$1004,1,MATCH(COLUMNS($AB$1006:AG1006),$AB$1006:$AQ$1006,0)))),"Fix")))</f>
        <v>0</v>
      </c>
      <c r="H843" s="4">
        <f>IF(OR(INDEX($V$2:$V$1001,MATCH(ROWS($U$2:U843),$U$2:$U$1001,0),1)&gt;=100000,INDEX($AB$1005:$AQ$1005,1,MATCH(COLUMNS($AB$1006:AH1006),$AB$1006:$AQ$1006,0))&gt;=100000), " ",IF(INDEX($AB$2:$AQ$1001,MATCH(ROWS($U$2:U843),$U$2:$U$1001,0),MATCH(COLUMNS($AB$1006:AH1006),$AB$1006:$AQ$1006,0)), HYPERLINK("#",""), HYPERLINK(CONCATENATE("#metadata!", ADDRESS(INDEX($W$2:$W$1001,MATCH(ROWS($U$2:U843),$U$2:$U$1001,0),0), INDEX($AB$1004:$AQ$1004,1,MATCH(COLUMNS($AB$1006:AH1006),$AB$1006:$AQ$1006,0)))),"Fix")))</f>
        <v>0</v>
      </c>
      <c r="I843" s="4">
        <f>IF(OR(INDEX($V$2:$V$1001,MATCH(ROWS($U$2:U843),$U$2:$U$1001,0),1)&gt;=100000,INDEX($AB$1005:$AQ$1005,1,MATCH(COLUMNS($AB$1006:AI1006),$AB$1006:$AQ$1006,0))&gt;=100000), " ",IF(INDEX($AB$2:$AQ$1001,MATCH(ROWS($U$2:U843),$U$2:$U$1001,0),MATCH(COLUMNS($AB$1006:AI1006),$AB$1006:$AQ$1006,0)), HYPERLINK("#",""), HYPERLINK(CONCATENATE("#metadata!", ADDRESS(INDEX($W$2:$W$1001,MATCH(ROWS($U$2:U843),$U$2:$U$1001,0),0), INDEX($AB$1004:$AQ$1004,1,MATCH(COLUMNS($AB$1006:AI1006),$AB$1006:$AQ$1006,0)))),"Fix")))</f>
        <v>0</v>
      </c>
      <c r="J843" s="4">
        <f>IF(OR(INDEX($V$2:$V$1001,MATCH(ROWS($U$2:U843),$U$2:$U$1001,0),1)&gt;=100000,INDEX($AB$1005:$AQ$1005,1,MATCH(COLUMNS($AB$1006:AJ1006),$AB$1006:$AQ$1006,0))&gt;=100000), " ",IF(INDEX($AB$2:$AQ$1001,MATCH(ROWS($U$2:U843),$U$2:$U$1001,0),MATCH(COLUMNS($AB$1006:AJ1006),$AB$1006:$AQ$1006,0)), HYPERLINK("#",""), HYPERLINK(CONCATENATE("#metadata!", ADDRESS(INDEX($W$2:$W$1001,MATCH(ROWS($U$2:U843),$U$2:$U$1001,0),0), INDEX($AB$1004:$AQ$1004,1,MATCH(COLUMNS($AB$1006:AJ1006),$AB$1006:$AQ$1006,0)))),"Fix")))</f>
        <v>0</v>
      </c>
      <c r="K843" s="4">
        <f>IF(OR(INDEX($V$2:$V$1001,MATCH(ROWS($U$2:U843),$U$2:$U$1001,0),1)&gt;=100000,INDEX($AB$1005:$AQ$1005,1,MATCH(COLUMNS($AB$1006:AK1006),$AB$1006:$AQ$1006,0))&gt;=100000), " ",IF(INDEX($AB$2:$AQ$1001,MATCH(ROWS($U$2:U843),$U$2:$U$1001,0),MATCH(COLUMNS($AB$1006:AK1006),$AB$1006:$AQ$1006,0)), HYPERLINK("#",""), HYPERLINK(CONCATENATE("#metadata!", ADDRESS(INDEX($W$2:$W$1001,MATCH(ROWS($U$2:U843),$U$2:$U$1001,0),0), INDEX($AB$1004:$AQ$1004,1,MATCH(COLUMNS($AB$1006:AK1006),$AB$1006:$AQ$1006,0)))),"Fix")))</f>
        <v>0</v>
      </c>
      <c r="L843" s="4">
        <f>IF(OR(INDEX($V$2:$V$1001,MATCH(ROWS($U$2:U843),$U$2:$U$1001,0),1)&gt;=100000,INDEX($AB$1005:$AQ$1005,1,MATCH(COLUMNS($AB$1006:AL1006),$AB$1006:$AQ$1006,0))&gt;=100000), " ",IF(INDEX($AB$2:$AQ$1001,MATCH(ROWS($U$2:U843),$U$2:$U$1001,0),MATCH(COLUMNS($AB$1006:AL1006),$AB$1006:$AQ$1006,0)), HYPERLINK("#",""), HYPERLINK(CONCATENATE("#metadata!", ADDRESS(INDEX($W$2:$W$1001,MATCH(ROWS($U$2:U843),$U$2:$U$1001,0),0), INDEX($AB$1004:$AQ$1004,1,MATCH(COLUMNS($AB$1006:AL1006),$AB$1006:$AQ$1006,0)))),"Fix")))</f>
        <v>0</v>
      </c>
      <c r="M843" s="4">
        <f>IF(OR(INDEX($V$2:$V$1001,MATCH(ROWS($U$2:U843),$U$2:$U$1001,0),1)&gt;=100000,INDEX($AB$1005:$AQ$1005,1,MATCH(COLUMNS($AB$1006:AM1006),$AB$1006:$AQ$1006,0))&gt;=100000), " ",IF(INDEX($AB$2:$AQ$1001,MATCH(ROWS($U$2:U843),$U$2:$U$1001,0),MATCH(COLUMNS($AB$1006:AM1006),$AB$1006:$AQ$1006,0)), HYPERLINK("#",""), HYPERLINK(CONCATENATE("#metadata!", ADDRESS(INDEX($W$2:$W$1001,MATCH(ROWS($U$2:U843),$U$2:$U$1001,0),0), INDEX($AB$1004:$AQ$1004,1,MATCH(COLUMNS($AB$1006:AM1006),$AB$1006:$AQ$1006,0)))),"Fix")))</f>
        <v>0</v>
      </c>
      <c r="N843" s="4">
        <f>IF(OR(INDEX($V$2:$V$1001,MATCH(ROWS($U$2:U843),$U$2:$U$1001,0),1)&gt;=100000,INDEX($AB$1005:$AQ$1005,1,MATCH(COLUMNS($AB$1006:AN1006),$AB$1006:$AQ$1006,0))&gt;=100000), " ",IF(INDEX($AB$2:$AQ$1001,MATCH(ROWS($U$2:U843),$U$2:$U$1001,0),MATCH(COLUMNS($AB$1006:AN1006),$AB$1006:$AQ$1006,0)), HYPERLINK("#",""), HYPERLINK(CONCATENATE("#metadata!", ADDRESS(INDEX($W$2:$W$1001,MATCH(ROWS($U$2:U843),$U$2:$U$1001,0),0), INDEX($AB$1004:$AQ$1004,1,MATCH(COLUMNS($AB$1006:AN1006),$AB$1006:$AQ$1006,0)))),"Fix")))</f>
        <v>0</v>
      </c>
      <c r="O843" s="4">
        <f>IF(OR(INDEX($V$2:$V$1001,MATCH(ROWS($U$2:U843),$U$2:$U$1001,0),1)&gt;=100000,INDEX($AB$1005:$AQ$1005,1,MATCH(COLUMNS($AB$1006:AO1006),$AB$1006:$AQ$1006,0))&gt;=100000), " ",IF(INDEX($AB$2:$AQ$1001,MATCH(ROWS($U$2:U843),$U$2:$U$1001,0),MATCH(COLUMNS($AB$1006:AO1006),$AB$1006:$AQ$1006,0)), HYPERLINK("#",""), HYPERLINK(CONCATENATE("#metadata!", ADDRESS(INDEX($W$2:$W$1001,MATCH(ROWS($U$2:U843),$U$2:$U$1001,0),0), INDEX($AB$1004:$AQ$1004,1,MATCH(COLUMNS($AB$1006:AO1006),$AB$1006:$AQ$1006,0)))),"Fix")))</f>
        <v>0</v>
      </c>
      <c r="P843" s="4">
        <f>IF(OR(INDEX($V$2:$V$1001,MATCH(ROWS($U$2:U843),$U$2:$U$1001,0),1)&gt;=100000,INDEX($AB$1005:$AQ$1005,1,MATCH(COLUMNS($AB$1006:AP1006),$AB$1006:$AQ$1006,0))&gt;=100000), " ",IF(INDEX($AB$2:$AQ$1001,MATCH(ROWS($U$2:U843),$U$2:$U$1001,0),MATCH(COLUMNS($AB$1006:AP1006),$AB$1006:$AQ$1006,0)), HYPERLINK("#",""), HYPERLINK(CONCATENATE("#metadata!", ADDRESS(INDEX($W$2:$W$1001,MATCH(ROWS($U$2:U843),$U$2:$U$1001,0),0), INDEX($AB$1004:$AQ$1004,1,MATCH(COLUMNS($AB$1006:AP1006),$AB$1006:$AQ$1006,0)))),"Fix")))</f>
        <v>0</v>
      </c>
      <c r="Q843" s="4">
        <f>IF(OR(INDEX($V$2:$V$1001,MATCH(ROWS($U$2:U843),$U$2:$U$1001,0),1)&gt;=100000,INDEX($AB$1005:$AQ$1005,1,MATCH(COLUMNS($AB$1006:AQ1006),$AB$1006:$AQ$1006,0))&gt;=100000), " ",IF(INDEX($AB$2:$AQ$1001,MATCH(ROWS($U$2:U843),$U$2:$U$1001,0),MATCH(COLUMNS($AB$1006:AQ1006),$AB$1006:$AQ$1006,0)), HYPERLINK("#",""), HYPERLINK(CONCATENATE("#metadata!", ADDRESS(INDEX($W$2:$W$1001,MATCH(ROWS($U$2:U843),$U$2:$U$1001,0),0), INDEX($AB$1004:$AQ$1004,1,MATCH(COLUMNS($AB$1006:AQ1006),$AB$1006:$AQ$1006,0)))),"Fix")))</f>
        <v>0</v>
      </c>
      <c r="U843">
        <v>0</v>
      </c>
      <c r="V843">
        <v>0</v>
      </c>
      <c r="W843">
        <v>0</v>
      </c>
      <c r="X843">
        <f>IF(Y843,TRUE,AND(AB843:AQ843))</f>
        <v>0</v>
      </c>
      <c r="Y843">
        <f>COUNTBLANK(metadata!B843:Q843)=COLUMNS(metadata!B843:Q843)</f>
        <v>0</v>
      </c>
      <c r="Z843">
        <v>0</v>
      </c>
      <c r="AB843">
        <f>AND(IF(metadata!B843="",FALSE,TRUE),COUNTIF(metadata!B:B, metadata!B843) = 1,NOT(ISERROR(SUMPRODUCT(SEARCH(MID(metadata!B843,ROW(INDIRECT("1:"&amp;LEN(metadata!B843))), 1),"0123456789abcdefghijklmnopqrstuvwxyzABCDEFGHIJKLMNOPQRSTUVWXYZ.")))))</f>
        <v>0</v>
      </c>
      <c r="AC843">
        <f>OR(AND(IF(metadata!C843="",FALSE,TRUE),OR(exact(metadata!C843,"missing: not collected"),exact(metadata!C843,"missing: not provided"),exact(metadata!C843,"missing: restricted access"))),AND(IF(metadata!C843="",FALSE,TRUE),AND(AND(IFERROR(INT(LEFT(metadata!C843,4))&gt;1900,FALSE),IFERROR(INT(LEFT(metadata!C843,4))&lt;=YEAR(NOW()),FALSE)), OR(MID(metadata!C843,5,1)="", AND(AND(MID(metadata!C843,5,1)="-",IFERROR(INT(MID(metadata!C843,6,1))&gt;=0,FALSE),IFERROR(INT(MID(metadata!C843,6,1))&lt;=1,FALSE),NOT(MID(metadata!C843,7,1)=""),IFERROR(INT(MID(metadata!C843,6,2))&gt;=1,FALSE),IFERROR(INT(MID(metadata!C843,6,2))&lt;=12,FALSE)), OR(MID(metadata!C843,8,1)="", AND(AND(MID(metadata!C843,8,1)="-",IFERROR(INT(MID(metadata!C843,9,1))&gt;=0,FALSE),IFERROR(INT(MID(metadata!C843,9,1))&lt;=3,FALSE),NOT(MID(metadata!C843,10,1)=""),IFERROR(INT(MID(metadata!C843,9,2))&gt;=1,FALSE),IFERROR(INT(MID(metadata!C843,9,2))&lt;=31,FALSE)), OR(MID(metadata!C843,11,1)="", AND(AND(MID(metadata!C843,11,1)=" ",IFERROR(INT(MID(metadata!C843,12,1))&gt;=0,FALSE),IFERROR(INT(MID(metadata!C843,12,1))&lt;=2,FALSE),NOT(MID(metadata!C843,13,1)=""),IFERROR(INT(MID(metadata!C843,12,2))&gt;=0,FALSE),IFERROR(INT(MID(metadata!C843,12,2))&lt;=23,FALSE)), OR(MID(metadata!C843,14,1)="", AND(AND(MID(metadata!C843,14,1)=":",IFERROR(INT(MID(metadata!C843,15,1))&gt;=0,FALSE),IFERROR(INT(MID(metadata!C843,15,1))&lt;=5,FALSE),NOT(MID(metadata!C843,16,1)=""),IFERROR(INT(MID(metadata!C843,15,2))&gt;=0,FALSE),IFERROR(INT(MID(metadata!C843,15,2))&lt;=59,FALSE)), OR(MID(metadata!C843,17,1)="", AND(AND(MID(metadata!C843,17,1)=":",IFERROR(INT(MID(metadata!C843,18,1))&gt;=0,FALSE),IFERROR(INT(MID(metadata!C843,18,1))&lt;=5,FALSE),NOT(MID(metadata!C843,19,1)=""),IFERROR(INT(MID(metadata!C843,18,2))&gt;=0,FALSE),IFERROR(INT(MID(metadata!C843,18,2))&lt;=59,FALSE)), LEN(metadata!C843)&lt;=19)))))))))))))</f>
        <v>0</v>
      </c>
      <c r="AD843">
        <f>IF(metadata!D843="",FALSE,TRUE)</f>
        <v>0</v>
      </c>
      <c r="AE843">
        <f>OR(AND(IF(metadata!E843="",FALSE,TRUE),OR(exact(metadata!E843,"missing: not collected"),exact(metadata!E843,"missing: not provided"))),AND(IF(metadata!E843="",FALSE,TRUE),OR(exact(metadata!E843,"TRUE"),exact(metadata!E843,"FALSE"))))</f>
        <v>0</v>
      </c>
      <c r="AF843">
        <f>IF(metadata!F843="",FALSE,TRUE)</f>
        <v>0</v>
      </c>
      <c r="AG843">
        <f>IF(metadata!G843="",FALSE,TRUE)</f>
        <v>0</v>
      </c>
      <c r="AH843">
        <f>IF(metadata!H843="",FALSE,TRUE)</f>
        <v>0</v>
      </c>
      <c r="AI843">
        <f>OR(AND(IF(metadata!I843="",FALSE,TRUE),OR(exact(metadata!I843,"missing: not collected"),exact(metadata!I843,"missing: not provided"),exact(metadata!I843,"missing: restricted access"))),AND(IF(metadata!I843="",FALSE,TRUE),OR(exact(metadata!I843,"air"),exact(metadata!I843,"built environment"),exact(metadata!I843,"host-associated"),exact(metadata!I843,"human-associated"),exact(metadata!I843,"human-skin"),exact(metadata!I843,"human-oral"),exact(metadata!I843,"human-gut"),exact(metadata!I843,"human-vaginal"),exact(metadata!I843,"microbial mat/biofilm"),exact(metadata!I843,"misc environment"),exact(metadata!I843,"plant-associated"),exact(metadata!I843,"sediment"),exact(metadata!I843,"soil"),exact(metadata!I843,"wastewater/sludge"),exact(metadata!I843,"water"))))</f>
        <v>0</v>
      </c>
      <c r="AJ843">
        <f>IF(metadata!J843="",FALSE,TRUE)</f>
        <v>0</v>
      </c>
      <c r="AK843">
        <f>OR(AND(IF(metadata!K843="",FALSE,TRUE),OR(exact(metadata!K843,"missing: not collected"),exact(metadata!K843,"missing: not provided"),exact(metadata!K843,"missing: restricted access"))),AND(IF(metadata!K843="",FALSE,ISNUMBER(VALUE(metadata!K843))),metadata!K843&gt;=-90.00,metadata!K843&lt;=90.00))</f>
        <v>0</v>
      </c>
      <c r="AL843">
        <f>OR(AND(IF(metadata!L843="",FALSE,TRUE),OR(exact(metadata!L843,"missing: not collected"),exact(metadata!L843,"missing: not provided"),exact(metadata!L843,"missing: restricted access"))),AND(IF(metadata!L843="",FALSE,ISNUMBER(VALUE(metadata!L843))),metadata!L843&gt;=-180.00,metadata!L843&lt;=180.00))</f>
        <v>0</v>
      </c>
      <c r="AM843">
        <f>IF(metadata!M843="",FALSE,TRUE)</f>
        <v>0</v>
      </c>
      <c r="AN843">
        <f>OR(AND(IF(metadata!N843="",FALSE,TRUE),OR(exact(metadata!N843,"missing: not collected"),exact(metadata!N843,"missing: not provided"),exact(metadata!N843,"missing: restricted access"))),AND(IF(metadata!N843="",FALSE,TRUE),OR(exact(metadata!N843,"TRUE"),exact(metadata!N843,"FALSE"))))</f>
        <v>0</v>
      </c>
      <c r="AO843">
        <f>IF(metadata!O843="",FALSE,TRUE)</f>
        <v>0</v>
      </c>
      <c r="AP843">
        <f>OR(AND(IF(metadata!P843="",FALSE,TRUE),OR(exact(metadata!P843,"missing: not collected"),exact(metadata!P843,"missing: not provided"))),AND(IF(metadata!P843="",FALSE,IF(ISERROR(INT(metadata!P843)),FALSE,INT(metadata!P843)=metadata!P843)),metadata!P843&gt;0))</f>
        <v>0</v>
      </c>
      <c r="AQ843">
        <f>IF(metadata!Q843="",FALSE,TRUE)</f>
        <v>0</v>
      </c>
    </row>
    <row r="844" spans="1:43">
      <c r="A844" s="5">
        <f>IF(B844=" "," ",HYPERLINK(CONCATENATE("#metadata!",ADDRESS(INDEX($W$2:$W$1001,MATCH(ROWS($U$2:U844),$U$2:$U$1001,0),0),1)),INDEX($Z$2:$Z$1001,MATCH(ROWS($U$2:U844),$U$2:$U$1001,0),0)))</f>
        <v>0</v>
      </c>
      <c r="B844" s="4">
        <f>IF(OR(INDEX($V$2:$V$1001,MATCH(ROWS($U$2:U844),$U$2:$U$1001,0),1)&gt;=100000,INDEX($AB$1005:$AQ$1005,1,MATCH(COLUMNS($AB$1006:AB1006),$AB$1006:$AQ$1006,0))&gt;=100000), " ",IF(INDEX($AB$2:$AQ$1001,MATCH(ROWS($U$2:U844),$U$2:$U$1001,0),MATCH(COLUMNS($AB$1006:AB1006),$AB$1006:$AQ$1006,0)), HYPERLINK("#",""), HYPERLINK(CONCATENATE("#metadata!", ADDRESS(INDEX($W$2:$W$1001,MATCH(ROWS($U$2:U844),$U$2:$U$1001,0),0), INDEX($AB$1004:$AQ$1004,1,MATCH(COLUMNS($AB$1006:AB1006),$AB$1006:$AQ$1006,0)))),"Fix")))</f>
        <v>0</v>
      </c>
      <c r="C844" s="4">
        <f>IF(OR(INDEX($V$2:$V$1001,MATCH(ROWS($U$2:U844),$U$2:$U$1001,0),1)&gt;=100000,INDEX($AB$1005:$AQ$1005,1,MATCH(COLUMNS($AB$1006:AC1006),$AB$1006:$AQ$1006,0))&gt;=100000), " ",IF(INDEX($AB$2:$AQ$1001,MATCH(ROWS($U$2:U844),$U$2:$U$1001,0),MATCH(COLUMNS($AB$1006:AC1006),$AB$1006:$AQ$1006,0)), HYPERLINK("#",""), HYPERLINK(CONCATENATE("#metadata!", ADDRESS(INDEX($W$2:$W$1001,MATCH(ROWS($U$2:U844),$U$2:$U$1001,0),0), INDEX($AB$1004:$AQ$1004,1,MATCH(COLUMNS($AB$1006:AC1006),$AB$1006:$AQ$1006,0)))),"Fix")))</f>
        <v>0</v>
      </c>
      <c r="D844" s="4">
        <f>IF(OR(INDEX($V$2:$V$1001,MATCH(ROWS($U$2:U844),$U$2:$U$1001,0),1)&gt;=100000,INDEX($AB$1005:$AQ$1005,1,MATCH(COLUMNS($AB$1006:AD1006),$AB$1006:$AQ$1006,0))&gt;=100000), " ",IF(INDEX($AB$2:$AQ$1001,MATCH(ROWS($U$2:U844),$U$2:$U$1001,0),MATCH(COLUMNS($AB$1006:AD1006),$AB$1006:$AQ$1006,0)), HYPERLINK("#",""), HYPERLINK(CONCATENATE("#metadata!", ADDRESS(INDEX($W$2:$W$1001,MATCH(ROWS($U$2:U844),$U$2:$U$1001,0),0), INDEX($AB$1004:$AQ$1004,1,MATCH(COLUMNS($AB$1006:AD1006),$AB$1006:$AQ$1006,0)))),"Fix")))</f>
        <v>0</v>
      </c>
      <c r="E844" s="4">
        <f>IF(OR(INDEX($V$2:$V$1001,MATCH(ROWS($U$2:U844),$U$2:$U$1001,0),1)&gt;=100000,INDEX($AB$1005:$AQ$1005,1,MATCH(COLUMNS($AB$1006:AE1006),$AB$1006:$AQ$1006,0))&gt;=100000), " ",IF(INDEX($AB$2:$AQ$1001,MATCH(ROWS($U$2:U844),$U$2:$U$1001,0),MATCH(COLUMNS($AB$1006:AE1006),$AB$1006:$AQ$1006,0)), HYPERLINK("#",""), HYPERLINK(CONCATENATE("#metadata!", ADDRESS(INDEX($W$2:$W$1001,MATCH(ROWS($U$2:U844),$U$2:$U$1001,0),0), INDEX($AB$1004:$AQ$1004,1,MATCH(COLUMNS($AB$1006:AE1006),$AB$1006:$AQ$1006,0)))),"Fix")))</f>
        <v>0</v>
      </c>
      <c r="F844" s="4">
        <f>IF(OR(INDEX($V$2:$V$1001,MATCH(ROWS($U$2:U844),$U$2:$U$1001,0),1)&gt;=100000,INDEX($AB$1005:$AQ$1005,1,MATCH(COLUMNS($AB$1006:AF1006),$AB$1006:$AQ$1006,0))&gt;=100000), " ",IF(INDEX($AB$2:$AQ$1001,MATCH(ROWS($U$2:U844),$U$2:$U$1001,0),MATCH(COLUMNS($AB$1006:AF1006),$AB$1006:$AQ$1006,0)), HYPERLINK("#",""), HYPERLINK(CONCATENATE("#metadata!", ADDRESS(INDEX($W$2:$W$1001,MATCH(ROWS($U$2:U844),$U$2:$U$1001,0),0), INDEX($AB$1004:$AQ$1004,1,MATCH(COLUMNS($AB$1006:AF1006),$AB$1006:$AQ$1006,0)))),"Fix")))</f>
        <v>0</v>
      </c>
      <c r="G844" s="4">
        <f>IF(OR(INDEX($V$2:$V$1001,MATCH(ROWS($U$2:U844),$U$2:$U$1001,0),1)&gt;=100000,INDEX($AB$1005:$AQ$1005,1,MATCH(COLUMNS($AB$1006:AG1006),$AB$1006:$AQ$1006,0))&gt;=100000), " ",IF(INDEX($AB$2:$AQ$1001,MATCH(ROWS($U$2:U844),$U$2:$U$1001,0),MATCH(COLUMNS($AB$1006:AG1006),$AB$1006:$AQ$1006,0)), HYPERLINK("#",""), HYPERLINK(CONCATENATE("#metadata!", ADDRESS(INDEX($W$2:$W$1001,MATCH(ROWS($U$2:U844),$U$2:$U$1001,0),0), INDEX($AB$1004:$AQ$1004,1,MATCH(COLUMNS($AB$1006:AG1006),$AB$1006:$AQ$1006,0)))),"Fix")))</f>
        <v>0</v>
      </c>
      <c r="H844" s="4">
        <f>IF(OR(INDEX($V$2:$V$1001,MATCH(ROWS($U$2:U844),$U$2:$U$1001,0),1)&gt;=100000,INDEX($AB$1005:$AQ$1005,1,MATCH(COLUMNS($AB$1006:AH1006),$AB$1006:$AQ$1006,0))&gt;=100000), " ",IF(INDEX($AB$2:$AQ$1001,MATCH(ROWS($U$2:U844),$U$2:$U$1001,0),MATCH(COLUMNS($AB$1006:AH1006),$AB$1006:$AQ$1006,0)), HYPERLINK("#",""), HYPERLINK(CONCATENATE("#metadata!", ADDRESS(INDEX($W$2:$W$1001,MATCH(ROWS($U$2:U844),$U$2:$U$1001,0),0), INDEX($AB$1004:$AQ$1004,1,MATCH(COLUMNS($AB$1006:AH1006),$AB$1006:$AQ$1006,0)))),"Fix")))</f>
        <v>0</v>
      </c>
      <c r="I844" s="4">
        <f>IF(OR(INDEX($V$2:$V$1001,MATCH(ROWS($U$2:U844),$U$2:$U$1001,0),1)&gt;=100000,INDEX($AB$1005:$AQ$1005,1,MATCH(COLUMNS($AB$1006:AI1006),$AB$1006:$AQ$1006,0))&gt;=100000), " ",IF(INDEX($AB$2:$AQ$1001,MATCH(ROWS($U$2:U844),$U$2:$U$1001,0),MATCH(COLUMNS($AB$1006:AI1006),$AB$1006:$AQ$1006,0)), HYPERLINK("#",""), HYPERLINK(CONCATENATE("#metadata!", ADDRESS(INDEX($W$2:$W$1001,MATCH(ROWS($U$2:U844),$U$2:$U$1001,0),0), INDEX($AB$1004:$AQ$1004,1,MATCH(COLUMNS($AB$1006:AI1006),$AB$1006:$AQ$1006,0)))),"Fix")))</f>
        <v>0</v>
      </c>
      <c r="J844" s="4">
        <f>IF(OR(INDEX($V$2:$V$1001,MATCH(ROWS($U$2:U844),$U$2:$U$1001,0),1)&gt;=100000,INDEX($AB$1005:$AQ$1005,1,MATCH(COLUMNS($AB$1006:AJ1006),$AB$1006:$AQ$1006,0))&gt;=100000), " ",IF(INDEX($AB$2:$AQ$1001,MATCH(ROWS($U$2:U844),$U$2:$U$1001,0),MATCH(COLUMNS($AB$1006:AJ1006),$AB$1006:$AQ$1006,0)), HYPERLINK("#",""), HYPERLINK(CONCATENATE("#metadata!", ADDRESS(INDEX($W$2:$W$1001,MATCH(ROWS($U$2:U844),$U$2:$U$1001,0),0), INDEX($AB$1004:$AQ$1004,1,MATCH(COLUMNS($AB$1006:AJ1006),$AB$1006:$AQ$1006,0)))),"Fix")))</f>
        <v>0</v>
      </c>
      <c r="K844" s="4">
        <f>IF(OR(INDEX($V$2:$V$1001,MATCH(ROWS($U$2:U844),$U$2:$U$1001,0),1)&gt;=100000,INDEX($AB$1005:$AQ$1005,1,MATCH(COLUMNS($AB$1006:AK1006),$AB$1006:$AQ$1006,0))&gt;=100000), " ",IF(INDEX($AB$2:$AQ$1001,MATCH(ROWS($U$2:U844),$U$2:$U$1001,0),MATCH(COLUMNS($AB$1006:AK1006),$AB$1006:$AQ$1006,0)), HYPERLINK("#",""), HYPERLINK(CONCATENATE("#metadata!", ADDRESS(INDEX($W$2:$W$1001,MATCH(ROWS($U$2:U844),$U$2:$U$1001,0),0), INDEX($AB$1004:$AQ$1004,1,MATCH(COLUMNS($AB$1006:AK1006),$AB$1006:$AQ$1006,0)))),"Fix")))</f>
        <v>0</v>
      </c>
      <c r="L844" s="4">
        <f>IF(OR(INDEX($V$2:$V$1001,MATCH(ROWS($U$2:U844),$U$2:$U$1001,0),1)&gt;=100000,INDEX($AB$1005:$AQ$1005,1,MATCH(COLUMNS($AB$1006:AL1006),$AB$1006:$AQ$1006,0))&gt;=100000), " ",IF(INDEX($AB$2:$AQ$1001,MATCH(ROWS($U$2:U844),$U$2:$U$1001,0),MATCH(COLUMNS($AB$1006:AL1006),$AB$1006:$AQ$1006,0)), HYPERLINK("#",""), HYPERLINK(CONCATENATE("#metadata!", ADDRESS(INDEX($W$2:$W$1001,MATCH(ROWS($U$2:U844),$U$2:$U$1001,0),0), INDEX($AB$1004:$AQ$1004,1,MATCH(COLUMNS($AB$1006:AL1006),$AB$1006:$AQ$1006,0)))),"Fix")))</f>
        <v>0</v>
      </c>
      <c r="M844" s="4">
        <f>IF(OR(INDEX($V$2:$V$1001,MATCH(ROWS($U$2:U844),$U$2:$U$1001,0),1)&gt;=100000,INDEX($AB$1005:$AQ$1005,1,MATCH(COLUMNS($AB$1006:AM1006),$AB$1006:$AQ$1006,0))&gt;=100000), " ",IF(INDEX($AB$2:$AQ$1001,MATCH(ROWS($U$2:U844),$U$2:$U$1001,0),MATCH(COLUMNS($AB$1006:AM1006),$AB$1006:$AQ$1006,0)), HYPERLINK("#",""), HYPERLINK(CONCATENATE("#metadata!", ADDRESS(INDEX($W$2:$W$1001,MATCH(ROWS($U$2:U844),$U$2:$U$1001,0),0), INDEX($AB$1004:$AQ$1004,1,MATCH(COLUMNS($AB$1006:AM1006),$AB$1006:$AQ$1006,0)))),"Fix")))</f>
        <v>0</v>
      </c>
      <c r="N844" s="4">
        <f>IF(OR(INDEX($V$2:$V$1001,MATCH(ROWS($U$2:U844),$U$2:$U$1001,0),1)&gt;=100000,INDEX($AB$1005:$AQ$1005,1,MATCH(COLUMNS($AB$1006:AN1006),$AB$1006:$AQ$1006,0))&gt;=100000), " ",IF(INDEX($AB$2:$AQ$1001,MATCH(ROWS($U$2:U844),$U$2:$U$1001,0),MATCH(COLUMNS($AB$1006:AN1006),$AB$1006:$AQ$1006,0)), HYPERLINK("#",""), HYPERLINK(CONCATENATE("#metadata!", ADDRESS(INDEX($W$2:$W$1001,MATCH(ROWS($U$2:U844),$U$2:$U$1001,0),0), INDEX($AB$1004:$AQ$1004,1,MATCH(COLUMNS($AB$1006:AN1006),$AB$1006:$AQ$1006,0)))),"Fix")))</f>
        <v>0</v>
      </c>
      <c r="O844" s="4">
        <f>IF(OR(INDEX($V$2:$V$1001,MATCH(ROWS($U$2:U844),$U$2:$U$1001,0),1)&gt;=100000,INDEX($AB$1005:$AQ$1005,1,MATCH(COLUMNS($AB$1006:AO1006),$AB$1006:$AQ$1006,0))&gt;=100000), " ",IF(INDEX($AB$2:$AQ$1001,MATCH(ROWS($U$2:U844),$U$2:$U$1001,0),MATCH(COLUMNS($AB$1006:AO1006),$AB$1006:$AQ$1006,0)), HYPERLINK("#",""), HYPERLINK(CONCATENATE("#metadata!", ADDRESS(INDEX($W$2:$W$1001,MATCH(ROWS($U$2:U844),$U$2:$U$1001,0),0), INDEX($AB$1004:$AQ$1004,1,MATCH(COLUMNS($AB$1006:AO1006),$AB$1006:$AQ$1006,0)))),"Fix")))</f>
        <v>0</v>
      </c>
      <c r="P844" s="4">
        <f>IF(OR(INDEX($V$2:$V$1001,MATCH(ROWS($U$2:U844),$U$2:$U$1001,0),1)&gt;=100000,INDEX($AB$1005:$AQ$1005,1,MATCH(COLUMNS($AB$1006:AP1006),$AB$1006:$AQ$1006,0))&gt;=100000), " ",IF(INDEX($AB$2:$AQ$1001,MATCH(ROWS($U$2:U844),$U$2:$U$1001,0),MATCH(COLUMNS($AB$1006:AP1006),$AB$1006:$AQ$1006,0)), HYPERLINK("#",""), HYPERLINK(CONCATENATE("#metadata!", ADDRESS(INDEX($W$2:$W$1001,MATCH(ROWS($U$2:U844),$U$2:$U$1001,0),0), INDEX($AB$1004:$AQ$1004,1,MATCH(COLUMNS($AB$1006:AP1006),$AB$1006:$AQ$1006,0)))),"Fix")))</f>
        <v>0</v>
      </c>
      <c r="Q844" s="4">
        <f>IF(OR(INDEX($V$2:$V$1001,MATCH(ROWS($U$2:U844),$U$2:$U$1001,0),1)&gt;=100000,INDEX($AB$1005:$AQ$1005,1,MATCH(COLUMNS($AB$1006:AQ1006),$AB$1006:$AQ$1006,0))&gt;=100000), " ",IF(INDEX($AB$2:$AQ$1001,MATCH(ROWS($U$2:U844),$U$2:$U$1001,0),MATCH(COLUMNS($AB$1006:AQ1006),$AB$1006:$AQ$1006,0)), HYPERLINK("#",""), HYPERLINK(CONCATENATE("#metadata!", ADDRESS(INDEX($W$2:$W$1001,MATCH(ROWS($U$2:U844),$U$2:$U$1001,0),0), INDEX($AB$1004:$AQ$1004,1,MATCH(COLUMNS($AB$1006:AQ1006),$AB$1006:$AQ$1006,0)))),"Fix")))</f>
        <v>0</v>
      </c>
      <c r="U844">
        <v>0</v>
      </c>
      <c r="V844">
        <v>0</v>
      </c>
      <c r="W844">
        <v>0</v>
      </c>
      <c r="X844">
        <f>IF(Y844,TRUE,AND(AB844:AQ844))</f>
        <v>0</v>
      </c>
      <c r="Y844">
        <f>COUNTBLANK(metadata!B844:Q844)=COLUMNS(metadata!B844:Q844)</f>
        <v>0</v>
      </c>
      <c r="Z844">
        <v>0</v>
      </c>
      <c r="AB844">
        <f>AND(IF(metadata!B844="",FALSE,TRUE),COUNTIF(metadata!B:B, metadata!B844) = 1,NOT(ISERROR(SUMPRODUCT(SEARCH(MID(metadata!B844,ROW(INDIRECT("1:"&amp;LEN(metadata!B844))), 1),"0123456789abcdefghijklmnopqrstuvwxyzABCDEFGHIJKLMNOPQRSTUVWXYZ.")))))</f>
        <v>0</v>
      </c>
      <c r="AC844">
        <f>OR(AND(IF(metadata!C844="",FALSE,TRUE),OR(exact(metadata!C844,"missing: not collected"),exact(metadata!C844,"missing: not provided"),exact(metadata!C844,"missing: restricted access"))),AND(IF(metadata!C844="",FALSE,TRUE),AND(AND(IFERROR(INT(LEFT(metadata!C844,4))&gt;1900,FALSE),IFERROR(INT(LEFT(metadata!C844,4))&lt;=YEAR(NOW()),FALSE)), OR(MID(metadata!C844,5,1)="", AND(AND(MID(metadata!C844,5,1)="-",IFERROR(INT(MID(metadata!C844,6,1))&gt;=0,FALSE),IFERROR(INT(MID(metadata!C844,6,1))&lt;=1,FALSE),NOT(MID(metadata!C844,7,1)=""),IFERROR(INT(MID(metadata!C844,6,2))&gt;=1,FALSE),IFERROR(INT(MID(metadata!C844,6,2))&lt;=12,FALSE)), OR(MID(metadata!C844,8,1)="", AND(AND(MID(metadata!C844,8,1)="-",IFERROR(INT(MID(metadata!C844,9,1))&gt;=0,FALSE),IFERROR(INT(MID(metadata!C844,9,1))&lt;=3,FALSE),NOT(MID(metadata!C844,10,1)=""),IFERROR(INT(MID(metadata!C844,9,2))&gt;=1,FALSE),IFERROR(INT(MID(metadata!C844,9,2))&lt;=31,FALSE)), OR(MID(metadata!C844,11,1)="", AND(AND(MID(metadata!C844,11,1)=" ",IFERROR(INT(MID(metadata!C844,12,1))&gt;=0,FALSE),IFERROR(INT(MID(metadata!C844,12,1))&lt;=2,FALSE),NOT(MID(metadata!C844,13,1)=""),IFERROR(INT(MID(metadata!C844,12,2))&gt;=0,FALSE),IFERROR(INT(MID(metadata!C844,12,2))&lt;=23,FALSE)), OR(MID(metadata!C844,14,1)="", AND(AND(MID(metadata!C844,14,1)=":",IFERROR(INT(MID(metadata!C844,15,1))&gt;=0,FALSE),IFERROR(INT(MID(metadata!C844,15,1))&lt;=5,FALSE),NOT(MID(metadata!C844,16,1)=""),IFERROR(INT(MID(metadata!C844,15,2))&gt;=0,FALSE),IFERROR(INT(MID(metadata!C844,15,2))&lt;=59,FALSE)), OR(MID(metadata!C844,17,1)="", AND(AND(MID(metadata!C844,17,1)=":",IFERROR(INT(MID(metadata!C844,18,1))&gt;=0,FALSE),IFERROR(INT(MID(metadata!C844,18,1))&lt;=5,FALSE),NOT(MID(metadata!C844,19,1)=""),IFERROR(INT(MID(metadata!C844,18,2))&gt;=0,FALSE),IFERROR(INT(MID(metadata!C844,18,2))&lt;=59,FALSE)), LEN(metadata!C844)&lt;=19)))))))))))))</f>
        <v>0</v>
      </c>
      <c r="AD844">
        <f>IF(metadata!D844="",FALSE,TRUE)</f>
        <v>0</v>
      </c>
      <c r="AE844">
        <f>OR(AND(IF(metadata!E844="",FALSE,TRUE),OR(exact(metadata!E844,"missing: not collected"),exact(metadata!E844,"missing: not provided"))),AND(IF(metadata!E844="",FALSE,TRUE),OR(exact(metadata!E844,"TRUE"),exact(metadata!E844,"FALSE"))))</f>
        <v>0</v>
      </c>
      <c r="AF844">
        <f>IF(metadata!F844="",FALSE,TRUE)</f>
        <v>0</v>
      </c>
      <c r="AG844">
        <f>IF(metadata!G844="",FALSE,TRUE)</f>
        <v>0</v>
      </c>
      <c r="AH844">
        <f>IF(metadata!H844="",FALSE,TRUE)</f>
        <v>0</v>
      </c>
      <c r="AI844">
        <f>OR(AND(IF(metadata!I844="",FALSE,TRUE),OR(exact(metadata!I844,"missing: not collected"),exact(metadata!I844,"missing: not provided"),exact(metadata!I844,"missing: restricted access"))),AND(IF(metadata!I844="",FALSE,TRUE),OR(exact(metadata!I844,"air"),exact(metadata!I844,"built environment"),exact(metadata!I844,"host-associated"),exact(metadata!I844,"human-associated"),exact(metadata!I844,"human-skin"),exact(metadata!I844,"human-oral"),exact(metadata!I844,"human-gut"),exact(metadata!I844,"human-vaginal"),exact(metadata!I844,"microbial mat/biofilm"),exact(metadata!I844,"misc environment"),exact(metadata!I844,"plant-associated"),exact(metadata!I844,"sediment"),exact(metadata!I844,"soil"),exact(metadata!I844,"wastewater/sludge"),exact(metadata!I844,"water"))))</f>
        <v>0</v>
      </c>
      <c r="AJ844">
        <f>IF(metadata!J844="",FALSE,TRUE)</f>
        <v>0</v>
      </c>
      <c r="AK844">
        <f>OR(AND(IF(metadata!K844="",FALSE,TRUE),OR(exact(metadata!K844,"missing: not collected"),exact(metadata!K844,"missing: not provided"),exact(metadata!K844,"missing: restricted access"))),AND(IF(metadata!K844="",FALSE,ISNUMBER(VALUE(metadata!K844))),metadata!K844&gt;=-90.00,metadata!K844&lt;=90.00))</f>
        <v>0</v>
      </c>
      <c r="AL844">
        <f>OR(AND(IF(metadata!L844="",FALSE,TRUE),OR(exact(metadata!L844,"missing: not collected"),exact(metadata!L844,"missing: not provided"),exact(metadata!L844,"missing: restricted access"))),AND(IF(metadata!L844="",FALSE,ISNUMBER(VALUE(metadata!L844))),metadata!L844&gt;=-180.00,metadata!L844&lt;=180.00))</f>
        <v>0</v>
      </c>
      <c r="AM844">
        <f>IF(metadata!M844="",FALSE,TRUE)</f>
        <v>0</v>
      </c>
      <c r="AN844">
        <f>OR(AND(IF(metadata!N844="",FALSE,TRUE),OR(exact(metadata!N844,"missing: not collected"),exact(metadata!N844,"missing: not provided"),exact(metadata!N844,"missing: restricted access"))),AND(IF(metadata!N844="",FALSE,TRUE),OR(exact(metadata!N844,"TRUE"),exact(metadata!N844,"FALSE"))))</f>
        <v>0</v>
      </c>
      <c r="AO844">
        <f>IF(metadata!O844="",FALSE,TRUE)</f>
        <v>0</v>
      </c>
      <c r="AP844">
        <f>OR(AND(IF(metadata!P844="",FALSE,TRUE),OR(exact(metadata!P844,"missing: not collected"),exact(metadata!P844,"missing: not provided"))),AND(IF(metadata!P844="",FALSE,IF(ISERROR(INT(metadata!P844)),FALSE,INT(metadata!P844)=metadata!P844)),metadata!P844&gt;0))</f>
        <v>0</v>
      </c>
      <c r="AQ844">
        <f>IF(metadata!Q844="",FALSE,TRUE)</f>
        <v>0</v>
      </c>
    </row>
    <row r="845" spans="1:43">
      <c r="A845" s="5">
        <f>IF(B845=" "," ",HYPERLINK(CONCATENATE("#metadata!",ADDRESS(INDEX($W$2:$W$1001,MATCH(ROWS($U$2:U845),$U$2:$U$1001,0),0),1)),INDEX($Z$2:$Z$1001,MATCH(ROWS($U$2:U845),$U$2:$U$1001,0),0)))</f>
        <v>0</v>
      </c>
      <c r="B845" s="4">
        <f>IF(OR(INDEX($V$2:$V$1001,MATCH(ROWS($U$2:U845),$U$2:$U$1001,0),1)&gt;=100000,INDEX($AB$1005:$AQ$1005,1,MATCH(COLUMNS($AB$1006:AB1006),$AB$1006:$AQ$1006,0))&gt;=100000), " ",IF(INDEX($AB$2:$AQ$1001,MATCH(ROWS($U$2:U845),$U$2:$U$1001,0),MATCH(COLUMNS($AB$1006:AB1006),$AB$1006:$AQ$1006,0)), HYPERLINK("#",""), HYPERLINK(CONCATENATE("#metadata!", ADDRESS(INDEX($W$2:$W$1001,MATCH(ROWS($U$2:U845),$U$2:$U$1001,0),0), INDEX($AB$1004:$AQ$1004,1,MATCH(COLUMNS($AB$1006:AB1006),$AB$1006:$AQ$1006,0)))),"Fix")))</f>
        <v>0</v>
      </c>
      <c r="C845" s="4">
        <f>IF(OR(INDEX($V$2:$V$1001,MATCH(ROWS($U$2:U845),$U$2:$U$1001,0),1)&gt;=100000,INDEX($AB$1005:$AQ$1005,1,MATCH(COLUMNS($AB$1006:AC1006),$AB$1006:$AQ$1006,0))&gt;=100000), " ",IF(INDEX($AB$2:$AQ$1001,MATCH(ROWS($U$2:U845),$U$2:$U$1001,0),MATCH(COLUMNS($AB$1006:AC1006),$AB$1006:$AQ$1006,0)), HYPERLINK("#",""), HYPERLINK(CONCATENATE("#metadata!", ADDRESS(INDEX($W$2:$W$1001,MATCH(ROWS($U$2:U845),$U$2:$U$1001,0),0), INDEX($AB$1004:$AQ$1004,1,MATCH(COLUMNS($AB$1006:AC1006),$AB$1006:$AQ$1006,0)))),"Fix")))</f>
        <v>0</v>
      </c>
      <c r="D845" s="4">
        <f>IF(OR(INDEX($V$2:$V$1001,MATCH(ROWS($U$2:U845),$U$2:$U$1001,0),1)&gt;=100000,INDEX($AB$1005:$AQ$1005,1,MATCH(COLUMNS($AB$1006:AD1006),$AB$1006:$AQ$1006,0))&gt;=100000), " ",IF(INDEX($AB$2:$AQ$1001,MATCH(ROWS($U$2:U845),$U$2:$U$1001,0),MATCH(COLUMNS($AB$1006:AD1006),$AB$1006:$AQ$1006,0)), HYPERLINK("#",""), HYPERLINK(CONCATENATE("#metadata!", ADDRESS(INDEX($W$2:$W$1001,MATCH(ROWS($U$2:U845),$U$2:$U$1001,0),0), INDEX($AB$1004:$AQ$1004,1,MATCH(COLUMNS($AB$1006:AD1006),$AB$1006:$AQ$1006,0)))),"Fix")))</f>
        <v>0</v>
      </c>
      <c r="E845" s="4">
        <f>IF(OR(INDEX($V$2:$V$1001,MATCH(ROWS($U$2:U845),$U$2:$U$1001,0),1)&gt;=100000,INDEX($AB$1005:$AQ$1005,1,MATCH(COLUMNS($AB$1006:AE1006),$AB$1006:$AQ$1006,0))&gt;=100000), " ",IF(INDEX($AB$2:$AQ$1001,MATCH(ROWS($U$2:U845),$U$2:$U$1001,0),MATCH(COLUMNS($AB$1006:AE1006),$AB$1006:$AQ$1006,0)), HYPERLINK("#",""), HYPERLINK(CONCATENATE("#metadata!", ADDRESS(INDEX($W$2:$W$1001,MATCH(ROWS($U$2:U845),$U$2:$U$1001,0),0), INDEX($AB$1004:$AQ$1004,1,MATCH(COLUMNS($AB$1006:AE1006),$AB$1006:$AQ$1006,0)))),"Fix")))</f>
        <v>0</v>
      </c>
      <c r="F845" s="4">
        <f>IF(OR(INDEX($V$2:$V$1001,MATCH(ROWS($U$2:U845),$U$2:$U$1001,0),1)&gt;=100000,INDEX($AB$1005:$AQ$1005,1,MATCH(COLUMNS($AB$1006:AF1006),$AB$1006:$AQ$1006,0))&gt;=100000), " ",IF(INDEX($AB$2:$AQ$1001,MATCH(ROWS($U$2:U845),$U$2:$U$1001,0),MATCH(COLUMNS($AB$1006:AF1006),$AB$1006:$AQ$1006,0)), HYPERLINK("#",""), HYPERLINK(CONCATENATE("#metadata!", ADDRESS(INDEX($W$2:$W$1001,MATCH(ROWS($U$2:U845),$U$2:$U$1001,0),0), INDEX($AB$1004:$AQ$1004,1,MATCH(COLUMNS($AB$1006:AF1006),$AB$1006:$AQ$1006,0)))),"Fix")))</f>
        <v>0</v>
      </c>
      <c r="G845" s="4">
        <f>IF(OR(INDEX($V$2:$V$1001,MATCH(ROWS($U$2:U845),$U$2:$U$1001,0),1)&gt;=100000,INDEX($AB$1005:$AQ$1005,1,MATCH(COLUMNS($AB$1006:AG1006),$AB$1006:$AQ$1006,0))&gt;=100000), " ",IF(INDEX($AB$2:$AQ$1001,MATCH(ROWS($U$2:U845),$U$2:$U$1001,0),MATCH(COLUMNS($AB$1006:AG1006),$AB$1006:$AQ$1006,0)), HYPERLINK("#",""), HYPERLINK(CONCATENATE("#metadata!", ADDRESS(INDEX($W$2:$W$1001,MATCH(ROWS($U$2:U845),$U$2:$U$1001,0),0), INDEX($AB$1004:$AQ$1004,1,MATCH(COLUMNS($AB$1006:AG1006),$AB$1006:$AQ$1006,0)))),"Fix")))</f>
        <v>0</v>
      </c>
      <c r="H845" s="4">
        <f>IF(OR(INDEX($V$2:$V$1001,MATCH(ROWS($U$2:U845),$U$2:$U$1001,0),1)&gt;=100000,INDEX($AB$1005:$AQ$1005,1,MATCH(COLUMNS($AB$1006:AH1006),$AB$1006:$AQ$1006,0))&gt;=100000), " ",IF(INDEX($AB$2:$AQ$1001,MATCH(ROWS($U$2:U845),$U$2:$U$1001,0),MATCH(COLUMNS($AB$1006:AH1006),$AB$1006:$AQ$1006,0)), HYPERLINK("#",""), HYPERLINK(CONCATENATE("#metadata!", ADDRESS(INDEX($W$2:$W$1001,MATCH(ROWS($U$2:U845),$U$2:$U$1001,0),0), INDEX($AB$1004:$AQ$1004,1,MATCH(COLUMNS($AB$1006:AH1006),$AB$1006:$AQ$1006,0)))),"Fix")))</f>
        <v>0</v>
      </c>
      <c r="I845" s="4">
        <f>IF(OR(INDEX($V$2:$V$1001,MATCH(ROWS($U$2:U845),$U$2:$U$1001,0),1)&gt;=100000,INDEX($AB$1005:$AQ$1005,1,MATCH(COLUMNS($AB$1006:AI1006),$AB$1006:$AQ$1006,0))&gt;=100000), " ",IF(INDEX($AB$2:$AQ$1001,MATCH(ROWS($U$2:U845),$U$2:$U$1001,0),MATCH(COLUMNS($AB$1006:AI1006),$AB$1006:$AQ$1006,0)), HYPERLINK("#",""), HYPERLINK(CONCATENATE("#metadata!", ADDRESS(INDEX($W$2:$W$1001,MATCH(ROWS($U$2:U845),$U$2:$U$1001,0),0), INDEX($AB$1004:$AQ$1004,1,MATCH(COLUMNS($AB$1006:AI1006),$AB$1006:$AQ$1006,0)))),"Fix")))</f>
        <v>0</v>
      </c>
      <c r="J845" s="4">
        <f>IF(OR(INDEX($V$2:$V$1001,MATCH(ROWS($U$2:U845),$U$2:$U$1001,0),1)&gt;=100000,INDEX($AB$1005:$AQ$1005,1,MATCH(COLUMNS($AB$1006:AJ1006),$AB$1006:$AQ$1006,0))&gt;=100000), " ",IF(INDEX($AB$2:$AQ$1001,MATCH(ROWS($U$2:U845),$U$2:$U$1001,0),MATCH(COLUMNS($AB$1006:AJ1006),$AB$1006:$AQ$1006,0)), HYPERLINK("#",""), HYPERLINK(CONCATENATE("#metadata!", ADDRESS(INDEX($W$2:$W$1001,MATCH(ROWS($U$2:U845),$U$2:$U$1001,0),0), INDEX($AB$1004:$AQ$1004,1,MATCH(COLUMNS($AB$1006:AJ1006),$AB$1006:$AQ$1006,0)))),"Fix")))</f>
        <v>0</v>
      </c>
      <c r="K845" s="4">
        <f>IF(OR(INDEX($V$2:$V$1001,MATCH(ROWS($U$2:U845),$U$2:$U$1001,0),1)&gt;=100000,INDEX($AB$1005:$AQ$1005,1,MATCH(COLUMNS($AB$1006:AK1006),$AB$1006:$AQ$1006,0))&gt;=100000), " ",IF(INDEX($AB$2:$AQ$1001,MATCH(ROWS($U$2:U845),$U$2:$U$1001,0),MATCH(COLUMNS($AB$1006:AK1006),$AB$1006:$AQ$1006,0)), HYPERLINK("#",""), HYPERLINK(CONCATENATE("#metadata!", ADDRESS(INDEX($W$2:$W$1001,MATCH(ROWS($U$2:U845),$U$2:$U$1001,0),0), INDEX($AB$1004:$AQ$1004,1,MATCH(COLUMNS($AB$1006:AK1006),$AB$1006:$AQ$1006,0)))),"Fix")))</f>
        <v>0</v>
      </c>
      <c r="L845" s="4">
        <f>IF(OR(INDEX($V$2:$V$1001,MATCH(ROWS($U$2:U845),$U$2:$U$1001,0),1)&gt;=100000,INDEX($AB$1005:$AQ$1005,1,MATCH(COLUMNS($AB$1006:AL1006),$AB$1006:$AQ$1006,0))&gt;=100000), " ",IF(INDEX($AB$2:$AQ$1001,MATCH(ROWS($U$2:U845),$U$2:$U$1001,0),MATCH(COLUMNS($AB$1006:AL1006),$AB$1006:$AQ$1006,0)), HYPERLINK("#",""), HYPERLINK(CONCATENATE("#metadata!", ADDRESS(INDEX($W$2:$W$1001,MATCH(ROWS($U$2:U845),$U$2:$U$1001,0),0), INDEX($AB$1004:$AQ$1004,1,MATCH(COLUMNS($AB$1006:AL1006),$AB$1006:$AQ$1006,0)))),"Fix")))</f>
        <v>0</v>
      </c>
      <c r="M845" s="4">
        <f>IF(OR(INDEX($V$2:$V$1001,MATCH(ROWS($U$2:U845),$U$2:$U$1001,0),1)&gt;=100000,INDEX($AB$1005:$AQ$1005,1,MATCH(COLUMNS($AB$1006:AM1006),$AB$1006:$AQ$1006,0))&gt;=100000), " ",IF(INDEX($AB$2:$AQ$1001,MATCH(ROWS($U$2:U845),$U$2:$U$1001,0),MATCH(COLUMNS($AB$1006:AM1006),$AB$1006:$AQ$1006,0)), HYPERLINK("#",""), HYPERLINK(CONCATENATE("#metadata!", ADDRESS(INDEX($W$2:$W$1001,MATCH(ROWS($U$2:U845),$U$2:$U$1001,0),0), INDEX($AB$1004:$AQ$1004,1,MATCH(COLUMNS($AB$1006:AM1006),$AB$1006:$AQ$1006,0)))),"Fix")))</f>
        <v>0</v>
      </c>
      <c r="N845" s="4">
        <f>IF(OR(INDEX($V$2:$V$1001,MATCH(ROWS($U$2:U845),$U$2:$U$1001,0),1)&gt;=100000,INDEX($AB$1005:$AQ$1005,1,MATCH(COLUMNS($AB$1006:AN1006),$AB$1006:$AQ$1006,0))&gt;=100000), " ",IF(INDEX($AB$2:$AQ$1001,MATCH(ROWS($U$2:U845),$U$2:$U$1001,0),MATCH(COLUMNS($AB$1006:AN1006),$AB$1006:$AQ$1006,0)), HYPERLINK("#",""), HYPERLINK(CONCATENATE("#metadata!", ADDRESS(INDEX($W$2:$W$1001,MATCH(ROWS($U$2:U845),$U$2:$U$1001,0),0), INDEX($AB$1004:$AQ$1004,1,MATCH(COLUMNS($AB$1006:AN1006),$AB$1006:$AQ$1006,0)))),"Fix")))</f>
        <v>0</v>
      </c>
      <c r="O845" s="4">
        <f>IF(OR(INDEX($V$2:$V$1001,MATCH(ROWS($U$2:U845),$U$2:$U$1001,0),1)&gt;=100000,INDEX($AB$1005:$AQ$1005,1,MATCH(COLUMNS($AB$1006:AO1006),$AB$1006:$AQ$1006,0))&gt;=100000), " ",IF(INDEX($AB$2:$AQ$1001,MATCH(ROWS($U$2:U845),$U$2:$U$1001,0),MATCH(COLUMNS($AB$1006:AO1006),$AB$1006:$AQ$1006,0)), HYPERLINK("#",""), HYPERLINK(CONCATENATE("#metadata!", ADDRESS(INDEX($W$2:$W$1001,MATCH(ROWS($U$2:U845),$U$2:$U$1001,0),0), INDEX($AB$1004:$AQ$1004,1,MATCH(COLUMNS($AB$1006:AO1006),$AB$1006:$AQ$1006,0)))),"Fix")))</f>
        <v>0</v>
      </c>
      <c r="P845" s="4">
        <f>IF(OR(INDEX($V$2:$V$1001,MATCH(ROWS($U$2:U845),$U$2:$U$1001,0),1)&gt;=100000,INDEX($AB$1005:$AQ$1005,1,MATCH(COLUMNS($AB$1006:AP1006),$AB$1006:$AQ$1006,0))&gt;=100000), " ",IF(INDEX($AB$2:$AQ$1001,MATCH(ROWS($U$2:U845),$U$2:$U$1001,0),MATCH(COLUMNS($AB$1006:AP1006),$AB$1006:$AQ$1006,0)), HYPERLINK("#",""), HYPERLINK(CONCATENATE("#metadata!", ADDRESS(INDEX($W$2:$W$1001,MATCH(ROWS($U$2:U845),$U$2:$U$1001,0),0), INDEX($AB$1004:$AQ$1004,1,MATCH(COLUMNS($AB$1006:AP1006),$AB$1006:$AQ$1006,0)))),"Fix")))</f>
        <v>0</v>
      </c>
      <c r="Q845" s="4">
        <f>IF(OR(INDEX($V$2:$V$1001,MATCH(ROWS($U$2:U845),$U$2:$U$1001,0),1)&gt;=100000,INDEX($AB$1005:$AQ$1005,1,MATCH(COLUMNS($AB$1006:AQ1006),$AB$1006:$AQ$1006,0))&gt;=100000), " ",IF(INDEX($AB$2:$AQ$1001,MATCH(ROWS($U$2:U845),$U$2:$U$1001,0),MATCH(COLUMNS($AB$1006:AQ1006),$AB$1006:$AQ$1006,0)), HYPERLINK("#",""), HYPERLINK(CONCATENATE("#metadata!", ADDRESS(INDEX($W$2:$W$1001,MATCH(ROWS($U$2:U845),$U$2:$U$1001,0),0), INDEX($AB$1004:$AQ$1004,1,MATCH(COLUMNS($AB$1006:AQ1006),$AB$1006:$AQ$1006,0)))),"Fix")))</f>
        <v>0</v>
      </c>
      <c r="U845">
        <v>0</v>
      </c>
      <c r="V845">
        <v>0</v>
      </c>
      <c r="W845">
        <v>0</v>
      </c>
      <c r="X845">
        <f>IF(Y845,TRUE,AND(AB845:AQ845))</f>
        <v>0</v>
      </c>
      <c r="Y845">
        <f>COUNTBLANK(metadata!B845:Q845)=COLUMNS(metadata!B845:Q845)</f>
        <v>0</v>
      </c>
      <c r="Z845">
        <v>0</v>
      </c>
      <c r="AB845">
        <f>AND(IF(metadata!B845="",FALSE,TRUE),COUNTIF(metadata!B:B, metadata!B845) = 1,NOT(ISERROR(SUMPRODUCT(SEARCH(MID(metadata!B845,ROW(INDIRECT("1:"&amp;LEN(metadata!B845))), 1),"0123456789abcdefghijklmnopqrstuvwxyzABCDEFGHIJKLMNOPQRSTUVWXYZ.")))))</f>
        <v>0</v>
      </c>
      <c r="AC845">
        <f>OR(AND(IF(metadata!C845="",FALSE,TRUE),OR(exact(metadata!C845,"missing: not collected"),exact(metadata!C845,"missing: not provided"),exact(metadata!C845,"missing: restricted access"))),AND(IF(metadata!C845="",FALSE,TRUE),AND(AND(IFERROR(INT(LEFT(metadata!C845,4))&gt;1900,FALSE),IFERROR(INT(LEFT(metadata!C845,4))&lt;=YEAR(NOW()),FALSE)), OR(MID(metadata!C845,5,1)="", AND(AND(MID(metadata!C845,5,1)="-",IFERROR(INT(MID(metadata!C845,6,1))&gt;=0,FALSE),IFERROR(INT(MID(metadata!C845,6,1))&lt;=1,FALSE),NOT(MID(metadata!C845,7,1)=""),IFERROR(INT(MID(metadata!C845,6,2))&gt;=1,FALSE),IFERROR(INT(MID(metadata!C845,6,2))&lt;=12,FALSE)), OR(MID(metadata!C845,8,1)="", AND(AND(MID(metadata!C845,8,1)="-",IFERROR(INT(MID(metadata!C845,9,1))&gt;=0,FALSE),IFERROR(INT(MID(metadata!C845,9,1))&lt;=3,FALSE),NOT(MID(metadata!C845,10,1)=""),IFERROR(INT(MID(metadata!C845,9,2))&gt;=1,FALSE),IFERROR(INT(MID(metadata!C845,9,2))&lt;=31,FALSE)), OR(MID(metadata!C845,11,1)="", AND(AND(MID(metadata!C845,11,1)=" ",IFERROR(INT(MID(metadata!C845,12,1))&gt;=0,FALSE),IFERROR(INT(MID(metadata!C845,12,1))&lt;=2,FALSE),NOT(MID(metadata!C845,13,1)=""),IFERROR(INT(MID(metadata!C845,12,2))&gt;=0,FALSE),IFERROR(INT(MID(metadata!C845,12,2))&lt;=23,FALSE)), OR(MID(metadata!C845,14,1)="", AND(AND(MID(metadata!C845,14,1)=":",IFERROR(INT(MID(metadata!C845,15,1))&gt;=0,FALSE),IFERROR(INT(MID(metadata!C845,15,1))&lt;=5,FALSE),NOT(MID(metadata!C845,16,1)=""),IFERROR(INT(MID(metadata!C845,15,2))&gt;=0,FALSE),IFERROR(INT(MID(metadata!C845,15,2))&lt;=59,FALSE)), OR(MID(metadata!C845,17,1)="", AND(AND(MID(metadata!C845,17,1)=":",IFERROR(INT(MID(metadata!C845,18,1))&gt;=0,FALSE),IFERROR(INT(MID(metadata!C845,18,1))&lt;=5,FALSE),NOT(MID(metadata!C845,19,1)=""),IFERROR(INT(MID(metadata!C845,18,2))&gt;=0,FALSE),IFERROR(INT(MID(metadata!C845,18,2))&lt;=59,FALSE)), LEN(metadata!C845)&lt;=19)))))))))))))</f>
        <v>0</v>
      </c>
      <c r="AD845">
        <f>IF(metadata!D845="",FALSE,TRUE)</f>
        <v>0</v>
      </c>
      <c r="AE845">
        <f>OR(AND(IF(metadata!E845="",FALSE,TRUE),OR(exact(metadata!E845,"missing: not collected"),exact(metadata!E845,"missing: not provided"))),AND(IF(metadata!E845="",FALSE,TRUE),OR(exact(metadata!E845,"TRUE"),exact(metadata!E845,"FALSE"))))</f>
        <v>0</v>
      </c>
      <c r="AF845">
        <f>IF(metadata!F845="",FALSE,TRUE)</f>
        <v>0</v>
      </c>
      <c r="AG845">
        <f>IF(metadata!G845="",FALSE,TRUE)</f>
        <v>0</v>
      </c>
      <c r="AH845">
        <f>IF(metadata!H845="",FALSE,TRUE)</f>
        <v>0</v>
      </c>
      <c r="AI845">
        <f>OR(AND(IF(metadata!I845="",FALSE,TRUE),OR(exact(metadata!I845,"missing: not collected"),exact(metadata!I845,"missing: not provided"),exact(metadata!I845,"missing: restricted access"))),AND(IF(metadata!I845="",FALSE,TRUE),OR(exact(metadata!I845,"air"),exact(metadata!I845,"built environment"),exact(metadata!I845,"host-associated"),exact(metadata!I845,"human-associated"),exact(metadata!I845,"human-skin"),exact(metadata!I845,"human-oral"),exact(metadata!I845,"human-gut"),exact(metadata!I845,"human-vaginal"),exact(metadata!I845,"microbial mat/biofilm"),exact(metadata!I845,"misc environment"),exact(metadata!I845,"plant-associated"),exact(metadata!I845,"sediment"),exact(metadata!I845,"soil"),exact(metadata!I845,"wastewater/sludge"),exact(metadata!I845,"water"))))</f>
        <v>0</v>
      </c>
      <c r="AJ845">
        <f>IF(metadata!J845="",FALSE,TRUE)</f>
        <v>0</v>
      </c>
      <c r="AK845">
        <f>OR(AND(IF(metadata!K845="",FALSE,TRUE),OR(exact(metadata!K845,"missing: not collected"),exact(metadata!K845,"missing: not provided"),exact(metadata!K845,"missing: restricted access"))),AND(IF(metadata!K845="",FALSE,ISNUMBER(VALUE(metadata!K845))),metadata!K845&gt;=-90.00,metadata!K845&lt;=90.00))</f>
        <v>0</v>
      </c>
      <c r="AL845">
        <f>OR(AND(IF(metadata!L845="",FALSE,TRUE),OR(exact(metadata!L845,"missing: not collected"),exact(metadata!L845,"missing: not provided"),exact(metadata!L845,"missing: restricted access"))),AND(IF(metadata!L845="",FALSE,ISNUMBER(VALUE(metadata!L845))),metadata!L845&gt;=-180.00,metadata!L845&lt;=180.00))</f>
        <v>0</v>
      </c>
      <c r="AM845">
        <f>IF(metadata!M845="",FALSE,TRUE)</f>
        <v>0</v>
      </c>
      <c r="AN845">
        <f>OR(AND(IF(metadata!N845="",FALSE,TRUE),OR(exact(metadata!N845,"missing: not collected"),exact(metadata!N845,"missing: not provided"),exact(metadata!N845,"missing: restricted access"))),AND(IF(metadata!N845="",FALSE,TRUE),OR(exact(metadata!N845,"TRUE"),exact(metadata!N845,"FALSE"))))</f>
        <v>0</v>
      </c>
      <c r="AO845">
        <f>IF(metadata!O845="",FALSE,TRUE)</f>
        <v>0</v>
      </c>
      <c r="AP845">
        <f>OR(AND(IF(metadata!P845="",FALSE,TRUE),OR(exact(metadata!P845,"missing: not collected"),exact(metadata!P845,"missing: not provided"))),AND(IF(metadata!P845="",FALSE,IF(ISERROR(INT(metadata!P845)),FALSE,INT(metadata!P845)=metadata!P845)),metadata!P845&gt;0))</f>
        <v>0</v>
      </c>
      <c r="AQ845">
        <f>IF(metadata!Q845="",FALSE,TRUE)</f>
        <v>0</v>
      </c>
    </row>
    <row r="846" spans="1:43">
      <c r="A846" s="5">
        <f>IF(B846=" "," ",HYPERLINK(CONCATENATE("#metadata!",ADDRESS(INDEX($W$2:$W$1001,MATCH(ROWS($U$2:U846),$U$2:$U$1001,0),0),1)),INDEX($Z$2:$Z$1001,MATCH(ROWS($U$2:U846),$U$2:$U$1001,0),0)))</f>
        <v>0</v>
      </c>
      <c r="B846" s="4">
        <f>IF(OR(INDEX($V$2:$V$1001,MATCH(ROWS($U$2:U846),$U$2:$U$1001,0),1)&gt;=100000,INDEX($AB$1005:$AQ$1005,1,MATCH(COLUMNS($AB$1006:AB1006),$AB$1006:$AQ$1006,0))&gt;=100000), " ",IF(INDEX($AB$2:$AQ$1001,MATCH(ROWS($U$2:U846),$U$2:$U$1001,0),MATCH(COLUMNS($AB$1006:AB1006),$AB$1006:$AQ$1006,0)), HYPERLINK("#",""), HYPERLINK(CONCATENATE("#metadata!", ADDRESS(INDEX($W$2:$W$1001,MATCH(ROWS($U$2:U846),$U$2:$U$1001,0),0), INDEX($AB$1004:$AQ$1004,1,MATCH(COLUMNS($AB$1006:AB1006),$AB$1006:$AQ$1006,0)))),"Fix")))</f>
        <v>0</v>
      </c>
      <c r="C846" s="4">
        <f>IF(OR(INDEX($V$2:$V$1001,MATCH(ROWS($U$2:U846),$U$2:$U$1001,0),1)&gt;=100000,INDEX($AB$1005:$AQ$1005,1,MATCH(COLUMNS($AB$1006:AC1006),$AB$1006:$AQ$1006,0))&gt;=100000), " ",IF(INDEX($AB$2:$AQ$1001,MATCH(ROWS($U$2:U846),$U$2:$U$1001,0),MATCH(COLUMNS($AB$1006:AC1006),$AB$1006:$AQ$1006,0)), HYPERLINK("#",""), HYPERLINK(CONCATENATE("#metadata!", ADDRESS(INDEX($W$2:$W$1001,MATCH(ROWS($U$2:U846),$U$2:$U$1001,0),0), INDEX($AB$1004:$AQ$1004,1,MATCH(COLUMNS($AB$1006:AC1006),$AB$1006:$AQ$1006,0)))),"Fix")))</f>
        <v>0</v>
      </c>
      <c r="D846" s="4">
        <f>IF(OR(INDEX($V$2:$V$1001,MATCH(ROWS($U$2:U846),$U$2:$U$1001,0),1)&gt;=100000,INDEX($AB$1005:$AQ$1005,1,MATCH(COLUMNS($AB$1006:AD1006),$AB$1006:$AQ$1006,0))&gt;=100000), " ",IF(INDEX($AB$2:$AQ$1001,MATCH(ROWS($U$2:U846),$U$2:$U$1001,0),MATCH(COLUMNS($AB$1006:AD1006),$AB$1006:$AQ$1006,0)), HYPERLINK("#",""), HYPERLINK(CONCATENATE("#metadata!", ADDRESS(INDEX($W$2:$W$1001,MATCH(ROWS($U$2:U846),$U$2:$U$1001,0),0), INDEX($AB$1004:$AQ$1004,1,MATCH(COLUMNS($AB$1006:AD1006),$AB$1006:$AQ$1006,0)))),"Fix")))</f>
        <v>0</v>
      </c>
      <c r="E846" s="4">
        <f>IF(OR(INDEX($V$2:$V$1001,MATCH(ROWS($U$2:U846),$U$2:$U$1001,0),1)&gt;=100000,INDEX($AB$1005:$AQ$1005,1,MATCH(COLUMNS($AB$1006:AE1006),$AB$1006:$AQ$1006,0))&gt;=100000), " ",IF(INDEX($AB$2:$AQ$1001,MATCH(ROWS($U$2:U846),$U$2:$U$1001,0),MATCH(COLUMNS($AB$1006:AE1006),$AB$1006:$AQ$1006,0)), HYPERLINK("#",""), HYPERLINK(CONCATENATE("#metadata!", ADDRESS(INDEX($W$2:$W$1001,MATCH(ROWS($U$2:U846),$U$2:$U$1001,0),0), INDEX($AB$1004:$AQ$1004,1,MATCH(COLUMNS($AB$1006:AE1006),$AB$1006:$AQ$1006,0)))),"Fix")))</f>
        <v>0</v>
      </c>
      <c r="F846" s="4">
        <f>IF(OR(INDEX($V$2:$V$1001,MATCH(ROWS($U$2:U846),$U$2:$U$1001,0),1)&gt;=100000,INDEX($AB$1005:$AQ$1005,1,MATCH(COLUMNS($AB$1006:AF1006),$AB$1006:$AQ$1006,0))&gt;=100000), " ",IF(INDEX($AB$2:$AQ$1001,MATCH(ROWS($U$2:U846),$U$2:$U$1001,0),MATCH(COLUMNS($AB$1006:AF1006),$AB$1006:$AQ$1006,0)), HYPERLINK("#",""), HYPERLINK(CONCATENATE("#metadata!", ADDRESS(INDEX($W$2:$W$1001,MATCH(ROWS($U$2:U846),$U$2:$U$1001,0),0), INDEX($AB$1004:$AQ$1004,1,MATCH(COLUMNS($AB$1006:AF1006),$AB$1006:$AQ$1006,0)))),"Fix")))</f>
        <v>0</v>
      </c>
      <c r="G846" s="4">
        <f>IF(OR(INDEX($V$2:$V$1001,MATCH(ROWS($U$2:U846),$U$2:$U$1001,0),1)&gt;=100000,INDEX($AB$1005:$AQ$1005,1,MATCH(COLUMNS($AB$1006:AG1006),$AB$1006:$AQ$1006,0))&gt;=100000), " ",IF(INDEX($AB$2:$AQ$1001,MATCH(ROWS($U$2:U846),$U$2:$U$1001,0),MATCH(COLUMNS($AB$1006:AG1006),$AB$1006:$AQ$1006,0)), HYPERLINK("#",""), HYPERLINK(CONCATENATE("#metadata!", ADDRESS(INDEX($W$2:$W$1001,MATCH(ROWS($U$2:U846),$U$2:$U$1001,0),0), INDEX($AB$1004:$AQ$1004,1,MATCH(COLUMNS($AB$1006:AG1006),$AB$1006:$AQ$1006,0)))),"Fix")))</f>
        <v>0</v>
      </c>
      <c r="H846" s="4">
        <f>IF(OR(INDEX($V$2:$V$1001,MATCH(ROWS($U$2:U846),$U$2:$U$1001,0),1)&gt;=100000,INDEX($AB$1005:$AQ$1005,1,MATCH(COLUMNS($AB$1006:AH1006),$AB$1006:$AQ$1006,0))&gt;=100000), " ",IF(INDEX($AB$2:$AQ$1001,MATCH(ROWS($U$2:U846),$U$2:$U$1001,0),MATCH(COLUMNS($AB$1006:AH1006),$AB$1006:$AQ$1006,0)), HYPERLINK("#",""), HYPERLINK(CONCATENATE("#metadata!", ADDRESS(INDEX($W$2:$W$1001,MATCH(ROWS($U$2:U846),$U$2:$U$1001,0),0), INDEX($AB$1004:$AQ$1004,1,MATCH(COLUMNS($AB$1006:AH1006),$AB$1006:$AQ$1006,0)))),"Fix")))</f>
        <v>0</v>
      </c>
      <c r="I846" s="4">
        <f>IF(OR(INDEX($V$2:$V$1001,MATCH(ROWS($U$2:U846),$U$2:$U$1001,0),1)&gt;=100000,INDEX($AB$1005:$AQ$1005,1,MATCH(COLUMNS($AB$1006:AI1006),$AB$1006:$AQ$1006,0))&gt;=100000), " ",IF(INDEX($AB$2:$AQ$1001,MATCH(ROWS($U$2:U846),$U$2:$U$1001,0),MATCH(COLUMNS($AB$1006:AI1006),$AB$1006:$AQ$1006,0)), HYPERLINK("#",""), HYPERLINK(CONCATENATE("#metadata!", ADDRESS(INDEX($W$2:$W$1001,MATCH(ROWS($U$2:U846),$U$2:$U$1001,0),0), INDEX($AB$1004:$AQ$1004,1,MATCH(COLUMNS($AB$1006:AI1006),$AB$1006:$AQ$1006,0)))),"Fix")))</f>
        <v>0</v>
      </c>
      <c r="J846" s="4">
        <f>IF(OR(INDEX($V$2:$V$1001,MATCH(ROWS($U$2:U846),$U$2:$U$1001,0),1)&gt;=100000,INDEX($AB$1005:$AQ$1005,1,MATCH(COLUMNS($AB$1006:AJ1006),$AB$1006:$AQ$1006,0))&gt;=100000), " ",IF(INDEX($AB$2:$AQ$1001,MATCH(ROWS($U$2:U846),$U$2:$U$1001,0),MATCH(COLUMNS($AB$1006:AJ1006),$AB$1006:$AQ$1006,0)), HYPERLINK("#",""), HYPERLINK(CONCATENATE("#metadata!", ADDRESS(INDEX($W$2:$W$1001,MATCH(ROWS($U$2:U846),$U$2:$U$1001,0),0), INDEX($AB$1004:$AQ$1004,1,MATCH(COLUMNS($AB$1006:AJ1006),$AB$1006:$AQ$1006,0)))),"Fix")))</f>
        <v>0</v>
      </c>
      <c r="K846" s="4">
        <f>IF(OR(INDEX($V$2:$V$1001,MATCH(ROWS($U$2:U846),$U$2:$U$1001,0),1)&gt;=100000,INDEX($AB$1005:$AQ$1005,1,MATCH(COLUMNS($AB$1006:AK1006),$AB$1006:$AQ$1006,0))&gt;=100000), " ",IF(INDEX($AB$2:$AQ$1001,MATCH(ROWS($U$2:U846),$U$2:$U$1001,0),MATCH(COLUMNS($AB$1006:AK1006),$AB$1006:$AQ$1006,0)), HYPERLINK("#",""), HYPERLINK(CONCATENATE("#metadata!", ADDRESS(INDEX($W$2:$W$1001,MATCH(ROWS($U$2:U846),$U$2:$U$1001,0),0), INDEX($AB$1004:$AQ$1004,1,MATCH(COLUMNS($AB$1006:AK1006),$AB$1006:$AQ$1006,0)))),"Fix")))</f>
        <v>0</v>
      </c>
      <c r="L846" s="4">
        <f>IF(OR(INDEX($V$2:$V$1001,MATCH(ROWS($U$2:U846),$U$2:$U$1001,0),1)&gt;=100000,INDEX($AB$1005:$AQ$1005,1,MATCH(COLUMNS($AB$1006:AL1006),$AB$1006:$AQ$1006,0))&gt;=100000), " ",IF(INDEX($AB$2:$AQ$1001,MATCH(ROWS($U$2:U846),$U$2:$U$1001,0),MATCH(COLUMNS($AB$1006:AL1006),$AB$1006:$AQ$1006,0)), HYPERLINK("#",""), HYPERLINK(CONCATENATE("#metadata!", ADDRESS(INDEX($W$2:$W$1001,MATCH(ROWS($U$2:U846),$U$2:$U$1001,0),0), INDEX($AB$1004:$AQ$1004,1,MATCH(COLUMNS($AB$1006:AL1006),$AB$1006:$AQ$1006,0)))),"Fix")))</f>
        <v>0</v>
      </c>
      <c r="M846" s="4">
        <f>IF(OR(INDEX($V$2:$V$1001,MATCH(ROWS($U$2:U846),$U$2:$U$1001,0),1)&gt;=100000,INDEX($AB$1005:$AQ$1005,1,MATCH(COLUMNS($AB$1006:AM1006),$AB$1006:$AQ$1006,0))&gt;=100000), " ",IF(INDEX($AB$2:$AQ$1001,MATCH(ROWS($U$2:U846),$U$2:$U$1001,0),MATCH(COLUMNS($AB$1006:AM1006),$AB$1006:$AQ$1006,0)), HYPERLINK("#",""), HYPERLINK(CONCATENATE("#metadata!", ADDRESS(INDEX($W$2:$W$1001,MATCH(ROWS($U$2:U846),$U$2:$U$1001,0),0), INDEX($AB$1004:$AQ$1004,1,MATCH(COLUMNS($AB$1006:AM1006),$AB$1006:$AQ$1006,0)))),"Fix")))</f>
        <v>0</v>
      </c>
      <c r="N846" s="4">
        <f>IF(OR(INDEX($V$2:$V$1001,MATCH(ROWS($U$2:U846),$U$2:$U$1001,0),1)&gt;=100000,INDEX($AB$1005:$AQ$1005,1,MATCH(COLUMNS($AB$1006:AN1006),$AB$1006:$AQ$1006,0))&gt;=100000), " ",IF(INDEX($AB$2:$AQ$1001,MATCH(ROWS($U$2:U846),$U$2:$U$1001,0),MATCH(COLUMNS($AB$1006:AN1006),$AB$1006:$AQ$1006,0)), HYPERLINK("#",""), HYPERLINK(CONCATENATE("#metadata!", ADDRESS(INDEX($W$2:$W$1001,MATCH(ROWS($U$2:U846),$U$2:$U$1001,0),0), INDEX($AB$1004:$AQ$1004,1,MATCH(COLUMNS($AB$1006:AN1006),$AB$1006:$AQ$1006,0)))),"Fix")))</f>
        <v>0</v>
      </c>
      <c r="O846" s="4">
        <f>IF(OR(INDEX($V$2:$V$1001,MATCH(ROWS($U$2:U846),$U$2:$U$1001,0),1)&gt;=100000,INDEX($AB$1005:$AQ$1005,1,MATCH(COLUMNS($AB$1006:AO1006),$AB$1006:$AQ$1006,0))&gt;=100000), " ",IF(INDEX($AB$2:$AQ$1001,MATCH(ROWS($U$2:U846),$U$2:$U$1001,0),MATCH(COLUMNS($AB$1006:AO1006),$AB$1006:$AQ$1006,0)), HYPERLINK("#",""), HYPERLINK(CONCATENATE("#metadata!", ADDRESS(INDEX($W$2:$W$1001,MATCH(ROWS($U$2:U846),$U$2:$U$1001,0),0), INDEX($AB$1004:$AQ$1004,1,MATCH(COLUMNS($AB$1006:AO1006),$AB$1006:$AQ$1006,0)))),"Fix")))</f>
        <v>0</v>
      </c>
      <c r="P846" s="4">
        <f>IF(OR(INDEX($V$2:$V$1001,MATCH(ROWS($U$2:U846),$U$2:$U$1001,0),1)&gt;=100000,INDEX($AB$1005:$AQ$1005,1,MATCH(COLUMNS($AB$1006:AP1006),$AB$1006:$AQ$1006,0))&gt;=100000), " ",IF(INDEX($AB$2:$AQ$1001,MATCH(ROWS($U$2:U846),$U$2:$U$1001,0),MATCH(COLUMNS($AB$1006:AP1006),$AB$1006:$AQ$1006,0)), HYPERLINK("#",""), HYPERLINK(CONCATENATE("#metadata!", ADDRESS(INDEX($W$2:$W$1001,MATCH(ROWS($U$2:U846),$U$2:$U$1001,0),0), INDEX($AB$1004:$AQ$1004,1,MATCH(COLUMNS($AB$1006:AP1006),$AB$1006:$AQ$1006,0)))),"Fix")))</f>
        <v>0</v>
      </c>
      <c r="Q846" s="4">
        <f>IF(OR(INDEX($V$2:$V$1001,MATCH(ROWS($U$2:U846),$U$2:$U$1001,0),1)&gt;=100000,INDEX($AB$1005:$AQ$1005,1,MATCH(COLUMNS($AB$1006:AQ1006),$AB$1006:$AQ$1006,0))&gt;=100000), " ",IF(INDEX($AB$2:$AQ$1001,MATCH(ROWS($U$2:U846),$U$2:$U$1001,0),MATCH(COLUMNS($AB$1006:AQ1006),$AB$1006:$AQ$1006,0)), HYPERLINK("#",""), HYPERLINK(CONCATENATE("#metadata!", ADDRESS(INDEX($W$2:$W$1001,MATCH(ROWS($U$2:U846),$U$2:$U$1001,0),0), INDEX($AB$1004:$AQ$1004,1,MATCH(COLUMNS($AB$1006:AQ1006),$AB$1006:$AQ$1006,0)))),"Fix")))</f>
        <v>0</v>
      </c>
      <c r="U846">
        <v>0</v>
      </c>
      <c r="V846">
        <v>0</v>
      </c>
      <c r="W846">
        <v>0</v>
      </c>
      <c r="X846">
        <f>IF(Y846,TRUE,AND(AB846:AQ846))</f>
        <v>0</v>
      </c>
      <c r="Y846">
        <f>COUNTBLANK(metadata!B846:Q846)=COLUMNS(metadata!B846:Q846)</f>
        <v>0</v>
      </c>
      <c r="Z846">
        <v>0</v>
      </c>
      <c r="AB846">
        <f>AND(IF(metadata!B846="",FALSE,TRUE),COUNTIF(metadata!B:B, metadata!B846) = 1,NOT(ISERROR(SUMPRODUCT(SEARCH(MID(metadata!B846,ROW(INDIRECT("1:"&amp;LEN(metadata!B846))), 1),"0123456789abcdefghijklmnopqrstuvwxyzABCDEFGHIJKLMNOPQRSTUVWXYZ.")))))</f>
        <v>0</v>
      </c>
      <c r="AC846">
        <f>OR(AND(IF(metadata!C846="",FALSE,TRUE),OR(exact(metadata!C846,"missing: not collected"),exact(metadata!C846,"missing: not provided"),exact(metadata!C846,"missing: restricted access"))),AND(IF(metadata!C846="",FALSE,TRUE),AND(AND(IFERROR(INT(LEFT(metadata!C846,4))&gt;1900,FALSE),IFERROR(INT(LEFT(metadata!C846,4))&lt;=YEAR(NOW()),FALSE)), OR(MID(metadata!C846,5,1)="", AND(AND(MID(metadata!C846,5,1)="-",IFERROR(INT(MID(metadata!C846,6,1))&gt;=0,FALSE),IFERROR(INT(MID(metadata!C846,6,1))&lt;=1,FALSE),NOT(MID(metadata!C846,7,1)=""),IFERROR(INT(MID(metadata!C846,6,2))&gt;=1,FALSE),IFERROR(INT(MID(metadata!C846,6,2))&lt;=12,FALSE)), OR(MID(metadata!C846,8,1)="", AND(AND(MID(metadata!C846,8,1)="-",IFERROR(INT(MID(metadata!C846,9,1))&gt;=0,FALSE),IFERROR(INT(MID(metadata!C846,9,1))&lt;=3,FALSE),NOT(MID(metadata!C846,10,1)=""),IFERROR(INT(MID(metadata!C846,9,2))&gt;=1,FALSE),IFERROR(INT(MID(metadata!C846,9,2))&lt;=31,FALSE)), OR(MID(metadata!C846,11,1)="", AND(AND(MID(metadata!C846,11,1)=" ",IFERROR(INT(MID(metadata!C846,12,1))&gt;=0,FALSE),IFERROR(INT(MID(metadata!C846,12,1))&lt;=2,FALSE),NOT(MID(metadata!C846,13,1)=""),IFERROR(INT(MID(metadata!C846,12,2))&gt;=0,FALSE),IFERROR(INT(MID(metadata!C846,12,2))&lt;=23,FALSE)), OR(MID(metadata!C846,14,1)="", AND(AND(MID(metadata!C846,14,1)=":",IFERROR(INT(MID(metadata!C846,15,1))&gt;=0,FALSE),IFERROR(INT(MID(metadata!C846,15,1))&lt;=5,FALSE),NOT(MID(metadata!C846,16,1)=""),IFERROR(INT(MID(metadata!C846,15,2))&gt;=0,FALSE),IFERROR(INT(MID(metadata!C846,15,2))&lt;=59,FALSE)), OR(MID(metadata!C846,17,1)="", AND(AND(MID(metadata!C846,17,1)=":",IFERROR(INT(MID(metadata!C846,18,1))&gt;=0,FALSE),IFERROR(INT(MID(metadata!C846,18,1))&lt;=5,FALSE),NOT(MID(metadata!C846,19,1)=""),IFERROR(INT(MID(metadata!C846,18,2))&gt;=0,FALSE),IFERROR(INT(MID(metadata!C846,18,2))&lt;=59,FALSE)), LEN(metadata!C846)&lt;=19)))))))))))))</f>
        <v>0</v>
      </c>
      <c r="AD846">
        <f>IF(metadata!D846="",FALSE,TRUE)</f>
        <v>0</v>
      </c>
      <c r="AE846">
        <f>OR(AND(IF(metadata!E846="",FALSE,TRUE),OR(exact(metadata!E846,"missing: not collected"),exact(metadata!E846,"missing: not provided"))),AND(IF(metadata!E846="",FALSE,TRUE),OR(exact(metadata!E846,"TRUE"),exact(metadata!E846,"FALSE"))))</f>
        <v>0</v>
      </c>
      <c r="AF846">
        <f>IF(metadata!F846="",FALSE,TRUE)</f>
        <v>0</v>
      </c>
      <c r="AG846">
        <f>IF(metadata!G846="",FALSE,TRUE)</f>
        <v>0</v>
      </c>
      <c r="AH846">
        <f>IF(metadata!H846="",FALSE,TRUE)</f>
        <v>0</v>
      </c>
      <c r="AI846">
        <f>OR(AND(IF(metadata!I846="",FALSE,TRUE),OR(exact(metadata!I846,"missing: not collected"),exact(metadata!I846,"missing: not provided"),exact(metadata!I846,"missing: restricted access"))),AND(IF(metadata!I846="",FALSE,TRUE),OR(exact(metadata!I846,"air"),exact(metadata!I846,"built environment"),exact(metadata!I846,"host-associated"),exact(metadata!I846,"human-associated"),exact(metadata!I846,"human-skin"),exact(metadata!I846,"human-oral"),exact(metadata!I846,"human-gut"),exact(metadata!I846,"human-vaginal"),exact(metadata!I846,"microbial mat/biofilm"),exact(metadata!I846,"misc environment"),exact(metadata!I846,"plant-associated"),exact(metadata!I846,"sediment"),exact(metadata!I846,"soil"),exact(metadata!I846,"wastewater/sludge"),exact(metadata!I846,"water"))))</f>
        <v>0</v>
      </c>
      <c r="AJ846">
        <f>IF(metadata!J846="",FALSE,TRUE)</f>
        <v>0</v>
      </c>
      <c r="AK846">
        <f>OR(AND(IF(metadata!K846="",FALSE,TRUE),OR(exact(metadata!K846,"missing: not collected"),exact(metadata!K846,"missing: not provided"),exact(metadata!K846,"missing: restricted access"))),AND(IF(metadata!K846="",FALSE,ISNUMBER(VALUE(metadata!K846))),metadata!K846&gt;=-90.00,metadata!K846&lt;=90.00))</f>
        <v>0</v>
      </c>
      <c r="AL846">
        <f>OR(AND(IF(metadata!L846="",FALSE,TRUE),OR(exact(metadata!L846,"missing: not collected"),exact(metadata!L846,"missing: not provided"),exact(metadata!L846,"missing: restricted access"))),AND(IF(metadata!L846="",FALSE,ISNUMBER(VALUE(metadata!L846))),metadata!L846&gt;=-180.00,metadata!L846&lt;=180.00))</f>
        <v>0</v>
      </c>
      <c r="AM846">
        <f>IF(metadata!M846="",FALSE,TRUE)</f>
        <v>0</v>
      </c>
      <c r="AN846">
        <f>OR(AND(IF(metadata!N846="",FALSE,TRUE),OR(exact(metadata!N846,"missing: not collected"),exact(metadata!N846,"missing: not provided"),exact(metadata!N846,"missing: restricted access"))),AND(IF(metadata!N846="",FALSE,TRUE),OR(exact(metadata!N846,"TRUE"),exact(metadata!N846,"FALSE"))))</f>
        <v>0</v>
      </c>
      <c r="AO846">
        <f>IF(metadata!O846="",FALSE,TRUE)</f>
        <v>0</v>
      </c>
      <c r="AP846">
        <f>OR(AND(IF(metadata!P846="",FALSE,TRUE),OR(exact(metadata!P846,"missing: not collected"),exact(metadata!P846,"missing: not provided"))),AND(IF(metadata!P846="",FALSE,IF(ISERROR(INT(metadata!P846)),FALSE,INT(metadata!P846)=metadata!P846)),metadata!P846&gt;0))</f>
        <v>0</v>
      </c>
      <c r="AQ846">
        <f>IF(metadata!Q846="",FALSE,TRUE)</f>
        <v>0</v>
      </c>
    </row>
    <row r="847" spans="1:43">
      <c r="A847" s="5">
        <f>IF(B847=" "," ",HYPERLINK(CONCATENATE("#metadata!",ADDRESS(INDEX($W$2:$W$1001,MATCH(ROWS($U$2:U847),$U$2:$U$1001,0),0),1)),INDEX($Z$2:$Z$1001,MATCH(ROWS($U$2:U847),$U$2:$U$1001,0),0)))</f>
        <v>0</v>
      </c>
      <c r="B847" s="4">
        <f>IF(OR(INDEX($V$2:$V$1001,MATCH(ROWS($U$2:U847),$U$2:$U$1001,0),1)&gt;=100000,INDEX($AB$1005:$AQ$1005,1,MATCH(COLUMNS($AB$1006:AB1006),$AB$1006:$AQ$1006,0))&gt;=100000), " ",IF(INDEX($AB$2:$AQ$1001,MATCH(ROWS($U$2:U847),$U$2:$U$1001,0),MATCH(COLUMNS($AB$1006:AB1006),$AB$1006:$AQ$1006,0)), HYPERLINK("#",""), HYPERLINK(CONCATENATE("#metadata!", ADDRESS(INDEX($W$2:$W$1001,MATCH(ROWS($U$2:U847),$U$2:$U$1001,0),0), INDEX($AB$1004:$AQ$1004,1,MATCH(COLUMNS($AB$1006:AB1006),$AB$1006:$AQ$1006,0)))),"Fix")))</f>
        <v>0</v>
      </c>
      <c r="C847" s="4">
        <f>IF(OR(INDEX($V$2:$V$1001,MATCH(ROWS($U$2:U847),$U$2:$U$1001,0),1)&gt;=100000,INDEX($AB$1005:$AQ$1005,1,MATCH(COLUMNS($AB$1006:AC1006),$AB$1006:$AQ$1006,0))&gt;=100000), " ",IF(INDEX($AB$2:$AQ$1001,MATCH(ROWS($U$2:U847),$U$2:$U$1001,0),MATCH(COLUMNS($AB$1006:AC1006),$AB$1006:$AQ$1006,0)), HYPERLINK("#",""), HYPERLINK(CONCATENATE("#metadata!", ADDRESS(INDEX($W$2:$W$1001,MATCH(ROWS($U$2:U847),$U$2:$U$1001,0),0), INDEX($AB$1004:$AQ$1004,1,MATCH(COLUMNS($AB$1006:AC1006),$AB$1006:$AQ$1006,0)))),"Fix")))</f>
        <v>0</v>
      </c>
      <c r="D847" s="4">
        <f>IF(OR(INDEX($V$2:$V$1001,MATCH(ROWS($U$2:U847),$U$2:$U$1001,0),1)&gt;=100000,INDEX($AB$1005:$AQ$1005,1,MATCH(COLUMNS($AB$1006:AD1006),$AB$1006:$AQ$1006,0))&gt;=100000), " ",IF(INDEX($AB$2:$AQ$1001,MATCH(ROWS($U$2:U847),$U$2:$U$1001,0),MATCH(COLUMNS($AB$1006:AD1006),$AB$1006:$AQ$1006,0)), HYPERLINK("#",""), HYPERLINK(CONCATENATE("#metadata!", ADDRESS(INDEX($W$2:$W$1001,MATCH(ROWS($U$2:U847),$U$2:$U$1001,0),0), INDEX($AB$1004:$AQ$1004,1,MATCH(COLUMNS($AB$1006:AD1006),$AB$1006:$AQ$1006,0)))),"Fix")))</f>
        <v>0</v>
      </c>
      <c r="E847" s="4">
        <f>IF(OR(INDEX($V$2:$V$1001,MATCH(ROWS($U$2:U847),$U$2:$U$1001,0),1)&gt;=100000,INDEX($AB$1005:$AQ$1005,1,MATCH(COLUMNS($AB$1006:AE1006),$AB$1006:$AQ$1006,0))&gt;=100000), " ",IF(INDEX($AB$2:$AQ$1001,MATCH(ROWS($U$2:U847),$U$2:$U$1001,0),MATCH(COLUMNS($AB$1006:AE1006),$AB$1006:$AQ$1006,0)), HYPERLINK("#",""), HYPERLINK(CONCATENATE("#metadata!", ADDRESS(INDEX($W$2:$W$1001,MATCH(ROWS($U$2:U847),$U$2:$U$1001,0),0), INDEX($AB$1004:$AQ$1004,1,MATCH(COLUMNS($AB$1006:AE1006),$AB$1006:$AQ$1006,0)))),"Fix")))</f>
        <v>0</v>
      </c>
      <c r="F847" s="4">
        <f>IF(OR(INDEX($V$2:$V$1001,MATCH(ROWS($U$2:U847),$U$2:$U$1001,0),1)&gt;=100000,INDEX($AB$1005:$AQ$1005,1,MATCH(COLUMNS($AB$1006:AF1006),$AB$1006:$AQ$1006,0))&gt;=100000), " ",IF(INDEX($AB$2:$AQ$1001,MATCH(ROWS($U$2:U847),$U$2:$U$1001,0),MATCH(COLUMNS($AB$1006:AF1006),$AB$1006:$AQ$1006,0)), HYPERLINK("#",""), HYPERLINK(CONCATENATE("#metadata!", ADDRESS(INDEX($W$2:$W$1001,MATCH(ROWS($U$2:U847),$U$2:$U$1001,0),0), INDEX($AB$1004:$AQ$1004,1,MATCH(COLUMNS($AB$1006:AF1006),$AB$1006:$AQ$1006,0)))),"Fix")))</f>
        <v>0</v>
      </c>
      <c r="G847" s="4">
        <f>IF(OR(INDEX($V$2:$V$1001,MATCH(ROWS($U$2:U847),$U$2:$U$1001,0),1)&gt;=100000,INDEX($AB$1005:$AQ$1005,1,MATCH(COLUMNS($AB$1006:AG1006),$AB$1006:$AQ$1006,0))&gt;=100000), " ",IF(INDEX($AB$2:$AQ$1001,MATCH(ROWS($U$2:U847),$U$2:$U$1001,0),MATCH(COLUMNS($AB$1006:AG1006),$AB$1006:$AQ$1006,0)), HYPERLINK("#",""), HYPERLINK(CONCATENATE("#metadata!", ADDRESS(INDEX($W$2:$W$1001,MATCH(ROWS($U$2:U847),$U$2:$U$1001,0),0), INDEX($AB$1004:$AQ$1004,1,MATCH(COLUMNS($AB$1006:AG1006),$AB$1006:$AQ$1006,0)))),"Fix")))</f>
        <v>0</v>
      </c>
      <c r="H847" s="4">
        <f>IF(OR(INDEX($V$2:$V$1001,MATCH(ROWS($U$2:U847),$U$2:$U$1001,0),1)&gt;=100000,INDEX($AB$1005:$AQ$1005,1,MATCH(COLUMNS($AB$1006:AH1006),$AB$1006:$AQ$1006,0))&gt;=100000), " ",IF(INDEX($AB$2:$AQ$1001,MATCH(ROWS($U$2:U847),$U$2:$U$1001,0),MATCH(COLUMNS($AB$1006:AH1006),$AB$1006:$AQ$1006,0)), HYPERLINK("#",""), HYPERLINK(CONCATENATE("#metadata!", ADDRESS(INDEX($W$2:$W$1001,MATCH(ROWS($U$2:U847),$U$2:$U$1001,0),0), INDEX($AB$1004:$AQ$1004,1,MATCH(COLUMNS($AB$1006:AH1006),$AB$1006:$AQ$1006,0)))),"Fix")))</f>
        <v>0</v>
      </c>
      <c r="I847" s="4">
        <f>IF(OR(INDEX($V$2:$V$1001,MATCH(ROWS($U$2:U847),$U$2:$U$1001,0),1)&gt;=100000,INDEX($AB$1005:$AQ$1005,1,MATCH(COLUMNS($AB$1006:AI1006),$AB$1006:$AQ$1006,0))&gt;=100000), " ",IF(INDEX($AB$2:$AQ$1001,MATCH(ROWS($U$2:U847),$U$2:$U$1001,0),MATCH(COLUMNS($AB$1006:AI1006),$AB$1006:$AQ$1006,0)), HYPERLINK("#",""), HYPERLINK(CONCATENATE("#metadata!", ADDRESS(INDEX($W$2:$W$1001,MATCH(ROWS($U$2:U847),$U$2:$U$1001,0),0), INDEX($AB$1004:$AQ$1004,1,MATCH(COLUMNS($AB$1006:AI1006),$AB$1006:$AQ$1006,0)))),"Fix")))</f>
        <v>0</v>
      </c>
      <c r="J847" s="4">
        <f>IF(OR(INDEX($V$2:$V$1001,MATCH(ROWS($U$2:U847),$U$2:$U$1001,0),1)&gt;=100000,INDEX($AB$1005:$AQ$1005,1,MATCH(COLUMNS($AB$1006:AJ1006),$AB$1006:$AQ$1006,0))&gt;=100000), " ",IF(INDEX($AB$2:$AQ$1001,MATCH(ROWS($U$2:U847),$U$2:$U$1001,0),MATCH(COLUMNS($AB$1006:AJ1006),$AB$1006:$AQ$1006,0)), HYPERLINK("#",""), HYPERLINK(CONCATENATE("#metadata!", ADDRESS(INDEX($W$2:$W$1001,MATCH(ROWS($U$2:U847),$U$2:$U$1001,0),0), INDEX($AB$1004:$AQ$1004,1,MATCH(COLUMNS($AB$1006:AJ1006),$AB$1006:$AQ$1006,0)))),"Fix")))</f>
        <v>0</v>
      </c>
      <c r="K847" s="4">
        <f>IF(OR(INDEX($V$2:$V$1001,MATCH(ROWS($U$2:U847),$U$2:$U$1001,0),1)&gt;=100000,INDEX($AB$1005:$AQ$1005,1,MATCH(COLUMNS($AB$1006:AK1006),$AB$1006:$AQ$1006,0))&gt;=100000), " ",IF(INDEX($AB$2:$AQ$1001,MATCH(ROWS($U$2:U847),$U$2:$U$1001,0),MATCH(COLUMNS($AB$1006:AK1006),$AB$1006:$AQ$1006,0)), HYPERLINK("#",""), HYPERLINK(CONCATENATE("#metadata!", ADDRESS(INDEX($W$2:$W$1001,MATCH(ROWS($U$2:U847),$U$2:$U$1001,0),0), INDEX($AB$1004:$AQ$1004,1,MATCH(COLUMNS($AB$1006:AK1006),$AB$1006:$AQ$1006,0)))),"Fix")))</f>
        <v>0</v>
      </c>
      <c r="L847" s="4">
        <f>IF(OR(INDEX($V$2:$V$1001,MATCH(ROWS($U$2:U847),$U$2:$U$1001,0),1)&gt;=100000,INDEX($AB$1005:$AQ$1005,1,MATCH(COLUMNS($AB$1006:AL1006),$AB$1006:$AQ$1006,0))&gt;=100000), " ",IF(INDEX($AB$2:$AQ$1001,MATCH(ROWS($U$2:U847),$U$2:$U$1001,0),MATCH(COLUMNS($AB$1006:AL1006),$AB$1006:$AQ$1006,0)), HYPERLINK("#",""), HYPERLINK(CONCATENATE("#metadata!", ADDRESS(INDEX($W$2:$W$1001,MATCH(ROWS($U$2:U847),$U$2:$U$1001,0),0), INDEX($AB$1004:$AQ$1004,1,MATCH(COLUMNS($AB$1006:AL1006),$AB$1006:$AQ$1006,0)))),"Fix")))</f>
        <v>0</v>
      </c>
      <c r="M847" s="4">
        <f>IF(OR(INDEX($V$2:$V$1001,MATCH(ROWS($U$2:U847),$U$2:$U$1001,0),1)&gt;=100000,INDEX($AB$1005:$AQ$1005,1,MATCH(COLUMNS($AB$1006:AM1006),$AB$1006:$AQ$1006,0))&gt;=100000), " ",IF(INDEX($AB$2:$AQ$1001,MATCH(ROWS($U$2:U847),$U$2:$U$1001,0),MATCH(COLUMNS($AB$1006:AM1006),$AB$1006:$AQ$1006,0)), HYPERLINK("#",""), HYPERLINK(CONCATENATE("#metadata!", ADDRESS(INDEX($W$2:$W$1001,MATCH(ROWS($U$2:U847),$U$2:$U$1001,0),0), INDEX($AB$1004:$AQ$1004,1,MATCH(COLUMNS($AB$1006:AM1006),$AB$1006:$AQ$1006,0)))),"Fix")))</f>
        <v>0</v>
      </c>
      <c r="N847" s="4">
        <f>IF(OR(INDEX($V$2:$V$1001,MATCH(ROWS($U$2:U847),$U$2:$U$1001,0),1)&gt;=100000,INDEX($AB$1005:$AQ$1005,1,MATCH(COLUMNS($AB$1006:AN1006),$AB$1006:$AQ$1006,0))&gt;=100000), " ",IF(INDEX($AB$2:$AQ$1001,MATCH(ROWS($U$2:U847),$U$2:$U$1001,0),MATCH(COLUMNS($AB$1006:AN1006),$AB$1006:$AQ$1006,0)), HYPERLINK("#",""), HYPERLINK(CONCATENATE("#metadata!", ADDRESS(INDEX($W$2:$W$1001,MATCH(ROWS($U$2:U847),$U$2:$U$1001,0),0), INDEX($AB$1004:$AQ$1004,1,MATCH(COLUMNS($AB$1006:AN1006),$AB$1006:$AQ$1006,0)))),"Fix")))</f>
        <v>0</v>
      </c>
      <c r="O847" s="4">
        <f>IF(OR(INDEX($V$2:$V$1001,MATCH(ROWS($U$2:U847),$U$2:$U$1001,0),1)&gt;=100000,INDEX($AB$1005:$AQ$1005,1,MATCH(COLUMNS($AB$1006:AO1006),$AB$1006:$AQ$1006,0))&gt;=100000), " ",IF(INDEX($AB$2:$AQ$1001,MATCH(ROWS($U$2:U847),$U$2:$U$1001,0),MATCH(COLUMNS($AB$1006:AO1006),$AB$1006:$AQ$1006,0)), HYPERLINK("#",""), HYPERLINK(CONCATENATE("#metadata!", ADDRESS(INDEX($W$2:$W$1001,MATCH(ROWS($U$2:U847),$U$2:$U$1001,0),0), INDEX($AB$1004:$AQ$1004,1,MATCH(COLUMNS($AB$1006:AO1006),$AB$1006:$AQ$1006,0)))),"Fix")))</f>
        <v>0</v>
      </c>
      <c r="P847" s="4">
        <f>IF(OR(INDEX($V$2:$V$1001,MATCH(ROWS($U$2:U847),$U$2:$U$1001,0),1)&gt;=100000,INDEX($AB$1005:$AQ$1005,1,MATCH(COLUMNS($AB$1006:AP1006),$AB$1006:$AQ$1006,0))&gt;=100000), " ",IF(INDEX($AB$2:$AQ$1001,MATCH(ROWS($U$2:U847),$U$2:$U$1001,0),MATCH(COLUMNS($AB$1006:AP1006),$AB$1006:$AQ$1006,0)), HYPERLINK("#",""), HYPERLINK(CONCATENATE("#metadata!", ADDRESS(INDEX($W$2:$W$1001,MATCH(ROWS($U$2:U847),$U$2:$U$1001,0),0), INDEX($AB$1004:$AQ$1004,1,MATCH(COLUMNS($AB$1006:AP1006),$AB$1006:$AQ$1006,0)))),"Fix")))</f>
        <v>0</v>
      </c>
      <c r="Q847" s="4">
        <f>IF(OR(INDEX($V$2:$V$1001,MATCH(ROWS($U$2:U847),$U$2:$U$1001,0),1)&gt;=100000,INDEX($AB$1005:$AQ$1005,1,MATCH(COLUMNS($AB$1006:AQ1006),$AB$1006:$AQ$1006,0))&gt;=100000), " ",IF(INDEX($AB$2:$AQ$1001,MATCH(ROWS($U$2:U847),$U$2:$U$1001,0),MATCH(COLUMNS($AB$1006:AQ1006),$AB$1006:$AQ$1006,0)), HYPERLINK("#",""), HYPERLINK(CONCATENATE("#metadata!", ADDRESS(INDEX($W$2:$W$1001,MATCH(ROWS($U$2:U847),$U$2:$U$1001,0),0), INDEX($AB$1004:$AQ$1004,1,MATCH(COLUMNS($AB$1006:AQ1006),$AB$1006:$AQ$1006,0)))),"Fix")))</f>
        <v>0</v>
      </c>
      <c r="U847">
        <v>0</v>
      </c>
      <c r="V847">
        <v>0</v>
      </c>
      <c r="W847">
        <v>0</v>
      </c>
      <c r="X847">
        <f>IF(Y847,TRUE,AND(AB847:AQ847))</f>
        <v>0</v>
      </c>
      <c r="Y847">
        <f>COUNTBLANK(metadata!B847:Q847)=COLUMNS(metadata!B847:Q847)</f>
        <v>0</v>
      </c>
      <c r="Z847">
        <v>0</v>
      </c>
      <c r="AB847">
        <f>AND(IF(metadata!B847="",FALSE,TRUE),COUNTIF(metadata!B:B, metadata!B847) = 1,NOT(ISERROR(SUMPRODUCT(SEARCH(MID(metadata!B847,ROW(INDIRECT("1:"&amp;LEN(metadata!B847))), 1),"0123456789abcdefghijklmnopqrstuvwxyzABCDEFGHIJKLMNOPQRSTUVWXYZ.")))))</f>
        <v>0</v>
      </c>
      <c r="AC847">
        <f>OR(AND(IF(metadata!C847="",FALSE,TRUE),OR(exact(metadata!C847,"missing: not collected"),exact(metadata!C847,"missing: not provided"),exact(metadata!C847,"missing: restricted access"))),AND(IF(metadata!C847="",FALSE,TRUE),AND(AND(IFERROR(INT(LEFT(metadata!C847,4))&gt;1900,FALSE),IFERROR(INT(LEFT(metadata!C847,4))&lt;=YEAR(NOW()),FALSE)), OR(MID(metadata!C847,5,1)="", AND(AND(MID(metadata!C847,5,1)="-",IFERROR(INT(MID(metadata!C847,6,1))&gt;=0,FALSE),IFERROR(INT(MID(metadata!C847,6,1))&lt;=1,FALSE),NOT(MID(metadata!C847,7,1)=""),IFERROR(INT(MID(metadata!C847,6,2))&gt;=1,FALSE),IFERROR(INT(MID(metadata!C847,6,2))&lt;=12,FALSE)), OR(MID(metadata!C847,8,1)="", AND(AND(MID(metadata!C847,8,1)="-",IFERROR(INT(MID(metadata!C847,9,1))&gt;=0,FALSE),IFERROR(INT(MID(metadata!C847,9,1))&lt;=3,FALSE),NOT(MID(metadata!C847,10,1)=""),IFERROR(INT(MID(metadata!C847,9,2))&gt;=1,FALSE),IFERROR(INT(MID(metadata!C847,9,2))&lt;=31,FALSE)), OR(MID(metadata!C847,11,1)="", AND(AND(MID(metadata!C847,11,1)=" ",IFERROR(INT(MID(metadata!C847,12,1))&gt;=0,FALSE),IFERROR(INT(MID(metadata!C847,12,1))&lt;=2,FALSE),NOT(MID(metadata!C847,13,1)=""),IFERROR(INT(MID(metadata!C847,12,2))&gt;=0,FALSE),IFERROR(INT(MID(metadata!C847,12,2))&lt;=23,FALSE)), OR(MID(metadata!C847,14,1)="", AND(AND(MID(metadata!C847,14,1)=":",IFERROR(INT(MID(metadata!C847,15,1))&gt;=0,FALSE),IFERROR(INT(MID(metadata!C847,15,1))&lt;=5,FALSE),NOT(MID(metadata!C847,16,1)=""),IFERROR(INT(MID(metadata!C847,15,2))&gt;=0,FALSE),IFERROR(INT(MID(metadata!C847,15,2))&lt;=59,FALSE)), OR(MID(metadata!C847,17,1)="", AND(AND(MID(metadata!C847,17,1)=":",IFERROR(INT(MID(metadata!C847,18,1))&gt;=0,FALSE),IFERROR(INT(MID(metadata!C847,18,1))&lt;=5,FALSE),NOT(MID(metadata!C847,19,1)=""),IFERROR(INT(MID(metadata!C847,18,2))&gt;=0,FALSE),IFERROR(INT(MID(metadata!C847,18,2))&lt;=59,FALSE)), LEN(metadata!C847)&lt;=19)))))))))))))</f>
        <v>0</v>
      </c>
      <c r="AD847">
        <f>IF(metadata!D847="",FALSE,TRUE)</f>
        <v>0</v>
      </c>
      <c r="AE847">
        <f>OR(AND(IF(metadata!E847="",FALSE,TRUE),OR(exact(metadata!E847,"missing: not collected"),exact(metadata!E847,"missing: not provided"))),AND(IF(metadata!E847="",FALSE,TRUE),OR(exact(metadata!E847,"TRUE"),exact(metadata!E847,"FALSE"))))</f>
        <v>0</v>
      </c>
      <c r="AF847">
        <f>IF(metadata!F847="",FALSE,TRUE)</f>
        <v>0</v>
      </c>
      <c r="AG847">
        <f>IF(metadata!G847="",FALSE,TRUE)</f>
        <v>0</v>
      </c>
      <c r="AH847">
        <f>IF(metadata!H847="",FALSE,TRUE)</f>
        <v>0</v>
      </c>
      <c r="AI847">
        <f>OR(AND(IF(metadata!I847="",FALSE,TRUE),OR(exact(metadata!I847,"missing: not collected"),exact(metadata!I847,"missing: not provided"),exact(metadata!I847,"missing: restricted access"))),AND(IF(metadata!I847="",FALSE,TRUE),OR(exact(metadata!I847,"air"),exact(metadata!I847,"built environment"),exact(metadata!I847,"host-associated"),exact(metadata!I847,"human-associated"),exact(metadata!I847,"human-skin"),exact(metadata!I847,"human-oral"),exact(metadata!I847,"human-gut"),exact(metadata!I847,"human-vaginal"),exact(metadata!I847,"microbial mat/biofilm"),exact(metadata!I847,"misc environment"),exact(metadata!I847,"plant-associated"),exact(metadata!I847,"sediment"),exact(metadata!I847,"soil"),exact(metadata!I847,"wastewater/sludge"),exact(metadata!I847,"water"))))</f>
        <v>0</v>
      </c>
      <c r="AJ847">
        <f>IF(metadata!J847="",FALSE,TRUE)</f>
        <v>0</v>
      </c>
      <c r="AK847">
        <f>OR(AND(IF(metadata!K847="",FALSE,TRUE),OR(exact(metadata!K847,"missing: not collected"),exact(metadata!K847,"missing: not provided"),exact(metadata!K847,"missing: restricted access"))),AND(IF(metadata!K847="",FALSE,ISNUMBER(VALUE(metadata!K847))),metadata!K847&gt;=-90.00,metadata!K847&lt;=90.00))</f>
        <v>0</v>
      </c>
      <c r="AL847">
        <f>OR(AND(IF(metadata!L847="",FALSE,TRUE),OR(exact(metadata!L847,"missing: not collected"),exact(metadata!L847,"missing: not provided"),exact(metadata!L847,"missing: restricted access"))),AND(IF(metadata!L847="",FALSE,ISNUMBER(VALUE(metadata!L847))),metadata!L847&gt;=-180.00,metadata!L847&lt;=180.00))</f>
        <v>0</v>
      </c>
      <c r="AM847">
        <f>IF(metadata!M847="",FALSE,TRUE)</f>
        <v>0</v>
      </c>
      <c r="AN847">
        <f>OR(AND(IF(metadata!N847="",FALSE,TRUE),OR(exact(metadata!N847,"missing: not collected"),exact(metadata!N847,"missing: not provided"),exact(metadata!N847,"missing: restricted access"))),AND(IF(metadata!N847="",FALSE,TRUE),OR(exact(metadata!N847,"TRUE"),exact(metadata!N847,"FALSE"))))</f>
        <v>0</v>
      </c>
      <c r="AO847">
        <f>IF(metadata!O847="",FALSE,TRUE)</f>
        <v>0</v>
      </c>
      <c r="AP847">
        <f>OR(AND(IF(metadata!P847="",FALSE,TRUE),OR(exact(metadata!P847,"missing: not collected"),exact(metadata!P847,"missing: not provided"))),AND(IF(metadata!P847="",FALSE,IF(ISERROR(INT(metadata!P847)),FALSE,INT(metadata!P847)=metadata!P847)),metadata!P847&gt;0))</f>
        <v>0</v>
      </c>
      <c r="AQ847">
        <f>IF(metadata!Q847="",FALSE,TRUE)</f>
        <v>0</v>
      </c>
    </row>
    <row r="848" spans="1:43">
      <c r="A848" s="5">
        <f>IF(B848=" "," ",HYPERLINK(CONCATENATE("#metadata!",ADDRESS(INDEX($W$2:$W$1001,MATCH(ROWS($U$2:U848),$U$2:$U$1001,0),0),1)),INDEX($Z$2:$Z$1001,MATCH(ROWS($U$2:U848),$U$2:$U$1001,0),0)))</f>
        <v>0</v>
      </c>
      <c r="B848" s="4">
        <f>IF(OR(INDEX($V$2:$V$1001,MATCH(ROWS($U$2:U848),$U$2:$U$1001,0),1)&gt;=100000,INDEX($AB$1005:$AQ$1005,1,MATCH(COLUMNS($AB$1006:AB1006),$AB$1006:$AQ$1006,0))&gt;=100000), " ",IF(INDEX($AB$2:$AQ$1001,MATCH(ROWS($U$2:U848),$U$2:$U$1001,0),MATCH(COLUMNS($AB$1006:AB1006),$AB$1006:$AQ$1006,0)), HYPERLINK("#",""), HYPERLINK(CONCATENATE("#metadata!", ADDRESS(INDEX($W$2:$W$1001,MATCH(ROWS($U$2:U848),$U$2:$U$1001,0),0), INDEX($AB$1004:$AQ$1004,1,MATCH(COLUMNS($AB$1006:AB1006),$AB$1006:$AQ$1006,0)))),"Fix")))</f>
        <v>0</v>
      </c>
      <c r="C848" s="4">
        <f>IF(OR(INDEX($V$2:$V$1001,MATCH(ROWS($U$2:U848),$U$2:$U$1001,0),1)&gt;=100000,INDEX($AB$1005:$AQ$1005,1,MATCH(COLUMNS($AB$1006:AC1006),$AB$1006:$AQ$1006,0))&gt;=100000), " ",IF(INDEX($AB$2:$AQ$1001,MATCH(ROWS($U$2:U848),$U$2:$U$1001,0),MATCH(COLUMNS($AB$1006:AC1006),$AB$1006:$AQ$1006,0)), HYPERLINK("#",""), HYPERLINK(CONCATENATE("#metadata!", ADDRESS(INDEX($W$2:$W$1001,MATCH(ROWS($U$2:U848),$U$2:$U$1001,0),0), INDEX($AB$1004:$AQ$1004,1,MATCH(COLUMNS($AB$1006:AC1006),$AB$1006:$AQ$1006,0)))),"Fix")))</f>
        <v>0</v>
      </c>
      <c r="D848" s="4">
        <f>IF(OR(INDEX($V$2:$V$1001,MATCH(ROWS($U$2:U848),$U$2:$U$1001,0),1)&gt;=100000,INDEX($AB$1005:$AQ$1005,1,MATCH(COLUMNS($AB$1006:AD1006),$AB$1006:$AQ$1006,0))&gt;=100000), " ",IF(INDEX($AB$2:$AQ$1001,MATCH(ROWS($U$2:U848),$U$2:$U$1001,0),MATCH(COLUMNS($AB$1006:AD1006),$AB$1006:$AQ$1006,0)), HYPERLINK("#",""), HYPERLINK(CONCATENATE("#metadata!", ADDRESS(INDEX($W$2:$W$1001,MATCH(ROWS($U$2:U848),$U$2:$U$1001,0),0), INDEX($AB$1004:$AQ$1004,1,MATCH(COLUMNS($AB$1006:AD1006),$AB$1006:$AQ$1006,0)))),"Fix")))</f>
        <v>0</v>
      </c>
      <c r="E848" s="4">
        <f>IF(OR(INDEX($V$2:$V$1001,MATCH(ROWS($U$2:U848),$U$2:$U$1001,0),1)&gt;=100000,INDEX($AB$1005:$AQ$1005,1,MATCH(COLUMNS($AB$1006:AE1006),$AB$1006:$AQ$1006,0))&gt;=100000), " ",IF(INDEX($AB$2:$AQ$1001,MATCH(ROWS($U$2:U848),$U$2:$U$1001,0),MATCH(COLUMNS($AB$1006:AE1006),$AB$1006:$AQ$1006,0)), HYPERLINK("#",""), HYPERLINK(CONCATENATE("#metadata!", ADDRESS(INDEX($W$2:$W$1001,MATCH(ROWS($U$2:U848),$U$2:$U$1001,0),0), INDEX($AB$1004:$AQ$1004,1,MATCH(COLUMNS($AB$1006:AE1006),$AB$1006:$AQ$1006,0)))),"Fix")))</f>
        <v>0</v>
      </c>
      <c r="F848" s="4">
        <f>IF(OR(INDEX($V$2:$V$1001,MATCH(ROWS($U$2:U848),$U$2:$U$1001,0),1)&gt;=100000,INDEX($AB$1005:$AQ$1005,1,MATCH(COLUMNS($AB$1006:AF1006),$AB$1006:$AQ$1006,0))&gt;=100000), " ",IF(INDEX($AB$2:$AQ$1001,MATCH(ROWS($U$2:U848),$U$2:$U$1001,0),MATCH(COLUMNS($AB$1006:AF1006),$AB$1006:$AQ$1006,0)), HYPERLINK("#",""), HYPERLINK(CONCATENATE("#metadata!", ADDRESS(INDEX($W$2:$W$1001,MATCH(ROWS($U$2:U848),$U$2:$U$1001,0),0), INDEX($AB$1004:$AQ$1004,1,MATCH(COLUMNS($AB$1006:AF1006),$AB$1006:$AQ$1006,0)))),"Fix")))</f>
        <v>0</v>
      </c>
      <c r="G848" s="4">
        <f>IF(OR(INDEX($V$2:$V$1001,MATCH(ROWS($U$2:U848),$U$2:$U$1001,0),1)&gt;=100000,INDEX($AB$1005:$AQ$1005,1,MATCH(COLUMNS($AB$1006:AG1006),$AB$1006:$AQ$1006,0))&gt;=100000), " ",IF(INDEX($AB$2:$AQ$1001,MATCH(ROWS($U$2:U848),$U$2:$U$1001,0),MATCH(COLUMNS($AB$1006:AG1006),$AB$1006:$AQ$1006,0)), HYPERLINK("#",""), HYPERLINK(CONCATENATE("#metadata!", ADDRESS(INDEX($W$2:$W$1001,MATCH(ROWS($U$2:U848),$U$2:$U$1001,0),0), INDEX($AB$1004:$AQ$1004,1,MATCH(COLUMNS($AB$1006:AG1006),$AB$1006:$AQ$1006,0)))),"Fix")))</f>
        <v>0</v>
      </c>
      <c r="H848" s="4">
        <f>IF(OR(INDEX($V$2:$V$1001,MATCH(ROWS($U$2:U848),$U$2:$U$1001,0),1)&gt;=100000,INDEX($AB$1005:$AQ$1005,1,MATCH(COLUMNS($AB$1006:AH1006),$AB$1006:$AQ$1006,0))&gt;=100000), " ",IF(INDEX($AB$2:$AQ$1001,MATCH(ROWS($U$2:U848),$U$2:$U$1001,0),MATCH(COLUMNS($AB$1006:AH1006),$AB$1006:$AQ$1006,0)), HYPERLINK("#",""), HYPERLINK(CONCATENATE("#metadata!", ADDRESS(INDEX($W$2:$W$1001,MATCH(ROWS($U$2:U848),$U$2:$U$1001,0),0), INDEX($AB$1004:$AQ$1004,1,MATCH(COLUMNS($AB$1006:AH1006),$AB$1006:$AQ$1006,0)))),"Fix")))</f>
        <v>0</v>
      </c>
      <c r="I848" s="4">
        <f>IF(OR(INDEX($V$2:$V$1001,MATCH(ROWS($U$2:U848),$U$2:$U$1001,0),1)&gt;=100000,INDEX($AB$1005:$AQ$1005,1,MATCH(COLUMNS($AB$1006:AI1006),$AB$1006:$AQ$1006,0))&gt;=100000), " ",IF(INDEX($AB$2:$AQ$1001,MATCH(ROWS($U$2:U848),$U$2:$U$1001,0),MATCH(COLUMNS($AB$1006:AI1006),$AB$1006:$AQ$1006,0)), HYPERLINK("#",""), HYPERLINK(CONCATENATE("#metadata!", ADDRESS(INDEX($W$2:$W$1001,MATCH(ROWS($U$2:U848),$U$2:$U$1001,0),0), INDEX($AB$1004:$AQ$1004,1,MATCH(COLUMNS($AB$1006:AI1006),$AB$1006:$AQ$1006,0)))),"Fix")))</f>
        <v>0</v>
      </c>
      <c r="J848" s="4">
        <f>IF(OR(INDEX($V$2:$V$1001,MATCH(ROWS($U$2:U848),$U$2:$U$1001,0),1)&gt;=100000,INDEX($AB$1005:$AQ$1005,1,MATCH(COLUMNS($AB$1006:AJ1006),$AB$1006:$AQ$1006,0))&gt;=100000), " ",IF(INDEX($AB$2:$AQ$1001,MATCH(ROWS($U$2:U848),$U$2:$U$1001,0),MATCH(COLUMNS($AB$1006:AJ1006),$AB$1006:$AQ$1006,0)), HYPERLINK("#",""), HYPERLINK(CONCATENATE("#metadata!", ADDRESS(INDEX($W$2:$W$1001,MATCH(ROWS($U$2:U848),$U$2:$U$1001,0),0), INDEX($AB$1004:$AQ$1004,1,MATCH(COLUMNS($AB$1006:AJ1006),$AB$1006:$AQ$1006,0)))),"Fix")))</f>
        <v>0</v>
      </c>
      <c r="K848" s="4">
        <f>IF(OR(INDEX($V$2:$V$1001,MATCH(ROWS($U$2:U848),$U$2:$U$1001,0),1)&gt;=100000,INDEX($AB$1005:$AQ$1005,1,MATCH(COLUMNS($AB$1006:AK1006),$AB$1006:$AQ$1006,0))&gt;=100000), " ",IF(INDEX($AB$2:$AQ$1001,MATCH(ROWS($U$2:U848),$U$2:$U$1001,0),MATCH(COLUMNS($AB$1006:AK1006),$AB$1006:$AQ$1006,0)), HYPERLINK("#",""), HYPERLINK(CONCATENATE("#metadata!", ADDRESS(INDEX($W$2:$W$1001,MATCH(ROWS($U$2:U848),$U$2:$U$1001,0),0), INDEX($AB$1004:$AQ$1004,1,MATCH(COLUMNS($AB$1006:AK1006),$AB$1006:$AQ$1006,0)))),"Fix")))</f>
        <v>0</v>
      </c>
      <c r="L848" s="4">
        <f>IF(OR(INDEX($V$2:$V$1001,MATCH(ROWS($U$2:U848),$U$2:$U$1001,0),1)&gt;=100000,INDEX($AB$1005:$AQ$1005,1,MATCH(COLUMNS($AB$1006:AL1006),$AB$1006:$AQ$1006,0))&gt;=100000), " ",IF(INDEX($AB$2:$AQ$1001,MATCH(ROWS($U$2:U848),$U$2:$U$1001,0),MATCH(COLUMNS($AB$1006:AL1006),$AB$1006:$AQ$1006,0)), HYPERLINK("#",""), HYPERLINK(CONCATENATE("#metadata!", ADDRESS(INDEX($W$2:$W$1001,MATCH(ROWS($U$2:U848),$U$2:$U$1001,0),0), INDEX($AB$1004:$AQ$1004,1,MATCH(COLUMNS($AB$1006:AL1006),$AB$1006:$AQ$1006,0)))),"Fix")))</f>
        <v>0</v>
      </c>
      <c r="M848" s="4">
        <f>IF(OR(INDEX($V$2:$V$1001,MATCH(ROWS($U$2:U848),$U$2:$U$1001,0),1)&gt;=100000,INDEX($AB$1005:$AQ$1005,1,MATCH(COLUMNS($AB$1006:AM1006),$AB$1006:$AQ$1006,0))&gt;=100000), " ",IF(INDEX($AB$2:$AQ$1001,MATCH(ROWS($U$2:U848),$U$2:$U$1001,0),MATCH(COLUMNS($AB$1006:AM1006),$AB$1006:$AQ$1006,0)), HYPERLINK("#",""), HYPERLINK(CONCATENATE("#metadata!", ADDRESS(INDEX($W$2:$W$1001,MATCH(ROWS($U$2:U848),$U$2:$U$1001,0),0), INDEX($AB$1004:$AQ$1004,1,MATCH(COLUMNS($AB$1006:AM1006),$AB$1006:$AQ$1006,0)))),"Fix")))</f>
        <v>0</v>
      </c>
      <c r="N848" s="4">
        <f>IF(OR(INDEX($V$2:$V$1001,MATCH(ROWS($U$2:U848),$U$2:$U$1001,0),1)&gt;=100000,INDEX($AB$1005:$AQ$1005,1,MATCH(COLUMNS($AB$1006:AN1006),$AB$1006:$AQ$1006,0))&gt;=100000), " ",IF(INDEX($AB$2:$AQ$1001,MATCH(ROWS($U$2:U848),$U$2:$U$1001,0),MATCH(COLUMNS($AB$1006:AN1006),$AB$1006:$AQ$1006,0)), HYPERLINK("#",""), HYPERLINK(CONCATENATE("#metadata!", ADDRESS(INDEX($W$2:$W$1001,MATCH(ROWS($U$2:U848),$U$2:$U$1001,0),0), INDEX($AB$1004:$AQ$1004,1,MATCH(COLUMNS($AB$1006:AN1006),$AB$1006:$AQ$1006,0)))),"Fix")))</f>
        <v>0</v>
      </c>
      <c r="O848" s="4">
        <f>IF(OR(INDEX($V$2:$V$1001,MATCH(ROWS($U$2:U848),$U$2:$U$1001,0),1)&gt;=100000,INDEX($AB$1005:$AQ$1005,1,MATCH(COLUMNS($AB$1006:AO1006),$AB$1006:$AQ$1006,0))&gt;=100000), " ",IF(INDEX($AB$2:$AQ$1001,MATCH(ROWS($U$2:U848),$U$2:$U$1001,0),MATCH(COLUMNS($AB$1006:AO1006),$AB$1006:$AQ$1006,0)), HYPERLINK("#",""), HYPERLINK(CONCATENATE("#metadata!", ADDRESS(INDEX($W$2:$W$1001,MATCH(ROWS($U$2:U848),$U$2:$U$1001,0),0), INDEX($AB$1004:$AQ$1004,1,MATCH(COLUMNS($AB$1006:AO1006),$AB$1006:$AQ$1006,0)))),"Fix")))</f>
        <v>0</v>
      </c>
      <c r="P848" s="4">
        <f>IF(OR(INDEX($V$2:$V$1001,MATCH(ROWS($U$2:U848),$U$2:$U$1001,0),1)&gt;=100000,INDEX($AB$1005:$AQ$1005,1,MATCH(COLUMNS($AB$1006:AP1006),$AB$1006:$AQ$1006,0))&gt;=100000), " ",IF(INDEX($AB$2:$AQ$1001,MATCH(ROWS($U$2:U848),$U$2:$U$1001,0),MATCH(COLUMNS($AB$1006:AP1006),$AB$1006:$AQ$1006,0)), HYPERLINK("#",""), HYPERLINK(CONCATENATE("#metadata!", ADDRESS(INDEX($W$2:$W$1001,MATCH(ROWS($U$2:U848),$U$2:$U$1001,0),0), INDEX($AB$1004:$AQ$1004,1,MATCH(COLUMNS($AB$1006:AP1006),$AB$1006:$AQ$1006,0)))),"Fix")))</f>
        <v>0</v>
      </c>
      <c r="Q848" s="4">
        <f>IF(OR(INDEX($V$2:$V$1001,MATCH(ROWS($U$2:U848),$U$2:$U$1001,0),1)&gt;=100000,INDEX($AB$1005:$AQ$1005,1,MATCH(COLUMNS($AB$1006:AQ1006),$AB$1006:$AQ$1006,0))&gt;=100000), " ",IF(INDEX($AB$2:$AQ$1001,MATCH(ROWS($U$2:U848),$U$2:$U$1001,0),MATCH(COLUMNS($AB$1006:AQ1006),$AB$1006:$AQ$1006,0)), HYPERLINK("#",""), HYPERLINK(CONCATENATE("#metadata!", ADDRESS(INDEX($W$2:$W$1001,MATCH(ROWS($U$2:U848),$U$2:$U$1001,0),0), INDEX($AB$1004:$AQ$1004,1,MATCH(COLUMNS($AB$1006:AQ1006),$AB$1006:$AQ$1006,0)))),"Fix")))</f>
        <v>0</v>
      </c>
      <c r="U848">
        <v>0</v>
      </c>
      <c r="V848">
        <v>0</v>
      </c>
      <c r="W848">
        <v>0</v>
      </c>
      <c r="X848">
        <f>IF(Y848,TRUE,AND(AB848:AQ848))</f>
        <v>0</v>
      </c>
      <c r="Y848">
        <f>COUNTBLANK(metadata!B848:Q848)=COLUMNS(metadata!B848:Q848)</f>
        <v>0</v>
      </c>
      <c r="Z848">
        <v>0</v>
      </c>
      <c r="AB848">
        <f>AND(IF(metadata!B848="",FALSE,TRUE),COUNTIF(metadata!B:B, metadata!B848) = 1,NOT(ISERROR(SUMPRODUCT(SEARCH(MID(metadata!B848,ROW(INDIRECT("1:"&amp;LEN(metadata!B848))), 1),"0123456789abcdefghijklmnopqrstuvwxyzABCDEFGHIJKLMNOPQRSTUVWXYZ.")))))</f>
        <v>0</v>
      </c>
      <c r="AC848">
        <f>OR(AND(IF(metadata!C848="",FALSE,TRUE),OR(exact(metadata!C848,"missing: not collected"),exact(metadata!C848,"missing: not provided"),exact(metadata!C848,"missing: restricted access"))),AND(IF(metadata!C848="",FALSE,TRUE),AND(AND(IFERROR(INT(LEFT(metadata!C848,4))&gt;1900,FALSE),IFERROR(INT(LEFT(metadata!C848,4))&lt;=YEAR(NOW()),FALSE)), OR(MID(metadata!C848,5,1)="", AND(AND(MID(metadata!C848,5,1)="-",IFERROR(INT(MID(metadata!C848,6,1))&gt;=0,FALSE),IFERROR(INT(MID(metadata!C848,6,1))&lt;=1,FALSE),NOT(MID(metadata!C848,7,1)=""),IFERROR(INT(MID(metadata!C848,6,2))&gt;=1,FALSE),IFERROR(INT(MID(metadata!C848,6,2))&lt;=12,FALSE)), OR(MID(metadata!C848,8,1)="", AND(AND(MID(metadata!C848,8,1)="-",IFERROR(INT(MID(metadata!C848,9,1))&gt;=0,FALSE),IFERROR(INT(MID(metadata!C848,9,1))&lt;=3,FALSE),NOT(MID(metadata!C848,10,1)=""),IFERROR(INT(MID(metadata!C848,9,2))&gt;=1,FALSE),IFERROR(INT(MID(metadata!C848,9,2))&lt;=31,FALSE)), OR(MID(metadata!C848,11,1)="", AND(AND(MID(metadata!C848,11,1)=" ",IFERROR(INT(MID(metadata!C848,12,1))&gt;=0,FALSE),IFERROR(INT(MID(metadata!C848,12,1))&lt;=2,FALSE),NOT(MID(metadata!C848,13,1)=""),IFERROR(INT(MID(metadata!C848,12,2))&gt;=0,FALSE),IFERROR(INT(MID(metadata!C848,12,2))&lt;=23,FALSE)), OR(MID(metadata!C848,14,1)="", AND(AND(MID(metadata!C848,14,1)=":",IFERROR(INT(MID(metadata!C848,15,1))&gt;=0,FALSE),IFERROR(INT(MID(metadata!C848,15,1))&lt;=5,FALSE),NOT(MID(metadata!C848,16,1)=""),IFERROR(INT(MID(metadata!C848,15,2))&gt;=0,FALSE),IFERROR(INT(MID(metadata!C848,15,2))&lt;=59,FALSE)), OR(MID(metadata!C848,17,1)="", AND(AND(MID(metadata!C848,17,1)=":",IFERROR(INT(MID(metadata!C848,18,1))&gt;=0,FALSE),IFERROR(INT(MID(metadata!C848,18,1))&lt;=5,FALSE),NOT(MID(metadata!C848,19,1)=""),IFERROR(INT(MID(metadata!C848,18,2))&gt;=0,FALSE),IFERROR(INT(MID(metadata!C848,18,2))&lt;=59,FALSE)), LEN(metadata!C848)&lt;=19)))))))))))))</f>
        <v>0</v>
      </c>
      <c r="AD848">
        <f>IF(metadata!D848="",FALSE,TRUE)</f>
        <v>0</v>
      </c>
      <c r="AE848">
        <f>OR(AND(IF(metadata!E848="",FALSE,TRUE),OR(exact(metadata!E848,"missing: not collected"),exact(metadata!E848,"missing: not provided"))),AND(IF(metadata!E848="",FALSE,TRUE),OR(exact(metadata!E848,"TRUE"),exact(metadata!E848,"FALSE"))))</f>
        <v>0</v>
      </c>
      <c r="AF848">
        <f>IF(metadata!F848="",FALSE,TRUE)</f>
        <v>0</v>
      </c>
      <c r="AG848">
        <f>IF(metadata!G848="",FALSE,TRUE)</f>
        <v>0</v>
      </c>
      <c r="AH848">
        <f>IF(metadata!H848="",FALSE,TRUE)</f>
        <v>0</v>
      </c>
      <c r="AI848">
        <f>OR(AND(IF(metadata!I848="",FALSE,TRUE),OR(exact(metadata!I848,"missing: not collected"),exact(metadata!I848,"missing: not provided"),exact(metadata!I848,"missing: restricted access"))),AND(IF(metadata!I848="",FALSE,TRUE),OR(exact(metadata!I848,"air"),exact(metadata!I848,"built environment"),exact(metadata!I848,"host-associated"),exact(metadata!I848,"human-associated"),exact(metadata!I848,"human-skin"),exact(metadata!I848,"human-oral"),exact(metadata!I848,"human-gut"),exact(metadata!I848,"human-vaginal"),exact(metadata!I848,"microbial mat/biofilm"),exact(metadata!I848,"misc environment"),exact(metadata!I848,"plant-associated"),exact(metadata!I848,"sediment"),exact(metadata!I848,"soil"),exact(metadata!I848,"wastewater/sludge"),exact(metadata!I848,"water"))))</f>
        <v>0</v>
      </c>
      <c r="AJ848">
        <f>IF(metadata!J848="",FALSE,TRUE)</f>
        <v>0</v>
      </c>
      <c r="AK848">
        <f>OR(AND(IF(metadata!K848="",FALSE,TRUE),OR(exact(metadata!K848,"missing: not collected"),exact(metadata!K848,"missing: not provided"),exact(metadata!K848,"missing: restricted access"))),AND(IF(metadata!K848="",FALSE,ISNUMBER(VALUE(metadata!K848))),metadata!K848&gt;=-90.00,metadata!K848&lt;=90.00))</f>
        <v>0</v>
      </c>
      <c r="AL848">
        <f>OR(AND(IF(metadata!L848="",FALSE,TRUE),OR(exact(metadata!L848,"missing: not collected"),exact(metadata!L848,"missing: not provided"),exact(metadata!L848,"missing: restricted access"))),AND(IF(metadata!L848="",FALSE,ISNUMBER(VALUE(metadata!L848))),metadata!L848&gt;=-180.00,metadata!L848&lt;=180.00))</f>
        <v>0</v>
      </c>
      <c r="AM848">
        <f>IF(metadata!M848="",FALSE,TRUE)</f>
        <v>0</v>
      </c>
      <c r="AN848">
        <f>OR(AND(IF(metadata!N848="",FALSE,TRUE),OR(exact(metadata!N848,"missing: not collected"),exact(metadata!N848,"missing: not provided"),exact(metadata!N848,"missing: restricted access"))),AND(IF(metadata!N848="",FALSE,TRUE),OR(exact(metadata!N848,"TRUE"),exact(metadata!N848,"FALSE"))))</f>
        <v>0</v>
      </c>
      <c r="AO848">
        <f>IF(metadata!O848="",FALSE,TRUE)</f>
        <v>0</v>
      </c>
      <c r="AP848">
        <f>OR(AND(IF(metadata!P848="",FALSE,TRUE),OR(exact(metadata!P848,"missing: not collected"),exact(metadata!P848,"missing: not provided"))),AND(IF(metadata!P848="",FALSE,IF(ISERROR(INT(metadata!P848)),FALSE,INT(metadata!P848)=metadata!P848)),metadata!P848&gt;0))</f>
        <v>0</v>
      </c>
      <c r="AQ848">
        <f>IF(metadata!Q848="",FALSE,TRUE)</f>
        <v>0</v>
      </c>
    </row>
    <row r="849" spans="1:43">
      <c r="A849" s="5">
        <f>IF(B849=" "," ",HYPERLINK(CONCATENATE("#metadata!",ADDRESS(INDEX($W$2:$W$1001,MATCH(ROWS($U$2:U849),$U$2:$U$1001,0),0),1)),INDEX($Z$2:$Z$1001,MATCH(ROWS($U$2:U849),$U$2:$U$1001,0),0)))</f>
        <v>0</v>
      </c>
      <c r="B849" s="4">
        <f>IF(OR(INDEX($V$2:$V$1001,MATCH(ROWS($U$2:U849),$U$2:$U$1001,0),1)&gt;=100000,INDEX($AB$1005:$AQ$1005,1,MATCH(COLUMNS($AB$1006:AB1006),$AB$1006:$AQ$1006,0))&gt;=100000), " ",IF(INDEX($AB$2:$AQ$1001,MATCH(ROWS($U$2:U849),$U$2:$U$1001,0),MATCH(COLUMNS($AB$1006:AB1006),$AB$1006:$AQ$1006,0)), HYPERLINK("#",""), HYPERLINK(CONCATENATE("#metadata!", ADDRESS(INDEX($W$2:$W$1001,MATCH(ROWS($U$2:U849),$U$2:$U$1001,0),0), INDEX($AB$1004:$AQ$1004,1,MATCH(COLUMNS($AB$1006:AB1006),$AB$1006:$AQ$1006,0)))),"Fix")))</f>
        <v>0</v>
      </c>
      <c r="C849" s="4">
        <f>IF(OR(INDEX($V$2:$V$1001,MATCH(ROWS($U$2:U849),$U$2:$U$1001,0),1)&gt;=100000,INDEX($AB$1005:$AQ$1005,1,MATCH(COLUMNS($AB$1006:AC1006),$AB$1006:$AQ$1006,0))&gt;=100000), " ",IF(INDEX($AB$2:$AQ$1001,MATCH(ROWS($U$2:U849),$U$2:$U$1001,0),MATCH(COLUMNS($AB$1006:AC1006),$AB$1006:$AQ$1006,0)), HYPERLINK("#",""), HYPERLINK(CONCATENATE("#metadata!", ADDRESS(INDEX($W$2:$W$1001,MATCH(ROWS($U$2:U849),$U$2:$U$1001,0),0), INDEX($AB$1004:$AQ$1004,1,MATCH(COLUMNS($AB$1006:AC1006),$AB$1006:$AQ$1006,0)))),"Fix")))</f>
        <v>0</v>
      </c>
      <c r="D849" s="4">
        <f>IF(OR(INDEX($V$2:$V$1001,MATCH(ROWS($U$2:U849),$U$2:$U$1001,0),1)&gt;=100000,INDEX($AB$1005:$AQ$1005,1,MATCH(COLUMNS($AB$1006:AD1006),$AB$1006:$AQ$1006,0))&gt;=100000), " ",IF(INDEX($AB$2:$AQ$1001,MATCH(ROWS($U$2:U849),$U$2:$U$1001,0),MATCH(COLUMNS($AB$1006:AD1006),$AB$1006:$AQ$1006,0)), HYPERLINK("#",""), HYPERLINK(CONCATENATE("#metadata!", ADDRESS(INDEX($W$2:$W$1001,MATCH(ROWS($U$2:U849),$U$2:$U$1001,0),0), INDEX($AB$1004:$AQ$1004,1,MATCH(COLUMNS($AB$1006:AD1006),$AB$1006:$AQ$1006,0)))),"Fix")))</f>
        <v>0</v>
      </c>
      <c r="E849" s="4">
        <f>IF(OR(INDEX($V$2:$V$1001,MATCH(ROWS($U$2:U849),$U$2:$U$1001,0),1)&gt;=100000,INDEX($AB$1005:$AQ$1005,1,MATCH(COLUMNS($AB$1006:AE1006),$AB$1006:$AQ$1006,0))&gt;=100000), " ",IF(INDEX($AB$2:$AQ$1001,MATCH(ROWS($U$2:U849),$U$2:$U$1001,0),MATCH(COLUMNS($AB$1006:AE1006),$AB$1006:$AQ$1006,0)), HYPERLINK("#",""), HYPERLINK(CONCATENATE("#metadata!", ADDRESS(INDEX($W$2:$W$1001,MATCH(ROWS($U$2:U849),$U$2:$U$1001,0),0), INDEX($AB$1004:$AQ$1004,1,MATCH(COLUMNS($AB$1006:AE1006),$AB$1006:$AQ$1006,0)))),"Fix")))</f>
        <v>0</v>
      </c>
      <c r="F849" s="4">
        <f>IF(OR(INDEX($V$2:$V$1001,MATCH(ROWS($U$2:U849),$U$2:$U$1001,0),1)&gt;=100000,INDEX($AB$1005:$AQ$1005,1,MATCH(COLUMNS($AB$1006:AF1006),$AB$1006:$AQ$1006,0))&gt;=100000), " ",IF(INDEX($AB$2:$AQ$1001,MATCH(ROWS($U$2:U849),$U$2:$U$1001,0),MATCH(COLUMNS($AB$1006:AF1006),$AB$1006:$AQ$1006,0)), HYPERLINK("#",""), HYPERLINK(CONCATENATE("#metadata!", ADDRESS(INDEX($W$2:$W$1001,MATCH(ROWS($U$2:U849),$U$2:$U$1001,0),0), INDEX($AB$1004:$AQ$1004,1,MATCH(COLUMNS($AB$1006:AF1006),$AB$1006:$AQ$1006,0)))),"Fix")))</f>
        <v>0</v>
      </c>
      <c r="G849" s="4">
        <f>IF(OR(INDEX($V$2:$V$1001,MATCH(ROWS($U$2:U849),$U$2:$U$1001,0),1)&gt;=100000,INDEX($AB$1005:$AQ$1005,1,MATCH(COLUMNS($AB$1006:AG1006),$AB$1006:$AQ$1006,0))&gt;=100000), " ",IF(INDEX($AB$2:$AQ$1001,MATCH(ROWS($U$2:U849),$U$2:$U$1001,0),MATCH(COLUMNS($AB$1006:AG1006),$AB$1006:$AQ$1006,0)), HYPERLINK("#",""), HYPERLINK(CONCATENATE("#metadata!", ADDRESS(INDEX($W$2:$W$1001,MATCH(ROWS($U$2:U849),$U$2:$U$1001,0),0), INDEX($AB$1004:$AQ$1004,1,MATCH(COLUMNS($AB$1006:AG1006),$AB$1006:$AQ$1006,0)))),"Fix")))</f>
        <v>0</v>
      </c>
      <c r="H849" s="4">
        <f>IF(OR(INDEX($V$2:$V$1001,MATCH(ROWS($U$2:U849),$U$2:$U$1001,0),1)&gt;=100000,INDEX($AB$1005:$AQ$1005,1,MATCH(COLUMNS($AB$1006:AH1006),$AB$1006:$AQ$1006,0))&gt;=100000), " ",IF(INDEX($AB$2:$AQ$1001,MATCH(ROWS($U$2:U849),$U$2:$U$1001,0),MATCH(COLUMNS($AB$1006:AH1006),$AB$1006:$AQ$1006,0)), HYPERLINK("#",""), HYPERLINK(CONCATENATE("#metadata!", ADDRESS(INDEX($W$2:$W$1001,MATCH(ROWS($U$2:U849),$U$2:$U$1001,0),0), INDEX($AB$1004:$AQ$1004,1,MATCH(COLUMNS($AB$1006:AH1006),$AB$1006:$AQ$1006,0)))),"Fix")))</f>
        <v>0</v>
      </c>
      <c r="I849" s="4">
        <f>IF(OR(INDEX($V$2:$V$1001,MATCH(ROWS($U$2:U849),$U$2:$U$1001,0),1)&gt;=100000,INDEX($AB$1005:$AQ$1005,1,MATCH(COLUMNS($AB$1006:AI1006),$AB$1006:$AQ$1006,0))&gt;=100000), " ",IF(INDEX($AB$2:$AQ$1001,MATCH(ROWS($U$2:U849),$U$2:$U$1001,0),MATCH(COLUMNS($AB$1006:AI1006),$AB$1006:$AQ$1006,0)), HYPERLINK("#",""), HYPERLINK(CONCATENATE("#metadata!", ADDRESS(INDEX($W$2:$W$1001,MATCH(ROWS($U$2:U849),$U$2:$U$1001,0),0), INDEX($AB$1004:$AQ$1004,1,MATCH(COLUMNS($AB$1006:AI1006),$AB$1006:$AQ$1006,0)))),"Fix")))</f>
        <v>0</v>
      </c>
      <c r="J849" s="4">
        <f>IF(OR(INDEX($V$2:$V$1001,MATCH(ROWS($U$2:U849),$U$2:$U$1001,0),1)&gt;=100000,INDEX($AB$1005:$AQ$1005,1,MATCH(COLUMNS($AB$1006:AJ1006),$AB$1006:$AQ$1006,0))&gt;=100000), " ",IF(INDEX($AB$2:$AQ$1001,MATCH(ROWS($U$2:U849),$U$2:$U$1001,0),MATCH(COLUMNS($AB$1006:AJ1006),$AB$1006:$AQ$1006,0)), HYPERLINK("#",""), HYPERLINK(CONCATENATE("#metadata!", ADDRESS(INDEX($W$2:$W$1001,MATCH(ROWS($U$2:U849),$U$2:$U$1001,0),0), INDEX($AB$1004:$AQ$1004,1,MATCH(COLUMNS($AB$1006:AJ1006),$AB$1006:$AQ$1006,0)))),"Fix")))</f>
        <v>0</v>
      </c>
      <c r="K849" s="4">
        <f>IF(OR(INDEX($V$2:$V$1001,MATCH(ROWS($U$2:U849),$U$2:$U$1001,0),1)&gt;=100000,INDEX($AB$1005:$AQ$1005,1,MATCH(COLUMNS($AB$1006:AK1006),$AB$1006:$AQ$1006,0))&gt;=100000), " ",IF(INDEX($AB$2:$AQ$1001,MATCH(ROWS($U$2:U849),$U$2:$U$1001,0),MATCH(COLUMNS($AB$1006:AK1006),$AB$1006:$AQ$1006,0)), HYPERLINK("#",""), HYPERLINK(CONCATENATE("#metadata!", ADDRESS(INDEX($W$2:$W$1001,MATCH(ROWS($U$2:U849),$U$2:$U$1001,0),0), INDEX($AB$1004:$AQ$1004,1,MATCH(COLUMNS($AB$1006:AK1006),$AB$1006:$AQ$1006,0)))),"Fix")))</f>
        <v>0</v>
      </c>
      <c r="L849" s="4">
        <f>IF(OR(INDEX($V$2:$V$1001,MATCH(ROWS($U$2:U849),$U$2:$U$1001,0),1)&gt;=100000,INDEX($AB$1005:$AQ$1005,1,MATCH(COLUMNS($AB$1006:AL1006),$AB$1006:$AQ$1006,0))&gt;=100000), " ",IF(INDEX($AB$2:$AQ$1001,MATCH(ROWS($U$2:U849),$U$2:$U$1001,0),MATCH(COLUMNS($AB$1006:AL1006),$AB$1006:$AQ$1006,0)), HYPERLINK("#",""), HYPERLINK(CONCATENATE("#metadata!", ADDRESS(INDEX($W$2:$W$1001,MATCH(ROWS($U$2:U849),$U$2:$U$1001,0),0), INDEX($AB$1004:$AQ$1004,1,MATCH(COLUMNS($AB$1006:AL1006),$AB$1006:$AQ$1006,0)))),"Fix")))</f>
        <v>0</v>
      </c>
      <c r="M849" s="4">
        <f>IF(OR(INDEX($V$2:$V$1001,MATCH(ROWS($U$2:U849),$U$2:$U$1001,0),1)&gt;=100000,INDEX($AB$1005:$AQ$1005,1,MATCH(COLUMNS($AB$1006:AM1006),$AB$1006:$AQ$1006,0))&gt;=100000), " ",IF(INDEX($AB$2:$AQ$1001,MATCH(ROWS($U$2:U849),$U$2:$U$1001,0),MATCH(COLUMNS($AB$1006:AM1006),$AB$1006:$AQ$1006,0)), HYPERLINK("#",""), HYPERLINK(CONCATENATE("#metadata!", ADDRESS(INDEX($W$2:$W$1001,MATCH(ROWS($U$2:U849),$U$2:$U$1001,0),0), INDEX($AB$1004:$AQ$1004,1,MATCH(COLUMNS($AB$1006:AM1006),$AB$1006:$AQ$1006,0)))),"Fix")))</f>
        <v>0</v>
      </c>
      <c r="N849" s="4">
        <f>IF(OR(INDEX($V$2:$V$1001,MATCH(ROWS($U$2:U849),$U$2:$U$1001,0),1)&gt;=100000,INDEX($AB$1005:$AQ$1005,1,MATCH(COLUMNS($AB$1006:AN1006),$AB$1006:$AQ$1006,0))&gt;=100000), " ",IF(INDEX($AB$2:$AQ$1001,MATCH(ROWS($U$2:U849),$U$2:$U$1001,0),MATCH(COLUMNS($AB$1006:AN1006),$AB$1006:$AQ$1006,0)), HYPERLINK("#",""), HYPERLINK(CONCATENATE("#metadata!", ADDRESS(INDEX($W$2:$W$1001,MATCH(ROWS($U$2:U849),$U$2:$U$1001,0),0), INDEX($AB$1004:$AQ$1004,1,MATCH(COLUMNS($AB$1006:AN1006),$AB$1006:$AQ$1006,0)))),"Fix")))</f>
        <v>0</v>
      </c>
      <c r="O849" s="4">
        <f>IF(OR(INDEX($V$2:$V$1001,MATCH(ROWS($U$2:U849),$U$2:$U$1001,0),1)&gt;=100000,INDEX($AB$1005:$AQ$1005,1,MATCH(COLUMNS($AB$1006:AO1006),$AB$1006:$AQ$1006,0))&gt;=100000), " ",IF(INDEX($AB$2:$AQ$1001,MATCH(ROWS($U$2:U849),$U$2:$U$1001,0),MATCH(COLUMNS($AB$1006:AO1006),$AB$1006:$AQ$1006,0)), HYPERLINK("#",""), HYPERLINK(CONCATENATE("#metadata!", ADDRESS(INDEX($W$2:$W$1001,MATCH(ROWS($U$2:U849),$U$2:$U$1001,0),0), INDEX($AB$1004:$AQ$1004,1,MATCH(COLUMNS($AB$1006:AO1006),$AB$1006:$AQ$1006,0)))),"Fix")))</f>
        <v>0</v>
      </c>
      <c r="P849" s="4">
        <f>IF(OR(INDEX($V$2:$V$1001,MATCH(ROWS($U$2:U849),$U$2:$U$1001,0),1)&gt;=100000,INDEX($AB$1005:$AQ$1005,1,MATCH(COLUMNS($AB$1006:AP1006),$AB$1006:$AQ$1006,0))&gt;=100000), " ",IF(INDEX($AB$2:$AQ$1001,MATCH(ROWS($U$2:U849),$U$2:$U$1001,0),MATCH(COLUMNS($AB$1006:AP1006),$AB$1006:$AQ$1006,0)), HYPERLINK("#",""), HYPERLINK(CONCATENATE("#metadata!", ADDRESS(INDEX($W$2:$W$1001,MATCH(ROWS($U$2:U849),$U$2:$U$1001,0),0), INDEX($AB$1004:$AQ$1004,1,MATCH(COLUMNS($AB$1006:AP1006),$AB$1006:$AQ$1006,0)))),"Fix")))</f>
        <v>0</v>
      </c>
      <c r="Q849" s="4">
        <f>IF(OR(INDEX($V$2:$V$1001,MATCH(ROWS($U$2:U849),$U$2:$U$1001,0),1)&gt;=100000,INDEX($AB$1005:$AQ$1005,1,MATCH(COLUMNS($AB$1006:AQ1006),$AB$1006:$AQ$1006,0))&gt;=100000), " ",IF(INDEX($AB$2:$AQ$1001,MATCH(ROWS($U$2:U849),$U$2:$U$1001,0),MATCH(COLUMNS($AB$1006:AQ1006),$AB$1006:$AQ$1006,0)), HYPERLINK("#",""), HYPERLINK(CONCATENATE("#metadata!", ADDRESS(INDEX($W$2:$W$1001,MATCH(ROWS($U$2:U849),$U$2:$U$1001,0),0), INDEX($AB$1004:$AQ$1004,1,MATCH(COLUMNS($AB$1006:AQ1006),$AB$1006:$AQ$1006,0)))),"Fix")))</f>
        <v>0</v>
      </c>
      <c r="U849">
        <v>0</v>
      </c>
      <c r="V849">
        <v>0</v>
      </c>
      <c r="W849">
        <v>0</v>
      </c>
      <c r="X849">
        <f>IF(Y849,TRUE,AND(AB849:AQ849))</f>
        <v>0</v>
      </c>
      <c r="Y849">
        <f>COUNTBLANK(metadata!B849:Q849)=COLUMNS(metadata!B849:Q849)</f>
        <v>0</v>
      </c>
      <c r="Z849">
        <v>0</v>
      </c>
      <c r="AB849">
        <f>AND(IF(metadata!B849="",FALSE,TRUE),COUNTIF(metadata!B:B, metadata!B849) = 1,NOT(ISERROR(SUMPRODUCT(SEARCH(MID(metadata!B849,ROW(INDIRECT("1:"&amp;LEN(metadata!B849))), 1),"0123456789abcdefghijklmnopqrstuvwxyzABCDEFGHIJKLMNOPQRSTUVWXYZ.")))))</f>
        <v>0</v>
      </c>
      <c r="AC849">
        <f>OR(AND(IF(metadata!C849="",FALSE,TRUE),OR(exact(metadata!C849,"missing: not collected"),exact(metadata!C849,"missing: not provided"),exact(metadata!C849,"missing: restricted access"))),AND(IF(metadata!C849="",FALSE,TRUE),AND(AND(IFERROR(INT(LEFT(metadata!C849,4))&gt;1900,FALSE),IFERROR(INT(LEFT(metadata!C849,4))&lt;=YEAR(NOW()),FALSE)), OR(MID(metadata!C849,5,1)="", AND(AND(MID(metadata!C849,5,1)="-",IFERROR(INT(MID(metadata!C849,6,1))&gt;=0,FALSE),IFERROR(INT(MID(metadata!C849,6,1))&lt;=1,FALSE),NOT(MID(metadata!C849,7,1)=""),IFERROR(INT(MID(metadata!C849,6,2))&gt;=1,FALSE),IFERROR(INT(MID(metadata!C849,6,2))&lt;=12,FALSE)), OR(MID(metadata!C849,8,1)="", AND(AND(MID(metadata!C849,8,1)="-",IFERROR(INT(MID(metadata!C849,9,1))&gt;=0,FALSE),IFERROR(INT(MID(metadata!C849,9,1))&lt;=3,FALSE),NOT(MID(metadata!C849,10,1)=""),IFERROR(INT(MID(metadata!C849,9,2))&gt;=1,FALSE),IFERROR(INT(MID(metadata!C849,9,2))&lt;=31,FALSE)), OR(MID(metadata!C849,11,1)="", AND(AND(MID(metadata!C849,11,1)=" ",IFERROR(INT(MID(metadata!C849,12,1))&gt;=0,FALSE),IFERROR(INT(MID(metadata!C849,12,1))&lt;=2,FALSE),NOT(MID(metadata!C849,13,1)=""),IFERROR(INT(MID(metadata!C849,12,2))&gt;=0,FALSE),IFERROR(INT(MID(metadata!C849,12,2))&lt;=23,FALSE)), OR(MID(metadata!C849,14,1)="", AND(AND(MID(metadata!C849,14,1)=":",IFERROR(INT(MID(metadata!C849,15,1))&gt;=0,FALSE),IFERROR(INT(MID(metadata!C849,15,1))&lt;=5,FALSE),NOT(MID(metadata!C849,16,1)=""),IFERROR(INT(MID(metadata!C849,15,2))&gt;=0,FALSE),IFERROR(INT(MID(metadata!C849,15,2))&lt;=59,FALSE)), OR(MID(metadata!C849,17,1)="", AND(AND(MID(metadata!C849,17,1)=":",IFERROR(INT(MID(metadata!C849,18,1))&gt;=0,FALSE),IFERROR(INT(MID(metadata!C849,18,1))&lt;=5,FALSE),NOT(MID(metadata!C849,19,1)=""),IFERROR(INT(MID(metadata!C849,18,2))&gt;=0,FALSE),IFERROR(INT(MID(metadata!C849,18,2))&lt;=59,FALSE)), LEN(metadata!C849)&lt;=19)))))))))))))</f>
        <v>0</v>
      </c>
      <c r="AD849">
        <f>IF(metadata!D849="",FALSE,TRUE)</f>
        <v>0</v>
      </c>
      <c r="AE849">
        <f>OR(AND(IF(metadata!E849="",FALSE,TRUE),OR(exact(metadata!E849,"missing: not collected"),exact(metadata!E849,"missing: not provided"))),AND(IF(metadata!E849="",FALSE,TRUE),OR(exact(metadata!E849,"TRUE"),exact(metadata!E849,"FALSE"))))</f>
        <v>0</v>
      </c>
      <c r="AF849">
        <f>IF(metadata!F849="",FALSE,TRUE)</f>
        <v>0</v>
      </c>
      <c r="AG849">
        <f>IF(metadata!G849="",FALSE,TRUE)</f>
        <v>0</v>
      </c>
      <c r="AH849">
        <f>IF(metadata!H849="",FALSE,TRUE)</f>
        <v>0</v>
      </c>
      <c r="AI849">
        <f>OR(AND(IF(metadata!I849="",FALSE,TRUE),OR(exact(metadata!I849,"missing: not collected"),exact(metadata!I849,"missing: not provided"),exact(metadata!I849,"missing: restricted access"))),AND(IF(metadata!I849="",FALSE,TRUE),OR(exact(metadata!I849,"air"),exact(metadata!I849,"built environment"),exact(metadata!I849,"host-associated"),exact(metadata!I849,"human-associated"),exact(metadata!I849,"human-skin"),exact(metadata!I849,"human-oral"),exact(metadata!I849,"human-gut"),exact(metadata!I849,"human-vaginal"),exact(metadata!I849,"microbial mat/biofilm"),exact(metadata!I849,"misc environment"),exact(metadata!I849,"plant-associated"),exact(metadata!I849,"sediment"),exact(metadata!I849,"soil"),exact(metadata!I849,"wastewater/sludge"),exact(metadata!I849,"water"))))</f>
        <v>0</v>
      </c>
      <c r="AJ849">
        <f>IF(metadata!J849="",FALSE,TRUE)</f>
        <v>0</v>
      </c>
      <c r="AK849">
        <f>OR(AND(IF(metadata!K849="",FALSE,TRUE),OR(exact(metadata!K849,"missing: not collected"),exact(metadata!K849,"missing: not provided"),exact(metadata!K849,"missing: restricted access"))),AND(IF(metadata!K849="",FALSE,ISNUMBER(VALUE(metadata!K849))),metadata!K849&gt;=-90.00,metadata!K849&lt;=90.00))</f>
        <v>0</v>
      </c>
      <c r="AL849">
        <f>OR(AND(IF(metadata!L849="",FALSE,TRUE),OR(exact(metadata!L849,"missing: not collected"),exact(metadata!L849,"missing: not provided"),exact(metadata!L849,"missing: restricted access"))),AND(IF(metadata!L849="",FALSE,ISNUMBER(VALUE(metadata!L849))),metadata!L849&gt;=-180.00,metadata!L849&lt;=180.00))</f>
        <v>0</v>
      </c>
      <c r="AM849">
        <f>IF(metadata!M849="",FALSE,TRUE)</f>
        <v>0</v>
      </c>
      <c r="AN849">
        <f>OR(AND(IF(metadata!N849="",FALSE,TRUE),OR(exact(metadata!N849,"missing: not collected"),exact(metadata!N849,"missing: not provided"),exact(metadata!N849,"missing: restricted access"))),AND(IF(metadata!N849="",FALSE,TRUE),OR(exact(metadata!N849,"TRUE"),exact(metadata!N849,"FALSE"))))</f>
        <v>0</v>
      </c>
      <c r="AO849">
        <f>IF(metadata!O849="",FALSE,TRUE)</f>
        <v>0</v>
      </c>
      <c r="AP849">
        <f>OR(AND(IF(metadata!P849="",FALSE,TRUE),OR(exact(metadata!P849,"missing: not collected"),exact(metadata!P849,"missing: not provided"))),AND(IF(metadata!P849="",FALSE,IF(ISERROR(INT(metadata!P849)),FALSE,INT(metadata!P849)=metadata!P849)),metadata!P849&gt;0))</f>
        <v>0</v>
      </c>
      <c r="AQ849">
        <f>IF(metadata!Q849="",FALSE,TRUE)</f>
        <v>0</v>
      </c>
    </row>
    <row r="850" spans="1:43">
      <c r="A850" s="5">
        <f>IF(B850=" "," ",HYPERLINK(CONCATENATE("#metadata!",ADDRESS(INDEX($W$2:$W$1001,MATCH(ROWS($U$2:U850),$U$2:$U$1001,0),0),1)),INDEX($Z$2:$Z$1001,MATCH(ROWS($U$2:U850),$U$2:$U$1001,0),0)))</f>
        <v>0</v>
      </c>
      <c r="B850" s="4">
        <f>IF(OR(INDEX($V$2:$V$1001,MATCH(ROWS($U$2:U850),$U$2:$U$1001,0),1)&gt;=100000,INDEX($AB$1005:$AQ$1005,1,MATCH(COLUMNS($AB$1006:AB1006),$AB$1006:$AQ$1006,0))&gt;=100000), " ",IF(INDEX($AB$2:$AQ$1001,MATCH(ROWS($U$2:U850),$U$2:$U$1001,0),MATCH(COLUMNS($AB$1006:AB1006),$AB$1006:$AQ$1006,0)), HYPERLINK("#",""), HYPERLINK(CONCATENATE("#metadata!", ADDRESS(INDEX($W$2:$W$1001,MATCH(ROWS($U$2:U850),$U$2:$U$1001,0),0), INDEX($AB$1004:$AQ$1004,1,MATCH(COLUMNS($AB$1006:AB1006),$AB$1006:$AQ$1006,0)))),"Fix")))</f>
        <v>0</v>
      </c>
      <c r="C850" s="4">
        <f>IF(OR(INDEX($V$2:$V$1001,MATCH(ROWS($U$2:U850),$U$2:$U$1001,0),1)&gt;=100000,INDEX($AB$1005:$AQ$1005,1,MATCH(COLUMNS($AB$1006:AC1006),$AB$1006:$AQ$1006,0))&gt;=100000), " ",IF(INDEX($AB$2:$AQ$1001,MATCH(ROWS($U$2:U850),$U$2:$U$1001,0),MATCH(COLUMNS($AB$1006:AC1006),$AB$1006:$AQ$1006,0)), HYPERLINK("#",""), HYPERLINK(CONCATENATE("#metadata!", ADDRESS(INDEX($W$2:$W$1001,MATCH(ROWS($U$2:U850),$U$2:$U$1001,0),0), INDEX($AB$1004:$AQ$1004,1,MATCH(COLUMNS($AB$1006:AC1006),$AB$1006:$AQ$1006,0)))),"Fix")))</f>
        <v>0</v>
      </c>
      <c r="D850" s="4">
        <f>IF(OR(INDEX($V$2:$V$1001,MATCH(ROWS($U$2:U850),$U$2:$U$1001,0),1)&gt;=100000,INDEX($AB$1005:$AQ$1005,1,MATCH(COLUMNS($AB$1006:AD1006),$AB$1006:$AQ$1006,0))&gt;=100000), " ",IF(INDEX($AB$2:$AQ$1001,MATCH(ROWS($U$2:U850),$U$2:$U$1001,0),MATCH(COLUMNS($AB$1006:AD1006),$AB$1006:$AQ$1006,0)), HYPERLINK("#",""), HYPERLINK(CONCATENATE("#metadata!", ADDRESS(INDEX($W$2:$W$1001,MATCH(ROWS($U$2:U850),$U$2:$U$1001,0),0), INDEX($AB$1004:$AQ$1004,1,MATCH(COLUMNS($AB$1006:AD1006),$AB$1006:$AQ$1006,0)))),"Fix")))</f>
        <v>0</v>
      </c>
      <c r="E850" s="4">
        <f>IF(OR(INDEX($V$2:$V$1001,MATCH(ROWS($U$2:U850),$U$2:$U$1001,0),1)&gt;=100000,INDEX($AB$1005:$AQ$1005,1,MATCH(COLUMNS($AB$1006:AE1006),$AB$1006:$AQ$1006,0))&gt;=100000), " ",IF(INDEX($AB$2:$AQ$1001,MATCH(ROWS($U$2:U850),$U$2:$U$1001,0),MATCH(COLUMNS($AB$1006:AE1006),$AB$1006:$AQ$1006,0)), HYPERLINK("#",""), HYPERLINK(CONCATENATE("#metadata!", ADDRESS(INDEX($W$2:$W$1001,MATCH(ROWS($U$2:U850),$U$2:$U$1001,0),0), INDEX($AB$1004:$AQ$1004,1,MATCH(COLUMNS($AB$1006:AE1006),$AB$1006:$AQ$1006,0)))),"Fix")))</f>
        <v>0</v>
      </c>
      <c r="F850" s="4">
        <f>IF(OR(INDEX($V$2:$V$1001,MATCH(ROWS($U$2:U850),$U$2:$U$1001,0),1)&gt;=100000,INDEX($AB$1005:$AQ$1005,1,MATCH(COLUMNS($AB$1006:AF1006),$AB$1006:$AQ$1006,0))&gt;=100000), " ",IF(INDEX($AB$2:$AQ$1001,MATCH(ROWS($U$2:U850),$U$2:$U$1001,0),MATCH(COLUMNS($AB$1006:AF1006),$AB$1006:$AQ$1006,0)), HYPERLINK("#",""), HYPERLINK(CONCATENATE("#metadata!", ADDRESS(INDEX($W$2:$W$1001,MATCH(ROWS($U$2:U850),$U$2:$U$1001,0),0), INDEX($AB$1004:$AQ$1004,1,MATCH(COLUMNS($AB$1006:AF1006),$AB$1006:$AQ$1006,0)))),"Fix")))</f>
        <v>0</v>
      </c>
      <c r="G850" s="4">
        <f>IF(OR(INDEX($V$2:$V$1001,MATCH(ROWS($U$2:U850),$U$2:$U$1001,0),1)&gt;=100000,INDEX($AB$1005:$AQ$1005,1,MATCH(COLUMNS($AB$1006:AG1006),$AB$1006:$AQ$1006,0))&gt;=100000), " ",IF(INDEX($AB$2:$AQ$1001,MATCH(ROWS($U$2:U850),$U$2:$U$1001,0),MATCH(COLUMNS($AB$1006:AG1006),$AB$1006:$AQ$1006,0)), HYPERLINK("#",""), HYPERLINK(CONCATENATE("#metadata!", ADDRESS(INDEX($W$2:$W$1001,MATCH(ROWS($U$2:U850),$U$2:$U$1001,0),0), INDEX($AB$1004:$AQ$1004,1,MATCH(COLUMNS($AB$1006:AG1006),$AB$1006:$AQ$1006,0)))),"Fix")))</f>
        <v>0</v>
      </c>
      <c r="H850" s="4">
        <f>IF(OR(INDEX($V$2:$V$1001,MATCH(ROWS($U$2:U850),$U$2:$U$1001,0),1)&gt;=100000,INDEX($AB$1005:$AQ$1005,1,MATCH(COLUMNS($AB$1006:AH1006),$AB$1006:$AQ$1006,0))&gt;=100000), " ",IF(INDEX($AB$2:$AQ$1001,MATCH(ROWS($U$2:U850),$U$2:$U$1001,0),MATCH(COLUMNS($AB$1006:AH1006),$AB$1006:$AQ$1006,0)), HYPERLINK("#",""), HYPERLINK(CONCATENATE("#metadata!", ADDRESS(INDEX($W$2:$W$1001,MATCH(ROWS($U$2:U850),$U$2:$U$1001,0),0), INDEX($AB$1004:$AQ$1004,1,MATCH(COLUMNS($AB$1006:AH1006),$AB$1006:$AQ$1006,0)))),"Fix")))</f>
        <v>0</v>
      </c>
      <c r="I850" s="4">
        <f>IF(OR(INDEX($V$2:$V$1001,MATCH(ROWS($U$2:U850),$U$2:$U$1001,0),1)&gt;=100000,INDEX($AB$1005:$AQ$1005,1,MATCH(COLUMNS($AB$1006:AI1006),$AB$1006:$AQ$1006,0))&gt;=100000), " ",IF(INDEX($AB$2:$AQ$1001,MATCH(ROWS($U$2:U850),$U$2:$U$1001,0),MATCH(COLUMNS($AB$1006:AI1006),$AB$1006:$AQ$1006,0)), HYPERLINK("#",""), HYPERLINK(CONCATENATE("#metadata!", ADDRESS(INDEX($W$2:$W$1001,MATCH(ROWS($U$2:U850),$U$2:$U$1001,0),0), INDEX($AB$1004:$AQ$1004,1,MATCH(COLUMNS($AB$1006:AI1006),$AB$1006:$AQ$1006,0)))),"Fix")))</f>
        <v>0</v>
      </c>
      <c r="J850" s="4">
        <f>IF(OR(INDEX($V$2:$V$1001,MATCH(ROWS($U$2:U850),$U$2:$U$1001,0),1)&gt;=100000,INDEX($AB$1005:$AQ$1005,1,MATCH(COLUMNS($AB$1006:AJ1006),$AB$1006:$AQ$1006,0))&gt;=100000), " ",IF(INDEX($AB$2:$AQ$1001,MATCH(ROWS($U$2:U850),$U$2:$U$1001,0),MATCH(COLUMNS($AB$1006:AJ1006),$AB$1006:$AQ$1006,0)), HYPERLINK("#",""), HYPERLINK(CONCATENATE("#metadata!", ADDRESS(INDEX($W$2:$W$1001,MATCH(ROWS($U$2:U850),$U$2:$U$1001,0),0), INDEX($AB$1004:$AQ$1004,1,MATCH(COLUMNS($AB$1006:AJ1006),$AB$1006:$AQ$1006,0)))),"Fix")))</f>
        <v>0</v>
      </c>
      <c r="K850" s="4">
        <f>IF(OR(INDEX($V$2:$V$1001,MATCH(ROWS($U$2:U850),$U$2:$U$1001,0),1)&gt;=100000,INDEX($AB$1005:$AQ$1005,1,MATCH(COLUMNS($AB$1006:AK1006),$AB$1006:$AQ$1006,0))&gt;=100000), " ",IF(INDEX($AB$2:$AQ$1001,MATCH(ROWS($U$2:U850),$U$2:$U$1001,0),MATCH(COLUMNS($AB$1006:AK1006),$AB$1006:$AQ$1006,0)), HYPERLINK("#",""), HYPERLINK(CONCATENATE("#metadata!", ADDRESS(INDEX($W$2:$W$1001,MATCH(ROWS($U$2:U850),$U$2:$U$1001,0),0), INDEX($AB$1004:$AQ$1004,1,MATCH(COLUMNS($AB$1006:AK1006),$AB$1006:$AQ$1006,0)))),"Fix")))</f>
        <v>0</v>
      </c>
      <c r="L850" s="4">
        <f>IF(OR(INDEX($V$2:$V$1001,MATCH(ROWS($U$2:U850),$U$2:$U$1001,0),1)&gt;=100000,INDEX($AB$1005:$AQ$1005,1,MATCH(COLUMNS($AB$1006:AL1006),$AB$1006:$AQ$1006,0))&gt;=100000), " ",IF(INDEX($AB$2:$AQ$1001,MATCH(ROWS($U$2:U850),$U$2:$U$1001,0),MATCH(COLUMNS($AB$1006:AL1006),$AB$1006:$AQ$1006,0)), HYPERLINK("#",""), HYPERLINK(CONCATENATE("#metadata!", ADDRESS(INDEX($W$2:$W$1001,MATCH(ROWS($U$2:U850),$U$2:$U$1001,0),0), INDEX($AB$1004:$AQ$1004,1,MATCH(COLUMNS($AB$1006:AL1006),$AB$1006:$AQ$1006,0)))),"Fix")))</f>
        <v>0</v>
      </c>
      <c r="M850" s="4">
        <f>IF(OR(INDEX($V$2:$V$1001,MATCH(ROWS($U$2:U850),$U$2:$U$1001,0),1)&gt;=100000,INDEX($AB$1005:$AQ$1005,1,MATCH(COLUMNS($AB$1006:AM1006),$AB$1006:$AQ$1006,0))&gt;=100000), " ",IF(INDEX($AB$2:$AQ$1001,MATCH(ROWS($U$2:U850),$U$2:$U$1001,0),MATCH(COLUMNS($AB$1006:AM1006),$AB$1006:$AQ$1006,0)), HYPERLINK("#",""), HYPERLINK(CONCATENATE("#metadata!", ADDRESS(INDEX($W$2:$W$1001,MATCH(ROWS($U$2:U850),$U$2:$U$1001,0),0), INDEX($AB$1004:$AQ$1004,1,MATCH(COLUMNS($AB$1006:AM1006),$AB$1006:$AQ$1006,0)))),"Fix")))</f>
        <v>0</v>
      </c>
      <c r="N850" s="4">
        <f>IF(OR(INDEX($V$2:$V$1001,MATCH(ROWS($U$2:U850),$U$2:$U$1001,0),1)&gt;=100000,INDEX($AB$1005:$AQ$1005,1,MATCH(COLUMNS($AB$1006:AN1006),$AB$1006:$AQ$1006,0))&gt;=100000), " ",IF(INDEX($AB$2:$AQ$1001,MATCH(ROWS($U$2:U850),$U$2:$U$1001,0),MATCH(COLUMNS($AB$1006:AN1006),$AB$1006:$AQ$1006,0)), HYPERLINK("#",""), HYPERLINK(CONCATENATE("#metadata!", ADDRESS(INDEX($W$2:$W$1001,MATCH(ROWS($U$2:U850),$U$2:$U$1001,0),0), INDEX($AB$1004:$AQ$1004,1,MATCH(COLUMNS($AB$1006:AN1006),$AB$1006:$AQ$1006,0)))),"Fix")))</f>
        <v>0</v>
      </c>
      <c r="O850" s="4">
        <f>IF(OR(INDEX($V$2:$V$1001,MATCH(ROWS($U$2:U850),$U$2:$U$1001,0),1)&gt;=100000,INDEX($AB$1005:$AQ$1005,1,MATCH(COLUMNS($AB$1006:AO1006),$AB$1006:$AQ$1006,0))&gt;=100000), " ",IF(INDEX($AB$2:$AQ$1001,MATCH(ROWS($U$2:U850),$U$2:$U$1001,0),MATCH(COLUMNS($AB$1006:AO1006),$AB$1006:$AQ$1006,0)), HYPERLINK("#",""), HYPERLINK(CONCATENATE("#metadata!", ADDRESS(INDEX($W$2:$W$1001,MATCH(ROWS($U$2:U850),$U$2:$U$1001,0),0), INDEX($AB$1004:$AQ$1004,1,MATCH(COLUMNS($AB$1006:AO1006),$AB$1006:$AQ$1006,0)))),"Fix")))</f>
        <v>0</v>
      </c>
      <c r="P850" s="4">
        <f>IF(OR(INDEX($V$2:$V$1001,MATCH(ROWS($U$2:U850),$U$2:$U$1001,0),1)&gt;=100000,INDEX($AB$1005:$AQ$1005,1,MATCH(COLUMNS($AB$1006:AP1006),$AB$1006:$AQ$1006,0))&gt;=100000), " ",IF(INDEX($AB$2:$AQ$1001,MATCH(ROWS($U$2:U850),$U$2:$U$1001,0),MATCH(COLUMNS($AB$1006:AP1006),$AB$1006:$AQ$1006,0)), HYPERLINK("#",""), HYPERLINK(CONCATENATE("#metadata!", ADDRESS(INDEX($W$2:$W$1001,MATCH(ROWS($U$2:U850),$U$2:$U$1001,0),0), INDEX($AB$1004:$AQ$1004,1,MATCH(COLUMNS($AB$1006:AP1006),$AB$1006:$AQ$1006,0)))),"Fix")))</f>
        <v>0</v>
      </c>
      <c r="Q850" s="4">
        <f>IF(OR(INDEX($V$2:$V$1001,MATCH(ROWS($U$2:U850),$U$2:$U$1001,0),1)&gt;=100000,INDEX($AB$1005:$AQ$1005,1,MATCH(COLUMNS($AB$1006:AQ1006),$AB$1006:$AQ$1006,0))&gt;=100000), " ",IF(INDEX($AB$2:$AQ$1001,MATCH(ROWS($U$2:U850),$U$2:$U$1001,0),MATCH(COLUMNS($AB$1006:AQ1006),$AB$1006:$AQ$1006,0)), HYPERLINK("#",""), HYPERLINK(CONCATENATE("#metadata!", ADDRESS(INDEX($W$2:$W$1001,MATCH(ROWS($U$2:U850),$U$2:$U$1001,0),0), INDEX($AB$1004:$AQ$1004,1,MATCH(COLUMNS($AB$1006:AQ1006),$AB$1006:$AQ$1006,0)))),"Fix")))</f>
        <v>0</v>
      </c>
      <c r="U850">
        <v>0</v>
      </c>
      <c r="V850">
        <v>0</v>
      </c>
      <c r="W850">
        <v>0</v>
      </c>
      <c r="X850">
        <f>IF(Y850,TRUE,AND(AB850:AQ850))</f>
        <v>0</v>
      </c>
      <c r="Y850">
        <f>COUNTBLANK(metadata!B850:Q850)=COLUMNS(metadata!B850:Q850)</f>
        <v>0</v>
      </c>
      <c r="Z850">
        <v>0</v>
      </c>
      <c r="AB850">
        <f>AND(IF(metadata!B850="",FALSE,TRUE),COUNTIF(metadata!B:B, metadata!B850) = 1,NOT(ISERROR(SUMPRODUCT(SEARCH(MID(metadata!B850,ROW(INDIRECT("1:"&amp;LEN(metadata!B850))), 1),"0123456789abcdefghijklmnopqrstuvwxyzABCDEFGHIJKLMNOPQRSTUVWXYZ.")))))</f>
        <v>0</v>
      </c>
      <c r="AC850">
        <f>OR(AND(IF(metadata!C850="",FALSE,TRUE),OR(exact(metadata!C850,"missing: not collected"),exact(metadata!C850,"missing: not provided"),exact(metadata!C850,"missing: restricted access"))),AND(IF(metadata!C850="",FALSE,TRUE),AND(AND(IFERROR(INT(LEFT(metadata!C850,4))&gt;1900,FALSE),IFERROR(INT(LEFT(metadata!C850,4))&lt;=YEAR(NOW()),FALSE)), OR(MID(metadata!C850,5,1)="", AND(AND(MID(metadata!C850,5,1)="-",IFERROR(INT(MID(metadata!C850,6,1))&gt;=0,FALSE),IFERROR(INT(MID(metadata!C850,6,1))&lt;=1,FALSE),NOT(MID(metadata!C850,7,1)=""),IFERROR(INT(MID(metadata!C850,6,2))&gt;=1,FALSE),IFERROR(INT(MID(metadata!C850,6,2))&lt;=12,FALSE)), OR(MID(metadata!C850,8,1)="", AND(AND(MID(metadata!C850,8,1)="-",IFERROR(INT(MID(metadata!C850,9,1))&gt;=0,FALSE),IFERROR(INT(MID(metadata!C850,9,1))&lt;=3,FALSE),NOT(MID(metadata!C850,10,1)=""),IFERROR(INT(MID(metadata!C850,9,2))&gt;=1,FALSE),IFERROR(INT(MID(metadata!C850,9,2))&lt;=31,FALSE)), OR(MID(metadata!C850,11,1)="", AND(AND(MID(metadata!C850,11,1)=" ",IFERROR(INT(MID(metadata!C850,12,1))&gt;=0,FALSE),IFERROR(INT(MID(metadata!C850,12,1))&lt;=2,FALSE),NOT(MID(metadata!C850,13,1)=""),IFERROR(INT(MID(metadata!C850,12,2))&gt;=0,FALSE),IFERROR(INT(MID(metadata!C850,12,2))&lt;=23,FALSE)), OR(MID(metadata!C850,14,1)="", AND(AND(MID(metadata!C850,14,1)=":",IFERROR(INT(MID(metadata!C850,15,1))&gt;=0,FALSE),IFERROR(INT(MID(metadata!C850,15,1))&lt;=5,FALSE),NOT(MID(metadata!C850,16,1)=""),IFERROR(INT(MID(metadata!C850,15,2))&gt;=0,FALSE),IFERROR(INT(MID(metadata!C850,15,2))&lt;=59,FALSE)), OR(MID(metadata!C850,17,1)="", AND(AND(MID(metadata!C850,17,1)=":",IFERROR(INT(MID(metadata!C850,18,1))&gt;=0,FALSE),IFERROR(INT(MID(metadata!C850,18,1))&lt;=5,FALSE),NOT(MID(metadata!C850,19,1)=""),IFERROR(INT(MID(metadata!C850,18,2))&gt;=0,FALSE),IFERROR(INT(MID(metadata!C850,18,2))&lt;=59,FALSE)), LEN(metadata!C850)&lt;=19)))))))))))))</f>
        <v>0</v>
      </c>
      <c r="AD850">
        <f>IF(metadata!D850="",FALSE,TRUE)</f>
        <v>0</v>
      </c>
      <c r="AE850">
        <f>OR(AND(IF(metadata!E850="",FALSE,TRUE),OR(exact(metadata!E850,"missing: not collected"),exact(metadata!E850,"missing: not provided"))),AND(IF(metadata!E850="",FALSE,TRUE),OR(exact(metadata!E850,"TRUE"),exact(metadata!E850,"FALSE"))))</f>
        <v>0</v>
      </c>
      <c r="AF850">
        <f>IF(metadata!F850="",FALSE,TRUE)</f>
        <v>0</v>
      </c>
      <c r="AG850">
        <f>IF(metadata!G850="",FALSE,TRUE)</f>
        <v>0</v>
      </c>
      <c r="AH850">
        <f>IF(metadata!H850="",FALSE,TRUE)</f>
        <v>0</v>
      </c>
      <c r="AI850">
        <f>OR(AND(IF(metadata!I850="",FALSE,TRUE),OR(exact(metadata!I850,"missing: not collected"),exact(metadata!I850,"missing: not provided"),exact(metadata!I850,"missing: restricted access"))),AND(IF(metadata!I850="",FALSE,TRUE),OR(exact(metadata!I850,"air"),exact(metadata!I850,"built environment"),exact(metadata!I850,"host-associated"),exact(metadata!I850,"human-associated"),exact(metadata!I850,"human-skin"),exact(metadata!I850,"human-oral"),exact(metadata!I850,"human-gut"),exact(metadata!I850,"human-vaginal"),exact(metadata!I850,"microbial mat/biofilm"),exact(metadata!I850,"misc environment"),exact(metadata!I850,"plant-associated"),exact(metadata!I850,"sediment"),exact(metadata!I850,"soil"),exact(metadata!I850,"wastewater/sludge"),exact(metadata!I850,"water"))))</f>
        <v>0</v>
      </c>
      <c r="AJ850">
        <f>IF(metadata!J850="",FALSE,TRUE)</f>
        <v>0</v>
      </c>
      <c r="AK850">
        <f>OR(AND(IF(metadata!K850="",FALSE,TRUE),OR(exact(metadata!K850,"missing: not collected"),exact(metadata!K850,"missing: not provided"),exact(metadata!K850,"missing: restricted access"))),AND(IF(metadata!K850="",FALSE,ISNUMBER(VALUE(metadata!K850))),metadata!K850&gt;=-90.00,metadata!K850&lt;=90.00))</f>
        <v>0</v>
      </c>
      <c r="AL850">
        <f>OR(AND(IF(metadata!L850="",FALSE,TRUE),OR(exact(metadata!L850,"missing: not collected"),exact(metadata!L850,"missing: not provided"),exact(metadata!L850,"missing: restricted access"))),AND(IF(metadata!L850="",FALSE,ISNUMBER(VALUE(metadata!L850))),metadata!L850&gt;=-180.00,metadata!L850&lt;=180.00))</f>
        <v>0</v>
      </c>
      <c r="AM850">
        <f>IF(metadata!M850="",FALSE,TRUE)</f>
        <v>0</v>
      </c>
      <c r="AN850">
        <f>OR(AND(IF(metadata!N850="",FALSE,TRUE),OR(exact(metadata!N850,"missing: not collected"),exact(metadata!N850,"missing: not provided"),exact(metadata!N850,"missing: restricted access"))),AND(IF(metadata!N850="",FALSE,TRUE),OR(exact(metadata!N850,"TRUE"),exact(metadata!N850,"FALSE"))))</f>
        <v>0</v>
      </c>
      <c r="AO850">
        <f>IF(metadata!O850="",FALSE,TRUE)</f>
        <v>0</v>
      </c>
      <c r="AP850">
        <f>OR(AND(IF(metadata!P850="",FALSE,TRUE),OR(exact(metadata!P850,"missing: not collected"),exact(metadata!P850,"missing: not provided"))),AND(IF(metadata!P850="",FALSE,IF(ISERROR(INT(metadata!P850)),FALSE,INT(metadata!P850)=metadata!P850)),metadata!P850&gt;0))</f>
        <v>0</v>
      </c>
      <c r="AQ850">
        <f>IF(metadata!Q850="",FALSE,TRUE)</f>
        <v>0</v>
      </c>
    </row>
    <row r="851" spans="1:43">
      <c r="A851" s="5">
        <f>IF(B851=" "," ",HYPERLINK(CONCATENATE("#metadata!",ADDRESS(INDEX($W$2:$W$1001,MATCH(ROWS($U$2:U851),$U$2:$U$1001,0),0),1)),INDEX($Z$2:$Z$1001,MATCH(ROWS($U$2:U851),$U$2:$U$1001,0),0)))</f>
        <v>0</v>
      </c>
      <c r="B851" s="4">
        <f>IF(OR(INDEX($V$2:$V$1001,MATCH(ROWS($U$2:U851),$U$2:$U$1001,0),1)&gt;=100000,INDEX($AB$1005:$AQ$1005,1,MATCH(COLUMNS($AB$1006:AB1006),$AB$1006:$AQ$1006,0))&gt;=100000), " ",IF(INDEX($AB$2:$AQ$1001,MATCH(ROWS($U$2:U851),$U$2:$U$1001,0),MATCH(COLUMNS($AB$1006:AB1006),$AB$1006:$AQ$1006,0)), HYPERLINK("#",""), HYPERLINK(CONCATENATE("#metadata!", ADDRESS(INDEX($W$2:$W$1001,MATCH(ROWS($U$2:U851),$U$2:$U$1001,0),0), INDEX($AB$1004:$AQ$1004,1,MATCH(COLUMNS($AB$1006:AB1006),$AB$1006:$AQ$1006,0)))),"Fix")))</f>
        <v>0</v>
      </c>
      <c r="C851" s="4">
        <f>IF(OR(INDEX($V$2:$V$1001,MATCH(ROWS($U$2:U851),$U$2:$U$1001,0),1)&gt;=100000,INDEX($AB$1005:$AQ$1005,1,MATCH(COLUMNS($AB$1006:AC1006),$AB$1006:$AQ$1006,0))&gt;=100000), " ",IF(INDEX($AB$2:$AQ$1001,MATCH(ROWS($U$2:U851),$U$2:$U$1001,0),MATCH(COLUMNS($AB$1006:AC1006),$AB$1006:$AQ$1006,0)), HYPERLINK("#",""), HYPERLINK(CONCATENATE("#metadata!", ADDRESS(INDEX($W$2:$W$1001,MATCH(ROWS($U$2:U851),$U$2:$U$1001,0),0), INDEX($AB$1004:$AQ$1004,1,MATCH(COLUMNS($AB$1006:AC1006),$AB$1006:$AQ$1006,0)))),"Fix")))</f>
        <v>0</v>
      </c>
      <c r="D851" s="4">
        <f>IF(OR(INDEX($V$2:$V$1001,MATCH(ROWS($U$2:U851),$U$2:$U$1001,0),1)&gt;=100000,INDEX($AB$1005:$AQ$1005,1,MATCH(COLUMNS($AB$1006:AD1006),$AB$1006:$AQ$1006,0))&gt;=100000), " ",IF(INDEX($AB$2:$AQ$1001,MATCH(ROWS($U$2:U851),$U$2:$U$1001,0),MATCH(COLUMNS($AB$1006:AD1006),$AB$1006:$AQ$1006,0)), HYPERLINK("#",""), HYPERLINK(CONCATENATE("#metadata!", ADDRESS(INDEX($W$2:$W$1001,MATCH(ROWS($U$2:U851),$U$2:$U$1001,0),0), INDEX($AB$1004:$AQ$1004,1,MATCH(COLUMNS($AB$1006:AD1006),$AB$1006:$AQ$1006,0)))),"Fix")))</f>
        <v>0</v>
      </c>
      <c r="E851" s="4">
        <f>IF(OR(INDEX($V$2:$V$1001,MATCH(ROWS($U$2:U851),$U$2:$U$1001,0),1)&gt;=100000,INDEX($AB$1005:$AQ$1005,1,MATCH(COLUMNS($AB$1006:AE1006),$AB$1006:$AQ$1006,0))&gt;=100000), " ",IF(INDEX($AB$2:$AQ$1001,MATCH(ROWS($U$2:U851),$U$2:$U$1001,0),MATCH(COLUMNS($AB$1006:AE1006),$AB$1006:$AQ$1006,0)), HYPERLINK("#",""), HYPERLINK(CONCATENATE("#metadata!", ADDRESS(INDEX($W$2:$W$1001,MATCH(ROWS($U$2:U851),$U$2:$U$1001,0),0), INDEX($AB$1004:$AQ$1004,1,MATCH(COLUMNS($AB$1006:AE1006),$AB$1006:$AQ$1006,0)))),"Fix")))</f>
        <v>0</v>
      </c>
      <c r="F851" s="4">
        <f>IF(OR(INDEX($V$2:$V$1001,MATCH(ROWS($U$2:U851),$U$2:$U$1001,0),1)&gt;=100000,INDEX($AB$1005:$AQ$1005,1,MATCH(COLUMNS($AB$1006:AF1006),$AB$1006:$AQ$1006,0))&gt;=100000), " ",IF(INDEX($AB$2:$AQ$1001,MATCH(ROWS($U$2:U851),$U$2:$U$1001,0),MATCH(COLUMNS($AB$1006:AF1006),$AB$1006:$AQ$1006,0)), HYPERLINK("#",""), HYPERLINK(CONCATENATE("#metadata!", ADDRESS(INDEX($W$2:$W$1001,MATCH(ROWS($U$2:U851),$U$2:$U$1001,0),0), INDEX($AB$1004:$AQ$1004,1,MATCH(COLUMNS($AB$1006:AF1006),$AB$1006:$AQ$1006,0)))),"Fix")))</f>
        <v>0</v>
      </c>
      <c r="G851" s="4">
        <f>IF(OR(INDEX($V$2:$V$1001,MATCH(ROWS($U$2:U851),$U$2:$U$1001,0),1)&gt;=100000,INDEX($AB$1005:$AQ$1005,1,MATCH(COLUMNS($AB$1006:AG1006),$AB$1006:$AQ$1006,0))&gt;=100000), " ",IF(INDEX($AB$2:$AQ$1001,MATCH(ROWS($U$2:U851),$U$2:$U$1001,0),MATCH(COLUMNS($AB$1006:AG1006),$AB$1006:$AQ$1006,0)), HYPERLINK("#",""), HYPERLINK(CONCATENATE("#metadata!", ADDRESS(INDEX($W$2:$W$1001,MATCH(ROWS($U$2:U851),$U$2:$U$1001,0),0), INDEX($AB$1004:$AQ$1004,1,MATCH(COLUMNS($AB$1006:AG1006),$AB$1006:$AQ$1006,0)))),"Fix")))</f>
        <v>0</v>
      </c>
      <c r="H851" s="4">
        <f>IF(OR(INDEX($V$2:$V$1001,MATCH(ROWS($U$2:U851),$U$2:$U$1001,0),1)&gt;=100000,INDEX($AB$1005:$AQ$1005,1,MATCH(COLUMNS($AB$1006:AH1006),$AB$1006:$AQ$1006,0))&gt;=100000), " ",IF(INDEX($AB$2:$AQ$1001,MATCH(ROWS($U$2:U851),$U$2:$U$1001,0),MATCH(COLUMNS($AB$1006:AH1006),$AB$1006:$AQ$1006,0)), HYPERLINK("#",""), HYPERLINK(CONCATENATE("#metadata!", ADDRESS(INDEX($W$2:$W$1001,MATCH(ROWS($U$2:U851),$U$2:$U$1001,0),0), INDEX($AB$1004:$AQ$1004,1,MATCH(COLUMNS($AB$1006:AH1006),$AB$1006:$AQ$1006,0)))),"Fix")))</f>
        <v>0</v>
      </c>
      <c r="I851" s="4">
        <f>IF(OR(INDEX($V$2:$V$1001,MATCH(ROWS($U$2:U851),$U$2:$U$1001,0),1)&gt;=100000,INDEX($AB$1005:$AQ$1005,1,MATCH(COLUMNS($AB$1006:AI1006),$AB$1006:$AQ$1006,0))&gt;=100000), " ",IF(INDEX($AB$2:$AQ$1001,MATCH(ROWS($U$2:U851),$U$2:$U$1001,0),MATCH(COLUMNS($AB$1006:AI1006),$AB$1006:$AQ$1006,0)), HYPERLINK("#",""), HYPERLINK(CONCATENATE("#metadata!", ADDRESS(INDEX($W$2:$W$1001,MATCH(ROWS($U$2:U851),$U$2:$U$1001,0),0), INDEX($AB$1004:$AQ$1004,1,MATCH(COLUMNS($AB$1006:AI1006),$AB$1006:$AQ$1006,0)))),"Fix")))</f>
        <v>0</v>
      </c>
      <c r="J851" s="4">
        <f>IF(OR(INDEX($V$2:$V$1001,MATCH(ROWS($U$2:U851),$U$2:$U$1001,0),1)&gt;=100000,INDEX($AB$1005:$AQ$1005,1,MATCH(COLUMNS($AB$1006:AJ1006),$AB$1006:$AQ$1006,0))&gt;=100000), " ",IF(INDEX($AB$2:$AQ$1001,MATCH(ROWS($U$2:U851),$U$2:$U$1001,0),MATCH(COLUMNS($AB$1006:AJ1006),$AB$1006:$AQ$1006,0)), HYPERLINK("#",""), HYPERLINK(CONCATENATE("#metadata!", ADDRESS(INDEX($W$2:$W$1001,MATCH(ROWS($U$2:U851),$U$2:$U$1001,0),0), INDEX($AB$1004:$AQ$1004,1,MATCH(COLUMNS($AB$1006:AJ1006),$AB$1006:$AQ$1006,0)))),"Fix")))</f>
        <v>0</v>
      </c>
      <c r="K851" s="4">
        <f>IF(OR(INDEX($V$2:$V$1001,MATCH(ROWS($U$2:U851),$U$2:$U$1001,0),1)&gt;=100000,INDEX($AB$1005:$AQ$1005,1,MATCH(COLUMNS($AB$1006:AK1006),$AB$1006:$AQ$1006,0))&gt;=100000), " ",IF(INDEX($AB$2:$AQ$1001,MATCH(ROWS($U$2:U851),$U$2:$U$1001,0),MATCH(COLUMNS($AB$1006:AK1006),$AB$1006:$AQ$1006,0)), HYPERLINK("#",""), HYPERLINK(CONCATENATE("#metadata!", ADDRESS(INDEX($W$2:$W$1001,MATCH(ROWS($U$2:U851),$U$2:$U$1001,0),0), INDEX($AB$1004:$AQ$1004,1,MATCH(COLUMNS($AB$1006:AK1006),$AB$1006:$AQ$1006,0)))),"Fix")))</f>
        <v>0</v>
      </c>
      <c r="L851" s="4">
        <f>IF(OR(INDEX($V$2:$V$1001,MATCH(ROWS($U$2:U851),$U$2:$U$1001,0),1)&gt;=100000,INDEX($AB$1005:$AQ$1005,1,MATCH(COLUMNS($AB$1006:AL1006),$AB$1006:$AQ$1006,0))&gt;=100000), " ",IF(INDEX($AB$2:$AQ$1001,MATCH(ROWS($U$2:U851),$U$2:$U$1001,0),MATCH(COLUMNS($AB$1006:AL1006),$AB$1006:$AQ$1006,0)), HYPERLINK("#",""), HYPERLINK(CONCATENATE("#metadata!", ADDRESS(INDEX($W$2:$W$1001,MATCH(ROWS($U$2:U851),$U$2:$U$1001,0),0), INDEX($AB$1004:$AQ$1004,1,MATCH(COLUMNS($AB$1006:AL1006),$AB$1006:$AQ$1006,0)))),"Fix")))</f>
        <v>0</v>
      </c>
      <c r="M851" s="4">
        <f>IF(OR(INDEX($V$2:$V$1001,MATCH(ROWS($U$2:U851),$U$2:$U$1001,0),1)&gt;=100000,INDEX($AB$1005:$AQ$1005,1,MATCH(COLUMNS($AB$1006:AM1006),$AB$1006:$AQ$1006,0))&gt;=100000), " ",IF(INDEX($AB$2:$AQ$1001,MATCH(ROWS($U$2:U851),$U$2:$U$1001,0),MATCH(COLUMNS($AB$1006:AM1006),$AB$1006:$AQ$1006,0)), HYPERLINK("#",""), HYPERLINK(CONCATENATE("#metadata!", ADDRESS(INDEX($W$2:$W$1001,MATCH(ROWS($U$2:U851),$U$2:$U$1001,0),0), INDEX($AB$1004:$AQ$1004,1,MATCH(COLUMNS($AB$1006:AM1006),$AB$1006:$AQ$1006,0)))),"Fix")))</f>
        <v>0</v>
      </c>
      <c r="N851" s="4">
        <f>IF(OR(INDEX($V$2:$V$1001,MATCH(ROWS($U$2:U851),$U$2:$U$1001,0),1)&gt;=100000,INDEX($AB$1005:$AQ$1005,1,MATCH(COLUMNS($AB$1006:AN1006),$AB$1006:$AQ$1006,0))&gt;=100000), " ",IF(INDEX($AB$2:$AQ$1001,MATCH(ROWS($U$2:U851),$U$2:$U$1001,0),MATCH(COLUMNS($AB$1006:AN1006),$AB$1006:$AQ$1006,0)), HYPERLINK("#",""), HYPERLINK(CONCATENATE("#metadata!", ADDRESS(INDEX($W$2:$W$1001,MATCH(ROWS($U$2:U851),$U$2:$U$1001,0),0), INDEX($AB$1004:$AQ$1004,1,MATCH(COLUMNS($AB$1006:AN1006),$AB$1006:$AQ$1006,0)))),"Fix")))</f>
        <v>0</v>
      </c>
      <c r="O851" s="4">
        <f>IF(OR(INDEX($V$2:$V$1001,MATCH(ROWS($U$2:U851),$U$2:$U$1001,0),1)&gt;=100000,INDEX($AB$1005:$AQ$1005,1,MATCH(COLUMNS($AB$1006:AO1006),$AB$1006:$AQ$1006,0))&gt;=100000), " ",IF(INDEX($AB$2:$AQ$1001,MATCH(ROWS($U$2:U851),$U$2:$U$1001,0),MATCH(COLUMNS($AB$1006:AO1006),$AB$1006:$AQ$1006,0)), HYPERLINK("#",""), HYPERLINK(CONCATENATE("#metadata!", ADDRESS(INDEX($W$2:$W$1001,MATCH(ROWS($U$2:U851),$U$2:$U$1001,0),0), INDEX($AB$1004:$AQ$1004,1,MATCH(COLUMNS($AB$1006:AO1006),$AB$1006:$AQ$1006,0)))),"Fix")))</f>
        <v>0</v>
      </c>
      <c r="P851" s="4">
        <f>IF(OR(INDEX($V$2:$V$1001,MATCH(ROWS($U$2:U851),$U$2:$U$1001,0),1)&gt;=100000,INDEX($AB$1005:$AQ$1005,1,MATCH(COLUMNS($AB$1006:AP1006),$AB$1006:$AQ$1006,0))&gt;=100000), " ",IF(INDEX($AB$2:$AQ$1001,MATCH(ROWS($U$2:U851),$U$2:$U$1001,0),MATCH(COLUMNS($AB$1006:AP1006),$AB$1006:$AQ$1006,0)), HYPERLINK("#",""), HYPERLINK(CONCATENATE("#metadata!", ADDRESS(INDEX($W$2:$W$1001,MATCH(ROWS($U$2:U851),$U$2:$U$1001,0),0), INDEX($AB$1004:$AQ$1004,1,MATCH(COLUMNS($AB$1006:AP1006),$AB$1006:$AQ$1006,0)))),"Fix")))</f>
        <v>0</v>
      </c>
      <c r="Q851" s="4">
        <f>IF(OR(INDEX($V$2:$V$1001,MATCH(ROWS($U$2:U851),$U$2:$U$1001,0),1)&gt;=100000,INDEX($AB$1005:$AQ$1005,1,MATCH(COLUMNS($AB$1006:AQ1006),$AB$1006:$AQ$1006,0))&gt;=100000), " ",IF(INDEX($AB$2:$AQ$1001,MATCH(ROWS($U$2:U851),$U$2:$U$1001,0),MATCH(COLUMNS($AB$1006:AQ1006),$AB$1006:$AQ$1006,0)), HYPERLINK("#",""), HYPERLINK(CONCATENATE("#metadata!", ADDRESS(INDEX($W$2:$W$1001,MATCH(ROWS($U$2:U851),$U$2:$U$1001,0),0), INDEX($AB$1004:$AQ$1004,1,MATCH(COLUMNS($AB$1006:AQ1006),$AB$1006:$AQ$1006,0)))),"Fix")))</f>
        <v>0</v>
      </c>
      <c r="U851">
        <v>0</v>
      </c>
      <c r="V851">
        <v>0</v>
      </c>
      <c r="W851">
        <v>0</v>
      </c>
      <c r="X851">
        <f>IF(Y851,TRUE,AND(AB851:AQ851))</f>
        <v>0</v>
      </c>
      <c r="Y851">
        <f>COUNTBLANK(metadata!B851:Q851)=COLUMNS(metadata!B851:Q851)</f>
        <v>0</v>
      </c>
      <c r="Z851">
        <v>0</v>
      </c>
      <c r="AB851">
        <f>AND(IF(metadata!B851="",FALSE,TRUE),COUNTIF(metadata!B:B, metadata!B851) = 1,NOT(ISERROR(SUMPRODUCT(SEARCH(MID(metadata!B851,ROW(INDIRECT("1:"&amp;LEN(metadata!B851))), 1),"0123456789abcdefghijklmnopqrstuvwxyzABCDEFGHIJKLMNOPQRSTUVWXYZ.")))))</f>
        <v>0</v>
      </c>
      <c r="AC851">
        <f>OR(AND(IF(metadata!C851="",FALSE,TRUE),OR(exact(metadata!C851,"missing: not collected"),exact(metadata!C851,"missing: not provided"),exact(metadata!C851,"missing: restricted access"))),AND(IF(metadata!C851="",FALSE,TRUE),AND(AND(IFERROR(INT(LEFT(metadata!C851,4))&gt;1900,FALSE),IFERROR(INT(LEFT(metadata!C851,4))&lt;=YEAR(NOW()),FALSE)), OR(MID(metadata!C851,5,1)="", AND(AND(MID(metadata!C851,5,1)="-",IFERROR(INT(MID(metadata!C851,6,1))&gt;=0,FALSE),IFERROR(INT(MID(metadata!C851,6,1))&lt;=1,FALSE),NOT(MID(metadata!C851,7,1)=""),IFERROR(INT(MID(metadata!C851,6,2))&gt;=1,FALSE),IFERROR(INT(MID(metadata!C851,6,2))&lt;=12,FALSE)), OR(MID(metadata!C851,8,1)="", AND(AND(MID(metadata!C851,8,1)="-",IFERROR(INT(MID(metadata!C851,9,1))&gt;=0,FALSE),IFERROR(INT(MID(metadata!C851,9,1))&lt;=3,FALSE),NOT(MID(metadata!C851,10,1)=""),IFERROR(INT(MID(metadata!C851,9,2))&gt;=1,FALSE),IFERROR(INT(MID(metadata!C851,9,2))&lt;=31,FALSE)), OR(MID(metadata!C851,11,1)="", AND(AND(MID(metadata!C851,11,1)=" ",IFERROR(INT(MID(metadata!C851,12,1))&gt;=0,FALSE),IFERROR(INT(MID(metadata!C851,12,1))&lt;=2,FALSE),NOT(MID(metadata!C851,13,1)=""),IFERROR(INT(MID(metadata!C851,12,2))&gt;=0,FALSE),IFERROR(INT(MID(metadata!C851,12,2))&lt;=23,FALSE)), OR(MID(metadata!C851,14,1)="", AND(AND(MID(metadata!C851,14,1)=":",IFERROR(INT(MID(metadata!C851,15,1))&gt;=0,FALSE),IFERROR(INT(MID(metadata!C851,15,1))&lt;=5,FALSE),NOT(MID(metadata!C851,16,1)=""),IFERROR(INT(MID(metadata!C851,15,2))&gt;=0,FALSE),IFERROR(INT(MID(metadata!C851,15,2))&lt;=59,FALSE)), OR(MID(metadata!C851,17,1)="", AND(AND(MID(metadata!C851,17,1)=":",IFERROR(INT(MID(metadata!C851,18,1))&gt;=0,FALSE),IFERROR(INT(MID(metadata!C851,18,1))&lt;=5,FALSE),NOT(MID(metadata!C851,19,1)=""),IFERROR(INT(MID(metadata!C851,18,2))&gt;=0,FALSE),IFERROR(INT(MID(metadata!C851,18,2))&lt;=59,FALSE)), LEN(metadata!C851)&lt;=19)))))))))))))</f>
        <v>0</v>
      </c>
      <c r="AD851">
        <f>IF(metadata!D851="",FALSE,TRUE)</f>
        <v>0</v>
      </c>
      <c r="AE851">
        <f>OR(AND(IF(metadata!E851="",FALSE,TRUE),OR(exact(metadata!E851,"missing: not collected"),exact(metadata!E851,"missing: not provided"))),AND(IF(metadata!E851="",FALSE,TRUE),OR(exact(metadata!E851,"TRUE"),exact(metadata!E851,"FALSE"))))</f>
        <v>0</v>
      </c>
      <c r="AF851">
        <f>IF(metadata!F851="",FALSE,TRUE)</f>
        <v>0</v>
      </c>
      <c r="AG851">
        <f>IF(metadata!G851="",FALSE,TRUE)</f>
        <v>0</v>
      </c>
      <c r="AH851">
        <f>IF(metadata!H851="",FALSE,TRUE)</f>
        <v>0</v>
      </c>
      <c r="AI851">
        <f>OR(AND(IF(metadata!I851="",FALSE,TRUE),OR(exact(metadata!I851,"missing: not collected"),exact(metadata!I851,"missing: not provided"),exact(metadata!I851,"missing: restricted access"))),AND(IF(metadata!I851="",FALSE,TRUE),OR(exact(metadata!I851,"air"),exact(metadata!I851,"built environment"),exact(metadata!I851,"host-associated"),exact(metadata!I851,"human-associated"),exact(metadata!I851,"human-skin"),exact(metadata!I851,"human-oral"),exact(metadata!I851,"human-gut"),exact(metadata!I851,"human-vaginal"),exact(metadata!I851,"microbial mat/biofilm"),exact(metadata!I851,"misc environment"),exact(metadata!I851,"plant-associated"),exact(metadata!I851,"sediment"),exact(metadata!I851,"soil"),exact(metadata!I851,"wastewater/sludge"),exact(metadata!I851,"water"))))</f>
        <v>0</v>
      </c>
      <c r="AJ851">
        <f>IF(metadata!J851="",FALSE,TRUE)</f>
        <v>0</v>
      </c>
      <c r="AK851">
        <f>OR(AND(IF(metadata!K851="",FALSE,TRUE),OR(exact(metadata!K851,"missing: not collected"),exact(metadata!K851,"missing: not provided"),exact(metadata!K851,"missing: restricted access"))),AND(IF(metadata!K851="",FALSE,ISNUMBER(VALUE(metadata!K851))),metadata!K851&gt;=-90.00,metadata!K851&lt;=90.00))</f>
        <v>0</v>
      </c>
      <c r="AL851">
        <f>OR(AND(IF(metadata!L851="",FALSE,TRUE),OR(exact(metadata!L851,"missing: not collected"),exact(metadata!L851,"missing: not provided"),exact(metadata!L851,"missing: restricted access"))),AND(IF(metadata!L851="",FALSE,ISNUMBER(VALUE(metadata!L851))),metadata!L851&gt;=-180.00,metadata!L851&lt;=180.00))</f>
        <v>0</v>
      </c>
      <c r="AM851">
        <f>IF(metadata!M851="",FALSE,TRUE)</f>
        <v>0</v>
      </c>
      <c r="AN851">
        <f>OR(AND(IF(metadata!N851="",FALSE,TRUE),OR(exact(metadata!N851,"missing: not collected"),exact(metadata!N851,"missing: not provided"),exact(metadata!N851,"missing: restricted access"))),AND(IF(metadata!N851="",FALSE,TRUE),OR(exact(metadata!N851,"TRUE"),exact(metadata!N851,"FALSE"))))</f>
        <v>0</v>
      </c>
      <c r="AO851">
        <f>IF(metadata!O851="",FALSE,TRUE)</f>
        <v>0</v>
      </c>
      <c r="AP851">
        <f>OR(AND(IF(metadata!P851="",FALSE,TRUE),OR(exact(metadata!P851,"missing: not collected"),exact(metadata!P851,"missing: not provided"))),AND(IF(metadata!P851="",FALSE,IF(ISERROR(INT(metadata!P851)),FALSE,INT(metadata!P851)=metadata!P851)),metadata!P851&gt;0))</f>
        <v>0</v>
      </c>
      <c r="AQ851">
        <f>IF(metadata!Q851="",FALSE,TRUE)</f>
        <v>0</v>
      </c>
    </row>
    <row r="852" spans="1:43">
      <c r="A852" s="5">
        <f>IF(B852=" "," ",HYPERLINK(CONCATENATE("#metadata!",ADDRESS(INDEX($W$2:$W$1001,MATCH(ROWS($U$2:U852),$U$2:$U$1001,0),0),1)),INDEX($Z$2:$Z$1001,MATCH(ROWS($U$2:U852),$U$2:$U$1001,0),0)))</f>
        <v>0</v>
      </c>
      <c r="B852" s="4">
        <f>IF(OR(INDEX($V$2:$V$1001,MATCH(ROWS($U$2:U852),$U$2:$U$1001,0),1)&gt;=100000,INDEX($AB$1005:$AQ$1005,1,MATCH(COLUMNS($AB$1006:AB1006),$AB$1006:$AQ$1006,0))&gt;=100000), " ",IF(INDEX($AB$2:$AQ$1001,MATCH(ROWS($U$2:U852),$U$2:$U$1001,0),MATCH(COLUMNS($AB$1006:AB1006),$AB$1006:$AQ$1006,0)), HYPERLINK("#",""), HYPERLINK(CONCATENATE("#metadata!", ADDRESS(INDEX($W$2:$W$1001,MATCH(ROWS($U$2:U852),$U$2:$U$1001,0),0), INDEX($AB$1004:$AQ$1004,1,MATCH(COLUMNS($AB$1006:AB1006),$AB$1006:$AQ$1006,0)))),"Fix")))</f>
        <v>0</v>
      </c>
      <c r="C852" s="4">
        <f>IF(OR(INDEX($V$2:$V$1001,MATCH(ROWS($U$2:U852),$U$2:$U$1001,0),1)&gt;=100000,INDEX($AB$1005:$AQ$1005,1,MATCH(COLUMNS($AB$1006:AC1006),$AB$1006:$AQ$1006,0))&gt;=100000), " ",IF(INDEX($AB$2:$AQ$1001,MATCH(ROWS($U$2:U852),$U$2:$U$1001,0),MATCH(COLUMNS($AB$1006:AC1006),$AB$1006:$AQ$1006,0)), HYPERLINK("#",""), HYPERLINK(CONCATENATE("#metadata!", ADDRESS(INDEX($W$2:$W$1001,MATCH(ROWS($U$2:U852),$U$2:$U$1001,0),0), INDEX($AB$1004:$AQ$1004,1,MATCH(COLUMNS($AB$1006:AC1006),$AB$1006:$AQ$1006,0)))),"Fix")))</f>
        <v>0</v>
      </c>
      <c r="D852" s="4">
        <f>IF(OR(INDEX($V$2:$V$1001,MATCH(ROWS($U$2:U852),$U$2:$U$1001,0),1)&gt;=100000,INDEX($AB$1005:$AQ$1005,1,MATCH(COLUMNS($AB$1006:AD1006),$AB$1006:$AQ$1006,0))&gt;=100000), " ",IF(INDEX($AB$2:$AQ$1001,MATCH(ROWS($U$2:U852),$U$2:$U$1001,0),MATCH(COLUMNS($AB$1006:AD1006),$AB$1006:$AQ$1006,0)), HYPERLINK("#",""), HYPERLINK(CONCATENATE("#metadata!", ADDRESS(INDEX($W$2:$W$1001,MATCH(ROWS($U$2:U852),$U$2:$U$1001,0),0), INDEX($AB$1004:$AQ$1004,1,MATCH(COLUMNS($AB$1006:AD1006),$AB$1006:$AQ$1006,0)))),"Fix")))</f>
        <v>0</v>
      </c>
      <c r="E852" s="4">
        <f>IF(OR(INDEX($V$2:$V$1001,MATCH(ROWS($U$2:U852),$U$2:$U$1001,0),1)&gt;=100000,INDEX($AB$1005:$AQ$1005,1,MATCH(COLUMNS($AB$1006:AE1006),$AB$1006:$AQ$1006,0))&gt;=100000), " ",IF(INDEX($AB$2:$AQ$1001,MATCH(ROWS($U$2:U852),$U$2:$U$1001,0),MATCH(COLUMNS($AB$1006:AE1006),$AB$1006:$AQ$1006,0)), HYPERLINK("#",""), HYPERLINK(CONCATENATE("#metadata!", ADDRESS(INDEX($W$2:$W$1001,MATCH(ROWS($U$2:U852),$U$2:$U$1001,0),0), INDEX($AB$1004:$AQ$1004,1,MATCH(COLUMNS($AB$1006:AE1006),$AB$1006:$AQ$1006,0)))),"Fix")))</f>
        <v>0</v>
      </c>
      <c r="F852" s="4">
        <f>IF(OR(INDEX($V$2:$V$1001,MATCH(ROWS($U$2:U852),$U$2:$U$1001,0),1)&gt;=100000,INDEX($AB$1005:$AQ$1005,1,MATCH(COLUMNS($AB$1006:AF1006),$AB$1006:$AQ$1006,0))&gt;=100000), " ",IF(INDEX($AB$2:$AQ$1001,MATCH(ROWS($U$2:U852),$U$2:$U$1001,0),MATCH(COLUMNS($AB$1006:AF1006),$AB$1006:$AQ$1006,0)), HYPERLINK("#",""), HYPERLINK(CONCATENATE("#metadata!", ADDRESS(INDEX($W$2:$W$1001,MATCH(ROWS($U$2:U852),$U$2:$U$1001,0),0), INDEX($AB$1004:$AQ$1004,1,MATCH(COLUMNS($AB$1006:AF1006),$AB$1006:$AQ$1006,0)))),"Fix")))</f>
        <v>0</v>
      </c>
      <c r="G852" s="4">
        <f>IF(OR(INDEX($V$2:$V$1001,MATCH(ROWS($U$2:U852),$U$2:$U$1001,0),1)&gt;=100000,INDEX($AB$1005:$AQ$1005,1,MATCH(COLUMNS($AB$1006:AG1006),$AB$1006:$AQ$1006,0))&gt;=100000), " ",IF(INDEX($AB$2:$AQ$1001,MATCH(ROWS($U$2:U852),$U$2:$U$1001,0),MATCH(COLUMNS($AB$1006:AG1006),$AB$1006:$AQ$1006,0)), HYPERLINK("#",""), HYPERLINK(CONCATENATE("#metadata!", ADDRESS(INDEX($W$2:$W$1001,MATCH(ROWS($U$2:U852),$U$2:$U$1001,0),0), INDEX($AB$1004:$AQ$1004,1,MATCH(COLUMNS($AB$1006:AG1006),$AB$1006:$AQ$1006,0)))),"Fix")))</f>
        <v>0</v>
      </c>
      <c r="H852" s="4">
        <f>IF(OR(INDEX($V$2:$V$1001,MATCH(ROWS($U$2:U852),$U$2:$U$1001,0),1)&gt;=100000,INDEX($AB$1005:$AQ$1005,1,MATCH(COLUMNS($AB$1006:AH1006),$AB$1006:$AQ$1006,0))&gt;=100000), " ",IF(INDEX($AB$2:$AQ$1001,MATCH(ROWS($U$2:U852),$U$2:$U$1001,0),MATCH(COLUMNS($AB$1006:AH1006),$AB$1006:$AQ$1006,0)), HYPERLINK("#",""), HYPERLINK(CONCATENATE("#metadata!", ADDRESS(INDEX($W$2:$W$1001,MATCH(ROWS($U$2:U852),$U$2:$U$1001,0),0), INDEX($AB$1004:$AQ$1004,1,MATCH(COLUMNS($AB$1006:AH1006),$AB$1006:$AQ$1006,0)))),"Fix")))</f>
        <v>0</v>
      </c>
      <c r="I852" s="4">
        <f>IF(OR(INDEX($V$2:$V$1001,MATCH(ROWS($U$2:U852),$U$2:$U$1001,0),1)&gt;=100000,INDEX($AB$1005:$AQ$1005,1,MATCH(COLUMNS($AB$1006:AI1006),$AB$1006:$AQ$1006,0))&gt;=100000), " ",IF(INDEX($AB$2:$AQ$1001,MATCH(ROWS($U$2:U852),$U$2:$U$1001,0),MATCH(COLUMNS($AB$1006:AI1006),$AB$1006:$AQ$1006,0)), HYPERLINK("#",""), HYPERLINK(CONCATENATE("#metadata!", ADDRESS(INDEX($W$2:$W$1001,MATCH(ROWS($U$2:U852),$U$2:$U$1001,0),0), INDEX($AB$1004:$AQ$1004,1,MATCH(COLUMNS($AB$1006:AI1006),$AB$1006:$AQ$1006,0)))),"Fix")))</f>
        <v>0</v>
      </c>
      <c r="J852" s="4">
        <f>IF(OR(INDEX($V$2:$V$1001,MATCH(ROWS($U$2:U852),$U$2:$U$1001,0),1)&gt;=100000,INDEX($AB$1005:$AQ$1005,1,MATCH(COLUMNS($AB$1006:AJ1006),$AB$1006:$AQ$1006,0))&gt;=100000), " ",IF(INDEX($AB$2:$AQ$1001,MATCH(ROWS($U$2:U852),$U$2:$U$1001,0),MATCH(COLUMNS($AB$1006:AJ1006),$AB$1006:$AQ$1006,0)), HYPERLINK("#",""), HYPERLINK(CONCATENATE("#metadata!", ADDRESS(INDEX($W$2:$W$1001,MATCH(ROWS($U$2:U852),$U$2:$U$1001,0),0), INDEX($AB$1004:$AQ$1004,1,MATCH(COLUMNS($AB$1006:AJ1006),$AB$1006:$AQ$1006,0)))),"Fix")))</f>
        <v>0</v>
      </c>
      <c r="K852" s="4">
        <f>IF(OR(INDEX($V$2:$V$1001,MATCH(ROWS($U$2:U852),$U$2:$U$1001,0),1)&gt;=100000,INDEX($AB$1005:$AQ$1005,1,MATCH(COLUMNS($AB$1006:AK1006),$AB$1006:$AQ$1006,0))&gt;=100000), " ",IF(INDEX($AB$2:$AQ$1001,MATCH(ROWS($U$2:U852),$U$2:$U$1001,0),MATCH(COLUMNS($AB$1006:AK1006),$AB$1006:$AQ$1006,0)), HYPERLINK("#",""), HYPERLINK(CONCATENATE("#metadata!", ADDRESS(INDEX($W$2:$W$1001,MATCH(ROWS($U$2:U852),$U$2:$U$1001,0),0), INDEX($AB$1004:$AQ$1004,1,MATCH(COLUMNS($AB$1006:AK1006),$AB$1006:$AQ$1006,0)))),"Fix")))</f>
        <v>0</v>
      </c>
      <c r="L852" s="4">
        <f>IF(OR(INDEX($V$2:$V$1001,MATCH(ROWS($U$2:U852),$U$2:$U$1001,0),1)&gt;=100000,INDEX($AB$1005:$AQ$1005,1,MATCH(COLUMNS($AB$1006:AL1006),$AB$1006:$AQ$1006,0))&gt;=100000), " ",IF(INDEX($AB$2:$AQ$1001,MATCH(ROWS($U$2:U852),$U$2:$U$1001,0),MATCH(COLUMNS($AB$1006:AL1006),$AB$1006:$AQ$1006,0)), HYPERLINK("#",""), HYPERLINK(CONCATENATE("#metadata!", ADDRESS(INDEX($W$2:$W$1001,MATCH(ROWS($U$2:U852),$U$2:$U$1001,0),0), INDEX($AB$1004:$AQ$1004,1,MATCH(COLUMNS($AB$1006:AL1006),$AB$1006:$AQ$1006,0)))),"Fix")))</f>
        <v>0</v>
      </c>
      <c r="M852" s="4">
        <f>IF(OR(INDEX($V$2:$V$1001,MATCH(ROWS($U$2:U852),$U$2:$U$1001,0),1)&gt;=100000,INDEX($AB$1005:$AQ$1005,1,MATCH(COLUMNS($AB$1006:AM1006),$AB$1006:$AQ$1006,0))&gt;=100000), " ",IF(INDEX($AB$2:$AQ$1001,MATCH(ROWS($U$2:U852),$U$2:$U$1001,0),MATCH(COLUMNS($AB$1006:AM1006),$AB$1006:$AQ$1006,0)), HYPERLINK("#",""), HYPERLINK(CONCATENATE("#metadata!", ADDRESS(INDEX($W$2:$W$1001,MATCH(ROWS($U$2:U852),$U$2:$U$1001,0),0), INDEX($AB$1004:$AQ$1004,1,MATCH(COLUMNS($AB$1006:AM1006),$AB$1006:$AQ$1006,0)))),"Fix")))</f>
        <v>0</v>
      </c>
      <c r="N852" s="4">
        <f>IF(OR(INDEX($V$2:$V$1001,MATCH(ROWS($U$2:U852),$U$2:$U$1001,0),1)&gt;=100000,INDEX($AB$1005:$AQ$1005,1,MATCH(COLUMNS($AB$1006:AN1006),$AB$1006:$AQ$1006,0))&gt;=100000), " ",IF(INDEX($AB$2:$AQ$1001,MATCH(ROWS($U$2:U852),$U$2:$U$1001,0),MATCH(COLUMNS($AB$1006:AN1006),$AB$1006:$AQ$1006,0)), HYPERLINK("#",""), HYPERLINK(CONCATENATE("#metadata!", ADDRESS(INDEX($W$2:$W$1001,MATCH(ROWS($U$2:U852),$U$2:$U$1001,0),0), INDEX($AB$1004:$AQ$1004,1,MATCH(COLUMNS($AB$1006:AN1006),$AB$1006:$AQ$1006,0)))),"Fix")))</f>
        <v>0</v>
      </c>
      <c r="O852" s="4">
        <f>IF(OR(INDEX($V$2:$V$1001,MATCH(ROWS($U$2:U852),$U$2:$U$1001,0),1)&gt;=100000,INDEX($AB$1005:$AQ$1005,1,MATCH(COLUMNS($AB$1006:AO1006),$AB$1006:$AQ$1006,0))&gt;=100000), " ",IF(INDEX($AB$2:$AQ$1001,MATCH(ROWS($U$2:U852),$U$2:$U$1001,0),MATCH(COLUMNS($AB$1006:AO1006),$AB$1006:$AQ$1006,0)), HYPERLINK("#",""), HYPERLINK(CONCATENATE("#metadata!", ADDRESS(INDEX($W$2:$W$1001,MATCH(ROWS($U$2:U852),$U$2:$U$1001,0),0), INDEX($AB$1004:$AQ$1004,1,MATCH(COLUMNS($AB$1006:AO1006),$AB$1006:$AQ$1006,0)))),"Fix")))</f>
        <v>0</v>
      </c>
      <c r="P852" s="4">
        <f>IF(OR(INDEX($V$2:$V$1001,MATCH(ROWS($U$2:U852),$U$2:$U$1001,0),1)&gt;=100000,INDEX($AB$1005:$AQ$1005,1,MATCH(COLUMNS($AB$1006:AP1006),$AB$1006:$AQ$1006,0))&gt;=100000), " ",IF(INDEX($AB$2:$AQ$1001,MATCH(ROWS($U$2:U852),$U$2:$U$1001,0),MATCH(COLUMNS($AB$1006:AP1006),$AB$1006:$AQ$1006,0)), HYPERLINK("#",""), HYPERLINK(CONCATENATE("#metadata!", ADDRESS(INDEX($W$2:$W$1001,MATCH(ROWS($U$2:U852),$U$2:$U$1001,0),0), INDEX($AB$1004:$AQ$1004,1,MATCH(COLUMNS($AB$1006:AP1006),$AB$1006:$AQ$1006,0)))),"Fix")))</f>
        <v>0</v>
      </c>
      <c r="Q852" s="4">
        <f>IF(OR(INDEX($V$2:$V$1001,MATCH(ROWS($U$2:U852),$U$2:$U$1001,0),1)&gt;=100000,INDEX($AB$1005:$AQ$1005,1,MATCH(COLUMNS($AB$1006:AQ1006),$AB$1006:$AQ$1006,0))&gt;=100000), " ",IF(INDEX($AB$2:$AQ$1001,MATCH(ROWS($U$2:U852),$U$2:$U$1001,0),MATCH(COLUMNS($AB$1006:AQ1006),$AB$1006:$AQ$1006,0)), HYPERLINK("#",""), HYPERLINK(CONCATENATE("#metadata!", ADDRESS(INDEX($W$2:$W$1001,MATCH(ROWS($U$2:U852),$U$2:$U$1001,0),0), INDEX($AB$1004:$AQ$1004,1,MATCH(COLUMNS($AB$1006:AQ1006),$AB$1006:$AQ$1006,0)))),"Fix")))</f>
        <v>0</v>
      </c>
      <c r="U852">
        <v>0</v>
      </c>
      <c r="V852">
        <v>0</v>
      </c>
      <c r="W852">
        <v>0</v>
      </c>
      <c r="X852">
        <f>IF(Y852,TRUE,AND(AB852:AQ852))</f>
        <v>0</v>
      </c>
      <c r="Y852">
        <f>COUNTBLANK(metadata!B852:Q852)=COLUMNS(metadata!B852:Q852)</f>
        <v>0</v>
      </c>
      <c r="Z852">
        <v>0</v>
      </c>
      <c r="AB852">
        <f>AND(IF(metadata!B852="",FALSE,TRUE),COUNTIF(metadata!B:B, metadata!B852) = 1,NOT(ISERROR(SUMPRODUCT(SEARCH(MID(metadata!B852,ROW(INDIRECT("1:"&amp;LEN(metadata!B852))), 1),"0123456789abcdefghijklmnopqrstuvwxyzABCDEFGHIJKLMNOPQRSTUVWXYZ.")))))</f>
        <v>0</v>
      </c>
      <c r="AC852">
        <f>OR(AND(IF(metadata!C852="",FALSE,TRUE),OR(exact(metadata!C852,"missing: not collected"),exact(metadata!C852,"missing: not provided"),exact(metadata!C852,"missing: restricted access"))),AND(IF(metadata!C852="",FALSE,TRUE),AND(AND(IFERROR(INT(LEFT(metadata!C852,4))&gt;1900,FALSE),IFERROR(INT(LEFT(metadata!C852,4))&lt;=YEAR(NOW()),FALSE)), OR(MID(metadata!C852,5,1)="", AND(AND(MID(metadata!C852,5,1)="-",IFERROR(INT(MID(metadata!C852,6,1))&gt;=0,FALSE),IFERROR(INT(MID(metadata!C852,6,1))&lt;=1,FALSE),NOT(MID(metadata!C852,7,1)=""),IFERROR(INT(MID(metadata!C852,6,2))&gt;=1,FALSE),IFERROR(INT(MID(metadata!C852,6,2))&lt;=12,FALSE)), OR(MID(metadata!C852,8,1)="", AND(AND(MID(metadata!C852,8,1)="-",IFERROR(INT(MID(metadata!C852,9,1))&gt;=0,FALSE),IFERROR(INT(MID(metadata!C852,9,1))&lt;=3,FALSE),NOT(MID(metadata!C852,10,1)=""),IFERROR(INT(MID(metadata!C852,9,2))&gt;=1,FALSE),IFERROR(INT(MID(metadata!C852,9,2))&lt;=31,FALSE)), OR(MID(metadata!C852,11,1)="", AND(AND(MID(metadata!C852,11,1)=" ",IFERROR(INT(MID(metadata!C852,12,1))&gt;=0,FALSE),IFERROR(INT(MID(metadata!C852,12,1))&lt;=2,FALSE),NOT(MID(metadata!C852,13,1)=""),IFERROR(INT(MID(metadata!C852,12,2))&gt;=0,FALSE),IFERROR(INT(MID(metadata!C852,12,2))&lt;=23,FALSE)), OR(MID(metadata!C852,14,1)="", AND(AND(MID(metadata!C852,14,1)=":",IFERROR(INT(MID(metadata!C852,15,1))&gt;=0,FALSE),IFERROR(INT(MID(metadata!C852,15,1))&lt;=5,FALSE),NOT(MID(metadata!C852,16,1)=""),IFERROR(INT(MID(metadata!C852,15,2))&gt;=0,FALSE),IFERROR(INT(MID(metadata!C852,15,2))&lt;=59,FALSE)), OR(MID(metadata!C852,17,1)="", AND(AND(MID(metadata!C852,17,1)=":",IFERROR(INT(MID(metadata!C852,18,1))&gt;=0,FALSE),IFERROR(INT(MID(metadata!C852,18,1))&lt;=5,FALSE),NOT(MID(metadata!C852,19,1)=""),IFERROR(INT(MID(metadata!C852,18,2))&gt;=0,FALSE),IFERROR(INT(MID(metadata!C852,18,2))&lt;=59,FALSE)), LEN(metadata!C852)&lt;=19)))))))))))))</f>
        <v>0</v>
      </c>
      <c r="AD852">
        <f>IF(metadata!D852="",FALSE,TRUE)</f>
        <v>0</v>
      </c>
      <c r="AE852">
        <f>OR(AND(IF(metadata!E852="",FALSE,TRUE),OR(exact(metadata!E852,"missing: not collected"),exact(metadata!E852,"missing: not provided"))),AND(IF(metadata!E852="",FALSE,TRUE),OR(exact(metadata!E852,"TRUE"),exact(metadata!E852,"FALSE"))))</f>
        <v>0</v>
      </c>
      <c r="AF852">
        <f>IF(metadata!F852="",FALSE,TRUE)</f>
        <v>0</v>
      </c>
      <c r="AG852">
        <f>IF(metadata!G852="",FALSE,TRUE)</f>
        <v>0</v>
      </c>
      <c r="AH852">
        <f>IF(metadata!H852="",FALSE,TRUE)</f>
        <v>0</v>
      </c>
      <c r="AI852">
        <f>OR(AND(IF(metadata!I852="",FALSE,TRUE),OR(exact(metadata!I852,"missing: not collected"),exact(metadata!I852,"missing: not provided"),exact(metadata!I852,"missing: restricted access"))),AND(IF(metadata!I852="",FALSE,TRUE),OR(exact(metadata!I852,"air"),exact(metadata!I852,"built environment"),exact(metadata!I852,"host-associated"),exact(metadata!I852,"human-associated"),exact(metadata!I852,"human-skin"),exact(metadata!I852,"human-oral"),exact(metadata!I852,"human-gut"),exact(metadata!I852,"human-vaginal"),exact(metadata!I852,"microbial mat/biofilm"),exact(metadata!I852,"misc environment"),exact(metadata!I852,"plant-associated"),exact(metadata!I852,"sediment"),exact(metadata!I852,"soil"),exact(metadata!I852,"wastewater/sludge"),exact(metadata!I852,"water"))))</f>
        <v>0</v>
      </c>
      <c r="AJ852">
        <f>IF(metadata!J852="",FALSE,TRUE)</f>
        <v>0</v>
      </c>
      <c r="AK852">
        <f>OR(AND(IF(metadata!K852="",FALSE,TRUE),OR(exact(metadata!K852,"missing: not collected"),exact(metadata!K852,"missing: not provided"),exact(metadata!K852,"missing: restricted access"))),AND(IF(metadata!K852="",FALSE,ISNUMBER(VALUE(metadata!K852))),metadata!K852&gt;=-90.00,metadata!K852&lt;=90.00))</f>
        <v>0</v>
      </c>
      <c r="AL852">
        <f>OR(AND(IF(metadata!L852="",FALSE,TRUE),OR(exact(metadata!L852,"missing: not collected"),exact(metadata!L852,"missing: not provided"),exact(metadata!L852,"missing: restricted access"))),AND(IF(metadata!L852="",FALSE,ISNUMBER(VALUE(metadata!L852))),metadata!L852&gt;=-180.00,metadata!L852&lt;=180.00))</f>
        <v>0</v>
      </c>
      <c r="AM852">
        <f>IF(metadata!M852="",FALSE,TRUE)</f>
        <v>0</v>
      </c>
      <c r="AN852">
        <f>OR(AND(IF(metadata!N852="",FALSE,TRUE),OR(exact(metadata!N852,"missing: not collected"),exact(metadata!N852,"missing: not provided"),exact(metadata!N852,"missing: restricted access"))),AND(IF(metadata!N852="",FALSE,TRUE),OR(exact(metadata!N852,"TRUE"),exact(metadata!N852,"FALSE"))))</f>
        <v>0</v>
      </c>
      <c r="AO852">
        <f>IF(metadata!O852="",FALSE,TRUE)</f>
        <v>0</v>
      </c>
      <c r="AP852">
        <f>OR(AND(IF(metadata!P852="",FALSE,TRUE),OR(exact(metadata!P852,"missing: not collected"),exact(metadata!P852,"missing: not provided"))),AND(IF(metadata!P852="",FALSE,IF(ISERROR(INT(metadata!P852)),FALSE,INT(metadata!P852)=metadata!P852)),metadata!P852&gt;0))</f>
        <v>0</v>
      </c>
      <c r="AQ852">
        <f>IF(metadata!Q852="",FALSE,TRUE)</f>
        <v>0</v>
      </c>
    </row>
    <row r="853" spans="1:43">
      <c r="A853" s="5">
        <f>IF(B853=" "," ",HYPERLINK(CONCATENATE("#metadata!",ADDRESS(INDEX($W$2:$W$1001,MATCH(ROWS($U$2:U853),$U$2:$U$1001,0),0),1)),INDEX($Z$2:$Z$1001,MATCH(ROWS($U$2:U853),$U$2:$U$1001,0),0)))</f>
        <v>0</v>
      </c>
      <c r="B853" s="4">
        <f>IF(OR(INDEX($V$2:$V$1001,MATCH(ROWS($U$2:U853),$U$2:$U$1001,0),1)&gt;=100000,INDEX($AB$1005:$AQ$1005,1,MATCH(COLUMNS($AB$1006:AB1006),$AB$1006:$AQ$1006,0))&gt;=100000), " ",IF(INDEX($AB$2:$AQ$1001,MATCH(ROWS($U$2:U853),$U$2:$U$1001,0),MATCH(COLUMNS($AB$1006:AB1006),$AB$1006:$AQ$1006,0)), HYPERLINK("#",""), HYPERLINK(CONCATENATE("#metadata!", ADDRESS(INDEX($W$2:$W$1001,MATCH(ROWS($U$2:U853),$U$2:$U$1001,0),0), INDEX($AB$1004:$AQ$1004,1,MATCH(COLUMNS($AB$1006:AB1006),$AB$1006:$AQ$1006,0)))),"Fix")))</f>
        <v>0</v>
      </c>
      <c r="C853" s="4">
        <f>IF(OR(INDEX($V$2:$V$1001,MATCH(ROWS($U$2:U853),$U$2:$U$1001,0),1)&gt;=100000,INDEX($AB$1005:$AQ$1005,1,MATCH(COLUMNS($AB$1006:AC1006),$AB$1006:$AQ$1006,0))&gt;=100000), " ",IF(INDEX($AB$2:$AQ$1001,MATCH(ROWS($U$2:U853),$U$2:$U$1001,0),MATCH(COLUMNS($AB$1006:AC1006),$AB$1006:$AQ$1006,0)), HYPERLINK("#",""), HYPERLINK(CONCATENATE("#metadata!", ADDRESS(INDEX($W$2:$W$1001,MATCH(ROWS($U$2:U853),$U$2:$U$1001,0),0), INDEX($AB$1004:$AQ$1004,1,MATCH(COLUMNS($AB$1006:AC1006),$AB$1006:$AQ$1006,0)))),"Fix")))</f>
        <v>0</v>
      </c>
      <c r="D853" s="4">
        <f>IF(OR(INDEX($V$2:$V$1001,MATCH(ROWS($U$2:U853),$U$2:$U$1001,0),1)&gt;=100000,INDEX($AB$1005:$AQ$1005,1,MATCH(COLUMNS($AB$1006:AD1006),$AB$1006:$AQ$1006,0))&gt;=100000), " ",IF(INDEX($AB$2:$AQ$1001,MATCH(ROWS($U$2:U853),$U$2:$U$1001,0),MATCH(COLUMNS($AB$1006:AD1006),$AB$1006:$AQ$1006,0)), HYPERLINK("#",""), HYPERLINK(CONCATENATE("#metadata!", ADDRESS(INDEX($W$2:$W$1001,MATCH(ROWS($U$2:U853),$U$2:$U$1001,0),0), INDEX($AB$1004:$AQ$1004,1,MATCH(COLUMNS($AB$1006:AD1006),$AB$1006:$AQ$1006,0)))),"Fix")))</f>
        <v>0</v>
      </c>
      <c r="E853" s="4">
        <f>IF(OR(INDEX($V$2:$V$1001,MATCH(ROWS($U$2:U853),$U$2:$U$1001,0),1)&gt;=100000,INDEX($AB$1005:$AQ$1005,1,MATCH(COLUMNS($AB$1006:AE1006),$AB$1006:$AQ$1006,0))&gt;=100000), " ",IF(INDEX($AB$2:$AQ$1001,MATCH(ROWS($U$2:U853),$U$2:$U$1001,0),MATCH(COLUMNS($AB$1006:AE1006),$AB$1006:$AQ$1006,0)), HYPERLINK("#",""), HYPERLINK(CONCATENATE("#metadata!", ADDRESS(INDEX($W$2:$W$1001,MATCH(ROWS($U$2:U853),$U$2:$U$1001,0),0), INDEX($AB$1004:$AQ$1004,1,MATCH(COLUMNS($AB$1006:AE1006),$AB$1006:$AQ$1006,0)))),"Fix")))</f>
        <v>0</v>
      </c>
      <c r="F853" s="4">
        <f>IF(OR(INDEX($V$2:$V$1001,MATCH(ROWS($U$2:U853),$U$2:$U$1001,0),1)&gt;=100000,INDEX($AB$1005:$AQ$1005,1,MATCH(COLUMNS($AB$1006:AF1006),$AB$1006:$AQ$1006,0))&gt;=100000), " ",IF(INDEX($AB$2:$AQ$1001,MATCH(ROWS($U$2:U853),$U$2:$U$1001,0),MATCH(COLUMNS($AB$1006:AF1006),$AB$1006:$AQ$1006,0)), HYPERLINK("#",""), HYPERLINK(CONCATENATE("#metadata!", ADDRESS(INDEX($W$2:$W$1001,MATCH(ROWS($U$2:U853),$U$2:$U$1001,0),0), INDEX($AB$1004:$AQ$1004,1,MATCH(COLUMNS($AB$1006:AF1006),$AB$1006:$AQ$1006,0)))),"Fix")))</f>
        <v>0</v>
      </c>
      <c r="G853" s="4">
        <f>IF(OR(INDEX($V$2:$V$1001,MATCH(ROWS($U$2:U853),$U$2:$U$1001,0),1)&gt;=100000,INDEX($AB$1005:$AQ$1005,1,MATCH(COLUMNS($AB$1006:AG1006),$AB$1006:$AQ$1006,0))&gt;=100000), " ",IF(INDEX($AB$2:$AQ$1001,MATCH(ROWS($U$2:U853),$U$2:$U$1001,0),MATCH(COLUMNS($AB$1006:AG1006),$AB$1006:$AQ$1006,0)), HYPERLINK("#",""), HYPERLINK(CONCATENATE("#metadata!", ADDRESS(INDEX($W$2:$W$1001,MATCH(ROWS($U$2:U853),$U$2:$U$1001,0),0), INDEX($AB$1004:$AQ$1004,1,MATCH(COLUMNS($AB$1006:AG1006),$AB$1006:$AQ$1006,0)))),"Fix")))</f>
        <v>0</v>
      </c>
      <c r="H853" s="4">
        <f>IF(OR(INDEX($V$2:$V$1001,MATCH(ROWS($U$2:U853),$U$2:$U$1001,0),1)&gt;=100000,INDEX($AB$1005:$AQ$1005,1,MATCH(COLUMNS($AB$1006:AH1006),$AB$1006:$AQ$1006,0))&gt;=100000), " ",IF(INDEX($AB$2:$AQ$1001,MATCH(ROWS($U$2:U853),$U$2:$U$1001,0),MATCH(COLUMNS($AB$1006:AH1006),$AB$1006:$AQ$1006,0)), HYPERLINK("#",""), HYPERLINK(CONCATENATE("#metadata!", ADDRESS(INDEX($W$2:$W$1001,MATCH(ROWS($U$2:U853),$U$2:$U$1001,0),0), INDEX($AB$1004:$AQ$1004,1,MATCH(COLUMNS($AB$1006:AH1006),$AB$1006:$AQ$1006,0)))),"Fix")))</f>
        <v>0</v>
      </c>
      <c r="I853" s="4">
        <f>IF(OR(INDEX($V$2:$V$1001,MATCH(ROWS($U$2:U853),$U$2:$U$1001,0),1)&gt;=100000,INDEX($AB$1005:$AQ$1005,1,MATCH(COLUMNS($AB$1006:AI1006),$AB$1006:$AQ$1006,0))&gt;=100000), " ",IF(INDEX($AB$2:$AQ$1001,MATCH(ROWS($U$2:U853),$U$2:$U$1001,0),MATCH(COLUMNS($AB$1006:AI1006),$AB$1006:$AQ$1006,0)), HYPERLINK("#",""), HYPERLINK(CONCATENATE("#metadata!", ADDRESS(INDEX($W$2:$W$1001,MATCH(ROWS($U$2:U853),$U$2:$U$1001,0),0), INDEX($AB$1004:$AQ$1004,1,MATCH(COLUMNS($AB$1006:AI1006),$AB$1006:$AQ$1006,0)))),"Fix")))</f>
        <v>0</v>
      </c>
      <c r="J853" s="4">
        <f>IF(OR(INDEX($V$2:$V$1001,MATCH(ROWS($U$2:U853),$U$2:$U$1001,0),1)&gt;=100000,INDEX($AB$1005:$AQ$1005,1,MATCH(COLUMNS($AB$1006:AJ1006),$AB$1006:$AQ$1006,0))&gt;=100000), " ",IF(INDEX($AB$2:$AQ$1001,MATCH(ROWS($U$2:U853),$U$2:$U$1001,0),MATCH(COLUMNS($AB$1006:AJ1006),$AB$1006:$AQ$1006,0)), HYPERLINK("#",""), HYPERLINK(CONCATENATE("#metadata!", ADDRESS(INDEX($W$2:$W$1001,MATCH(ROWS($U$2:U853),$U$2:$U$1001,0),0), INDEX($AB$1004:$AQ$1004,1,MATCH(COLUMNS($AB$1006:AJ1006),$AB$1006:$AQ$1006,0)))),"Fix")))</f>
        <v>0</v>
      </c>
      <c r="K853" s="4">
        <f>IF(OR(INDEX($V$2:$V$1001,MATCH(ROWS($U$2:U853),$U$2:$U$1001,0),1)&gt;=100000,INDEX($AB$1005:$AQ$1005,1,MATCH(COLUMNS($AB$1006:AK1006),$AB$1006:$AQ$1006,0))&gt;=100000), " ",IF(INDEX($AB$2:$AQ$1001,MATCH(ROWS($U$2:U853),$U$2:$U$1001,0),MATCH(COLUMNS($AB$1006:AK1006),$AB$1006:$AQ$1006,0)), HYPERLINK("#",""), HYPERLINK(CONCATENATE("#metadata!", ADDRESS(INDEX($W$2:$W$1001,MATCH(ROWS($U$2:U853),$U$2:$U$1001,0),0), INDEX($AB$1004:$AQ$1004,1,MATCH(COLUMNS($AB$1006:AK1006),$AB$1006:$AQ$1006,0)))),"Fix")))</f>
        <v>0</v>
      </c>
      <c r="L853" s="4">
        <f>IF(OR(INDEX($V$2:$V$1001,MATCH(ROWS($U$2:U853),$U$2:$U$1001,0),1)&gt;=100000,INDEX($AB$1005:$AQ$1005,1,MATCH(COLUMNS($AB$1006:AL1006),$AB$1006:$AQ$1006,0))&gt;=100000), " ",IF(INDEX($AB$2:$AQ$1001,MATCH(ROWS($U$2:U853),$U$2:$U$1001,0),MATCH(COLUMNS($AB$1006:AL1006),$AB$1006:$AQ$1006,0)), HYPERLINK("#",""), HYPERLINK(CONCATENATE("#metadata!", ADDRESS(INDEX($W$2:$W$1001,MATCH(ROWS($U$2:U853),$U$2:$U$1001,0),0), INDEX($AB$1004:$AQ$1004,1,MATCH(COLUMNS($AB$1006:AL1006),$AB$1006:$AQ$1006,0)))),"Fix")))</f>
        <v>0</v>
      </c>
      <c r="M853" s="4">
        <f>IF(OR(INDEX($V$2:$V$1001,MATCH(ROWS($U$2:U853),$U$2:$U$1001,0),1)&gt;=100000,INDEX($AB$1005:$AQ$1005,1,MATCH(COLUMNS($AB$1006:AM1006),$AB$1006:$AQ$1006,0))&gt;=100000), " ",IF(INDEX($AB$2:$AQ$1001,MATCH(ROWS($U$2:U853),$U$2:$U$1001,0),MATCH(COLUMNS($AB$1006:AM1006),$AB$1006:$AQ$1006,0)), HYPERLINK("#",""), HYPERLINK(CONCATENATE("#metadata!", ADDRESS(INDEX($W$2:$W$1001,MATCH(ROWS($U$2:U853),$U$2:$U$1001,0),0), INDEX($AB$1004:$AQ$1004,1,MATCH(COLUMNS($AB$1006:AM1006),$AB$1006:$AQ$1006,0)))),"Fix")))</f>
        <v>0</v>
      </c>
      <c r="N853" s="4">
        <f>IF(OR(INDEX($V$2:$V$1001,MATCH(ROWS($U$2:U853),$U$2:$U$1001,0),1)&gt;=100000,INDEX($AB$1005:$AQ$1005,1,MATCH(COLUMNS($AB$1006:AN1006),$AB$1006:$AQ$1006,0))&gt;=100000), " ",IF(INDEX($AB$2:$AQ$1001,MATCH(ROWS($U$2:U853),$U$2:$U$1001,0),MATCH(COLUMNS($AB$1006:AN1006),$AB$1006:$AQ$1006,0)), HYPERLINK("#",""), HYPERLINK(CONCATENATE("#metadata!", ADDRESS(INDEX($W$2:$W$1001,MATCH(ROWS($U$2:U853),$U$2:$U$1001,0),0), INDEX($AB$1004:$AQ$1004,1,MATCH(COLUMNS($AB$1006:AN1006),$AB$1006:$AQ$1006,0)))),"Fix")))</f>
        <v>0</v>
      </c>
      <c r="O853" s="4">
        <f>IF(OR(INDEX($V$2:$V$1001,MATCH(ROWS($U$2:U853),$U$2:$U$1001,0),1)&gt;=100000,INDEX($AB$1005:$AQ$1005,1,MATCH(COLUMNS($AB$1006:AO1006),$AB$1006:$AQ$1006,0))&gt;=100000), " ",IF(INDEX($AB$2:$AQ$1001,MATCH(ROWS($U$2:U853),$U$2:$U$1001,0),MATCH(COLUMNS($AB$1006:AO1006),$AB$1006:$AQ$1006,0)), HYPERLINK("#",""), HYPERLINK(CONCATENATE("#metadata!", ADDRESS(INDEX($W$2:$W$1001,MATCH(ROWS($U$2:U853),$U$2:$U$1001,0),0), INDEX($AB$1004:$AQ$1004,1,MATCH(COLUMNS($AB$1006:AO1006),$AB$1006:$AQ$1006,0)))),"Fix")))</f>
        <v>0</v>
      </c>
      <c r="P853" s="4">
        <f>IF(OR(INDEX($V$2:$V$1001,MATCH(ROWS($U$2:U853),$U$2:$U$1001,0),1)&gt;=100000,INDEX($AB$1005:$AQ$1005,1,MATCH(COLUMNS($AB$1006:AP1006),$AB$1006:$AQ$1006,0))&gt;=100000), " ",IF(INDEX($AB$2:$AQ$1001,MATCH(ROWS($U$2:U853),$U$2:$U$1001,0),MATCH(COLUMNS($AB$1006:AP1006),$AB$1006:$AQ$1006,0)), HYPERLINK("#",""), HYPERLINK(CONCATENATE("#metadata!", ADDRESS(INDEX($W$2:$W$1001,MATCH(ROWS($U$2:U853),$U$2:$U$1001,0),0), INDEX($AB$1004:$AQ$1004,1,MATCH(COLUMNS($AB$1006:AP1006),$AB$1006:$AQ$1006,0)))),"Fix")))</f>
        <v>0</v>
      </c>
      <c r="Q853" s="4">
        <f>IF(OR(INDEX($V$2:$V$1001,MATCH(ROWS($U$2:U853),$U$2:$U$1001,0),1)&gt;=100000,INDEX($AB$1005:$AQ$1005,1,MATCH(COLUMNS($AB$1006:AQ1006),$AB$1006:$AQ$1006,0))&gt;=100000), " ",IF(INDEX($AB$2:$AQ$1001,MATCH(ROWS($U$2:U853),$U$2:$U$1001,0),MATCH(COLUMNS($AB$1006:AQ1006),$AB$1006:$AQ$1006,0)), HYPERLINK("#",""), HYPERLINK(CONCATENATE("#metadata!", ADDRESS(INDEX($W$2:$W$1001,MATCH(ROWS($U$2:U853),$U$2:$U$1001,0),0), INDEX($AB$1004:$AQ$1004,1,MATCH(COLUMNS($AB$1006:AQ1006),$AB$1006:$AQ$1006,0)))),"Fix")))</f>
        <v>0</v>
      </c>
      <c r="U853">
        <v>0</v>
      </c>
      <c r="V853">
        <v>0</v>
      </c>
      <c r="W853">
        <v>0</v>
      </c>
      <c r="X853">
        <f>IF(Y853,TRUE,AND(AB853:AQ853))</f>
        <v>0</v>
      </c>
      <c r="Y853">
        <f>COUNTBLANK(metadata!B853:Q853)=COLUMNS(metadata!B853:Q853)</f>
        <v>0</v>
      </c>
      <c r="Z853">
        <v>0</v>
      </c>
      <c r="AB853">
        <f>AND(IF(metadata!B853="",FALSE,TRUE),COUNTIF(metadata!B:B, metadata!B853) = 1,NOT(ISERROR(SUMPRODUCT(SEARCH(MID(metadata!B853,ROW(INDIRECT("1:"&amp;LEN(metadata!B853))), 1),"0123456789abcdefghijklmnopqrstuvwxyzABCDEFGHIJKLMNOPQRSTUVWXYZ.")))))</f>
        <v>0</v>
      </c>
      <c r="AC853">
        <f>OR(AND(IF(metadata!C853="",FALSE,TRUE),OR(exact(metadata!C853,"missing: not collected"),exact(metadata!C853,"missing: not provided"),exact(metadata!C853,"missing: restricted access"))),AND(IF(metadata!C853="",FALSE,TRUE),AND(AND(IFERROR(INT(LEFT(metadata!C853,4))&gt;1900,FALSE),IFERROR(INT(LEFT(metadata!C853,4))&lt;=YEAR(NOW()),FALSE)), OR(MID(metadata!C853,5,1)="", AND(AND(MID(metadata!C853,5,1)="-",IFERROR(INT(MID(metadata!C853,6,1))&gt;=0,FALSE),IFERROR(INT(MID(metadata!C853,6,1))&lt;=1,FALSE),NOT(MID(metadata!C853,7,1)=""),IFERROR(INT(MID(metadata!C853,6,2))&gt;=1,FALSE),IFERROR(INT(MID(metadata!C853,6,2))&lt;=12,FALSE)), OR(MID(metadata!C853,8,1)="", AND(AND(MID(metadata!C853,8,1)="-",IFERROR(INT(MID(metadata!C853,9,1))&gt;=0,FALSE),IFERROR(INT(MID(metadata!C853,9,1))&lt;=3,FALSE),NOT(MID(metadata!C853,10,1)=""),IFERROR(INT(MID(metadata!C853,9,2))&gt;=1,FALSE),IFERROR(INT(MID(metadata!C853,9,2))&lt;=31,FALSE)), OR(MID(metadata!C853,11,1)="", AND(AND(MID(metadata!C853,11,1)=" ",IFERROR(INT(MID(metadata!C853,12,1))&gt;=0,FALSE),IFERROR(INT(MID(metadata!C853,12,1))&lt;=2,FALSE),NOT(MID(metadata!C853,13,1)=""),IFERROR(INT(MID(metadata!C853,12,2))&gt;=0,FALSE),IFERROR(INT(MID(metadata!C853,12,2))&lt;=23,FALSE)), OR(MID(metadata!C853,14,1)="", AND(AND(MID(metadata!C853,14,1)=":",IFERROR(INT(MID(metadata!C853,15,1))&gt;=0,FALSE),IFERROR(INT(MID(metadata!C853,15,1))&lt;=5,FALSE),NOT(MID(metadata!C853,16,1)=""),IFERROR(INT(MID(metadata!C853,15,2))&gt;=0,FALSE),IFERROR(INT(MID(metadata!C853,15,2))&lt;=59,FALSE)), OR(MID(metadata!C853,17,1)="", AND(AND(MID(metadata!C853,17,1)=":",IFERROR(INT(MID(metadata!C853,18,1))&gt;=0,FALSE),IFERROR(INT(MID(metadata!C853,18,1))&lt;=5,FALSE),NOT(MID(metadata!C853,19,1)=""),IFERROR(INT(MID(metadata!C853,18,2))&gt;=0,FALSE),IFERROR(INT(MID(metadata!C853,18,2))&lt;=59,FALSE)), LEN(metadata!C853)&lt;=19)))))))))))))</f>
        <v>0</v>
      </c>
      <c r="AD853">
        <f>IF(metadata!D853="",FALSE,TRUE)</f>
        <v>0</v>
      </c>
      <c r="AE853">
        <f>OR(AND(IF(metadata!E853="",FALSE,TRUE),OR(exact(metadata!E853,"missing: not collected"),exact(metadata!E853,"missing: not provided"))),AND(IF(metadata!E853="",FALSE,TRUE),OR(exact(metadata!E853,"TRUE"),exact(metadata!E853,"FALSE"))))</f>
        <v>0</v>
      </c>
      <c r="AF853">
        <f>IF(metadata!F853="",FALSE,TRUE)</f>
        <v>0</v>
      </c>
      <c r="AG853">
        <f>IF(metadata!G853="",FALSE,TRUE)</f>
        <v>0</v>
      </c>
      <c r="AH853">
        <f>IF(metadata!H853="",FALSE,TRUE)</f>
        <v>0</v>
      </c>
      <c r="AI853">
        <f>OR(AND(IF(metadata!I853="",FALSE,TRUE),OR(exact(metadata!I853,"missing: not collected"),exact(metadata!I853,"missing: not provided"),exact(metadata!I853,"missing: restricted access"))),AND(IF(metadata!I853="",FALSE,TRUE),OR(exact(metadata!I853,"air"),exact(metadata!I853,"built environment"),exact(metadata!I853,"host-associated"),exact(metadata!I853,"human-associated"),exact(metadata!I853,"human-skin"),exact(metadata!I853,"human-oral"),exact(metadata!I853,"human-gut"),exact(metadata!I853,"human-vaginal"),exact(metadata!I853,"microbial mat/biofilm"),exact(metadata!I853,"misc environment"),exact(metadata!I853,"plant-associated"),exact(metadata!I853,"sediment"),exact(metadata!I853,"soil"),exact(metadata!I853,"wastewater/sludge"),exact(metadata!I853,"water"))))</f>
        <v>0</v>
      </c>
      <c r="AJ853">
        <f>IF(metadata!J853="",FALSE,TRUE)</f>
        <v>0</v>
      </c>
      <c r="AK853">
        <f>OR(AND(IF(metadata!K853="",FALSE,TRUE),OR(exact(metadata!K853,"missing: not collected"),exact(metadata!K853,"missing: not provided"),exact(metadata!K853,"missing: restricted access"))),AND(IF(metadata!K853="",FALSE,ISNUMBER(VALUE(metadata!K853))),metadata!K853&gt;=-90.00,metadata!K853&lt;=90.00))</f>
        <v>0</v>
      </c>
      <c r="AL853">
        <f>OR(AND(IF(metadata!L853="",FALSE,TRUE),OR(exact(metadata!L853,"missing: not collected"),exact(metadata!L853,"missing: not provided"),exact(metadata!L853,"missing: restricted access"))),AND(IF(metadata!L853="",FALSE,ISNUMBER(VALUE(metadata!L853))),metadata!L853&gt;=-180.00,metadata!L853&lt;=180.00))</f>
        <v>0</v>
      </c>
      <c r="AM853">
        <f>IF(metadata!M853="",FALSE,TRUE)</f>
        <v>0</v>
      </c>
      <c r="AN853">
        <f>OR(AND(IF(metadata!N853="",FALSE,TRUE),OR(exact(metadata!N853,"missing: not collected"),exact(metadata!N853,"missing: not provided"),exact(metadata!N853,"missing: restricted access"))),AND(IF(metadata!N853="",FALSE,TRUE),OR(exact(metadata!N853,"TRUE"),exact(metadata!N853,"FALSE"))))</f>
        <v>0</v>
      </c>
      <c r="AO853">
        <f>IF(metadata!O853="",FALSE,TRUE)</f>
        <v>0</v>
      </c>
      <c r="AP853">
        <f>OR(AND(IF(metadata!P853="",FALSE,TRUE),OR(exact(metadata!P853,"missing: not collected"),exact(metadata!P853,"missing: not provided"))),AND(IF(metadata!P853="",FALSE,IF(ISERROR(INT(metadata!P853)),FALSE,INT(metadata!P853)=metadata!P853)),metadata!P853&gt;0))</f>
        <v>0</v>
      </c>
      <c r="AQ853">
        <f>IF(metadata!Q853="",FALSE,TRUE)</f>
        <v>0</v>
      </c>
    </row>
    <row r="854" spans="1:43">
      <c r="A854" s="5">
        <f>IF(B854=" "," ",HYPERLINK(CONCATENATE("#metadata!",ADDRESS(INDEX($W$2:$W$1001,MATCH(ROWS($U$2:U854),$U$2:$U$1001,0),0),1)),INDEX($Z$2:$Z$1001,MATCH(ROWS($U$2:U854),$U$2:$U$1001,0),0)))</f>
        <v>0</v>
      </c>
      <c r="B854" s="4">
        <f>IF(OR(INDEX($V$2:$V$1001,MATCH(ROWS($U$2:U854),$U$2:$U$1001,0),1)&gt;=100000,INDEX($AB$1005:$AQ$1005,1,MATCH(COLUMNS($AB$1006:AB1006),$AB$1006:$AQ$1006,0))&gt;=100000), " ",IF(INDEX($AB$2:$AQ$1001,MATCH(ROWS($U$2:U854),$U$2:$U$1001,0),MATCH(COLUMNS($AB$1006:AB1006),$AB$1006:$AQ$1006,0)), HYPERLINK("#",""), HYPERLINK(CONCATENATE("#metadata!", ADDRESS(INDEX($W$2:$W$1001,MATCH(ROWS($U$2:U854),$U$2:$U$1001,0),0), INDEX($AB$1004:$AQ$1004,1,MATCH(COLUMNS($AB$1006:AB1006),$AB$1006:$AQ$1006,0)))),"Fix")))</f>
        <v>0</v>
      </c>
      <c r="C854" s="4">
        <f>IF(OR(INDEX($V$2:$V$1001,MATCH(ROWS($U$2:U854),$U$2:$U$1001,0),1)&gt;=100000,INDEX($AB$1005:$AQ$1005,1,MATCH(COLUMNS($AB$1006:AC1006),$AB$1006:$AQ$1006,0))&gt;=100000), " ",IF(INDEX($AB$2:$AQ$1001,MATCH(ROWS($U$2:U854),$U$2:$U$1001,0),MATCH(COLUMNS($AB$1006:AC1006),$AB$1006:$AQ$1006,0)), HYPERLINK("#",""), HYPERLINK(CONCATENATE("#metadata!", ADDRESS(INDEX($W$2:$W$1001,MATCH(ROWS($U$2:U854),$U$2:$U$1001,0),0), INDEX($AB$1004:$AQ$1004,1,MATCH(COLUMNS($AB$1006:AC1006),$AB$1006:$AQ$1006,0)))),"Fix")))</f>
        <v>0</v>
      </c>
      <c r="D854" s="4">
        <f>IF(OR(INDEX($V$2:$V$1001,MATCH(ROWS($U$2:U854),$U$2:$U$1001,0),1)&gt;=100000,INDEX($AB$1005:$AQ$1005,1,MATCH(COLUMNS($AB$1006:AD1006),$AB$1006:$AQ$1006,0))&gt;=100000), " ",IF(INDEX($AB$2:$AQ$1001,MATCH(ROWS($U$2:U854),$U$2:$U$1001,0),MATCH(COLUMNS($AB$1006:AD1006),$AB$1006:$AQ$1006,0)), HYPERLINK("#",""), HYPERLINK(CONCATENATE("#metadata!", ADDRESS(INDEX($W$2:$W$1001,MATCH(ROWS($U$2:U854),$U$2:$U$1001,0),0), INDEX($AB$1004:$AQ$1004,1,MATCH(COLUMNS($AB$1006:AD1006),$AB$1006:$AQ$1006,0)))),"Fix")))</f>
        <v>0</v>
      </c>
      <c r="E854" s="4">
        <f>IF(OR(INDEX($V$2:$V$1001,MATCH(ROWS($U$2:U854),$U$2:$U$1001,0),1)&gt;=100000,INDEX($AB$1005:$AQ$1005,1,MATCH(COLUMNS($AB$1006:AE1006),$AB$1006:$AQ$1006,0))&gt;=100000), " ",IF(INDEX($AB$2:$AQ$1001,MATCH(ROWS($U$2:U854),$U$2:$U$1001,0),MATCH(COLUMNS($AB$1006:AE1006),$AB$1006:$AQ$1006,0)), HYPERLINK("#",""), HYPERLINK(CONCATENATE("#metadata!", ADDRESS(INDEX($W$2:$W$1001,MATCH(ROWS($U$2:U854),$U$2:$U$1001,0),0), INDEX($AB$1004:$AQ$1004,1,MATCH(COLUMNS($AB$1006:AE1006),$AB$1006:$AQ$1006,0)))),"Fix")))</f>
        <v>0</v>
      </c>
      <c r="F854" s="4">
        <f>IF(OR(INDEX($V$2:$V$1001,MATCH(ROWS($U$2:U854),$U$2:$U$1001,0),1)&gt;=100000,INDEX($AB$1005:$AQ$1005,1,MATCH(COLUMNS($AB$1006:AF1006),$AB$1006:$AQ$1006,0))&gt;=100000), " ",IF(INDEX($AB$2:$AQ$1001,MATCH(ROWS($U$2:U854),$U$2:$U$1001,0),MATCH(COLUMNS($AB$1006:AF1006),$AB$1006:$AQ$1006,0)), HYPERLINK("#",""), HYPERLINK(CONCATENATE("#metadata!", ADDRESS(INDEX($W$2:$W$1001,MATCH(ROWS($U$2:U854),$U$2:$U$1001,0),0), INDEX($AB$1004:$AQ$1004,1,MATCH(COLUMNS($AB$1006:AF1006),$AB$1006:$AQ$1006,0)))),"Fix")))</f>
        <v>0</v>
      </c>
      <c r="G854" s="4">
        <f>IF(OR(INDEX($V$2:$V$1001,MATCH(ROWS($U$2:U854),$U$2:$U$1001,0),1)&gt;=100000,INDEX($AB$1005:$AQ$1005,1,MATCH(COLUMNS($AB$1006:AG1006),$AB$1006:$AQ$1006,0))&gt;=100000), " ",IF(INDEX($AB$2:$AQ$1001,MATCH(ROWS($U$2:U854),$U$2:$U$1001,0),MATCH(COLUMNS($AB$1006:AG1006),$AB$1006:$AQ$1006,0)), HYPERLINK("#",""), HYPERLINK(CONCATENATE("#metadata!", ADDRESS(INDEX($W$2:$W$1001,MATCH(ROWS($U$2:U854),$U$2:$U$1001,0),0), INDEX($AB$1004:$AQ$1004,1,MATCH(COLUMNS($AB$1006:AG1006),$AB$1006:$AQ$1006,0)))),"Fix")))</f>
        <v>0</v>
      </c>
      <c r="H854" s="4">
        <f>IF(OR(INDEX($V$2:$V$1001,MATCH(ROWS($U$2:U854),$U$2:$U$1001,0),1)&gt;=100000,INDEX($AB$1005:$AQ$1005,1,MATCH(COLUMNS($AB$1006:AH1006),$AB$1006:$AQ$1006,0))&gt;=100000), " ",IF(INDEX($AB$2:$AQ$1001,MATCH(ROWS($U$2:U854),$U$2:$U$1001,0),MATCH(COLUMNS($AB$1006:AH1006),$AB$1006:$AQ$1006,0)), HYPERLINK("#",""), HYPERLINK(CONCATENATE("#metadata!", ADDRESS(INDEX($W$2:$W$1001,MATCH(ROWS($U$2:U854),$U$2:$U$1001,0),0), INDEX($AB$1004:$AQ$1004,1,MATCH(COLUMNS($AB$1006:AH1006),$AB$1006:$AQ$1006,0)))),"Fix")))</f>
        <v>0</v>
      </c>
      <c r="I854" s="4">
        <f>IF(OR(INDEX($V$2:$V$1001,MATCH(ROWS($U$2:U854),$U$2:$U$1001,0),1)&gt;=100000,INDEX($AB$1005:$AQ$1005,1,MATCH(COLUMNS($AB$1006:AI1006),$AB$1006:$AQ$1006,0))&gt;=100000), " ",IF(INDEX($AB$2:$AQ$1001,MATCH(ROWS($U$2:U854),$U$2:$U$1001,0),MATCH(COLUMNS($AB$1006:AI1006),$AB$1006:$AQ$1006,0)), HYPERLINK("#",""), HYPERLINK(CONCATENATE("#metadata!", ADDRESS(INDEX($W$2:$W$1001,MATCH(ROWS($U$2:U854),$U$2:$U$1001,0),0), INDEX($AB$1004:$AQ$1004,1,MATCH(COLUMNS($AB$1006:AI1006),$AB$1006:$AQ$1006,0)))),"Fix")))</f>
        <v>0</v>
      </c>
      <c r="J854" s="4">
        <f>IF(OR(INDEX($V$2:$V$1001,MATCH(ROWS($U$2:U854),$U$2:$U$1001,0),1)&gt;=100000,INDEX($AB$1005:$AQ$1005,1,MATCH(COLUMNS($AB$1006:AJ1006),$AB$1006:$AQ$1006,0))&gt;=100000), " ",IF(INDEX($AB$2:$AQ$1001,MATCH(ROWS($U$2:U854),$U$2:$U$1001,0),MATCH(COLUMNS($AB$1006:AJ1006),$AB$1006:$AQ$1006,0)), HYPERLINK("#",""), HYPERLINK(CONCATENATE("#metadata!", ADDRESS(INDEX($W$2:$W$1001,MATCH(ROWS($U$2:U854),$U$2:$U$1001,0),0), INDEX($AB$1004:$AQ$1004,1,MATCH(COLUMNS($AB$1006:AJ1006),$AB$1006:$AQ$1006,0)))),"Fix")))</f>
        <v>0</v>
      </c>
      <c r="K854" s="4">
        <f>IF(OR(INDEX($V$2:$V$1001,MATCH(ROWS($U$2:U854),$U$2:$U$1001,0),1)&gt;=100000,INDEX($AB$1005:$AQ$1005,1,MATCH(COLUMNS($AB$1006:AK1006),$AB$1006:$AQ$1006,0))&gt;=100000), " ",IF(INDEX($AB$2:$AQ$1001,MATCH(ROWS($U$2:U854),$U$2:$U$1001,0),MATCH(COLUMNS($AB$1006:AK1006),$AB$1006:$AQ$1006,0)), HYPERLINK("#",""), HYPERLINK(CONCATENATE("#metadata!", ADDRESS(INDEX($W$2:$W$1001,MATCH(ROWS($U$2:U854),$U$2:$U$1001,0),0), INDEX($AB$1004:$AQ$1004,1,MATCH(COLUMNS($AB$1006:AK1006),$AB$1006:$AQ$1006,0)))),"Fix")))</f>
        <v>0</v>
      </c>
      <c r="L854" s="4">
        <f>IF(OR(INDEX($V$2:$V$1001,MATCH(ROWS($U$2:U854),$U$2:$U$1001,0),1)&gt;=100000,INDEX($AB$1005:$AQ$1005,1,MATCH(COLUMNS($AB$1006:AL1006),$AB$1006:$AQ$1006,0))&gt;=100000), " ",IF(INDEX($AB$2:$AQ$1001,MATCH(ROWS($U$2:U854),$U$2:$U$1001,0),MATCH(COLUMNS($AB$1006:AL1006),$AB$1006:$AQ$1006,0)), HYPERLINK("#",""), HYPERLINK(CONCATENATE("#metadata!", ADDRESS(INDEX($W$2:$W$1001,MATCH(ROWS($U$2:U854),$U$2:$U$1001,0),0), INDEX($AB$1004:$AQ$1004,1,MATCH(COLUMNS($AB$1006:AL1006),$AB$1006:$AQ$1006,0)))),"Fix")))</f>
        <v>0</v>
      </c>
      <c r="M854" s="4">
        <f>IF(OR(INDEX($V$2:$V$1001,MATCH(ROWS($U$2:U854),$U$2:$U$1001,0),1)&gt;=100000,INDEX($AB$1005:$AQ$1005,1,MATCH(COLUMNS($AB$1006:AM1006),$AB$1006:$AQ$1006,0))&gt;=100000), " ",IF(INDEX($AB$2:$AQ$1001,MATCH(ROWS($U$2:U854),$U$2:$U$1001,0),MATCH(COLUMNS($AB$1006:AM1006),$AB$1006:$AQ$1006,0)), HYPERLINK("#",""), HYPERLINK(CONCATENATE("#metadata!", ADDRESS(INDEX($W$2:$W$1001,MATCH(ROWS($U$2:U854),$U$2:$U$1001,0),0), INDEX($AB$1004:$AQ$1004,1,MATCH(COLUMNS($AB$1006:AM1006),$AB$1006:$AQ$1006,0)))),"Fix")))</f>
        <v>0</v>
      </c>
      <c r="N854" s="4">
        <f>IF(OR(INDEX($V$2:$V$1001,MATCH(ROWS($U$2:U854),$U$2:$U$1001,0),1)&gt;=100000,INDEX($AB$1005:$AQ$1005,1,MATCH(COLUMNS($AB$1006:AN1006),$AB$1006:$AQ$1006,0))&gt;=100000), " ",IF(INDEX($AB$2:$AQ$1001,MATCH(ROWS($U$2:U854),$U$2:$U$1001,0),MATCH(COLUMNS($AB$1006:AN1006),$AB$1006:$AQ$1006,0)), HYPERLINK("#",""), HYPERLINK(CONCATENATE("#metadata!", ADDRESS(INDEX($W$2:$W$1001,MATCH(ROWS($U$2:U854),$U$2:$U$1001,0),0), INDEX($AB$1004:$AQ$1004,1,MATCH(COLUMNS($AB$1006:AN1006),$AB$1006:$AQ$1006,0)))),"Fix")))</f>
        <v>0</v>
      </c>
      <c r="O854" s="4">
        <f>IF(OR(INDEX($V$2:$V$1001,MATCH(ROWS($U$2:U854),$U$2:$U$1001,0),1)&gt;=100000,INDEX($AB$1005:$AQ$1005,1,MATCH(COLUMNS($AB$1006:AO1006),$AB$1006:$AQ$1006,0))&gt;=100000), " ",IF(INDEX($AB$2:$AQ$1001,MATCH(ROWS($U$2:U854),$U$2:$U$1001,0),MATCH(COLUMNS($AB$1006:AO1006),$AB$1006:$AQ$1006,0)), HYPERLINK("#",""), HYPERLINK(CONCATENATE("#metadata!", ADDRESS(INDEX($W$2:$W$1001,MATCH(ROWS($U$2:U854),$U$2:$U$1001,0),0), INDEX($AB$1004:$AQ$1004,1,MATCH(COLUMNS($AB$1006:AO1006),$AB$1006:$AQ$1006,0)))),"Fix")))</f>
        <v>0</v>
      </c>
      <c r="P854" s="4">
        <f>IF(OR(INDEX($V$2:$V$1001,MATCH(ROWS($U$2:U854),$U$2:$U$1001,0),1)&gt;=100000,INDEX($AB$1005:$AQ$1005,1,MATCH(COLUMNS($AB$1006:AP1006),$AB$1006:$AQ$1006,0))&gt;=100000), " ",IF(INDEX($AB$2:$AQ$1001,MATCH(ROWS($U$2:U854),$U$2:$U$1001,0),MATCH(COLUMNS($AB$1006:AP1006),$AB$1006:$AQ$1006,0)), HYPERLINK("#",""), HYPERLINK(CONCATENATE("#metadata!", ADDRESS(INDEX($W$2:$W$1001,MATCH(ROWS($U$2:U854),$U$2:$U$1001,0),0), INDEX($AB$1004:$AQ$1004,1,MATCH(COLUMNS($AB$1006:AP1006),$AB$1006:$AQ$1006,0)))),"Fix")))</f>
        <v>0</v>
      </c>
      <c r="Q854" s="4">
        <f>IF(OR(INDEX($V$2:$V$1001,MATCH(ROWS($U$2:U854),$U$2:$U$1001,0),1)&gt;=100000,INDEX($AB$1005:$AQ$1005,1,MATCH(COLUMNS($AB$1006:AQ1006),$AB$1006:$AQ$1006,0))&gt;=100000), " ",IF(INDEX($AB$2:$AQ$1001,MATCH(ROWS($U$2:U854),$U$2:$U$1001,0),MATCH(COLUMNS($AB$1006:AQ1006),$AB$1006:$AQ$1006,0)), HYPERLINK("#",""), HYPERLINK(CONCATENATE("#metadata!", ADDRESS(INDEX($W$2:$W$1001,MATCH(ROWS($U$2:U854),$U$2:$U$1001,0),0), INDEX($AB$1004:$AQ$1004,1,MATCH(COLUMNS($AB$1006:AQ1006),$AB$1006:$AQ$1006,0)))),"Fix")))</f>
        <v>0</v>
      </c>
      <c r="U854">
        <v>0</v>
      </c>
      <c r="V854">
        <v>0</v>
      </c>
      <c r="W854">
        <v>0</v>
      </c>
      <c r="X854">
        <f>IF(Y854,TRUE,AND(AB854:AQ854))</f>
        <v>0</v>
      </c>
      <c r="Y854">
        <f>COUNTBLANK(metadata!B854:Q854)=COLUMNS(metadata!B854:Q854)</f>
        <v>0</v>
      </c>
      <c r="Z854">
        <v>0</v>
      </c>
      <c r="AB854">
        <f>AND(IF(metadata!B854="",FALSE,TRUE),COUNTIF(metadata!B:B, metadata!B854) = 1,NOT(ISERROR(SUMPRODUCT(SEARCH(MID(metadata!B854,ROW(INDIRECT("1:"&amp;LEN(metadata!B854))), 1),"0123456789abcdefghijklmnopqrstuvwxyzABCDEFGHIJKLMNOPQRSTUVWXYZ.")))))</f>
        <v>0</v>
      </c>
      <c r="AC854">
        <f>OR(AND(IF(metadata!C854="",FALSE,TRUE),OR(exact(metadata!C854,"missing: not collected"),exact(metadata!C854,"missing: not provided"),exact(metadata!C854,"missing: restricted access"))),AND(IF(metadata!C854="",FALSE,TRUE),AND(AND(IFERROR(INT(LEFT(metadata!C854,4))&gt;1900,FALSE),IFERROR(INT(LEFT(metadata!C854,4))&lt;=YEAR(NOW()),FALSE)), OR(MID(metadata!C854,5,1)="", AND(AND(MID(metadata!C854,5,1)="-",IFERROR(INT(MID(metadata!C854,6,1))&gt;=0,FALSE),IFERROR(INT(MID(metadata!C854,6,1))&lt;=1,FALSE),NOT(MID(metadata!C854,7,1)=""),IFERROR(INT(MID(metadata!C854,6,2))&gt;=1,FALSE),IFERROR(INT(MID(metadata!C854,6,2))&lt;=12,FALSE)), OR(MID(metadata!C854,8,1)="", AND(AND(MID(metadata!C854,8,1)="-",IFERROR(INT(MID(metadata!C854,9,1))&gt;=0,FALSE),IFERROR(INT(MID(metadata!C854,9,1))&lt;=3,FALSE),NOT(MID(metadata!C854,10,1)=""),IFERROR(INT(MID(metadata!C854,9,2))&gt;=1,FALSE),IFERROR(INT(MID(metadata!C854,9,2))&lt;=31,FALSE)), OR(MID(metadata!C854,11,1)="", AND(AND(MID(metadata!C854,11,1)=" ",IFERROR(INT(MID(metadata!C854,12,1))&gt;=0,FALSE),IFERROR(INT(MID(metadata!C854,12,1))&lt;=2,FALSE),NOT(MID(metadata!C854,13,1)=""),IFERROR(INT(MID(metadata!C854,12,2))&gt;=0,FALSE),IFERROR(INT(MID(metadata!C854,12,2))&lt;=23,FALSE)), OR(MID(metadata!C854,14,1)="", AND(AND(MID(metadata!C854,14,1)=":",IFERROR(INT(MID(metadata!C854,15,1))&gt;=0,FALSE),IFERROR(INT(MID(metadata!C854,15,1))&lt;=5,FALSE),NOT(MID(metadata!C854,16,1)=""),IFERROR(INT(MID(metadata!C854,15,2))&gt;=0,FALSE),IFERROR(INT(MID(metadata!C854,15,2))&lt;=59,FALSE)), OR(MID(metadata!C854,17,1)="", AND(AND(MID(metadata!C854,17,1)=":",IFERROR(INT(MID(metadata!C854,18,1))&gt;=0,FALSE),IFERROR(INT(MID(metadata!C854,18,1))&lt;=5,FALSE),NOT(MID(metadata!C854,19,1)=""),IFERROR(INT(MID(metadata!C854,18,2))&gt;=0,FALSE),IFERROR(INT(MID(metadata!C854,18,2))&lt;=59,FALSE)), LEN(metadata!C854)&lt;=19)))))))))))))</f>
        <v>0</v>
      </c>
      <c r="AD854">
        <f>IF(metadata!D854="",FALSE,TRUE)</f>
        <v>0</v>
      </c>
      <c r="AE854">
        <f>OR(AND(IF(metadata!E854="",FALSE,TRUE),OR(exact(metadata!E854,"missing: not collected"),exact(metadata!E854,"missing: not provided"))),AND(IF(metadata!E854="",FALSE,TRUE),OR(exact(metadata!E854,"TRUE"),exact(metadata!E854,"FALSE"))))</f>
        <v>0</v>
      </c>
      <c r="AF854">
        <f>IF(metadata!F854="",FALSE,TRUE)</f>
        <v>0</v>
      </c>
      <c r="AG854">
        <f>IF(metadata!G854="",FALSE,TRUE)</f>
        <v>0</v>
      </c>
      <c r="AH854">
        <f>IF(metadata!H854="",FALSE,TRUE)</f>
        <v>0</v>
      </c>
      <c r="AI854">
        <f>OR(AND(IF(metadata!I854="",FALSE,TRUE),OR(exact(metadata!I854,"missing: not collected"),exact(metadata!I854,"missing: not provided"),exact(metadata!I854,"missing: restricted access"))),AND(IF(metadata!I854="",FALSE,TRUE),OR(exact(metadata!I854,"air"),exact(metadata!I854,"built environment"),exact(metadata!I854,"host-associated"),exact(metadata!I854,"human-associated"),exact(metadata!I854,"human-skin"),exact(metadata!I854,"human-oral"),exact(metadata!I854,"human-gut"),exact(metadata!I854,"human-vaginal"),exact(metadata!I854,"microbial mat/biofilm"),exact(metadata!I854,"misc environment"),exact(metadata!I854,"plant-associated"),exact(metadata!I854,"sediment"),exact(metadata!I854,"soil"),exact(metadata!I854,"wastewater/sludge"),exact(metadata!I854,"water"))))</f>
        <v>0</v>
      </c>
      <c r="AJ854">
        <f>IF(metadata!J854="",FALSE,TRUE)</f>
        <v>0</v>
      </c>
      <c r="AK854">
        <f>OR(AND(IF(metadata!K854="",FALSE,TRUE),OR(exact(metadata!K854,"missing: not collected"),exact(metadata!K854,"missing: not provided"),exact(metadata!K854,"missing: restricted access"))),AND(IF(metadata!K854="",FALSE,ISNUMBER(VALUE(metadata!K854))),metadata!K854&gt;=-90.00,metadata!K854&lt;=90.00))</f>
        <v>0</v>
      </c>
      <c r="AL854">
        <f>OR(AND(IF(metadata!L854="",FALSE,TRUE),OR(exact(metadata!L854,"missing: not collected"),exact(metadata!L854,"missing: not provided"),exact(metadata!L854,"missing: restricted access"))),AND(IF(metadata!L854="",FALSE,ISNUMBER(VALUE(metadata!L854))),metadata!L854&gt;=-180.00,metadata!L854&lt;=180.00))</f>
        <v>0</v>
      </c>
      <c r="AM854">
        <f>IF(metadata!M854="",FALSE,TRUE)</f>
        <v>0</v>
      </c>
      <c r="AN854">
        <f>OR(AND(IF(metadata!N854="",FALSE,TRUE),OR(exact(metadata!N854,"missing: not collected"),exact(metadata!N854,"missing: not provided"),exact(metadata!N854,"missing: restricted access"))),AND(IF(metadata!N854="",FALSE,TRUE),OR(exact(metadata!N854,"TRUE"),exact(metadata!N854,"FALSE"))))</f>
        <v>0</v>
      </c>
      <c r="AO854">
        <f>IF(metadata!O854="",FALSE,TRUE)</f>
        <v>0</v>
      </c>
      <c r="AP854">
        <f>OR(AND(IF(metadata!P854="",FALSE,TRUE),OR(exact(metadata!P854,"missing: not collected"),exact(metadata!P854,"missing: not provided"))),AND(IF(metadata!P854="",FALSE,IF(ISERROR(INT(metadata!P854)),FALSE,INT(metadata!P854)=metadata!P854)),metadata!P854&gt;0))</f>
        <v>0</v>
      </c>
      <c r="AQ854">
        <f>IF(metadata!Q854="",FALSE,TRUE)</f>
        <v>0</v>
      </c>
    </row>
    <row r="855" spans="1:43">
      <c r="A855" s="5">
        <f>IF(B855=" "," ",HYPERLINK(CONCATENATE("#metadata!",ADDRESS(INDEX($W$2:$W$1001,MATCH(ROWS($U$2:U855),$U$2:$U$1001,0),0),1)),INDEX($Z$2:$Z$1001,MATCH(ROWS($U$2:U855),$U$2:$U$1001,0),0)))</f>
        <v>0</v>
      </c>
      <c r="B855" s="4">
        <f>IF(OR(INDEX($V$2:$V$1001,MATCH(ROWS($U$2:U855),$U$2:$U$1001,0),1)&gt;=100000,INDEX($AB$1005:$AQ$1005,1,MATCH(COLUMNS($AB$1006:AB1006),$AB$1006:$AQ$1006,0))&gt;=100000), " ",IF(INDEX($AB$2:$AQ$1001,MATCH(ROWS($U$2:U855),$U$2:$U$1001,0),MATCH(COLUMNS($AB$1006:AB1006),$AB$1006:$AQ$1006,0)), HYPERLINK("#",""), HYPERLINK(CONCATENATE("#metadata!", ADDRESS(INDEX($W$2:$W$1001,MATCH(ROWS($U$2:U855),$U$2:$U$1001,0),0), INDEX($AB$1004:$AQ$1004,1,MATCH(COLUMNS($AB$1006:AB1006),$AB$1006:$AQ$1006,0)))),"Fix")))</f>
        <v>0</v>
      </c>
      <c r="C855" s="4">
        <f>IF(OR(INDEX($V$2:$V$1001,MATCH(ROWS($U$2:U855),$U$2:$U$1001,0),1)&gt;=100000,INDEX($AB$1005:$AQ$1005,1,MATCH(COLUMNS($AB$1006:AC1006),$AB$1006:$AQ$1006,0))&gt;=100000), " ",IF(INDEX($AB$2:$AQ$1001,MATCH(ROWS($U$2:U855),$U$2:$U$1001,0),MATCH(COLUMNS($AB$1006:AC1006),$AB$1006:$AQ$1006,0)), HYPERLINK("#",""), HYPERLINK(CONCATENATE("#metadata!", ADDRESS(INDEX($W$2:$W$1001,MATCH(ROWS($U$2:U855),$U$2:$U$1001,0),0), INDEX($AB$1004:$AQ$1004,1,MATCH(COLUMNS($AB$1006:AC1006),$AB$1006:$AQ$1006,0)))),"Fix")))</f>
        <v>0</v>
      </c>
      <c r="D855" s="4">
        <f>IF(OR(INDEX($V$2:$V$1001,MATCH(ROWS($U$2:U855),$U$2:$U$1001,0),1)&gt;=100000,INDEX($AB$1005:$AQ$1005,1,MATCH(COLUMNS($AB$1006:AD1006),$AB$1006:$AQ$1006,0))&gt;=100000), " ",IF(INDEX($AB$2:$AQ$1001,MATCH(ROWS($U$2:U855),$U$2:$U$1001,0),MATCH(COLUMNS($AB$1006:AD1006),$AB$1006:$AQ$1006,0)), HYPERLINK("#",""), HYPERLINK(CONCATENATE("#metadata!", ADDRESS(INDEX($W$2:$W$1001,MATCH(ROWS($U$2:U855),$U$2:$U$1001,0),0), INDEX($AB$1004:$AQ$1004,1,MATCH(COLUMNS($AB$1006:AD1006),$AB$1006:$AQ$1006,0)))),"Fix")))</f>
        <v>0</v>
      </c>
      <c r="E855" s="4">
        <f>IF(OR(INDEX($V$2:$V$1001,MATCH(ROWS($U$2:U855),$U$2:$U$1001,0),1)&gt;=100000,INDEX($AB$1005:$AQ$1005,1,MATCH(COLUMNS($AB$1006:AE1006),$AB$1006:$AQ$1006,0))&gt;=100000), " ",IF(INDEX($AB$2:$AQ$1001,MATCH(ROWS($U$2:U855),$U$2:$U$1001,0),MATCH(COLUMNS($AB$1006:AE1006),$AB$1006:$AQ$1006,0)), HYPERLINK("#",""), HYPERLINK(CONCATENATE("#metadata!", ADDRESS(INDEX($W$2:$W$1001,MATCH(ROWS($U$2:U855),$U$2:$U$1001,0),0), INDEX($AB$1004:$AQ$1004,1,MATCH(COLUMNS($AB$1006:AE1006),$AB$1006:$AQ$1006,0)))),"Fix")))</f>
        <v>0</v>
      </c>
      <c r="F855" s="4">
        <f>IF(OR(INDEX($V$2:$V$1001,MATCH(ROWS($U$2:U855),$U$2:$U$1001,0),1)&gt;=100000,INDEX($AB$1005:$AQ$1005,1,MATCH(COLUMNS($AB$1006:AF1006),$AB$1006:$AQ$1006,0))&gt;=100000), " ",IF(INDEX($AB$2:$AQ$1001,MATCH(ROWS($U$2:U855),$U$2:$U$1001,0),MATCH(COLUMNS($AB$1006:AF1006),$AB$1006:$AQ$1006,0)), HYPERLINK("#",""), HYPERLINK(CONCATENATE("#metadata!", ADDRESS(INDEX($W$2:$W$1001,MATCH(ROWS($U$2:U855),$U$2:$U$1001,0),0), INDEX($AB$1004:$AQ$1004,1,MATCH(COLUMNS($AB$1006:AF1006),$AB$1006:$AQ$1006,0)))),"Fix")))</f>
        <v>0</v>
      </c>
      <c r="G855" s="4">
        <f>IF(OR(INDEX($V$2:$V$1001,MATCH(ROWS($U$2:U855),$U$2:$U$1001,0),1)&gt;=100000,INDEX($AB$1005:$AQ$1005,1,MATCH(COLUMNS($AB$1006:AG1006),$AB$1006:$AQ$1006,0))&gt;=100000), " ",IF(INDEX($AB$2:$AQ$1001,MATCH(ROWS($U$2:U855),$U$2:$U$1001,0),MATCH(COLUMNS($AB$1006:AG1006),$AB$1006:$AQ$1006,0)), HYPERLINK("#",""), HYPERLINK(CONCATENATE("#metadata!", ADDRESS(INDEX($W$2:$W$1001,MATCH(ROWS($U$2:U855),$U$2:$U$1001,0),0), INDEX($AB$1004:$AQ$1004,1,MATCH(COLUMNS($AB$1006:AG1006),$AB$1006:$AQ$1006,0)))),"Fix")))</f>
        <v>0</v>
      </c>
      <c r="H855" s="4">
        <f>IF(OR(INDEX($V$2:$V$1001,MATCH(ROWS($U$2:U855),$U$2:$U$1001,0),1)&gt;=100000,INDEX($AB$1005:$AQ$1005,1,MATCH(COLUMNS($AB$1006:AH1006),$AB$1006:$AQ$1006,0))&gt;=100000), " ",IF(INDEX($AB$2:$AQ$1001,MATCH(ROWS($U$2:U855),$U$2:$U$1001,0),MATCH(COLUMNS($AB$1006:AH1006),$AB$1006:$AQ$1006,0)), HYPERLINK("#",""), HYPERLINK(CONCATENATE("#metadata!", ADDRESS(INDEX($W$2:$W$1001,MATCH(ROWS($U$2:U855),$U$2:$U$1001,0),0), INDEX($AB$1004:$AQ$1004,1,MATCH(COLUMNS($AB$1006:AH1006),$AB$1006:$AQ$1006,0)))),"Fix")))</f>
        <v>0</v>
      </c>
      <c r="I855" s="4">
        <f>IF(OR(INDEX($V$2:$V$1001,MATCH(ROWS($U$2:U855),$U$2:$U$1001,0),1)&gt;=100000,INDEX($AB$1005:$AQ$1005,1,MATCH(COLUMNS($AB$1006:AI1006),$AB$1006:$AQ$1006,0))&gt;=100000), " ",IF(INDEX($AB$2:$AQ$1001,MATCH(ROWS($U$2:U855),$U$2:$U$1001,0),MATCH(COLUMNS($AB$1006:AI1006),$AB$1006:$AQ$1006,0)), HYPERLINK("#",""), HYPERLINK(CONCATENATE("#metadata!", ADDRESS(INDEX($W$2:$W$1001,MATCH(ROWS($U$2:U855),$U$2:$U$1001,0),0), INDEX($AB$1004:$AQ$1004,1,MATCH(COLUMNS($AB$1006:AI1006),$AB$1006:$AQ$1006,0)))),"Fix")))</f>
        <v>0</v>
      </c>
      <c r="J855" s="4">
        <f>IF(OR(INDEX($V$2:$V$1001,MATCH(ROWS($U$2:U855),$U$2:$U$1001,0),1)&gt;=100000,INDEX($AB$1005:$AQ$1005,1,MATCH(COLUMNS($AB$1006:AJ1006),$AB$1006:$AQ$1006,0))&gt;=100000), " ",IF(INDEX($AB$2:$AQ$1001,MATCH(ROWS($U$2:U855),$U$2:$U$1001,0),MATCH(COLUMNS($AB$1006:AJ1006),$AB$1006:$AQ$1006,0)), HYPERLINK("#",""), HYPERLINK(CONCATENATE("#metadata!", ADDRESS(INDEX($W$2:$W$1001,MATCH(ROWS($U$2:U855),$U$2:$U$1001,0),0), INDEX($AB$1004:$AQ$1004,1,MATCH(COLUMNS($AB$1006:AJ1006),$AB$1006:$AQ$1006,0)))),"Fix")))</f>
        <v>0</v>
      </c>
      <c r="K855" s="4">
        <f>IF(OR(INDEX($V$2:$V$1001,MATCH(ROWS($U$2:U855),$U$2:$U$1001,0),1)&gt;=100000,INDEX($AB$1005:$AQ$1005,1,MATCH(COLUMNS($AB$1006:AK1006),$AB$1006:$AQ$1006,0))&gt;=100000), " ",IF(INDEX($AB$2:$AQ$1001,MATCH(ROWS($U$2:U855),$U$2:$U$1001,0),MATCH(COLUMNS($AB$1006:AK1006),$AB$1006:$AQ$1006,0)), HYPERLINK("#",""), HYPERLINK(CONCATENATE("#metadata!", ADDRESS(INDEX($W$2:$W$1001,MATCH(ROWS($U$2:U855),$U$2:$U$1001,0),0), INDEX($AB$1004:$AQ$1004,1,MATCH(COLUMNS($AB$1006:AK1006),$AB$1006:$AQ$1006,0)))),"Fix")))</f>
        <v>0</v>
      </c>
      <c r="L855" s="4">
        <f>IF(OR(INDEX($V$2:$V$1001,MATCH(ROWS($U$2:U855),$U$2:$U$1001,0),1)&gt;=100000,INDEX($AB$1005:$AQ$1005,1,MATCH(COLUMNS($AB$1006:AL1006),$AB$1006:$AQ$1006,0))&gt;=100000), " ",IF(INDEX($AB$2:$AQ$1001,MATCH(ROWS($U$2:U855),$U$2:$U$1001,0),MATCH(COLUMNS($AB$1006:AL1006),$AB$1006:$AQ$1006,0)), HYPERLINK("#",""), HYPERLINK(CONCATENATE("#metadata!", ADDRESS(INDEX($W$2:$W$1001,MATCH(ROWS($U$2:U855),$U$2:$U$1001,0),0), INDEX($AB$1004:$AQ$1004,1,MATCH(COLUMNS($AB$1006:AL1006),$AB$1006:$AQ$1006,0)))),"Fix")))</f>
        <v>0</v>
      </c>
      <c r="M855" s="4">
        <f>IF(OR(INDEX($V$2:$V$1001,MATCH(ROWS($U$2:U855),$U$2:$U$1001,0),1)&gt;=100000,INDEX($AB$1005:$AQ$1005,1,MATCH(COLUMNS($AB$1006:AM1006),$AB$1006:$AQ$1006,0))&gt;=100000), " ",IF(INDEX($AB$2:$AQ$1001,MATCH(ROWS($U$2:U855),$U$2:$U$1001,0),MATCH(COLUMNS($AB$1006:AM1006),$AB$1006:$AQ$1006,0)), HYPERLINK("#",""), HYPERLINK(CONCATENATE("#metadata!", ADDRESS(INDEX($W$2:$W$1001,MATCH(ROWS($U$2:U855),$U$2:$U$1001,0),0), INDEX($AB$1004:$AQ$1004,1,MATCH(COLUMNS($AB$1006:AM1006),$AB$1006:$AQ$1006,0)))),"Fix")))</f>
        <v>0</v>
      </c>
      <c r="N855" s="4">
        <f>IF(OR(INDEX($V$2:$V$1001,MATCH(ROWS($U$2:U855),$U$2:$U$1001,0),1)&gt;=100000,INDEX($AB$1005:$AQ$1005,1,MATCH(COLUMNS($AB$1006:AN1006),$AB$1006:$AQ$1006,0))&gt;=100000), " ",IF(INDEX($AB$2:$AQ$1001,MATCH(ROWS($U$2:U855),$U$2:$U$1001,0),MATCH(COLUMNS($AB$1006:AN1006),$AB$1006:$AQ$1006,0)), HYPERLINK("#",""), HYPERLINK(CONCATENATE("#metadata!", ADDRESS(INDEX($W$2:$W$1001,MATCH(ROWS($U$2:U855),$U$2:$U$1001,0),0), INDEX($AB$1004:$AQ$1004,1,MATCH(COLUMNS($AB$1006:AN1006),$AB$1006:$AQ$1006,0)))),"Fix")))</f>
        <v>0</v>
      </c>
      <c r="O855" s="4">
        <f>IF(OR(INDEX($V$2:$V$1001,MATCH(ROWS($U$2:U855),$U$2:$U$1001,0),1)&gt;=100000,INDEX($AB$1005:$AQ$1005,1,MATCH(COLUMNS($AB$1006:AO1006),$AB$1006:$AQ$1006,0))&gt;=100000), " ",IF(INDEX($AB$2:$AQ$1001,MATCH(ROWS($U$2:U855),$U$2:$U$1001,0),MATCH(COLUMNS($AB$1006:AO1006),$AB$1006:$AQ$1006,0)), HYPERLINK("#",""), HYPERLINK(CONCATENATE("#metadata!", ADDRESS(INDEX($W$2:$W$1001,MATCH(ROWS($U$2:U855),$U$2:$U$1001,0),0), INDEX($AB$1004:$AQ$1004,1,MATCH(COLUMNS($AB$1006:AO1006),$AB$1006:$AQ$1006,0)))),"Fix")))</f>
        <v>0</v>
      </c>
      <c r="P855" s="4">
        <f>IF(OR(INDEX($V$2:$V$1001,MATCH(ROWS($U$2:U855),$U$2:$U$1001,0),1)&gt;=100000,INDEX($AB$1005:$AQ$1005,1,MATCH(COLUMNS($AB$1006:AP1006),$AB$1006:$AQ$1006,0))&gt;=100000), " ",IF(INDEX($AB$2:$AQ$1001,MATCH(ROWS($U$2:U855),$U$2:$U$1001,0),MATCH(COLUMNS($AB$1006:AP1006),$AB$1006:$AQ$1006,0)), HYPERLINK("#",""), HYPERLINK(CONCATENATE("#metadata!", ADDRESS(INDEX($W$2:$W$1001,MATCH(ROWS($U$2:U855),$U$2:$U$1001,0),0), INDEX($AB$1004:$AQ$1004,1,MATCH(COLUMNS($AB$1006:AP1006),$AB$1006:$AQ$1006,0)))),"Fix")))</f>
        <v>0</v>
      </c>
      <c r="Q855" s="4">
        <f>IF(OR(INDEX($V$2:$V$1001,MATCH(ROWS($U$2:U855),$U$2:$U$1001,0),1)&gt;=100000,INDEX($AB$1005:$AQ$1005,1,MATCH(COLUMNS($AB$1006:AQ1006),$AB$1006:$AQ$1006,0))&gt;=100000), " ",IF(INDEX($AB$2:$AQ$1001,MATCH(ROWS($U$2:U855),$U$2:$U$1001,0),MATCH(COLUMNS($AB$1006:AQ1006),$AB$1006:$AQ$1006,0)), HYPERLINK("#",""), HYPERLINK(CONCATENATE("#metadata!", ADDRESS(INDEX($W$2:$W$1001,MATCH(ROWS($U$2:U855),$U$2:$U$1001,0),0), INDEX($AB$1004:$AQ$1004,1,MATCH(COLUMNS($AB$1006:AQ1006),$AB$1006:$AQ$1006,0)))),"Fix")))</f>
        <v>0</v>
      </c>
      <c r="U855">
        <v>0</v>
      </c>
      <c r="V855">
        <v>0</v>
      </c>
      <c r="W855">
        <v>0</v>
      </c>
      <c r="X855">
        <f>IF(Y855,TRUE,AND(AB855:AQ855))</f>
        <v>0</v>
      </c>
      <c r="Y855">
        <f>COUNTBLANK(metadata!B855:Q855)=COLUMNS(metadata!B855:Q855)</f>
        <v>0</v>
      </c>
      <c r="Z855">
        <v>0</v>
      </c>
      <c r="AB855">
        <f>AND(IF(metadata!B855="",FALSE,TRUE),COUNTIF(metadata!B:B, metadata!B855) = 1,NOT(ISERROR(SUMPRODUCT(SEARCH(MID(metadata!B855,ROW(INDIRECT("1:"&amp;LEN(metadata!B855))), 1),"0123456789abcdefghijklmnopqrstuvwxyzABCDEFGHIJKLMNOPQRSTUVWXYZ.")))))</f>
        <v>0</v>
      </c>
      <c r="AC855">
        <f>OR(AND(IF(metadata!C855="",FALSE,TRUE),OR(exact(metadata!C855,"missing: not collected"),exact(metadata!C855,"missing: not provided"),exact(metadata!C855,"missing: restricted access"))),AND(IF(metadata!C855="",FALSE,TRUE),AND(AND(IFERROR(INT(LEFT(metadata!C855,4))&gt;1900,FALSE),IFERROR(INT(LEFT(metadata!C855,4))&lt;=YEAR(NOW()),FALSE)), OR(MID(metadata!C855,5,1)="", AND(AND(MID(metadata!C855,5,1)="-",IFERROR(INT(MID(metadata!C855,6,1))&gt;=0,FALSE),IFERROR(INT(MID(metadata!C855,6,1))&lt;=1,FALSE),NOT(MID(metadata!C855,7,1)=""),IFERROR(INT(MID(metadata!C855,6,2))&gt;=1,FALSE),IFERROR(INT(MID(metadata!C855,6,2))&lt;=12,FALSE)), OR(MID(metadata!C855,8,1)="", AND(AND(MID(metadata!C855,8,1)="-",IFERROR(INT(MID(metadata!C855,9,1))&gt;=0,FALSE),IFERROR(INT(MID(metadata!C855,9,1))&lt;=3,FALSE),NOT(MID(metadata!C855,10,1)=""),IFERROR(INT(MID(metadata!C855,9,2))&gt;=1,FALSE),IFERROR(INT(MID(metadata!C855,9,2))&lt;=31,FALSE)), OR(MID(metadata!C855,11,1)="", AND(AND(MID(metadata!C855,11,1)=" ",IFERROR(INT(MID(metadata!C855,12,1))&gt;=0,FALSE),IFERROR(INT(MID(metadata!C855,12,1))&lt;=2,FALSE),NOT(MID(metadata!C855,13,1)=""),IFERROR(INT(MID(metadata!C855,12,2))&gt;=0,FALSE),IFERROR(INT(MID(metadata!C855,12,2))&lt;=23,FALSE)), OR(MID(metadata!C855,14,1)="", AND(AND(MID(metadata!C855,14,1)=":",IFERROR(INT(MID(metadata!C855,15,1))&gt;=0,FALSE),IFERROR(INT(MID(metadata!C855,15,1))&lt;=5,FALSE),NOT(MID(metadata!C855,16,1)=""),IFERROR(INT(MID(metadata!C855,15,2))&gt;=0,FALSE),IFERROR(INT(MID(metadata!C855,15,2))&lt;=59,FALSE)), OR(MID(metadata!C855,17,1)="", AND(AND(MID(metadata!C855,17,1)=":",IFERROR(INT(MID(metadata!C855,18,1))&gt;=0,FALSE),IFERROR(INT(MID(metadata!C855,18,1))&lt;=5,FALSE),NOT(MID(metadata!C855,19,1)=""),IFERROR(INT(MID(metadata!C855,18,2))&gt;=0,FALSE),IFERROR(INT(MID(metadata!C855,18,2))&lt;=59,FALSE)), LEN(metadata!C855)&lt;=19)))))))))))))</f>
        <v>0</v>
      </c>
      <c r="AD855">
        <f>IF(metadata!D855="",FALSE,TRUE)</f>
        <v>0</v>
      </c>
      <c r="AE855">
        <f>OR(AND(IF(metadata!E855="",FALSE,TRUE),OR(exact(metadata!E855,"missing: not collected"),exact(metadata!E855,"missing: not provided"))),AND(IF(metadata!E855="",FALSE,TRUE),OR(exact(metadata!E855,"TRUE"),exact(metadata!E855,"FALSE"))))</f>
        <v>0</v>
      </c>
      <c r="AF855">
        <f>IF(metadata!F855="",FALSE,TRUE)</f>
        <v>0</v>
      </c>
      <c r="AG855">
        <f>IF(metadata!G855="",FALSE,TRUE)</f>
        <v>0</v>
      </c>
      <c r="AH855">
        <f>IF(metadata!H855="",FALSE,TRUE)</f>
        <v>0</v>
      </c>
      <c r="AI855">
        <f>OR(AND(IF(metadata!I855="",FALSE,TRUE),OR(exact(metadata!I855,"missing: not collected"),exact(metadata!I855,"missing: not provided"),exact(metadata!I855,"missing: restricted access"))),AND(IF(metadata!I855="",FALSE,TRUE),OR(exact(metadata!I855,"air"),exact(metadata!I855,"built environment"),exact(metadata!I855,"host-associated"),exact(metadata!I855,"human-associated"),exact(metadata!I855,"human-skin"),exact(metadata!I855,"human-oral"),exact(metadata!I855,"human-gut"),exact(metadata!I855,"human-vaginal"),exact(metadata!I855,"microbial mat/biofilm"),exact(metadata!I855,"misc environment"),exact(metadata!I855,"plant-associated"),exact(metadata!I855,"sediment"),exact(metadata!I855,"soil"),exact(metadata!I855,"wastewater/sludge"),exact(metadata!I855,"water"))))</f>
        <v>0</v>
      </c>
      <c r="AJ855">
        <f>IF(metadata!J855="",FALSE,TRUE)</f>
        <v>0</v>
      </c>
      <c r="AK855">
        <f>OR(AND(IF(metadata!K855="",FALSE,TRUE),OR(exact(metadata!K855,"missing: not collected"),exact(metadata!K855,"missing: not provided"),exact(metadata!K855,"missing: restricted access"))),AND(IF(metadata!K855="",FALSE,ISNUMBER(VALUE(metadata!K855))),metadata!K855&gt;=-90.00,metadata!K855&lt;=90.00))</f>
        <v>0</v>
      </c>
      <c r="AL855">
        <f>OR(AND(IF(metadata!L855="",FALSE,TRUE),OR(exact(metadata!L855,"missing: not collected"),exact(metadata!L855,"missing: not provided"),exact(metadata!L855,"missing: restricted access"))),AND(IF(metadata!L855="",FALSE,ISNUMBER(VALUE(metadata!L855))),metadata!L855&gt;=-180.00,metadata!L855&lt;=180.00))</f>
        <v>0</v>
      </c>
      <c r="AM855">
        <f>IF(metadata!M855="",FALSE,TRUE)</f>
        <v>0</v>
      </c>
      <c r="AN855">
        <f>OR(AND(IF(metadata!N855="",FALSE,TRUE),OR(exact(metadata!N855,"missing: not collected"),exact(metadata!N855,"missing: not provided"),exact(metadata!N855,"missing: restricted access"))),AND(IF(metadata!N855="",FALSE,TRUE),OR(exact(metadata!N855,"TRUE"),exact(metadata!N855,"FALSE"))))</f>
        <v>0</v>
      </c>
      <c r="AO855">
        <f>IF(metadata!O855="",FALSE,TRUE)</f>
        <v>0</v>
      </c>
      <c r="AP855">
        <f>OR(AND(IF(metadata!P855="",FALSE,TRUE),OR(exact(metadata!P855,"missing: not collected"),exact(metadata!P855,"missing: not provided"))),AND(IF(metadata!P855="",FALSE,IF(ISERROR(INT(metadata!P855)),FALSE,INT(metadata!P855)=metadata!P855)),metadata!P855&gt;0))</f>
        <v>0</v>
      </c>
      <c r="AQ855">
        <f>IF(metadata!Q855="",FALSE,TRUE)</f>
        <v>0</v>
      </c>
    </row>
    <row r="856" spans="1:43">
      <c r="A856" s="5">
        <f>IF(B856=" "," ",HYPERLINK(CONCATENATE("#metadata!",ADDRESS(INDEX($W$2:$W$1001,MATCH(ROWS($U$2:U856),$U$2:$U$1001,0),0),1)),INDEX($Z$2:$Z$1001,MATCH(ROWS($U$2:U856),$U$2:$U$1001,0),0)))</f>
        <v>0</v>
      </c>
      <c r="B856" s="4">
        <f>IF(OR(INDEX($V$2:$V$1001,MATCH(ROWS($U$2:U856),$U$2:$U$1001,0),1)&gt;=100000,INDEX($AB$1005:$AQ$1005,1,MATCH(COLUMNS($AB$1006:AB1006),$AB$1006:$AQ$1006,0))&gt;=100000), " ",IF(INDEX($AB$2:$AQ$1001,MATCH(ROWS($U$2:U856),$U$2:$U$1001,0),MATCH(COLUMNS($AB$1006:AB1006),$AB$1006:$AQ$1006,0)), HYPERLINK("#",""), HYPERLINK(CONCATENATE("#metadata!", ADDRESS(INDEX($W$2:$W$1001,MATCH(ROWS($U$2:U856),$U$2:$U$1001,0),0), INDEX($AB$1004:$AQ$1004,1,MATCH(COLUMNS($AB$1006:AB1006),$AB$1006:$AQ$1006,0)))),"Fix")))</f>
        <v>0</v>
      </c>
      <c r="C856" s="4">
        <f>IF(OR(INDEX($V$2:$V$1001,MATCH(ROWS($U$2:U856),$U$2:$U$1001,0),1)&gt;=100000,INDEX($AB$1005:$AQ$1005,1,MATCH(COLUMNS($AB$1006:AC1006),$AB$1006:$AQ$1006,0))&gt;=100000), " ",IF(INDEX($AB$2:$AQ$1001,MATCH(ROWS($U$2:U856),$U$2:$U$1001,0),MATCH(COLUMNS($AB$1006:AC1006),$AB$1006:$AQ$1006,0)), HYPERLINK("#",""), HYPERLINK(CONCATENATE("#metadata!", ADDRESS(INDEX($W$2:$W$1001,MATCH(ROWS($U$2:U856),$U$2:$U$1001,0),0), INDEX($AB$1004:$AQ$1004,1,MATCH(COLUMNS($AB$1006:AC1006),$AB$1006:$AQ$1006,0)))),"Fix")))</f>
        <v>0</v>
      </c>
      <c r="D856" s="4">
        <f>IF(OR(INDEX($V$2:$V$1001,MATCH(ROWS($U$2:U856),$U$2:$U$1001,0),1)&gt;=100000,INDEX($AB$1005:$AQ$1005,1,MATCH(COLUMNS($AB$1006:AD1006),$AB$1006:$AQ$1006,0))&gt;=100000), " ",IF(INDEX($AB$2:$AQ$1001,MATCH(ROWS($U$2:U856),$U$2:$U$1001,0),MATCH(COLUMNS($AB$1006:AD1006),$AB$1006:$AQ$1006,0)), HYPERLINK("#",""), HYPERLINK(CONCATENATE("#metadata!", ADDRESS(INDEX($W$2:$W$1001,MATCH(ROWS($U$2:U856),$U$2:$U$1001,0),0), INDEX($AB$1004:$AQ$1004,1,MATCH(COLUMNS($AB$1006:AD1006),$AB$1006:$AQ$1006,0)))),"Fix")))</f>
        <v>0</v>
      </c>
      <c r="E856" s="4">
        <f>IF(OR(INDEX($V$2:$V$1001,MATCH(ROWS($U$2:U856),$U$2:$U$1001,0),1)&gt;=100000,INDEX($AB$1005:$AQ$1005,1,MATCH(COLUMNS($AB$1006:AE1006),$AB$1006:$AQ$1006,0))&gt;=100000), " ",IF(INDEX($AB$2:$AQ$1001,MATCH(ROWS($U$2:U856),$U$2:$U$1001,0),MATCH(COLUMNS($AB$1006:AE1006),$AB$1006:$AQ$1006,0)), HYPERLINK("#",""), HYPERLINK(CONCATENATE("#metadata!", ADDRESS(INDEX($W$2:$W$1001,MATCH(ROWS($U$2:U856),$U$2:$U$1001,0),0), INDEX($AB$1004:$AQ$1004,1,MATCH(COLUMNS($AB$1006:AE1006),$AB$1006:$AQ$1006,0)))),"Fix")))</f>
        <v>0</v>
      </c>
      <c r="F856" s="4">
        <f>IF(OR(INDEX($V$2:$V$1001,MATCH(ROWS($U$2:U856),$U$2:$U$1001,0),1)&gt;=100000,INDEX($AB$1005:$AQ$1005,1,MATCH(COLUMNS($AB$1006:AF1006),$AB$1006:$AQ$1006,0))&gt;=100000), " ",IF(INDEX($AB$2:$AQ$1001,MATCH(ROWS($U$2:U856),$U$2:$U$1001,0),MATCH(COLUMNS($AB$1006:AF1006),$AB$1006:$AQ$1006,0)), HYPERLINK("#",""), HYPERLINK(CONCATENATE("#metadata!", ADDRESS(INDEX($W$2:$W$1001,MATCH(ROWS($U$2:U856),$U$2:$U$1001,0),0), INDEX($AB$1004:$AQ$1004,1,MATCH(COLUMNS($AB$1006:AF1006),$AB$1006:$AQ$1006,0)))),"Fix")))</f>
        <v>0</v>
      </c>
      <c r="G856" s="4">
        <f>IF(OR(INDEX($V$2:$V$1001,MATCH(ROWS($U$2:U856),$U$2:$U$1001,0),1)&gt;=100000,INDEX($AB$1005:$AQ$1005,1,MATCH(COLUMNS($AB$1006:AG1006),$AB$1006:$AQ$1006,0))&gt;=100000), " ",IF(INDEX($AB$2:$AQ$1001,MATCH(ROWS($U$2:U856),$U$2:$U$1001,0),MATCH(COLUMNS($AB$1006:AG1006),$AB$1006:$AQ$1006,0)), HYPERLINK("#",""), HYPERLINK(CONCATENATE("#metadata!", ADDRESS(INDEX($W$2:$W$1001,MATCH(ROWS($U$2:U856),$U$2:$U$1001,0),0), INDEX($AB$1004:$AQ$1004,1,MATCH(COLUMNS($AB$1006:AG1006),$AB$1006:$AQ$1006,0)))),"Fix")))</f>
        <v>0</v>
      </c>
      <c r="H856" s="4">
        <f>IF(OR(INDEX($V$2:$V$1001,MATCH(ROWS($U$2:U856),$U$2:$U$1001,0),1)&gt;=100000,INDEX($AB$1005:$AQ$1005,1,MATCH(COLUMNS($AB$1006:AH1006),$AB$1006:$AQ$1006,0))&gt;=100000), " ",IF(INDEX($AB$2:$AQ$1001,MATCH(ROWS($U$2:U856),$U$2:$U$1001,0),MATCH(COLUMNS($AB$1006:AH1006),$AB$1006:$AQ$1006,0)), HYPERLINK("#",""), HYPERLINK(CONCATENATE("#metadata!", ADDRESS(INDEX($W$2:$W$1001,MATCH(ROWS($U$2:U856),$U$2:$U$1001,0),0), INDEX($AB$1004:$AQ$1004,1,MATCH(COLUMNS($AB$1006:AH1006),$AB$1006:$AQ$1006,0)))),"Fix")))</f>
        <v>0</v>
      </c>
      <c r="I856" s="4">
        <f>IF(OR(INDEX($V$2:$V$1001,MATCH(ROWS($U$2:U856),$U$2:$U$1001,0),1)&gt;=100000,INDEX($AB$1005:$AQ$1005,1,MATCH(COLUMNS($AB$1006:AI1006),$AB$1006:$AQ$1006,0))&gt;=100000), " ",IF(INDEX($AB$2:$AQ$1001,MATCH(ROWS($U$2:U856),$U$2:$U$1001,0),MATCH(COLUMNS($AB$1006:AI1006),$AB$1006:$AQ$1006,0)), HYPERLINK("#",""), HYPERLINK(CONCATENATE("#metadata!", ADDRESS(INDEX($W$2:$W$1001,MATCH(ROWS($U$2:U856),$U$2:$U$1001,0),0), INDEX($AB$1004:$AQ$1004,1,MATCH(COLUMNS($AB$1006:AI1006),$AB$1006:$AQ$1006,0)))),"Fix")))</f>
        <v>0</v>
      </c>
      <c r="J856" s="4">
        <f>IF(OR(INDEX($V$2:$V$1001,MATCH(ROWS($U$2:U856),$U$2:$U$1001,0),1)&gt;=100000,INDEX($AB$1005:$AQ$1005,1,MATCH(COLUMNS($AB$1006:AJ1006),$AB$1006:$AQ$1006,0))&gt;=100000), " ",IF(INDEX($AB$2:$AQ$1001,MATCH(ROWS($U$2:U856),$U$2:$U$1001,0),MATCH(COLUMNS($AB$1006:AJ1006),$AB$1006:$AQ$1006,0)), HYPERLINK("#",""), HYPERLINK(CONCATENATE("#metadata!", ADDRESS(INDEX($W$2:$W$1001,MATCH(ROWS($U$2:U856),$U$2:$U$1001,0),0), INDEX($AB$1004:$AQ$1004,1,MATCH(COLUMNS($AB$1006:AJ1006),$AB$1006:$AQ$1006,0)))),"Fix")))</f>
        <v>0</v>
      </c>
      <c r="K856" s="4">
        <f>IF(OR(INDEX($V$2:$V$1001,MATCH(ROWS($U$2:U856),$U$2:$U$1001,0),1)&gt;=100000,INDEX($AB$1005:$AQ$1005,1,MATCH(COLUMNS($AB$1006:AK1006),$AB$1006:$AQ$1006,0))&gt;=100000), " ",IF(INDEX($AB$2:$AQ$1001,MATCH(ROWS($U$2:U856),$U$2:$U$1001,0),MATCH(COLUMNS($AB$1006:AK1006),$AB$1006:$AQ$1006,0)), HYPERLINK("#",""), HYPERLINK(CONCATENATE("#metadata!", ADDRESS(INDEX($W$2:$W$1001,MATCH(ROWS($U$2:U856),$U$2:$U$1001,0),0), INDEX($AB$1004:$AQ$1004,1,MATCH(COLUMNS($AB$1006:AK1006),$AB$1006:$AQ$1006,0)))),"Fix")))</f>
        <v>0</v>
      </c>
      <c r="L856" s="4">
        <f>IF(OR(INDEX($V$2:$V$1001,MATCH(ROWS($U$2:U856),$U$2:$U$1001,0),1)&gt;=100000,INDEX($AB$1005:$AQ$1005,1,MATCH(COLUMNS($AB$1006:AL1006),$AB$1006:$AQ$1006,0))&gt;=100000), " ",IF(INDEX($AB$2:$AQ$1001,MATCH(ROWS($U$2:U856),$U$2:$U$1001,0),MATCH(COLUMNS($AB$1006:AL1006),$AB$1006:$AQ$1006,0)), HYPERLINK("#",""), HYPERLINK(CONCATENATE("#metadata!", ADDRESS(INDEX($W$2:$W$1001,MATCH(ROWS($U$2:U856),$U$2:$U$1001,0),0), INDEX($AB$1004:$AQ$1004,1,MATCH(COLUMNS($AB$1006:AL1006),$AB$1006:$AQ$1006,0)))),"Fix")))</f>
        <v>0</v>
      </c>
      <c r="M856" s="4">
        <f>IF(OR(INDEX($V$2:$V$1001,MATCH(ROWS($U$2:U856),$U$2:$U$1001,0),1)&gt;=100000,INDEX($AB$1005:$AQ$1005,1,MATCH(COLUMNS($AB$1006:AM1006),$AB$1006:$AQ$1006,0))&gt;=100000), " ",IF(INDEX($AB$2:$AQ$1001,MATCH(ROWS($U$2:U856),$U$2:$U$1001,0),MATCH(COLUMNS($AB$1006:AM1006),$AB$1006:$AQ$1006,0)), HYPERLINK("#",""), HYPERLINK(CONCATENATE("#metadata!", ADDRESS(INDEX($W$2:$W$1001,MATCH(ROWS($U$2:U856),$U$2:$U$1001,0),0), INDEX($AB$1004:$AQ$1004,1,MATCH(COLUMNS($AB$1006:AM1006),$AB$1006:$AQ$1006,0)))),"Fix")))</f>
        <v>0</v>
      </c>
      <c r="N856" s="4">
        <f>IF(OR(INDEX($V$2:$V$1001,MATCH(ROWS($U$2:U856),$U$2:$U$1001,0),1)&gt;=100000,INDEX($AB$1005:$AQ$1005,1,MATCH(COLUMNS($AB$1006:AN1006),$AB$1006:$AQ$1006,0))&gt;=100000), " ",IF(INDEX($AB$2:$AQ$1001,MATCH(ROWS($U$2:U856),$U$2:$U$1001,0),MATCH(COLUMNS($AB$1006:AN1006),$AB$1006:$AQ$1006,0)), HYPERLINK("#",""), HYPERLINK(CONCATENATE("#metadata!", ADDRESS(INDEX($W$2:$W$1001,MATCH(ROWS($U$2:U856),$U$2:$U$1001,0),0), INDEX($AB$1004:$AQ$1004,1,MATCH(COLUMNS($AB$1006:AN1006),$AB$1006:$AQ$1006,0)))),"Fix")))</f>
        <v>0</v>
      </c>
      <c r="O856" s="4">
        <f>IF(OR(INDEX($V$2:$V$1001,MATCH(ROWS($U$2:U856),$U$2:$U$1001,0),1)&gt;=100000,INDEX($AB$1005:$AQ$1005,1,MATCH(COLUMNS($AB$1006:AO1006),$AB$1006:$AQ$1006,0))&gt;=100000), " ",IF(INDEX($AB$2:$AQ$1001,MATCH(ROWS($U$2:U856),$U$2:$U$1001,0),MATCH(COLUMNS($AB$1006:AO1006),$AB$1006:$AQ$1006,0)), HYPERLINK("#",""), HYPERLINK(CONCATENATE("#metadata!", ADDRESS(INDEX($W$2:$W$1001,MATCH(ROWS($U$2:U856),$U$2:$U$1001,0),0), INDEX($AB$1004:$AQ$1004,1,MATCH(COLUMNS($AB$1006:AO1006),$AB$1006:$AQ$1006,0)))),"Fix")))</f>
        <v>0</v>
      </c>
      <c r="P856" s="4">
        <f>IF(OR(INDEX($V$2:$V$1001,MATCH(ROWS($U$2:U856),$U$2:$U$1001,0),1)&gt;=100000,INDEX($AB$1005:$AQ$1005,1,MATCH(COLUMNS($AB$1006:AP1006),$AB$1006:$AQ$1006,0))&gt;=100000), " ",IF(INDEX($AB$2:$AQ$1001,MATCH(ROWS($U$2:U856),$U$2:$U$1001,0),MATCH(COLUMNS($AB$1006:AP1006),$AB$1006:$AQ$1006,0)), HYPERLINK("#",""), HYPERLINK(CONCATENATE("#metadata!", ADDRESS(INDEX($W$2:$W$1001,MATCH(ROWS($U$2:U856),$U$2:$U$1001,0),0), INDEX($AB$1004:$AQ$1004,1,MATCH(COLUMNS($AB$1006:AP1006),$AB$1006:$AQ$1006,0)))),"Fix")))</f>
        <v>0</v>
      </c>
      <c r="Q856" s="4">
        <f>IF(OR(INDEX($V$2:$V$1001,MATCH(ROWS($U$2:U856),$U$2:$U$1001,0),1)&gt;=100000,INDEX($AB$1005:$AQ$1005,1,MATCH(COLUMNS($AB$1006:AQ1006),$AB$1006:$AQ$1006,0))&gt;=100000), " ",IF(INDEX($AB$2:$AQ$1001,MATCH(ROWS($U$2:U856),$U$2:$U$1001,0),MATCH(COLUMNS($AB$1006:AQ1006),$AB$1006:$AQ$1006,0)), HYPERLINK("#",""), HYPERLINK(CONCATENATE("#metadata!", ADDRESS(INDEX($W$2:$W$1001,MATCH(ROWS($U$2:U856),$U$2:$U$1001,0),0), INDEX($AB$1004:$AQ$1004,1,MATCH(COLUMNS($AB$1006:AQ1006),$AB$1006:$AQ$1006,0)))),"Fix")))</f>
        <v>0</v>
      </c>
      <c r="U856">
        <v>0</v>
      </c>
      <c r="V856">
        <v>0</v>
      </c>
      <c r="W856">
        <v>0</v>
      </c>
      <c r="X856">
        <f>IF(Y856,TRUE,AND(AB856:AQ856))</f>
        <v>0</v>
      </c>
      <c r="Y856">
        <f>COUNTBLANK(metadata!B856:Q856)=COLUMNS(metadata!B856:Q856)</f>
        <v>0</v>
      </c>
      <c r="Z856">
        <v>0</v>
      </c>
      <c r="AB856">
        <f>AND(IF(metadata!B856="",FALSE,TRUE),COUNTIF(metadata!B:B, metadata!B856) = 1,NOT(ISERROR(SUMPRODUCT(SEARCH(MID(metadata!B856,ROW(INDIRECT("1:"&amp;LEN(metadata!B856))), 1),"0123456789abcdefghijklmnopqrstuvwxyzABCDEFGHIJKLMNOPQRSTUVWXYZ.")))))</f>
        <v>0</v>
      </c>
      <c r="AC856">
        <f>OR(AND(IF(metadata!C856="",FALSE,TRUE),OR(exact(metadata!C856,"missing: not collected"),exact(metadata!C856,"missing: not provided"),exact(metadata!C856,"missing: restricted access"))),AND(IF(metadata!C856="",FALSE,TRUE),AND(AND(IFERROR(INT(LEFT(metadata!C856,4))&gt;1900,FALSE),IFERROR(INT(LEFT(metadata!C856,4))&lt;=YEAR(NOW()),FALSE)), OR(MID(metadata!C856,5,1)="", AND(AND(MID(metadata!C856,5,1)="-",IFERROR(INT(MID(metadata!C856,6,1))&gt;=0,FALSE),IFERROR(INT(MID(metadata!C856,6,1))&lt;=1,FALSE),NOT(MID(metadata!C856,7,1)=""),IFERROR(INT(MID(metadata!C856,6,2))&gt;=1,FALSE),IFERROR(INT(MID(metadata!C856,6,2))&lt;=12,FALSE)), OR(MID(metadata!C856,8,1)="", AND(AND(MID(metadata!C856,8,1)="-",IFERROR(INT(MID(metadata!C856,9,1))&gt;=0,FALSE),IFERROR(INT(MID(metadata!C856,9,1))&lt;=3,FALSE),NOT(MID(metadata!C856,10,1)=""),IFERROR(INT(MID(metadata!C856,9,2))&gt;=1,FALSE),IFERROR(INT(MID(metadata!C856,9,2))&lt;=31,FALSE)), OR(MID(metadata!C856,11,1)="", AND(AND(MID(metadata!C856,11,1)=" ",IFERROR(INT(MID(metadata!C856,12,1))&gt;=0,FALSE),IFERROR(INT(MID(metadata!C856,12,1))&lt;=2,FALSE),NOT(MID(metadata!C856,13,1)=""),IFERROR(INT(MID(metadata!C856,12,2))&gt;=0,FALSE),IFERROR(INT(MID(metadata!C856,12,2))&lt;=23,FALSE)), OR(MID(metadata!C856,14,1)="", AND(AND(MID(metadata!C856,14,1)=":",IFERROR(INT(MID(metadata!C856,15,1))&gt;=0,FALSE),IFERROR(INT(MID(metadata!C856,15,1))&lt;=5,FALSE),NOT(MID(metadata!C856,16,1)=""),IFERROR(INT(MID(metadata!C856,15,2))&gt;=0,FALSE),IFERROR(INT(MID(metadata!C856,15,2))&lt;=59,FALSE)), OR(MID(metadata!C856,17,1)="", AND(AND(MID(metadata!C856,17,1)=":",IFERROR(INT(MID(metadata!C856,18,1))&gt;=0,FALSE),IFERROR(INT(MID(metadata!C856,18,1))&lt;=5,FALSE),NOT(MID(metadata!C856,19,1)=""),IFERROR(INT(MID(metadata!C856,18,2))&gt;=0,FALSE),IFERROR(INT(MID(metadata!C856,18,2))&lt;=59,FALSE)), LEN(metadata!C856)&lt;=19)))))))))))))</f>
        <v>0</v>
      </c>
      <c r="AD856">
        <f>IF(metadata!D856="",FALSE,TRUE)</f>
        <v>0</v>
      </c>
      <c r="AE856">
        <f>OR(AND(IF(metadata!E856="",FALSE,TRUE),OR(exact(metadata!E856,"missing: not collected"),exact(metadata!E856,"missing: not provided"))),AND(IF(metadata!E856="",FALSE,TRUE),OR(exact(metadata!E856,"TRUE"),exact(metadata!E856,"FALSE"))))</f>
        <v>0</v>
      </c>
      <c r="AF856">
        <f>IF(metadata!F856="",FALSE,TRUE)</f>
        <v>0</v>
      </c>
      <c r="AG856">
        <f>IF(metadata!G856="",FALSE,TRUE)</f>
        <v>0</v>
      </c>
      <c r="AH856">
        <f>IF(metadata!H856="",FALSE,TRUE)</f>
        <v>0</v>
      </c>
      <c r="AI856">
        <f>OR(AND(IF(metadata!I856="",FALSE,TRUE),OR(exact(metadata!I856,"missing: not collected"),exact(metadata!I856,"missing: not provided"),exact(metadata!I856,"missing: restricted access"))),AND(IF(metadata!I856="",FALSE,TRUE),OR(exact(metadata!I856,"air"),exact(metadata!I856,"built environment"),exact(metadata!I856,"host-associated"),exact(metadata!I856,"human-associated"),exact(metadata!I856,"human-skin"),exact(metadata!I856,"human-oral"),exact(metadata!I856,"human-gut"),exact(metadata!I856,"human-vaginal"),exact(metadata!I856,"microbial mat/biofilm"),exact(metadata!I856,"misc environment"),exact(metadata!I856,"plant-associated"),exact(metadata!I856,"sediment"),exact(metadata!I856,"soil"),exact(metadata!I856,"wastewater/sludge"),exact(metadata!I856,"water"))))</f>
        <v>0</v>
      </c>
      <c r="AJ856">
        <f>IF(metadata!J856="",FALSE,TRUE)</f>
        <v>0</v>
      </c>
      <c r="AK856">
        <f>OR(AND(IF(metadata!K856="",FALSE,TRUE),OR(exact(metadata!K856,"missing: not collected"),exact(metadata!K856,"missing: not provided"),exact(metadata!K856,"missing: restricted access"))),AND(IF(metadata!K856="",FALSE,ISNUMBER(VALUE(metadata!K856))),metadata!K856&gt;=-90.00,metadata!K856&lt;=90.00))</f>
        <v>0</v>
      </c>
      <c r="AL856">
        <f>OR(AND(IF(metadata!L856="",FALSE,TRUE),OR(exact(metadata!L856,"missing: not collected"),exact(metadata!L856,"missing: not provided"),exact(metadata!L856,"missing: restricted access"))),AND(IF(metadata!L856="",FALSE,ISNUMBER(VALUE(metadata!L856))),metadata!L856&gt;=-180.00,metadata!L856&lt;=180.00))</f>
        <v>0</v>
      </c>
      <c r="AM856">
        <f>IF(metadata!M856="",FALSE,TRUE)</f>
        <v>0</v>
      </c>
      <c r="AN856">
        <f>OR(AND(IF(metadata!N856="",FALSE,TRUE),OR(exact(metadata!N856,"missing: not collected"),exact(metadata!N856,"missing: not provided"),exact(metadata!N856,"missing: restricted access"))),AND(IF(metadata!N856="",FALSE,TRUE),OR(exact(metadata!N856,"TRUE"),exact(metadata!N856,"FALSE"))))</f>
        <v>0</v>
      </c>
      <c r="AO856">
        <f>IF(metadata!O856="",FALSE,TRUE)</f>
        <v>0</v>
      </c>
      <c r="AP856">
        <f>OR(AND(IF(metadata!P856="",FALSE,TRUE),OR(exact(metadata!P856,"missing: not collected"),exact(metadata!P856,"missing: not provided"))),AND(IF(metadata!P856="",FALSE,IF(ISERROR(INT(metadata!P856)),FALSE,INT(metadata!P856)=metadata!P856)),metadata!P856&gt;0))</f>
        <v>0</v>
      </c>
      <c r="AQ856">
        <f>IF(metadata!Q856="",FALSE,TRUE)</f>
        <v>0</v>
      </c>
    </row>
    <row r="857" spans="1:43">
      <c r="A857" s="5">
        <f>IF(B857=" "," ",HYPERLINK(CONCATENATE("#metadata!",ADDRESS(INDEX($W$2:$W$1001,MATCH(ROWS($U$2:U857),$U$2:$U$1001,0),0),1)),INDEX($Z$2:$Z$1001,MATCH(ROWS($U$2:U857),$U$2:$U$1001,0),0)))</f>
        <v>0</v>
      </c>
      <c r="B857" s="4">
        <f>IF(OR(INDEX($V$2:$V$1001,MATCH(ROWS($U$2:U857),$U$2:$U$1001,0),1)&gt;=100000,INDEX($AB$1005:$AQ$1005,1,MATCH(COLUMNS($AB$1006:AB1006),$AB$1006:$AQ$1006,0))&gt;=100000), " ",IF(INDEX($AB$2:$AQ$1001,MATCH(ROWS($U$2:U857),$U$2:$U$1001,0),MATCH(COLUMNS($AB$1006:AB1006),$AB$1006:$AQ$1006,0)), HYPERLINK("#",""), HYPERLINK(CONCATENATE("#metadata!", ADDRESS(INDEX($W$2:$W$1001,MATCH(ROWS($U$2:U857),$U$2:$U$1001,0),0), INDEX($AB$1004:$AQ$1004,1,MATCH(COLUMNS($AB$1006:AB1006),$AB$1006:$AQ$1006,0)))),"Fix")))</f>
        <v>0</v>
      </c>
      <c r="C857" s="4">
        <f>IF(OR(INDEX($V$2:$V$1001,MATCH(ROWS($U$2:U857),$U$2:$U$1001,0),1)&gt;=100000,INDEX($AB$1005:$AQ$1005,1,MATCH(COLUMNS($AB$1006:AC1006),$AB$1006:$AQ$1006,0))&gt;=100000), " ",IF(INDEX($AB$2:$AQ$1001,MATCH(ROWS($U$2:U857),$U$2:$U$1001,0),MATCH(COLUMNS($AB$1006:AC1006),$AB$1006:$AQ$1006,0)), HYPERLINK("#",""), HYPERLINK(CONCATENATE("#metadata!", ADDRESS(INDEX($W$2:$W$1001,MATCH(ROWS($U$2:U857),$U$2:$U$1001,0),0), INDEX($AB$1004:$AQ$1004,1,MATCH(COLUMNS($AB$1006:AC1006),$AB$1006:$AQ$1006,0)))),"Fix")))</f>
        <v>0</v>
      </c>
      <c r="D857" s="4">
        <f>IF(OR(INDEX($V$2:$V$1001,MATCH(ROWS($U$2:U857),$U$2:$U$1001,0),1)&gt;=100000,INDEX($AB$1005:$AQ$1005,1,MATCH(COLUMNS($AB$1006:AD1006),$AB$1006:$AQ$1006,0))&gt;=100000), " ",IF(INDEX($AB$2:$AQ$1001,MATCH(ROWS($U$2:U857),$U$2:$U$1001,0),MATCH(COLUMNS($AB$1006:AD1006),$AB$1006:$AQ$1006,0)), HYPERLINK("#",""), HYPERLINK(CONCATENATE("#metadata!", ADDRESS(INDEX($W$2:$W$1001,MATCH(ROWS($U$2:U857),$U$2:$U$1001,0),0), INDEX($AB$1004:$AQ$1004,1,MATCH(COLUMNS($AB$1006:AD1006),$AB$1006:$AQ$1006,0)))),"Fix")))</f>
        <v>0</v>
      </c>
      <c r="E857" s="4">
        <f>IF(OR(INDEX($V$2:$V$1001,MATCH(ROWS($U$2:U857),$U$2:$U$1001,0),1)&gt;=100000,INDEX($AB$1005:$AQ$1005,1,MATCH(COLUMNS($AB$1006:AE1006),$AB$1006:$AQ$1006,0))&gt;=100000), " ",IF(INDEX($AB$2:$AQ$1001,MATCH(ROWS($U$2:U857),$U$2:$U$1001,0),MATCH(COLUMNS($AB$1006:AE1006),$AB$1006:$AQ$1006,0)), HYPERLINK("#",""), HYPERLINK(CONCATENATE("#metadata!", ADDRESS(INDEX($W$2:$W$1001,MATCH(ROWS($U$2:U857),$U$2:$U$1001,0),0), INDEX($AB$1004:$AQ$1004,1,MATCH(COLUMNS($AB$1006:AE1006),$AB$1006:$AQ$1006,0)))),"Fix")))</f>
        <v>0</v>
      </c>
      <c r="F857" s="4">
        <f>IF(OR(INDEX($V$2:$V$1001,MATCH(ROWS($U$2:U857),$U$2:$U$1001,0),1)&gt;=100000,INDEX($AB$1005:$AQ$1005,1,MATCH(COLUMNS($AB$1006:AF1006),$AB$1006:$AQ$1006,0))&gt;=100000), " ",IF(INDEX($AB$2:$AQ$1001,MATCH(ROWS($U$2:U857),$U$2:$U$1001,0),MATCH(COLUMNS($AB$1006:AF1006),$AB$1006:$AQ$1006,0)), HYPERLINK("#",""), HYPERLINK(CONCATENATE("#metadata!", ADDRESS(INDEX($W$2:$W$1001,MATCH(ROWS($U$2:U857),$U$2:$U$1001,0),0), INDEX($AB$1004:$AQ$1004,1,MATCH(COLUMNS($AB$1006:AF1006),$AB$1006:$AQ$1006,0)))),"Fix")))</f>
        <v>0</v>
      </c>
      <c r="G857" s="4">
        <f>IF(OR(INDEX($V$2:$V$1001,MATCH(ROWS($U$2:U857),$U$2:$U$1001,0),1)&gt;=100000,INDEX($AB$1005:$AQ$1005,1,MATCH(COLUMNS($AB$1006:AG1006),$AB$1006:$AQ$1006,0))&gt;=100000), " ",IF(INDEX($AB$2:$AQ$1001,MATCH(ROWS($U$2:U857),$U$2:$U$1001,0),MATCH(COLUMNS($AB$1006:AG1006),$AB$1006:$AQ$1006,0)), HYPERLINK("#",""), HYPERLINK(CONCATENATE("#metadata!", ADDRESS(INDEX($W$2:$W$1001,MATCH(ROWS($U$2:U857),$U$2:$U$1001,0),0), INDEX($AB$1004:$AQ$1004,1,MATCH(COLUMNS($AB$1006:AG1006),$AB$1006:$AQ$1006,0)))),"Fix")))</f>
        <v>0</v>
      </c>
      <c r="H857" s="4">
        <f>IF(OR(INDEX($V$2:$V$1001,MATCH(ROWS($U$2:U857),$U$2:$U$1001,0),1)&gt;=100000,INDEX($AB$1005:$AQ$1005,1,MATCH(COLUMNS($AB$1006:AH1006),$AB$1006:$AQ$1006,0))&gt;=100000), " ",IF(INDEX($AB$2:$AQ$1001,MATCH(ROWS($U$2:U857),$U$2:$U$1001,0),MATCH(COLUMNS($AB$1006:AH1006),$AB$1006:$AQ$1006,0)), HYPERLINK("#",""), HYPERLINK(CONCATENATE("#metadata!", ADDRESS(INDEX($W$2:$W$1001,MATCH(ROWS($U$2:U857),$U$2:$U$1001,0),0), INDEX($AB$1004:$AQ$1004,1,MATCH(COLUMNS($AB$1006:AH1006),$AB$1006:$AQ$1006,0)))),"Fix")))</f>
        <v>0</v>
      </c>
      <c r="I857" s="4">
        <f>IF(OR(INDEX($V$2:$V$1001,MATCH(ROWS($U$2:U857),$U$2:$U$1001,0),1)&gt;=100000,INDEX($AB$1005:$AQ$1005,1,MATCH(COLUMNS($AB$1006:AI1006),$AB$1006:$AQ$1006,0))&gt;=100000), " ",IF(INDEX($AB$2:$AQ$1001,MATCH(ROWS($U$2:U857),$U$2:$U$1001,0),MATCH(COLUMNS($AB$1006:AI1006),$AB$1006:$AQ$1006,0)), HYPERLINK("#",""), HYPERLINK(CONCATENATE("#metadata!", ADDRESS(INDEX($W$2:$W$1001,MATCH(ROWS($U$2:U857),$U$2:$U$1001,0),0), INDEX($AB$1004:$AQ$1004,1,MATCH(COLUMNS($AB$1006:AI1006),$AB$1006:$AQ$1006,0)))),"Fix")))</f>
        <v>0</v>
      </c>
      <c r="J857" s="4">
        <f>IF(OR(INDEX($V$2:$V$1001,MATCH(ROWS($U$2:U857),$U$2:$U$1001,0),1)&gt;=100000,INDEX($AB$1005:$AQ$1005,1,MATCH(COLUMNS($AB$1006:AJ1006),$AB$1006:$AQ$1006,0))&gt;=100000), " ",IF(INDEX($AB$2:$AQ$1001,MATCH(ROWS($U$2:U857),$U$2:$U$1001,0),MATCH(COLUMNS($AB$1006:AJ1006),$AB$1006:$AQ$1006,0)), HYPERLINK("#",""), HYPERLINK(CONCATENATE("#metadata!", ADDRESS(INDEX($W$2:$W$1001,MATCH(ROWS($U$2:U857),$U$2:$U$1001,0),0), INDEX($AB$1004:$AQ$1004,1,MATCH(COLUMNS($AB$1006:AJ1006),$AB$1006:$AQ$1006,0)))),"Fix")))</f>
        <v>0</v>
      </c>
      <c r="K857" s="4">
        <f>IF(OR(INDEX($V$2:$V$1001,MATCH(ROWS($U$2:U857),$U$2:$U$1001,0),1)&gt;=100000,INDEX($AB$1005:$AQ$1005,1,MATCH(COLUMNS($AB$1006:AK1006),$AB$1006:$AQ$1006,0))&gt;=100000), " ",IF(INDEX($AB$2:$AQ$1001,MATCH(ROWS($U$2:U857),$U$2:$U$1001,0),MATCH(COLUMNS($AB$1006:AK1006),$AB$1006:$AQ$1006,0)), HYPERLINK("#",""), HYPERLINK(CONCATENATE("#metadata!", ADDRESS(INDEX($W$2:$W$1001,MATCH(ROWS($U$2:U857),$U$2:$U$1001,0),0), INDEX($AB$1004:$AQ$1004,1,MATCH(COLUMNS($AB$1006:AK1006),$AB$1006:$AQ$1006,0)))),"Fix")))</f>
        <v>0</v>
      </c>
      <c r="L857" s="4">
        <f>IF(OR(INDEX($V$2:$V$1001,MATCH(ROWS($U$2:U857),$U$2:$U$1001,0),1)&gt;=100000,INDEX($AB$1005:$AQ$1005,1,MATCH(COLUMNS($AB$1006:AL1006),$AB$1006:$AQ$1006,0))&gt;=100000), " ",IF(INDEX($AB$2:$AQ$1001,MATCH(ROWS($U$2:U857),$U$2:$U$1001,0),MATCH(COLUMNS($AB$1006:AL1006),$AB$1006:$AQ$1006,0)), HYPERLINK("#",""), HYPERLINK(CONCATENATE("#metadata!", ADDRESS(INDEX($W$2:$W$1001,MATCH(ROWS($U$2:U857),$U$2:$U$1001,0),0), INDEX($AB$1004:$AQ$1004,1,MATCH(COLUMNS($AB$1006:AL1006),$AB$1006:$AQ$1006,0)))),"Fix")))</f>
        <v>0</v>
      </c>
      <c r="M857" s="4">
        <f>IF(OR(INDEX($V$2:$V$1001,MATCH(ROWS($U$2:U857),$U$2:$U$1001,0),1)&gt;=100000,INDEX($AB$1005:$AQ$1005,1,MATCH(COLUMNS($AB$1006:AM1006),$AB$1006:$AQ$1006,0))&gt;=100000), " ",IF(INDEX($AB$2:$AQ$1001,MATCH(ROWS($U$2:U857),$U$2:$U$1001,0),MATCH(COLUMNS($AB$1006:AM1006),$AB$1006:$AQ$1006,0)), HYPERLINK("#",""), HYPERLINK(CONCATENATE("#metadata!", ADDRESS(INDEX($W$2:$W$1001,MATCH(ROWS($U$2:U857),$U$2:$U$1001,0),0), INDEX($AB$1004:$AQ$1004,1,MATCH(COLUMNS($AB$1006:AM1006),$AB$1006:$AQ$1006,0)))),"Fix")))</f>
        <v>0</v>
      </c>
      <c r="N857" s="4">
        <f>IF(OR(INDEX($V$2:$V$1001,MATCH(ROWS($U$2:U857),$U$2:$U$1001,0),1)&gt;=100000,INDEX($AB$1005:$AQ$1005,1,MATCH(COLUMNS($AB$1006:AN1006),$AB$1006:$AQ$1006,0))&gt;=100000), " ",IF(INDEX($AB$2:$AQ$1001,MATCH(ROWS($U$2:U857),$U$2:$U$1001,0),MATCH(COLUMNS($AB$1006:AN1006),$AB$1006:$AQ$1006,0)), HYPERLINK("#",""), HYPERLINK(CONCATENATE("#metadata!", ADDRESS(INDEX($W$2:$W$1001,MATCH(ROWS($U$2:U857),$U$2:$U$1001,0),0), INDEX($AB$1004:$AQ$1004,1,MATCH(COLUMNS($AB$1006:AN1006),$AB$1006:$AQ$1006,0)))),"Fix")))</f>
        <v>0</v>
      </c>
      <c r="O857" s="4">
        <f>IF(OR(INDEX($V$2:$V$1001,MATCH(ROWS($U$2:U857),$U$2:$U$1001,0),1)&gt;=100000,INDEX($AB$1005:$AQ$1005,1,MATCH(COLUMNS($AB$1006:AO1006),$AB$1006:$AQ$1006,0))&gt;=100000), " ",IF(INDEX($AB$2:$AQ$1001,MATCH(ROWS($U$2:U857),$U$2:$U$1001,0),MATCH(COLUMNS($AB$1006:AO1006),$AB$1006:$AQ$1006,0)), HYPERLINK("#",""), HYPERLINK(CONCATENATE("#metadata!", ADDRESS(INDEX($W$2:$W$1001,MATCH(ROWS($U$2:U857),$U$2:$U$1001,0),0), INDEX($AB$1004:$AQ$1004,1,MATCH(COLUMNS($AB$1006:AO1006),$AB$1006:$AQ$1006,0)))),"Fix")))</f>
        <v>0</v>
      </c>
      <c r="P857" s="4">
        <f>IF(OR(INDEX($V$2:$V$1001,MATCH(ROWS($U$2:U857),$U$2:$U$1001,0),1)&gt;=100000,INDEX($AB$1005:$AQ$1005,1,MATCH(COLUMNS($AB$1006:AP1006),$AB$1006:$AQ$1006,0))&gt;=100000), " ",IF(INDEX($AB$2:$AQ$1001,MATCH(ROWS($U$2:U857),$U$2:$U$1001,0),MATCH(COLUMNS($AB$1006:AP1006),$AB$1006:$AQ$1006,0)), HYPERLINK("#",""), HYPERLINK(CONCATENATE("#metadata!", ADDRESS(INDEX($W$2:$W$1001,MATCH(ROWS($U$2:U857),$U$2:$U$1001,0),0), INDEX($AB$1004:$AQ$1004,1,MATCH(COLUMNS($AB$1006:AP1006),$AB$1006:$AQ$1006,0)))),"Fix")))</f>
        <v>0</v>
      </c>
      <c r="Q857" s="4">
        <f>IF(OR(INDEX($V$2:$V$1001,MATCH(ROWS($U$2:U857),$U$2:$U$1001,0),1)&gt;=100000,INDEX($AB$1005:$AQ$1005,1,MATCH(COLUMNS($AB$1006:AQ1006),$AB$1006:$AQ$1006,0))&gt;=100000), " ",IF(INDEX($AB$2:$AQ$1001,MATCH(ROWS($U$2:U857),$U$2:$U$1001,0),MATCH(COLUMNS($AB$1006:AQ1006),$AB$1006:$AQ$1006,0)), HYPERLINK("#",""), HYPERLINK(CONCATENATE("#metadata!", ADDRESS(INDEX($W$2:$W$1001,MATCH(ROWS($U$2:U857),$U$2:$U$1001,0),0), INDEX($AB$1004:$AQ$1004,1,MATCH(COLUMNS($AB$1006:AQ1006),$AB$1006:$AQ$1006,0)))),"Fix")))</f>
        <v>0</v>
      </c>
      <c r="U857">
        <v>0</v>
      </c>
      <c r="V857">
        <v>0</v>
      </c>
      <c r="W857">
        <v>0</v>
      </c>
      <c r="X857">
        <f>IF(Y857,TRUE,AND(AB857:AQ857))</f>
        <v>0</v>
      </c>
      <c r="Y857">
        <f>COUNTBLANK(metadata!B857:Q857)=COLUMNS(metadata!B857:Q857)</f>
        <v>0</v>
      </c>
      <c r="Z857">
        <v>0</v>
      </c>
      <c r="AB857">
        <f>AND(IF(metadata!B857="",FALSE,TRUE),COUNTIF(metadata!B:B, metadata!B857) = 1,NOT(ISERROR(SUMPRODUCT(SEARCH(MID(metadata!B857,ROW(INDIRECT("1:"&amp;LEN(metadata!B857))), 1),"0123456789abcdefghijklmnopqrstuvwxyzABCDEFGHIJKLMNOPQRSTUVWXYZ.")))))</f>
        <v>0</v>
      </c>
      <c r="AC857">
        <f>OR(AND(IF(metadata!C857="",FALSE,TRUE),OR(exact(metadata!C857,"missing: not collected"),exact(metadata!C857,"missing: not provided"),exact(metadata!C857,"missing: restricted access"))),AND(IF(metadata!C857="",FALSE,TRUE),AND(AND(IFERROR(INT(LEFT(metadata!C857,4))&gt;1900,FALSE),IFERROR(INT(LEFT(metadata!C857,4))&lt;=YEAR(NOW()),FALSE)), OR(MID(metadata!C857,5,1)="", AND(AND(MID(metadata!C857,5,1)="-",IFERROR(INT(MID(metadata!C857,6,1))&gt;=0,FALSE),IFERROR(INT(MID(metadata!C857,6,1))&lt;=1,FALSE),NOT(MID(metadata!C857,7,1)=""),IFERROR(INT(MID(metadata!C857,6,2))&gt;=1,FALSE),IFERROR(INT(MID(metadata!C857,6,2))&lt;=12,FALSE)), OR(MID(metadata!C857,8,1)="", AND(AND(MID(metadata!C857,8,1)="-",IFERROR(INT(MID(metadata!C857,9,1))&gt;=0,FALSE),IFERROR(INT(MID(metadata!C857,9,1))&lt;=3,FALSE),NOT(MID(metadata!C857,10,1)=""),IFERROR(INT(MID(metadata!C857,9,2))&gt;=1,FALSE),IFERROR(INT(MID(metadata!C857,9,2))&lt;=31,FALSE)), OR(MID(metadata!C857,11,1)="", AND(AND(MID(metadata!C857,11,1)=" ",IFERROR(INT(MID(metadata!C857,12,1))&gt;=0,FALSE),IFERROR(INT(MID(metadata!C857,12,1))&lt;=2,FALSE),NOT(MID(metadata!C857,13,1)=""),IFERROR(INT(MID(metadata!C857,12,2))&gt;=0,FALSE),IFERROR(INT(MID(metadata!C857,12,2))&lt;=23,FALSE)), OR(MID(metadata!C857,14,1)="", AND(AND(MID(metadata!C857,14,1)=":",IFERROR(INT(MID(metadata!C857,15,1))&gt;=0,FALSE),IFERROR(INT(MID(metadata!C857,15,1))&lt;=5,FALSE),NOT(MID(metadata!C857,16,1)=""),IFERROR(INT(MID(metadata!C857,15,2))&gt;=0,FALSE),IFERROR(INT(MID(metadata!C857,15,2))&lt;=59,FALSE)), OR(MID(metadata!C857,17,1)="", AND(AND(MID(metadata!C857,17,1)=":",IFERROR(INT(MID(metadata!C857,18,1))&gt;=0,FALSE),IFERROR(INT(MID(metadata!C857,18,1))&lt;=5,FALSE),NOT(MID(metadata!C857,19,1)=""),IFERROR(INT(MID(metadata!C857,18,2))&gt;=0,FALSE),IFERROR(INT(MID(metadata!C857,18,2))&lt;=59,FALSE)), LEN(metadata!C857)&lt;=19)))))))))))))</f>
        <v>0</v>
      </c>
      <c r="AD857">
        <f>IF(metadata!D857="",FALSE,TRUE)</f>
        <v>0</v>
      </c>
      <c r="AE857">
        <f>OR(AND(IF(metadata!E857="",FALSE,TRUE),OR(exact(metadata!E857,"missing: not collected"),exact(metadata!E857,"missing: not provided"))),AND(IF(metadata!E857="",FALSE,TRUE),OR(exact(metadata!E857,"TRUE"),exact(metadata!E857,"FALSE"))))</f>
        <v>0</v>
      </c>
      <c r="AF857">
        <f>IF(metadata!F857="",FALSE,TRUE)</f>
        <v>0</v>
      </c>
      <c r="AG857">
        <f>IF(metadata!G857="",FALSE,TRUE)</f>
        <v>0</v>
      </c>
      <c r="AH857">
        <f>IF(metadata!H857="",FALSE,TRUE)</f>
        <v>0</v>
      </c>
      <c r="AI857">
        <f>OR(AND(IF(metadata!I857="",FALSE,TRUE),OR(exact(metadata!I857,"missing: not collected"),exact(metadata!I857,"missing: not provided"),exact(metadata!I857,"missing: restricted access"))),AND(IF(metadata!I857="",FALSE,TRUE),OR(exact(metadata!I857,"air"),exact(metadata!I857,"built environment"),exact(metadata!I857,"host-associated"),exact(metadata!I857,"human-associated"),exact(metadata!I857,"human-skin"),exact(metadata!I857,"human-oral"),exact(metadata!I857,"human-gut"),exact(metadata!I857,"human-vaginal"),exact(metadata!I857,"microbial mat/biofilm"),exact(metadata!I857,"misc environment"),exact(metadata!I857,"plant-associated"),exact(metadata!I857,"sediment"),exact(metadata!I857,"soil"),exact(metadata!I857,"wastewater/sludge"),exact(metadata!I857,"water"))))</f>
        <v>0</v>
      </c>
      <c r="AJ857">
        <f>IF(metadata!J857="",FALSE,TRUE)</f>
        <v>0</v>
      </c>
      <c r="AK857">
        <f>OR(AND(IF(metadata!K857="",FALSE,TRUE),OR(exact(metadata!K857,"missing: not collected"),exact(metadata!K857,"missing: not provided"),exact(metadata!K857,"missing: restricted access"))),AND(IF(metadata!K857="",FALSE,ISNUMBER(VALUE(metadata!K857))),metadata!K857&gt;=-90.00,metadata!K857&lt;=90.00))</f>
        <v>0</v>
      </c>
      <c r="AL857">
        <f>OR(AND(IF(metadata!L857="",FALSE,TRUE),OR(exact(metadata!L857,"missing: not collected"),exact(metadata!L857,"missing: not provided"),exact(metadata!L857,"missing: restricted access"))),AND(IF(metadata!L857="",FALSE,ISNUMBER(VALUE(metadata!L857))),metadata!L857&gt;=-180.00,metadata!L857&lt;=180.00))</f>
        <v>0</v>
      </c>
      <c r="AM857">
        <f>IF(metadata!M857="",FALSE,TRUE)</f>
        <v>0</v>
      </c>
      <c r="AN857">
        <f>OR(AND(IF(metadata!N857="",FALSE,TRUE),OR(exact(metadata!N857,"missing: not collected"),exact(metadata!N857,"missing: not provided"),exact(metadata!N857,"missing: restricted access"))),AND(IF(metadata!N857="",FALSE,TRUE),OR(exact(metadata!N857,"TRUE"),exact(metadata!N857,"FALSE"))))</f>
        <v>0</v>
      </c>
      <c r="AO857">
        <f>IF(metadata!O857="",FALSE,TRUE)</f>
        <v>0</v>
      </c>
      <c r="AP857">
        <f>OR(AND(IF(metadata!P857="",FALSE,TRUE),OR(exact(metadata!P857,"missing: not collected"),exact(metadata!P857,"missing: not provided"))),AND(IF(metadata!P857="",FALSE,IF(ISERROR(INT(metadata!P857)),FALSE,INT(metadata!P857)=metadata!P857)),metadata!P857&gt;0))</f>
        <v>0</v>
      </c>
      <c r="AQ857">
        <f>IF(metadata!Q857="",FALSE,TRUE)</f>
        <v>0</v>
      </c>
    </row>
    <row r="858" spans="1:43">
      <c r="A858" s="5">
        <f>IF(B858=" "," ",HYPERLINK(CONCATENATE("#metadata!",ADDRESS(INDEX($W$2:$W$1001,MATCH(ROWS($U$2:U858),$U$2:$U$1001,0),0),1)),INDEX($Z$2:$Z$1001,MATCH(ROWS($U$2:U858),$U$2:$U$1001,0),0)))</f>
        <v>0</v>
      </c>
      <c r="B858" s="4">
        <f>IF(OR(INDEX($V$2:$V$1001,MATCH(ROWS($U$2:U858),$U$2:$U$1001,0),1)&gt;=100000,INDEX($AB$1005:$AQ$1005,1,MATCH(COLUMNS($AB$1006:AB1006),$AB$1006:$AQ$1006,0))&gt;=100000), " ",IF(INDEX($AB$2:$AQ$1001,MATCH(ROWS($U$2:U858),$U$2:$U$1001,0),MATCH(COLUMNS($AB$1006:AB1006),$AB$1006:$AQ$1006,0)), HYPERLINK("#",""), HYPERLINK(CONCATENATE("#metadata!", ADDRESS(INDEX($W$2:$W$1001,MATCH(ROWS($U$2:U858),$U$2:$U$1001,0),0), INDEX($AB$1004:$AQ$1004,1,MATCH(COLUMNS($AB$1006:AB1006),$AB$1006:$AQ$1006,0)))),"Fix")))</f>
        <v>0</v>
      </c>
      <c r="C858" s="4">
        <f>IF(OR(INDEX($V$2:$V$1001,MATCH(ROWS($U$2:U858),$U$2:$U$1001,0),1)&gt;=100000,INDEX($AB$1005:$AQ$1005,1,MATCH(COLUMNS($AB$1006:AC1006),$AB$1006:$AQ$1006,0))&gt;=100000), " ",IF(INDEX($AB$2:$AQ$1001,MATCH(ROWS($U$2:U858),$U$2:$U$1001,0),MATCH(COLUMNS($AB$1006:AC1006),$AB$1006:$AQ$1006,0)), HYPERLINK("#",""), HYPERLINK(CONCATENATE("#metadata!", ADDRESS(INDEX($W$2:$W$1001,MATCH(ROWS($U$2:U858),$U$2:$U$1001,0),0), INDEX($AB$1004:$AQ$1004,1,MATCH(COLUMNS($AB$1006:AC1006),$AB$1006:$AQ$1006,0)))),"Fix")))</f>
        <v>0</v>
      </c>
      <c r="D858" s="4">
        <f>IF(OR(INDEX($V$2:$V$1001,MATCH(ROWS($U$2:U858),$U$2:$U$1001,0),1)&gt;=100000,INDEX($AB$1005:$AQ$1005,1,MATCH(COLUMNS($AB$1006:AD1006),$AB$1006:$AQ$1006,0))&gt;=100000), " ",IF(INDEX($AB$2:$AQ$1001,MATCH(ROWS($U$2:U858),$U$2:$U$1001,0),MATCH(COLUMNS($AB$1006:AD1006),$AB$1006:$AQ$1006,0)), HYPERLINK("#",""), HYPERLINK(CONCATENATE("#metadata!", ADDRESS(INDEX($W$2:$W$1001,MATCH(ROWS($U$2:U858),$U$2:$U$1001,0),0), INDEX($AB$1004:$AQ$1004,1,MATCH(COLUMNS($AB$1006:AD1006),$AB$1006:$AQ$1006,0)))),"Fix")))</f>
        <v>0</v>
      </c>
      <c r="E858" s="4">
        <f>IF(OR(INDEX($V$2:$V$1001,MATCH(ROWS($U$2:U858),$U$2:$U$1001,0),1)&gt;=100000,INDEX($AB$1005:$AQ$1005,1,MATCH(COLUMNS($AB$1006:AE1006),$AB$1006:$AQ$1006,0))&gt;=100000), " ",IF(INDEX($AB$2:$AQ$1001,MATCH(ROWS($U$2:U858),$U$2:$U$1001,0),MATCH(COLUMNS($AB$1006:AE1006),$AB$1006:$AQ$1006,0)), HYPERLINK("#",""), HYPERLINK(CONCATENATE("#metadata!", ADDRESS(INDEX($W$2:$W$1001,MATCH(ROWS($U$2:U858),$U$2:$U$1001,0),0), INDEX($AB$1004:$AQ$1004,1,MATCH(COLUMNS($AB$1006:AE1006),$AB$1006:$AQ$1006,0)))),"Fix")))</f>
        <v>0</v>
      </c>
      <c r="F858" s="4">
        <f>IF(OR(INDEX($V$2:$V$1001,MATCH(ROWS($U$2:U858),$U$2:$U$1001,0),1)&gt;=100000,INDEX($AB$1005:$AQ$1005,1,MATCH(COLUMNS($AB$1006:AF1006),$AB$1006:$AQ$1006,0))&gt;=100000), " ",IF(INDEX($AB$2:$AQ$1001,MATCH(ROWS($U$2:U858),$U$2:$U$1001,0),MATCH(COLUMNS($AB$1006:AF1006),$AB$1006:$AQ$1006,0)), HYPERLINK("#",""), HYPERLINK(CONCATENATE("#metadata!", ADDRESS(INDEX($W$2:$W$1001,MATCH(ROWS($U$2:U858),$U$2:$U$1001,0),0), INDEX($AB$1004:$AQ$1004,1,MATCH(COLUMNS($AB$1006:AF1006),$AB$1006:$AQ$1006,0)))),"Fix")))</f>
        <v>0</v>
      </c>
      <c r="G858" s="4">
        <f>IF(OR(INDEX($V$2:$V$1001,MATCH(ROWS($U$2:U858),$U$2:$U$1001,0),1)&gt;=100000,INDEX($AB$1005:$AQ$1005,1,MATCH(COLUMNS($AB$1006:AG1006),$AB$1006:$AQ$1006,0))&gt;=100000), " ",IF(INDEX($AB$2:$AQ$1001,MATCH(ROWS($U$2:U858),$U$2:$U$1001,0),MATCH(COLUMNS($AB$1006:AG1006),$AB$1006:$AQ$1006,0)), HYPERLINK("#",""), HYPERLINK(CONCATENATE("#metadata!", ADDRESS(INDEX($W$2:$W$1001,MATCH(ROWS($U$2:U858),$U$2:$U$1001,0),0), INDEX($AB$1004:$AQ$1004,1,MATCH(COLUMNS($AB$1006:AG1006),$AB$1006:$AQ$1006,0)))),"Fix")))</f>
        <v>0</v>
      </c>
      <c r="H858" s="4">
        <f>IF(OR(INDEX($V$2:$V$1001,MATCH(ROWS($U$2:U858),$U$2:$U$1001,0),1)&gt;=100000,INDEX($AB$1005:$AQ$1005,1,MATCH(COLUMNS($AB$1006:AH1006),$AB$1006:$AQ$1006,0))&gt;=100000), " ",IF(INDEX($AB$2:$AQ$1001,MATCH(ROWS($U$2:U858),$U$2:$U$1001,0),MATCH(COLUMNS($AB$1006:AH1006),$AB$1006:$AQ$1006,0)), HYPERLINK("#",""), HYPERLINK(CONCATENATE("#metadata!", ADDRESS(INDEX($W$2:$W$1001,MATCH(ROWS($U$2:U858),$U$2:$U$1001,0),0), INDEX($AB$1004:$AQ$1004,1,MATCH(COLUMNS($AB$1006:AH1006),$AB$1006:$AQ$1006,0)))),"Fix")))</f>
        <v>0</v>
      </c>
      <c r="I858" s="4">
        <f>IF(OR(INDEX($V$2:$V$1001,MATCH(ROWS($U$2:U858),$U$2:$U$1001,0),1)&gt;=100000,INDEX($AB$1005:$AQ$1005,1,MATCH(COLUMNS($AB$1006:AI1006),$AB$1006:$AQ$1006,0))&gt;=100000), " ",IF(INDEX($AB$2:$AQ$1001,MATCH(ROWS($U$2:U858),$U$2:$U$1001,0),MATCH(COLUMNS($AB$1006:AI1006),$AB$1006:$AQ$1006,0)), HYPERLINK("#",""), HYPERLINK(CONCATENATE("#metadata!", ADDRESS(INDEX($W$2:$W$1001,MATCH(ROWS($U$2:U858),$U$2:$U$1001,0),0), INDEX($AB$1004:$AQ$1004,1,MATCH(COLUMNS($AB$1006:AI1006),$AB$1006:$AQ$1006,0)))),"Fix")))</f>
        <v>0</v>
      </c>
      <c r="J858" s="4">
        <f>IF(OR(INDEX($V$2:$V$1001,MATCH(ROWS($U$2:U858),$U$2:$U$1001,0),1)&gt;=100000,INDEX($AB$1005:$AQ$1005,1,MATCH(COLUMNS($AB$1006:AJ1006),$AB$1006:$AQ$1006,0))&gt;=100000), " ",IF(INDEX($AB$2:$AQ$1001,MATCH(ROWS($U$2:U858),$U$2:$U$1001,0),MATCH(COLUMNS($AB$1006:AJ1006),$AB$1006:$AQ$1006,0)), HYPERLINK("#",""), HYPERLINK(CONCATENATE("#metadata!", ADDRESS(INDEX($W$2:$W$1001,MATCH(ROWS($U$2:U858),$U$2:$U$1001,0),0), INDEX($AB$1004:$AQ$1004,1,MATCH(COLUMNS($AB$1006:AJ1006),$AB$1006:$AQ$1006,0)))),"Fix")))</f>
        <v>0</v>
      </c>
      <c r="K858" s="4">
        <f>IF(OR(INDEX($V$2:$V$1001,MATCH(ROWS($U$2:U858),$U$2:$U$1001,0),1)&gt;=100000,INDEX($AB$1005:$AQ$1005,1,MATCH(COLUMNS($AB$1006:AK1006),$AB$1006:$AQ$1006,0))&gt;=100000), " ",IF(INDEX($AB$2:$AQ$1001,MATCH(ROWS($U$2:U858),$U$2:$U$1001,0),MATCH(COLUMNS($AB$1006:AK1006),$AB$1006:$AQ$1006,0)), HYPERLINK("#",""), HYPERLINK(CONCATENATE("#metadata!", ADDRESS(INDEX($W$2:$W$1001,MATCH(ROWS($U$2:U858),$U$2:$U$1001,0),0), INDEX($AB$1004:$AQ$1004,1,MATCH(COLUMNS($AB$1006:AK1006),$AB$1006:$AQ$1006,0)))),"Fix")))</f>
        <v>0</v>
      </c>
      <c r="L858" s="4">
        <f>IF(OR(INDEX($V$2:$V$1001,MATCH(ROWS($U$2:U858),$U$2:$U$1001,0),1)&gt;=100000,INDEX($AB$1005:$AQ$1005,1,MATCH(COLUMNS($AB$1006:AL1006),$AB$1006:$AQ$1006,0))&gt;=100000), " ",IF(INDEX($AB$2:$AQ$1001,MATCH(ROWS($U$2:U858),$U$2:$U$1001,0),MATCH(COLUMNS($AB$1006:AL1006),$AB$1006:$AQ$1006,0)), HYPERLINK("#",""), HYPERLINK(CONCATENATE("#metadata!", ADDRESS(INDEX($W$2:$W$1001,MATCH(ROWS($U$2:U858),$U$2:$U$1001,0),0), INDEX($AB$1004:$AQ$1004,1,MATCH(COLUMNS($AB$1006:AL1006),$AB$1006:$AQ$1006,0)))),"Fix")))</f>
        <v>0</v>
      </c>
      <c r="M858" s="4">
        <f>IF(OR(INDEX($V$2:$V$1001,MATCH(ROWS($U$2:U858),$U$2:$U$1001,0),1)&gt;=100000,INDEX($AB$1005:$AQ$1005,1,MATCH(COLUMNS($AB$1006:AM1006),$AB$1006:$AQ$1006,0))&gt;=100000), " ",IF(INDEX($AB$2:$AQ$1001,MATCH(ROWS($U$2:U858),$U$2:$U$1001,0),MATCH(COLUMNS($AB$1006:AM1006),$AB$1006:$AQ$1006,0)), HYPERLINK("#",""), HYPERLINK(CONCATENATE("#metadata!", ADDRESS(INDEX($W$2:$W$1001,MATCH(ROWS($U$2:U858),$U$2:$U$1001,0),0), INDEX($AB$1004:$AQ$1004,1,MATCH(COLUMNS($AB$1006:AM1006),$AB$1006:$AQ$1006,0)))),"Fix")))</f>
        <v>0</v>
      </c>
      <c r="N858" s="4">
        <f>IF(OR(INDEX($V$2:$V$1001,MATCH(ROWS($U$2:U858),$U$2:$U$1001,0),1)&gt;=100000,INDEX($AB$1005:$AQ$1005,1,MATCH(COLUMNS($AB$1006:AN1006),$AB$1006:$AQ$1006,0))&gt;=100000), " ",IF(INDEX($AB$2:$AQ$1001,MATCH(ROWS($U$2:U858),$U$2:$U$1001,0),MATCH(COLUMNS($AB$1006:AN1006),$AB$1006:$AQ$1006,0)), HYPERLINK("#",""), HYPERLINK(CONCATENATE("#metadata!", ADDRESS(INDEX($W$2:$W$1001,MATCH(ROWS($U$2:U858),$U$2:$U$1001,0),0), INDEX($AB$1004:$AQ$1004,1,MATCH(COLUMNS($AB$1006:AN1006),$AB$1006:$AQ$1006,0)))),"Fix")))</f>
        <v>0</v>
      </c>
      <c r="O858" s="4">
        <f>IF(OR(INDEX($V$2:$V$1001,MATCH(ROWS($U$2:U858),$U$2:$U$1001,0),1)&gt;=100000,INDEX($AB$1005:$AQ$1005,1,MATCH(COLUMNS($AB$1006:AO1006),$AB$1006:$AQ$1006,0))&gt;=100000), " ",IF(INDEX($AB$2:$AQ$1001,MATCH(ROWS($U$2:U858),$U$2:$U$1001,0),MATCH(COLUMNS($AB$1006:AO1006),$AB$1006:$AQ$1006,0)), HYPERLINK("#",""), HYPERLINK(CONCATENATE("#metadata!", ADDRESS(INDEX($W$2:$W$1001,MATCH(ROWS($U$2:U858),$U$2:$U$1001,0),0), INDEX($AB$1004:$AQ$1004,1,MATCH(COLUMNS($AB$1006:AO1006),$AB$1006:$AQ$1006,0)))),"Fix")))</f>
        <v>0</v>
      </c>
      <c r="P858" s="4">
        <f>IF(OR(INDEX($V$2:$V$1001,MATCH(ROWS($U$2:U858),$U$2:$U$1001,0),1)&gt;=100000,INDEX($AB$1005:$AQ$1005,1,MATCH(COLUMNS($AB$1006:AP1006),$AB$1006:$AQ$1006,0))&gt;=100000), " ",IF(INDEX($AB$2:$AQ$1001,MATCH(ROWS($U$2:U858),$U$2:$U$1001,0),MATCH(COLUMNS($AB$1006:AP1006),$AB$1006:$AQ$1006,0)), HYPERLINK("#",""), HYPERLINK(CONCATENATE("#metadata!", ADDRESS(INDEX($W$2:$W$1001,MATCH(ROWS($U$2:U858),$U$2:$U$1001,0),0), INDEX($AB$1004:$AQ$1004,1,MATCH(COLUMNS($AB$1006:AP1006),$AB$1006:$AQ$1006,0)))),"Fix")))</f>
        <v>0</v>
      </c>
      <c r="Q858" s="4">
        <f>IF(OR(INDEX($V$2:$V$1001,MATCH(ROWS($U$2:U858),$U$2:$U$1001,0),1)&gt;=100000,INDEX($AB$1005:$AQ$1005,1,MATCH(COLUMNS($AB$1006:AQ1006),$AB$1006:$AQ$1006,0))&gt;=100000), " ",IF(INDEX($AB$2:$AQ$1001,MATCH(ROWS($U$2:U858),$U$2:$U$1001,0),MATCH(COLUMNS($AB$1006:AQ1006),$AB$1006:$AQ$1006,0)), HYPERLINK("#",""), HYPERLINK(CONCATENATE("#metadata!", ADDRESS(INDEX($W$2:$W$1001,MATCH(ROWS($U$2:U858),$U$2:$U$1001,0),0), INDEX($AB$1004:$AQ$1004,1,MATCH(COLUMNS($AB$1006:AQ1006),$AB$1006:$AQ$1006,0)))),"Fix")))</f>
        <v>0</v>
      </c>
      <c r="U858">
        <v>0</v>
      </c>
      <c r="V858">
        <v>0</v>
      </c>
      <c r="W858">
        <v>0</v>
      </c>
      <c r="X858">
        <f>IF(Y858,TRUE,AND(AB858:AQ858))</f>
        <v>0</v>
      </c>
      <c r="Y858">
        <f>COUNTBLANK(metadata!B858:Q858)=COLUMNS(metadata!B858:Q858)</f>
        <v>0</v>
      </c>
      <c r="Z858">
        <v>0</v>
      </c>
      <c r="AB858">
        <f>AND(IF(metadata!B858="",FALSE,TRUE),COUNTIF(metadata!B:B, metadata!B858) = 1,NOT(ISERROR(SUMPRODUCT(SEARCH(MID(metadata!B858,ROW(INDIRECT("1:"&amp;LEN(metadata!B858))), 1),"0123456789abcdefghijklmnopqrstuvwxyzABCDEFGHIJKLMNOPQRSTUVWXYZ.")))))</f>
        <v>0</v>
      </c>
      <c r="AC858">
        <f>OR(AND(IF(metadata!C858="",FALSE,TRUE),OR(exact(metadata!C858,"missing: not collected"),exact(metadata!C858,"missing: not provided"),exact(metadata!C858,"missing: restricted access"))),AND(IF(metadata!C858="",FALSE,TRUE),AND(AND(IFERROR(INT(LEFT(metadata!C858,4))&gt;1900,FALSE),IFERROR(INT(LEFT(metadata!C858,4))&lt;=YEAR(NOW()),FALSE)), OR(MID(metadata!C858,5,1)="", AND(AND(MID(metadata!C858,5,1)="-",IFERROR(INT(MID(metadata!C858,6,1))&gt;=0,FALSE),IFERROR(INT(MID(metadata!C858,6,1))&lt;=1,FALSE),NOT(MID(metadata!C858,7,1)=""),IFERROR(INT(MID(metadata!C858,6,2))&gt;=1,FALSE),IFERROR(INT(MID(metadata!C858,6,2))&lt;=12,FALSE)), OR(MID(metadata!C858,8,1)="", AND(AND(MID(metadata!C858,8,1)="-",IFERROR(INT(MID(metadata!C858,9,1))&gt;=0,FALSE),IFERROR(INT(MID(metadata!C858,9,1))&lt;=3,FALSE),NOT(MID(metadata!C858,10,1)=""),IFERROR(INT(MID(metadata!C858,9,2))&gt;=1,FALSE),IFERROR(INT(MID(metadata!C858,9,2))&lt;=31,FALSE)), OR(MID(metadata!C858,11,1)="", AND(AND(MID(metadata!C858,11,1)=" ",IFERROR(INT(MID(metadata!C858,12,1))&gt;=0,FALSE),IFERROR(INT(MID(metadata!C858,12,1))&lt;=2,FALSE),NOT(MID(metadata!C858,13,1)=""),IFERROR(INT(MID(metadata!C858,12,2))&gt;=0,FALSE),IFERROR(INT(MID(metadata!C858,12,2))&lt;=23,FALSE)), OR(MID(metadata!C858,14,1)="", AND(AND(MID(metadata!C858,14,1)=":",IFERROR(INT(MID(metadata!C858,15,1))&gt;=0,FALSE),IFERROR(INT(MID(metadata!C858,15,1))&lt;=5,FALSE),NOT(MID(metadata!C858,16,1)=""),IFERROR(INT(MID(metadata!C858,15,2))&gt;=0,FALSE),IFERROR(INT(MID(metadata!C858,15,2))&lt;=59,FALSE)), OR(MID(metadata!C858,17,1)="", AND(AND(MID(metadata!C858,17,1)=":",IFERROR(INT(MID(metadata!C858,18,1))&gt;=0,FALSE),IFERROR(INT(MID(metadata!C858,18,1))&lt;=5,FALSE),NOT(MID(metadata!C858,19,1)=""),IFERROR(INT(MID(metadata!C858,18,2))&gt;=0,FALSE),IFERROR(INT(MID(metadata!C858,18,2))&lt;=59,FALSE)), LEN(metadata!C858)&lt;=19)))))))))))))</f>
        <v>0</v>
      </c>
      <c r="AD858">
        <f>IF(metadata!D858="",FALSE,TRUE)</f>
        <v>0</v>
      </c>
      <c r="AE858">
        <f>OR(AND(IF(metadata!E858="",FALSE,TRUE),OR(exact(metadata!E858,"missing: not collected"),exact(metadata!E858,"missing: not provided"))),AND(IF(metadata!E858="",FALSE,TRUE),OR(exact(metadata!E858,"TRUE"),exact(metadata!E858,"FALSE"))))</f>
        <v>0</v>
      </c>
      <c r="AF858">
        <f>IF(metadata!F858="",FALSE,TRUE)</f>
        <v>0</v>
      </c>
      <c r="AG858">
        <f>IF(metadata!G858="",FALSE,TRUE)</f>
        <v>0</v>
      </c>
      <c r="AH858">
        <f>IF(metadata!H858="",FALSE,TRUE)</f>
        <v>0</v>
      </c>
      <c r="AI858">
        <f>OR(AND(IF(metadata!I858="",FALSE,TRUE),OR(exact(metadata!I858,"missing: not collected"),exact(metadata!I858,"missing: not provided"),exact(metadata!I858,"missing: restricted access"))),AND(IF(metadata!I858="",FALSE,TRUE),OR(exact(metadata!I858,"air"),exact(metadata!I858,"built environment"),exact(metadata!I858,"host-associated"),exact(metadata!I858,"human-associated"),exact(metadata!I858,"human-skin"),exact(metadata!I858,"human-oral"),exact(metadata!I858,"human-gut"),exact(metadata!I858,"human-vaginal"),exact(metadata!I858,"microbial mat/biofilm"),exact(metadata!I858,"misc environment"),exact(metadata!I858,"plant-associated"),exact(metadata!I858,"sediment"),exact(metadata!I858,"soil"),exact(metadata!I858,"wastewater/sludge"),exact(metadata!I858,"water"))))</f>
        <v>0</v>
      </c>
      <c r="AJ858">
        <f>IF(metadata!J858="",FALSE,TRUE)</f>
        <v>0</v>
      </c>
      <c r="AK858">
        <f>OR(AND(IF(metadata!K858="",FALSE,TRUE),OR(exact(metadata!K858,"missing: not collected"),exact(metadata!K858,"missing: not provided"),exact(metadata!K858,"missing: restricted access"))),AND(IF(metadata!K858="",FALSE,ISNUMBER(VALUE(metadata!K858))),metadata!K858&gt;=-90.00,metadata!K858&lt;=90.00))</f>
        <v>0</v>
      </c>
      <c r="AL858">
        <f>OR(AND(IF(metadata!L858="",FALSE,TRUE),OR(exact(metadata!L858,"missing: not collected"),exact(metadata!L858,"missing: not provided"),exact(metadata!L858,"missing: restricted access"))),AND(IF(metadata!L858="",FALSE,ISNUMBER(VALUE(metadata!L858))),metadata!L858&gt;=-180.00,metadata!L858&lt;=180.00))</f>
        <v>0</v>
      </c>
      <c r="AM858">
        <f>IF(metadata!M858="",FALSE,TRUE)</f>
        <v>0</v>
      </c>
      <c r="AN858">
        <f>OR(AND(IF(metadata!N858="",FALSE,TRUE),OR(exact(metadata!N858,"missing: not collected"),exact(metadata!N858,"missing: not provided"),exact(metadata!N858,"missing: restricted access"))),AND(IF(metadata!N858="",FALSE,TRUE),OR(exact(metadata!N858,"TRUE"),exact(metadata!N858,"FALSE"))))</f>
        <v>0</v>
      </c>
      <c r="AO858">
        <f>IF(metadata!O858="",FALSE,TRUE)</f>
        <v>0</v>
      </c>
      <c r="AP858">
        <f>OR(AND(IF(metadata!P858="",FALSE,TRUE),OR(exact(metadata!P858,"missing: not collected"),exact(metadata!P858,"missing: not provided"))),AND(IF(metadata!P858="",FALSE,IF(ISERROR(INT(metadata!P858)),FALSE,INT(metadata!P858)=metadata!P858)),metadata!P858&gt;0))</f>
        <v>0</v>
      </c>
      <c r="AQ858">
        <f>IF(metadata!Q858="",FALSE,TRUE)</f>
        <v>0</v>
      </c>
    </row>
    <row r="859" spans="1:43">
      <c r="A859" s="5">
        <f>IF(B859=" "," ",HYPERLINK(CONCATENATE("#metadata!",ADDRESS(INDEX($W$2:$W$1001,MATCH(ROWS($U$2:U859),$U$2:$U$1001,0),0),1)),INDEX($Z$2:$Z$1001,MATCH(ROWS($U$2:U859),$U$2:$U$1001,0),0)))</f>
        <v>0</v>
      </c>
      <c r="B859" s="4">
        <f>IF(OR(INDEX($V$2:$V$1001,MATCH(ROWS($U$2:U859),$U$2:$U$1001,0),1)&gt;=100000,INDEX($AB$1005:$AQ$1005,1,MATCH(COLUMNS($AB$1006:AB1006),$AB$1006:$AQ$1006,0))&gt;=100000), " ",IF(INDEX($AB$2:$AQ$1001,MATCH(ROWS($U$2:U859),$U$2:$U$1001,0),MATCH(COLUMNS($AB$1006:AB1006),$AB$1006:$AQ$1006,0)), HYPERLINK("#",""), HYPERLINK(CONCATENATE("#metadata!", ADDRESS(INDEX($W$2:$W$1001,MATCH(ROWS($U$2:U859),$U$2:$U$1001,0),0), INDEX($AB$1004:$AQ$1004,1,MATCH(COLUMNS($AB$1006:AB1006),$AB$1006:$AQ$1006,0)))),"Fix")))</f>
        <v>0</v>
      </c>
      <c r="C859" s="4">
        <f>IF(OR(INDEX($V$2:$V$1001,MATCH(ROWS($U$2:U859),$U$2:$U$1001,0),1)&gt;=100000,INDEX($AB$1005:$AQ$1005,1,MATCH(COLUMNS($AB$1006:AC1006),$AB$1006:$AQ$1006,0))&gt;=100000), " ",IF(INDEX($AB$2:$AQ$1001,MATCH(ROWS($U$2:U859),$U$2:$U$1001,0),MATCH(COLUMNS($AB$1006:AC1006),$AB$1006:$AQ$1006,0)), HYPERLINK("#",""), HYPERLINK(CONCATENATE("#metadata!", ADDRESS(INDEX($W$2:$W$1001,MATCH(ROWS($U$2:U859),$U$2:$U$1001,0),0), INDEX($AB$1004:$AQ$1004,1,MATCH(COLUMNS($AB$1006:AC1006),$AB$1006:$AQ$1006,0)))),"Fix")))</f>
        <v>0</v>
      </c>
      <c r="D859" s="4">
        <f>IF(OR(INDEX($V$2:$V$1001,MATCH(ROWS($U$2:U859),$U$2:$U$1001,0),1)&gt;=100000,INDEX($AB$1005:$AQ$1005,1,MATCH(COLUMNS($AB$1006:AD1006),$AB$1006:$AQ$1006,0))&gt;=100000), " ",IF(INDEX($AB$2:$AQ$1001,MATCH(ROWS($U$2:U859),$U$2:$U$1001,0),MATCH(COLUMNS($AB$1006:AD1006),$AB$1006:$AQ$1006,0)), HYPERLINK("#",""), HYPERLINK(CONCATENATE("#metadata!", ADDRESS(INDEX($W$2:$W$1001,MATCH(ROWS($U$2:U859),$U$2:$U$1001,0),0), INDEX($AB$1004:$AQ$1004,1,MATCH(COLUMNS($AB$1006:AD1006),$AB$1006:$AQ$1006,0)))),"Fix")))</f>
        <v>0</v>
      </c>
      <c r="E859" s="4">
        <f>IF(OR(INDEX($V$2:$V$1001,MATCH(ROWS($U$2:U859),$U$2:$U$1001,0),1)&gt;=100000,INDEX($AB$1005:$AQ$1005,1,MATCH(COLUMNS($AB$1006:AE1006),$AB$1006:$AQ$1006,0))&gt;=100000), " ",IF(INDEX($AB$2:$AQ$1001,MATCH(ROWS($U$2:U859),$U$2:$U$1001,0),MATCH(COLUMNS($AB$1006:AE1006),$AB$1006:$AQ$1006,0)), HYPERLINK("#",""), HYPERLINK(CONCATENATE("#metadata!", ADDRESS(INDEX($W$2:$W$1001,MATCH(ROWS($U$2:U859),$U$2:$U$1001,0),0), INDEX($AB$1004:$AQ$1004,1,MATCH(COLUMNS($AB$1006:AE1006),$AB$1006:$AQ$1006,0)))),"Fix")))</f>
        <v>0</v>
      </c>
      <c r="F859" s="4">
        <f>IF(OR(INDEX($V$2:$V$1001,MATCH(ROWS($U$2:U859),$U$2:$U$1001,0),1)&gt;=100000,INDEX($AB$1005:$AQ$1005,1,MATCH(COLUMNS($AB$1006:AF1006),$AB$1006:$AQ$1006,0))&gt;=100000), " ",IF(INDEX($AB$2:$AQ$1001,MATCH(ROWS($U$2:U859),$U$2:$U$1001,0),MATCH(COLUMNS($AB$1006:AF1006),$AB$1006:$AQ$1006,0)), HYPERLINK("#",""), HYPERLINK(CONCATENATE("#metadata!", ADDRESS(INDEX($W$2:$W$1001,MATCH(ROWS($U$2:U859),$U$2:$U$1001,0),0), INDEX($AB$1004:$AQ$1004,1,MATCH(COLUMNS($AB$1006:AF1006),$AB$1006:$AQ$1006,0)))),"Fix")))</f>
        <v>0</v>
      </c>
      <c r="G859" s="4">
        <f>IF(OR(INDEX($V$2:$V$1001,MATCH(ROWS($U$2:U859),$U$2:$U$1001,0),1)&gt;=100000,INDEX($AB$1005:$AQ$1005,1,MATCH(COLUMNS($AB$1006:AG1006),$AB$1006:$AQ$1006,0))&gt;=100000), " ",IF(INDEX($AB$2:$AQ$1001,MATCH(ROWS($U$2:U859),$U$2:$U$1001,0),MATCH(COLUMNS($AB$1006:AG1006),$AB$1006:$AQ$1006,0)), HYPERLINK("#",""), HYPERLINK(CONCATENATE("#metadata!", ADDRESS(INDEX($W$2:$W$1001,MATCH(ROWS($U$2:U859),$U$2:$U$1001,0),0), INDEX($AB$1004:$AQ$1004,1,MATCH(COLUMNS($AB$1006:AG1006),$AB$1006:$AQ$1006,0)))),"Fix")))</f>
        <v>0</v>
      </c>
      <c r="H859" s="4">
        <f>IF(OR(INDEX($V$2:$V$1001,MATCH(ROWS($U$2:U859),$U$2:$U$1001,0),1)&gt;=100000,INDEX($AB$1005:$AQ$1005,1,MATCH(COLUMNS($AB$1006:AH1006),$AB$1006:$AQ$1006,0))&gt;=100000), " ",IF(INDEX($AB$2:$AQ$1001,MATCH(ROWS($U$2:U859),$U$2:$U$1001,0),MATCH(COLUMNS($AB$1006:AH1006),$AB$1006:$AQ$1006,0)), HYPERLINK("#",""), HYPERLINK(CONCATENATE("#metadata!", ADDRESS(INDEX($W$2:$W$1001,MATCH(ROWS($U$2:U859),$U$2:$U$1001,0),0), INDEX($AB$1004:$AQ$1004,1,MATCH(COLUMNS($AB$1006:AH1006),$AB$1006:$AQ$1006,0)))),"Fix")))</f>
        <v>0</v>
      </c>
      <c r="I859" s="4">
        <f>IF(OR(INDEX($V$2:$V$1001,MATCH(ROWS($U$2:U859),$U$2:$U$1001,0),1)&gt;=100000,INDEX($AB$1005:$AQ$1005,1,MATCH(COLUMNS($AB$1006:AI1006),$AB$1006:$AQ$1006,0))&gt;=100000), " ",IF(INDEX($AB$2:$AQ$1001,MATCH(ROWS($U$2:U859),$U$2:$U$1001,0),MATCH(COLUMNS($AB$1006:AI1006),$AB$1006:$AQ$1006,0)), HYPERLINK("#",""), HYPERLINK(CONCATENATE("#metadata!", ADDRESS(INDEX($W$2:$W$1001,MATCH(ROWS($U$2:U859),$U$2:$U$1001,0),0), INDEX($AB$1004:$AQ$1004,1,MATCH(COLUMNS($AB$1006:AI1006),$AB$1006:$AQ$1006,0)))),"Fix")))</f>
        <v>0</v>
      </c>
      <c r="J859" s="4">
        <f>IF(OR(INDEX($V$2:$V$1001,MATCH(ROWS($U$2:U859),$U$2:$U$1001,0),1)&gt;=100000,INDEX($AB$1005:$AQ$1005,1,MATCH(COLUMNS($AB$1006:AJ1006),$AB$1006:$AQ$1006,0))&gt;=100000), " ",IF(INDEX($AB$2:$AQ$1001,MATCH(ROWS($U$2:U859),$U$2:$U$1001,0),MATCH(COLUMNS($AB$1006:AJ1006),$AB$1006:$AQ$1006,0)), HYPERLINK("#",""), HYPERLINK(CONCATENATE("#metadata!", ADDRESS(INDEX($W$2:$W$1001,MATCH(ROWS($U$2:U859),$U$2:$U$1001,0),0), INDEX($AB$1004:$AQ$1004,1,MATCH(COLUMNS($AB$1006:AJ1006),$AB$1006:$AQ$1006,0)))),"Fix")))</f>
        <v>0</v>
      </c>
      <c r="K859" s="4">
        <f>IF(OR(INDEX($V$2:$V$1001,MATCH(ROWS($U$2:U859),$U$2:$U$1001,0),1)&gt;=100000,INDEX($AB$1005:$AQ$1005,1,MATCH(COLUMNS($AB$1006:AK1006),$AB$1006:$AQ$1006,0))&gt;=100000), " ",IF(INDEX($AB$2:$AQ$1001,MATCH(ROWS($U$2:U859),$U$2:$U$1001,0),MATCH(COLUMNS($AB$1006:AK1006),$AB$1006:$AQ$1006,0)), HYPERLINK("#",""), HYPERLINK(CONCATENATE("#metadata!", ADDRESS(INDEX($W$2:$W$1001,MATCH(ROWS($U$2:U859),$U$2:$U$1001,0),0), INDEX($AB$1004:$AQ$1004,1,MATCH(COLUMNS($AB$1006:AK1006),$AB$1006:$AQ$1006,0)))),"Fix")))</f>
        <v>0</v>
      </c>
      <c r="L859" s="4">
        <f>IF(OR(INDEX($V$2:$V$1001,MATCH(ROWS($U$2:U859),$U$2:$U$1001,0),1)&gt;=100000,INDEX($AB$1005:$AQ$1005,1,MATCH(COLUMNS($AB$1006:AL1006),$AB$1006:$AQ$1006,0))&gt;=100000), " ",IF(INDEX($AB$2:$AQ$1001,MATCH(ROWS($U$2:U859),$U$2:$U$1001,0),MATCH(COLUMNS($AB$1006:AL1006),$AB$1006:$AQ$1006,0)), HYPERLINK("#",""), HYPERLINK(CONCATENATE("#metadata!", ADDRESS(INDEX($W$2:$W$1001,MATCH(ROWS($U$2:U859),$U$2:$U$1001,0),0), INDEX($AB$1004:$AQ$1004,1,MATCH(COLUMNS($AB$1006:AL1006),$AB$1006:$AQ$1006,0)))),"Fix")))</f>
        <v>0</v>
      </c>
      <c r="M859" s="4">
        <f>IF(OR(INDEX($V$2:$V$1001,MATCH(ROWS($U$2:U859),$U$2:$U$1001,0),1)&gt;=100000,INDEX($AB$1005:$AQ$1005,1,MATCH(COLUMNS($AB$1006:AM1006),$AB$1006:$AQ$1006,0))&gt;=100000), " ",IF(INDEX($AB$2:$AQ$1001,MATCH(ROWS($U$2:U859),$U$2:$U$1001,0),MATCH(COLUMNS($AB$1006:AM1006),$AB$1006:$AQ$1006,0)), HYPERLINK("#",""), HYPERLINK(CONCATENATE("#metadata!", ADDRESS(INDEX($W$2:$W$1001,MATCH(ROWS($U$2:U859),$U$2:$U$1001,0),0), INDEX($AB$1004:$AQ$1004,1,MATCH(COLUMNS($AB$1006:AM1006),$AB$1006:$AQ$1006,0)))),"Fix")))</f>
        <v>0</v>
      </c>
      <c r="N859" s="4">
        <f>IF(OR(INDEX($V$2:$V$1001,MATCH(ROWS($U$2:U859),$U$2:$U$1001,0),1)&gt;=100000,INDEX($AB$1005:$AQ$1005,1,MATCH(COLUMNS($AB$1006:AN1006),$AB$1006:$AQ$1006,0))&gt;=100000), " ",IF(INDEX($AB$2:$AQ$1001,MATCH(ROWS($U$2:U859),$U$2:$U$1001,0),MATCH(COLUMNS($AB$1006:AN1006),$AB$1006:$AQ$1006,0)), HYPERLINK("#",""), HYPERLINK(CONCATENATE("#metadata!", ADDRESS(INDEX($W$2:$W$1001,MATCH(ROWS($U$2:U859),$U$2:$U$1001,0),0), INDEX($AB$1004:$AQ$1004,1,MATCH(COLUMNS($AB$1006:AN1006),$AB$1006:$AQ$1006,0)))),"Fix")))</f>
        <v>0</v>
      </c>
      <c r="O859" s="4">
        <f>IF(OR(INDEX($V$2:$V$1001,MATCH(ROWS($U$2:U859),$U$2:$U$1001,0),1)&gt;=100000,INDEX($AB$1005:$AQ$1005,1,MATCH(COLUMNS($AB$1006:AO1006),$AB$1006:$AQ$1006,0))&gt;=100000), " ",IF(INDEX($AB$2:$AQ$1001,MATCH(ROWS($U$2:U859),$U$2:$U$1001,0),MATCH(COLUMNS($AB$1006:AO1006),$AB$1006:$AQ$1006,0)), HYPERLINK("#",""), HYPERLINK(CONCATENATE("#metadata!", ADDRESS(INDEX($W$2:$W$1001,MATCH(ROWS($U$2:U859),$U$2:$U$1001,0),0), INDEX($AB$1004:$AQ$1004,1,MATCH(COLUMNS($AB$1006:AO1006),$AB$1006:$AQ$1006,0)))),"Fix")))</f>
        <v>0</v>
      </c>
      <c r="P859" s="4">
        <f>IF(OR(INDEX($V$2:$V$1001,MATCH(ROWS($U$2:U859),$U$2:$U$1001,0),1)&gt;=100000,INDEX($AB$1005:$AQ$1005,1,MATCH(COLUMNS($AB$1006:AP1006),$AB$1006:$AQ$1006,0))&gt;=100000), " ",IF(INDEX($AB$2:$AQ$1001,MATCH(ROWS($U$2:U859),$U$2:$U$1001,0),MATCH(COLUMNS($AB$1006:AP1006),$AB$1006:$AQ$1006,0)), HYPERLINK("#",""), HYPERLINK(CONCATENATE("#metadata!", ADDRESS(INDEX($W$2:$W$1001,MATCH(ROWS($U$2:U859),$U$2:$U$1001,0),0), INDEX($AB$1004:$AQ$1004,1,MATCH(COLUMNS($AB$1006:AP1006),$AB$1006:$AQ$1006,0)))),"Fix")))</f>
        <v>0</v>
      </c>
      <c r="Q859" s="4">
        <f>IF(OR(INDEX($V$2:$V$1001,MATCH(ROWS($U$2:U859),$U$2:$U$1001,0),1)&gt;=100000,INDEX($AB$1005:$AQ$1005,1,MATCH(COLUMNS($AB$1006:AQ1006),$AB$1006:$AQ$1006,0))&gt;=100000), " ",IF(INDEX($AB$2:$AQ$1001,MATCH(ROWS($U$2:U859),$U$2:$U$1001,0),MATCH(COLUMNS($AB$1006:AQ1006),$AB$1006:$AQ$1006,0)), HYPERLINK("#",""), HYPERLINK(CONCATENATE("#metadata!", ADDRESS(INDEX($W$2:$W$1001,MATCH(ROWS($U$2:U859),$U$2:$U$1001,0),0), INDEX($AB$1004:$AQ$1004,1,MATCH(COLUMNS($AB$1006:AQ1006),$AB$1006:$AQ$1006,0)))),"Fix")))</f>
        <v>0</v>
      </c>
      <c r="U859">
        <v>0</v>
      </c>
      <c r="V859">
        <v>0</v>
      </c>
      <c r="W859">
        <v>0</v>
      </c>
      <c r="X859">
        <f>IF(Y859,TRUE,AND(AB859:AQ859))</f>
        <v>0</v>
      </c>
      <c r="Y859">
        <f>COUNTBLANK(metadata!B859:Q859)=COLUMNS(metadata!B859:Q859)</f>
        <v>0</v>
      </c>
      <c r="Z859">
        <v>0</v>
      </c>
      <c r="AB859">
        <f>AND(IF(metadata!B859="",FALSE,TRUE),COUNTIF(metadata!B:B, metadata!B859) = 1,NOT(ISERROR(SUMPRODUCT(SEARCH(MID(metadata!B859,ROW(INDIRECT("1:"&amp;LEN(metadata!B859))), 1),"0123456789abcdefghijklmnopqrstuvwxyzABCDEFGHIJKLMNOPQRSTUVWXYZ.")))))</f>
        <v>0</v>
      </c>
      <c r="AC859">
        <f>OR(AND(IF(metadata!C859="",FALSE,TRUE),OR(exact(metadata!C859,"missing: not collected"),exact(metadata!C859,"missing: not provided"),exact(metadata!C859,"missing: restricted access"))),AND(IF(metadata!C859="",FALSE,TRUE),AND(AND(IFERROR(INT(LEFT(metadata!C859,4))&gt;1900,FALSE),IFERROR(INT(LEFT(metadata!C859,4))&lt;=YEAR(NOW()),FALSE)), OR(MID(metadata!C859,5,1)="", AND(AND(MID(metadata!C859,5,1)="-",IFERROR(INT(MID(metadata!C859,6,1))&gt;=0,FALSE),IFERROR(INT(MID(metadata!C859,6,1))&lt;=1,FALSE),NOT(MID(metadata!C859,7,1)=""),IFERROR(INT(MID(metadata!C859,6,2))&gt;=1,FALSE),IFERROR(INT(MID(metadata!C859,6,2))&lt;=12,FALSE)), OR(MID(metadata!C859,8,1)="", AND(AND(MID(metadata!C859,8,1)="-",IFERROR(INT(MID(metadata!C859,9,1))&gt;=0,FALSE),IFERROR(INT(MID(metadata!C859,9,1))&lt;=3,FALSE),NOT(MID(metadata!C859,10,1)=""),IFERROR(INT(MID(metadata!C859,9,2))&gt;=1,FALSE),IFERROR(INT(MID(metadata!C859,9,2))&lt;=31,FALSE)), OR(MID(metadata!C859,11,1)="", AND(AND(MID(metadata!C859,11,1)=" ",IFERROR(INT(MID(metadata!C859,12,1))&gt;=0,FALSE),IFERROR(INT(MID(metadata!C859,12,1))&lt;=2,FALSE),NOT(MID(metadata!C859,13,1)=""),IFERROR(INT(MID(metadata!C859,12,2))&gt;=0,FALSE),IFERROR(INT(MID(metadata!C859,12,2))&lt;=23,FALSE)), OR(MID(metadata!C859,14,1)="", AND(AND(MID(metadata!C859,14,1)=":",IFERROR(INT(MID(metadata!C859,15,1))&gt;=0,FALSE),IFERROR(INT(MID(metadata!C859,15,1))&lt;=5,FALSE),NOT(MID(metadata!C859,16,1)=""),IFERROR(INT(MID(metadata!C859,15,2))&gt;=0,FALSE),IFERROR(INT(MID(metadata!C859,15,2))&lt;=59,FALSE)), OR(MID(metadata!C859,17,1)="", AND(AND(MID(metadata!C859,17,1)=":",IFERROR(INT(MID(metadata!C859,18,1))&gt;=0,FALSE),IFERROR(INT(MID(metadata!C859,18,1))&lt;=5,FALSE),NOT(MID(metadata!C859,19,1)=""),IFERROR(INT(MID(metadata!C859,18,2))&gt;=0,FALSE),IFERROR(INT(MID(metadata!C859,18,2))&lt;=59,FALSE)), LEN(metadata!C859)&lt;=19)))))))))))))</f>
        <v>0</v>
      </c>
      <c r="AD859">
        <f>IF(metadata!D859="",FALSE,TRUE)</f>
        <v>0</v>
      </c>
      <c r="AE859">
        <f>OR(AND(IF(metadata!E859="",FALSE,TRUE),OR(exact(metadata!E859,"missing: not collected"),exact(metadata!E859,"missing: not provided"))),AND(IF(metadata!E859="",FALSE,TRUE),OR(exact(metadata!E859,"TRUE"),exact(metadata!E859,"FALSE"))))</f>
        <v>0</v>
      </c>
      <c r="AF859">
        <f>IF(metadata!F859="",FALSE,TRUE)</f>
        <v>0</v>
      </c>
      <c r="AG859">
        <f>IF(metadata!G859="",FALSE,TRUE)</f>
        <v>0</v>
      </c>
      <c r="AH859">
        <f>IF(metadata!H859="",FALSE,TRUE)</f>
        <v>0</v>
      </c>
      <c r="AI859">
        <f>OR(AND(IF(metadata!I859="",FALSE,TRUE),OR(exact(metadata!I859,"missing: not collected"),exact(metadata!I859,"missing: not provided"),exact(metadata!I859,"missing: restricted access"))),AND(IF(metadata!I859="",FALSE,TRUE),OR(exact(metadata!I859,"air"),exact(metadata!I859,"built environment"),exact(metadata!I859,"host-associated"),exact(metadata!I859,"human-associated"),exact(metadata!I859,"human-skin"),exact(metadata!I859,"human-oral"),exact(metadata!I859,"human-gut"),exact(metadata!I859,"human-vaginal"),exact(metadata!I859,"microbial mat/biofilm"),exact(metadata!I859,"misc environment"),exact(metadata!I859,"plant-associated"),exact(metadata!I859,"sediment"),exact(metadata!I859,"soil"),exact(metadata!I859,"wastewater/sludge"),exact(metadata!I859,"water"))))</f>
        <v>0</v>
      </c>
      <c r="AJ859">
        <f>IF(metadata!J859="",FALSE,TRUE)</f>
        <v>0</v>
      </c>
      <c r="AK859">
        <f>OR(AND(IF(metadata!K859="",FALSE,TRUE),OR(exact(metadata!K859,"missing: not collected"),exact(metadata!K859,"missing: not provided"),exact(metadata!K859,"missing: restricted access"))),AND(IF(metadata!K859="",FALSE,ISNUMBER(VALUE(metadata!K859))),metadata!K859&gt;=-90.00,metadata!K859&lt;=90.00))</f>
        <v>0</v>
      </c>
      <c r="AL859">
        <f>OR(AND(IF(metadata!L859="",FALSE,TRUE),OR(exact(metadata!L859,"missing: not collected"),exact(metadata!L859,"missing: not provided"),exact(metadata!L859,"missing: restricted access"))),AND(IF(metadata!L859="",FALSE,ISNUMBER(VALUE(metadata!L859))),metadata!L859&gt;=-180.00,metadata!L859&lt;=180.00))</f>
        <v>0</v>
      </c>
      <c r="AM859">
        <f>IF(metadata!M859="",FALSE,TRUE)</f>
        <v>0</v>
      </c>
      <c r="AN859">
        <f>OR(AND(IF(metadata!N859="",FALSE,TRUE),OR(exact(metadata!N859,"missing: not collected"),exact(metadata!N859,"missing: not provided"),exact(metadata!N859,"missing: restricted access"))),AND(IF(metadata!N859="",FALSE,TRUE),OR(exact(metadata!N859,"TRUE"),exact(metadata!N859,"FALSE"))))</f>
        <v>0</v>
      </c>
      <c r="AO859">
        <f>IF(metadata!O859="",FALSE,TRUE)</f>
        <v>0</v>
      </c>
      <c r="AP859">
        <f>OR(AND(IF(metadata!P859="",FALSE,TRUE),OR(exact(metadata!P859,"missing: not collected"),exact(metadata!P859,"missing: not provided"))),AND(IF(metadata!P859="",FALSE,IF(ISERROR(INT(metadata!P859)),FALSE,INT(metadata!P859)=metadata!P859)),metadata!P859&gt;0))</f>
        <v>0</v>
      </c>
      <c r="AQ859">
        <f>IF(metadata!Q859="",FALSE,TRUE)</f>
        <v>0</v>
      </c>
    </row>
    <row r="860" spans="1:43">
      <c r="A860" s="5">
        <f>IF(B860=" "," ",HYPERLINK(CONCATENATE("#metadata!",ADDRESS(INDEX($W$2:$W$1001,MATCH(ROWS($U$2:U860),$U$2:$U$1001,0),0),1)),INDEX($Z$2:$Z$1001,MATCH(ROWS($U$2:U860),$U$2:$U$1001,0),0)))</f>
        <v>0</v>
      </c>
      <c r="B860" s="4">
        <f>IF(OR(INDEX($V$2:$V$1001,MATCH(ROWS($U$2:U860),$U$2:$U$1001,0),1)&gt;=100000,INDEX($AB$1005:$AQ$1005,1,MATCH(COLUMNS($AB$1006:AB1006),$AB$1006:$AQ$1006,0))&gt;=100000), " ",IF(INDEX($AB$2:$AQ$1001,MATCH(ROWS($U$2:U860),$U$2:$U$1001,0),MATCH(COLUMNS($AB$1006:AB1006),$AB$1006:$AQ$1006,0)), HYPERLINK("#",""), HYPERLINK(CONCATENATE("#metadata!", ADDRESS(INDEX($W$2:$W$1001,MATCH(ROWS($U$2:U860),$U$2:$U$1001,0),0), INDEX($AB$1004:$AQ$1004,1,MATCH(COLUMNS($AB$1006:AB1006),$AB$1006:$AQ$1006,0)))),"Fix")))</f>
        <v>0</v>
      </c>
      <c r="C860" s="4">
        <f>IF(OR(INDEX($V$2:$V$1001,MATCH(ROWS($U$2:U860),$U$2:$U$1001,0),1)&gt;=100000,INDEX($AB$1005:$AQ$1005,1,MATCH(COLUMNS($AB$1006:AC1006),$AB$1006:$AQ$1006,0))&gt;=100000), " ",IF(INDEX($AB$2:$AQ$1001,MATCH(ROWS($U$2:U860),$U$2:$U$1001,0),MATCH(COLUMNS($AB$1006:AC1006),$AB$1006:$AQ$1006,0)), HYPERLINK("#",""), HYPERLINK(CONCATENATE("#metadata!", ADDRESS(INDEX($W$2:$W$1001,MATCH(ROWS($U$2:U860),$U$2:$U$1001,0),0), INDEX($AB$1004:$AQ$1004,1,MATCH(COLUMNS($AB$1006:AC1006),$AB$1006:$AQ$1006,0)))),"Fix")))</f>
        <v>0</v>
      </c>
      <c r="D860" s="4">
        <f>IF(OR(INDEX($V$2:$V$1001,MATCH(ROWS($U$2:U860),$U$2:$U$1001,0),1)&gt;=100000,INDEX($AB$1005:$AQ$1005,1,MATCH(COLUMNS($AB$1006:AD1006),$AB$1006:$AQ$1006,0))&gt;=100000), " ",IF(INDEX($AB$2:$AQ$1001,MATCH(ROWS($U$2:U860),$U$2:$U$1001,0),MATCH(COLUMNS($AB$1006:AD1006),$AB$1006:$AQ$1006,0)), HYPERLINK("#",""), HYPERLINK(CONCATENATE("#metadata!", ADDRESS(INDEX($W$2:$W$1001,MATCH(ROWS($U$2:U860),$U$2:$U$1001,0),0), INDEX($AB$1004:$AQ$1004,1,MATCH(COLUMNS($AB$1006:AD1006),$AB$1006:$AQ$1006,0)))),"Fix")))</f>
        <v>0</v>
      </c>
      <c r="E860" s="4">
        <f>IF(OR(INDEX($V$2:$V$1001,MATCH(ROWS($U$2:U860),$U$2:$U$1001,0),1)&gt;=100000,INDEX($AB$1005:$AQ$1005,1,MATCH(COLUMNS($AB$1006:AE1006),$AB$1006:$AQ$1006,0))&gt;=100000), " ",IF(INDEX($AB$2:$AQ$1001,MATCH(ROWS($U$2:U860),$U$2:$U$1001,0),MATCH(COLUMNS($AB$1006:AE1006),$AB$1006:$AQ$1006,0)), HYPERLINK("#",""), HYPERLINK(CONCATENATE("#metadata!", ADDRESS(INDEX($W$2:$W$1001,MATCH(ROWS($U$2:U860),$U$2:$U$1001,0),0), INDEX($AB$1004:$AQ$1004,1,MATCH(COLUMNS($AB$1006:AE1006),$AB$1006:$AQ$1006,0)))),"Fix")))</f>
        <v>0</v>
      </c>
      <c r="F860" s="4">
        <f>IF(OR(INDEX($V$2:$V$1001,MATCH(ROWS($U$2:U860),$U$2:$U$1001,0),1)&gt;=100000,INDEX($AB$1005:$AQ$1005,1,MATCH(COLUMNS($AB$1006:AF1006),$AB$1006:$AQ$1006,0))&gt;=100000), " ",IF(INDEX($AB$2:$AQ$1001,MATCH(ROWS($U$2:U860),$U$2:$U$1001,0),MATCH(COLUMNS($AB$1006:AF1006),$AB$1006:$AQ$1006,0)), HYPERLINK("#",""), HYPERLINK(CONCATENATE("#metadata!", ADDRESS(INDEX($W$2:$W$1001,MATCH(ROWS($U$2:U860),$U$2:$U$1001,0),0), INDEX($AB$1004:$AQ$1004,1,MATCH(COLUMNS($AB$1006:AF1006),$AB$1006:$AQ$1006,0)))),"Fix")))</f>
        <v>0</v>
      </c>
      <c r="G860" s="4">
        <f>IF(OR(INDEX($V$2:$V$1001,MATCH(ROWS($U$2:U860),$U$2:$U$1001,0),1)&gt;=100000,INDEX($AB$1005:$AQ$1005,1,MATCH(COLUMNS($AB$1006:AG1006),$AB$1006:$AQ$1006,0))&gt;=100000), " ",IF(INDEX($AB$2:$AQ$1001,MATCH(ROWS($U$2:U860),$U$2:$U$1001,0),MATCH(COLUMNS($AB$1006:AG1006),$AB$1006:$AQ$1006,0)), HYPERLINK("#",""), HYPERLINK(CONCATENATE("#metadata!", ADDRESS(INDEX($W$2:$W$1001,MATCH(ROWS($U$2:U860),$U$2:$U$1001,0),0), INDEX($AB$1004:$AQ$1004,1,MATCH(COLUMNS($AB$1006:AG1006),$AB$1006:$AQ$1006,0)))),"Fix")))</f>
        <v>0</v>
      </c>
      <c r="H860" s="4">
        <f>IF(OR(INDEX($V$2:$V$1001,MATCH(ROWS($U$2:U860),$U$2:$U$1001,0),1)&gt;=100000,INDEX($AB$1005:$AQ$1005,1,MATCH(COLUMNS($AB$1006:AH1006),$AB$1006:$AQ$1006,0))&gt;=100000), " ",IF(INDEX($AB$2:$AQ$1001,MATCH(ROWS($U$2:U860),$U$2:$U$1001,0),MATCH(COLUMNS($AB$1006:AH1006),$AB$1006:$AQ$1006,0)), HYPERLINK("#",""), HYPERLINK(CONCATENATE("#metadata!", ADDRESS(INDEX($W$2:$W$1001,MATCH(ROWS($U$2:U860),$U$2:$U$1001,0),0), INDEX($AB$1004:$AQ$1004,1,MATCH(COLUMNS($AB$1006:AH1006),$AB$1006:$AQ$1006,0)))),"Fix")))</f>
        <v>0</v>
      </c>
      <c r="I860" s="4">
        <f>IF(OR(INDEX($V$2:$V$1001,MATCH(ROWS($U$2:U860),$U$2:$U$1001,0),1)&gt;=100000,INDEX($AB$1005:$AQ$1005,1,MATCH(COLUMNS($AB$1006:AI1006),$AB$1006:$AQ$1006,0))&gt;=100000), " ",IF(INDEX($AB$2:$AQ$1001,MATCH(ROWS($U$2:U860),$U$2:$U$1001,0),MATCH(COLUMNS($AB$1006:AI1006),$AB$1006:$AQ$1006,0)), HYPERLINK("#",""), HYPERLINK(CONCATENATE("#metadata!", ADDRESS(INDEX($W$2:$W$1001,MATCH(ROWS($U$2:U860),$U$2:$U$1001,0),0), INDEX($AB$1004:$AQ$1004,1,MATCH(COLUMNS($AB$1006:AI1006),$AB$1006:$AQ$1006,0)))),"Fix")))</f>
        <v>0</v>
      </c>
      <c r="J860" s="4">
        <f>IF(OR(INDEX($V$2:$V$1001,MATCH(ROWS($U$2:U860),$U$2:$U$1001,0),1)&gt;=100000,INDEX($AB$1005:$AQ$1005,1,MATCH(COLUMNS($AB$1006:AJ1006),$AB$1006:$AQ$1006,0))&gt;=100000), " ",IF(INDEX($AB$2:$AQ$1001,MATCH(ROWS($U$2:U860),$U$2:$U$1001,0),MATCH(COLUMNS($AB$1006:AJ1006),$AB$1006:$AQ$1006,0)), HYPERLINK("#",""), HYPERLINK(CONCATENATE("#metadata!", ADDRESS(INDEX($W$2:$W$1001,MATCH(ROWS($U$2:U860),$U$2:$U$1001,0),0), INDEX($AB$1004:$AQ$1004,1,MATCH(COLUMNS($AB$1006:AJ1006),$AB$1006:$AQ$1006,0)))),"Fix")))</f>
        <v>0</v>
      </c>
      <c r="K860" s="4">
        <f>IF(OR(INDEX($V$2:$V$1001,MATCH(ROWS($U$2:U860),$U$2:$U$1001,0),1)&gt;=100000,INDEX($AB$1005:$AQ$1005,1,MATCH(COLUMNS($AB$1006:AK1006),$AB$1006:$AQ$1006,0))&gt;=100000), " ",IF(INDEX($AB$2:$AQ$1001,MATCH(ROWS($U$2:U860),$U$2:$U$1001,0),MATCH(COLUMNS($AB$1006:AK1006),$AB$1006:$AQ$1006,0)), HYPERLINK("#",""), HYPERLINK(CONCATENATE("#metadata!", ADDRESS(INDEX($W$2:$W$1001,MATCH(ROWS($U$2:U860),$U$2:$U$1001,0),0), INDEX($AB$1004:$AQ$1004,1,MATCH(COLUMNS($AB$1006:AK1006),$AB$1006:$AQ$1006,0)))),"Fix")))</f>
        <v>0</v>
      </c>
      <c r="L860" s="4">
        <f>IF(OR(INDEX($V$2:$V$1001,MATCH(ROWS($U$2:U860),$U$2:$U$1001,0),1)&gt;=100000,INDEX($AB$1005:$AQ$1005,1,MATCH(COLUMNS($AB$1006:AL1006),$AB$1006:$AQ$1006,0))&gt;=100000), " ",IF(INDEX($AB$2:$AQ$1001,MATCH(ROWS($U$2:U860),$U$2:$U$1001,0),MATCH(COLUMNS($AB$1006:AL1006),$AB$1006:$AQ$1006,0)), HYPERLINK("#",""), HYPERLINK(CONCATENATE("#metadata!", ADDRESS(INDEX($W$2:$W$1001,MATCH(ROWS($U$2:U860),$U$2:$U$1001,0),0), INDEX($AB$1004:$AQ$1004,1,MATCH(COLUMNS($AB$1006:AL1006),$AB$1006:$AQ$1006,0)))),"Fix")))</f>
        <v>0</v>
      </c>
      <c r="M860" s="4">
        <f>IF(OR(INDEX($V$2:$V$1001,MATCH(ROWS($U$2:U860),$U$2:$U$1001,0),1)&gt;=100000,INDEX($AB$1005:$AQ$1005,1,MATCH(COLUMNS($AB$1006:AM1006),$AB$1006:$AQ$1006,0))&gt;=100000), " ",IF(INDEX($AB$2:$AQ$1001,MATCH(ROWS($U$2:U860),$U$2:$U$1001,0),MATCH(COLUMNS($AB$1006:AM1006),$AB$1006:$AQ$1006,0)), HYPERLINK("#",""), HYPERLINK(CONCATENATE("#metadata!", ADDRESS(INDEX($W$2:$W$1001,MATCH(ROWS($U$2:U860),$U$2:$U$1001,0),0), INDEX($AB$1004:$AQ$1004,1,MATCH(COLUMNS($AB$1006:AM1006),$AB$1006:$AQ$1006,0)))),"Fix")))</f>
        <v>0</v>
      </c>
      <c r="N860" s="4">
        <f>IF(OR(INDEX($V$2:$V$1001,MATCH(ROWS($U$2:U860),$U$2:$U$1001,0),1)&gt;=100000,INDEX($AB$1005:$AQ$1005,1,MATCH(COLUMNS($AB$1006:AN1006),$AB$1006:$AQ$1006,0))&gt;=100000), " ",IF(INDEX($AB$2:$AQ$1001,MATCH(ROWS($U$2:U860),$U$2:$U$1001,0),MATCH(COLUMNS($AB$1006:AN1006),$AB$1006:$AQ$1006,0)), HYPERLINK("#",""), HYPERLINK(CONCATENATE("#metadata!", ADDRESS(INDEX($W$2:$W$1001,MATCH(ROWS($U$2:U860),$U$2:$U$1001,0),0), INDEX($AB$1004:$AQ$1004,1,MATCH(COLUMNS($AB$1006:AN1006),$AB$1006:$AQ$1006,0)))),"Fix")))</f>
        <v>0</v>
      </c>
      <c r="O860" s="4">
        <f>IF(OR(INDEX($V$2:$V$1001,MATCH(ROWS($U$2:U860),$U$2:$U$1001,0),1)&gt;=100000,INDEX($AB$1005:$AQ$1005,1,MATCH(COLUMNS($AB$1006:AO1006),$AB$1006:$AQ$1006,0))&gt;=100000), " ",IF(INDEX($AB$2:$AQ$1001,MATCH(ROWS($U$2:U860),$U$2:$U$1001,0),MATCH(COLUMNS($AB$1006:AO1006),$AB$1006:$AQ$1006,0)), HYPERLINK("#",""), HYPERLINK(CONCATENATE("#metadata!", ADDRESS(INDEX($W$2:$W$1001,MATCH(ROWS($U$2:U860),$U$2:$U$1001,0),0), INDEX($AB$1004:$AQ$1004,1,MATCH(COLUMNS($AB$1006:AO1006),$AB$1006:$AQ$1006,0)))),"Fix")))</f>
        <v>0</v>
      </c>
      <c r="P860" s="4">
        <f>IF(OR(INDEX($V$2:$V$1001,MATCH(ROWS($U$2:U860),$U$2:$U$1001,0),1)&gt;=100000,INDEX($AB$1005:$AQ$1005,1,MATCH(COLUMNS($AB$1006:AP1006),$AB$1006:$AQ$1006,0))&gt;=100000), " ",IF(INDEX($AB$2:$AQ$1001,MATCH(ROWS($U$2:U860),$U$2:$U$1001,0),MATCH(COLUMNS($AB$1006:AP1006),$AB$1006:$AQ$1006,0)), HYPERLINK("#",""), HYPERLINK(CONCATENATE("#metadata!", ADDRESS(INDEX($W$2:$W$1001,MATCH(ROWS($U$2:U860),$U$2:$U$1001,0),0), INDEX($AB$1004:$AQ$1004,1,MATCH(COLUMNS($AB$1006:AP1006),$AB$1006:$AQ$1006,0)))),"Fix")))</f>
        <v>0</v>
      </c>
      <c r="Q860" s="4">
        <f>IF(OR(INDEX($V$2:$V$1001,MATCH(ROWS($U$2:U860),$U$2:$U$1001,0),1)&gt;=100000,INDEX($AB$1005:$AQ$1005,1,MATCH(COLUMNS($AB$1006:AQ1006),$AB$1006:$AQ$1006,0))&gt;=100000), " ",IF(INDEX($AB$2:$AQ$1001,MATCH(ROWS($U$2:U860),$U$2:$U$1001,0),MATCH(COLUMNS($AB$1006:AQ1006),$AB$1006:$AQ$1006,0)), HYPERLINK("#",""), HYPERLINK(CONCATENATE("#metadata!", ADDRESS(INDEX($W$2:$W$1001,MATCH(ROWS($U$2:U860),$U$2:$U$1001,0),0), INDEX($AB$1004:$AQ$1004,1,MATCH(COLUMNS($AB$1006:AQ1006),$AB$1006:$AQ$1006,0)))),"Fix")))</f>
        <v>0</v>
      </c>
      <c r="U860">
        <v>0</v>
      </c>
      <c r="V860">
        <v>0</v>
      </c>
      <c r="W860">
        <v>0</v>
      </c>
      <c r="X860">
        <f>IF(Y860,TRUE,AND(AB860:AQ860))</f>
        <v>0</v>
      </c>
      <c r="Y860">
        <f>COUNTBLANK(metadata!B860:Q860)=COLUMNS(metadata!B860:Q860)</f>
        <v>0</v>
      </c>
      <c r="Z860">
        <v>0</v>
      </c>
      <c r="AB860">
        <f>AND(IF(metadata!B860="",FALSE,TRUE),COUNTIF(metadata!B:B, metadata!B860) = 1,NOT(ISERROR(SUMPRODUCT(SEARCH(MID(metadata!B860,ROW(INDIRECT("1:"&amp;LEN(metadata!B860))), 1),"0123456789abcdefghijklmnopqrstuvwxyzABCDEFGHIJKLMNOPQRSTUVWXYZ.")))))</f>
        <v>0</v>
      </c>
      <c r="AC860">
        <f>OR(AND(IF(metadata!C860="",FALSE,TRUE),OR(exact(metadata!C860,"missing: not collected"),exact(metadata!C860,"missing: not provided"),exact(metadata!C860,"missing: restricted access"))),AND(IF(metadata!C860="",FALSE,TRUE),AND(AND(IFERROR(INT(LEFT(metadata!C860,4))&gt;1900,FALSE),IFERROR(INT(LEFT(metadata!C860,4))&lt;=YEAR(NOW()),FALSE)), OR(MID(metadata!C860,5,1)="", AND(AND(MID(metadata!C860,5,1)="-",IFERROR(INT(MID(metadata!C860,6,1))&gt;=0,FALSE),IFERROR(INT(MID(metadata!C860,6,1))&lt;=1,FALSE),NOT(MID(metadata!C860,7,1)=""),IFERROR(INT(MID(metadata!C860,6,2))&gt;=1,FALSE),IFERROR(INT(MID(metadata!C860,6,2))&lt;=12,FALSE)), OR(MID(metadata!C860,8,1)="", AND(AND(MID(metadata!C860,8,1)="-",IFERROR(INT(MID(metadata!C860,9,1))&gt;=0,FALSE),IFERROR(INT(MID(metadata!C860,9,1))&lt;=3,FALSE),NOT(MID(metadata!C860,10,1)=""),IFERROR(INT(MID(metadata!C860,9,2))&gt;=1,FALSE),IFERROR(INT(MID(metadata!C860,9,2))&lt;=31,FALSE)), OR(MID(metadata!C860,11,1)="", AND(AND(MID(metadata!C860,11,1)=" ",IFERROR(INT(MID(metadata!C860,12,1))&gt;=0,FALSE),IFERROR(INT(MID(metadata!C860,12,1))&lt;=2,FALSE),NOT(MID(metadata!C860,13,1)=""),IFERROR(INT(MID(metadata!C860,12,2))&gt;=0,FALSE),IFERROR(INT(MID(metadata!C860,12,2))&lt;=23,FALSE)), OR(MID(metadata!C860,14,1)="", AND(AND(MID(metadata!C860,14,1)=":",IFERROR(INT(MID(metadata!C860,15,1))&gt;=0,FALSE),IFERROR(INT(MID(metadata!C860,15,1))&lt;=5,FALSE),NOT(MID(metadata!C860,16,1)=""),IFERROR(INT(MID(metadata!C860,15,2))&gt;=0,FALSE),IFERROR(INT(MID(metadata!C860,15,2))&lt;=59,FALSE)), OR(MID(metadata!C860,17,1)="", AND(AND(MID(metadata!C860,17,1)=":",IFERROR(INT(MID(metadata!C860,18,1))&gt;=0,FALSE),IFERROR(INT(MID(metadata!C860,18,1))&lt;=5,FALSE),NOT(MID(metadata!C860,19,1)=""),IFERROR(INT(MID(metadata!C860,18,2))&gt;=0,FALSE),IFERROR(INT(MID(metadata!C860,18,2))&lt;=59,FALSE)), LEN(metadata!C860)&lt;=19)))))))))))))</f>
        <v>0</v>
      </c>
      <c r="AD860">
        <f>IF(metadata!D860="",FALSE,TRUE)</f>
        <v>0</v>
      </c>
      <c r="AE860">
        <f>OR(AND(IF(metadata!E860="",FALSE,TRUE),OR(exact(metadata!E860,"missing: not collected"),exact(metadata!E860,"missing: not provided"))),AND(IF(metadata!E860="",FALSE,TRUE),OR(exact(metadata!E860,"TRUE"),exact(metadata!E860,"FALSE"))))</f>
        <v>0</v>
      </c>
      <c r="AF860">
        <f>IF(metadata!F860="",FALSE,TRUE)</f>
        <v>0</v>
      </c>
      <c r="AG860">
        <f>IF(metadata!G860="",FALSE,TRUE)</f>
        <v>0</v>
      </c>
      <c r="AH860">
        <f>IF(metadata!H860="",FALSE,TRUE)</f>
        <v>0</v>
      </c>
      <c r="AI860">
        <f>OR(AND(IF(metadata!I860="",FALSE,TRUE),OR(exact(metadata!I860,"missing: not collected"),exact(metadata!I860,"missing: not provided"),exact(metadata!I860,"missing: restricted access"))),AND(IF(metadata!I860="",FALSE,TRUE),OR(exact(metadata!I860,"air"),exact(metadata!I860,"built environment"),exact(metadata!I860,"host-associated"),exact(metadata!I860,"human-associated"),exact(metadata!I860,"human-skin"),exact(metadata!I860,"human-oral"),exact(metadata!I860,"human-gut"),exact(metadata!I860,"human-vaginal"),exact(metadata!I860,"microbial mat/biofilm"),exact(metadata!I860,"misc environment"),exact(metadata!I860,"plant-associated"),exact(metadata!I860,"sediment"),exact(metadata!I860,"soil"),exact(metadata!I860,"wastewater/sludge"),exact(metadata!I860,"water"))))</f>
        <v>0</v>
      </c>
      <c r="AJ860">
        <f>IF(metadata!J860="",FALSE,TRUE)</f>
        <v>0</v>
      </c>
      <c r="AK860">
        <f>OR(AND(IF(metadata!K860="",FALSE,TRUE),OR(exact(metadata!K860,"missing: not collected"),exact(metadata!K860,"missing: not provided"),exact(metadata!K860,"missing: restricted access"))),AND(IF(metadata!K860="",FALSE,ISNUMBER(VALUE(metadata!K860))),metadata!K860&gt;=-90.00,metadata!K860&lt;=90.00))</f>
        <v>0</v>
      </c>
      <c r="AL860">
        <f>OR(AND(IF(metadata!L860="",FALSE,TRUE),OR(exact(metadata!L860,"missing: not collected"),exact(metadata!L860,"missing: not provided"),exact(metadata!L860,"missing: restricted access"))),AND(IF(metadata!L860="",FALSE,ISNUMBER(VALUE(metadata!L860))),metadata!L860&gt;=-180.00,metadata!L860&lt;=180.00))</f>
        <v>0</v>
      </c>
      <c r="AM860">
        <f>IF(metadata!M860="",FALSE,TRUE)</f>
        <v>0</v>
      </c>
      <c r="AN860">
        <f>OR(AND(IF(metadata!N860="",FALSE,TRUE),OR(exact(metadata!N860,"missing: not collected"),exact(metadata!N860,"missing: not provided"),exact(metadata!N860,"missing: restricted access"))),AND(IF(metadata!N860="",FALSE,TRUE),OR(exact(metadata!N860,"TRUE"),exact(metadata!N860,"FALSE"))))</f>
        <v>0</v>
      </c>
      <c r="AO860">
        <f>IF(metadata!O860="",FALSE,TRUE)</f>
        <v>0</v>
      </c>
      <c r="AP860">
        <f>OR(AND(IF(metadata!P860="",FALSE,TRUE),OR(exact(metadata!P860,"missing: not collected"),exact(metadata!P860,"missing: not provided"))),AND(IF(metadata!P860="",FALSE,IF(ISERROR(INT(metadata!P860)),FALSE,INT(metadata!P860)=metadata!P860)),metadata!P860&gt;0))</f>
        <v>0</v>
      </c>
      <c r="AQ860">
        <f>IF(metadata!Q860="",FALSE,TRUE)</f>
        <v>0</v>
      </c>
    </row>
    <row r="861" spans="1:43">
      <c r="A861" s="5">
        <f>IF(B861=" "," ",HYPERLINK(CONCATENATE("#metadata!",ADDRESS(INDEX($W$2:$W$1001,MATCH(ROWS($U$2:U861),$U$2:$U$1001,0),0),1)),INDEX($Z$2:$Z$1001,MATCH(ROWS($U$2:U861),$U$2:$U$1001,0),0)))</f>
        <v>0</v>
      </c>
      <c r="B861" s="4">
        <f>IF(OR(INDEX($V$2:$V$1001,MATCH(ROWS($U$2:U861),$U$2:$U$1001,0),1)&gt;=100000,INDEX($AB$1005:$AQ$1005,1,MATCH(COLUMNS($AB$1006:AB1006),$AB$1006:$AQ$1006,0))&gt;=100000), " ",IF(INDEX($AB$2:$AQ$1001,MATCH(ROWS($U$2:U861),$U$2:$U$1001,0),MATCH(COLUMNS($AB$1006:AB1006),$AB$1006:$AQ$1006,0)), HYPERLINK("#",""), HYPERLINK(CONCATENATE("#metadata!", ADDRESS(INDEX($W$2:$W$1001,MATCH(ROWS($U$2:U861),$U$2:$U$1001,0),0), INDEX($AB$1004:$AQ$1004,1,MATCH(COLUMNS($AB$1006:AB1006),$AB$1006:$AQ$1006,0)))),"Fix")))</f>
        <v>0</v>
      </c>
      <c r="C861" s="4">
        <f>IF(OR(INDEX($V$2:$V$1001,MATCH(ROWS($U$2:U861),$U$2:$U$1001,0),1)&gt;=100000,INDEX($AB$1005:$AQ$1005,1,MATCH(COLUMNS($AB$1006:AC1006),$AB$1006:$AQ$1006,0))&gt;=100000), " ",IF(INDEX($AB$2:$AQ$1001,MATCH(ROWS($U$2:U861),$U$2:$U$1001,0),MATCH(COLUMNS($AB$1006:AC1006),$AB$1006:$AQ$1006,0)), HYPERLINK("#",""), HYPERLINK(CONCATENATE("#metadata!", ADDRESS(INDEX($W$2:$W$1001,MATCH(ROWS($U$2:U861),$U$2:$U$1001,0),0), INDEX($AB$1004:$AQ$1004,1,MATCH(COLUMNS($AB$1006:AC1006),$AB$1006:$AQ$1006,0)))),"Fix")))</f>
        <v>0</v>
      </c>
      <c r="D861" s="4">
        <f>IF(OR(INDEX($V$2:$V$1001,MATCH(ROWS($U$2:U861),$U$2:$U$1001,0),1)&gt;=100000,INDEX($AB$1005:$AQ$1005,1,MATCH(COLUMNS($AB$1006:AD1006),$AB$1006:$AQ$1006,0))&gt;=100000), " ",IF(INDEX($AB$2:$AQ$1001,MATCH(ROWS($U$2:U861),$U$2:$U$1001,0),MATCH(COLUMNS($AB$1006:AD1006),$AB$1006:$AQ$1006,0)), HYPERLINK("#",""), HYPERLINK(CONCATENATE("#metadata!", ADDRESS(INDEX($W$2:$W$1001,MATCH(ROWS($U$2:U861),$U$2:$U$1001,0),0), INDEX($AB$1004:$AQ$1004,1,MATCH(COLUMNS($AB$1006:AD1006),$AB$1006:$AQ$1006,0)))),"Fix")))</f>
        <v>0</v>
      </c>
      <c r="E861" s="4">
        <f>IF(OR(INDEX($V$2:$V$1001,MATCH(ROWS($U$2:U861),$U$2:$U$1001,0),1)&gt;=100000,INDEX($AB$1005:$AQ$1005,1,MATCH(COLUMNS($AB$1006:AE1006),$AB$1006:$AQ$1006,0))&gt;=100000), " ",IF(INDEX($AB$2:$AQ$1001,MATCH(ROWS($U$2:U861),$U$2:$U$1001,0),MATCH(COLUMNS($AB$1006:AE1006),$AB$1006:$AQ$1006,0)), HYPERLINK("#",""), HYPERLINK(CONCATENATE("#metadata!", ADDRESS(INDEX($W$2:$W$1001,MATCH(ROWS($U$2:U861),$U$2:$U$1001,0),0), INDEX($AB$1004:$AQ$1004,1,MATCH(COLUMNS($AB$1006:AE1006),$AB$1006:$AQ$1006,0)))),"Fix")))</f>
        <v>0</v>
      </c>
      <c r="F861" s="4">
        <f>IF(OR(INDEX($V$2:$V$1001,MATCH(ROWS($U$2:U861),$U$2:$U$1001,0),1)&gt;=100000,INDEX($AB$1005:$AQ$1005,1,MATCH(COLUMNS($AB$1006:AF1006),$AB$1006:$AQ$1006,0))&gt;=100000), " ",IF(INDEX($AB$2:$AQ$1001,MATCH(ROWS($U$2:U861),$U$2:$U$1001,0),MATCH(COLUMNS($AB$1006:AF1006),$AB$1006:$AQ$1006,0)), HYPERLINK("#",""), HYPERLINK(CONCATENATE("#metadata!", ADDRESS(INDEX($W$2:$W$1001,MATCH(ROWS($U$2:U861),$U$2:$U$1001,0),0), INDEX($AB$1004:$AQ$1004,1,MATCH(COLUMNS($AB$1006:AF1006),$AB$1006:$AQ$1006,0)))),"Fix")))</f>
        <v>0</v>
      </c>
      <c r="G861" s="4">
        <f>IF(OR(INDEX($V$2:$V$1001,MATCH(ROWS($U$2:U861),$U$2:$U$1001,0),1)&gt;=100000,INDEX($AB$1005:$AQ$1005,1,MATCH(COLUMNS($AB$1006:AG1006),$AB$1006:$AQ$1006,0))&gt;=100000), " ",IF(INDEX($AB$2:$AQ$1001,MATCH(ROWS($U$2:U861),$U$2:$U$1001,0),MATCH(COLUMNS($AB$1006:AG1006),$AB$1006:$AQ$1006,0)), HYPERLINK("#",""), HYPERLINK(CONCATENATE("#metadata!", ADDRESS(INDEX($W$2:$W$1001,MATCH(ROWS($U$2:U861),$U$2:$U$1001,0),0), INDEX($AB$1004:$AQ$1004,1,MATCH(COLUMNS($AB$1006:AG1006),$AB$1006:$AQ$1006,0)))),"Fix")))</f>
        <v>0</v>
      </c>
      <c r="H861" s="4">
        <f>IF(OR(INDEX($V$2:$V$1001,MATCH(ROWS($U$2:U861),$U$2:$U$1001,0),1)&gt;=100000,INDEX($AB$1005:$AQ$1005,1,MATCH(COLUMNS($AB$1006:AH1006),$AB$1006:$AQ$1006,0))&gt;=100000), " ",IF(INDEX($AB$2:$AQ$1001,MATCH(ROWS($U$2:U861),$U$2:$U$1001,0),MATCH(COLUMNS($AB$1006:AH1006),$AB$1006:$AQ$1006,0)), HYPERLINK("#",""), HYPERLINK(CONCATENATE("#metadata!", ADDRESS(INDEX($W$2:$W$1001,MATCH(ROWS($U$2:U861),$U$2:$U$1001,0),0), INDEX($AB$1004:$AQ$1004,1,MATCH(COLUMNS($AB$1006:AH1006),$AB$1006:$AQ$1006,0)))),"Fix")))</f>
        <v>0</v>
      </c>
      <c r="I861" s="4">
        <f>IF(OR(INDEX($V$2:$V$1001,MATCH(ROWS($U$2:U861),$U$2:$U$1001,0),1)&gt;=100000,INDEX($AB$1005:$AQ$1005,1,MATCH(COLUMNS($AB$1006:AI1006),$AB$1006:$AQ$1006,0))&gt;=100000), " ",IF(INDEX($AB$2:$AQ$1001,MATCH(ROWS($U$2:U861),$U$2:$U$1001,0),MATCH(COLUMNS($AB$1006:AI1006),$AB$1006:$AQ$1006,0)), HYPERLINK("#",""), HYPERLINK(CONCATENATE("#metadata!", ADDRESS(INDEX($W$2:$W$1001,MATCH(ROWS($U$2:U861),$U$2:$U$1001,0),0), INDEX($AB$1004:$AQ$1004,1,MATCH(COLUMNS($AB$1006:AI1006),$AB$1006:$AQ$1006,0)))),"Fix")))</f>
        <v>0</v>
      </c>
      <c r="J861" s="4">
        <f>IF(OR(INDEX($V$2:$V$1001,MATCH(ROWS($U$2:U861),$U$2:$U$1001,0),1)&gt;=100000,INDEX($AB$1005:$AQ$1005,1,MATCH(COLUMNS($AB$1006:AJ1006),$AB$1006:$AQ$1006,0))&gt;=100000), " ",IF(INDEX($AB$2:$AQ$1001,MATCH(ROWS($U$2:U861),$U$2:$U$1001,0),MATCH(COLUMNS($AB$1006:AJ1006),$AB$1006:$AQ$1006,0)), HYPERLINK("#",""), HYPERLINK(CONCATENATE("#metadata!", ADDRESS(INDEX($W$2:$W$1001,MATCH(ROWS($U$2:U861),$U$2:$U$1001,0),0), INDEX($AB$1004:$AQ$1004,1,MATCH(COLUMNS($AB$1006:AJ1006),$AB$1006:$AQ$1006,0)))),"Fix")))</f>
        <v>0</v>
      </c>
      <c r="K861" s="4">
        <f>IF(OR(INDEX($V$2:$V$1001,MATCH(ROWS($U$2:U861),$U$2:$U$1001,0),1)&gt;=100000,INDEX($AB$1005:$AQ$1005,1,MATCH(COLUMNS($AB$1006:AK1006),$AB$1006:$AQ$1006,0))&gt;=100000), " ",IF(INDEX($AB$2:$AQ$1001,MATCH(ROWS($U$2:U861),$U$2:$U$1001,0),MATCH(COLUMNS($AB$1006:AK1006),$AB$1006:$AQ$1006,0)), HYPERLINK("#",""), HYPERLINK(CONCATENATE("#metadata!", ADDRESS(INDEX($W$2:$W$1001,MATCH(ROWS($U$2:U861),$U$2:$U$1001,0),0), INDEX($AB$1004:$AQ$1004,1,MATCH(COLUMNS($AB$1006:AK1006),$AB$1006:$AQ$1006,0)))),"Fix")))</f>
        <v>0</v>
      </c>
      <c r="L861" s="4">
        <f>IF(OR(INDEX($V$2:$V$1001,MATCH(ROWS($U$2:U861),$U$2:$U$1001,0),1)&gt;=100000,INDEX($AB$1005:$AQ$1005,1,MATCH(COLUMNS($AB$1006:AL1006),$AB$1006:$AQ$1006,0))&gt;=100000), " ",IF(INDEX($AB$2:$AQ$1001,MATCH(ROWS($U$2:U861),$U$2:$U$1001,0),MATCH(COLUMNS($AB$1006:AL1006),$AB$1006:$AQ$1006,0)), HYPERLINK("#",""), HYPERLINK(CONCATENATE("#metadata!", ADDRESS(INDEX($W$2:$W$1001,MATCH(ROWS($U$2:U861),$U$2:$U$1001,0),0), INDEX($AB$1004:$AQ$1004,1,MATCH(COLUMNS($AB$1006:AL1006),$AB$1006:$AQ$1006,0)))),"Fix")))</f>
        <v>0</v>
      </c>
      <c r="M861" s="4">
        <f>IF(OR(INDEX($V$2:$V$1001,MATCH(ROWS($U$2:U861),$U$2:$U$1001,0),1)&gt;=100000,INDEX($AB$1005:$AQ$1005,1,MATCH(COLUMNS($AB$1006:AM1006),$AB$1006:$AQ$1006,0))&gt;=100000), " ",IF(INDEX($AB$2:$AQ$1001,MATCH(ROWS($U$2:U861),$U$2:$U$1001,0),MATCH(COLUMNS($AB$1006:AM1006),$AB$1006:$AQ$1006,0)), HYPERLINK("#",""), HYPERLINK(CONCATENATE("#metadata!", ADDRESS(INDEX($W$2:$W$1001,MATCH(ROWS($U$2:U861),$U$2:$U$1001,0),0), INDEX($AB$1004:$AQ$1004,1,MATCH(COLUMNS($AB$1006:AM1006),$AB$1006:$AQ$1006,0)))),"Fix")))</f>
        <v>0</v>
      </c>
      <c r="N861" s="4">
        <f>IF(OR(INDEX($V$2:$V$1001,MATCH(ROWS($U$2:U861),$U$2:$U$1001,0),1)&gt;=100000,INDEX($AB$1005:$AQ$1005,1,MATCH(COLUMNS($AB$1006:AN1006),$AB$1006:$AQ$1006,0))&gt;=100000), " ",IF(INDEX($AB$2:$AQ$1001,MATCH(ROWS($U$2:U861),$U$2:$U$1001,0),MATCH(COLUMNS($AB$1006:AN1006),$AB$1006:$AQ$1006,0)), HYPERLINK("#",""), HYPERLINK(CONCATENATE("#metadata!", ADDRESS(INDEX($W$2:$W$1001,MATCH(ROWS($U$2:U861),$U$2:$U$1001,0),0), INDEX($AB$1004:$AQ$1004,1,MATCH(COLUMNS($AB$1006:AN1006),$AB$1006:$AQ$1006,0)))),"Fix")))</f>
        <v>0</v>
      </c>
      <c r="O861" s="4">
        <f>IF(OR(INDEX($V$2:$V$1001,MATCH(ROWS($U$2:U861),$U$2:$U$1001,0),1)&gt;=100000,INDEX($AB$1005:$AQ$1005,1,MATCH(COLUMNS($AB$1006:AO1006),$AB$1006:$AQ$1006,0))&gt;=100000), " ",IF(INDEX($AB$2:$AQ$1001,MATCH(ROWS($U$2:U861),$U$2:$U$1001,0),MATCH(COLUMNS($AB$1006:AO1006),$AB$1006:$AQ$1006,0)), HYPERLINK("#",""), HYPERLINK(CONCATENATE("#metadata!", ADDRESS(INDEX($W$2:$W$1001,MATCH(ROWS($U$2:U861),$U$2:$U$1001,0),0), INDEX($AB$1004:$AQ$1004,1,MATCH(COLUMNS($AB$1006:AO1006),$AB$1006:$AQ$1006,0)))),"Fix")))</f>
        <v>0</v>
      </c>
      <c r="P861" s="4">
        <f>IF(OR(INDEX($V$2:$V$1001,MATCH(ROWS($U$2:U861),$U$2:$U$1001,0),1)&gt;=100000,INDEX($AB$1005:$AQ$1005,1,MATCH(COLUMNS($AB$1006:AP1006),$AB$1006:$AQ$1006,0))&gt;=100000), " ",IF(INDEX($AB$2:$AQ$1001,MATCH(ROWS($U$2:U861),$U$2:$U$1001,0),MATCH(COLUMNS($AB$1006:AP1006),$AB$1006:$AQ$1006,0)), HYPERLINK("#",""), HYPERLINK(CONCATENATE("#metadata!", ADDRESS(INDEX($W$2:$W$1001,MATCH(ROWS($U$2:U861),$U$2:$U$1001,0),0), INDEX($AB$1004:$AQ$1004,1,MATCH(COLUMNS($AB$1006:AP1006),$AB$1006:$AQ$1006,0)))),"Fix")))</f>
        <v>0</v>
      </c>
      <c r="Q861" s="4">
        <f>IF(OR(INDEX($V$2:$V$1001,MATCH(ROWS($U$2:U861),$U$2:$U$1001,0),1)&gt;=100000,INDEX($AB$1005:$AQ$1005,1,MATCH(COLUMNS($AB$1006:AQ1006),$AB$1006:$AQ$1006,0))&gt;=100000), " ",IF(INDEX($AB$2:$AQ$1001,MATCH(ROWS($U$2:U861),$U$2:$U$1001,0),MATCH(COLUMNS($AB$1006:AQ1006),$AB$1006:$AQ$1006,0)), HYPERLINK("#",""), HYPERLINK(CONCATENATE("#metadata!", ADDRESS(INDEX($W$2:$W$1001,MATCH(ROWS($U$2:U861),$U$2:$U$1001,0),0), INDEX($AB$1004:$AQ$1004,1,MATCH(COLUMNS($AB$1006:AQ1006),$AB$1006:$AQ$1006,0)))),"Fix")))</f>
        <v>0</v>
      </c>
      <c r="U861">
        <v>0</v>
      </c>
      <c r="V861">
        <v>0</v>
      </c>
      <c r="W861">
        <v>0</v>
      </c>
      <c r="X861">
        <f>IF(Y861,TRUE,AND(AB861:AQ861))</f>
        <v>0</v>
      </c>
      <c r="Y861">
        <f>COUNTBLANK(metadata!B861:Q861)=COLUMNS(metadata!B861:Q861)</f>
        <v>0</v>
      </c>
      <c r="Z861">
        <v>0</v>
      </c>
      <c r="AB861">
        <f>AND(IF(metadata!B861="",FALSE,TRUE),COUNTIF(metadata!B:B, metadata!B861) = 1,NOT(ISERROR(SUMPRODUCT(SEARCH(MID(metadata!B861,ROW(INDIRECT("1:"&amp;LEN(metadata!B861))), 1),"0123456789abcdefghijklmnopqrstuvwxyzABCDEFGHIJKLMNOPQRSTUVWXYZ.")))))</f>
        <v>0</v>
      </c>
      <c r="AC861">
        <f>OR(AND(IF(metadata!C861="",FALSE,TRUE),OR(exact(metadata!C861,"missing: not collected"),exact(metadata!C861,"missing: not provided"),exact(metadata!C861,"missing: restricted access"))),AND(IF(metadata!C861="",FALSE,TRUE),AND(AND(IFERROR(INT(LEFT(metadata!C861,4))&gt;1900,FALSE),IFERROR(INT(LEFT(metadata!C861,4))&lt;=YEAR(NOW()),FALSE)), OR(MID(metadata!C861,5,1)="", AND(AND(MID(metadata!C861,5,1)="-",IFERROR(INT(MID(metadata!C861,6,1))&gt;=0,FALSE),IFERROR(INT(MID(metadata!C861,6,1))&lt;=1,FALSE),NOT(MID(metadata!C861,7,1)=""),IFERROR(INT(MID(metadata!C861,6,2))&gt;=1,FALSE),IFERROR(INT(MID(metadata!C861,6,2))&lt;=12,FALSE)), OR(MID(metadata!C861,8,1)="", AND(AND(MID(metadata!C861,8,1)="-",IFERROR(INT(MID(metadata!C861,9,1))&gt;=0,FALSE),IFERROR(INT(MID(metadata!C861,9,1))&lt;=3,FALSE),NOT(MID(metadata!C861,10,1)=""),IFERROR(INT(MID(metadata!C861,9,2))&gt;=1,FALSE),IFERROR(INT(MID(metadata!C861,9,2))&lt;=31,FALSE)), OR(MID(metadata!C861,11,1)="", AND(AND(MID(metadata!C861,11,1)=" ",IFERROR(INT(MID(metadata!C861,12,1))&gt;=0,FALSE),IFERROR(INT(MID(metadata!C861,12,1))&lt;=2,FALSE),NOT(MID(metadata!C861,13,1)=""),IFERROR(INT(MID(metadata!C861,12,2))&gt;=0,FALSE),IFERROR(INT(MID(metadata!C861,12,2))&lt;=23,FALSE)), OR(MID(metadata!C861,14,1)="", AND(AND(MID(metadata!C861,14,1)=":",IFERROR(INT(MID(metadata!C861,15,1))&gt;=0,FALSE),IFERROR(INT(MID(metadata!C861,15,1))&lt;=5,FALSE),NOT(MID(metadata!C861,16,1)=""),IFERROR(INT(MID(metadata!C861,15,2))&gt;=0,FALSE),IFERROR(INT(MID(metadata!C861,15,2))&lt;=59,FALSE)), OR(MID(metadata!C861,17,1)="", AND(AND(MID(metadata!C861,17,1)=":",IFERROR(INT(MID(metadata!C861,18,1))&gt;=0,FALSE),IFERROR(INT(MID(metadata!C861,18,1))&lt;=5,FALSE),NOT(MID(metadata!C861,19,1)=""),IFERROR(INT(MID(metadata!C861,18,2))&gt;=0,FALSE),IFERROR(INT(MID(metadata!C861,18,2))&lt;=59,FALSE)), LEN(metadata!C861)&lt;=19)))))))))))))</f>
        <v>0</v>
      </c>
      <c r="AD861">
        <f>IF(metadata!D861="",FALSE,TRUE)</f>
        <v>0</v>
      </c>
      <c r="AE861">
        <f>OR(AND(IF(metadata!E861="",FALSE,TRUE),OR(exact(metadata!E861,"missing: not collected"),exact(metadata!E861,"missing: not provided"))),AND(IF(metadata!E861="",FALSE,TRUE),OR(exact(metadata!E861,"TRUE"),exact(metadata!E861,"FALSE"))))</f>
        <v>0</v>
      </c>
      <c r="AF861">
        <f>IF(metadata!F861="",FALSE,TRUE)</f>
        <v>0</v>
      </c>
      <c r="AG861">
        <f>IF(metadata!G861="",FALSE,TRUE)</f>
        <v>0</v>
      </c>
      <c r="AH861">
        <f>IF(metadata!H861="",FALSE,TRUE)</f>
        <v>0</v>
      </c>
      <c r="AI861">
        <f>OR(AND(IF(metadata!I861="",FALSE,TRUE),OR(exact(metadata!I861,"missing: not collected"),exact(metadata!I861,"missing: not provided"),exact(metadata!I861,"missing: restricted access"))),AND(IF(metadata!I861="",FALSE,TRUE),OR(exact(metadata!I861,"air"),exact(metadata!I861,"built environment"),exact(metadata!I861,"host-associated"),exact(metadata!I861,"human-associated"),exact(metadata!I861,"human-skin"),exact(metadata!I861,"human-oral"),exact(metadata!I861,"human-gut"),exact(metadata!I861,"human-vaginal"),exact(metadata!I861,"microbial mat/biofilm"),exact(metadata!I861,"misc environment"),exact(metadata!I861,"plant-associated"),exact(metadata!I861,"sediment"),exact(metadata!I861,"soil"),exact(metadata!I861,"wastewater/sludge"),exact(metadata!I861,"water"))))</f>
        <v>0</v>
      </c>
      <c r="AJ861">
        <f>IF(metadata!J861="",FALSE,TRUE)</f>
        <v>0</v>
      </c>
      <c r="AK861">
        <f>OR(AND(IF(metadata!K861="",FALSE,TRUE),OR(exact(metadata!K861,"missing: not collected"),exact(metadata!K861,"missing: not provided"),exact(metadata!K861,"missing: restricted access"))),AND(IF(metadata!K861="",FALSE,ISNUMBER(VALUE(metadata!K861))),metadata!K861&gt;=-90.00,metadata!K861&lt;=90.00))</f>
        <v>0</v>
      </c>
      <c r="AL861">
        <f>OR(AND(IF(metadata!L861="",FALSE,TRUE),OR(exact(metadata!L861,"missing: not collected"),exact(metadata!L861,"missing: not provided"),exact(metadata!L861,"missing: restricted access"))),AND(IF(metadata!L861="",FALSE,ISNUMBER(VALUE(metadata!L861))),metadata!L861&gt;=-180.00,metadata!L861&lt;=180.00))</f>
        <v>0</v>
      </c>
      <c r="AM861">
        <f>IF(metadata!M861="",FALSE,TRUE)</f>
        <v>0</v>
      </c>
      <c r="AN861">
        <f>OR(AND(IF(metadata!N861="",FALSE,TRUE),OR(exact(metadata!N861,"missing: not collected"),exact(metadata!N861,"missing: not provided"),exact(metadata!N861,"missing: restricted access"))),AND(IF(metadata!N861="",FALSE,TRUE),OR(exact(metadata!N861,"TRUE"),exact(metadata!N861,"FALSE"))))</f>
        <v>0</v>
      </c>
      <c r="AO861">
        <f>IF(metadata!O861="",FALSE,TRUE)</f>
        <v>0</v>
      </c>
      <c r="AP861">
        <f>OR(AND(IF(metadata!P861="",FALSE,TRUE),OR(exact(metadata!P861,"missing: not collected"),exact(metadata!P861,"missing: not provided"))),AND(IF(metadata!P861="",FALSE,IF(ISERROR(INT(metadata!P861)),FALSE,INT(metadata!P861)=metadata!P861)),metadata!P861&gt;0))</f>
        <v>0</v>
      </c>
      <c r="AQ861">
        <f>IF(metadata!Q861="",FALSE,TRUE)</f>
        <v>0</v>
      </c>
    </row>
    <row r="862" spans="1:43">
      <c r="A862" s="5">
        <f>IF(B862=" "," ",HYPERLINK(CONCATENATE("#metadata!",ADDRESS(INDEX($W$2:$W$1001,MATCH(ROWS($U$2:U862),$U$2:$U$1001,0),0),1)),INDEX($Z$2:$Z$1001,MATCH(ROWS($U$2:U862),$U$2:$U$1001,0),0)))</f>
        <v>0</v>
      </c>
      <c r="B862" s="4">
        <f>IF(OR(INDEX($V$2:$V$1001,MATCH(ROWS($U$2:U862),$U$2:$U$1001,0),1)&gt;=100000,INDEX($AB$1005:$AQ$1005,1,MATCH(COLUMNS($AB$1006:AB1006),$AB$1006:$AQ$1006,0))&gt;=100000), " ",IF(INDEX($AB$2:$AQ$1001,MATCH(ROWS($U$2:U862),$U$2:$U$1001,0),MATCH(COLUMNS($AB$1006:AB1006),$AB$1006:$AQ$1006,0)), HYPERLINK("#",""), HYPERLINK(CONCATENATE("#metadata!", ADDRESS(INDEX($W$2:$W$1001,MATCH(ROWS($U$2:U862),$U$2:$U$1001,0),0), INDEX($AB$1004:$AQ$1004,1,MATCH(COLUMNS($AB$1006:AB1006),$AB$1006:$AQ$1006,0)))),"Fix")))</f>
        <v>0</v>
      </c>
      <c r="C862" s="4">
        <f>IF(OR(INDEX($V$2:$V$1001,MATCH(ROWS($U$2:U862),$U$2:$U$1001,0),1)&gt;=100000,INDEX($AB$1005:$AQ$1005,1,MATCH(COLUMNS($AB$1006:AC1006),$AB$1006:$AQ$1006,0))&gt;=100000), " ",IF(INDEX($AB$2:$AQ$1001,MATCH(ROWS($U$2:U862),$U$2:$U$1001,0),MATCH(COLUMNS($AB$1006:AC1006),$AB$1006:$AQ$1006,0)), HYPERLINK("#",""), HYPERLINK(CONCATENATE("#metadata!", ADDRESS(INDEX($W$2:$W$1001,MATCH(ROWS($U$2:U862),$U$2:$U$1001,0),0), INDEX($AB$1004:$AQ$1004,1,MATCH(COLUMNS($AB$1006:AC1006),$AB$1006:$AQ$1006,0)))),"Fix")))</f>
        <v>0</v>
      </c>
      <c r="D862" s="4">
        <f>IF(OR(INDEX($V$2:$V$1001,MATCH(ROWS($U$2:U862),$U$2:$U$1001,0),1)&gt;=100000,INDEX($AB$1005:$AQ$1005,1,MATCH(COLUMNS($AB$1006:AD1006),$AB$1006:$AQ$1006,0))&gt;=100000), " ",IF(INDEX($AB$2:$AQ$1001,MATCH(ROWS($U$2:U862),$U$2:$U$1001,0),MATCH(COLUMNS($AB$1006:AD1006),$AB$1006:$AQ$1006,0)), HYPERLINK("#",""), HYPERLINK(CONCATENATE("#metadata!", ADDRESS(INDEX($W$2:$W$1001,MATCH(ROWS($U$2:U862),$U$2:$U$1001,0),0), INDEX($AB$1004:$AQ$1004,1,MATCH(COLUMNS($AB$1006:AD1006),$AB$1006:$AQ$1006,0)))),"Fix")))</f>
        <v>0</v>
      </c>
      <c r="E862" s="4">
        <f>IF(OR(INDEX($V$2:$V$1001,MATCH(ROWS($U$2:U862),$U$2:$U$1001,0),1)&gt;=100000,INDEX($AB$1005:$AQ$1005,1,MATCH(COLUMNS($AB$1006:AE1006),$AB$1006:$AQ$1006,0))&gt;=100000), " ",IF(INDEX($AB$2:$AQ$1001,MATCH(ROWS($U$2:U862),$U$2:$U$1001,0),MATCH(COLUMNS($AB$1006:AE1006),$AB$1006:$AQ$1006,0)), HYPERLINK("#",""), HYPERLINK(CONCATENATE("#metadata!", ADDRESS(INDEX($W$2:$W$1001,MATCH(ROWS($U$2:U862),$U$2:$U$1001,0),0), INDEX($AB$1004:$AQ$1004,1,MATCH(COLUMNS($AB$1006:AE1006),$AB$1006:$AQ$1006,0)))),"Fix")))</f>
        <v>0</v>
      </c>
      <c r="F862" s="4">
        <f>IF(OR(INDEX($V$2:$V$1001,MATCH(ROWS($U$2:U862),$U$2:$U$1001,0),1)&gt;=100000,INDEX($AB$1005:$AQ$1005,1,MATCH(COLUMNS($AB$1006:AF1006),$AB$1006:$AQ$1006,0))&gt;=100000), " ",IF(INDEX($AB$2:$AQ$1001,MATCH(ROWS($U$2:U862),$U$2:$U$1001,0),MATCH(COLUMNS($AB$1006:AF1006),$AB$1006:$AQ$1006,0)), HYPERLINK("#",""), HYPERLINK(CONCATENATE("#metadata!", ADDRESS(INDEX($W$2:$W$1001,MATCH(ROWS($U$2:U862),$U$2:$U$1001,0),0), INDEX($AB$1004:$AQ$1004,1,MATCH(COLUMNS($AB$1006:AF1006),$AB$1006:$AQ$1006,0)))),"Fix")))</f>
        <v>0</v>
      </c>
      <c r="G862" s="4">
        <f>IF(OR(INDEX($V$2:$V$1001,MATCH(ROWS($U$2:U862),$U$2:$U$1001,0),1)&gt;=100000,INDEX($AB$1005:$AQ$1005,1,MATCH(COLUMNS($AB$1006:AG1006),$AB$1006:$AQ$1006,0))&gt;=100000), " ",IF(INDEX($AB$2:$AQ$1001,MATCH(ROWS($U$2:U862),$U$2:$U$1001,0),MATCH(COLUMNS($AB$1006:AG1006),$AB$1006:$AQ$1006,0)), HYPERLINK("#",""), HYPERLINK(CONCATENATE("#metadata!", ADDRESS(INDEX($W$2:$W$1001,MATCH(ROWS($U$2:U862),$U$2:$U$1001,0),0), INDEX($AB$1004:$AQ$1004,1,MATCH(COLUMNS($AB$1006:AG1006),$AB$1006:$AQ$1006,0)))),"Fix")))</f>
        <v>0</v>
      </c>
      <c r="H862" s="4">
        <f>IF(OR(INDEX($V$2:$V$1001,MATCH(ROWS($U$2:U862),$U$2:$U$1001,0),1)&gt;=100000,INDEX($AB$1005:$AQ$1005,1,MATCH(COLUMNS($AB$1006:AH1006),$AB$1006:$AQ$1006,0))&gt;=100000), " ",IF(INDEX($AB$2:$AQ$1001,MATCH(ROWS($U$2:U862),$U$2:$U$1001,0),MATCH(COLUMNS($AB$1006:AH1006),$AB$1006:$AQ$1006,0)), HYPERLINK("#",""), HYPERLINK(CONCATENATE("#metadata!", ADDRESS(INDEX($W$2:$W$1001,MATCH(ROWS($U$2:U862),$U$2:$U$1001,0),0), INDEX($AB$1004:$AQ$1004,1,MATCH(COLUMNS($AB$1006:AH1006),$AB$1006:$AQ$1006,0)))),"Fix")))</f>
        <v>0</v>
      </c>
      <c r="I862" s="4">
        <f>IF(OR(INDEX($V$2:$V$1001,MATCH(ROWS($U$2:U862),$U$2:$U$1001,0),1)&gt;=100000,INDEX($AB$1005:$AQ$1005,1,MATCH(COLUMNS($AB$1006:AI1006),$AB$1006:$AQ$1006,0))&gt;=100000), " ",IF(INDEX($AB$2:$AQ$1001,MATCH(ROWS($U$2:U862),$U$2:$U$1001,0),MATCH(COLUMNS($AB$1006:AI1006),$AB$1006:$AQ$1006,0)), HYPERLINK("#",""), HYPERLINK(CONCATENATE("#metadata!", ADDRESS(INDEX($W$2:$W$1001,MATCH(ROWS($U$2:U862),$U$2:$U$1001,0),0), INDEX($AB$1004:$AQ$1004,1,MATCH(COLUMNS($AB$1006:AI1006),$AB$1006:$AQ$1006,0)))),"Fix")))</f>
        <v>0</v>
      </c>
      <c r="J862" s="4">
        <f>IF(OR(INDEX($V$2:$V$1001,MATCH(ROWS($U$2:U862),$U$2:$U$1001,0),1)&gt;=100000,INDEX($AB$1005:$AQ$1005,1,MATCH(COLUMNS($AB$1006:AJ1006),$AB$1006:$AQ$1006,0))&gt;=100000), " ",IF(INDEX($AB$2:$AQ$1001,MATCH(ROWS($U$2:U862),$U$2:$U$1001,0),MATCH(COLUMNS($AB$1006:AJ1006),$AB$1006:$AQ$1006,0)), HYPERLINK("#",""), HYPERLINK(CONCATENATE("#metadata!", ADDRESS(INDEX($W$2:$W$1001,MATCH(ROWS($U$2:U862),$U$2:$U$1001,0),0), INDEX($AB$1004:$AQ$1004,1,MATCH(COLUMNS($AB$1006:AJ1006),$AB$1006:$AQ$1006,0)))),"Fix")))</f>
        <v>0</v>
      </c>
      <c r="K862" s="4">
        <f>IF(OR(INDEX($V$2:$V$1001,MATCH(ROWS($U$2:U862),$U$2:$U$1001,0),1)&gt;=100000,INDEX($AB$1005:$AQ$1005,1,MATCH(COLUMNS($AB$1006:AK1006),$AB$1006:$AQ$1006,0))&gt;=100000), " ",IF(INDEX($AB$2:$AQ$1001,MATCH(ROWS($U$2:U862),$U$2:$U$1001,0),MATCH(COLUMNS($AB$1006:AK1006),$AB$1006:$AQ$1006,0)), HYPERLINK("#",""), HYPERLINK(CONCATENATE("#metadata!", ADDRESS(INDEX($W$2:$W$1001,MATCH(ROWS($U$2:U862),$U$2:$U$1001,0),0), INDEX($AB$1004:$AQ$1004,1,MATCH(COLUMNS($AB$1006:AK1006),$AB$1006:$AQ$1006,0)))),"Fix")))</f>
        <v>0</v>
      </c>
      <c r="L862" s="4">
        <f>IF(OR(INDEX($V$2:$V$1001,MATCH(ROWS($U$2:U862),$U$2:$U$1001,0),1)&gt;=100000,INDEX($AB$1005:$AQ$1005,1,MATCH(COLUMNS($AB$1006:AL1006),$AB$1006:$AQ$1006,0))&gt;=100000), " ",IF(INDEX($AB$2:$AQ$1001,MATCH(ROWS($U$2:U862),$U$2:$U$1001,0),MATCH(COLUMNS($AB$1006:AL1006),$AB$1006:$AQ$1006,0)), HYPERLINK("#",""), HYPERLINK(CONCATENATE("#metadata!", ADDRESS(INDEX($W$2:$W$1001,MATCH(ROWS($U$2:U862),$U$2:$U$1001,0),0), INDEX($AB$1004:$AQ$1004,1,MATCH(COLUMNS($AB$1006:AL1006),$AB$1006:$AQ$1006,0)))),"Fix")))</f>
        <v>0</v>
      </c>
      <c r="M862" s="4">
        <f>IF(OR(INDEX($V$2:$V$1001,MATCH(ROWS($U$2:U862),$U$2:$U$1001,0),1)&gt;=100000,INDEX($AB$1005:$AQ$1005,1,MATCH(COLUMNS($AB$1006:AM1006),$AB$1006:$AQ$1006,0))&gt;=100000), " ",IF(INDEX($AB$2:$AQ$1001,MATCH(ROWS($U$2:U862),$U$2:$U$1001,0),MATCH(COLUMNS($AB$1006:AM1006),$AB$1006:$AQ$1006,0)), HYPERLINK("#",""), HYPERLINK(CONCATENATE("#metadata!", ADDRESS(INDEX($W$2:$W$1001,MATCH(ROWS($U$2:U862),$U$2:$U$1001,0),0), INDEX($AB$1004:$AQ$1004,1,MATCH(COLUMNS($AB$1006:AM1006),$AB$1006:$AQ$1006,0)))),"Fix")))</f>
        <v>0</v>
      </c>
      <c r="N862" s="4">
        <f>IF(OR(INDEX($V$2:$V$1001,MATCH(ROWS($U$2:U862),$U$2:$U$1001,0),1)&gt;=100000,INDEX($AB$1005:$AQ$1005,1,MATCH(COLUMNS($AB$1006:AN1006),$AB$1006:$AQ$1006,0))&gt;=100000), " ",IF(INDEX($AB$2:$AQ$1001,MATCH(ROWS($U$2:U862),$U$2:$U$1001,0),MATCH(COLUMNS($AB$1006:AN1006),$AB$1006:$AQ$1006,0)), HYPERLINK("#",""), HYPERLINK(CONCATENATE("#metadata!", ADDRESS(INDEX($W$2:$W$1001,MATCH(ROWS($U$2:U862),$U$2:$U$1001,0),0), INDEX($AB$1004:$AQ$1004,1,MATCH(COLUMNS($AB$1006:AN1006),$AB$1006:$AQ$1006,0)))),"Fix")))</f>
        <v>0</v>
      </c>
      <c r="O862" s="4">
        <f>IF(OR(INDEX($V$2:$V$1001,MATCH(ROWS($U$2:U862),$U$2:$U$1001,0),1)&gt;=100000,INDEX($AB$1005:$AQ$1005,1,MATCH(COLUMNS($AB$1006:AO1006),$AB$1006:$AQ$1006,0))&gt;=100000), " ",IF(INDEX($AB$2:$AQ$1001,MATCH(ROWS($U$2:U862),$U$2:$U$1001,0),MATCH(COLUMNS($AB$1006:AO1006),$AB$1006:$AQ$1006,0)), HYPERLINK("#",""), HYPERLINK(CONCATENATE("#metadata!", ADDRESS(INDEX($W$2:$W$1001,MATCH(ROWS($U$2:U862),$U$2:$U$1001,0),0), INDEX($AB$1004:$AQ$1004,1,MATCH(COLUMNS($AB$1006:AO1006),$AB$1006:$AQ$1006,0)))),"Fix")))</f>
        <v>0</v>
      </c>
      <c r="P862" s="4">
        <f>IF(OR(INDEX($V$2:$V$1001,MATCH(ROWS($U$2:U862),$U$2:$U$1001,0),1)&gt;=100000,INDEX($AB$1005:$AQ$1005,1,MATCH(COLUMNS($AB$1006:AP1006),$AB$1006:$AQ$1006,0))&gt;=100000), " ",IF(INDEX($AB$2:$AQ$1001,MATCH(ROWS($U$2:U862),$U$2:$U$1001,0),MATCH(COLUMNS($AB$1006:AP1006),$AB$1006:$AQ$1006,0)), HYPERLINK("#",""), HYPERLINK(CONCATENATE("#metadata!", ADDRESS(INDEX($W$2:$W$1001,MATCH(ROWS($U$2:U862),$U$2:$U$1001,0),0), INDEX($AB$1004:$AQ$1004,1,MATCH(COLUMNS($AB$1006:AP1006),$AB$1006:$AQ$1006,0)))),"Fix")))</f>
        <v>0</v>
      </c>
      <c r="Q862" s="4">
        <f>IF(OR(INDEX($V$2:$V$1001,MATCH(ROWS($U$2:U862),$U$2:$U$1001,0),1)&gt;=100000,INDEX($AB$1005:$AQ$1005,1,MATCH(COLUMNS($AB$1006:AQ1006),$AB$1006:$AQ$1006,0))&gt;=100000), " ",IF(INDEX($AB$2:$AQ$1001,MATCH(ROWS($U$2:U862),$U$2:$U$1001,0),MATCH(COLUMNS($AB$1006:AQ1006),$AB$1006:$AQ$1006,0)), HYPERLINK("#",""), HYPERLINK(CONCATENATE("#metadata!", ADDRESS(INDEX($W$2:$W$1001,MATCH(ROWS($U$2:U862),$U$2:$U$1001,0),0), INDEX($AB$1004:$AQ$1004,1,MATCH(COLUMNS($AB$1006:AQ1006),$AB$1006:$AQ$1006,0)))),"Fix")))</f>
        <v>0</v>
      </c>
      <c r="U862">
        <v>0</v>
      </c>
      <c r="V862">
        <v>0</v>
      </c>
      <c r="W862">
        <v>0</v>
      </c>
      <c r="X862">
        <f>IF(Y862,TRUE,AND(AB862:AQ862))</f>
        <v>0</v>
      </c>
      <c r="Y862">
        <f>COUNTBLANK(metadata!B862:Q862)=COLUMNS(metadata!B862:Q862)</f>
        <v>0</v>
      </c>
      <c r="Z862">
        <v>0</v>
      </c>
      <c r="AB862">
        <f>AND(IF(metadata!B862="",FALSE,TRUE),COUNTIF(metadata!B:B, metadata!B862) = 1,NOT(ISERROR(SUMPRODUCT(SEARCH(MID(metadata!B862,ROW(INDIRECT("1:"&amp;LEN(metadata!B862))), 1),"0123456789abcdefghijklmnopqrstuvwxyzABCDEFGHIJKLMNOPQRSTUVWXYZ.")))))</f>
        <v>0</v>
      </c>
      <c r="AC862">
        <f>OR(AND(IF(metadata!C862="",FALSE,TRUE),OR(exact(metadata!C862,"missing: not collected"),exact(metadata!C862,"missing: not provided"),exact(metadata!C862,"missing: restricted access"))),AND(IF(metadata!C862="",FALSE,TRUE),AND(AND(IFERROR(INT(LEFT(metadata!C862,4))&gt;1900,FALSE),IFERROR(INT(LEFT(metadata!C862,4))&lt;=YEAR(NOW()),FALSE)), OR(MID(metadata!C862,5,1)="", AND(AND(MID(metadata!C862,5,1)="-",IFERROR(INT(MID(metadata!C862,6,1))&gt;=0,FALSE),IFERROR(INT(MID(metadata!C862,6,1))&lt;=1,FALSE),NOT(MID(metadata!C862,7,1)=""),IFERROR(INT(MID(metadata!C862,6,2))&gt;=1,FALSE),IFERROR(INT(MID(metadata!C862,6,2))&lt;=12,FALSE)), OR(MID(metadata!C862,8,1)="", AND(AND(MID(metadata!C862,8,1)="-",IFERROR(INT(MID(metadata!C862,9,1))&gt;=0,FALSE),IFERROR(INT(MID(metadata!C862,9,1))&lt;=3,FALSE),NOT(MID(metadata!C862,10,1)=""),IFERROR(INT(MID(metadata!C862,9,2))&gt;=1,FALSE),IFERROR(INT(MID(metadata!C862,9,2))&lt;=31,FALSE)), OR(MID(metadata!C862,11,1)="", AND(AND(MID(metadata!C862,11,1)=" ",IFERROR(INT(MID(metadata!C862,12,1))&gt;=0,FALSE),IFERROR(INT(MID(metadata!C862,12,1))&lt;=2,FALSE),NOT(MID(metadata!C862,13,1)=""),IFERROR(INT(MID(metadata!C862,12,2))&gt;=0,FALSE),IFERROR(INT(MID(metadata!C862,12,2))&lt;=23,FALSE)), OR(MID(metadata!C862,14,1)="", AND(AND(MID(metadata!C862,14,1)=":",IFERROR(INT(MID(metadata!C862,15,1))&gt;=0,FALSE),IFERROR(INT(MID(metadata!C862,15,1))&lt;=5,FALSE),NOT(MID(metadata!C862,16,1)=""),IFERROR(INT(MID(metadata!C862,15,2))&gt;=0,FALSE),IFERROR(INT(MID(metadata!C862,15,2))&lt;=59,FALSE)), OR(MID(metadata!C862,17,1)="", AND(AND(MID(metadata!C862,17,1)=":",IFERROR(INT(MID(metadata!C862,18,1))&gt;=0,FALSE),IFERROR(INT(MID(metadata!C862,18,1))&lt;=5,FALSE),NOT(MID(metadata!C862,19,1)=""),IFERROR(INT(MID(metadata!C862,18,2))&gt;=0,FALSE),IFERROR(INT(MID(metadata!C862,18,2))&lt;=59,FALSE)), LEN(metadata!C862)&lt;=19)))))))))))))</f>
        <v>0</v>
      </c>
      <c r="AD862">
        <f>IF(metadata!D862="",FALSE,TRUE)</f>
        <v>0</v>
      </c>
      <c r="AE862">
        <f>OR(AND(IF(metadata!E862="",FALSE,TRUE),OR(exact(metadata!E862,"missing: not collected"),exact(metadata!E862,"missing: not provided"))),AND(IF(metadata!E862="",FALSE,TRUE),OR(exact(metadata!E862,"TRUE"),exact(metadata!E862,"FALSE"))))</f>
        <v>0</v>
      </c>
      <c r="AF862">
        <f>IF(metadata!F862="",FALSE,TRUE)</f>
        <v>0</v>
      </c>
      <c r="AG862">
        <f>IF(metadata!G862="",FALSE,TRUE)</f>
        <v>0</v>
      </c>
      <c r="AH862">
        <f>IF(metadata!H862="",FALSE,TRUE)</f>
        <v>0</v>
      </c>
      <c r="AI862">
        <f>OR(AND(IF(metadata!I862="",FALSE,TRUE),OR(exact(metadata!I862,"missing: not collected"),exact(metadata!I862,"missing: not provided"),exact(metadata!I862,"missing: restricted access"))),AND(IF(metadata!I862="",FALSE,TRUE),OR(exact(metadata!I862,"air"),exact(metadata!I862,"built environment"),exact(metadata!I862,"host-associated"),exact(metadata!I862,"human-associated"),exact(metadata!I862,"human-skin"),exact(metadata!I862,"human-oral"),exact(metadata!I862,"human-gut"),exact(metadata!I862,"human-vaginal"),exact(metadata!I862,"microbial mat/biofilm"),exact(metadata!I862,"misc environment"),exact(metadata!I862,"plant-associated"),exact(metadata!I862,"sediment"),exact(metadata!I862,"soil"),exact(metadata!I862,"wastewater/sludge"),exact(metadata!I862,"water"))))</f>
        <v>0</v>
      </c>
      <c r="AJ862">
        <f>IF(metadata!J862="",FALSE,TRUE)</f>
        <v>0</v>
      </c>
      <c r="AK862">
        <f>OR(AND(IF(metadata!K862="",FALSE,TRUE),OR(exact(metadata!K862,"missing: not collected"),exact(metadata!K862,"missing: not provided"),exact(metadata!K862,"missing: restricted access"))),AND(IF(metadata!K862="",FALSE,ISNUMBER(VALUE(metadata!K862))),metadata!K862&gt;=-90.00,metadata!K862&lt;=90.00))</f>
        <v>0</v>
      </c>
      <c r="AL862">
        <f>OR(AND(IF(metadata!L862="",FALSE,TRUE),OR(exact(metadata!L862,"missing: not collected"),exact(metadata!L862,"missing: not provided"),exact(metadata!L862,"missing: restricted access"))),AND(IF(metadata!L862="",FALSE,ISNUMBER(VALUE(metadata!L862))),metadata!L862&gt;=-180.00,metadata!L862&lt;=180.00))</f>
        <v>0</v>
      </c>
      <c r="AM862">
        <f>IF(metadata!M862="",FALSE,TRUE)</f>
        <v>0</v>
      </c>
      <c r="AN862">
        <f>OR(AND(IF(metadata!N862="",FALSE,TRUE),OR(exact(metadata!N862,"missing: not collected"),exact(metadata!N862,"missing: not provided"),exact(metadata!N862,"missing: restricted access"))),AND(IF(metadata!N862="",FALSE,TRUE),OR(exact(metadata!N862,"TRUE"),exact(metadata!N862,"FALSE"))))</f>
        <v>0</v>
      </c>
      <c r="AO862">
        <f>IF(metadata!O862="",FALSE,TRUE)</f>
        <v>0</v>
      </c>
      <c r="AP862">
        <f>OR(AND(IF(metadata!P862="",FALSE,TRUE),OR(exact(metadata!P862,"missing: not collected"),exact(metadata!P862,"missing: not provided"))),AND(IF(metadata!P862="",FALSE,IF(ISERROR(INT(metadata!P862)),FALSE,INT(metadata!P862)=metadata!P862)),metadata!P862&gt;0))</f>
        <v>0</v>
      </c>
      <c r="AQ862">
        <f>IF(metadata!Q862="",FALSE,TRUE)</f>
        <v>0</v>
      </c>
    </row>
    <row r="863" spans="1:43">
      <c r="A863" s="5">
        <f>IF(B863=" "," ",HYPERLINK(CONCATENATE("#metadata!",ADDRESS(INDEX($W$2:$W$1001,MATCH(ROWS($U$2:U863),$U$2:$U$1001,0),0),1)),INDEX($Z$2:$Z$1001,MATCH(ROWS($U$2:U863),$U$2:$U$1001,0),0)))</f>
        <v>0</v>
      </c>
      <c r="B863" s="4">
        <f>IF(OR(INDEX($V$2:$V$1001,MATCH(ROWS($U$2:U863),$U$2:$U$1001,0),1)&gt;=100000,INDEX($AB$1005:$AQ$1005,1,MATCH(COLUMNS($AB$1006:AB1006),$AB$1006:$AQ$1006,0))&gt;=100000), " ",IF(INDEX($AB$2:$AQ$1001,MATCH(ROWS($U$2:U863),$U$2:$U$1001,0),MATCH(COLUMNS($AB$1006:AB1006),$AB$1006:$AQ$1006,0)), HYPERLINK("#",""), HYPERLINK(CONCATENATE("#metadata!", ADDRESS(INDEX($W$2:$W$1001,MATCH(ROWS($U$2:U863),$U$2:$U$1001,0),0), INDEX($AB$1004:$AQ$1004,1,MATCH(COLUMNS($AB$1006:AB1006),$AB$1006:$AQ$1006,0)))),"Fix")))</f>
        <v>0</v>
      </c>
      <c r="C863" s="4">
        <f>IF(OR(INDEX($V$2:$V$1001,MATCH(ROWS($U$2:U863),$U$2:$U$1001,0),1)&gt;=100000,INDEX($AB$1005:$AQ$1005,1,MATCH(COLUMNS($AB$1006:AC1006),$AB$1006:$AQ$1006,0))&gt;=100000), " ",IF(INDEX($AB$2:$AQ$1001,MATCH(ROWS($U$2:U863),$U$2:$U$1001,0),MATCH(COLUMNS($AB$1006:AC1006),$AB$1006:$AQ$1006,0)), HYPERLINK("#",""), HYPERLINK(CONCATENATE("#metadata!", ADDRESS(INDEX($W$2:$W$1001,MATCH(ROWS($U$2:U863),$U$2:$U$1001,0),0), INDEX($AB$1004:$AQ$1004,1,MATCH(COLUMNS($AB$1006:AC1006),$AB$1006:$AQ$1006,0)))),"Fix")))</f>
        <v>0</v>
      </c>
      <c r="D863" s="4">
        <f>IF(OR(INDEX($V$2:$V$1001,MATCH(ROWS($U$2:U863),$U$2:$U$1001,0),1)&gt;=100000,INDEX($AB$1005:$AQ$1005,1,MATCH(COLUMNS($AB$1006:AD1006),$AB$1006:$AQ$1006,0))&gt;=100000), " ",IF(INDEX($AB$2:$AQ$1001,MATCH(ROWS($U$2:U863),$U$2:$U$1001,0),MATCH(COLUMNS($AB$1006:AD1006),$AB$1006:$AQ$1006,0)), HYPERLINK("#",""), HYPERLINK(CONCATENATE("#metadata!", ADDRESS(INDEX($W$2:$W$1001,MATCH(ROWS($U$2:U863),$U$2:$U$1001,0),0), INDEX($AB$1004:$AQ$1004,1,MATCH(COLUMNS($AB$1006:AD1006),$AB$1006:$AQ$1006,0)))),"Fix")))</f>
        <v>0</v>
      </c>
      <c r="E863" s="4">
        <f>IF(OR(INDEX($V$2:$V$1001,MATCH(ROWS($U$2:U863),$U$2:$U$1001,0),1)&gt;=100000,INDEX($AB$1005:$AQ$1005,1,MATCH(COLUMNS($AB$1006:AE1006),$AB$1006:$AQ$1006,0))&gt;=100000), " ",IF(INDEX($AB$2:$AQ$1001,MATCH(ROWS($U$2:U863),$U$2:$U$1001,0),MATCH(COLUMNS($AB$1006:AE1006),$AB$1006:$AQ$1006,0)), HYPERLINK("#",""), HYPERLINK(CONCATENATE("#metadata!", ADDRESS(INDEX($W$2:$W$1001,MATCH(ROWS($U$2:U863),$U$2:$U$1001,0),0), INDEX($AB$1004:$AQ$1004,1,MATCH(COLUMNS($AB$1006:AE1006),$AB$1006:$AQ$1006,0)))),"Fix")))</f>
        <v>0</v>
      </c>
      <c r="F863" s="4">
        <f>IF(OR(INDEX($V$2:$V$1001,MATCH(ROWS($U$2:U863),$U$2:$U$1001,0),1)&gt;=100000,INDEX($AB$1005:$AQ$1005,1,MATCH(COLUMNS($AB$1006:AF1006),$AB$1006:$AQ$1006,0))&gt;=100000), " ",IF(INDEX($AB$2:$AQ$1001,MATCH(ROWS($U$2:U863),$U$2:$U$1001,0),MATCH(COLUMNS($AB$1006:AF1006),$AB$1006:$AQ$1006,0)), HYPERLINK("#",""), HYPERLINK(CONCATENATE("#metadata!", ADDRESS(INDEX($W$2:$W$1001,MATCH(ROWS($U$2:U863),$U$2:$U$1001,0),0), INDEX($AB$1004:$AQ$1004,1,MATCH(COLUMNS($AB$1006:AF1006),$AB$1006:$AQ$1006,0)))),"Fix")))</f>
        <v>0</v>
      </c>
      <c r="G863" s="4">
        <f>IF(OR(INDEX($V$2:$V$1001,MATCH(ROWS($U$2:U863),$U$2:$U$1001,0),1)&gt;=100000,INDEX($AB$1005:$AQ$1005,1,MATCH(COLUMNS($AB$1006:AG1006),$AB$1006:$AQ$1006,0))&gt;=100000), " ",IF(INDEX($AB$2:$AQ$1001,MATCH(ROWS($U$2:U863),$U$2:$U$1001,0),MATCH(COLUMNS($AB$1006:AG1006),$AB$1006:$AQ$1006,0)), HYPERLINK("#",""), HYPERLINK(CONCATENATE("#metadata!", ADDRESS(INDEX($W$2:$W$1001,MATCH(ROWS($U$2:U863),$U$2:$U$1001,0),0), INDEX($AB$1004:$AQ$1004,1,MATCH(COLUMNS($AB$1006:AG1006),$AB$1006:$AQ$1006,0)))),"Fix")))</f>
        <v>0</v>
      </c>
      <c r="H863" s="4">
        <f>IF(OR(INDEX($V$2:$V$1001,MATCH(ROWS($U$2:U863),$U$2:$U$1001,0),1)&gt;=100000,INDEX($AB$1005:$AQ$1005,1,MATCH(COLUMNS($AB$1006:AH1006),$AB$1006:$AQ$1006,0))&gt;=100000), " ",IF(INDEX($AB$2:$AQ$1001,MATCH(ROWS($U$2:U863),$U$2:$U$1001,0),MATCH(COLUMNS($AB$1006:AH1006),$AB$1006:$AQ$1006,0)), HYPERLINK("#",""), HYPERLINK(CONCATENATE("#metadata!", ADDRESS(INDEX($W$2:$W$1001,MATCH(ROWS($U$2:U863),$U$2:$U$1001,0),0), INDEX($AB$1004:$AQ$1004,1,MATCH(COLUMNS($AB$1006:AH1006),$AB$1006:$AQ$1006,0)))),"Fix")))</f>
        <v>0</v>
      </c>
      <c r="I863" s="4">
        <f>IF(OR(INDEX($V$2:$V$1001,MATCH(ROWS($U$2:U863),$U$2:$U$1001,0),1)&gt;=100000,INDEX($AB$1005:$AQ$1005,1,MATCH(COLUMNS($AB$1006:AI1006),$AB$1006:$AQ$1006,0))&gt;=100000), " ",IF(INDEX($AB$2:$AQ$1001,MATCH(ROWS($U$2:U863),$U$2:$U$1001,0),MATCH(COLUMNS($AB$1006:AI1006),$AB$1006:$AQ$1006,0)), HYPERLINK("#",""), HYPERLINK(CONCATENATE("#metadata!", ADDRESS(INDEX($W$2:$W$1001,MATCH(ROWS($U$2:U863),$U$2:$U$1001,0),0), INDEX($AB$1004:$AQ$1004,1,MATCH(COLUMNS($AB$1006:AI1006),$AB$1006:$AQ$1006,0)))),"Fix")))</f>
        <v>0</v>
      </c>
      <c r="J863" s="4">
        <f>IF(OR(INDEX($V$2:$V$1001,MATCH(ROWS($U$2:U863),$U$2:$U$1001,0),1)&gt;=100000,INDEX($AB$1005:$AQ$1005,1,MATCH(COLUMNS($AB$1006:AJ1006),$AB$1006:$AQ$1006,0))&gt;=100000), " ",IF(INDEX($AB$2:$AQ$1001,MATCH(ROWS($U$2:U863),$U$2:$U$1001,0),MATCH(COLUMNS($AB$1006:AJ1006),$AB$1006:$AQ$1006,0)), HYPERLINK("#",""), HYPERLINK(CONCATENATE("#metadata!", ADDRESS(INDEX($W$2:$W$1001,MATCH(ROWS($U$2:U863),$U$2:$U$1001,0),0), INDEX($AB$1004:$AQ$1004,1,MATCH(COLUMNS($AB$1006:AJ1006),$AB$1006:$AQ$1006,0)))),"Fix")))</f>
        <v>0</v>
      </c>
      <c r="K863" s="4">
        <f>IF(OR(INDEX($V$2:$V$1001,MATCH(ROWS($U$2:U863),$U$2:$U$1001,0),1)&gt;=100000,INDEX($AB$1005:$AQ$1005,1,MATCH(COLUMNS($AB$1006:AK1006),$AB$1006:$AQ$1006,0))&gt;=100000), " ",IF(INDEX($AB$2:$AQ$1001,MATCH(ROWS($U$2:U863),$U$2:$U$1001,0),MATCH(COLUMNS($AB$1006:AK1006),$AB$1006:$AQ$1006,0)), HYPERLINK("#",""), HYPERLINK(CONCATENATE("#metadata!", ADDRESS(INDEX($W$2:$W$1001,MATCH(ROWS($U$2:U863),$U$2:$U$1001,0),0), INDEX($AB$1004:$AQ$1004,1,MATCH(COLUMNS($AB$1006:AK1006),$AB$1006:$AQ$1006,0)))),"Fix")))</f>
        <v>0</v>
      </c>
      <c r="L863" s="4">
        <f>IF(OR(INDEX($V$2:$V$1001,MATCH(ROWS($U$2:U863),$U$2:$U$1001,0),1)&gt;=100000,INDEX($AB$1005:$AQ$1005,1,MATCH(COLUMNS($AB$1006:AL1006),$AB$1006:$AQ$1006,0))&gt;=100000), " ",IF(INDEX($AB$2:$AQ$1001,MATCH(ROWS($U$2:U863),$U$2:$U$1001,0),MATCH(COLUMNS($AB$1006:AL1006),$AB$1006:$AQ$1006,0)), HYPERLINK("#",""), HYPERLINK(CONCATENATE("#metadata!", ADDRESS(INDEX($W$2:$W$1001,MATCH(ROWS($U$2:U863),$U$2:$U$1001,0),0), INDEX($AB$1004:$AQ$1004,1,MATCH(COLUMNS($AB$1006:AL1006),$AB$1006:$AQ$1006,0)))),"Fix")))</f>
        <v>0</v>
      </c>
      <c r="M863" s="4">
        <f>IF(OR(INDEX($V$2:$V$1001,MATCH(ROWS($U$2:U863),$U$2:$U$1001,0),1)&gt;=100000,INDEX($AB$1005:$AQ$1005,1,MATCH(COLUMNS($AB$1006:AM1006),$AB$1006:$AQ$1006,0))&gt;=100000), " ",IF(INDEX($AB$2:$AQ$1001,MATCH(ROWS($U$2:U863),$U$2:$U$1001,0),MATCH(COLUMNS($AB$1006:AM1006),$AB$1006:$AQ$1006,0)), HYPERLINK("#",""), HYPERLINK(CONCATENATE("#metadata!", ADDRESS(INDEX($W$2:$W$1001,MATCH(ROWS($U$2:U863),$U$2:$U$1001,0),0), INDEX($AB$1004:$AQ$1004,1,MATCH(COLUMNS($AB$1006:AM1006),$AB$1006:$AQ$1006,0)))),"Fix")))</f>
        <v>0</v>
      </c>
      <c r="N863" s="4">
        <f>IF(OR(INDEX($V$2:$V$1001,MATCH(ROWS($U$2:U863),$U$2:$U$1001,0),1)&gt;=100000,INDEX($AB$1005:$AQ$1005,1,MATCH(COLUMNS($AB$1006:AN1006),$AB$1006:$AQ$1006,0))&gt;=100000), " ",IF(INDEX($AB$2:$AQ$1001,MATCH(ROWS($U$2:U863),$U$2:$U$1001,0),MATCH(COLUMNS($AB$1006:AN1006),$AB$1006:$AQ$1006,0)), HYPERLINK("#",""), HYPERLINK(CONCATENATE("#metadata!", ADDRESS(INDEX($W$2:$W$1001,MATCH(ROWS($U$2:U863),$U$2:$U$1001,0),0), INDEX($AB$1004:$AQ$1004,1,MATCH(COLUMNS($AB$1006:AN1006),$AB$1006:$AQ$1006,0)))),"Fix")))</f>
        <v>0</v>
      </c>
      <c r="O863" s="4">
        <f>IF(OR(INDEX($V$2:$V$1001,MATCH(ROWS($U$2:U863),$U$2:$U$1001,0),1)&gt;=100000,INDEX($AB$1005:$AQ$1005,1,MATCH(COLUMNS($AB$1006:AO1006),$AB$1006:$AQ$1006,0))&gt;=100000), " ",IF(INDEX($AB$2:$AQ$1001,MATCH(ROWS($U$2:U863),$U$2:$U$1001,0),MATCH(COLUMNS($AB$1006:AO1006),$AB$1006:$AQ$1006,0)), HYPERLINK("#",""), HYPERLINK(CONCATENATE("#metadata!", ADDRESS(INDEX($W$2:$W$1001,MATCH(ROWS($U$2:U863),$U$2:$U$1001,0),0), INDEX($AB$1004:$AQ$1004,1,MATCH(COLUMNS($AB$1006:AO1006),$AB$1006:$AQ$1006,0)))),"Fix")))</f>
        <v>0</v>
      </c>
      <c r="P863" s="4">
        <f>IF(OR(INDEX($V$2:$V$1001,MATCH(ROWS($U$2:U863),$U$2:$U$1001,0),1)&gt;=100000,INDEX($AB$1005:$AQ$1005,1,MATCH(COLUMNS($AB$1006:AP1006),$AB$1006:$AQ$1006,0))&gt;=100000), " ",IF(INDEX($AB$2:$AQ$1001,MATCH(ROWS($U$2:U863),$U$2:$U$1001,0),MATCH(COLUMNS($AB$1006:AP1006),$AB$1006:$AQ$1006,0)), HYPERLINK("#",""), HYPERLINK(CONCATENATE("#metadata!", ADDRESS(INDEX($W$2:$W$1001,MATCH(ROWS($U$2:U863),$U$2:$U$1001,0),0), INDEX($AB$1004:$AQ$1004,1,MATCH(COLUMNS($AB$1006:AP1006),$AB$1006:$AQ$1006,0)))),"Fix")))</f>
        <v>0</v>
      </c>
      <c r="Q863" s="4">
        <f>IF(OR(INDEX($V$2:$V$1001,MATCH(ROWS($U$2:U863),$U$2:$U$1001,0),1)&gt;=100000,INDEX($AB$1005:$AQ$1005,1,MATCH(COLUMNS($AB$1006:AQ1006),$AB$1006:$AQ$1006,0))&gt;=100000), " ",IF(INDEX($AB$2:$AQ$1001,MATCH(ROWS($U$2:U863),$U$2:$U$1001,0),MATCH(COLUMNS($AB$1006:AQ1006),$AB$1006:$AQ$1006,0)), HYPERLINK("#",""), HYPERLINK(CONCATENATE("#metadata!", ADDRESS(INDEX($W$2:$W$1001,MATCH(ROWS($U$2:U863),$U$2:$U$1001,0),0), INDEX($AB$1004:$AQ$1004,1,MATCH(COLUMNS($AB$1006:AQ1006),$AB$1006:$AQ$1006,0)))),"Fix")))</f>
        <v>0</v>
      </c>
      <c r="U863">
        <v>0</v>
      </c>
      <c r="V863">
        <v>0</v>
      </c>
      <c r="W863">
        <v>0</v>
      </c>
      <c r="X863">
        <f>IF(Y863,TRUE,AND(AB863:AQ863))</f>
        <v>0</v>
      </c>
      <c r="Y863">
        <f>COUNTBLANK(metadata!B863:Q863)=COLUMNS(metadata!B863:Q863)</f>
        <v>0</v>
      </c>
      <c r="Z863">
        <v>0</v>
      </c>
      <c r="AB863">
        <f>AND(IF(metadata!B863="",FALSE,TRUE),COUNTIF(metadata!B:B, metadata!B863) = 1,NOT(ISERROR(SUMPRODUCT(SEARCH(MID(metadata!B863,ROW(INDIRECT("1:"&amp;LEN(metadata!B863))), 1),"0123456789abcdefghijklmnopqrstuvwxyzABCDEFGHIJKLMNOPQRSTUVWXYZ.")))))</f>
        <v>0</v>
      </c>
      <c r="AC863">
        <f>OR(AND(IF(metadata!C863="",FALSE,TRUE),OR(exact(metadata!C863,"missing: not collected"),exact(metadata!C863,"missing: not provided"),exact(metadata!C863,"missing: restricted access"))),AND(IF(metadata!C863="",FALSE,TRUE),AND(AND(IFERROR(INT(LEFT(metadata!C863,4))&gt;1900,FALSE),IFERROR(INT(LEFT(metadata!C863,4))&lt;=YEAR(NOW()),FALSE)), OR(MID(metadata!C863,5,1)="", AND(AND(MID(metadata!C863,5,1)="-",IFERROR(INT(MID(metadata!C863,6,1))&gt;=0,FALSE),IFERROR(INT(MID(metadata!C863,6,1))&lt;=1,FALSE),NOT(MID(metadata!C863,7,1)=""),IFERROR(INT(MID(metadata!C863,6,2))&gt;=1,FALSE),IFERROR(INT(MID(metadata!C863,6,2))&lt;=12,FALSE)), OR(MID(metadata!C863,8,1)="", AND(AND(MID(metadata!C863,8,1)="-",IFERROR(INT(MID(metadata!C863,9,1))&gt;=0,FALSE),IFERROR(INT(MID(metadata!C863,9,1))&lt;=3,FALSE),NOT(MID(metadata!C863,10,1)=""),IFERROR(INT(MID(metadata!C863,9,2))&gt;=1,FALSE),IFERROR(INT(MID(metadata!C863,9,2))&lt;=31,FALSE)), OR(MID(metadata!C863,11,1)="", AND(AND(MID(metadata!C863,11,1)=" ",IFERROR(INT(MID(metadata!C863,12,1))&gt;=0,FALSE),IFERROR(INT(MID(metadata!C863,12,1))&lt;=2,FALSE),NOT(MID(metadata!C863,13,1)=""),IFERROR(INT(MID(metadata!C863,12,2))&gt;=0,FALSE),IFERROR(INT(MID(metadata!C863,12,2))&lt;=23,FALSE)), OR(MID(metadata!C863,14,1)="", AND(AND(MID(metadata!C863,14,1)=":",IFERROR(INT(MID(metadata!C863,15,1))&gt;=0,FALSE),IFERROR(INT(MID(metadata!C863,15,1))&lt;=5,FALSE),NOT(MID(metadata!C863,16,1)=""),IFERROR(INT(MID(metadata!C863,15,2))&gt;=0,FALSE),IFERROR(INT(MID(metadata!C863,15,2))&lt;=59,FALSE)), OR(MID(metadata!C863,17,1)="", AND(AND(MID(metadata!C863,17,1)=":",IFERROR(INT(MID(metadata!C863,18,1))&gt;=0,FALSE),IFERROR(INT(MID(metadata!C863,18,1))&lt;=5,FALSE),NOT(MID(metadata!C863,19,1)=""),IFERROR(INT(MID(metadata!C863,18,2))&gt;=0,FALSE),IFERROR(INT(MID(metadata!C863,18,2))&lt;=59,FALSE)), LEN(metadata!C863)&lt;=19)))))))))))))</f>
        <v>0</v>
      </c>
      <c r="AD863">
        <f>IF(metadata!D863="",FALSE,TRUE)</f>
        <v>0</v>
      </c>
      <c r="AE863">
        <f>OR(AND(IF(metadata!E863="",FALSE,TRUE),OR(exact(metadata!E863,"missing: not collected"),exact(metadata!E863,"missing: not provided"))),AND(IF(metadata!E863="",FALSE,TRUE),OR(exact(metadata!E863,"TRUE"),exact(metadata!E863,"FALSE"))))</f>
        <v>0</v>
      </c>
      <c r="AF863">
        <f>IF(metadata!F863="",FALSE,TRUE)</f>
        <v>0</v>
      </c>
      <c r="AG863">
        <f>IF(metadata!G863="",FALSE,TRUE)</f>
        <v>0</v>
      </c>
      <c r="AH863">
        <f>IF(metadata!H863="",FALSE,TRUE)</f>
        <v>0</v>
      </c>
      <c r="AI863">
        <f>OR(AND(IF(metadata!I863="",FALSE,TRUE),OR(exact(metadata!I863,"missing: not collected"),exact(metadata!I863,"missing: not provided"),exact(metadata!I863,"missing: restricted access"))),AND(IF(metadata!I863="",FALSE,TRUE),OR(exact(metadata!I863,"air"),exact(metadata!I863,"built environment"),exact(metadata!I863,"host-associated"),exact(metadata!I863,"human-associated"),exact(metadata!I863,"human-skin"),exact(metadata!I863,"human-oral"),exact(metadata!I863,"human-gut"),exact(metadata!I863,"human-vaginal"),exact(metadata!I863,"microbial mat/biofilm"),exact(metadata!I863,"misc environment"),exact(metadata!I863,"plant-associated"),exact(metadata!I863,"sediment"),exact(metadata!I863,"soil"),exact(metadata!I863,"wastewater/sludge"),exact(metadata!I863,"water"))))</f>
        <v>0</v>
      </c>
      <c r="AJ863">
        <f>IF(metadata!J863="",FALSE,TRUE)</f>
        <v>0</v>
      </c>
      <c r="AK863">
        <f>OR(AND(IF(metadata!K863="",FALSE,TRUE),OR(exact(metadata!K863,"missing: not collected"),exact(metadata!K863,"missing: not provided"),exact(metadata!K863,"missing: restricted access"))),AND(IF(metadata!K863="",FALSE,ISNUMBER(VALUE(metadata!K863))),metadata!K863&gt;=-90.00,metadata!K863&lt;=90.00))</f>
        <v>0</v>
      </c>
      <c r="AL863">
        <f>OR(AND(IF(metadata!L863="",FALSE,TRUE),OR(exact(metadata!L863,"missing: not collected"),exact(metadata!L863,"missing: not provided"),exact(metadata!L863,"missing: restricted access"))),AND(IF(metadata!L863="",FALSE,ISNUMBER(VALUE(metadata!L863))),metadata!L863&gt;=-180.00,metadata!L863&lt;=180.00))</f>
        <v>0</v>
      </c>
      <c r="AM863">
        <f>IF(metadata!M863="",FALSE,TRUE)</f>
        <v>0</v>
      </c>
      <c r="AN863">
        <f>OR(AND(IF(metadata!N863="",FALSE,TRUE),OR(exact(metadata!N863,"missing: not collected"),exact(metadata!N863,"missing: not provided"),exact(metadata!N863,"missing: restricted access"))),AND(IF(metadata!N863="",FALSE,TRUE),OR(exact(metadata!N863,"TRUE"),exact(metadata!N863,"FALSE"))))</f>
        <v>0</v>
      </c>
      <c r="AO863">
        <f>IF(metadata!O863="",FALSE,TRUE)</f>
        <v>0</v>
      </c>
      <c r="AP863">
        <f>OR(AND(IF(metadata!P863="",FALSE,TRUE),OR(exact(metadata!P863,"missing: not collected"),exact(metadata!P863,"missing: not provided"))),AND(IF(metadata!P863="",FALSE,IF(ISERROR(INT(metadata!P863)),FALSE,INT(metadata!P863)=metadata!P863)),metadata!P863&gt;0))</f>
        <v>0</v>
      </c>
      <c r="AQ863">
        <f>IF(metadata!Q863="",FALSE,TRUE)</f>
        <v>0</v>
      </c>
    </row>
    <row r="864" spans="1:43">
      <c r="A864" s="5">
        <f>IF(B864=" "," ",HYPERLINK(CONCATENATE("#metadata!",ADDRESS(INDEX($W$2:$W$1001,MATCH(ROWS($U$2:U864),$U$2:$U$1001,0),0),1)),INDEX($Z$2:$Z$1001,MATCH(ROWS($U$2:U864),$U$2:$U$1001,0),0)))</f>
        <v>0</v>
      </c>
      <c r="B864" s="4">
        <f>IF(OR(INDEX($V$2:$V$1001,MATCH(ROWS($U$2:U864),$U$2:$U$1001,0),1)&gt;=100000,INDEX($AB$1005:$AQ$1005,1,MATCH(COLUMNS($AB$1006:AB1006),$AB$1006:$AQ$1006,0))&gt;=100000), " ",IF(INDEX($AB$2:$AQ$1001,MATCH(ROWS($U$2:U864),$U$2:$U$1001,0),MATCH(COLUMNS($AB$1006:AB1006),$AB$1006:$AQ$1006,0)), HYPERLINK("#",""), HYPERLINK(CONCATENATE("#metadata!", ADDRESS(INDEX($W$2:$W$1001,MATCH(ROWS($U$2:U864),$U$2:$U$1001,0),0), INDEX($AB$1004:$AQ$1004,1,MATCH(COLUMNS($AB$1006:AB1006),$AB$1006:$AQ$1006,0)))),"Fix")))</f>
        <v>0</v>
      </c>
      <c r="C864" s="4">
        <f>IF(OR(INDEX($V$2:$V$1001,MATCH(ROWS($U$2:U864),$U$2:$U$1001,0),1)&gt;=100000,INDEX($AB$1005:$AQ$1005,1,MATCH(COLUMNS($AB$1006:AC1006),$AB$1006:$AQ$1006,0))&gt;=100000), " ",IF(INDEX($AB$2:$AQ$1001,MATCH(ROWS($U$2:U864),$U$2:$U$1001,0),MATCH(COLUMNS($AB$1006:AC1006),$AB$1006:$AQ$1006,0)), HYPERLINK("#",""), HYPERLINK(CONCATENATE("#metadata!", ADDRESS(INDEX($W$2:$W$1001,MATCH(ROWS($U$2:U864),$U$2:$U$1001,0),0), INDEX($AB$1004:$AQ$1004,1,MATCH(COLUMNS($AB$1006:AC1006),$AB$1006:$AQ$1006,0)))),"Fix")))</f>
        <v>0</v>
      </c>
      <c r="D864" s="4">
        <f>IF(OR(INDEX($V$2:$V$1001,MATCH(ROWS($U$2:U864),$U$2:$U$1001,0),1)&gt;=100000,INDEX($AB$1005:$AQ$1005,1,MATCH(COLUMNS($AB$1006:AD1006),$AB$1006:$AQ$1006,0))&gt;=100000), " ",IF(INDEX($AB$2:$AQ$1001,MATCH(ROWS($U$2:U864),$U$2:$U$1001,0),MATCH(COLUMNS($AB$1006:AD1006),$AB$1006:$AQ$1006,0)), HYPERLINK("#",""), HYPERLINK(CONCATENATE("#metadata!", ADDRESS(INDEX($W$2:$W$1001,MATCH(ROWS($U$2:U864),$U$2:$U$1001,0),0), INDEX($AB$1004:$AQ$1004,1,MATCH(COLUMNS($AB$1006:AD1006),$AB$1006:$AQ$1006,0)))),"Fix")))</f>
        <v>0</v>
      </c>
      <c r="E864" s="4">
        <f>IF(OR(INDEX($V$2:$V$1001,MATCH(ROWS($U$2:U864),$U$2:$U$1001,0),1)&gt;=100000,INDEX($AB$1005:$AQ$1005,1,MATCH(COLUMNS($AB$1006:AE1006),$AB$1006:$AQ$1006,0))&gt;=100000), " ",IF(INDEX($AB$2:$AQ$1001,MATCH(ROWS($U$2:U864),$U$2:$U$1001,0),MATCH(COLUMNS($AB$1006:AE1006),$AB$1006:$AQ$1006,0)), HYPERLINK("#",""), HYPERLINK(CONCATENATE("#metadata!", ADDRESS(INDEX($W$2:$W$1001,MATCH(ROWS($U$2:U864),$U$2:$U$1001,0),0), INDEX($AB$1004:$AQ$1004,1,MATCH(COLUMNS($AB$1006:AE1006),$AB$1006:$AQ$1006,0)))),"Fix")))</f>
        <v>0</v>
      </c>
      <c r="F864" s="4">
        <f>IF(OR(INDEX($V$2:$V$1001,MATCH(ROWS($U$2:U864),$U$2:$U$1001,0),1)&gt;=100000,INDEX($AB$1005:$AQ$1005,1,MATCH(COLUMNS($AB$1006:AF1006),$AB$1006:$AQ$1006,0))&gt;=100000), " ",IF(INDEX($AB$2:$AQ$1001,MATCH(ROWS($U$2:U864),$U$2:$U$1001,0),MATCH(COLUMNS($AB$1006:AF1006),$AB$1006:$AQ$1006,0)), HYPERLINK("#",""), HYPERLINK(CONCATENATE("#metadata!", ADDRESS(INDEX($W$2:$W$1001,MATCH(ROWS($U$2:U864),$U$2:$U$1001,0),0), INDEX($AB$1004:$AQ$1004,1,MATCH(COLUMNS($AB$1006:AF1006),$AB$1006:$AQ$1006,0)))),"Fix")))</f>
        <v>0</v>
      </c>
      <c r="G864" s="4">
        <f>IF(OR(INDEX($V$2:$V$1001,MATCH(ROWS($U$2:U864),$U$2:$U$1001,0),1)&gt;=100000,INDEX($AB$1005:$AQ$1005,1,MATCH(COLUMNS($AB$1006:AG1006),$AB$1006:$AQ$1006,0))&gt;=100000), " ",IF(INDEX($AB$2:$AQ$1001,MATCH(ROWS($U$2:U864),$U$2:$U$1001,0),MATCH(COLUMNS($AB$1006:AG1006),$AB$1006:$AQ$1006,0)), HYPERLINK("#",""), HYPERLINK(CONCATENATE("#metadata!", ADDRESS(INDEX($W$2:$W$1001,MATCH(ROWS($U$2:U864),$U$2:$U$1001,0),0), INDEX($AB$1004:$AQ$1004,1,MATCH(COLUMNS($AB$1006:AG1006),$AB$1006:$AQ$1006,0)))),"Fix")))</f>
        <v>0</v>
      </c>
      <c r="H864" s="4">
        <f>IF(OR(INDEX($V$2:$V$1001,MATCH(ROWS($U$2:U864),$U$2:$U$1001,0),1)&gt;=100000,INDEX($AB$1005:$AQ$1005,1,MATCH(COLUMNS($AB$1006:AH1006),$AB$1006:$AQ$1006,0))&gt;=100000), " ",IF(INDEX($AB$2:$AQ$1001,MATCH(ROWS($U$2:U864),$U$2:$U$1001,0),MATCH(COLUMNS($AB$1006:AH1006),$AB$1006:$AQ$1006,0)), HYPERLINK("#",""), HYPERLINK(CONCATENATE("#metadata!", ADDRESS(INDEX($W$2:$W$1001,MATCH(ROWS($U$2:U864),$U$2:$U$1001,0),0), INDEX($AB$1004:$AQ$1004,1,MATCH(COLUMNS($AB$1006:AH1006),$AB$1006:$AQ$1006,0)))),"Fix")))</f>
        <v>0</v>
      </c>
      <c r="I864" s="4">
        <f>IF(OR(INDEX($V$2:$V$1001,MATCH(ROWS($U$2:U864),$U$2:$U$1001,0),1)&gt;=100000,INDEX($AB$1005:$AQ$1005,1,MATCH(COLUMNS($AB$1006:AI1006),$AB$1006:$AQ$1006,0))&gt;=100000), " ",IF(INDEX($AB$2:$AQ$1001,MATCH(ROWS($U$2:U864),$U$2:$U$1001,0),MATCH(COLUMNS($AB$1006:AI1006),$AB$1006:$AQ$1006,0)), HYPERLINK("#",""), HYPERLINK(CONCATENATE("#metadata!", ADDRESS(INDEX($W$2:$W$1001,MATCH(ROWS($U$2:U864),$U$2:$U$1001,0),0), INDEX($AB$1004:$AQ$1004,1,MATCH(COLUMNS($AB$1006:AI1006),$AB$1006:$AQ$1006,0)))),"Fix")))</f>
        <v>0</v>
      </c>
      <c r="J864" s="4">
        <f>IF(OR(INDEX($V$2:$V$1001,MATCH(ROWS($U$2:U864),$U$2:$U$1001,0),1)&gt;=100000,INDEX($AB$1005:$AQ$1005,1,MATCH(COLUMNS($AB$1006:AJ1006),$AB$1006:$AQ$1006,0))&gt;=100000), " ",IF(INDEX($AB$2:$AQ$1001,MATCH(ROWS($U$2:U864),$U$2:$U$1001,0),MATCH(COLUMNS($AB$1006:AJ1006),$AB$1006:$AQ$1006,0)), HYPERLINK("#",""), HYPERLINK(CONCATENATE("#metadata!", ADDRESS(INDEX($W$2:$W$1001,MATCH(ROWS($U$2:U864),$U$2:$U$1001,0),0), INDEX($AB$1004:$AQ$1004,1,MATCH(COLUMNS($AB$1006:AJ1006),$AB$1006:$AQ$1006,0)))),"Fix")))</f>
        <v>0</v>
      </c>
      <c r="K864" s="4">
        <f>IF(OR(INDEX($V$2:$V$1001,MATCH(ROWS($U$2:U864),$U$2:$U$1001,0),1)&gt;=100000,INDEX($AB$1005:$AQ$1005,1,MATCH(COLUMNS($AB$1006:AK1006),$AB$1006:$AQ$1006,0))&gt;=100000), " ",IF(INDEX($AB$2:$AQ$1001,MATCH(ROWS($U$2:U864),$U$2:$U$1001,0),MATCH(COLUMNS($AB$1006:AK1006),$AB$1006:$AQ$1006,0)), HYPERLINK("#",""), HYPERLINK(CONCATENATE("#metadata!", ADDRESS(INDEX($W$2:$W$1001,MATCH(ROWS($U$2:U864),$U$2:$U$1001,0),0), INDEX($AB$1004:$AQ$1004,1,MATCH(COLUMNS($AB$1006:AK1006),$AB$1006:$AQ$1006,0)))),"Fix")))</f>
        <v>0</v>
      </c>
      <c r="L864" s="4">
        <f>IF(OR(INDEX($V$2:$V$1001,MATCH(ROWS($U$2:U864),$U$2:$U$1001,0),1)&gt;=100000,INDEX($AB$1005:$AQ$1005,1,MATCH(COLUMNS($AB$1006:AL1006),$AB$1006:$AQ$1006,0))&gt;=100000), " ",IF(INDEX($AB$2:$AQ$1001,MATCH(ROWS($U$2:U864),$U$2:$U$1001,0),MATCH(COLUMNS($AB$1006:AL1006),$AB$1006:$AQ$1006,0)), HYPERLINK("#",""), HYPERLINK(CONCATENATE("#metadata!", ADDRESS(INDEX($W$2:$W$1001,MATCH(ROWS($U$2:U864),$U$2:$U$1001,0),0), INDEX($AB$1004:$AQ$1004,1,MATCH(COLUMNS($AB$1006:AL1006),$AB$1006:$AQ$1006,0)))),"Fix")))</f>
        <v>0</v>
      </c>
      <c r="M864" s="4">
        <f>IF(OR(INDEX($V$2:$V$1001,MATCH(ROWS($U$2:U864),$U$2:$U$1001,0),1)&gt;=100000,INDEX($AB$1005:$AQ$1005,1,MATCH(COLUMNS($AB$1006:AM1006),$AB$1006:$AQ$1006,0))&gt;=100000), " ",IF(INDEX($AB$2:$AQ$1001,MATCH(ROWS($U$2:U864),$U$2:$U$1001,0),MATCH(COLUMNS($AB$1006:AM1006),$AB$1006:$AQ$1006,0)), HYPERLINK("#",""), HYPERLINK(CONCATENATE("#metadata!", ADDRESS(INDEX($W$2:$W$1001,MATCH(ROWS($U$2:U864),$U$2:$U$1001,0),0), INDEX($AB$1004:$AQ$1004,1,MATCH(COLUMNS($AB$1006:AM1006),$AB$1006:$AQ$1006,0)))),"Fix")))</f>
        <v>0</v>
      </c>
      <c r="N864" s="4">
        <f>IF(OR(INDEX($V$2:$V$1001,MATCH(ROWS($U$2:U864),$U$2:$U$1001,0),1)&gt;=100000,INDEX($AB$1005:$AQ$1005,1,MATCH(COLUMNS($AB$1006:AN1006),$AB$1006:$AQ$1006,0))&gt;=100000), " ",IF(INDEX($AB$2:$AQ$1001,MATCH(ROWS($U$2:U864),$U$2:$U$1001,0),MATCH(COLUMNS($AB$1006:AN1006),$AB$1006:$AQ$1006,0)), HYPERLINK("#",""), HYPERLINK(CONCATENATE("#metadata!", ADDRESS(INDEX($W$2:$W$1001,MATCH(ROWS($U$2:U864),$U$2:$U$1001,0),0), INDEX($AB$1004:$AQ$1004,1,MATCH(COLUMNS($AB$1006:AN1006),$AB$1006:$AQ$1006,0)))),"Fix")))</f>
        <v>0</v>
      </c>
      <c r="O864" s="4">
        <f>IF(OR(INDEX($V$2:$V$1001,MATCH(ROWS($U$2:U864),$U$2:$U$1001,0),1)&gt;=100000,INDEX($AB$1005:$AQ$1005,1,MATCH(COLUMNS($AB$1006:AO1006),$AB$1006:$AQ$1006,0))&gt;=100000), " ",IF(INDEX($AB$2:$AQ$1001,MATCH(ROWS($U$2:U864),$U$2:$U$1001,0),MATCH(COLUMNS($AB$1006:AO1006),$AB$1006:$AQ$1006,0)), HYPERLINK("#",""), HYPERLINK(CONCATENATE("#metadata!", ADDRESS(INDEX($W$2:$W$1001,MATCH(ROWS($U$2:U864),$U$2:$U$1001,0),0), INDEX($AB$1004:$AQ$1004,1,MATCH(COLUMNS($AB$1006:AO1006),$AB$1006:$AQ$1006,0)))),"Fix")))</f>
        <v>0</v>
      </c>
      <c r="P864" s="4">
        <f>IF(OR(INDEX($V$2:$V$1001,MATCH(ROWS($U$2:U864),$U$2:$U$1001,0),1)&gt;=100000,INDEX($AB$1005:$AQ$1005,1,MATCH(COLUMNS($AB$1006:AP1006),$AB$1006:$AQ$1006,0))&gt;=100000), " ",IF(INDEX($AB$2:$AQ$1001,MATCH(ROWS($U$2:U864),$U$2:$U$1001,0),MATCH(COLUMNS($AB$1006:AP1006),$AB$1006:$AQ$1006,0)), HYPERLINK("#",""), HYPERLINK(CONCATENATE("#metadata!", ADDRESS(INDEX($W$2:$W$1001,MATCH(ROWS($U$2:U864),$U$2:$U$1001,0),0), INDEX($AB$1004:$AQ$1004,1,MATCH(COLUMNS($AB$1006:AP1006),$AB$1006:$AQ$1006,0)))),"Fix")))</f>
        <v>0</v>
      </c>
      <c r="Q864" s="4">
        <f>IF(OR(INDEX($V$2:$V$1001,MATCH(ROWS($U$2:U864),$U$2:$U$1001,0),1)&gt;=100000,INDEX($AB$1005:$AQ$1005,1,MATCH(COLUMNS($AB$1006:AQ1006),$AB$1006:$AQ$1006,0))&gt;=100000), " ",IF(INDEX($AB$2:$AQ$1001,MATCH(ROWS($U$2:U864),$U$2:$U$1001,0),MATCH(COLUMNS($AB$1006:AQ1006),$AB$1006:$AQ$1006,0)), HYPERLINK("#",""), HYPERLINK(CONCATENATE("#metadata!", ADDRESS(INDEX($W$2:$W$1001,MATCH(ROWS($U$2:U864),$U$2:$U$1001,0),0), INDEX($AB$1004:$AQ$1004,1,MATCH(COLUMNS($AB$1006:AQ1006),$AB$1006:$AQ$1006,0)))),"Fix")))</f>
        <v>0</v>
      </c>
      <c r="U864">
        <v>0</v>
      </c>
      <c r="V864">
        <v>0</v>
      </c>
      <c r="W864">
        <v>0</v>
      </c>
      <c r="X864">
        <f>IF(Y864,TRUE,AND(AB864:AQ864))</f>
        <v>0</v>
      </c>
      <c r="Y864">
        <f>COUNTBLANK(metadata!B864:Q864)=COLUMNS(metadata!B864:Q864)</f>
        <v>0</v>
      </c>
      <c r="Z864">
        <v>0</v>
      </c>
      <c r="AB864">
        <f>AND(IF(metadata!B864="",FALSE,TRUE),COUNTIF(metadata!B:B, metadata!B864) = 1,NOT(ISERROR(SUMPRODUCT(SEARCH(MID(metadata!B864,ROW(INDIRECT("1:"&amp;LEN(metadata!B864))), 1),"0123456789abcdefghijklmnopqrstuvwxyzABCDEFGHIJKLMNOPQRSTUVWXYZ.")))))</f>
        <v>0</v>
      </c>
      <c r="AC864">
        <f>OR(AND(IF(metadata!C864="",FALSE,TRUE),OR(exact(metadata!C864,"missing: not collected"),exact(metadata!C864,"missing: not provided"),exact(metadata!C864,"missing: restricted access"))),AND(IF(metadata!C864="",FALSE,TRUE),AND(AND(IFERROR(INT(LEFT(metadata!C864,4))&gt;1900,FALSE),IFERROR(INT(LEFT(metadata!C864,4))&lt;=YEAR(NOW()),FALSE)), OR(MID(metadata!C864,5,1)="", AND(AND(MID(metadata!C864,5,1)="-",IFERROR(INT(MID(metadata!C864,6,1))&gt;=0,FALSE),IFERROR(INT(MID(metadata!C864,6,1))&lt;=1,FALSE),NOT(MID(metadata!C864,7,1)=""),IFERROR(INT(MID(metadata!C864,6,2))&gt;=1,FALSE),IFERROR(INT(MID(metadata!C864,6,2))&lt;=12,FALSE)), OR(MID(metadata!C864,8,1)="", AND(AND(MID(metadata!C864,8,1)="-",IFERROR(INT(MID(metadata!C864,9,1))&gt;=0,FALSE),IFERROR(INT(MID(metadata!C864,9,1))&lt;=3,FALSE),NOT(MID(metadata!C864,10,1)=""),IFERROR(INT(MID(metadata!C864,9,2))&gt;=1,FALSE),IFERROR(INT(MID(metadata!C864,9,2))&lt;=31,FALSE)), OR(MID(metadata!C864,11,1)="", AND(AND(MID(metadata!C864,11,1)=" ",IFERROR(INT(MID(metadata!C864,12,1))&gt;=0,FALSE),IFERROR(INT(MID(metadata!C864,12,1))&lt;=2,FALSE),NOT(MID(metadata!C864,13,1)=""),IFERROR(INT(MID(metadata!C864,12,2))&gt;=0,FALSE),IFERROR(INT(MID(metadata!C864,12,2))&lt;=23,FALSE)), OR(MID(metadata!C864,14,1)="", AND(AND(MID(metadata!C864,14,1)=":",IFERROR(INT(MID(metadata!C864,15,1))&gt;=0,FALSE),IFERROR(INT(MID(metadata!C864,15,1))&lt;=5,FALSE),NOT(MID(metadata!C864,16,1)=""),IFERROR(INT(MID(metadata!C864,15,2))&gt;=0,FALSE),IFERROR(INT(MID(metadata!C864,15,2))&lt;=59,FALSE)), OR(MID(metadata!C864,17,1)="", AND(AND(MID(metadata!C864,17,1)=":",IFERROR(INT(MID(metadata!C864,18,1))&gt;=0,FALSE),IFERROR(INT(MID(metadata!C864,18,1))&lt;=5,FALSE),NOT(MID(metadata!C864,19,1)=""),IFERROR(INT(MID(metadata!C864,18,2))&gt;=0,FALSE),IFERROR(INT(MID(metadata!C864,18,2))&lt;=59,FALSE)), LEN(metadata!C864)&lt;=19)))))))))))))</f>
        <v>0</v>
      </c>
      <c r="AD864">
        <f>IF(metadata!D864="",FALSE,TRUE)</f>
        <v>0</v>
      </c>
      <c r="AE864">
        <f>OR(AND(IF(metadata!E864="",FALSE,TRUE),OR(exact(metadata!E864,"missing: not collected"),exact(metadata!E864,"missing: not provided"))),AND(IF(metadata!E864="",FALSE,TRUE),OR(exact(metadata!E864,"TRUE"),exact(metadata!E864,"FALSE"))))</f>
        <v>0</v>
      </c>
      <c r="AF864">
        <f>IF(metadata!F864="",FALSE,TRUE)</f>
        <v>0</v>
      </c>
      <c r="AG864">
        <f>IF(metadata!G864="",FALSE,TRUE)</f>
        <v>0</v>
      </c>
      <c r="AH864">
        <f>IF(metadata!H864="",FALSE,TRUE)</f>
        <v>0</v>
      </c>
      <c r="AI864">
        <f>OR(AND(IF(metadata!I864="",FALSE,TRUE),OR(exact(metadata!I864,"missing: not collected"),exact(metadata!I864,"missing: not provided"),exact(metadata!I864,"missing: restricted access"))),AND(IF(metadata!I864="",FALSE,TRUE),OR(exact(metadata!I864,"air"),exact(metadata!I864,"built environment"),exact(metadata!I864,"host-associated"),exact(metadata!I864,"human-associated"),exact(metadata!I864,"human-skin"),exact(metadata!I864,"human-oral"),exact(metadata!I864,"human-gut"),exact(metadata!I864,"human-vaginal"),exact(metadata!I864,"microbial mat/biofilm"),exact(metadata!I864,"misc environment"),exact(metadata!I864,"plant-associated"),exact(metadata!I864,"sediment"),exact(metadata!I864,"soil"),exact(metadata!I864,"wastewater/sludge"),exact(metadata!I864,"water"))))</f>
        <v>0</v>
      </c>
      <c r="AJ864">
        <f>IF(metadata!J864="",FALSE,TRUE)</f>
        <v>0</v>
      </c>
      <c r="AK864">
        <f>OR(AND(IF(metadata!K864="",FALSE,TRUE),OR(exact(metadata!K864,"missing: not collected"),exact(metadata!K864,"missing: not provided"),exact(metadata!K864,"missing: restricted access"))),AND(IF(metadata!K864="",FALSE,ISNUMBER(VALUE(metadata!K864))),metadata!K864&gt;=-90.00,metadata!K864&lt;=90.00))</f>
        <v>0</v>
      </c>
      <c r="AL864">
        <f>OR(AND(IF(metadata!L864="",FALSE,TRUE),OR(exact(metadata!L864,"missing: not collected"),exact(metadata!L864,"missing: not provided"),exact(metadata!L864,"missing: restricted access"))),AND(IF(metadata!L864="",FALSE,ISNUMBER(VALUE(metadata!L864))),metadata!L864&gt;=-180.00,metadata!L864&lt;=180.00))</f>
        <v>0</v>
      </c>
      <c r="AM864">
        <f>IF(metadata!M864="",FALSE,TRUE)</f>
        <v>0</v>
      </c>
      <c r="AN864">
        <f>OR(AND(IF(metadata!N864="",FALSE,TRUE),OR(exact(metadata!N864,"missing: not collected"),exact(metadata!N864,"missing: not provided"),exact(metadata!N864,"missing: restricted access"))),AND(IF(metadata!N864="",FALSE,TRUE),OR(exact(metadata!N864,"TRUE"),exact(metadata!N864,"FALSE"))))</f>
        <v>0</v>
      </c>
      <c r="AO864">
        <f>IF(metadata!O864="",FALSE,TRUE)</f>
        <v>0</v>
      </c>
      <c r="AP864">
        <f>OR(AND(IF(metadata!P864="",FALSE,TRUE),OR(exact(metadata!P864,"missing: not collected"),exact(metadata!P864,"missing: not provided"))),AND(IF(metadata!P864="",FALSE,IF(ISERROR(INT(metadata!P864)),FALSE,INT(metadata!P864)=metadata!P864)),metadata!P864&gt;0))</f>
        <v>0</v>
      </c>
      <c r="AQ864">
        <f>IF(metadata!Q864="",FALSE,TRUE)</f>
        <v>0</v>
      </c>
    </row>
    <row r="865" spans="1:43">
      <c r="A865" s="5">
        <f>IF(B865=" "," ",HYPERLINK(CONCATENATE("#metadata!",ADDRESS(INDEX($W$2:$W$1001,MATCH(ROWS($U$2:U865),$U$2:$U$1001,0),0),1)),INDEX($Z$2:$Z$1001,MATCH(ROWS($U$2:U865),$U$2:$U$1001,0),0)))</f>
        <v>0</v>
      </c>
      <c r="B865" s="4">
        <f>IF(OR(INDEX($V$2:$V$1001,MATCH(ROWS($U$2:U865),$U$2:$U$1001,0),1)&gt;=100000,INDEX($AB$1005:$AQ$1005,1,MATCH(COLUMNS($AB$1006:AB1006),$AB$1006:$AQ$1006,0))&gt;=100000), " ",IF(INDEX($AB$2:$AQ$1001,MATCH(ROWS($U$2:U865),$U$2:$U$1001,0),MATCH(COLUMNS($AB$1006:AB1006),$AB$1006:$AQ$1006,0)), HYPERLINK("#",""), HYPERLINK(CONCATENATE("#metadata!", ADDRESS(INDEX($W$2:$W$1001,MATCH(ROWS($U$2:U865),$U$2:$U$1001,0),0), INDEX($AB$1004:$AQ$1004,1,MATCH(COLUMNS($AB$1006:AB1006),$AB$1006:$AQ$1006,0)))),"Fix")))</f>
        <v>0</v>
      </c>
      <c r="C865" s="4">
        <f>IF(OR(INDEX($V$2:$V$1001,MATCH(ROWS($U$2:U865),$U$2:$U$1001,0),1)&gt;=100000,INDEX($AB$1005:$AQ$1005,1,MATCH(COLUMNS($AB$1006:AC1006),$AB$1006:$AQ$1006,0))&gt;=100000), " ",IF(INDEX($AB$2:$AQ$1001,MATCH(ROWS($U$2:U865),$U$2:$U$1001,0),MATCH(COLUMNS($AB$1006:AC1006),$AB$1006:$AQ$1006,0)), HYPERLINK("#",""), HYPERLINK(CONCATENATE("#metadata!", ADDRESS(INDEX($W$2:$W$1001,MATCH(ROWS($U$2:U865),$U$2:$U$1001,0),0), INDEX($AB$1004:$AQ$1004,1,MATCH(COLUMNS($AB$1006:AC1006),$AB$1006:$AQ$1006,0)))),"Fix")))</f>
        <v>0</v>
      </c>
      <c r="D865" s="4">
        <f>IF(OR(INDEX($V$2:$V$1001,MATCH(ROWS($U$2:U865),$U$2:$U$1001,0),1)&gt;=100000,INDEX($AB$1005:$AQ$1005,1,MATCH(COLUMNS($AB$1006:AD1006),$AB$1006:$AQ$1006,0))&gt;=100000), " ",IF(INDEX($AB$2:$AQ$1001,MATCH(ROWS($U$2:U865),$U$2:$U$1001,0),MATCH(COLUMNS($AB$1006:AD1006),$AB$1006:$AQ$1006,0)), HYPERLINK("#",""), HYPERLINK(CONCATENATE("#metadata!", ADDRESS(INDEX($W$2:$W$1001,MATCH(ROWS($U$2:U865),$U$2:$U$1001,0),0), INDEX($AB$1004:$AQ$1004,1,MATCH(COLUMNS($AB$1006:AD1006),$AB$1006:$AQ$1006,0)))),"Fix")))</f>
        <v>0</v>
      </c>
      <c r="E865" s="4">
        <f>IF(OR(INDEX($V$2:$V$1001,MATCH(ROWS($U$2:U865),$U$2:$U$1001,0),1)&gt;=100000,INDEX($AB$1005:$AQ$1005,1,MATCH(COLUMNS($AB$1006:AE1006),$AB$1006:$AQ$1006,0))&gt;=100000), " ",IF(INDEX($AB$2:$AQ$1001,MATCH(ROWS($U$2:U865),$U$2:$U$1001,0),MATCH(COLUMNS($AB$1006:AE1006),$AB$1006:$AQ$1006,0)), HYPERLINK("#",""), HYPERLINK(CONCATENATE("#metadata!", ADDRESS(INDEX($W$2:$W$1001,MATCH(ROWS($U$2:U865),$U$2:$U$1001,0),0), INDEX($AB$1004:$AQ$1004,1,MATCH(COLUMNS($AB$1006:AE1006),$AB$1006:$AQ$1006,0)))),"Fix")))</f>
        <v>0</v>
      </c>
      <c r="F865" s="4">
        <f>IF(OR(INDEX($V$2:$V$1001,MATCH(ROWS($U$2:U865),$U$2:$U$1001,0),1)&gt;=100000,INDEX($AB$1005:$AQ$1005,1,MATCH(COLUMNS($AB$1006:AF1006),$AB$1006:$AQ$1006,0))&gt;=100000), " ",IF(INDEX($AB$2:$AQ$1001,MATCH(ROWS($U$2:U865),$U$2:$U$1001,0),MATCH(COLUMNS($AB$1006:AF1006),$AB$1006:$AQ$1006,0)), HYPERLINK("#",""), HYPERLINK(CONCATENATE("#metadata!", ADDRESS(INDEX($W$2:$W$1001,MATCH(ROWS($U$2:U865),$U$2:$U$1001,0),0), INDEX($AB$1004:$AQ$1004,1,MATCH(COLUMNS($AB$1006:AF1006),$AB$1006:$AQ$1006,0)))),"Fix")))</f>
        <v>0</v>
      </c>
      <c r="G865" s="4">
        <f>IF(OR(INDEX($V$2:$V$1001,MATCH(ROWS($U$2:U865),$U$2:$U$1001,0),1)&gt;=100000,INDEX($AB$1005:$AQ$1005,1,MATCH(COLUMNS($AB$1006:AG1006),$AB$1006:$AQ$1006,0))&gt;=100000), " ",IF(INDEX($AB$2:$AQ$1001,MATCH(ROWS($U$2:U865),$U$2:$U$1001,0),MATCH(COLUMNS($AB$1006:AG1006),$AB$1006:$AQ$1006,0)), HYPERLINK("#",""), HYPERLINK(CONCATENATE("#metadata!", ADDRESS(INDEX($W$2:$W$1001,MATCH(ROWS($U$2:U865),$U$2:$U$1001,0),0), INDEX($AB$1004:$AQ$1004,1,MATCH(COLUMNS($AB$1006:AG1006),$AB$1006:$AQ$1006,0)))),"Fix")))</f>
        <v>0</v>
      </c>
      <c r="H865" s="4">
        <f>IF(OR(INDEX($V$2:$V$1001,MATCH(ROWS($U$2:U865),$U$2:$U$1001,0),1)&gt;=100000,INDEX($AB$1005:$AQ$1005,1,MATCH(COLUMNS($AB$1006:AH1006),$AB$1006:$AQ$1006,0))&gt;=100000), " ",IF(INDEX($AB$2:$AQ$1001,MATCH(ROWS($U$2:U865),$U$2:$U$1001,0),MATCH(COLUMNS($AB$1006:AH1006),$AB$1006:$AQ$1006,0)), HYPERLINK("#",""), HYPERLINK(CONCATENATE("#metadata!", ADDRESS(INDEX($W$2:$W$1001,MATCH(ROWS($U$2:U865),$U$2:$U$1001,0),0), INDEX($AB$1004:$AQ$1004,1,MATCH(COLUMNS($AB$1006:AH1006),$AB$1006:$AQ$1006,0)))),"Fix")))</f>
        <v>0</v>
      </c>
      <c r="I865" s="4">
        <f>IF(OR(INDEX($V$2:$V$1001,MATCH(ROWS($U$2:U865),$U$2:$U$1001,0),1)&gt;=100000,INDEX($AB$1005:$AQ$1005,1,MATCH(COLUMNS($AB$1006:AI1006),$AB$1006:$AQ$1006,0))&gt;=100000), " ",IF(INDEX($AB$2:$AQ$1001,MATCH(ROWS($U$2:U865),$U$2:$U$1001,0),MATCH(COLUMNS($AB$1006:AI1006),$AB$1006:$AQ$1006,0)), HYPERLINK("#",""), HYPERLINK(CONCATENATE("#metadata!", ADDRESS(INDEX($W$2:$W$1001,MATCH(ROWS($U$2:U865),$U$2:$U$1001,0),0), INDEX($AB$1004:$AQ$1004,1,MATCH(COLUMNS($AB$1006:AI1006),$AB$1006:$AQ$1006,0)))),"Fix")))</f>
        <v>0</v>
      </c>
      <c r="J865" s="4">
        <f>IF(OR(INDEX($V$2:$V$1001,MATCH(ROWS($U$2:U865),$U$2:$U$1001,0),1)&gt;=100000,INDEX($AB$1005:$AQ$1005,1,MATCH(COLUMNS($AB$1006:AJ1006),$AB$1006:$AQ$1006,0))&gt;=100000), " ",IF(INDEX($AB$2:$AQ$1001,MATCH(ROWS($U$2:U865),$U$2:$U$1001,0),MATCH(COLUMNS($AB$1006:AJ1006),$AB$1006:$AQ$1006,0)), HYPERLINK("#",""), HYPERLINK(CONCATENATE("#metadata!", ADDRESS(INDEX($W$2:$W$1001,MATCH(ROWS($U$2:U865),$U$2:$U$1001,0),0), INDEX($AB$1004:$AQ$1004,1,MATCH(COLUMNS($AB$1006:AJ1006),$AB$1006:$AQ$1006,0)))),"Fix")))</f>
        <v>0</v>
      </c>
      <c r="K865" s="4">
        <f>IF(OR(INDEX($V$2:$V$1001,MATCH(ROWS($U$2:U865),$U$2:$U$1001,0),1)&gt;=100000,INDEX($AB$1005:$AQ$1005,1,MATCH(COLUMNS($AB$1006:AK1006),$AB$1006:$AQ$1006,0))&gt;=100000), " ",IF(INDEX($AB$2:$AQ$1001,MATCH(ROWS($U$2:U865),$U$2:$U$1001,0),MATCH(COLUMNS($AB$1006:AK1006),$AB$1006:$AQ$1006,0)), HYPERLINK("#",""), HYPERLINK(CONCATENATE("#metadata!", ADDRESS(INDEX($W$2:$W$1001,MATCH(ROWS($U$2:U865),$U$2:$U$1001,0),0), INDEX($AB$1004:$AQ$1004,1,MATCH(COLUMNS($AB$1006:AK1006),$AB$1006:$AQ$1006,0)))),"Fix")))</f>
        <v>0</v>
      </c>
      <c r="L865" s="4">
        <f>IF(OR(INDEX($V$2:$V$1001,MATCH(ROWS($U$2:U865),$U$2:$U$1001,0),1)&gt;=100000,INDEX($AB$1005:$AQ$1005,1,MATCH(COLUMNS($AB$1006:AL1006),$AB$1006:$AQ$1006,0))&gt;=100000), " ",IF(INDEX($AB$2:$AQ$1001,MATCH(ROWS($U$2:U865),$U$2:$U$1001,0),MATCH(COLUMNS($AB$1006:AL1006),$AB$1006:$AQ$1006,0)), HYPERLINK("#",""), HYPERLINK(CONCATENATE("#metadata!", ADDRESS(INDEX($W$2:$W$1001,MATCH(ROWS($U$2:U865),$U$2:$U$1001,0),0), INDEX($AB$1004:$AQ$1004,1,MATCH(COLUMNS($AB$1006:AL1006),$AB$1006:$AQ$1006,0)))),"Fix")))</f>
        <v>0</v>
      </c>
      <c r="M865" s="4">
        <f>IF(OR(INDEX($V$2:$V$1001,MATCH(ROWS($U$2:U865),$U$2:$U$1001,0),1)&gt;=100000,INDEX($AB$1005:$AQ$1005,1,MATCH(COLUMNS($AB$1006:AM1006),$AB$1006:$AQ$1006,0))&gt;=100000), " ",IF(INDEX($AB$2:$AQ$1001,MATCH(ROWS($U$2:U865),$U$2:$U$1001,0),MATCH(COLUMNS($AB$1006:AM1006),$AB$1006:$AQ$1006,0)), HYPERLINK("#",""), HYPERLINK(CONCATENATE("#metadata!", ADDRESS(INDEX($W$2:$W$1001,MATCH(ROWS($U$2:U865),$U$2:$U$1001,0),0), INDEX($AB$1004:$AQ$1004,1,MATCH(COLUMNS($AB$1006:AM1006),$AB$1006:$AQ$1006,0)))),"Fix")))</f>
        <v>0</v>
      </c>
      <c r="N865" s="4">
        <f>IF(OR(INDEX($V$2:$V$1001,MATCH(ROWS($U$2:U865),$U$2:$U$1001,0),1)&gt;=100000,INDEX($AB$1005:$AQ$1005,1,MATCH(COLUMNS($AB$1006:AN1006),$AB$1006:$AQ$1006,0))&gt;=100000), " ",IF(INDEX($AB$2:$AQ$1001,MATCH(ROWS($U$2:U865),$U$2:$U$1001,0),MATCH(COLUMNS($AB$1006:AN1006),$AB$1006:$AQ$1006,0)), HYPERLINK("#",""), HYPERLINK(CONCATENATE("#metadata!", ADDRESS(INDEX($W$2:$W$1001,MATCH(ROWS($U$2:U865),$U$2:$U$1001,0),0), INDEX($AB$1004:$AQ$1004,1,MATCH(COLUMNS($AB$1006:AN1006),$AB$1006:$AQ$1006,0)))),"Fix")))</f>
        <v>0</v>
      </c>
      <c r="O865" s="4">
        <f>IF(OR(INDEX($V$2:$V$1001,MATCH(ROWS($U$2:U865),$U$2:$U$1001,0),1)&gt;=100000,INDEX($AB$1005:$AQ$1005,1,MATCH(COLUMNS($AB$1006:AO1006),$AB$1006:$AQ$1006,0))&gt;=100000), " ",IF(INDEX($AB$2:$AQ$1001,MATCH(ROWS($U$2:U865),$U$2:$U$1001,0),MATCH(COLUMNS($AB$1006:AO1006),$AB$1006:$AQ$1006,0)), HYPERLINK("#",""), HYPERLINK(CONCATENATE("#metadata!", ADDRESS(INDEX($W$2:$W$1001,MATCH(ROWS($U$2:U865),$U$2:$U$1001,0),0), INDEX($AB$1004:$AQ$1004,1,MATCH(COLUMNS($AB$1006:AO1006),$AB$1006:$AQ$1006,0)))),"Fix")))</f>
        <v>0</v>
      </c>
      <c r="P865" s="4">
        <f>IF(OR(INDEX($V$2:$V$1001,MATCH(ROWS($U$2:U865),$U$2:$U$1001,0),1)&gt;=100000,INDEX($AB$1005:$AQ$1005,1,MATCH(COLUMNS($AB$1006:AP1006),$AB$1006:$AQ$1006,0))&gt;=100000), " ",IF(INDEX($AB$2:$AQ$1001,MATCH(ROWS($U$2:U865),$U$2:$U$1001,0),MATCH(COLUMNS($AB$1006:AP1006),$AB$1006:$AQ$1006,0)), HYPERLINK("#",""), HYPERLINK(CONCATENATE("#metadata!", ADDRESS(INDEX($W$2:$W$1001,MATCH(ROWS($U$2:U865),$U$2:$U$1001,0),0), INDEX($AB$1004:$AQ$1004,1,MATCH(COLUMNS($AB$1006:AP1006),$AB$1006:$AQ$1006,0)))),"Fix")))</f>
        <v>0</v>
      </c>
      <c r="Q865" s="4">
        <f>IF(OR(INDEX($V$2:$V$1001,MATCH(ROWS($U$2:U865),$U$2:$U$1001,0),1)&gt;=100000,INDEX($AB$1005:$AQ$1005,1,MATCH(COLUMNS($AB$1006:AQ1006),$AB$1006:$AQ$1006,0))&gt;=100000), " ",IF(INDEX($AB$2:$AQ$1001,MATCH(ROWS($U$2:U865),$U$2:$U$1001,0),MATCH(COLUMNS($AB$1006:AQ1006),$AB$1006:$AQ$1006,0)), HYPERLINK("#",""), HYPERLINK(CONCATENATE("#metadata!", ADDRESS(INDEX($W$2:$W$1001,MATCH(ROWS($U$2:U865),$U$2:$U$1001,0),0), INDEX($AB$1004:$AQ$1004,1,MATCH(COLUMNS($AB$1006:AQ1006),$AB$1006:$AQ$1006,0)))),"Fix")))</f>
        <v>0</v>
      </c>
      <c r="U865">
        <v>0</v>
      </c>
      <c r="V865">
        <v>0</v>
      </c>
      <c r="W865">
        <v>0</v>
      </c>
      <c r="X865">
        <f>IF(Y865,TRUE,AND(AB865:AQ865))</f>
        <v>0</v>
      </c>
      <c r="Y865">
        <f>COUNTBLANK(metadata!B865:Q865)=COLUMNS(metadata!B865:Q865)</f>
        <v>0</v>
      </c>
      <c r="Z865">
        <v>0</v>
      </c>
      <c r="AB865">
        <f>AND(IF(metadata!B865="",FALSE,TRUE),COUNTIF(metadata!B:B, metadata!B865) = 1,NOT(ISERROR(SUMPRODUCT(SEARCH(MID(metadata!B865,ROW(INDIRECT("1:"&amp;LEN(metadata!B865))), 1),"0123456789abcdefghijklmnopqrstuvwxyzABCDEFGHIJKLMNOPQRSTUVWXYZ.")))))</f>
        <v>0</v>
      </c>
      <c r="AC865">
        <f>OR(AND(IF(metadata!C865="",FALSE,TRUE),OR(exact(metadata!C865,"missing: not collected"),exact(metadata!C865,"missing: not provided"),exact(metadata!C865,"missing: restricted access"))),AND(IF(metadata!C865="",FALSE,TRUE),AND(AND(IFERROR(INT(LEFT(metadata!C865,4))&gt;1900,FALSE),IFERROR(INT(LEFT(metadata!C865,4))&lt;=YEAR(NOW()),FALSE)), OR(MID(metadata!C865,5,1)="", AND(AND(MID(metadata!C865,5,1)="-",IFERROR(INT(MID(metadata!C865,6,1))&gt;=0,FALSE),IFERROR(INT(MID(metadata!C865,6,1))&lt;=1,FALSE),NOT(MID(metadata!C865,7,1)=""),IFERROR(INT(MID(metadata!C865,6,2))&gt;=1,FALSE),IFERROR(INT(MID(metadata!C865,6,2))&lt;=12,FALSE)), OR(MID(metadata!C865,8,1)="", AND(AND(MID(metadata!C865,8,1)="-",IFERROR(INT(MID(metadata!C865,9,1))&gt;=0,FALSE),IFERROR(INT(MID(metadata!C865,9,1))&lt;=3,FALSE),NOT(MID(metadata!C865,10,1)=""),IFERROR(INT(MID(metadata!C865,9,2))&gt;=1,FALSE),IFERROR(INT(MID(metadata!C865,9,2))&lt;=31,FALSE)), OR(MID(metadata!C865,11,1)="", AND(AND(MID(metadata!C865,11,1)=" ",IFERROR(INT(MID(metadata!C865,12,1))&gt;=0,FALSE),IFERROR(INT(MID(metadata!C865,12,1))&lt;=2,FALSE),NOT(MID(metadata!C865,13,1)=""),IFERROR(INT(MID(metadata!C865,12,2))&gt;=0,FALSE),IFERROR(INT(MID(metadata!C865,12,2))&lt;=23,FALSE)), OR(MID(metadata!C865,14,1)="", AND(AND(MID(metadata!C865,14,1)=":",IFERROR(INT(MID(metadata!C865,15,1))&gt;=0,FALSE),IFERROR(INT(MID(metadata!C865,15,1))&lt;=5,FALSE),NOT(MID(metadata!C865,16,1)=""),IFERROR(INT(MID(metadata!C865,15,2))&gt;=0,FALSE),IFERROR(INT(MID(metadata!C865,15,2))&lt;=59,FALSE)), OR(MID(metadata!C865,17,1)="", AND(AND(MID(metadata!C865,17,1)=":",IFERROR(INT(MID(metadata!C865,18,1))&gt;=0,FALSE),IFERROR(INT(MID(metadata!C865,18,1))&lt;=5,FALSE),NOT(MID(metadata!C865,19,1)=""),IFERROR(INT(MID(metadata!C865,18,2))&gt;=0,FALSE),IFERROR(INT(MID(metadata!C865,18,2))&lt;=59,FALSE)), LEN(metadata!C865)&lt;=19)))))))))))))</f>
        <v>0</v>
      </c>
      <c r="AD865">
        <f>IF(metadata!D865="",FALSE,TRUE)</f>
        <v>0</v>
      </c>
      <c r="AE865">
        <f>OR(AND(IF(metadata!E865="",FALSE,TRUE),OR(exact(metadata!E865,"missing: not collected"),exact(metadata!E865,"missing: not provided"))),AND(IF(metadata!E865="",FALSE,TRUE),OR(exact(metadata!E865,"TRUE"),exact(metadata!E865,"FALSE"))))</f>
        <v>0</v>
      </c>
      <c r="AF865">
        <f>IF(metadata!F865="",FALSE,TRUE)</f>
        <v>0</v>
      </c>
      <c r="AG865">
        <f>IF(metadata!G865="",FALSE,TRUE)</f>
        <v>0</v>
      </c>
      <c r="AH865">
        <f>IF(metadata!H865="",FALSE,TRUE)</f>
        <v>0</v>
      </c>
      <c r="AI865">
        <f>OR(AND(IF(metadata!I865="",FALSE,TRUE),OR(exact(metadata!I865,"missing: not collected"),exact(metadata!I865,"missing: not provided"),exact(metadata!I865,"missing: restricted access"))),AND(IF(metadata!I865="",FALSE,TRUE),OR(exact(metadata!I865,"air"),exact(metadata!I865,"built environment"),exact(metadata!I865,"host-associated"),exact(metadata!I865,"human-associated"),exact(metadata!I865,"human-skin"),exact(metadata!I865,"human-oral"),exact(metadata!I865,"human-gut"),exact(metadata!I865,"human-vaginal"),exact(metadata!I865,"microbial mat/biofilm"),exact(metadata!I865,"misc environment"),exact(metadata!I865,"plant-associated"),exact(metadata!I865,"sediment"),exact(metadata!I865,"soil"),exact(metadata!I865,"wastewater/sludge"),exact(metadata!I865,"water"))))</f>
        <v>0</v>
      </c>
      <c r="AJ865">
        <f>IF(metadata!J865="",FALSE,TRUE)</f>
        <v>0</v>
      </c>
      <c r="AK865">
        <f>OR(AND(IF(metadata!K865="",FALSE,TRUE),OR(exact(metadata!K865,"missing: not collected"),exact(metadata!K865,"missing: not provided"),exact(metadata!K865,"missing: restricted access"))),AND(IF(metadata!K865="",FALSE,ISNUMBER(VALUE(metadata!K865))),metadata!K865&gt;=-90.00,metadata!K865&lt;=90.00))</f>
        <v>0</v>
      </c>
      <c r="AL865">
        <f>OR(AND(IF(metadata!L865="",FALSE,TRUE),OR(exact(metadata!L865,"missing: not collected"),exact(metadata!L865,"missing: not provided"),exact(metadata!L865,"missing: restricted access"))),AND(IF(metadata!L865="",FALSE,ISNUMBER(VALUE(metadata!L865))),metadata!L865&gt;=-180.00,metadata!L865&lt;=180.00))</f>
        <v>0</v>
      </c>
      <c r="AM865">
        <f>IF(metadata!M865="",FALSE,TRUE)</f>
        <v>0</v>
      </c>
      <c r="AN865">
        <f>OR(AND(IF(metadata!N865="",FALSE,TRUE),OR(exact(metadata!N865,"missing: not collected"),exact(metadata!N865,"missing: not provided"),exact(metadata!N865,"missing: restricted access"))),AND(IF(metadata!N865="",FALSE,TRUE),OR(exact(metadata!N865,"TRUE"),exact(metadata!N865,"FALSE"))))</f>
        <v>0</v>
      </c>
      <c r="AO865">
        <f>IF(metadata!O865="",FALSE,TRUE)</f>
        <v>0</v>
      </c>
      <c r="AP865">
        <f>OR(AND(IF(metadata!P865="",FALSE,TRUE),OR(exact(metadata!P865,"missing: not collected"),exact(metadata!P865,"missing: not provided"))),AND(IF(metadata!P865="",FALSE,IF(ISERROR(INT(metadata!P865)),FALSE,INT(metadata!P865)=metadata!P865)),metadata!P865&gt;0))</f>
        <v>0</v>
      </c>
      <c r="AQ865">
        <f>IF(metadata!Q865="",FALSE,TRUE)</f>
        <v>0</v>
      </c>
    </row>
    <row r="866" spans="1:43">
      <c r="A866" s="5">
        <f>IF(B866=" "," ",HYPERLINK(CONCATENATE("#metadata!",ADDRESS(INDEX($W$2:$W$1001,MATCH(ROWS($U$2:U866),$U$2:$U$1001,0),0),1)),INDEX($Z$2:$Z$1001,MATCH(ROWS($U$2:U866),$U$2:$U$1001,0),0)))</f>
        <v>0</v>
      </c>
      <c r="B866" s="4">
        <f>IF(OR(INDEX($V$2:$V$1001,MATCH(ROWS($U$2:U866),$U$2:$U$1001,0),1)&gt;=100000,INDEX($AB$1005:$AQ$1005,1,MATCH(COLUMNS($AB$1006:AB1006),$AB$1006:$AQ$1006,0))&gt;=100000), " ",IF(INDEX($AB$2:$AQ$1001,MATCH(ROWS($U$2:U866),$U$2:$U$1001,0),MATCH(COLUMNS($AB$1006:AB1006),$AB$1006:$AQ$1006,0)), HYPERLINK("#",""), HYPERLINK(CONCATENATE("#metadata!", ADDRESS(INDEX($W$2:$W$1001,MATCH(ROWS($U$2:U866),$U$2:$U$1001,0),0), INDEX($AB$1004:$AQ$1004,1,MATCH(COLUMNS($AB$1006:AB1006),$AB$1006:$AQ$1006,0)))),"Fix")))</f>
        <v>0</v>
      </c>
      <c r="C866" s="4">
        <f>IF(OR(INDEX($V$2:$V$1001,MATCH(ROWS($U$2:U866),$U$2:$U$1001,0),1)&gt;=100000,INDEX($AB$1005:$AQ$1005,1,MATCH(COLUMNS($AB$1006:AC1006),$AB$1006:$AQ$1006,0))&gt;=100000), " ",IF(INDEX($AB$2:$AQ$1001,MATCH(ROWS($U$2:U866),$U$2:$U$1001,0),MATCH(COLUMNS($AB$1006:AC1006),$AB$1006:$AQ$1006,0)), HYPERLINK("#",""), HYPERLINK(CONCATENATE("#metadata!", ADDRESS(INDEX($W$2:$W$1001,MATCH(ROWS($U$2:U866),$U$2:$U$1001,0),0), INDEX($AB$1004:$AQ$1004,1,MATCH(COLUMNS($AB$1006:AC1006),$AB$1006:$AQ$1006,0)))),"Fix")))</f>
        <v>0</v>
      </c>
      <c r="D866" s="4">
        <f>IF(OR(INDEX($V$2:$V$1001,MATCH(ROWS($U$2:U866),$U$2:$U$1001,0),1)&gt;=100000,INDEX($AB$1005:$AQ$1005,1,MATCH(COLUMNS($AB$1006:AD1006),$AB$1006:$AQ$1006,0))&gt;=100000), " ",IF(INDEX($AB$2:$AQ$1001,MATCH(ROWS($U$2:U866),$U$2:$U$1001,0),MATCH(COLUMNS($AB$1006:AD1006),$AB$1006:$AQ$1006,0)), HYPERLINK("#",""), HYPERLINK(CONCATENATE("#metadata!", ADDRESS(INDEX($W$2:$W$1001,MATCH(ROWS($U$2:U866),$U$2:$U$1001,0),0), INDEX($AB$1004:$AQ$1004,1,MATCH(COLUMNS($AB$1006:AD1006),$AB$1006:$AQ$1006,0)))),"Fix")))</f>
        <v>0</v>
      </c>
      <c r="E866" s="4">
        <f>IF(OR(INDEX($V$2:$V$1001,MATCH(ROWS($U$2:U866),$U$2:$U$1001,0),1)&gt;=100000,INDEX($AB$1005:$AQ$1005,1,MATCH(COLUMNS($AB$1006:AE1006),$AB$1006:$AQ$1006,0))&gt;=100000), " ",IF(INDEX($AB$2:$AQ$1001,MATCH(ROWS($U$2:U866),$U$2:$U$1001,0),MATCH(COLUMNS($AB$1006:AE1006),$AB$1006:$AQ$1006,0)), HYPERLINK("#",""), HYPERLINK(CONCATENATE("#metadata!", ADDRESS(INDEX($W$2:$W$1001,MATCH(ROWS($U$2:U866),$U$2:$U$1001,0),0), INDEX($AB$1004:$AQ$1004,1,MATCH(COLUMNS($AB$1006:AE1006),$AB$1006:$AQ$1006,0)))),"Fix")))</f>
        <v>0</v>
      </c>
      <c r="F866" s="4">
        <f>IF(OR(INDEX($V$2:$V$1001,MATCH(ROWS($U$2:U866),$U$2:$U$1001,0),1)&gt;=100000,INDEX($AB$1005:$AQ$1005,1,MATCH(COLUMNS($AB$1006:AF1006),$AB$1006:$AQ$1006,0))&gt;=100000), " ",IF(INDEX($AB$2:$AQ$1001,MATCH(ROWS($U$2:U866),$U$2:$U$1001,0),MATCH(COLUMNS($AB$1006:AF1006),$AB$1006:$AQ$1006,0)), HYPERLINK("#",""), HYPERLINK(CONCATENATE("#metadata!", ADDRESS(INDEX($W$2:$W$1001,MATCH(ROWS($U$2:U866),$U$2:$U$1001,0),0), INDEX($AB$1004:$AQ$1004,1,MATCH(COLUMNS($AB$1006:AF1006),$AB$1006:$AQ$1006,0)))),"Fix")))</f>
        <v>0</v>
      </c>
      <c r="G866" s="4">
        <f>IF(OR(INDEX($V$2:$V$1001,MATCH(ROWS($U$2:U866),$U$2:$U$1001,0),1)&gt;=100000,INDEX($AB$1005:$AQ$1005,1,MATCH(COLUMNS($AB$1006:AG1006),$AB$1006:$AQ$1006,0))&gt;=100000), " ",IF(INDEX($AB$2:$AQ$1001,MATCH(ROWS($U$2:U866),$U$2:$U$1001,0),MATCH(COLUMNS($AB$1006:AG1006),$AB$1006:$AQ$1006,0)), HYPERLINK("#",""), HYPERLINK(CONCATENATE("#metadata!", ADDRESS(INDEX($W$2:$W$1001,MATCH(ROWS($U$2:U866),$U$2:$U$1001,0),0), INDEX($AB$1004:$AQ$1004,1,MATCH(COLUMNS($AB$1006:AG1006),$AB$1006:$AQ$1006,0)))),"Fix")))</f>
        <v>0</v>
      </c>
      <c r="H866" s="4">
        <f>IF(OR(INDEX($V$2:$V$1001,MATCH(ROWS($U$2:U866),$U$2:$U$1001,0),1)&gt;=100000,INDEX($AB$1005:$AQ$1005,1,MATCH(COLUMNS($AB$1006:AH1006),$AB$1006:$AQ$1006,0))&gt;=100000), " ",IF(INDEX($AB$2:$AQ$1001,MATCH(ROWS($U$2:U866),$U$2:$U$1001,0),MATCH(COLUMNS($AB$1006:AH1006),$AB$1006:$AQ$1006,0)), HYPERLINK("#",""), HYPERLINK(CONCATENATE("#metadata!", ADDRESS(INDEX($W$2:$W$1001,MATCH(ROWS($U$2:U866),$U$2:$U$1001,0),0), INDEX($AB$1004:$AQ$1004,1,MATCH(COLUMNS($AB$1006:AH1006),$AB$1006:$AQ$1006,0)))),"Fix")))</f>
        <v>0</v>
      </c>
      <c r="I866" s="4">
        <f>IF(OR(INDEX($V$2:$V$1001,MATCH(ROWS($U$2:U866),$U$2:$U$1001,0),1)&gt;=100000,INDEX($AB$1005:$AQ$1005,1,MATCH(COLUMNS($AB$1006:AI1006),$AB$1006:$AQ$1006,0))&gt;=100000), " ",IF(INDEX($AB$2:$AQ$1001,MATCH(ROWS($U$2:U866),$U$2:$U$1001,0),MATCH(COLUMNS($AB$1006:AI1006),$AB$1006:$AQ$1006,0)), HYPERLINK("#",""), HYPERLINK(CONCATENATE("#metadata!", ADDRESS(INDEX($W$2:$W$1001,MATCH(ROWS($U$2:U866),$U$2:$U$1001,0),0), INDEX($AB$1004:$AQ$1004,1,MATCH(COLUMNS($AB$1006:AI1006),$AB$1006:$AQ$1006,0)))),"Fix")))</f>
        <v>0</v>
      </c>
      <c r="J866" s="4">
        <f>IF(OR(INDEX($V$2:$V$1001,MATCH(ROWS($U$2:U866),$U$2:$U$1001,0),1)&gt;=100000,INDEX($AB$1005:$AQ$1005,1,MATCH(COLUMNS($AB$1006:AJ1006),$AB$1006:$AQ$1006,0))&gt;=100000), " ",IF(INDEX($AB$2:$AQ$1001,MATCH(ROWS($U$2:U866),$U$2:$U$1001,0),MATCH(COLUMNS($AB$1006:AJ1006),$AB$1006:$AQ$1006,0)), HYPERLINK("#",""), HYPERLINK(CONCATENATE("#metadata!", ADDRESS(INDEX($W$2:$W$1001,MATCH(ROWS($U$2:U866),$U$2:$U$1001,0),0), INDEX($AB$1004:$AQ$1004,1,MATCH(COLUMNS($AB$1006:AJ1006),$AB$1006:$AQ$1006,0)))),"Fix")))</f>
        <v>0</v>
      </c>
      <c r="K866" s="4">
        <f>IF(OR(INDEX($V$2:$V$1001,MATCH(ROWS($U$2:U866),$U$2:$U$1001,0),1)&gt;=100000,INDEX($AB$1005:$AQ$1005,1,MATCH(COLUMNS($AB$1006:AK1006),$AB$1006:$AQ$1006,0))&gt;=100000), " ",IF(INDEX($AB$2:$AQ$1001,MATCH(ROWS($U$2:U866),$U$2:$U$1001,0),MATCH(COLUMNS($AB$1006:AK1006),$AB$1006:$AQ$1006,0)), HYPERLINK("#",""), HYPERLINK(CONCATENATE("#metadata!", ADDRESS(INDEX($W$2:$W$1001,MATCH(ROWS($U$2:U866),$U$2:$U$1001,0),0), INDEX($AB$1004:$AQ$1004,1,MATCH(COLUMNS($AB$1006:AK1006),$AB$1006:$AQ$1006,0)))),"Fix")))</f>
        <v>0</v>
      </c>
      <c r="L866" s="4">
        <f>IF(OR(INDEX($V$2:$V$1001,MATCH(ROWS($U$2:U866),$U$2:$U$1001,0),1)&gt;=100000,INDEX($AB$1005:$AQ$1005,1,MATCH(COLUMNS($AB$1006:AL1006),$AB$1006:$AQ$1006,0))&gt;=100000), " ",IF(INDEX($AB$2:$AQ$1001,MATCH(ROWS($U$2:U866),$U$2:$U$1001,0),MATCH(COLUMNS($AB$1006:AL1006),$AB$1006:$AQ$1006,0)), HYPERLINK("#",""), HYPERLINK(CONCATENATE("#metadata!", ADDRESS(INDEX($W$2:$W$1001,MATCH(ROWS($U$2:U866),$U$2:$U$1001,0),0), INDEX($AB$1004:$AQ$1004,1,MATCH(COLUMNS($AB$1006:AL1006),$AB$1006:$AQ$1006,0)))),"Fix")))</f>
        <v>0</v>
      </c>
      <c r="M866" s="4">
        <f>IF(OR(INDEX($V$2:$V$1001,MATCH(ROWS($U$2:U866),$U$2:$U$1001,0),1)&gt;=100000,INDEX($AB$1005:$AQ$1005,1,MATCH(COLUMNS($AB$1006:AM1006),$AB$1006:$AQ$1006,0))&gt;=100000), " ",IF(INDEX($AB$2:$AQ$1001,MATCH(ROWS($U$2:U866),$U$2:$U$1001,0),MATCH(COLUMNS($AB$1006:AM1006),$AB$1006:$AQ$1006,0)), HYPERLINK("#",""), HYPERLINK(CONCATENATE("#metadata!", ADDRESS(INDEX($W$2:$W$1001,MATCH(ROWS($U$2:U866),$U$2:$U$1001,0),0), INDEX($AB$1004:$AQ$1004,1,MATCH(COLUMNS($AB$1006:AM1006),$AB$1006:$AQ$1006,0)))),"Fix")))</f>
        <v>0</v>
      </c>
      <c r="N866" s="4">
        <f>IF(OR(INDEX($V$2:$V$1001,MATCH(ROWS($U$2:U866),$U$2:$U$1001,0),1)&gt;=100000,INDEX($AB$1005:$AQ$1005,1,MATCH(COLUMNS($AB$1006:AN1006),$AB$1006:$AQ$1006,0))&gt;=100000), " ",IF(INDEX($AB$2:$AQ$1001,MATCH(ROWS($U$2:U866),$U$2:$U$1001,0),MATCH(COLUMNS($AB$1006:AN1006),$AB$1006:$AQ$1006,0)), HYPERLINK("#",""), HYPERLINK(CONCATENATE("#metadata!", ADDRESS(INDEX($W$2:$W$1001,MATCH(ROWS($U$2:U866),$U$2:$U$1001,0),0), INDEX($AB$1004:$AQ$1004,1,MATCH(COLUMNS($AB$1006:AN1006),$AB$1006:$AQ$1006,0)))),"Fix")))</f>
        <v>0</v>
      </c>
      <c r="O866" s="4">
        <f>IF(OR(INDEX($V$2:$V$1001,MATCH(ROWS($U$2:U866),$U$2:$U$1001,0),1)&gt;=100000,INDEX($AB$1005:$AQ$1005,1,MATCH(COLUMNS($AB$1006:AO1006),$AB$1006:$AQ$1006,0))&gt;=100000), " ",IF(INDEX($AB$2:$AQ$1001,MATCH(ROWS($U$2:U866),$U$2:$U$1001,0),MATCH(COLUMNS($AB$1006:AO1006),$AB$1006:$AQ$1006,0)), HYPERLINK("#",""), HYPERLINK(CONCATENATE("#metadata!", ADDRESS(INDEX($W$2:$W$1001,MATCH(ROWS($U$2:U866),$U$2:$U$1001,0),0), INDEX($AB$1004:$AQ$1004,1,MATCH(COLUMNS($AB$1006:AO1006),$AB$1006:$AQ$1006,0)))),"Fix")))</f>
        <v>0</v>
      </c>
      <c r="P866" s="4">
        <f>IF(OR(INDEX($V$2:$V$1001,MATCH(ROWS($U$2:U866),$U$2:$U$1001,0),1)&gt;=100000,INDEX($AB$1005:$AQ$1005,1,MATCH(COLUMNS($AB$1006:AP1006),$AB$1006:$AQ$1006,0))&gt;=100000), " ",IF(INDEX($AB$2:$AQ$1001,MATCH(ROWS($U$2:U866),$U$2:$U$1001,0),MATCH(COLUMNS($AB$1006:AP1006),$AB$1006:$AQ$1006,0)), HYPERLINK("#",""), HYPERLINK(CONCATENATE("#metadata!", ADDRESS(INDEX($W$2:$W$1001,MATCH(ROWS($U$2:U866),$U$2:$U$1001,0),0), INDEX($AB$1004:$AQ$1004,1,MATCH(COLUMNS($AB$1006:AP1006),$AB$1006:$AQ$1006,0)))),"Fix")))</f>
        <v>0</v>
      </c>
      <c r="Q866" s="4">
        <f>IF(OR(INDEX($V$2:$V$1001,MATCH(ROWS($U$2:U866),$U$2:$U$1001,0),1)&gt;=100000,INDEX($AB$1005:$AQ$1005,1,MATCH(COLUMNS($AB$1006:AQ1006),$AB$1006:$AQ$1006,0))&gt;=100000), " ",IF(INDEX($AB$2:$AQ$1001,MATCH(ROWS($U$2:U866),$U$2:$U$1001,0),MATCH(COLUMNS($AB$1006:AQ1006),$AB$1006:$AQ$1006,0)), HYPERLINK("#",""), HYPERLINK(CONCATENATE("#metadata!", ADDRESS(INDEX($W$2:$W$1001,MATCH(ROWS($U$2:U866),$U$2:$U$1001,0),0), INDEX($AB$1004:$AQ$1004,1,MATCH(COLUMNS($AB$1006:AQ1006),$AB$1006:$AQ$1006,0)))),"Fix")))</f>
        <v>0</v>
      </c>
      <c r="U866">
        <v>0</v>
      </c>
      <c r="V866">
        <v>0</v>
      </c>
      <c r="W866">
        <v>0</v>
      </c>
      <c r="X866">
        <f>IF(Y866,TRUE,AND(AB866:AQ866))</f>
        <v>0</v>
      </c>
      <c r="Y866">
        <f>COUNTBLANK(metadata!B866:Q866)=COLUMNS(metadata!B866:Q866)</f>
        <v>0</v>
      </c>
      <c r="Z866">
        <v>0</v>
      </c>
      <c r="AB866">
        <f>AND(IF(metadata!B866="",FALSE,TRUE),COUNTIF(metadata!B:B, metadata!B866) = 1,NOT(ISERROR(SUMPRODUCT(SEARCH(MID(metadata!B866,ROW(INDIRECT("1:"&amp;LEN(metadata!B866))), 1),"0123456789abcdefghijklmnopqrstuvwxyzABCDEFGHIJKLMNOPQRSTUVWXYZ.")))))</f>
        <v>0</v>
      </c>
      <c r="AC866">
        <f>OR(AND(IF(metadata!C866="",FALSE,TRUE),OR(exact(metadata!C866,"missing: not collected"),exact(metadata!C866,"missing: not provided"),exact(metadata!C866,"missing: restricted access"))),AND(IF(metadata!C866="",FALSE,TRUE),AND(AND(IFERROR(INT(LEFT(metadata!C866,4))&gt;1900,FALSE),IFERROR(INT(LEFT(metadata!C866,4))&lt;=YEAR(NOW()),FALSE)), OR(MID(metadata!C866,5,1)="", AND(AND(MID(metadata!C866,5,1)="-",IFERROR(INT(MID(metadata!C866,6,1))&gt;=0,FALSE),IFERROR(INT(MID(metadata!C866,6,1))&lt;=1,FALSE),NOT(MID(metadata!C866,7,1)=""),IFERROR(INT(MID(metadata!C866,6,2))&gt;=1,FALSE),IFERROR(INT(MID(metadata!C866,6,2))&lt;=12,FALSE)), OR(MID(metadata!C866,8,1)="", AND(AND(MID(metadata!C866,8,1)="-",IFERROR(INT(MID(metadata!C866,9,1))&gt;=0,FALSE),IFERROR(INT(MID(metadata!C866,9,1))&lt;=3,FALSE),NOT(MID(metadata!C866,10,1)=""),IFERROR(INT(MID(metadata!C866,9,2))&gt;=1,FALSE),IFERROR(INT(MID(metadata!C866,9,2))&lt;=31,FALSE)), OR(MID(metadata!C866,11,1)="", AND(AND(MID(metadata!C866,11,1)=" ",IFERROR(INT(MID(metadata!C866,12,1))&gt;=0,FALSE),IFERROR(INT(MID(metadata!C866,12,1))&lt;=2,FALSE),NOT(MID(metadata!C866,13,1)=""),IFERROR(INT(MID(metadata!C866,12,2))&gt;=0,FALSE),IFERROR(INT(MID(metadata!C866,12,2))&lt;=23,FALSE)), OR(MID(metadata!C866,14,1)="", AND(AND(MID(metadata!C866,14,1)=":",IFERROR(INT(MID(metadata!C866,15,1))&gt;=0,FALSE),IFERROR(INT(MID(metadata!C866,15,1))&lt;=5,FALSE),NOT(MID(metadata!C866,16,1)=""),IFERROR(INT(MID(metadata!C866,15,2))&gt;=0,FALSE),IFERROR(INT(MID(metadata!C866,15,2))&lt;=59,FALSE)), OR(MID(metadata!C866,17,1)="", AND(AND(MID(metadata!C866,17,1)=":",IFERROR(INT(MID(metadata!C866,18,1))&gt;=0,FALSE),IFERROR(INT(MID(metadata!C866,18,1))&lt;=5,FALSE),NOT(MID(metadata!C866,19,1)=""),IFERROR(INT(MID(metadata!C866,18,2))&gt;=0,FALSE),IFERROR(INT(MID(metadata!C866,18,2))&lt;=59,FALSE)), LEN(metadata!C866)&lt;=19)))))))))))))</f>
        <v>0</v>
      </c>
      <c r="AD866">
        <f>IF(metadata!D866="",FALSE,TRUE)</f>
        <v>0</v>
      </c>
      <c r="AE866">
        <f>OR(AND(IF(metadata!E866="",FALSE,TRUE),OR(exact(metadata!E866,"missing: not collected"),exact(metadata!E866,"missing: not provided"))),AND(IF(metadata!E866="",FALSE,TRUE),OR(exact(metadata!E866,"TRUE"),exact(metadata!E866,"FALSE"))))</f>
        <v>0</v>
      </c>
      <c r="AF866">
        <f>IF(metadata!F866="",FALSE,TRUE)</f>
        <v>0</v>
      </c>
      <c r="AG866">
        <f>IF(metadata!G866="",FALSE,TRUE)</f>
        <v>0</v>
      </c>
      <c r="AH866">
        <f>IF(metadata!H866="",FALSE,TRUE)</f>
        <v>0</v>
      </c>
      <c r="AI866">
        <f>OR(AND(IF(metadata!I866="",FALSE,TRUE),OR(exact(metadata!I866,"missing: not collected"),exact(metadata!I866,"missing: not provided"),exact(metadata!I866,"missing: restricted access"))),AND(IF(metadata!I866="",FALSE,TRUE),OR(exact(metadata!I866,"air"),exact(metadata!I866,"built environment"),exact(metadata!I866,"host-associated"),exact(metadata!I866,"human-associated"),exact(metadata!I866,"human-skin"),exact(metadata!I866,"human-oral"),exact(metadata!I866,"human-gut"),exact(metadata!I866,"human-vaginal"),exact(metadata!I866,"microbial mat/biofilm"),exact(metadata!I866,"misc environment"),exact(metadata!I866,"plant-associated"),exact(metadata!I866,"sediment"),exact(metadata!I866,"soil"),exact(metadata!I866,"wastewater/sludge"),exact(metadata!I866,"water"))))</f>
        <v>0</v>
      </c>
      <c r="AJ866">
        <f>IF(metadata!J866="",FALSE,TRUE)</f>
        <v>0</v>
      </c>
      <c r="AK866">
        <f>OR(AND(IF(metadata!K866="",FALSE,TRUE),OR(exact(metadata!K866,"missing: not collected"),exact(metadata!K866,"missing: not provided"),exact(metadata!K866,"missing: restricted access"))),AND(IF(metadata!K866="",FALSE,ISNUMBER(VALUE(metadata!K866))),metadata!K866&gt;=-90.00,metadata!K866&lt;=90.00))</f>
        <v>0</v>
      </c>
      <c r="AL866">
        <f>OR(AND(IF(metadata!L866="",FALSE,TRUE),OR(exact(metadata!L866,"missing: not collected"),exact(metadata!L866,"missing: not provided"),exact(metadata!L866,"missing: restricted access"))),AND(IF(metadata!L866="",FALSE,ISNUMBER(VALUE(metadata!L866))),metadata!L866&gt;=-180.00,metadata!L866&lt;=180.00))</f>
        <v>0</v>
      </c>
      <c r="AM866">
        <f>IF(metadata!M866="",FALSE,TRUE)</f>
        <v>0</v>
      </c>
      <c r="AN866">
        <f>OR(AND(IF(metadata!N866="",FALSE,TRUE),OR(exact(metadata!N866,"missing: not collected"),exact(metadata!N866,"missing: not provided"),exact(metadata!N866,"missing: restricted access"))),AND(IF(metadata!N866="",FALSE,TRUE),OR(exact(metadata!N866,"TRUE"),exact(metadata!N866,"FALSE"))))</f>
        <v>0</v>
      </c>
      <c r="AO866">
        <f>IF(metadata!O866="",FALSE,TRUE)</f>
        <v>0</v>
      </c>
      <c r="AP866">
        <f>OR(AND(IF(metadata!P866="",FALSE,TRUE),OR(exact(metadata!P866,"missing: not collected"),exact(metadata!P866,"missing: not provided"))),AND(IF(metadata!P866="",FALSE,IF(ISERROR(INT(metadata!P866)),FALSE,INT(metadata!P866)=metadata!P866)),metadata!P866&gt;0))</f>
        <v>0</v>
      </c>
      <c r="AQ866">
        <f>IF(metadata!Q866="",FALSE,TRUE)</f>
        <v>0</v>
      </c>
    </row>
    <row r="867" spans="1:43">
      <c r="A867" s="5">
        <f>IF(B867=" "," ",HYPERLINK(CONCATENATE("#metadata!",ADDRESS(INDEX($W$2:$W$1001,MATCH(ROWS($U$2:U867),$U$2:$U$1001,0),0),1)),INDEX($Z$2:$Z$1001,MATCH(ROWS($U$2:U867),$U$2:$U$1001,0),0)))</f>
        <v>0</v>
      </c>
      <c r="B867" s="4">
        <f>IF(OR(INDEX($V$2:$V$1001,MATCH(ROWS($U$2:U867),$U$2:$U$1001,0),1)&gt;=100000,INDEX($AB$1005:$AQ$1005,1,MATCH(COLUMNS($AB$1006:AB1006),$AB$1006:$AQ$1006,0))&gt;=100000), " ",IF(INDEX($AB$2:$AQ$1001,MATCH(ROWS($U$2:U867),$U$2:$U$1001,0),MATCH(COLUMNS($AB$1006:AB1006),$AB$1006:$AQ$1006,0)), HYPERLINK("#",""), HYPERLINK(CONCATENATE("#metadata!", ADDRESS(INDEX($W$2:$W$1001,MATCH(ROWS($U$2:U867),$U$2:$U$1001,0),0), INDEX($AB$1004:$AQ$1004,1,MATCH(COLUMNS($AB$1006:AB1006),$AB$1006:$AQ$1006,0)))),"Fix")))</f>
        <v>0</v>
      </c>
      <c r="C867" s="4">
        <f>IF(OR(INDEX($V$2:$V$1001,MATCH(ROWS($U$2:U867),$U$2:$U$1001,0),1)&gt;=100000,INDEX($AB$1005:$AQ$1005,1,MATCH(COLUMNS($AB$1006:AC1006),$AB$1006:$AQ$1006,0))&gt;=100000), " ",IF(INDEX($AB$2:$AQ$1001,MATCH(ROWS($U$2:U867),$U$2:$U$1001,0),MATCH(COLUMNS($AB$1006:AC1006),$AB$1006:$AQ$1006,0)), HYPERLINK("#",""), HYPERLINK(CONCATENATE("#metadata!", ADDRESS(INDEX($W$2:$W$1001,MATCH(ROWS($U$2:U867),$U$2:$U$1001,0),0), INDEX($AB$1004:$AQ$1004,1,MATCH(COLUMNS($AB$1006:AC1006),$AB$1006:$AQ$1006,0)))),"Fix")))</f>
        <v>0</v>
      </c>
      <c r="D867" s="4">
        <f>IF(OR(INDEX($V$2:$V$1001,MATCH(ROWS($U$2:U867),$U$2:$U$1001,0),1)&gt;=100000,INDEX($AB$1005:$AQ$1005,1,MATCH(COLUMNS($AB$1006:AD1006),$AB$1006:$AQ$1006,0))&gt;=100000), " ",IF(INDEX($AB$2:$AQ$1001,MATCH(ROWS($U$2:U867),$U$2:$U$1001,0),MATCH(COLUMNS($AB$1006:AD1006),$AB$1006:$AQ$1006,0)), HYPERLINK("#",""), HYPERLINK(CONCATENATE("#metadata!", ADDRESS(INDEX($W$2:$W$1001,MATCH(ROWS($U$2:U867),$U$2:$U$1001,0),0), INDEX($AB$1004:$AQ$1004,1,MATCH(COLUMNS($AB$1006:AD1006),$AB$1006:$AQ$1006,0)))),"Fix")))</f>
        <v>0</v>
      </c>
      <c r="E867" s="4">
        <f>IF(OR(INDEX($V$2:$V$1001,MATCH(ROWS($U$2:U867),$U$2:$U$1001,0),1)&gt;=100000,INDEX($AB$1005:$AQ$1005,1,MATCH(COLUMNS($AB$1006:AE1006),$AB$1006:$AQ$1006,0))&gt;=100000), " ",IF(INDEX($AB$2:$AQ$1001,MATCH(ROWS($U$2:U867),$U$2:$U$1001,0),MATCH(COLUMNS($AB$1006:AE1006),$AB$1006:$AQ$1006,0)), HYPERLINK("#",""), HYPERLINK(CONCATENATE("#metadata!", ADDRESS(INDEX($W$2:$W$1001,MATCH(ROWS($U$2:U867),$U$2:$U$1001,0),0), INDEX($AB$1004:$AQ$1004,1,MATCH(COLUMNS($AB$1006:AE1006),$AB$1006:$AQ$1006,0)))),"Fix")))</f>
        <v>0</v>
      </c>
      <c r="F867" s="4">
        <f>IF(OR(INDEX($V$2:$V$1001,MATCH(ROWS($U$2:U867),$U$2:$U$1001,0),1)&gt;=100000,INDEX($AB$1005:$AQ$1005,1,MATCH(COLUMNS($AB$1006:AF1006),$AB$1006:$AQ$1006,0))&gt;=100000), " ",IF(INDEX($AB$2:$AQ$1001,MATCH(ROWS($U$2:U867),$U$2:$U$1001,0),MATCH(COLUMNS($AB$1006:AF1006),$AB$1006:$AQ$1006,0)), HYPERLINK("#",""), HYPERLINK(CONCATENATE("#metadata!", ADDRESS(INDEX($W$2:$W$1001,MATCH(ROWS($U$2:U867),$U$2:$U$1001,0),0), INDEX($AB$1004:$AQ$1004,1,MATCH(COLUMNS($AB$1006:AF1006),$AB$1006:$AQ$1006,0)))),"Fix")))</f>
        <v>0</v>
      </c>
      <c r="G867" s="4">
        <f>IF(OR(INDEX($V$2:$V$1001,MATCH(ROWS($U$2:U867),$U$2:$U$1001,0),1)&gt;=100000,INDEX($AB$1005:$AQ$1005,1,MATCH(COLUMNS($AB$1006:AG1006),$AB$1006:$AQ$1006,0))&gt;=100000), " ",IF(INDEX($AB$2:$AQ$1001,MATCH(ROWS($U$2:U867),$U$2:$U$1001,0),MATCH(COLUMNS($AB$1006:AG1006),$AB$1006:$AQ$1006,0)), HYPERLINK("#",""), HYPERLINK(CONCATENATE("#metadata!", ADDRESS(INDEX($W$2:$W$1001,MATCH(ROWS($U$2:U867),$U$2:$U$1001,0),0), INDEX($AB$1004:$AQ$1004,1,MATCH(COLUMNS($AB$1006:AG1006),$AB$1006:$AQ$1006,0)))),"Fix")))</f>
        <v>0</v>
      </c>
      <c r="H867" s="4">
        <f>IF(OR(INDEX($V$2:$V$1001,MATCH(ROWS($U$2:U867),$U$2:$U$1001,0),1)&gt;=100000,INDEX($AB$1005:$AQ$1005,1,MATCH(COLUMNS($AB$1006:AH1006),$AB$1006:$AQ$1006,0))&gt;=100000), " ",IF(INDEX($AB$2:$AQ$1001,MATCH(ROWS($U$2:U867),$U$2:$U$1001,0),MATCH(COLUMNS($AB$1006:AH1006),$AB$1006:$AQ$1006,0)), HYPERLINK("#",""), HYPERLINK(CONCATENATE("#metadata!", ADDRESS(INDEX($W$2:$W$1001,MATCH(ROWS($U$2:U867),$U$2:$U$1001,0),0), INDEX($AB$1004:$AQ$1004,1,MATCH(COLUMNS($AB$1006:AH1006),$AB$1006:$AQ$1006,0)))),"Fix")))</f>
        <v>0</v>
      </c>
      <c r="I867" s="4">
        <f>IF(OR(INDEX($V$2:$V$1001,MATCH(ROWS($U$2:U867),$U$2:$U$1001,0),1)&gt;=100000,INDEX($AB$1005:$AQ$1005,1,MATCH(COLUMNS($AB$1006:AI1006),$AB$1006:$AQ$1006,0))&gt;=100000), " ",IF(INDEX($AB$2:$AQ$1001,MATCH(ROWS($U$2:U867),$U$2:$U$1001,0),MATCH(COLUMNS($AB$1006:AI1006),$AB$1006:$AQ$1006,0)), HYPERLINK("#",""), HYPERLINK(CONCATENATE("#metadata!", ADDRESS(INDEX($W$2:$W$1001,MATCH(ROWS($U$2:U867),$U$2:$U$1001,0),0), INDEX($AB$1004:$AQ$1004,1,MATCH(COLUMNS($AB$1006:AI1006),$AB$1006:$AQ$1006,0)))),"Fix")))</f>
        <v>0</v>
      </c>
      <c r="J867" s="4">
        <f>IF(OR(INDEX($V$2:$V$1001,MATCH(ROWS($U$2:U867),$U$2:$U$1001,0),1)&gt;=100000,INDEX($AB$1005:$AQ$1005,1,MATCH(COLUMNS($AB$1006:AJ1006),$AB$1006:$AQ$1006,0))&gt;=100000), " ",IF(INDEX($AB$2:$AQ$1001,MATCH(ROWS($U$2:U867),$U$2:$U$1001,0),MATCH(COLUMNS($AB$1006:AJ1006),$AB$1006:$AQ$1006,0)), HYPERLINK("#",""), HYPERLINK(CONCATENATE("#metadata!", ADDRESS(INDEX($W$2:$W$1001,MATCH(ROWS($U$2:U867),$U$2:$U$1001,0),0), INDEX($AB$1004:$AQ$1004,1,MATCH(COLUMNS($AB$1006:AJ1006),$AB$1006:$AQ$1006,0)))),"Fix")))</f>
        <v>0</v>
      </c>
      <c r="K867" s="4">
        <f>IF(OR(INDEX($V$2:$V$1001,MATCH(ROWS($U$2:U867),$U$2:$U$1001,0),1)&gt;=100000,INDEX($AB$1005:$AQ$1005,1,MATCH(COLUMNS($AB$1006:AK1006),$AB$1006:$AQ$1006,0))&gt;=100000), " ",IF(INDEX($AB$2:$AQ$1001,MATCH(ROWS($U$2:U867),$U$2:$U$1001,0),MATCH(COLUMNS($AB$1006:AK1006),$AB$1006:$AQ$1006,0)), HYPERLINK("#",""), HYPERLINK(CONCATENATE("#metadata!", ADDRESS(INDEX($W$2:$W$1001,MATCH(ROWS($U$2:U867),$U$2:$U$1001,0),0), INDEX($AB$1004:$AQ$1004,1,MATCH(COLUMNS($AB$1006:AK1006),$AB$1006:$AQ$1006,0)))),"Fix")))</f>
        <v>0</v>
      </c>
      <c r="L867" s="4">
        <f>IF(OR(INDEX($V$2:$V$1001,MATCH(ROWS($U$2:U867),$U$2:$U$1001,0),1)&gt;=100000,INDEX($AB$1005:$AQ$1005,1,MATCH(COLUMNS($AB$1006:AL1006),$AB$1006:$AQ$1006,0))&gt;=100000), " ",IF(INDEX($AB$2:$AQ$1001,MATCH(ROWS($U$2:U867),$U$2:$U$1001,0),MATCH(COLUMNS($AB$1006:AL1006),$AB$1006:$AQ$1006,0)), HYPERLINK("#",""), HYPERLINK(CONCATENATE("#metadata!", ADDRESS(INDEX($W$2:$W$1001,MATCH(ROWS($U$2:U867),$U$2:$U$1001,0),0), INDEX($AB$1004:$AQ$1004,1,MATCH(COLUMNS($AB$1006:AL1006),$AB$1006:$AQ$1006,0)))),"Fix")))</f>
        <v>0</v>
      </c>
      <c r="M867" s="4">
        <f>IF(OR(INDEX($V$2:$V$1001,MATCH(ROWS($U$2:U867),$U$2:$U$1001,0),1)&gt;=100000,INDEX($AB$1005:$AQ$1005,1,MATCH(COLUMNS($AB$1006:AM1006),$AB$1006:$AQ$1006,0))&gt;=100000), " ",IF(INDEX($AB$2:$AQ$1001,MATCH(ROWS($U$2:U867),$U$2:$U$1001,0),MATCH(COLUMNS($AB$1006:AM1006),$AB$1006:$AQ$1006,0)), HYPERLINK("#",""), HYPERLINK(CONCATENATE("#metadata!", ADDRESS(INDEX($W$2:$W$1001,MATCH(ROWS($U$2:U867),$U$2:$U$1001,0),0), INDEX($AB$1004:$AQ$1004,1,MATCH(COLUMNS($AB$1006:AM1006),$AB$1006:$AQ$1006,0)))),"Fix")))</f>
        <v>0</v>
      </c>
      <c r="N867" s="4">
        <f>IF(OR(INDEX($V$2:$V$1001,MATCH(ROWS($U$2:U867),$U$2:$U$1001,0),1)&gt;=100000,INDEX($AB$1005:$AQ$1005,1,MATCH(COLUMNS($AB$1006:AN1006),$AB$1006:$AQ$1006,0))&gt;=100000), " ",IF(INDEX($AB$2:$AQ$1001,MATCH(ROWS($U$2:U867),$U$2:$U$1001,0),MATCH(COLUMNS($AB$1006:AN1006),$AB$1006:$AQ$1006,0)), HYPERLINK("#",""), HYPERLINK(CONCATENATE("#metadata!", ADDRESS(INDEX($W$2:$W$1001,MATCH(ROWS($U$2:U867),$U$2:$U$1001,0),0), INDEX($AB$1004:$AQ$1004,1,MATCH(COLUMNS($AB$1006:AN1006),$AB$1006:$AQ$1006,0)))),"Fix")))</f>
        <v>0</v>
      </c>
      <c r="O867" s="4">
        <f>IF(OR(INDEX($V$2:$V$1001,MATCH(ROWS($U$2:U867),$U$2:$U$1001,0),1)&gt;=100000,INDEX($AB$1005:$AQ$1005,1,MATCH(COLUMNS($AB$1006:AO1006),$AB$1006:$AQ$1006,0))&gt;=100000), " ",IF(INDEX($AB$2:$AQ$1001,MATCH(ROWS($U$2:U867),$U$2:$U$1001,0),MATCH(COLUMNS($AB$1006:AO1006),$AB$1006:$AQ$1006,0)), HYPERLINK("#",""), HYPERLINK(CONCATENATE("#metadata!", ADDRESS(INDEX($W$2:$W$1001,MATCH(ROWS($U$2:U867),$U$2:$U$1001,0),0), INDEX($AB$1004:$AQ$1004,1,MATCH(COLUMNS($AB$1006:AO1006),$AB$1006:$AQ$1006,0)))),"Fix")))</f>
        <v>0</v>
      </c>
      <c r="P867" s="4">
        <f>IF(OR(INDEX($V$2:$V$1001,MATCH(ROWS($U$2:U867),$U$2:$U$1001,0),1)&gt;=100000,INDEX($AB$1005:$AQ$1005,1,MATCH(COLUMNS($AB$1006:AP1006),$AB$1006:$AQ$1006,0))&gt;=100000), " ",IF(INDEX($AB$2:$AQ$1001,MATCH(ROWS($U$2:U867),$U$2:$U$1001,0),MATCH(COLUMNS($AB$1006:AP1006),$AB$1006:$AQ$1006,0)), HYPERLINK("#",""), HYPERLINK(CONCATENATE("#metadata!", ADDRESS(INDEX($W$2:$W$1001,MATCH(ROWS($U$2:U867),$U$2:$U$1001,0),0), INDEX($AB$1004:$AQ$1004,1,MATCH(COLUMNS($AB$1006:AP1006),$AB$1006:$AQ$1006,0)))),"Fix")))</f>
        <v>0</v>
      </c>
      <c r="Q867" s="4">
        <f>IF(OR(INDEX($V$2:$V$1001,MATCH(ROWS($U$2:U867),$U$2:$U$1001,0),1)&gt;=100000,INDEX($AB$1005:$AQ$1005,1,MATCH(COLUMNS($AB$1006:AQ1006),$AB$1006:$AQ$1006,0))&gt;=100000), " ",IF(INDEX($AB$2:$AQ$1001,MATCH(ROWS($U$2:U867),$U$2:$U$1001,0),MATCH(COLUMNS($AB$1006:AQ1006),$AB$1006:$AQ$1006,0)), HYPERLINK("#",""), HYPERLINK(CONCATENATE("#metadata!", ADDRESS(INDEX($W$2:$W$1001,MATCH(ROWS($U$2:U867),$U$2:$U$1001,0),0), INDEX($AB$1004:$AQ$1004,1,MATCH(COLUMNS($AB$1006:AQ1006),$AB$1006:$AQ$1006,0)))),"Fix")))</f>
        <v>0</v>
      </c>
      <c r="U867">
        <v>0</v>
      </c>
      <c r="V867">
        <v>0</v>
      </c>
      <c r="W867">
        <v>0</v>
      </c>
      <c r="X867">
        <f>IF(Y867,TRUE,AND(AB867:AQ867))</f>
        <v>0</v>
      </c>
      <c r="Y867">
        <f>COUNTBLANK(metadata!B867:Q867)=COLUMNS(metadata!B867:Q867)</f>
        <v>0</v>
      </c>
      <c r="Z867">
        <v>0</v>
      </c>
      <c r="AB867">
        <f>AND(IF(metadata!B867="",FALSE,TRUE),COUNTIF(metadata!B:B, metadata!B867) = 1,NOT(ISERROR(SUMPRODUCT(SEARCH(MID(metadata!B867,ROW(INDIRECT("1:"&amp;LEN(metadata!B867))), 1),"0123456789abcdefghijklmnopqrstuvwxyzABCDEFGHIJKLMNOPQRSTUVWXYZ.")))))</f>
        <v>0</v>
      </c>
      <c r="AC867">
        <f>OR(AND(IF(metadata!C867="",FALSE,TRUE),OR(exact(metadata!C867,"missing: not collected"),exact(metadata!C867,"missing: not provided"),exact(metadata!C867,"missing: restricted access"))),AND(IF(metadata!C867="",FALSE,TRUE),AND(AND(IFERROR(INT(LEFT(metadata!C867,4))&gt;1900,FALSE),IFERROR(INT(LEFT(metadata!C867,4))&lt;=YEAR(NOW()),FALSE)), OR(MID(metadata!C867,5,1)="", AND(AND(MID(metadata!C867,5,1)="-",IFERROR(INT(MID(metadata!C867,6,1))&gt;=0,FALSE),IFERROR(INT(MID(metadata!C867,6,1))&lt;=1,FALSE),NOT(MID(metadata!C867,7,1)=""),IFERROR(INT(MID(metadata!C867,6,2))&gt;=1,FALSE),IFERROR(INT(MID(metadata!C867,6,2))&lt;=12,FALSE)), OR(MID(metadata!C867,8,1)="", AND(AND(MID(metadata!C867,8,1)="-",IFERROR(INT(MID(metadata!C867,9,1))&gt;=0,FALSE),IFERROR(INT(MID(metadata!C867,9,1))&lt;=3,FALSE),NOT(MID(metadata!C867,10,1)=""),IFERROR(INT(MID(metadata!C867,9,2))&gt;=1,FALSE),IFERROR(INT(MID(metadata!C867,9,2))&lt;=31,FALSE)), OR(MID(metadata!C867,11,1)="", AND(AND(MID(metadata!C867,11,1)=" ",IFERROR(INT(MID(metadata!C867,12,1))&gt;=0,FALSE),IFERROR(INT(MID(metadata!C867,12,1))&lt;=2,FALSE),NOT(MID(metadata!C867,13,1)=""),IFERROR(INT(MID(metadata!C867,12,2))&gt;=0,FALSE),IFERROR(INT(MID(metadata!C867,12,2))&lt;=23,FALSE)), OR(MID(metadata!C867,14,1)="", AND(AND(MID(metadata!C867,14,1)=":",IFERROR(INT(MID(metadata!C867,15,1))&gt;=0,FALSE),IFERROR(INT(MID(metadata!C867,15,1))&lt;=5,FALSE),NOT(MID(metadata!C867,16,1)=""),IFERROR(INT(MID(metadata!C867,15,2))&gt;=0,FALSE),IFERROR(INT(MID(metadata!C867,15,2))&lt;=59,FALSE)), OR(MID(metadata!C867,17,1)="", AND(AND(MID(metadata!C867,17,1)=":",IFERROR(INT(MID(metadata!C867,18,1))&gt;=0,FALSE),IFERROR(INT(MID(metadata!C867,18,1))&lt;=5,FALSE),NOT(MID(metadata!C867,19,1)=""),IFERROR(INT(MID(metadata!C867,18,2))&gt;=0,FALSE),IFERROR(INT(MID(metadata!C867,18,2))&lt;=59,FALSE)), LEN(metadata!C867)&lt;=19)))))))))))))</f>
        <v>0</v>
      </c>
      <c r="AD867">
        <f>IF(metadata!D867="",FALSE,TRUE)</f>
        <v>0</v>
      </c>
      <c r="AE867">
        <f>OR(AND(IF(metadata!E867="",FALSE,TRUE),OR(exact(metadata!E867,"missing: not collected"),exact(metadata!E867,"missing: not provided"))),AND(IF(metadata!E867="",FALSE,TRUE),OR(exact(metadata!E867,"TRUE"),exact(metadata!E867,"FALSE"))))</f>
        <v>0</v>
      </c>
      <c r="AF867">
        <f>IF(metadata!F867="",FALSE,TRUE)</f>
        <v>0</v>
      </c>
      <c r="AG867">
        <f>IF(metadata!G867="",FALSE,TRUE)</f>
        <v>0</v>
      </c>
      <c r="AH867">
        <f>IF(metadata!H867="",FALSE,TRUE)</f>
        <v>0</v>
      </c>
      <c r="AI867">
        <f>OR(AND(IF(metadata!I867="",FALSE,TRUE),OR(exact(metadata!I867,"missing: not collected"),exact(metadata!I867,"missing: not provided"),exact(metadata!I867,"missing: restricted access"))),AND(IF(metadata!I867="",FALSE,TRUE),OR(exact(metadata!I867,"air"),exact(metadata!I867,"built environment"),exact(metadata!I867,"host-associated"),exact(metadata!I867,"human-associated"),exact(metadata!I867,"human-skin"),exact(metadata!I867,"human-oral"),exact(metadata!I867,"human-gut"),exact(metadata!I867,"human-vaginal"),exact(metadata!I867,"microbial mat/biofilm"),exact(metadata!I867,"misc environment"),exact(metadata!I867,"plant-associated"),exact(metadata!I867,"sediment"),exact(metadata!I867,"soil"),exact(metadata!I867,"wastewater/sludge"),exact(metadata!I867,"water"))))</f>
        <v>0</v>
      </c>
      <c r="AJ867">
        <f>IF(metadata!J867="",FALSE,TRUE)</f>
        <v>0</v>
      </c>
      <c r="AK867">
        <f>OR(AND(IF(metadata!K867="",FALSE,TRUE),OR(exact(metadata!K867,"missing: not collected"),exact(metadata!K867,"missing: not provided"),exact(metadata!K867,"missing: restricted access"))),AND(IF(metadata!K867="",FALSE,ISNUMBER(VALUE(metadata!K867))),metadata!K867&gt;=-90.00,metadata!K867&lt;=90.00))</f>
        <v>0</v>
      </c>
      <c r="AL867">
        <f>OR(AND(IF(metadata!L867="",FALSE,TRUE),OR(exact(metadata!L867,"missing: not collected"),exact(metadata!L867,"missing: not provided"),exact(metadata!L867,"missing: restricted access"))),AND(IF(metadata!L867="",FALSE,ISNUMBER(VALUE(metadata!L867))),metadata!L867&gt;=-180.00,metadata!L867&lt;=180.00))</f>
        <v>0</v>
      </c>
      <c r="AM867">
        <f>IF(metadata!M867="",FALSE,TRUE)</f>
        <v>0</v>
      </c>
      <c r="AN867">
        <f>OR(AND(IF(metadata!N867="",FALSE,TRUE),OR(exact(metadata!N867,"missing: not collected"),exact(metadata!N867,"missing: not provided"),exact(metadata!N867,"missing: restricted access"))),AND(IF(metadata!N867="",FALSE,TRUE),OR(exact(metadata!N867,"TRUE"),exact(metadata!N867,"FALSE"))))</f>
        <v>0</v>
      </c>
      <c r="AO867">
        <f>IF(metadata!O867="",FALSE,TRUE)</f>
        <v>0</v>
      </c>
      <c r="AP867">
        <f>OR(AND(IF(metadata!P867="",FALSE,TRUE),OR(exact(metadata!P867,"missing: not collected"),exact(metadata!P867,"missing: not provided"))),AND(IF(metadata!P867="",FALSE,IF(ISERROR(INT(metadata!P867)),FALSE,INT(metadata!P867)=metadata!P867)),metadata!P867&gt;0))</f>
        <v>0</v>
      </c>
      <c r="AQ867">
        <f>IF(metadata!Q867="",FALSE,TRUE)</f>
        <v>0</v>
      </c>
    </row>
    <row r="868" spans="1:43">
      <c r="A868" s="5">
        <f>IF(B868=" "," ",HYPERLINK(CONCATENATE("#metadata!",ADDRESS(INDEX($W$2:$W$1001,MATCH(ROWS($U$2:U868),$U$2:$U$1001,0),0),1)),INDEX($Z$2:$Z$1001,MATCH(ROWS($U$2:U868),$U$2:$U$1001,0),0)))</f>
        <v>0</v>
      </c>
      <c r="B868" s="4">
        <f>IF(OR(INDEX($V$2:$V$1001,MATCH(ROWS($U$2:U868),$U$2:$U$1001,0),1)&gt;=100000,INDEX($AB$1005:$AQ$1005,1,MATCH(COLUMNS($AB$1006:AB1006),$AB$1006:$AQ$1006,0))&gt;=100000), " ",IF(INDEX($AB$2:$AQ$1001,MATCH(ROWS($U$2:U868),$U$2:$U$1001,0),MATCH(COLUMNS($AB$1006:AB1006),$AB$1006:$AQ$1006,0)), HYPERLINK("#",""), HYPERLINK(CONCATENATE("#metadata!", ADDRESS(INDEX($W$2:$W$1001,MATCH(ROWS($U$2:U868),$U$2:$U$1001,0),0), INDEX($AB$1004:$AQ$1004,1,MATCH(COLUMNS($AB$1006:AB1006),$AB$1006:$AQ$1006,0)))),"Fix")))</f>
        <v>0</v>
      </c>
      <c r="C868" s="4">
        <f>IF(OR(INDEX($V$2:$V$1001,MATCH(ROWS($U$2:U868),$U$2:$U$1001,0),1)&gt;=100000,INDEX($AB$1005:$AQ$1005,1,MATCH(COLUMNS($AB$1006:AC1006),$AB$1006:$AQ$1006,0))&gt;=100000), " ",IF(INDEX($AB$2:$AQ$1001,MATCH(ROWS($U$2:U868),$U$2:$U$1001,0),MATCH(COLUMNS($AB$1006:AC1006),$AB$1006:$AQ$1006,0)), HYPERLINK("#",""), HYPERLINK(CONCATENATE("#metadata!", ADDRESS(INDEX($W$2:$W$1001,MATCH(ROWS($U$2:U868),$U$2:$U$1001,0),0), INDEX($AB$1004:$AQ$1004,1,MATCH(COLUMNS($AB$1006:AC1006),$AB$1006:$AQ$1006,0)))),"Fix")))</f>
        <v>0</v>
      </c>
      <c r="D868" s="4">
        <f>IF(OR(INDEX($V$2:$V$1001,MATCH(ROWS($U$2:U868),$U$2:$U$1001,0),1)&gt;=100000,INDEX($AB$1005:$AQ$1005,1,MATCH(COLUMNS($AB$1006:AD1006),$AB$1006:$AQ$1006,0))&gt;=100000), " ",IF(INDEX($AB$2:$AQ$1001,MATCH(ROWS($U$2:U868),$U$2:$U$1001,0),MATCH(COLUMNS($AB$1006:AD1006),$AB$1006:$AQ$1006,0)), HYPERLINK("#",""), HYPERLINK(CONCATENATE("#metadata!", ADDRESS(INDEX($W$2:$W$1001,MATCH(ROWS($U$2:U868),$U$2:$U$1001,0),0), INDEX($AB$1004:$AQ$1004,1,MATCH(COLUMNS($AB$1006:AD1006),$AB$1006:$AQ$1006,0)))),"Fix")))</f>
        <v>0</v>
      </c>
      <c r="E868" s="4">
        <f>IF(OR(INDEX($V$2:$V$1001,MATCH(ROWS($U$2:U868),$U$2:$U$1001,0),1)&gt;=100000,INDEX($AB$1005:$AQ$1005,1,MATCH(COLUMNS($AB$1006:AE1006),$AB$1006:$AQ$1006,0))&gt;=100000), " ",IF(INDEX($AB$2:$AQ$1001,MATCH(ROWS($U$2:U868),$U$2:$U$1001,0),MATCH(COLUMNS($AB$1006:AE1006),$AB$1006:$AQ$1006,0)), HYPERLINK("#",""), HYPERLINK(CONCATENATE("#metadata!", ADDRESS(INDEX($W$2:$W$1001,MATCH(ROWS($U$2:U868),$U$2:$U$1001,0),0), INDEX($AB$1004:$AQ$1004,1,MATCH(COLUMNS($AB$1006:AE1006),$AB$1006:$AQ$1006,0)))),"Fix")))</f>
        <v>0</v>
      </c>
      <c r="F868" s="4">
        <f>IF(OR(INDEX($V$2:$V$1001,MATCH(ROWS($U$2:U868),$U$2:$U$1001,0),1)&gt;=100000,INDEX($AB$1005:$AQ$1005,1,MATCH(COLUMNS($AB$1006:AF1006),$AB$1006:$AQ$1006,0))&gt;=100000), " ",IF(INDEX($AB$2:$AQ$1001,MATCH(ROWS($U$2:U868),$U$2:$U$1001,0),MATCH(COLUMNS($AB$1006:AF1006),$AB$1006:$AQ$1006,0)), HYPERLINK("#",""), HYPERLINK(CONCATENATE("#metadata!", ADDRESS(INDEX($W$2:$W$1001,MATCH(ROWS($U$2:U868),$U$2:$U$1001,0),0), INDEX($AB$1004:$AQ$1004,1,MATCH(COLUMNS($AB$1006:AF1006),$AB$1006:$AQ$1006,0)))),"Fix")))</f>
        <v>0</v>
      </c>
      <c r="G868" s="4">
        <f>IF(OR(INDEX($V$2:$V$1001,MATCH(ROWS($U$2:U868),$U$2:$U$1001,0),1)&gt;=100000,INDEX($AB$1005:$AQ$1005,1,MATCH(COLUMNS($AB$1006:AG1006),$AB$1006:$AQ$1006,0))&gt;=100000), " ",IF(INDEX($AB$2:$AQ$1001,MATCH(ROWS($U$2:U868),$U$2:$U$1001,0),MATCH(COLUMNS($AB$1006:AG1006),$AB$1006:$AQ$1006,0)), HYPERLINK("#",""), HYPERLINK(CONCATENATE("#metadata!", ADDRESS(INDEX($W$2:$W$1001,MATCH(ROWS($U$2:U868),$U$2:$U$1001,0),0), INDEX($AB$1004:$AQ$1004,1,MATCH(COLUMNS($AB$1006:AG1006),$AB$1006:$AQ$1006,0)))),"Fix")))</f>
        <v>0</v>
      </c>
      <c r="H868" s="4">
        <f>IF(OR(INDEX($V$2:$V$1001,MATCH(ROWS($U$2:U868),$U$2:$U$1001,0),1)&gt;=100000,INDEX($AB$1005:$AQ$1005,1,MATCH(COLUMNS($AB$1006:AH1006),$AB$1006:$AQ$1006,0))&gt;=100000), " ",IF(INDEX($AB$2:$AQ$1001,MATCH(ROWS($U$2:U868),$U$2:$U$1001,0),MATCH(COLUMNS($AB$1006:AH1006),$AB$1006:$AQ$1006,0)), HYPERLINK("#",""), HYPERLINK(CONCATENATE("#metadata!", ADDRESS(INDEX($W$2:$W$1001,MATCH(ROWS($U$2:U868),$U$2:$U$1001,0),0), INDEX($AB$1004:$AQ$1004,1,MATCH(COLUMNS($AB$1006:AH1006),$AB$1006:$AQ$1006,0)))),"Fix")))</f>
        <v>0</v>
      </c>
      <c r="I868" s="4">
        <f>IF(OR(INDEX($V$2:$V$1001,MATCH(ROWS($U$2:U868),$U$2:$U$1001,0),1)&gt;=100000,INDEX($AB$1005:$AQ$1005,1,MATCH(COLUMNS($AB$1006:AI1006),$AB$1006:$AQ$1006,0))&gt;=100000), " ",IF(INDEX($AB$2:$AQ$1001,MATCH(ROWS($U$2:U868),$U$2:$U$1001,0),MATCH(COLUMNS($AB$1006:AI1006),$AB$1006:$AQ$1006,0)), HYPERLINK("#",""), HYPERLINK(CONCATENATE("#metadata!", ADDRESS(INDEX($W$2:$W$1001,MATCH(ROWS($U$2:U868),$U$2:$U$1001,0),0), INDEX($AB$1004:$AQ$1004,1,MATCH(COLUMNS($AB$1006:AI1006),$AB$1006:$AQ$1006,0)))),"Fix")))</f>
        <v>0</v>
      </c>
      <c r="J868" s="4">
        <f>IF(OR(INDEX($V$2:$V$1001,MATCH(ROWS($U$2:U868),$U$2:$U$1001,0),1)&gt;=100000,INDEX($AB$1005:$AQ$1005,1,MATCH(COLUMNS($AB$1006:AJ1006),$AB$1006:$AQ$1006,0))&gt;=100000), " ",IF(INDEX($AB$2:$AQ$1001,MATCH(ROWS($U$2:U868),$U$2:$U$1001,0),MATCH(COLUMNS($AB$1006:AJ1006),$AB$1006:$AQ$1006,0)), HYPERLINK("#",""), HYPERLINK(CONCATENATE("#metadata!", ADDRESS(INDEX($W$2:$W$1001,MATCH(ROWS($U$2:U868),$U$2:$U$1001,0),0), INDEX($AB$1004:$AQ$1004,1,MATCH(COLUMNS($AB$1006:AJ1006),$AB$1006:$AQ$1006,0)))),"Fix")))</f>
        <v>0</v>
      </c>
      <c r="K868" s="4">
        <f>IF(OR(INDEX($V$2:$V$1001,MATCH(ROWS($U$2:U868),$U$2:$U$1001,0),1)&gt;=100000,INDEX($AB$1005:$AQ$1005,1,MATCH(COLUMNS($AB$1006:AK1006),$AB$1006:$AQ$1006,0))&gt;=100000), " ",IF(INDEX($AB$2:$AQ$1001,MATCH(ROWS($U$2:U868),$U$2:$U$1001,0),MATCH(COLUMNS($AB$1006:AK1006),$AB$1006:$AQ$1006,0)), HYPERLINK("#",""), HYPERLINK(CONCATENATE("#metadata!", ADDRESS(INDEX($W$2:$W$1001,MATCH(ROWS($U$2:U868),$U$2:$U$1001,0),0), INDEX($AB$1004:$AQ$1004,1,MATCH(COLUMNS($AB$1006:AK1006),$AB$1006:$AQ$1006,0)))),"Fix")))</f>
        <v>0</v>
      </c>
      <c r="L868" s="4">
        <f>IF(OR(INDEX($V$2:$V$1001,MATCH(ROWS($U$2:U868),$U$2:$U$1001,0),1)&gt;=100000,INDEX($AB$1005:$AQ$1005,1,MATCH(COLUMNS($AB$1006:AL1006),$AB$1006:$AQ$1006,0))&gt;=100000), " ",IF(INDEX($AB$2:$AQ$1001,MATCH(ROWS($U$2:U868),$U$2:$U$1001,0),MATCH(COLUMNS($AB$1006:AL1006),$AB$1006:$AQ$1006,0)), HYPERLINK("#",""), HYPERLINK(CONCATENATE("#metadata!", ADDRESS(INDEX($W$2:$W$1001,MATCH(ROWS($U$2:U868),$U$2:$U$1001,0),0), INDEX($AB$1004:$AQ$1004,1,MATCH(COLUMNS($AB$1006:AL1006),$AB$1006:$AQ$1006,0)))),"Fix")))</f>
        <v>0</v>
      </c>
      <c r="M868" s="4">
        <f>IF(OR(INDEX($V$2:$V$1001,MATCH(ROWS($U$2:U868),$U$2:$U$1001,0),1)&gt;=100000,INDEX($AB$1005:$AQ$1005,1,MATCH(COLUMNS($AB$1006:AM1006),$AB$1006:$AQ$1006,0))&gt;=100000), " ",IF(INDEX($AB$2:$AQ$1001,MATCH(ROWS($U$2:U868),$U$2:$U$1001,0),MATCH(COLUMNS($AB$1006:AM1006),$AB$1006:$AQ$1006,0)), HYPERLINK("#",""), HYPERLINK(CONCATENATE("#metadata!", ADDRESS(INDEX($W$2:$W$1001,MATCH(ROWS($U$2:U868),$U$2:$U$1001,0),0), INDEX($AB$1004:$AQ$1004,1,MATCH(COLUMNS($AB$1006:AM1006),$AB$1006:$AQ$1006,0)))),"Fix")))</f>
        <v>0</v>
      </c>
      <c r="N868" s="4">
        <f>IF(OR(INDEX($V$2:$V$1001,MATCH(ROWS($U$2:U868),$U$2:$U$1001,0),1)&gt;=100000,INDEX($AB$1005:$AQ$1005,1,MATCH(COLUMNS($AB$1006:AN1006),$AB$1006:$AQ$1006,0))&gt;=100000), " ",IF(INDEX($AB$2:$AQ$1001,MATCH(ROWS($U$2:U868),$U$2:$U$1001,0),MATCH(COLUMNS($AB$1006:AN1006),$AB$1006:$AQ$1006,0)), HYPERLINK("#",""), HYPERLINK(CONCATENATE("#metadata!", ADDRESS(INDEX($W$2:$W$1001,MATCH(ROWS($U$2:U868),$U$2:$U$1001,0),0), INDEX($AB$1004:$AQ$1004,1,MATCH(COLUMNS($AB$1006:AN1006),$AB$1006:$AQ$1006,0)))),"Fix")))</f>
        <v>0</v>
      </c>
      <c r="O868" s="4">
        <f>IF(OR(INDEX($V$2:$V$1001,MATCH(ROWS($U$2:U868),$U$2:$U$1001,0),1)&gt;=100000,INDEX($AB$1005:$AQ$1005,1,MATCH(COLUMNS($AB$1006:AO1006),$AB$1006:$AQ$1006,0))&gt;=100000), " ",IF(INDEX($AB$2:$AQ$1001,MATCH(ROWS($U$2:U868),$U$2:$U$1001,0),MATCH(COLUMNS($AB$1006:AO1006),$AB$1006:$AQ$1006,0)), HYPERLINK("#",""), HYPERLINK(CONCATENATE("#metadata!", ADDRESS(INDEX($W$2:$W$1001,MATCH(ROWS($U$2:U868),$U$2:$U$1001,0),0), INDEX($AB$1004:$AQ$1004,1,MATCH(COLUMNS($AB$1006:AO1006),$AB$1006:$AQ$1006,0)))),"Fix")))</f>
        <v>0</v>
      </c>
      <c r="P868" s="4">
        <f>IF(OR(INDEX($V$2:$V$1001,MATCH(ROWS($U$2:U868),$U$2:$U$1001,0),1)&gt;=100000,INDEX($AB$1005:$AQ$1005,1,MATCH(COLUMNS($AB$1006:AP1006),$AB$1006:$AQ$1006,0))&gt;=100000), " ",IF(INDEX($AB$2:$AQ$1001,MATCH(ROWS($U$2:U868),$U$2:$U$1001,0),MATCH(COLUMNS($AB$1006:AP1006),$AB$1006:$AQ$1006,0)), HYPERLINK("#",""), HYPERLINK(CONCATENATE("#metadata!", ADDRESS(INDEX($W$2:$W$1001,MATCH(ROWS($U$2:U868),$U$2:$U$1001,0),0), INDEX($AB$1004:$AQ$1004,1,MATCH(COLUMNS($AB$1006:AP1006),$AB$1006:$AQ$1006,0)))),"Fix")))</f>
        <v>0</v>
      </c>
      <c r="Q868" s="4">
        <f>IF(OR(INDEX($V$2:$V$1001,MATCH(ROWS($U$2:U868),$U$2:$U$1001,0),1)&gt;=100000,INDEX($AB$1005:$AQ$1005,1,MATCH(COLUMNS($AB$1006:AQ1006),$AB$1006:$AQ$1006,0))&gt;=100000), " ",IF(INDEX($AB$2:$AQ$1001,MATCH(ROWS($U$2:U868),$U$2:$U$1001,0),MATCH(COLUMNS($AB$1006:AQ1006),$AB$1006:$AQ$1006,0)), HYPERLINK("#",""), HYPERLINK(CONCATENATE("#metadata!", ADDRESS(INDEX($W$2:$W$1001,MATCH(ROWS($U$2:U868),$U$2:$U$1001,0),0), INDEX($AB$1004:$AQ$1004,1,MATCH(COLUMNS($AB$1006:AQ1006),$AB$1006:$AQ$1006,0)))),"Fix")))</f>
        <v>0</v>
      </c>
      <c r="U868">
        <v>0</v>
      </c>
      <c r="V868">
        <v>0</v>
      </c>
      <c r="W868">
        <v>0</v>
      </c>
      <c r="X868">
        <f>IF(Y868,TRUE,AND(AB868:AQ868))</f>
        <v>0</v>
      </c>
      <c r="Y868">
        <f>COUNTBLANK(metadata!B868:Q868)=COLUMNS(metadata!B868:Q868)</f>
        <v>0</v>
      </c>
      <c r="Z868">
        <v>0</v>
      </c>
      <c r="AB868">
        <f>AND(IF(metadata!B868="",FALSE,TRUE),COUNTIF(metadata!B:B, metadata!B868) = 1,NOT(ISERROR(SUMPRODUCT(SEARCH(MID(metadata!B868,ROW(INDIRECT("1:"&amp;LEN(metadata!B868))), 1),"0123456789abcdefghijklmnopqrstuvwxyzABCDEFGHIJKLMNOPQRSTUVWXYZ.")))))</f>
        <v>0</v>
      </c>
      <c r="AC868">
        <f>OR(AND(IF(metadata!C868="",FALSE,TRUE),OR(exact(metadata!C868,"missing: not collected"),exact(metadata!C868,"missing: not provided"),exact(metadata!C868,"missing: restricted access"))),AND(IF(metadata!C868="",FALSE,TRUE),AND(AND(IFERROR(INT(LEFT(metadata!C868,4))&gt;1900,FALSE),IFERROR(INT(LEFT(metadata!C868,4))&lt;=YEAR(NOW()),FALSE)), OR(MID(metadata!C868,5,1)="", AND(AND(MID(metadata!C868,5,1)="-",IFERROR(INT(MID(metadata!C868,6,1))&gt;=0,FALSE),IFERROR(INT(MID(metadata!C868,6,1))&lt;=1,FALSE),NOT(MID(metadata!C868,7,1)=""),IFERROR(INT(MID(metadata!C868,6,2))&gt;=1,FALSE),IFERROR(INT(MID(metadata!C868,6,2))&lt;=12,FALSE)), OR(MID(metadata!C868,8,1)="", AND(AND(MID(metadata!C868,8,1)="-",IFERROR(INT(MID(metadata!C868,9,1))&gt;=0,FALSE),IFERROR(INT(MID(metadata!C868,9,1))&lt;=3,FALSE),NOT(MID(metadata!C868,10,1)=""),IFERROR(INT(MID(metadata!C868,9,2))&gt;=1,FALSE),IFERROR(INT(MID(metadata!C868,9,2))&lt;=31,FALSE)), OR(MID(metadata!C868,11,1)="", AND(AND(MID(metadata!C868,11,1)=" ",IFERROR(INT(MID(metadata!C868,12,1))&gt;=0,FALSE),IFERROR(INT(MID(metadata!C868,12,1))&lt;=2,FALSE),NOT(MID(metadata!C868,13,1)=""),IFERROR(INT(MID(metadata!C868,12,2))&gt;=0,FALSE),IFERROR(INT(MID(metadata!C868,12,2))&lt;=23,FALSE)), OR(MID(metadata!C868,14,1)="", AND(AND(MID(metadata!C868,14,1)=":",IFERROR(INT(MID(metadata!C868,15,1))&gt;=0,FALSE),IFERROR(INT(MID(metadata!C868,15,1))&lt;=5,FALSE),NOT(MID(metadata!C868,16,1)=""),IFERROR(INT(MID(metadata!C868,15,2))&gt;=0,FALSE),IFERROR(INT(MID(metadata!C868,15,2))&lt;=59,FALSE)), OR(MID(metadata!C868,17,1)="", AND(AND(MID(metadata!C868,17,1)=":",IFERROR(INT(MID(metadata!C868,18,1))&gt;=0,FALSE),IFERROR(INT(MID(metadata!C868,18,1))&lt;=5,FALSE),NOT(MID(metadata!C868,19,1)=""),IFERROR(INT(MID(metadata!C868,18,2))&gt;=0,FALSE),IFERROR(INT(MID(metadata!C868,18,2))&lt;=59,FALSE)), LEN(metadata!C868)&lt;=19)))))))))))))</f>
        <v>0</v>
      </c>
      <c r="AD868">
        <f>IF(metadata!D868="",FALSE,TRUE)</f>
        <v>0</v>
      </c>
      <c r="AE868">
        <f>OR(AND(IF(metadata!E868="",FALSE,TRUE),OR(exact(metadata!E868,"missing: not collected"),exact(metadata!E868,"missing: not provided"))),AND(IF(metadata!E868="",FALSE,TRUE),OR(exact(metadata!E868,"TRUE"),exact(metadata!E868,"FALSE"))))</f>
        <v>0</v>
      </c>
      <c r="AF868">
        <f>IF(metadata!F868="",FALSE,TRUE)</f>
        <v>0</v>
      </c>
      <c r="AG868">
        <f>IF(metadata!G868="",FALSE,TRUE)</f>
        <v>0</v>
      </c>
      <c r="AH868">
        <f>IF(metadata!H868="",FALSE,TRUE)</f>
        <v>0</v>
      </c>
      <c r="AI868">
        <f>OR(AND(IF(metadata!I868="",FALSE,TRUE),OR(exact(metadata!I868,"missing: not collected"),exact(metadata!I868,"missing: not provided"),exact(metadata!I868,"missing: restricted access"))),AND(IF(metadata!I868="",FALSE,TRUE),OR(exact(metadata!I868,"air"),exact(metadata!I868,"built environment"),exact(metadata!I868,"host-associated"),exact(metadata!I868,"human-associated"),exact(metadata!I868,"human-skin"),exact(metadata!I868,"human-oral"),exact(metadata!I868,"human-gut"),exact(metadata!I868,"human-vaginal"),exact(metadata!I868,"microbial mat/biofilm"),exact(metadata!I868,"misc environment"),exact(metadata!I868,"plant-associated"),exact(metadata!I868,"sediment"),exact(metadata!I868,"soil"),exact(metadata!I868,"wastewater/sludge"),exact(metadata!I868,"water"))))</f>
        <v>0</v>
      </c>
      <c r="AJ868">
        <f>IF(metadata!J868="",FALSE,TRUE)</f>
        <v>0</v>
      </c>
      <c r="AK868">
        <f>OR(AND(IF(metadata!K868="",FALSE,TRUE),OR(exact(metadata!K868,"missing: not collected"),exact(metadata!K868,"missing: not provided"),exact(metadata!K868,"missing: restricted access"))),AND(IF(metadata!K868="",FALSE,ISNUMBER(VALUE(metadata!K868))),metadata!K868&gt;=-90.00,metadata!K868&lt;=90.00))</f>
        <v>0</v>
      </c>
      <c r="AL868">
        <f>OR(AND(IF(metadata!L868="",FALSE,TRUE),OR(exact(metadata!L868,"missing: not collected"),exact(metadata!L868,"missing: not provided"),exact(metadata!L868,"missing: restricted access"))),AND(IF(metadata!L868="",FALSE,ISNUMBER(VALUE(metadata!L868))),metadata!L868&gt;=-180.00,metadata!L868&lt;=180.00))</f>
        <v>0</v>
      </c>
      <c r="AM868">
        <f>IF(metadata!M868="",FALSE,TRUE)</f>
        <v>0</v>
      </c>
      <c r="AN868">
        <f>OR(AND(IF(metadata!N868="",FALSE,TRUE),OR(exact(metadata!N868,"missing: not collected"),exact(metadata!N868,"missing: not provided"),exact(metadata!N868,"missing: restricted access"))),AND(IF(metadata!N868="",FALSE,TRUE),OR(exact(metadata!N868,"TRUE"),exact(metadata!N868,"FALSE"))))</f>
        <v>0</v>
      </c>
      <c r="AO868">
        <f>IF(metadata!O868="",FALSE,TRUE)</f>
        <v>0</v>
      </c>
      <c r="AP868">
        <f>OR(AND(IF(metadata!P868="",FALSE,TRUE),OR(exact(metadata!P868,"missing: not collected"),exact(metadata!P868,"missing: not provided"))),AND(IF(metadata!P868="",FALSE,IF(ISERROR(INT(metadata!P868)),FALSE,INT(metadata!P868)=metadata!P868)),metadata!P868&gt;0))</f>
        <v>0</v>
      </c>
      <c r="AQ868">
        <f>IF(metadata!Q868="",FALSE,TRUE)</f>
        <v>0</v>
      </c>
    </row>
    <row r="869" spans="1:43">
      <c r="A869" s="5">
        <f>IF(B869=" "," ",HYPERLINK(CONCATENATE("#metadata!",ADDRESS(INDEX($W$2:$W$1001,MATCH(ROWS($U$2:U869),$U$2:$U$1001,0),0),1)),INDEX($Z$2:$Z$1001,MATCH(ROWS($U$2:U869),$U$2:$U$1001,0),0)))</f>
        <v>0</v>
      </c>
      <c r="B869" s="4">
        <f>IF(OR(INDEX($V$2:$V$1001,MATCH(ROWS($U$2:U869),$U$2:$U$1001,0),1)&gt;=100000,INDEX($AB$1005:$AQ$1005,1,MATCH(COLUMNS($AB$1006:AB1006),$AB$1006:$AQ$1006,0))&gt;=100000), " ",IF(INDEX($AB$2:$AQ$1001,MATCH(ROWS($U$2:U869),$U$2:$U$1001,0),MATCH(COLUMNS($AB$1006:AB1006),$AB$1006:$AQ$1006,0)), HYPERLINK("#",""), HYPERLINK(CONCATENATE("#metadata!", ADDRESS(INDEX($W$2:$W$1001,MATCH(ROWS($U$2:U869),$U$2:$U$1001,0),0), INDEX($AB$1004:$AQ$1004,1,MATCH(COLUMNS($AB$1006:AB1006),$AB$1006:$AQ$1006,0)))),"Fix")))</f>
        <v>0</v>
      </c>
      <c r="C869" s="4">
        <f>IF(OR(INDEX($V$2:$V$1001,MATCH(ROWS($U$2:U869),$U$2:$U$1001,0),1)&gt;=100000,INDEX($AB$1005:$AQ$1005,1,MATCH(COLUMNS($AB$1006:AC1006),$AB$1006:$AQ$1006,0))&gt;=100000), " ",IF(INDEX($AB$2:$AQ$1001,MATCH(ROWS($U$2:U869),$U$2:$U$1001,0),MATCH(COLUMNS($AB$1006:AC1006),$AB$1006:$AQ$1006,0)), HYPERLINK("#",""), HYPERLINK(CONCATENATE("#metadata!", ADDRESS(INDEX($W$2:$W$1001,MATCH(ROWS($U$2:U869),$U$2:$U$1001,0),0), INDEX($AB$1004:$AQ$1004,1,MATCH(COLUMNS($AB$1006:AC1006),$AB$1006:$AQ$1006,0)))),"Fix")))</f>
        <v>0</v>
      </c>
      <c r="D869" s="4">
        <f>IF(OR(INDEX($V$2:$V$1001,MATCH(ROWS($U$2:U869),$U$2:$U$1001,0),1)&gt;=100000,INDEX($AB$1005:$AQ$1005,1,MATCH(COLUMNS($AB$1006:AD1006),$AB$1006:$AQ$1006,0))&gt;=100000), " ",IF(INDEX($AB$2:$AQ$1001,MATCH(ROWS($U$2:U869),$U$2:$U$1001,0),MATCH(COLUMNS($AB$1006:AD1006),$AB$1006:$AQ$1006,0)), HYPERLINK("#",""), HYPERLINK(CONCATENATE("#metadata!", ADDRESS(INDEX($W$2:$W$1001,MATCH(ROWS($U$2:U869),$U$2:$U$1001,0),0), INDEX($AB$1004:$AQ$1004,1,MATCH(COLUMNS($AB$1006:AD1006),$AB$1006:$AQ$1006,0)))),"Fix")))</f>
        <v>0</v>
      </c>
      <c r="E869" s="4">
        <f>IF(OR(INDEX($V$2:$V$1001,MATCH(ROWS($U$2:U869),$U$2:$U$1001,0),1)&gt;=100000,INDEX($AB$1005:$AQ$1005,1,MATCH(COLUMNS($AB$1006:AE1006),$AB$1006:$AQ$1006,0))&gt;=100000), " ",IF(INDEX($AB$2:$AQ$1001,MATCH(ROWS($U$2:U869),$U$2:$U$1001,0),MATCH(COLUMNS($AB$1006:AE1006),$AB$1006:$AQ$1006,0)), HYPERLINK("#",""), HYPERLINK(CONCATENATE("#metadata!", ADDRESS(INDEX($W$2:$W$1001,MATCH(ROWS($U$2:U869),$U$2:$U$1001,0),0), INDEX($AB$1004:$AQ$1004,1,MATCH(COLUMNS($AB$1006:AE1006),$AB$1006:$AQ$1006,0)))),"Fix")))</f>
        <v>0</v>
      </c>
      <c r="F869" s="4">
        <f>IF(OR(INDEX($V$2:$V$1001,MATCH(ROWS($U$2:U869),$U$2:$U$1001,0),1)&gt;=100000,INDEX($AB$1005:$AQ$1005,1,MATCH(COLUMNS($AB$1006:AF1006),$AB$1006:$AQ$1006,0))&gt;=100000), " ",IF(INDEX($AB$2:$AQ$1001,MATCH(ROWS($U$2:U869),$U$2:$U$1001,0),MATCH(COLUMNS($AB$1006:AF1006),$AB$1006:$AQ$1006,0)), HYPERLINK("#",""), HYPERLINK(CONCATENATE("#metadata!", ADDRESS(INDEX($W$2:$W$1001,MATCH(ROWS($U$2:U869),$U$2:$U$1001,0),0), INDEX($AB$1004:$AQ$1004,1,MATCH(COLUMNS($AB$1006:AF1006),$AB$1006:$AQ$1006,0)))),"Fix")))</f>
        <v>0</v>
      </c>
      <c r="G869" s="4">
        <f>IF(OR(INDEX($V$2:$V$1001,MATCH(ROWS($U$2:U869),$U$2:$U$1001,0),1)&gt;=100000,INDEX($AB$1005:$AQ$1005,1,MATCH(COLUMNS($AB$1006:AG1006),$AB$1006:$AQ$1006,0))&gt;=100000), " ",IF(INDEX($AB$2:$AQ$1001,MATCH(ROWS($U$2:U869),$U$2:$U$1001,0),MATCH(COLUMNS($AB$1006:AG1006),$AB$1006:$AQ$1006,0)), HYPERLINK("#",""), HYPERLINK(CONCATENATE("#metadata!", ADDRESS(INDEX($W$2:$W$1001,MATCH(ROWS($U$2:U869),$U$2:$U$1001,0),0), INDEX($AB$1004:$AQ$1004,1,MATCH(COLUMNS($AB$1006:AG1006),$AB$1006:$AQ$1006,0)))),"Fix")))</f>
        <v>0</v>
      </c>
      <c r="H869" s="4">
        <f>IF(OR(INDEX($V$2:$V$1001,MATCH(ROWS($U$2:U869),$U$2:$U$1001,0),1)&gt;=100000,INDEX($AB$1005:$AQ$1005,1,MATCH(COLUMNS($AB$1006:AH1006),$AB$1006:$AQ$1006,0))&gt;=100000), " ",IF(INDEX($AB$2:$AQ$1001,MATCH(ROWS($U$2:U869),$U$2:$U$1001,0),MATCH(COLUMNS($AB$1006:AH1006),$AB$1006:$AQ$1006,0)), HYPERLINK("#",""), HYPERLINK(CONCATENATE("#metadata!", ADDRESS(INDEX($W$2:$W$1001,MATCH(ROWS($U$2:U869),$U$2:$U$1001,0),0), INDEX($AB$1004:$AQ$1004,1,MATCH(COLUMNS($AB$1006:AH1006),$AB$1006:$AQ$1006,0)))),"Fix")))</f>
        <v>0</v>
      </c>
      <c r="I869" s="4">
        <f>IF(OR(INDEX($V$2:$V$1001,MATCH(ROWS($U$2:U869),$U$2:$U$1001,0),1)&gt;=100000,INDEX($AB$1005:$AQ$1005,1,MATCH(COLUMNS($AB$1006:AI1006),$AB$1006:$AQ$1006,0))&gt;=100000), " ",IF(INDEX($AB$2:$AQ$1001,MATCH(ROWS($U$2:U869),$U$2:$U$1001,0),MATCH(COLUMNS($AB$1006:AI1006),$AB$1006:$AQ$1006,0)), HYPERLINK("#",""), HYPERLINK(CONCATENATE("#metadata!", ADDRESS(INDEX($W$2:$W$1001,MATCH(ROWS($U$2:U869),$U$2:$U$1001,0),0), INDEX($AB$1004:$AQ$1004,1,MATCH(COLUMNS($AB$1006:AI1006),$AB$1006:$AQ$1006,0)))),"Fix")))</f>
        <v>0</v>
      </c>
      <c r="J869" s="4">
        <f>IF(OR(INDEX($V$2:$V$1001,MATCH(ROWS($U$2:U869),$U$2:$U$1001,0),1)&gt;=100000,INDEX($AB$1005:$AQ$1005,1,MATCH(COLUMNS($AB$1006:AJ1006),$AB$1006:$AQ$1006,0))&gt;=100000), " ",IF(INDEX($AB$2:$AQ$1001,MATCH(ROWS($U$2:U869),$U$2:$U$1001,0),MATCH(COLUMNS($AB$1006:AJ1006),$AB$1006:$AQ$1006,0)), HYPERLINK("#",""), HYPERLINK(CONCATENATE("#metadata!", ADDRESS(INDEX($W$2:$W$1001,MATCH(ROWS($U$2:U869),$U$2:$U$1001,0),0), INDEX($AB$1004:$AQ$1004,1,MATCH(COLUMNS($AB$1006:AJ1006),$AB$1006:$AQ$1006,0)))),"Fix")))</f>
        <v>0</v>
      </c>
      <c r="K869" s="4">
        <f>IF(OR(INDEX($V$2:$V$1001,MATCH(ROWS($U$2:U869),$U$2:$U$1001,0),1)&gt;=100000,INDEX($AB$1005:$AQ$1005,1,MATCH(COLUMNS($AB$1006:AK1006),$AB$1006:$AQ$1006,0))&gt;=100000), " ",IF(INDEX($AB$2:$AQ$1001,MATCH(ROWS($U$2:U869),$U$2:$U$1001,0),MATCH(COLUMNS($AB$1006:AK1006),$AB$1006:$AQ$1006,0)), HYPERLINK("#",""), HYPERLINK(CONCATENATE("#metadata!", ADDRESS(INDEX($W$2:$W$1001,MATCH(ROWS($U$2:U869),$U$2:$U$1001,0),0), INDEX($AB$1004:$AQ$1004,1,MATCH(COLUMNS($AB$1006:AK1006),$AB$1006:$AQ$1006,0)))),"Fix")))</f>
        <v>0</v>
      </c>
      <c r="L869" s="4">
        <f>IF(OR(INDEX($V$2:$V$1001,MATCH(ROWS($U$2:U869),$U$2:$U$1001,0),1)&gt;=100000,INDEX($AB$1005:$AQ$1005,1,MATCH(COLUMNS($AB$1006:AL1006),$AB$1006:$AQ$1006,0))&gt;=100000), " ",IF(INDEX($AB$2:$AQ$1001,MATCH(ROWS($U$2:U869),$U$2:$U$1001,0),MATCH(COLUMNS($AB$1006:AL1006),$AB$1006:$AQ$1006,0)), HYPERLINK("#",""), HYPERLINK(CONCATENATE("#metadata!", ADDRESS(INDEX($W$2:$W$1001,MATCH(ROWS($U$2:U869),$U$2:$U$1001,0),0), INDEX($AB$1004:$AQ$1004,1,MATCH(COLUMNS($AB$1006:AL1006),$AB$1006:$AQ$1006,0)))),"Fix")))</f>
        <v>0</v>
      </c>
      <c r="M869" s="4">
        <f>IF(OR(INDEX($V$2:$V$1001,MATCH(ROWS($U$2:U869),$U$2:$U$1001,0),1)&gt;=100000,INDEX($AB$1005:$AQ$1005,1,MATCH(COLUMNS($AB$1006:AM1006),$AB$1006:$AQ$1006,0))&gt;=100000), " ",IF(INDEX($AB$2:$AQ$1001,MATCH(ROWS($U$2:U869),$U$2:$U$1001,0),MATCH(COLUMNS($AB$1006:AM1006),$AB$1006:$AQ$1006,0)), HYPERLINK("#",""), HYPERLINK(CONCATENATE("#metadata!", ADDRESS(INDEX($W$2:$W$1001,MATCH(ROWS($U$2:U869),$U$2:$U$1001,0),0), INDEX($AB$1004:$AQ$1004,1,MATCH(COLUMNS($AB$1006:AM1006),$AB$1006:$AQ$1006,0)))),"Fix")))</f>
        <v>0</v>
      </c>
      <c r="N869" s="4">
        <f>IF(OR(INDEX($V$2:$V$1001,MATCH(ROWS($U$2:U869),$U$2:$U$1001,0),1)&gt;=100000,INDEX($AB$1005:$AQ$1005,1,MATCH(COLUMNS($AB$1006:AN1006),$AB$1006:$AQ$1006,0))&gt;=100000), " ",IF(INDEX($AB$2:$AQ$1001,MATCH(ROWS($U$2:U869),$U$2:$U$1001,0),MATCH(COLUMNS($AB$1006:AN1006),$AB$1006:$AQ$1006,0)), HYPERLINK("#",""), HYPERLINK(CONCATENATE("#metadata!", ADDRESS(INDEX($W$2:$W$1001,MATCH(ROWS($U$2:U869),$U$2:$U$1001,0),0), INDEX($AB$1004:$AQ$1004,1,MATCH(COLUMNS($AB$1006:AN1006),$AB$1006:$AQ$1006,0)))),"Fix")))</f>
        <v>0</v>
      </c>
      <c r="O869" s="4">
        <f>IF(OR(INDEX($V$2:$V$1001,MATCH(ROWS($U$2:U869),$U$2:$U$1001,0),1)&gt;=100000,INDEX($AB$1005:$AQ$1005,1,MATCH(COLUMNS($AB$1006:AO1006),$AB$1006:$AQ$1006,0))&gt;=100000), " ",IF(INDEX($AB$2:$AQ$1001,MATCH(ROWS($U$2:U869),$U$2:$U$1001,0),MATCH(COLUMNS($AB$1006:AO1006),$AB$1006:$AQ$1006,0)), HYPERLINK("#",""), HYPERLINK(CONCATENATE("#metadata!", ADDRESS(INDEX($W$2:$W$1001,MATCH(ROWS($U$2:U869),$U$2:$U$1001,0),0), INDEX($AB$1004:$AQ$1004,1,MATCH(COLUMNS($AB$1006:AO1006),$AB$1006:$AQ$1006,0)))),"Fix")))</f>
        <v>0</v>
      </c>
      <c r="P869" s="4">
        <f>IF(OR(INDEX($V$2:$V$1001,MATCH(ROWS($U$2:U869),$U$2:$U$1001,0),1)&gt;=100000,INDEX($AB$1005:$AQ$1005,1,MATCH(COLUMNS($AB$1006:AP1006),$AB$1006:$AQ$1006,0))&gt;=100000), " ",IF(INDEX($AB$2:$AQ$1001,MATCH(ROWS($U$2:U869),$U$2:$U$1001,0),MATCH(COLUMNS($AB$1006:AP1006),$AB$1006:$AQ$1006,0)), HYPERLINK("#",""), HYPERLINK(CONCATENATE("#metadata!", ADDRESS(INDEX($W$2:$W$1001,MATCH(ROWS($U$2:U869),$U$2:$U$1001,0),0), INDEX($AB$1004:$AQ$1004,1,MATCH(COLUMNS($AB$1006:AP1006),$AB$1006:$AQ$1006,0)))),"Fix")))</f>
        <v>0</v>
      </c>
      <c r="Q869" s="4">
        <f>IF(OR(INDEX($V$2:$V$1001,MATCH(ROWS($U$2:U869),$U$2:$U$1001,0),1)&gt;=100000,INDEX($AB$1005:$AQ$1005,1,MATCH(COLUMNS($AB$1006:AQ1006),$AB$1006:$AQ$1006,0))&gt;=100000), " ",IF(INDEX($AB$2:$AQ$1001,MATCH(ROWS($U$2:U869),$U$2:$U$1001,0),MATCH(COLUMNS($AB$1006:AQ1006),$AB$1006:$AQ$1006,0)), HYPERLINK("#",""), HYPERLINK(CONCATENATE("#metadata!", ADDRESS(INDEX($W$2:$W$1001,MATCH(ROWS($U$2:U869),$U$2:$U$1001,0),0), INDEX($AB$1004:$AQ$1004,1,MATCH(COLUMNS($AB$1006:AQ1006),$AB$1006:$AQ$1006,0)))),"Fix")))</f>
        <v>0</v>
      </c>
      <c r="U869">
        <v>0</v>
      </c>
      <c r="V869">
        <v>0</v>
      </c>
      <c r="W869">
        <v>0</v>
      </c>
      <c r="X869">
        <f>IF(Y869,TRUE,AND(AB869:AQ869))</f>
        <v>0</v>
      </c>
      <c r="Y869">
        <f>COUNTBLANK(metadata!B869:Q869)=COLUMNS(metadata!B869:Q869)</f>
        <v>0</v>
      </c>
      <c r="Z869">
        <v>0</v>
      </c>
      <c r="AB869">
        <f>AND(IF(metadata!B869="",FALSE,TRUE),COUNTIF(metadata!B:B, metadata!B869) = 1,NOT(ISERROR(SUMPRODUCT(SEARCH(MID(metadata!B869,ROW(INDIRECT("1:"&amp;LEN(metadata!B869))), 1),"0123456789abcdefghijklmnopqrstuvwxyzABCDEFGHIJKLMNOPQRSTUVWXYZ.")))))</f>
        <v>0</v>
      </c>
      <c r="AC869">
        <f>OR(AND(IF(metadata!C869="",FALSE,TRUE),OR(exact(metadata!C869,"missing: not collected"),exact(metadata!C869,"missing: not provided"),exact(metadata!C869,"missing: restricted access"))),AND(IF(metadata!C869="",FALSE,TRUE),AND(AND(IFERROR(INT(LEFT(metadata!C869,4))&gt;1900,FALSE),IFERROR(INT(LEFT(metadata!C869,4))&lt;=YEAR(NOW()),FALSE)), OR(MID(metadata!C869,5,1)="", AND(AND(MID(metadata!C869,5,1)="-",IFERROR(INT(MID(metadata!C869,6,1))&gt;=0,FALSE),IFERROR(INT(MID(metadata!C869,6,1))&lt;=1,FALSE),NOT(MID(metadata!C869,7,1)=""),IFERROR(INT(MID(metadata!C869,6,2))&gt;=1,FALSE),IFERROR(INT(MID(metadata!C869,6,2))&lt;=12,FALSE)), OR(MID(metadata!C869,8,1)="", AND(AND(MID(metadata!C869,8,1)="-",IFERROR(INT(MID(metadata!C869,9,1))&gt;=0,FALSE),IFERROR(INT(MID(metadata!C869,9,1))&lt;=3,FALSE),NOT(MID(metadata!C869,10,1)=""),IFERROR(INT(MID(metadata!C869,9,2))&gt;=1,FALSE),IFERROR(INT(MID(metadata!C869,9,2))&lt;=31,FALSE)), OR(MID(metadata!C869,11,1)="", AND(AND(MID(metadata!C869,11,1)=" ",IFERROR(INT(MID(metadata!C869,12,1))&gt;=0,FALSE),IFERROR(INT(MID(metadata!C869,12,1))&lt;=2,FALSE),NOT(MID(metadata!C869,13,1)=""),IFERROR(INT(MID(metadata!C869,12,2))&gt;=0,FALSE),IFERROR(INT(MID(metadata!C869,12,2))&lt;=23,FALSE)), OR(MID(metadata!C869,14,1)="", AND(AND(MID(metadata!C869,14,1)=":",IFERROR(INT(MID(metadata!C869,15,1))&gt;=0,FALSE),IFERROR(INT(MID(metadata!C869,15,1))&lt;=5,FALSE),NOT(MID(metadata!C869,16,1)=""),IFERROR(INT(MID(metadata!C869,15,2))&gt;=0,FALSE),IFERROR(INT(MID(metadata!C869,15,2))&lt;=59,FALSE)), OR(MID(metadata!C869,17,1)="", AND(AND(MID(metadata!C869,17,1)=":",IFERROR(INT(MID(metadata!C869,18,1))&gt;=0,FALSE),IFERROR(INT(MID(metadata!C869,18,1))&lt;=5,FALSE),NOT(MID(metadata!C869,19,1)=""),IFERROR(INT(MID(metadata!C869,18,2))&gt;=0,FALSE),IFERROR(INT(MID(metadata!C869,18,2))&lt;=59,FALSE)), LEN(metadata!C869)&lt;=19)))))))))))))</f>
        <v>0</v>
      </c>
      <c r="AD869">
        <f>IF(metadata!D869="",FALSE,TRUE)</f>
        <v>0</v>
      </c>
      <c r="AE869">
        <f>OR(AND(IF(metadata!E869="",FALSE,TRUE),OR(exact(metadata!E869,"missing: not collected"),exact(metadata!E869,"missing: not provided"))),AND(IF(metadata!E869="",FALSE,TRUE),OR(exact(metadata!E869,"TRUE"),exact(metadata!E869,"FALSE"))))</f>
        <v>0</v>
      </c>
      <c r="AF869">
        <f>IF(metadata!F869="",FALSE,TRUE)</f>
        <v>0</v>
      </c>
      <c r="AG869">
        <f>IF(metadata!G869="",FALSE,TRUE)</f>
        <v>0</v>
      </c>
      <c r="AH869">
        <f>IF(metadata!H869="",FALSE,TRUE)</f>
        <v>0</v>
      </c>
      <c r="AI869">
        <f>OR(AND(IF(metadata!I869="",FALSE,TRUE),OR(exact(metadata!I869,"missing: not collected"),exact(metadata!I869,"missing: not provided"),exact(metadata!I869,"missing: restricted access"))),AND(IF(metadata!I869="",FALSE,TRUE),OR(exact(metadata!I869,"air"),exact(metadata!I869,"built environment"),exact(metadata!I869,"host-associated"),exact(metadata!I869,"human-associated"),exact(metadata!I869,"human-skin"),exact(metadata!I869,"human-oral"),exact(metadata!I869,"human-gut"),exact(metadata!I869,"human-vaginal"),exact(metadata!I869,"microbial mat/biofilm"),exact(metadata!I869,"misc environment"),exact(metadata!I869,"plant-associated"),exact(metadata!I869,"sediment"),exact(metadata!I869,"soil"),exact(metadata!I869,"wastewater/sludge"),exact(metadata!I869,"water"))))</f>
        <v>0</v>
      </c>
      <c r="AJ869">
        <f>IF(metadata!J869="",FALSE,TRUE)</f>
        <v>0</v>
      </c>
      <c r="AK869">
        <f>OR(AND(IF(metadata!K869="",FALSE,TRUE),OR(exact(metadata!K869,"missing: not collected"),exact(metadata!K869,"missing: not provided"),exact(metadata!K869,"missing: restricted access"))),AND(IF(metadata!K869="",FALSE,ISNUMBER(VALUE(metadata!K869))),metadata!K869&gt;=-90.00,metadata!K869&lt;=90.00))</f>
        <v>0</v>
      </c>
      <c r="AL869">
        <f>OR(AND(IF(metadata!L869="",FALSE,TRUE),OR(exact(metadata!L869,"missing: not collected"),exact(metadata!L869,"missing: not provided"),exact(metadata!L869,"missing: restricted access"))),AND(IF(metadata!L869="",FALSE,ISNUMBER(VALUE(metadata!L869))),metadata!L869&gt;=-180.00,metadata!L869&lt;=180.00))</f>
        <v>0</v>
      </c>
      <c r="AM869">
        <f>IF(metadata!M869="",FALSE,TRUE)</f>
        <v>0</v>
      </c>
      <c r="AN869">
        <f>OR(AND(IF(metadata!N869="",FALSE,TRUE),OR(exact(metadata!N869,"missing: not collected"),exact(metadata!N869,"missing: not provided"),exact(metadata!N869,"missing: restricted access"))),AND(IF(metadata!N869="",FALSE,TRUE),OR(exact(metadata!N869,"TRUE"),exact(metadata!N869,"FALSE"))))</f>
        <v>0</v>
      </c>
      <c r="AO869">
        <f>IF(metadata!O869="",FALSE,TRUE)</f>
        <v>0</v>
      </c>
      <c r="AP869">
        <f>OR(AND(IF(metadata!P869="",FALSE,TRUE),OR(exact(metadata!P869,"missing: not collected"),exact(metadata!P869,"missing: not provided"))),AND(IF(metadata!P869="",FALSE,IF(ISERROR(INT(metadata!P869)),FALSE,INT(metadata!P869)=metadata!P869)),metadata!P869&gt;0))</f>
        <v>0</v>
      </c>
      <c r="AQ869">
        <f>IF(metadata!Q869="",FALSE,TRUE)</f>
        <v>0</v>
      </c>
    </row>
    <row r="870" spans="1:43">
      <c r="A870" s="5">
        <f>IF(B870=" "," ",HYPERLINK(CONCATENATE("#metadata!",ADDRESS(INDEX($W$2:$W$1001,MATCH(ROWS($U$2:U870),$U$2:$U$1001,0),0),1)),INDEX($Z$2:$Z$1001,MATCH(ROWS($U$2:U870),$U$2:$U$1001,0),0)))</f>
        <v>0</v>
      </c>
      <c r="B870" s="4">
        <f>IF(OR(INDEX($V$2:$V$1001,MATCH(ROWS($U$2:U870),$U$2:$U$1001,0),1)&gt;=100000,INDEX($AB$1005:$AQ$1005,1,MATCH(COLUMNS($AB$1006:AB1006),$AB$1006:$AQ$1006,0))&gt;=100000), " ",IF(INDEX($AB$2:$AQ$1001,MATCH(ROWS($U$2:U870),$U$2:$U$1001,0),MATCH(COLUMNS($AB$1006:AB1006),$AB$1006:$AQ$1006,0)), HYPERLINK("#",""), HYPERLINK(CONCATENATE("#metadata!", ADDRESS(INDEX($W$2:$W$1001,MATCH(ROWS($U$2:U870),$U$2:$U$1001,0),0), INDEX($AB$1004:$AQ$1004,1,MATCH(COLUMNS($AB$1006:AB1006),$AB$1006:$AQ$1006,0)))),"Fix")))</f>
        <v>0</v>
      </c>
      <c r="C870" s="4">
        <f>IF(OR(INDEX($V$2:$V$1001,MATCH(ROWS($U$2:U870),$U$2:$U$1001,0),1)&gt;=100000,INDEX($AB$1005:$AQ$1005,1,MATCH(COLUMNS($AB$1006:AC1006),$AB$1006:$AQ$1006,0))&gt;=100000), " ",IF(INDEX($AB$2:$AQ$1001,MATCH(ROWS($U$2:U870),$U$2:$U$1001,0),MATCH(COLUMNS($AB$1006:AC1006),$AB$1006:$AQ$1006,0)), HYPERLINK("#",""), HYPERLINK(CONCATENATE("#metadata!", ADDRESS(INDEX($W$2:$W$1001,MATCH(ROWS($U$2:U870),$U$2:$U$1001,0),0), INDEX($AB$1004:$AQ$1004,1,MATCH(COLUMNS($AB$1006:AC1006),$AB$1006:$AQ$1006,0)))),"Fix")))</f>
        <v>0</v>
      </c>
      <c r="D870" s="4">
        <f>IF(OR(INDEX($V$2:$V$1001,MATCH(ROWS($U$2:U870),$U$2:$U$1001,0),1)&gt;=100000,INDEX($AB$1005:$AQ$1005,1,MATCH(COLUMNS($AB$1006:AD1006),$AB$1006:$AQ$1006,0))&gt;=100000), " ",IF(INDEX($AB$2:$AQ$1001,MATCH(ROWS($U$2:U870),$U$2:$U$1001,0),MATCH(COLUMNS($AB$1006:AD1006),$AB$1006:$AQ$1006,0)), HYPERLINK("#",""), HYPERLINK(CONCATENATE("#metadata!", ADDRESS(INDEX($W$2:$W$1001,MATCH(ROWS($U$2:U870),$U$2:$U$1001,0),0), INDEX($AB$1004:$AQ$1004,1,MATCH(COLUMNS($AB$1006:AD1006),$AB$1006:$AQ$1006,0)))),"Fix")))</f>
        <v>0</v>
      </c>
      <c r="E870" s="4">
        <f>IF(OR(INDEX($V$2:$V$1001,MATCH(ROWS($U$2:U870),$U$2:$U$1001,0),1)&gt;=100000,INDEX($AB$1005:$AQ$1005,1,MATCH(COLUMNS($AB$1006:AE1006),$AB$1006:$AQ$1006,0))&gt;=100000), " ",IF(INDEX($AB$2:$AQ$1001,MATCH(ROWS($U$2:U870),$U$2:$U$1001,0),MATCH(COLUMNS($AB$1006:AE1006),$AB$1006:$AQ$1006,0)), HYPERLINK("#",""), HYPERLINK(CONCATENATE("#metadata!", ADDRESS(INDEX($W$2:$W$1001,MATCH(ROWS($U$2:U870),$U$2:$U$1001,0),0), INDEX($AB$1004:$AQ$1004,1,MATCH(COLUMNS($AB$1006:AE1006),$AB$1006:$AQ$1006,0)))),"Fix")))</f>
        <v>0</v>
      </c>
      <c r="F870" s="4">
        <f>IF(OR(INDEX($V$2:$V$1001,MATCH(ROWS($U$2:U870),$U$2:$U$1001,0),1)&gt;=100000,INDEX($AB$1005:$AQ$1005,1,MATCH(COLUMNS($AB$1006:AF1006),$AB$1006:$AQ$1006,0))&gt;=100000), " ",IF(INDEX($AB$2:$AQ$1001,MATCH(ROWS($U$2:U870),$U$2:$U$1001,0),MATCH(COLUMNS($AB$1006:AF1006),$AB$1006:$AQ$1006,0)), HYPERLINK("#",""), HYPERLINK(CONCATENATE("#metadata!", ADDRESS(INDEX($W$2:$W$1001,MATCH(ROWS($U$2:U870),$U$2:$U$1001,0),0), INDEX($AB$1004:$AQ$1004,1,MATCH(COLUMNS($AB$1006:AF1006),$AB$1006:$AQ$1006,0)))),"Fix")))</f>
        <v>0</v>
      </c>
      <c r="G870" s="4">
        <f>IF(OR(INDEX($V$2:$V$1001,MATCH(ROWS($U$2:U870),$U$2:$U$1001,0),1)&gt;=100000,INDEX($AB$1005:$AQ$1005,1,MATCH(COLUMNS($AB$1006:AG1006),$AB$1006:$AQ$1006,0))&gt;=100000), " ",IF(INDEX($AB$2:$AQ$1001,MATCH(ROWS($U$2:U870),$U$2:$U$1001,0),MATCH(COLUMNS($AB$1006:AG1006),$AB$1006:$AQ$1006,0)), HYPERLINK("#",""), HYPERLINK(CONCATENATE("#metadata!", ADDRESS(INDEX($W$2:$W$1001,MATCH(ROWS($U$2:U870),$U$2:$U$1001,0),0), INDEX($AB$1004:$AQ$1004,1,MATCH(COLUMNS($AB$1006:AG1006),$AB$1006:$AQ$1006,0)))),"Fix")))</f>
        <v>0</v>
      </c>
      <c r="H870" s="4">
        <f>IF(OR(INDEX($V$2:$V$1001,MATCH(ROWS($U$2:U870),$U$2:$U$1001,0),1)&gt;=100000,INDEX($AB$1005:$AQ$1005,1,MATCH(COLUMNS($AB$1006:AH1006),$AB$1006:$AQ$1006,0))&gt;=100000), " ",IF(INDEX($AB$2:$AQ$1001,MATCH(ROWS($U$2:U870),$U$2:$U$1001,0),MATCH(COLUMNS($AB$1006:AH1006),$AB$1006:$AQ$1006,0)), HYPERLINK("#",""), HYPERLINK(CONCATENATE("#metadata!", ADDRESS(INDEX($W$2:$W$1001,MATCH(ROWS($U$2:U870),$U$2:$U$1001,0),0), INDEX($AB$1004:$AQ$1004,1,MATCH(COLUMNS($AB$1006:AH1006),$AB$1006:$AQ$1006,0)))),"Fix")))</f>
        <v>0</v>
      </c>
      <c r="I870" s="4">
        <f>IF(OR(INDEX($V$2:$V$1001,MATCH(ROWS($U$2:U870),$U$2:$U$1001,0),1)&gt;=100000,INDEX($AB$1005:$AQ$1005,1,MATCH(COLUMNS($AB$1006:AI1006),$AB$1006:$AQ$1006,0))&gt;=100000), " ",IF(INDEX($AB$2:$AQ$1001,MATCH(ROWS($U$2:U870),$U$2:$U$1001,0),MATCH(COLUMNS($AB$1006:AI1006),$AB$1006:$AQ$1006,0)), HYPERLINK("#",""), HYPERLINK(CONCATENATE("#metadata!", ADDRESS(INDEX($W$2:$W$1001,MATCH(ROWS($U$2:U870),$U$2:$U$1001,0),0), INDEX($AB$1004:$AQ$1004,1,MATCH(COLUMNS($AB$1006:AI1006),$AB$1006:$AQ$1006,0)))),"Fix")))</f>
        <v>0</v>
      </c>
      <c r="J870" s="4">
        <f>IF(OR(INDEX($V$2:$V$1001,MATCH(ROWS($U$2:U870),$U$2:$U$1001,0),1)&gt;=100000,INDEX($AB$1005:$AQ$1005,1,MATCH(COLUMNS($AB$1006:AJ1006),$AB$1006:$AQ$1006,0))&gt;=100000), " ",IF(INDEX($AB$2:$AQ$1001,MATCH(ROWS($U$2:U870),$U$2:$U$1001,0),MATCH(COLUMNS($AB$1006:AJ1006),$AB$1006:$AQ$1006,0)), HYPERLINK("#",""), HYPERLINK(CONCATENATE("#metadata!", ADDRESS(INDEX($W$2:$W$1001,MATCH(ROWS($U$2:U870),$U$2:$U$1001,0),0), INDEX($AB$1004:$AQ$1004,1,MATCH(COLUMNS($AB$1006:AJ1006),$AB$1006:$AQ$1006,0)))),"Fix")))</f>
        <v>0</v>
      </c>
      <c r="K870" s="4">
        <f>IF(OR(INDEX($V$2:$V$1001,MATCH(ROWS($U$2:U870),$U$2:$U$1001,0),1)&gt;=100000,INDEX($AB$1005:$AQ$1005,1,MATCH(COLUMNS($AB$1006:AK1006),$AB$1006:$AQ$1006,0))&gt;=100000), " ",IF(INDEX($AB$2:$AQ$1001,MATCH(ROWS($U$2:U870),$U$2:$U$1001,0),MATCH(COLUMNS($AB$1006:AK1006),$AB$1006:$AQ$1006,0)), HYPERLINK("#",""), HYPERLINK(CONCATENATE("#metadata!", ADDRESS(INDEX($W$2:$W$1001,MATCH(ROWS($U$2:U870),$U$2:$U$1001,0),0), INDEX($AB$1004:$AQ$1004,1,MATCH(COLUMNS($AB$1006:AK1006),$AB$1006:$AQ$1006,0)))),"Fix")))</f>
        <v>0</v>
      </c>
      <c r="L870" s="4">
        <f>IF(OR(INDEX($V$2:$V$1001,MATCH(ROWS($U$2:U870),$U$2:$U$1001,0),1)&gt;=100000,INDEX($AB$1005:$AQ$1005,1,MATCH(COLUMNS($AB$1006:AL1006),$AB$1006:$AQ$1006,0))&gt;=100000), " ",IF(INDEX($AB$2:$AQ$1001,MATCH(ROWS($U$2:U870),$U$2:$U$1001,0),MATCH(COLUMNS($AB$1006:AL1006),$AB$1006:$AQ$1006,0)), HYPERLINK("#",""), HYPERLINK(CONCATENATE("#metadata!", ADDRESS(INDEX($W$2:$W$1001,MATCH(ROWS($U$2:U870),$U$2:$U$1001,0),0), INDEX($AB$1004:$AQ$1004,1,MATCH(COLUMNS($AB$1006:AL1006),$AB$1006:$AQ$1006,0)))),"Fix")))</f>
        <v>0</v>
      </c>
      <c r="M870" s="4">
        <f>IF(OR(INDEX($V$2:$V$1001,MATCH(ROWS($U$2:U870),$U$2:$U$1001,0),1)&gt;=100000,INDEX($AB$1005:$AQ$1005,1,MATCH(COLUMNS($AB$1006:AM1006),$AB$1006:$AQ$1006,0))&gt;=100000), " ",IF(INDEX($AB$2:$AQ$1001,MATCH(ROWS($U$2:U870),$U$2:$U$1001,0),MATCH(COLUMNS($AB$1006:AM1006),$AB$1006:$AQ$1006,0)), HYPERLINK("#",""), HYPERLINK(CONCATENATE("#metadata!", ADDRESS(INDEX($W$2:$W$1001,MATCH(ROWS($U$2:U870),$U$2:$U$1001,0),0), INDEX($AB$1004:$AQ$1004,1,MATCH(COLUMNS($AB$1006:AM1006),$AB$1006:$AQ$1006,0)))),"Fix")))</f>
        <v>0</v>
      </c>
      <c r="N870" s="4">
        <f>IF(OR(INDEX($V$2:$V$1001,MATCH(ROWS($U$2:U870),$U$2:$U$1001,0),1)&gt;=100000,INDEX($AB$1005:$AQ$1005,1,MATCH(COLUMNS($AB$1006:AN1006),$AB$1006:$AQ$1006,0))&gt;=100000), " ",IF(INDEX($AB$2:$AQ$1001,MATCH(ROWS($U$2:U870),$U$2:$U$1001,0),MATCH(COLUMNS($AB$1006:AN1006),$AB$1006:$AQ$1006,0)), HYPERLINK("#",""), HYPERLINK(CONCATENATE("#metadata!", ADDRESS(INDEX($W$2:$W$1001,MATCH(ROWS($U$2:U870),$U$2:$U$1001,0),0), INDEX($AB$1004:$AQ$1004,1,MATCH(COLUMNS($AB$1006:AN1006),$AB$1006:$AQ$1006,0)))),"Fix")))</f>
        <v>0</v>
      </c>
      <c r="O870" s="4">
        <f>IF(OR(INDEX($V$2:$V$1001,MATCH(ROWS($U$2:U870),$U$2:$U$1001,0),1)&gt;=100000,INDEX($AB$1005:$AQ$1005,1,MATCH(COLUMNS($AB$1006:AO1006),$AB$1006:$AQ$1006,0))&gt;=100000), " ",IF(INDEX($AB$2:$AQ$1001,MATCH(ROWS($U$2:U870),$U$2:$U$1001,0),MATCH(COLUMNS($AB$1006:AO1006),$AB$1006:$AQ$1006,0)), HYPERLINK("#",""), HYPERLINK(CONCATENATE("#metadata!", ADDRESS(INDEX($W$2:$W$1001,MATCH(ROWS($U$2:U870),$U$2:$U$1001,0),0), INDEX($AB$1004:$AQ$1004,1,MATCH(COLUMNS($AB$1006:AO1006),$AB$1006:$AQ$1006,0)))),"Fix")))</f>
        <v>0</v>
      </c>
      <c r="P870" s="4">
        <f>IF(OR(INDEX($V$2:$V$1001,MATCH(ROWS($U$2:U870),$U$2:$U$1001,0),1)&gt;=100000,INDEX($AB$1005:$AQ$1005,1,MATCH(COLUMNS($AB$1006:AP1006),$AB$1006:$AQ$1006,0))&gt;=100000), " ",IF(INDEX($AB$2:$AQ$1001,MATCH(ROWS($U$2:U870),$U$2:$U$1001,0),MATCH(COLUMNS($AB$1006:AP1006),$AB$1006:$AQ$1006,0)), HYPERLINK("#",""), HYPERLINK(CONCATENATE("#metadata!", ADDRESS(INDEX($W$2:$W$1001,MATCH(ROWS($U$2:U870),$U$2:$U$1001,0),0), INDEX($AB$1004:$AQ$1004,1,MATCH(COLUMNS($AB$1006:AP1006),$AB$1006:$AQ$1006,0)))),"Fix")))</f>
        <v>0</v>
      </c>
      <c r="Q870" s="4">
        <f>IF(OR(INDEX($V$2:$V$1001,MATCH(ROWS($U$2:U870),$U$2:$U$1001,0),1)&gt;=100000,INDEX($AB$1005:$AQ$1005,1,MATCH(COLUMNS($AB$1006:AQ1006),$AB$1006:$AQ$1006,0))&gt;=100000), " ",IF(INDEX($AB$2:$AQ$1001,MATCH(ROWS($U$2:U870),$U$2:$U$1001,0),MATCH(COLUMNS($AB$1006:AQ1006),$AB$1006:$AQ$1006,0)), HYPERLINK("#",""), HYPERLINK(CONCATENATE("#metadata!", ADDRESS(INDEX($W$2:$W$1001,MATCH(ROWS($U$2:U870),$U$2:$U$1001,0),0), INDEX($AB$1004:$AQ$1004,1,MATCH(COLUMNS($AB$1006:AQ1006),$AB$1006:$AQ$1006,0)))),"Fix")))</f>
        <v>0</v>
      </c>
      <c r="U870">
        <v>0</v>
      </c>
      <c r="V870">
        <v>0</v>
      </c>
      <c r="W870">
        <v>0</v>
      </c>
      <c r="X870">
        <f>IF(Y870,TRUE,AND(AB870:AQ870))</f>
        <v>0</v>
      </c>
      <c r="Y870">
        <f>COUNTBLANK(metadata!B870:Q870)=COLUMNS(metadata!B870:Q870)</f>
        <v>0</v>
      </c>
      <c r="Z870">
        <v>0</v>
      </c>
      <c r="AB870">
        <f>AND(IF(metadata!B870="",FALSE,TRUE),COUNTIF(metadata!B:B, metadata!B870) = 1,NOT(ISERROR(SUMPRODUCT(SEARCH(MID(metadata!B870,ROW(INDIRECT("1:"&amp;LEN(metadata!B870))), 1),"0123456789abcdefghijklmnopqrstuvwxyzABCDEFGHIJKLMNOPQRSTUVWXYZ.")))))</f>
        <v>0</v>
      </c>
      <c r="AC870">
        <f>OR(AND(IF(metadata!C870="",FALSE,TRUE),OR(exact(metadata!C870,"missing: not collected"),exact(metadata!C870,"missing: not provided"),exact(metadata!C870,"missing: restricted access"))),AND(IF(metadata!C870="",FALSE,TRUE),AND(AND(IFERROR(INT(LEFT(metadata!C870,4))&gt;1900,FALSE),IFERROR(INT(LEFT(metadata!C870,4))&lt;=YEAR(NOW()),FALSE)), OR(MID(metadata!C870,5,1)="", AND(AND(MID(metadata!C870,5,1)="-",IFERROR(INT(MID(metadata!C870,6,1))&gt;=0,FALSE),IFERROR(INT(MID(metadata!C870,6,1))&lt;=1,FALSE),NOT(MID(metadata!C870,7,1)=""),IFERROR(INT(MID(metadata!C870,6,2))&gt;=1,FALSE),IFERROR(INT(MID(metadata!C870,6,2))&lt;=12,FALSE)), OR(MID(metadata!C870,8,1)="", AND(AND(MID(metadata!C870,8,1)="-",IFERROR(INT(MID(metadata!C870,9,1))&gt;=0,FALSE),IFERROR(INT(MID(metadata!C870,9,1))&lt;=3,FALSE),NOT(MID(metadata!C870,10,1)=""),IFERROR(INT(MID(metadata!C870,9,2))&gt;=1,FALSE),IFERROR(INT(MID(metadata!C870,9,2))&lt;=31,FALSE)), OR(MID(metadata!C870,11,1)="", AND(AND(MID(metadata!C870,11,1)=" ",IFERROR(INT(MID(metadata!C870,12,1))&gt;=0,FALSE),IFERROR(INT(MID(metadata!C870,12,1))&lt;=2,FALSE),NOT(MID(metadata!C870,13,1)=""),IFERROR(INT(MID(metadata!C870,12,2))&gt;=0,FALSE),IFERROR(INT(MID(metadata!C870,12,2))&lt;=23,FALSE)), OR(MID(metadata!C870,14,1)="", AND(AND(MID(metadata!C870,14,1)=":",IFERROR(INT(MID(metadata!C870,15,1))&gt;=0,FALSE),IFERROR(INT(MID(metadata!C870,15,1))&lt;=5,FALSE),NOT(MID(metadata!C870,16,1)=""),IFERROR(INT(MID(metadata!C870,15,2))&gt;=0,FALSE),IFERROR(INT(MID(metadata!C870,15,2))&lt;=59,FALSE)), OR(MID(metadata!C870,17,1)="", AND(AND(MID(metadata!C870,17,1)=":",IFERROR(INT(MID(metadata!C870,18,1))&gt;=0,FALSE),IFERROR(INT(MID(metadata!C870,18,1))&lt;=5,FALSE),NOT(MID(metadata!C870,19,1)=""),IFERROR(INT(MID(metadata!C870,18,2))&gt;=0,FALSE),IFERROR(INT(MID(metadata!C870,18,2))&lt;=59,FALSE)), LEN(metadata!C870)&lt;=19)))))))))))))</f>
        <v>0</v>
      </c>
      <c r="AD870">
        <f>IF(metadata!D870="",FALSE,TRUE)</f>
        <v>0</v>
      </c>
      <c r="AE870">
        <f>OR(AND(IF(metadata!E870="",FALSE,TRUE),OR(exact(metadata!E870,"missing: not collected"),exact(metadata!E870,"missing: not provided"))),AND(IF(metadata!E870="",FALSE,TRUE),OR(exact(metadata!E870,"TRUE"),exact(metadata!E870,"FALSE"))))</f>
        <v>0</v>
      </c>
      <c r="AF870">
        <f>IF(metadata!F870="",FALSE,TRUE)</f>
        <v>0</v>
      </c>
      <c r="AG870">
        <f>IF(metadata!G870="",FALSE,TRUE)</f>
        <v>0</v>
      </c>
      <c r="AH870">
        <f>IF(metadata!H870="",FALSE,TRUE)</f>
        <v>0</v>
      </c>
      <c r="AI870">
        <f>OR(AND(IF(metadata!I870="",FALSE,TRUE),OR(exact(metadata!I870,"missing: not collected"),exact(metadata!I870,"missing: not provided"),exact(metadata!I870,"missing: restricted access"))),AND(IF(metadata!I870="",FALSE,TRUE),OR(exact(metadata!I870,"air"),exact(metadata!I870,"built environment"),exact(metadata!I870,"host-associated"),exact(metadata!I870,"human-associated"),exact(metadata!I870,"human-skin"),exact(metadata!I870,"human-oral"),exact(metadata!I870,"human-gut"),exact(metadata!I870,"human-vaginal"),exact(metadata!I870,"microbial mat/biofilm"),exact(metadata!I870,"misc environment"),exact(metadata!I870,"plant-associated"),exact(metadata!I870,"sediment"),exact(metadata!I870,"soil"),exact(metadata!I870,"wastewater/sludge"),exact(metadata!I870,"water"))))</f>
        <v>0</v>
      </c>
      <c r="AJ870">
        <f>IF(metadata!J870="",FALSE,TRUE)</f>
        <v>0</v>
      </c>
      <c r="AK870">
        <f>OR(AND(IF(metadata!K870="",FALSE,TRUE),OR(exact(metadata!K870,"missing: not collected"),exact(metadata!K870,"missing: not provided"),exact(metadata!K870,"missing: restricted access"))),AND(IF(metadata!K870="",FALSE,ISNUMBER(VALUE(metadata!K870))),metadata!K870&gt;=-90.00,metadata!K870&lt;=90.00))</f>
        <v>0</v>
      </c>
      <c r="AL870">
        <f>OR(AND(IF(metadata!L870="",FALSE,TRUE),OR(exact(metadata!L870,"missing: not collected"),exact(metadata!L870,"missing: not provided"),exact(metadata!L870,"missing: restricted access"))),AND(IF(metadata!L870="",FALSE,ISNUMBER(VALUE(metadata!L870))),metadata!L870&gt;=-180.00,metadata!L870&lt;=180.00))</f>
        <v>0</v>
      </c>
      <c r="AM870">
        <f>IF(metadata!M870="",FALSE,TRUE)</f>
        <v>0</v>
      </c>
      <c r="AN870">
        <f>OR(AND(IF(metadata!N870="",FALSE,TRUE),OR(exact(metadata!N870,"missing: not collected"),exact(metadata!N870,"missing: not provided"),exact(metadata!N870,"missing: restricted access"))),AND(IF(metadata!N870="",FALSE,TRUE),OR(exact(metadata!N870,"TRUE"),exact(metadata!N870,"FALSE"))))</f>
        <v>0</v>
      </c>
      <c r="AO870">
        <f>IF(metadata!O870="",FALSE,TRUE)</f>
        <v>0</v>
      </c>
      <c r="AP870">
        <f>OR(AND(IF(metadata!P870="",FALSE,TRUE),OR(exact(metadata!P870,"missing: not collected"),exact(metadata!P870,"missing: not provided"))),AND(IF(metadata!P870="",FALSE,IF(ISERROR(INT(metadata!P870)),FALSE,INT(metadata!P870)=metadata!P870)),metadata!P870&gt;0))</f>
        <v>0</v>
      </c>
      <c r="AQ870">
        <f>IF(metadata!Q870="",FALSE,TRUE)</f>
        <v>0</v>
      </c>
    </row>
    <row r="871" spans="1:43">
      <c r="A871" s="5">
        <f>IF(B871=" "," ",HYPERLINK(CONCATENATE("#metadata!",ADDRESS(INDEX($W$2:$W$1001,MATCH(ROWS($U$2:U871),$U$2:$U$1001,0),0),1)),INDEX($Z$2:$Z$1001,MATCH(ROWS($U$2:U871),$U$2:$U$1001,0),0)))</f>
        <v>0</v>
      </c>
      <c r="B871" s="4">
        <f>IF(OR(INDEX($V$2:$V$1001,MATCH(ROWS($U$2:U871),$U$2:$U$1001,0),1)&gt;=100000,INDEX($AB$1005:$AQ$1005,1,MATCH(COLUMNS($AB$1006:AB1006),$AB$1006:$AQ$1006,0))&gt;=100000), " ",IF(INDEX($AB$2:$AQ$1001,MATCH(ROWS($U$2:U871),$U$2:$U$1001,0),MATCH(COLUMNS($AB$1006:AB1006),$AB$1006:$AQ$1006,0)), HYPERLINK("#",""), HYPERLINK(CONCATENATE("#metadata!", ADDRESS(INDEX($W$2:$W$1001,MATCH(ROWS($U$2:U871),$U$2:$U$1001,0),0), INDEX($AB$1004:$AQ$1004,1,MATCH(COLUMNS($AB$1006:AB1006),$AB$1006:$AQ$1006,0)))),"Fix")))</f>
        <v>0</v>
      </c>
      <c r="C871" s="4">
        <f>IF(OR(INDEX($V$2:$V$1001,MATCH(ROWS($U$2:U871),$U$2:$U$1001,0),1)&gt;=100000,INDEX($AB$1005:$AQ$1005,1,MATCH(COLUMNS($AB$1006:AC1006),$AB$1006:$AQ$1006,0))&gt;=100000), " ",IF(INDEX($AB$2:$AQ$1001,MATCH(ROWS($U$2:U871),$U$2:$U$1001,0),MATCH(COLUMNS($AB$1006:AC1006),$AB$1006:$AQ$1006,0)), HYPERLINK("#",""), HYPERLINK(CONCATENATE("#metadata!", ADDRESS(INDEX($W$2:$W$1001,MATCH(ROWS($U$2:U871),$U$2:$U$1001,0),0), INDEX($AB$1004:$AQ$1004,1,MATCH(COLUMNS($AB$1006:AC1006),$AB$1006:$AQ$1006,0)))),"Fix")))</f>
        <v>0</v>
      </c>
      <c r="D871" s="4">
        <f>IF(OR(INDEX($V$2:$V$1001,MATCH(ROWS($U$2:U871),$U$2:$U$1001,0),1)&gt;=100000,INDEX($AB$1005:$AQ$1005,1,MATCH(COLUMNS($AB$1006:AD1006),$AB$1006:$AQ$1006,0))&gt;=100000), " ",IF(INDEX($AB$2:$AQ$1001,MATCH(ROWS($U$2:U871),$U$2:$U$1001,0),MATCH(COLUMNS($AB$1006:AD1006),$AB$1006:$AQ$1006,0)), HYPERLINK("#",""), HYPERLINK(CONCATENATE("#metadata!", ADDRESS(INDEX($W$2:$W$1001,MATCH(ROWS($U$2:U871),$U$2:$U$1001,0),0), INDEX($AB$1004:$AQ$1004,1,MATCH(COLUMNS($AB$1006:AD1006),$AB$1006:$AQ$1006,0)))),"Fix")))</f>
        <v>0</v>
      </c>
      <c r="E871" s="4">
        <f>IF(OR(INDEX($V$2:$V$1001,MATCH(ROWS($U$2:U871),$U$2:$U$1001,0),1)&gt;=100000,INDEX($AB$1005:$AQ$1005,1,MATCH(COLUMNS($AB$1006:AE1006),$AB$1006:$AQ$1006,0))&gt;=100000), " ",IF(INDEX($AB$2:$AQ$1001,MATCH(ROWS($U$2:U871),$U$2:$U$1001,0),MATCH(COLUMNS($AB$1006:AE1006),$AB$1006:$AQ$1006,0)), HYPERLINK("#",""), HYPERLINK(CONCATENATE("#metadata!", ADDRESS(INDEX($W$2:$W$1001,MATCH(ROWS($U$2:U871),$U$2:$U$1001,0),0), INDEX($AB$1004:$AQ$1004,1,MATCH(COLUMNS($AB$1006:AE1006),$AB$1006:$AQ$1006,0)))),"Fix")))</f>
        <v>0</v>
      </c>
      <c r="F871" s="4">
        <f>IF(OR(INDEX($V$2:$V$1001,MATCH(ROWS($U$2:U871),$U$2:$U$1001,0),1)&gt;=100000,INDEX($AB$1005:$AQ$1005,1,MATCH(COLUMNS($AB$1006:AF1006),$AB$1006:$AQ$1006,0))&gt;=100000), " ",IF(INDEX($AB$2:$AQ$1001,MATCH(ROWS($U$2:U871),$U$2:$U$1001,0),MATCH(COLUMNS($AB$1006:AF1006),$AB$1006:$AQ$1006,0)), HYPERLINK("#",""), HYPERLINK(CONCATENATE("#metadata!", ADDRESS(INDEX($W$2:$W$1001,MATCH(ROWS($U$2:U871),$U$2:$U$1001,0),0), INDEX($AB$1004:$AQ$1004,1,MATCH(COLUMNS($AB$1006:AF1006),$AB$1006:$AQ$1006,0)))),"Fix")))</f>
        <v>0</v>
      </c>
      <c r="G871" s="4">
        <f>IF(OR(INDEX($V$2:$V$1001,MATCH(ROWS($U$2:U871),$U$2:$U$1001,0),1)&gt;=100000,INDEX($AB$1005:$AQ$1005,1,MATCH(COLUMNS($AB$1006:AG1006),$AB$1006:$AQ$1006,0))&gt;=100000), " ",IF(INDEX($AB$2:$AQ$1001,MATCH(ROWS($U$2:U871),$U$2:$U$1001,0),MATCH(COLUMNS($AB$1006:AG1006),$AB$1006:$AQ$1006,0)), HYPERLINK("#",""), HYPERLINK(CONCATENATE("#metadata!", ADDRESS(INDEX($W$2:$W$1001,MATCH(ROWS($U$2:U871),$U$2:$U$1001,0),0), INDEX($AB$1004:$AQ$1004,1,MATCH(COLUMNS($AB$1006:AG1006),$AB$1006:$AQ$1006,0)))),"Fix")))</f>
        <v>0</v>
      </c>
      <c r="H871" s="4">
        <f>IF(OR(INDEX($V$2:$V$1001,MATCH(ROWS($U$2:U871),$U$2:$U$1001,0),1)&gt;=100000,INDEX($AB$1005:$AQ$1005,1,MATCH(COLUMNS($AB$1006:AH1006),$AB$1006:$AQ$1006,0))&gt;=100000), " ",IF(INDEX($AB$2:$AQ$1001,MATCH(ROWS($U$2:U871),$U$2:$U$1001,0),MATCH(COLUMNS($AB$1006:AH1006),$AB$1006:$AQ$1006,0)), HYPERLINK("#",""), HYPERLINK(CONCATENATE("#metadata!", ADDRESS(INDEX($W$2:$W$1001,MATCH(ROWS($U$2:U871),$U$2:$U$1001,0),0), INDEX($AB$1004:$AQ$1004,1,MATCH(COLUMNS($AB$1006:AH1006),$AB$1006:$AQ$1006,0)))),"Fix")))</f>
        <v>0</v>
      </c>
      <c r="I871" s="4">
        <f>IF(OR(INDEX($V$2:$V$1001,MATCH(ROWS($U$2:U871),$U$2:$U$1001,0),1)&gt;=100000,INDEX($AB$1005:$AQ$1005,1,MATCH(COLUMNS($AB$1006:AI1006),$AB$1006:$AQ$1006,0))&gt;=100000), " ",IF(INDEX($AB$2:$AQ$1001,MATCH(ROWS($U$2:U871),$U$2:$U$1001,0),MATCH(COLUMNS($AB$1006:AI1006),$AB$1006:$AQ$1006,0)), HYPERLINK("#",""), HYPERLINK(CONCATENATE("#metadata!", ADDRESS(INDEX($W$2:$W$1001,MATCH(ROWS($U$2:U871),$U$2:$U$1001,0),0), INDEX($AB$1004:$AQ$1004,1,MATCH(COLUMNS($AB$1006:AI1006),$AB$1006:$AQ$1006,0)))),"Fix")))</f>
        <v>0</v>
      </c>
      <c r="J871" s="4">
        <f>IF(OR(INDEX($V$2:$V$1001,MATCH(ROWS($U$2:U871),$U$2:$U$1001,0),1)&gt;=100000,INDEX($AB$1005:$AQ$1005,1,MATCH(COLUMNS($AB$1006:AJ1006),$AB$1006:$AQ$1006,0))&gt;=100000), " ",IF(INDEX($AB$2:$AQ$1001,MATCH(ROWS($U$2:U871),$U$2:$U$1001,0),MATCH(COLUMNS($AB$1006:AJ1006),$AB$1006:$AQ$1006,0)), HYPERLINK("#",""), HYPERLINK(CONCATENATE("#metadata!", ADDRESS(INDEX($W$2:$W$1001,MATCH(ROWS($U$2:U871),$U$2:$U$1001,0),0), INDEX($AB$1004:$AQ$1004,1,MATCH(COLUMNS($AB$1006:AJ1006),$AB$1006:$AQ$1006,0)))),"Fix")))</f>
        <v>0</v>
      </c>
      <c r="K871" s="4">
        <f>IF(OR(INDEX($V$2:$V$1001,MATCH(ROWS($U$2:U871),$U$2:$U$1001,0),1)&gt;=100000,INDEX($AB$1005:$AQ$1005,1,MATCH(COLUMNS($AB$1006:AK1006),$AB$1006:$AQ$1006,0))&gt;=100000), " ",IF(INDEX($AB$2:$AQ$1001,MATCH(ROWS($U$2:U871),$U$2:$U$1001,0),MATCH(COLUMNS($AB$1006:AK1006),$AB$1006:$AQ$1006,0)), HYPERLINK("#",""), HYPERLINK(CONCATENATE("#metadata!", ADDRESS(INDEX($W$2:$W$1001,MATCH(ROWS($U$2:U871),$U$2:$U$1001,0),0), INDEX($AB$1004:$AQ$1004,1,MATCH(COLUMNS($AB$1006:AK1006),$AB$1006:$AQ$1006,0)))),"Fix")))</f>
        <v>0</v>
      </c>
      <c r="L871" s="4">
        <f>IF(OR(INDEX($V$2:$V$1001,MATCH(ROWS($U$2:U871),$U$2:$U$1001,0),1)&gt;=100000,INDEX($AB$1005:$AQ$1005,1,MATCH(COLUMNS($AB$1006:AL1006),$AB$1006:$AQ$1006,0))&gt;=100000), " ",IF(INDEX($AB$2:$AQ$1001,MATCH(ROWS($U$2:U871),$U$2:$U$1001,0),MATCH(COLUMNS($AB$1006:AL1006),$AB$1006:$AQ$1006,0)), HYPERLINK("#",""), HYPERLINK(CONCATENATE("#metadata!", ADDRESS(INDEX($W$2:$W$1001,MATCH(ROWS($U$2:U871),$U$2:$U$1001,0),0), INDEX($AB$1004:$AQ$1004,1,MATCH(COLUMNS($AB$1006:AL1006),$AB$1006:$AQ$1006,0)))),"Fix")))</f>
        <v>0</v>
      </c>
      <c r="M871" s="4">
        <f>IF(OR(INDEX($V$2:$V$1001,MATCH(ROWS($U$2:U871),$U$2:$U$1001,0),1)&gt;=100000,INDEX($AB$1005:$AQ$1005,1,MATCH(COLUMNS($AB$1006:AM1006),$AB$1006:$AQ$1006,0))&gt;=100000), " ",IF(INDEX($AB$2:$AQ$1001,MATCH(ROWS($U$2:U871),$U$2:$U$1001,0),MATCH(COLUMNS($AB$1006:AM1006),$AB$1006:$AQ$1006,0)), HYPERLINK("#",""), HYPERLINK(CONCATENATE("#metadata!", ADDRESS(INDEX($W$2:$W$1001,MATCH(ROWS($U$2:U871),$U$2:$U$1001,0),0), INDEX($AB$1004:$AQ$1004,1,MATCH(COLUMNS($AB$1006:AM1006),$AB$1006:$AQ$1006,0)))),"Fix")))</f>
        <v>0</v>
      </c>
      <c r="N871" s="4">
        <f>IF(OR(INDEX($V$2:$V$1001,MATCH(ROWS($U$2:U871),$U$2:$U$1001,0),1)&gt;=100000,INDEX($AB$1005:$AQ$1005,1,MATCH(COLUMNS($AB$1006:AN1006),$AB$1006:$AQ$1006,0))&gt;=100000), " ",IF(INDEX($AB$2:$AQ$1001,MATCH(ROWS($U$2:U871),$U$2:$U$1001,0),MATCH(COLUMNS($AB$1006:AN1006),$AB$1006:$AQ$1006,0)), HYPERLINK("#",""), HYPERLINK(CONCATENATE("#metadata!", ADDRESS(INDEX($W$2:$W$1001,MATCH(ROWS($U$2:U871),$U$2:$U$1001,0),0), INDEX($AB$1004:$AQ$1004,1,MATCH(COLUMNS($AB$1006:AN1006),$AB$1006:$AQ$1006,0)))),"Fix")))</f>
        <v>0</v>
      </c>
      <c r="O871" s="4">
        <f>IF(OR(INDEX($V$2:$V$1001,MATCH(ROWS($U$2:U871),$U$2:$U$1001,0),1)&gt;=100000,INDEX($AB$1005:$AQ$1005,1,MATCH(COLUMNS($AB$1006:AO1006),$AB$1006:$AQ$1006,0))&gt;=100000), " ",IF(INDEX($AB$2:$AQ$1001,MATCH(ROWS($U$2:U871),$U$2:$U$1001,0),MATCH(COLUMNS($AB$1006:AO1006),$AB$1006:$AQ$1006,0)), HYPERLINK("#",""), HYPERLINK(CONCATENATE("#metadata!", ADDRESS(INDEX($W$2:$W$1001,MATCH(ROWS($U$2:U871),$U$2:$U$1001,0),0), INDEX($AB$1004:$AQ$1004,1,MATCH(COLUMNS($AB$1006:AO1006),$AB$1006:$AQ$1006,0)))),"Fix")))</f>
        <v>0</v>
      </c>
      <c r="P871" s="4">
        <f>IF(OR(INDEX($V$2:$V$1001,MATCH(ROWS($U$2:U871),$U$2:$U$1001,0),1)&gt;=100000,INDEX($AB$1005:$AQ$1005,1,MATCH(COLUMNS($AB$1006:AP1006),$AB$1006:$AQ$1006,0))&gt;=100000), " ",IF(INDEX($AB$2:$AQ$1001,MATCH(ROWS($U$2:U871),$U$2:$U$1001,0),MATCH(COLUMNS($AB$1006:AP1006),$AB$1006:$AQ$1006,0)), HYPERLINK("#",""), HYPERLINK(CONCATENATE("#metadata!", ADDRESS(INDEX($W$2:$W$1001,MATCH(ROWS($U$2:U871),$U$2:$U$1001,0),0), INDEX($AB$1004:$AQ$1004,1,MATCH(COLUMNS($AB$1006:AP1006),$AB$1006:$AQ$1006,0)))),"Fix")))</f>
        <v>0</v>
      </c>
      <c r="Q871" s="4">
        <f>IF(OR(INDEX($V$2:$V$1001,MATCH(ROWS($U$2:U871),$U$2:$U$1001,0),1)&gt;=100000,INDEX($AB$1005:$AQ$1005,1,MATCH(COLUMNS($AB$1006:AQ1006),$AB$1006:$AQ$1006,0))&gt;=100000), " ",IF(INDEX($AB$2:$AQ$1001,MATCH(ROWS($U$2:U871),$U$2:$U$1001,0),MATCH(COLUMNS($AB$1006:AQ1006),$AB$1006:$AQ$1006,0)), HYPERLINK("#",""), HYPERLINK(CONCATENATE("#metadata!", ADDRESS(INDEX($W$2:$W$1001,MATCH(ROWS($U$2:U871),$U$2:$U$1001,0),0), INDEX($AB$1004:$AQ$1004,1,MATCH(COLUMNS($AB$1006:AQ1006),$AB$1006:$AQ$1006,0)))),"Fix")))</f>
        <v>0</v>
      </c>
      <c r="U871">
        <v>0</v>
      </c>
      <c r="V871">
        <v>0</v>
      </c>
      <c r="W871">
        <v>0</v>
      </c>
      <c r="X871">
        <f>IF(Y871,TRUE,AND(AB871:AQ871))</f>
        <v>0</v>
      </c>
      <c r="Y871">
        <f>COUNTBLANK(metadata!B871:Q871)=COLUMNS(metadata!B871:Q871)</f>
        <v>0</v>
      </c>
      <c r="Z871">
        <v>0</v>
      </c>
      <c r="AB871">
        <f>AND(IF(metadata!B871="",FALSE,TRUE),COUNTIF(metadata!B:B, metadata!B871) = 1,NOT(ISERROR(SUMPRODUCT(SEARCH(MID(metadata!B871,ROW(INDIRECT("1:"&amp;LEN(metadata!B871))), 1),"0123456789abcdefghijklmnopqrstuvwxyzABCDEFGHIJKLMNOPQRSTUVWXYZ.")))))</f>
        <v>0</v>
      </c>
      <c r="AC871">
        <f>OR(AND(IF(metadata!C871="",FALSE,TRUE),OR(exact(metadata!C871,"missing: not collected"),exact(metadata!C871,"missing: not provided"),exact(metadata!C871,"missing: restricted access"))),AND(IF(metadata!C871="",FALSE,TRUE),AND(AND(IFERROR(INT(LEFT(metadata!C871,4))&gt;1900,FALSE),IFERROR(INT(LEFT(metadata!C871,4))&lt;=YEAR(NOW()),FALSE)), OR(MID(metadata!C871,5,1)="", AND(AND(MID(metadata!C871,5,1)="-",IFERROR(INT(MID(metadata!C871,6,1))&gt;=0,FALSE),IFERROR(INT(MID(metadata!C871,6,1))&lt;=1,FALSE),NOT(MID(metadata!C871,7,1)=""),IFERROR(INT(MID(metadata!C871,6,2))&gt;=1,FALSE),IFERROR(INT(MID(metadata!C871,6,2))&lt;=12,FALSE)), OR(MID(metadata!C871,8,1)="", AND(AND(MID(metadata!C871,8,1)="-",IFERROR(INT(MID(metadata!C871,9,1))&gt;=0,FALSE),IFERROR(INT(MID(metadata!C871,9,1))&lt;=3,FALSE),NOT(MID(metadata!C871,10,1)=""),IFERROR(INT(MID(metadata!C871,9,2))&gt;=1,FALSE),IFERROR(INT(MID(metadata!C871,9,2))&lt;=31,FALSE)), OR(MID(metadata!C871,11,1)="", AND(AND(MID(metadata!C871,11,1)=" ",IFERROR(INT(MID(metadata!C871,12,1))&gt;=0,FALSE),IFERROR(INT(MID(metadata!C871,12,1))&lt;=2,FALSE),NOT(MID(metadata!C871,13,1)=""),IFERROR(INT(MID(metadata!C871,12,2))&gt;=0,FALSE),IFERROR(INT(MID(metadata!C871,12,2))&lt;=23,FALSE)), OR(MID(metadata!C871,14,1)="", AND(AND(MID(metadata!C871,14,1)=":",IFERROR(INT(MID(metadata!C871,15,1))&gt;=0,FALSE),IFERROR(INT(MID(metadata!C871,15,1))&lt;=5,FALSE),NOT(MID(metadata!C871,16,1)=""),IFERROR(INT(MID(metadata!C871,15,2))&gt;=0,FALSE),IFERROR(INT(MID(metadata!C871,15,2))&lt;=59,FALSE)), OR(MID(metadata!C871,17,1)="", AND(AND(MID(metadata!C871,17,1)=":",IFERROR(INT(MID(metadata!C871,18,1))&gt;=0,FALSE),IFERROR(INT(MID(metadata!C871,18,1))&lt;=5,FALSE),NOT(MID(metadata!C871,19,1)=""),IFERROR(INT(MID(metadata!C871,18,2))&gt;=0,FALSE),IFERROR(INT(MID(metadata!C871,18,2))&lt;=59,FALSE)), LEN(metadata!C871)&lt;=19)))))))))))))</f>
        <v>0</v>
      </c>
      <c r="AD871">
        <f>IF(metadata!D871="",FALSE,TRUE)</f>
        <v>0</v>
      </c>
      <c r="AE871">
        <f>OR(AND(IF(metadata!E871="",FALSE,TRUE),OR(exact(metadata!E871,"missing: not collected"),exact(metadata!E871,"missing: not provided"))),AND(IF(metadata!E871="",FALSE,TRUE),OR(exact(metadata!E871,"TRUE"),exact(metadata!E871,"FALSE"))))</f>
        <v>0</v>
      </c>
      <c r="AF871">
        <f>IF(metadata!F871="",FALSE,TRUE)</f>
        <v>0</v>
      </c>
      <c r="AG871">
        <f>IF(metadata!G871="",FALSE,TRUE)</f>
        <v>0</v>
      </c>
      <c r="AH871">
        <f>IF(metadata!H871="",FALSE,TRUE)</f>
        <v>0</v>
      </c>
      <c r="AI871">
        <f>OR(AND(IF(metadata!I871="",FALSE,TRUE),OR(exact(metadata!I871,"missing: not collected"),exact(metadata!I871,"missing: not provided"),exact(metadata!I871,"missing: restricted access"))),AND(IF(metadata!I871="",FALSE,TRUE),OR(exact(metadata!I871,"air"),exact(metadata!I871,"built environment"),exact(metadata!I871,"host-associated"),exact(metadata!I871,"human-associated"),exact(metadata!I871,"human-skin"),exact(metadata!I871,"human-oral"),exact(metadata!I871,"human-gut"),exact(metadata!I871,"human-vaginal"),exact(metadata!I871,"microbial mat/biofilm"),exact(metadata!I871,"misc environment"),exact(metadata!I871,"plant-associated"),exact(metadata!I871,"sediment"),exact(metadata!I871,"soil"),exact(metadata!I871,"wastewater/sludge"),exact(metadata!I871,"water"))))</f>
        <v>0</v>
      </c>
      <c r="AJ871">
        <f>IF(metadata!J871="",FALSE,TRUE)</f>
        <v>0</v>
      </c>
      <c r="AK871">
        <f>OR(AND(IF(metadata!K871="",FALSE,TRUE),OR(exact(metadata!K871,"missing: not collected"),exact(metadata!K871,"missing: not provided"),exact(metadata!K871,"missing: restricted access"))),AND(IF(metadata!K871="",FALSE,ISNUMBER(VALUE(metadata!K871))),metadata!K871&gt;=-90.00,metadata!K871&lt;=90.00))</f>
        <v>0</v>
      </c>
      <c r="AL871">
        <f>OR(AND(IF(metadata!L871="",FALSE,TRUE),OR(exact(metadata!L871,"missing: not collected"),exact(metadata!L871,"missing: not provided"),exact(metadata!L871,"missing: restricted access"))),AND(IF(metadata!L871="",FALSE,ISNUMBER(VALUE(metadata!L871))),metadata!L871&gt;=-180.00,metadata!L871&lt;=180.00))</f>
        <v>0</v>
      </c>
      <c r="AM871">
        <f>IF(metadata!M871="",FALSE,TRUE)</f>
        <v>0</v>
      </c>
      <c r="AN871">
        <f>OR(AND(IF(metadata!N871="",FALSE,TRUE),OR(exact(metadata!N871,"missing: not collected"),exact(metadata!N871,"missing: not provided"),exact(metadata!N871,"missing: restricted access"))),AND(IF(metadata!N871="",FALSE,TRUE),OR(exact(metadata!N871,"TRUE"),exact(metadata!N871,"FALSE"))))</f>
        <v>0</v>
      </c>
      <c r="AO871">
        <f>IF(metadata!O871="",FALSE,TRUE)</f>
        <v>0</v>
      </c>
      <c r="AP871">
        <f>OR(AND(IF(metadata!P871="",FALSE,TRUE),OR(exact(metadata!P871,"missing: not collected"),exact(metadata!P871,"missing: not provided"))),AND(IF(metadata!P871="",FALSE,IF(ISERROR(INT(metadata!P871)),FALSE,INT(metadata!P871)=metadata!P871)),metadata!P871&gt;0))</f>
        <v>0</v>
      </c>
      <c r="AQ871">
        <f>IF(metadata!Q871="",FALSE,TRUE)</f>
        <v>0</v>
      </c>
    </row>
    <row r="872" spans="1:43">
      <c r="A872" s="5">
        <f>IF(B872=" "," ",HYPERLINK(CONCATENATE("#metadata!",ADDRESS(INDEX($W$2:$W$1001,MATCH(ROWS($U$2:U872),$U$2:$U$1001,0),0),1)),INDEX($Z$2:$Z$1001,MATCH(ROWS($U$2:U872),$U$2:$U$1001,0),0)))</f>
        <v>0</v>
      </c>
      <c r="B872" s="4">
        <f>IF(OR(INDEX($V$2:$V$1001,MATCH(ROWS($U$2:U872),$U$2:$U$1001,0),1)&gt;=100000,INDEX($AB$1005:$AQ$1005,1,MATCH(COLUMNS($AB$1006:AB1006),$AB$1006:$AQ$1006,0))&gt;=100000), " ",IF(INDEX($AB$2:$AQ$1001,MATCH(ROWS($U$2:U872),$U$2:$U$1001,0),MATCH(COLUMNS($AB$1006:AB1006),$AB$1006:$AQ$1006,0)), HYPERLINK("#",""), HYPERLINK(CONCATENATE("#metadata!", ADDRESS(INDEX($W$2:$W$1001,MATCH(ROWS($U$2:U872),$U$2:$U$1001,0),0), INDEX($AB$1004:$AQ$1004,1,MATCH(COLUMNS($AB$1006:AB1006),$AB$1006:$AQ$1006,0)))),"Fix")))</f>
        <v>0</v>
      </c>
      <c r="C872" s="4">
        <f>IF(OR(INDEX($V$2:$V$1001,MATCH(ROWS($U$2:U872),$U$2:$U$1001,0),1)&gt;=100000,INDEX($AB$1005:$AQ$1005,1,MATCH(COLUMNS($AB$1006:AC1006),$AB$1006:$AQ$1006,0))&gt;=100000), " ",IF(INDEX($AB$2:$AQ$1001,MATCH(ROWS($U$2:U872),$U$2:$U$1001,0),MATCH(COLUMNS($AB$1006:AC1006),$AB$1006:$AQ$1006,0)), HYPERLINK("#",""), HYPERLINK(CONCATENATE("#metadata!", ADDRESS(INDEX($W$2:$W$1001,MATCH(ROWS($U$2:U872),$U$2:$U$1001,0),0), INDEX($AB$1004:$AQ$1004,1,MATCH(COLUMNS($AB$1006:AC1006),$AB$1006:$AQ$1006,0)))),"Fix")))</f>
        <v>0</v>
      </c>
      <c r="D872" s="4">
        <f>IF(OR(INDEX($V$2:$V$1001,MATCH(ROWS($U$2:U872),$U$2:$U$1001,0),1)&gt;=100000,INDEX($AB$1005:$AQ$1005,1,MATCH(COLUMNS($AB$1006:AD1006),$AB$1006:$AQ$1006,0))&gt;=100000), " ",IF(INDEX($AB$2:$AQ$1001,MATCH(ROWS($U$2:U872),$U$2:$U$1001,0),MATCH(COLUMNS($AB$1006:AD1006),$AB$1006:$AQ$1006,0)), HYPERLINK("#",""), HYPERLINK(CONCATENATE("#metadata!", ADDRESS(INDEX($W$2:$W$1001,MATCH(ROWS($U$2:U872),$U$2:$U$1001,0),0), INDEX($AB$1004:$AQ$1004,1,MATCH(COLUMNS($AB$1006:AD1006),$AB$1006:$AQ$1006,0)))),"Fix")))</f>
        <v>0</v>
      </c>
      <c r="E872" s="4">
        <f>IF(OR(INDEX($V$2:$V$1001,MATCH(ROWS($U$2:U872),$U$2:$U$1001,0),1)&gt;=100000,INDEX($AB$1005:$AQ$1005,1,MATCH(COLUMNS($AB$1006:AE1006),$AB$1006:$AQ$1006,0))&gt;=100000), " ",IF(INDEX($AB$2:$AQ$1001,MATCH(ROWS($U$2:U872),$U$2:$U$1001,0),MATCH(COLUMNS($AB$1006:AE1006),$AB$1006:$AQ$1006,0)), HYPERLINK("#",""), HYPERLINK(CONCATENATE("#metadata!", ADDRESS(INDEX($W$2:$W$1001,MATCH(ROWS($U$2:U872),$U$2:$U$1001,0),0), INDEX($AB$1004:$AQ$1004,1,MATCH(COLUMNS($AB$1006:AE1006),$AB$1006:$AQ$1006,0)))),"Fix")))</f>
        <v>0</v>
      </c>
      <c r="F872" s="4">
        <f>IF(OR(INDEX($V$2:$V$1001,MATCH(ROWS($U$2:U872),$U$2:$U$1001,0),1)&gt;=100000,INDEX($AB$1005:$AQ$1005,1,MATCH(COLUMNS($AB$1006:AF1006),$AB$1006:$AQ$1006,0))&gt;=100000), " ",IF(INDEX($AB$2:$AQ$1001,MATCH(ROWS($U$2:U872),$U$2:$U$1001,0),MATCH(COLUMNS($AB$1006:AF1006),$AB$1006:$AQ$1006,0)), HYPERLINK("#",""), HYPERLINK(CONCATENATE("#metadata!", ADDRESS(INDEX($W$2:$W$1001,MATCH(ROWS($U$2:U872),$U$2:$U$1001,0),0), INDEX($AB$1004:$AQ$1004,1,MATCH(COLUMNS($AB$1006:AF1006),$AB$1006:$AQ$1006,0)))),"Fix")))</f>
        <v>0</v>
      </c>
      <c r="G872" s="4">
        <f>IF(OR(INDEX($V$2:$V$1001,MATCH(ROWS($U$2:U872),$U$2:$U$1001,0),1)&gt;=100000,INDEX($AB$1005:$AQ$1005,1,MATCH(COLUMNS($AB$1006:AG1006),$AB$1006:$AQ$1006,0))&gt;=100000), " ",IF(INDEX($AB$2:$AQ$1001,MATCH(ROWS($U$2:U872),$U$2:$U$1001,0),MATCH(COLUMNS($AB$1006:AG1006),$AB$1006:$AQ$1006,0)), HYPERLINK("#",""), HYPERLINK(CONCATENATE("#metadata!", ADDRESS(INDEX($W$2:$W$1001,MATCH(ROWS($U$2:U872),$U$2:$U$1001,0),0), INDEX($AB$1004:$AQ$1004,1,MATCH(COLUMNS($AB$1006:AG1006),$AB$1006:$AQ$1006,0)))),"Fix")))</f>
        <v>0</v>
      </c>
      <c r="H872" s="4">
        <f>IF(OR(INDEX($V$2:$V$1001,MATCH(ROWS($U$2:U872),$U$2:$U$1001,0),1)&gt;=100000,INDEX($AB$1005:$AQ$1005,1,MATCH(COLUMNS($AB$1006:AH1006),$AB$1006:$AQ$1006,0))&gt;=100000), " ",IF(INDEX($AB$2:$AQ$1001,MATCH(ROWS($U$2:U872),$U$2:$U$1001,0),MATCH(COLUMNS($AB$1006:AH1006),$AB$1006:$AQ$1006,0)), HYPERLINK("#",""), HYPERLINK(CONCATENATE("#metadata!", ADDRESS(INDEX($W$2:$W$1001,MATCH(ROWS($U$2:U872),$U$2:$U$1001,0),0), INDEX($AB$1004:$AQ$1004,1,MATCH(COLUMNS($AB$1006:AH1006),$AB$1006:$AQ$1006,0)))),"Fix")))</f>
        <v>0</v>
      </c>
      <c r="I872" s="4">
        <f>IF(OR(INDEX($V$2:$V$1001,MATCH(ROWS($U$2:U872),$U$2:$U$1001,0),1)&gt;=100000,INDEX($AB$1005:$AQ$1005,1,MATCH(COLUMNS($AB$1006:AI1006),$AB$1006:$AQ$1006,0))&gt;=100000), " ",IF(INDEX($AB$2:$AQ$1001,MATCH(ROWS($U$2:U872),$U$2:$U$1001,0),MATCH(COLUMNS($AB$1006:AI1006),$AB$1006:$AQ$1006,0)), HYPERLINK("#",""), HYPERLINK(CONCATENATE("#metadata!", ADDRESS(INDEX($W$2:$W$1001,MATCH(ROWS($U$2:U872),$U$2:$U$1001,0),0), INDEX($AB$1004:$AQ$1004,1,MATCH(COLUMNS($AB$1006:AI1006),$AB$1006:$AQ$1006,0)))),"Fix")))</f>
        <v>0</v>
      </c>
      <c r="J872" s="4">
        <f>IF(OR(INDEX($V$2:$V$1001,MATCH(ROWS($U$2:U872),$U$2:$U$1001,0),1)&gt;=100000,INDEX($AB$1005:$AQ$1005,1,MATCH(COLUMNS($AB$1006:AJ1006),$AB$1006:$AQ$1006,0))&gt;=100000), " ",IF(INDEX($AB$2:$AQ$1001,MATCH(ROWS($U$2:U872),$U$2:$U$1001,0),MATCH(COLUMNS($AB$1006:AJ1006),$AB$1006:$AQ$1006,0)), HYPERLINK("#",""), HYPERLINK(CONCATENATE("#metadata!", ADDRESS(INDEX($W$2:$W$1001,MATCH(ROWS($U$2:U872),$U$2:$U$1001,0),0), INDEX($AB$1004:$AQ$1004,1,MATCH(COLUMNS($AB$1006:AJ1006),$AB$1006:$AQ$1006,0)))),"Fix")))</f>
        <v>0</v>
      </c>
      <c r="K872" s="4">
        <f>IF(OR(INDEX($V$2:$V$1001,MATCH(ROWS($U$2:U872),$U$2:$U$1001,0),1)&gt;=100000,INDEX($AB$1005:$AQ$1005,1,MATCH(COLUMNS($AB$1006:AK1006),$AB$1006:$AQ$1006,0))&gt;=100000), " ",IF(INDEX($AB$2:$AQ$1001,MATCH(ROWS($U$2:U872),$U$2:$U$1001,0),MATCH(COLUMNS($AB$1006:AK1006),$AB$1006:$AQ$1006,0)), HYPERLINK("#",""), HYPERLINK(CONCATENATE("#metadata!", ADDRESS(INDEX($W$2:$W$1001,MATCH(ROWS($U$2:U872),$U$2:$U$1001,0),0), INDEX($AB$1004:$AQ$1004,1,MATCH(COLUMNS($AB$1006:AK1006),$AB$1006:$AQ$1006,0)))),"Fix")))</f>
        <v>0</v>
      </c>
      <c r="L872" s="4">
        <f>IF(OR(INDEX($V$2:$V$1001,MATCH(ROWS($U$2:U872),$U$2:$U$1001,0),1)&gt;=100000,INDEX($AB$1005:$AQ$1005,1,MATCH(COLUMNS($AB$1006:AL1006),$AB$1006:$AQ$1006,0))&gt;=100000), " ",IF(INDEX($AB$2:$AQ$1001,MATCH(ROWS($U$2:U872),$U$2:$U$1001,0),MATCH(COLUMNS($AB$1006:AL1006),$AB$1006:$AQ$1006,0)), HYPERLINK("#",""), HYPERLINK(CONCATENATE("#metadata!", ADDRESS(INDEX($W$2:$W$1001,MATCH(ROWS($U$2:U872),$U$2:$U$1001,0),0), INDEX($AB$1004:$AQ$1004,1,MATCH(COLUMNS($AB$1006:AL1006),$AB$1006:$AQ$1006,0)))),"Fix")))</f>
        <v>0</v>
      </c>
      <c r="M872" s="4">
        <f>IF(OR(INDEX($V$2:$V$1001,MATCH(ROWS($U$2:U872),$U$2:$U$1001,0),1)&gt;=100000,INDEX($AB$1005:$AQ$1005,1,MATCH(COLUMNS($AB$1006:AM1006),$AB$1006:$AQ$1006,0))&gt;=100000), " ",IF(INDEX($AB$2:$AQ$1001,MATCH(ROWS($U$2:U872),$U$2:$U$1001,0),MATCH(COLUMNS($AB$1006:AM1006),$AB$1006:$AQ$1006,0)), HYPERLINK("#",""), HYPERLINK(CONCATENATE("#metadata!", ADDRESS(INDEX($W$2:$W$1001,MATCH(ROWS($U$2:U872),$U$2:$U$1001,0),0), INDEX($AB$1004:$AQ$1004,1,MATCH(COLUMNS($AB$1006:AM1006),$AB$1006:$AQ$1006,0)))),"Fix")))</f>
        <v>0</v>
      </c>
      <c r="N872" s="4">
        <f>IF(OR(INDEX($V$2:$V$1001,MATCH(ROWS($U$2:U872),$U$2:$U$1001,0),1)&gt;=100000,INDEX($AB$1005:$AQ$1005,1,MATCH(COLUMNS($AB$1006:AN1006),$AB$1006:$AQ$1006,0))&gt;=100000), " ",IF(INDEX($AB$2:$AQ$1001,MATCH(ROWS($U$2:U872),$U$2:$U$1001,0),MATCH(COLUMNS($AB$1006:AN1006),$AB$1006:$AQ$1006,0)), HYPERLINK("#",""), HYPERLINK(CONCATENATE("#metadata!", ADDRESS(INDEX($W$2:$W$1001,MATCH(ROWS($U$2:U872),$U$2:$U$1001,0),0), INDEX($AB$1004:$AQ$1004,1,MATCH(COLUMNS($AB$1006:AN1006),$AB$1006:$AQ$1006,0)))),"Fix")))</f>
        <v>0</v>
      </c>
      <c r="O872" s="4">
        <f>IF(OR(INDEX($V$2:$V$1001,MATCH(ROWS($U$2:U872),$U$2:$U$1001,0),1)&gt;=100000,INDEX($AB$1005:$AQ$1005,1,MATCH(COLUMNS($AB$1006:AO1006),$AB$1006:$AQ$1006,0))&gt;=100000), " ",IF(INDEX($AB$2:$AQ$1001,MATCH(ROWS($U$2:U872),$U$2:$U$1001,0),MATCH(COLUMNS($AB$1006:AO1006),$AB$1006:$AQ$1006,0)), HYPERLINK("#",""), HYPERLINK(CONCATENATE("#metadata!", ADDRESS(INDEX($W$2:$W$1001,MATCH(ROWS($U$2:U872),$U$2:$U$1001,0),0), INDEX($AB$1004:$AQ$1004,1,MATCH(COLUMNS($AB$1006:AO1006),$AB$1006:$AQ$1006,0)))),"Fix")))</f>
        <v>0</v>
      </c>
      <c r="P872" s="4">
        <f>IF(OR(INDEX($V$2:$V$1001,MATCH(ROWS($U$2:U872),$U$2:$U$1001,0),1)&gt;=100000,INDEX($AB$1005:$AQ$1005,1,MATCH(COLUMNS($AB$1006:AP1006),$AB$1006:$AQ$1006,0))&gt;=100000), " ",IF(INDEX($AB$2:$AQ$1001,MATCH(ROWS($U$2:U872),$U$2:$U$1001,0),MATCH(COLUMNS($AB$1006:AP1006),$AB$1006:$AQ$1006,0)), HYPERLINK("#",""), HYPERLINK(CONCATENATE("#metadata!", ADDRESS(INDEX($W$2:$W$1001,MATCH(ROWS($U$2:U872),$U$2:$U$1001,0),0), INDEX($AB$1004:$AQ$1004,1,MATCH(COLUMNS($AB$1006:AP1006),$AB$1006:$AQ$1006,0)))),"Fix")))</f>
        <v>0</v>
      </c>
      <c r="Q872" s="4">
        <f>IF(OR(INDEX($V$2:$V$1001,MATCH(ROWS($U$2:U872),$U$2:$U$1001,0),1)&gt;=100000,INDEX($AB$1005:$AQ$1005,1,MATCH(COLUMNS($AB$1006:AQ1006),$AB$1006:$AQ$1006,0))&gt;=100000), " ",IF(INDEX($AB$2:$AQ$1001,MATCH(ROWS($U$2:U872),$U$2:$U$1001,0),MATCH(COLUMNS($AB$1006:AQ1006),$AB$1006:$AQ$1006,0)), HYPERLINK("#",""), HYPERLINK(CONCATENATE("#metadata!", ADDRESS(INDEX($W$2:$W$1001,MATCH(ROWS($U$2:U872),$U$2:$U$1001,0),0), INDEX($AB$1004:$AQ$1004,1,MATCH(COLUMNS($AB$1006:AQ1006),$AB$1006:$AQ$1006,0)))),"Fix")))</f>
        <v>0</v>
      </c>
      <c r="U872">
        <v>0</v>
      </c>
      <c r="V872">
        <v>0</v>
      </c>
      <c r="W872">
        <v>0</v>
      </c>
      <c r="X872">
        <f>IF(Y872,TRUE,AND(AB872:AQ872))</f>
        <v>0</v>
      </c>
      <c r="Y872">
        <f>COUNTBLANK(metadata!B872:Q872)=COLUMNS(metadata!B872:Q872)</f>
        <v>0</v>
      </c>
      <c r="Z872">
        <v>0</v>
      </c>
      <c r="AB872">
        <f>AND(IF(metadata!B872="",FALSE,TRUE),COUNTIF(metadata!B:B, metadata!B872) = 1,NOT(ISERROR(SUMPRODUCT(SEARCH(MID(metadata!B872,ROW(INDIRECT("1:"&amp;LEN(metadata!B872))), 1),"0123456789abcdefghijklmnopqrstuvwxyzABCDEFGHIJKLMNOPQRSTUVWXYZ.")))))</f>
        <v>0</v>
      </c>
      <c r="AC872">
        <f>OR(AND(IF(metadata!C872="",FALSE,TRUE),OR(exact(metadata!C872,"missing: not collected"),exact(metadata!C872,"missing: not provided"),exact(metadata!C872,"missing: restricted access"))),AND(IF(metadata!C872="",FALSE,TRUE),AND(AND(IFERROR(INT(LEFT(metadata!C872,4))&gt;1900,FALSE),IFERROR(INT(LEFT(metadata!C872,4))&lt;=YEAR(NOW()),FALSE)), OR(MID(metadata!C872,5,1)="", AND(AND(MID(metadata!C872,5,1)="-",IFERROR(INT(MID(metadata!C872,6,1))&gt;=0,FALSE),IFERROR(INT(MID(metadata!C872,6,1))&lt;=1,FALSE),NOT(MID(metadata!C872,7,1)=""),IFERROR(INT(MID(metadata!C872,6,2))&gt;=1,FALSE),IFERROR(INT(MID(metadata!C872,6,2))&lt;=12,FALSE)), OR(MID(metadata!C872,8,1)="", AND(AND(MID(metadata!C872,8,1)="-",IFERROR(INT(MID(metadata!C872,9,1))&gt;=0,FALSE),IFERROR(INT(MID(metadata!C872,9,1))&lt;=3,FALSE),NOT(MID(metadata!C872,10,1)=""),IFERROR(INT(MID(metadata!C872,9,2))&gt;=1,FALSE),IFERROR(INT(MID(metadata!C872,9,2))&lt;=31,FALSE)), OR(MID(metadata!C872,11,1)="", AND(AND(MID(metadata!C872,11,1)=" ",IFERROR(INT(MID(metadata!C872,12,1))&gt;=0,FALSE),IFERROR(INT(MID(metadata!C872,12,1))&lt;=2,FALSE),NOT(MID(metadata!C872,13,1)=""),IFERROR(INT(MID(metadata!C872,12,2))&gt;=0,FALSE),IFERROR(INT(MID(metadata!C872,12,2))&lt;=23,FALSE)), OR(MID(metadata!C872,14,1)="", AND(AND(MID(metadata!C872,14,1)=":",IFERROR(INT(MID(metadata!C872,15,1))&gt;=0,FALSE),IFERROR(INT(MID(metadata!C872,15,1))&lt;=5,FALSE),NOT(MID(metadata!C872,16,1)=""),IFERROR(INT(MID(metadata!C872,15,2))&gt;=0,FALSE),IFERROR(INT(MID(metadata!C872,15,2))&lt;=59,FALSE)), OR(MID(metadata!C872,17,1)="", AND(AND(MID(metadata!C872,17,1)=":",IFERROR(INT(MID(metadata!C872,18,1))&gt;=0,FALSE),IFERROR(INT(MID(metadata!C872,18,1))&lt;=5,FALSE),NOT(MID(metadata!C872,19,1)=""),IFERROR(INT(MID(metadata!C872,18,2))&gt;=0,FALSE),IFERROR(INT(MID(metadata!C872,18,2))&lt;=59,FALSE)), LEN(metadata!C872)&lt;=19)))))))))))))</f>
        <v>0</v>
      </c>
      <c r="AD872">
        <f>IF(metadata!D872="",FALSE,TRUE)</f>
        <v>0</v>
      </c>
      <c r="AE872">
        <f>OR(AND(IF(metadata!E872="",FALSE,TRUE),OR(exact(metadata!E872,"missing: not collected"),exact(metadata!E872,"missing: not provided"))),AND(IF(metadata!E872="",FALSE,TRUE),OR(exact(metadata!E872,"TRUE"),exact(metadata!E872,"FALSE"))))</f>
        <v>0</v>
      </c>
      <c r="AF872">
        <f>IF(metadata!F872="",FALSE,TRUE)</f>
        <v>0</v>
      </c>
      <c r="AG872">
        <f>IF(metadata!G872="",FALSE,TRUE)</f>
        <v>0</v>
      </c>
      <c r="AH872">
        <f>IF(metadata!H872="",FALSE,TRUE)</f>
        <v>0</v>
      </c>
      <c r="AI872">
        <f>OR(AND(IF(metadata!I872="",FALSE,TRUE),OR(exact(metadata!I872,"missing: not collected"),exact(metadata!I872,"missing: not provided"),exact(metadata!I872,"missing: restricted access"))),AND(IF(metadata!I872="",FALSE,TRUE),OR(exact(metadata!I872,"air"),exact(metadata!I872,"built environment"),exact(metadata!I872,"host-associated"),exact(metadata!I872,"human-associated"),exact(metadata!I872,"human-skin"),exact(metadata!I872,"human-oral"),exact(metadata!I872,"human-gut"),exact(metadata!I872,"human-vaginal"),exact(metadata!I872,"microbial mat/biofilm"),exact(metadata!I872,"misc environment"),exact(metadata!I872,"plant-associated"),exact(metadata!I872,"sediment"),exact(metadata!I872,"soil"),exact(metadata!I872,"wastewater/sludge"),exact(metadata!I872,"water"))))</f>
        <v>0</v>
      </c>
      <c r="AJ872">
        <f>IF(metadata!J872="",FALSE,TRUE)</f>
        <v>0</v>
      </c>
      <c r="AK872">
        <f>OR(AND(IF(metadata!K872="",FALSE,TRUE),OR(exact(metadata!K872,"missing: not collected"),exact(metadata!K872,"missing: not provided"),exact(metadata!K872,"missing: restricted access"))),AND(IF(metadata!K872="",FALSE,ISNUMBER(VALUE(metadata!K872))),metadata!K872&gt;=-90.00,metadata!K872&lt;=90.00))</f>
        <v>0</v>
      </c>
      <c r="AL872">
        <f>OR(AND(IF(metadata!L872="",FALSE,TRUE),OR(exact(metadata!L872,"missing: not collected"),exact(metadata!L872,"missing: not provided"),exact(metadata!L872,"missing: restricted access"))),AND(IF(metadata!L872="",FALSE,ISNUMBER(VALUE(metadata!L872))),metadata!L872&gt;=-180.00,metadata!L872&lt;=180.00))</f>
        <v>0</v>
      </c>
      <c r="AM872">
        <f>IF(metadata!M872="",FALSE,TRUE)</f>
        <v>0</v>
      </c>
      <c r="AN872">
        <f>OR(AND(IF(metadata!N872="",FALSE,TRUE),OR(exact(metadata!N872,"missing: not collected"),exact(metadata!N872,"missing: not provided"),exact(metadata!N872,"missing: restricted access"))),AND(IF(metadata!N872="",FALSE,TRUE),OR(exact(metadata!N872,"TRUE"),exact(metadata!N872,"FALSE"))))</f>
        <v>0</v>
      </c>
      <c r="AO872">
        <f>IF(metadata!O872="",FALSE,TRUE)</f>
        <v>0</v>
      </c>
      <c r="AP872">
        <f>OR(AND(IF(metadata!P872="",FALSE,TRUE),OR(exact(metadata!P872,"missing: not collected"),exact(metadata!P872,"missing: not provided"))),AND(IF(metadata!P872="",FALSE,IF(ISERROR(INT(metadata!P872)),FALSE,INT(metadata!P872)=metadata!P872)),metadata!P872&gt;0))</f>
        <v>0</v>
      </c>
      <c r="AQ872">
        <f>IF(metadata!Q872="",FALSE,TRUE)</f>
        <v>0</v>
      </c>
    </row>
    <row r="873" spans="1:43">
      <c r="A873" s="5">
        <f>IF(B873=" "," ",HYPERLINK(CONCATENATE("#metadata!",ADDRESS(INDEX($W$2:$W$1001,MATCH(ROWS($U$2:U873),$U$2:$U$1001,0),0),1)),INDEX($Z$2:$Z$1001,MATCH(ROWS($U$2:U873),$U$2:$U$1001,0),0)))</f>
        <v>0</v>
      </c>
      <c r="B873" s="4">
        <f>IF(OR(INDEX($V$2:$V$1001,MATCH(ROWS($U$2:U873),$U$2:$U$1001,0),1)&gt;=100000,INDEX($AB$1005:$AQ$1005,1,MATCH(COLUMNS($AB$1006:AB1006),$AB$1006:$AQ$1006,0))&gt;=100000), " ",IF(INDEX($AB$2:$AQ$1001,MATCH(ROWS($U$2:U873),$U$2:$U$1001,0),MATCH(COLUMNS($AB$1006:AB1006),$AB$1006:$AQ$1006,0)), HYPERLINK("#",""), HYPERLINK(CONCATENATE("#metadata!", ADDRESS(INDEX($W$2:$W$1001,MATCH(ROWS($U$2:U873),$U$2:$U$1001,0),0), INDEX($AB$1004:$AQ$1004,1,MATCH(COLUMNS($AB$1006:AB1006),$AB$1006:$AQ$1006,0)))),"Fix")))</f>
        <v>0</v>
      </c>
      <c r="C873" s="4">
        <f>IF(OR(INDEX($V$2:$V$1001,MATCH(ROWS($U$2:U873),$U$2:$U$1001,0),1)&gt;=100000,INDEX($AB$1005:$AQ$1005,1,MATCH(COLUMNS($AB$1006:AC1006),$AB$1006:$AQ$1006,0))&gt;=100000), " ",IF(INDEX($AB$2:$AQ$1001,MATCH(ROWS($U$2:U873),$U$2:$U$1001,0),MATCH(COLUMNS($AB$1006:AC1006),$AB$1006:$AQ$1006,0)), HYPERLINK("#",""), HYPERLINK(CONCATENATE("#metadata!", ADDRESS(INDEX($W$2:$W$1001,MATCH(ROWS($U$2:U873),$U$2:$U$1001,0),0), INDEX($AB$1004:$AQ$1004,1,MATCH(COLUMNS($AB$1006:AC1006),$AB$1006:$AQ$1006,0)))),"Fix")))</f>
        <v>0</v>
      </c>
      <c r="D873" s="4">
        <f>IF(OR(INDEX($V$2:$V$1001,MATCH(ROWS($U$2:U873),$U$2:$U$1001,0),1)&gt;=100000,INDEX($AB$1005:$AQ$1005,1,MATCH(COLUMNS($AB$1006:AD1006),$AB$1006:$AQ$1006,0))&gt;=100000), " ",IF(INDEX($AB$2:$AQ$1001,MATCH(ROWS($U$2:U873),$U$2:$U$1001,0),MATCH(COLUMNS($AB$1006:AD1006),$AB$1006:$AQ$1006,0)), HYPERLINK("#",""), HYPERLINK(CONCATENATE("#metadata!", ADDRESS(INDEX($W$2:$W$1001,MATCH(ROWS($U$2:U873),$U$2:$U$1001,0),0), INDEX($AB$1004:$AQ$1004,1,MATCH(COLUMNS($AB$1006:AD1006),$AB$1006:$AQ$1006,0)))),"Fix")))</f>
        <v>0</v>
      </c>
      <c r="E873" s="4">
        <f>IF(OR(INDEX($V$2:$V$1001,MATCH(ROWS($U$2:U873),$U$2:$U$1001,0),1)&gt;=100000,INDEX($AB$1005:$AQ$1005,1,MATCH(COLUMNS($AB$1006:AE1006),$AB$1006:$AQ$1006,0))&gt;=100000), " ",IF(INDEX($AB$2:$AQ$1001,MATCH(ROWS($U$2:U873),$U$2:$U$1001,0),MATCH(COLUMNS($AB$1006:AE1006),$AB$1006:$AQ$1006,0)), HYPERLINK("#",""), HYPERLINK(CONCATENATE("#metadata!", ADDRESS(INDEX($W$2:$W$1001,MATCH(ROWS($U$2:U873),$U$2:$U$1001,0),0), INDEX($AB$1004:$AQ$1004,1,MATCH(COLUMNS($AB$1006:AE1006),$AB$1006:$AQ$1006,0)))),"Fix")))</f>
        <v>0</v>
      </c>
      <c r="F873" s="4">
        <f>IF(OR(INDEX($V$2:$V$1001,MATCH(ROWS($U$2:U873),$U$2:$U$1001,0),1)&gt;=100000,INDEX($AB$1005:$AQ$1005,1,MATCH(COLUMNS($AB$1006:AF1006),$AB$1006:$AQ$1006,0))&gt;=100000), " ",IF(INDEX($AB$2:$AQ$1001,MATCH(ROWS($U$2:U873),$U$2:$U$1001,0),MATCH(COLUMNS($AB$1006:AF1006),$AB$1006:$AQ$1006,0)), HYPERLINK("#",""), HYPERLINK(CONCATENATE("#metadata!", ADDRESS(INDEX($W$2:$W$1001,MATCH(ROWS($U$2:U873),$U$2:$U$1001,0),0), INDEX($AB$1004:$AQ$1004,1,MATCH(COLUMNS($AB$1006:AF1006),$AB$1006:$AQ$1006,0)))),"Fix")))</f>
        <v>0</v>
      </c>
      <c r="G873" s="4">
        <f>IF(OR(INDEX($V$2:$V$1001,MATCH(ROWS($U$2:U873),$U$2:$U$1001,0),1)&gt;=100000,INDEX($AB$1005:$AQ$1005,1,MATCH(COLUMNS($AB$1006:AG1006),$AB$1006:$AQ$1006,0))&gt;=100000), " ",IF(INDEX($AB$2:$AQ$1001,MATCH(ROWS($U$2:U873),$U$2:$U$1001,0),MATCH(COLUMNS($AB$1006:AG1006),$AB$1006:$AQ$1006,0)), HYPERLINK("#",""), HYPERLINK(CONCATENATE("#metadata!", ADDRESS(INDEX($W$2:$W$1001,MATCH(ROWS($U$2:U873),$U$2:$U$1001,0),0), INDEX($AB$1004:$AQ$1004,1,MATCH(COLUMNS($AB$1006:AG1006),$AB$1006:$AQ$1006,0)))),"Fix")))</f>
        <v>0</v>
      </c>
      <c r="H873" s="4">
        <f>IF(OR(INDEX($V$2:$V$1001,MATCH(ROWS($U$2:U873),$U$2:$U$1001,0),1)&gt;=100000,INDEX($AB$1005:$AQ$1005,1,MATCH(COLUMNS($AB$1006:AH1006),$AB$1006:$AQ$1006,0))&gt;=100000), " ",IF(INDEX($AB$2:$AQ$1001,MATCH(ROWS($U$2:U873),$U$2:$U$1001,0),MATCH(COLUMNS($AB$1006:AH1006),$AB$1006:$AQ$1006,0)), HYPERLINK("#",""), HYPERLINK(CONCATENATE("#metadata!", ADDRESS(INDEX($W$2:$W$1001,MATCH(ROWS($U$2:U873),$U$2:$U$1001,0),0), INDEX($AB$1004:$AQ$1004,1,MATCH(COLUMNS($AB$1006:AH1006),$AB$1006:$AQ$1006,0)))),"Fix")))</f>
        <v>0</v>
      </c>
      <c r="I873" s="4">
        <f>IF(OR(INDEX($V$2:$V$1001,MATCH(ROWS($U$2:U873),$U$2:$U$1001,0),1)&gt;=100000,INDEX($AB$1005:$AQ$1005,1,MATCH(COLUMNS($AB$1006:AI1006),$AB$1006:$AQ$1006,0))&gt;=100000), " ",IF(INDEX($AB$2:$AQ$1001,MATCH(ROWS($U$2:U873),$U$2:$U$1001,0),MATCH(COLUMNS($AB$1006:AI1006),$AB$1006:$AQ$1006,0)), HYPERLINK("#",""), HYPERLINK(CONCATENATE("#metadata!", ADDRESS(INDEX($W$2:$W$1001,MATCH(ROWS($U$2:U873),$U$2:$U$1001,0),0), INDEX($AB$1004:$AQ$1004,1,MATCH(COLUMNS($AB$1006:AI1006),$AB$1006:$AQ$1006,0)))),"Fix")))</f>
        <v>0</v>
      </c>
      <c r="J873" s="4">
        <f>IF(OR(INDEX($V$2:$V$1001,MATCH(ROWS($U$2:U873),$U$2:$U$1001,0),1)&gt;=100000,INDEX($AB$1005:$AQ$1005,1,MATCH(COLUMNS($AB$1006:AJ1006),$AB$1006:$AQ$1006,0))&gt;=100000), " ",IF(INDEX($AB$2:$AQ$1001,MATCH(ROWS($U$2:U873),$U$2:$U$1001,0),MATCH(COLUMNS($AB$1006:AJ1006),$AB$1006:$AQ$1006,0)), HYPERLINK("#",""), HYPERLINK(CONCATENATE("#metadata!", ADDRESS(INDEX($W$2:$W$1001,MATCH(ROWS($U$2:U873),$U$2:$U$1001,0),0), INDEX($AB$1004:$AQ$1004,1,MATCH(COLUMNS($AB$1006:AJ1006),$AB$1006:$AQ$1006,0)))),"Fix")))</f>
        <v>0</v>
      </c>
      <c r="K873" s="4">
        <f>IF(OR(INDEX($V$2:$V$1001,MATCH(ROWS($U$2:U873),$U$2:$U$1001,0),1)&gt;=100000,INDEX($AB$1005:$AQ$1005,1,MATCH(COLUMNS($AB$1006:AK1006),$AB$1006:$AQ$1006,0))&gt;=100000), " ",IF(INDEX($AB$2:$AQ$1001,MATCH(ROWS($U$2:U873),$U$2:$U$1001,0),MATCH(COLUMNS($AB$1006:AK1006),$AB$1006:$AQ$1006,0)), HYPERLINK("#",""), HYPERLINK(CONCATENATE("#metadata!", ADDRESS(INDEX($W$2:$W$1001,MATCH(ROWS($U$2:U873),$U$2:$U$1001,0),0), INDEX($AB$1004:$AQ$1004,1,MATCH(COLUMNS($AB$1006:AK1006),$AB$1006:$AQ$1006,0)))),"Fix")))</f>
        <v>0</v>
      </c>
      <c r="L873" s="4">
        <f>IF(OR(INDEX($V$2:$V$1001,MATCH(ROWS($U$2:U873),$U$2:$U$1001,0),1)&gt;=100000,INDEX($AB$1005:$AQ$1005,1,MATCH(COLUMNS($AB$1006:AL1006),$AB$1006:$AQ$1006,0))&gt;=100000), " ",IF(INDEX($AB$2:$AQ$1001,MATCH(ROWS($U$2:U873),$U$2:$U$1001,0),MATCH(COLUMNS($AB$1006:AL1006),$AB$1006:$AQ$1006,0)), HYPERLINK("#",""), HYPERLINK(CONCATENATE("#metadata!", ADDRESS(INDEX($W$2:$W$1001,MATCH(ROWS($U$2:U873),$U$2:$U$1001,0),0), INDEX($AB$1004:$AQ$1004,1,MATCH(COLUMNS($AB$1006:AL1006),$AB$1006:$AQ$1006,0)))),"Fix")))</f>
        <v>0</v>
      </c>
      <c r="M873" s="4">
        <f>IF(OR(INDEX($V$2:$V$1001,MATCH(ROWS($U$2:U873),$U$2:$U$1001,0),1)&gt;=100000,INDEX($AB$1005:$AQ$1005,1,MATCH(COLUMNS($AB$1006:AM1006),$AB$1006:$AQ$1006,0))&gt;=100000), " ",IF(INDEX($AB$2:$AQ$1001,MATCH(ROWS($U$2:U873),$U$2:$U$1001,0),MATCH(COLUMNS($AB$1006:AM1006),$AB$1006:$AQ$1006,0)), HYPERLINK("#",""), HYPERLINK(CONCATENATE("#metadata!", ADDRESS(INDEX($W$2:$W$1001,MATCH(ROWS($U$2:U873),$U$2:$U$1001,0),0), INDEX($AB$1004:$AQ$1004,1,MATCH(COLUMNS($AB$1006:AM1006),$AB$1006:$AQ$1006,0)))),"Fix")))</f>
        <v>0</v>
      </c>
      <c r="N873" s="4">
        <f>IF(OR(INDEX($V$2:$V$1001,MATCH(ROWS($U$2:U873),$U$2:$U$1001,0),1)&gt;=100000,INDEX($AB$1005:$AQ$1005,1,MATCH(COLUMNS($AB$1006:AN1006),$AB$1006:$AQ$1006,0))&gt;=100000), " ",IF(INDEX($AB$2:$AQ$1001,MATCH(ROWS($U$2:U873),$U$2:$U$1001,0),MATCH(COLUMNS($AB$1006:AN1006),$AB$1006:$AQ$1006,0)), HYPERLINK("#",""), HYPERLINK(CONCATENATE("#metadata!", ADDRESS(INDEX($W$2:$W$1001,MATCH(ROWS($U$2:U873),$U$2:$U$1001,0),0), INDEX($AB$1004:$AQ$1004,1,MATCH(COLUMNS($AB$1006:AN1006),$AB$1006:$AQ$1006,0)))),"Fix")))</f>
        <v>0</v>
      </c>
      <c r="O873" s="4">
        <f>IF(OR(INDEX($V$2:$V$1001,MATCH(ROWS($U$2:U873),$U$2:$U$1001,0),1)&gt;=100000,INDEX($AB$1005:$AQ$1005,1,MATCH(COLUMNS($AB$1006:AO1006),$AB$1006:$AQ$1006,0))&gt;=100000), " ",IF(INDEX($AB$2:$AQ$1001,MATCH(ROWS($U$2:U873),$U$2:$U$1001,0),MATCH(COLUMNS($AB$1006:AO1006),$AB$1006:$AQ$1006,0)), HYPERLINK("#",""), HYPERLINK(CONCATENATE("#metadata!", ADDRESS(INDEX($W$2:$W$1001,MATCH(ROWS($U$2:U873),$U$2:$U$1001,0),0), INDEX($AB$1004:$AQ$1004,1,MATCH(COLUMNS($AB$1006:AO1006),$AB$1006:$AQ$1006,0)))),"Fix")))</f>
        <v>0</v>
      </c>
      <c r="P873" s="4">
        <f>IF(OR(INDEX($V$2:$V$1001,MATCH(ROWS($U$2:U873),$U$2:$U$1001,0),1)&gt;=100000,INDEX($AB$1005:$AQ$1005,1,MATCH(COLUMNS($AB$1006:AP1006),$AB$1006:$AQ$1006,0))&gt;=100000), " ",IF(INDEX($AB$2:$AQ$1001,MATCH(ROWS($U$2:U873),$U$2:$U$1001,0),MATCH(COLUMNS($AB$1006:AP1006),$AB$1006:$AQ$1006,0)), HYPERLINK("#",""), HYPERLINK(CONCATENATE("#metadata!", ADDRESS(INDEX($W$2:$W$1001,MATCH(ROWS($U$2:U873),$U$2:$U$1001,0),0), INDEX($AB$1004:$AQ$1004,1,MATCH(COLUMNS($AB$1006:AP1006),$AB$1006:$AQ$1006,0)))),"Fix")))</f>
        <v>0</v>
      </c>
      <c r="Q873" s="4">
        <f>IF(OR(INDEX($V$2:$V$1001,MATCH(ROWS($U$2:U873),$U$2:$U$1001,0),1)&gt;=100000,INDEX($AB$1005:$AQ$1005,1,MATCH(COLUMNS($AB$1006:AQ1006),$AB$1006:$AQ$1006,0))&gt;=100000), " ",IF(INDEX($AB$2:$AQ$1001,MATCH(ROWS($U$2:U873),$U$2:$U$1001,0),MATCH(COLUMNS($AB$1006:AQ1006),$AB$1006:$AQ$1006,0)), HYPERLINK("#",""), HYPERLINK(CONCATENATE("#metadata!", ADDRESS(INDEX($W$2:$W$1001,MATCH(ROWS($U$2:U873),$U$2:$U$1001,0),0), INDEX($AB$1004:$AQ$1004,1,MATCH(COLUMNS($AB$1006:AQ1006),$AB$1006:$AQ$1006,0)))),"Fix")))</f>
        <v>0</v>
      </c>
      <c r="U873">
        <v>0</v>
      </c>
      <c r="V873">
        <v>0</v>
      </c>
      <c r="W873">
        <v>0</v>
      </c>
      <c r="X873">
        <f>IF(Y873,TRUE,AND(AB873:AQ873))</f>
        <v>0</v>
      </c>
      <c r="Y873">
        <f>COUNTBLANK(metadata!B873:Q873)=COLUMNS(metadata!B873:Q873)</f>
        <v>0</v>
      </c>
      <c r="Z873">
        <v>0</v>
      </c>
      <c r="AB873">
        <f>AND(IF(metadata!B873="",FALSE,TRUE),COUNTIF(metadata!B:B, metadata!B873) = 1,NOT(ISERROR(SUMPRODUCT(SEARCH(MID(metadata!B873,ROW(INDIRECT("1:"&amp;LEN(metadata!B873))), 1),"0123456789abcdefghijklmnopqrstuvwxyzABCDEFGHIJKLMNOPQRSTUVWXYZ.")))))</f>
        <v>0</v>
      </c>
      <c r="AC873">
        <f>OR(AND(IF(metadata!C873="",FALSE,TRUE),OR(exact(metadata!C873,"missing: not collected"),exact(metadata!C873,"missing: not provided"),exact(metadata!C873,"missing: restricted access"))),AND(IF(metadata!C873="",FALSE,TRUE),AND(AND(IFERROR(INT(LEFT(metadata!C873,4))&gt;1900,FALSE),IFERROR(INT(LEFT(metadata!C873,4))&lt;=YEAR(NOW()),FALSE)), OR(MID(metadata!C873,5,1)="", AND(AND(MID(metadata!C873,5,1)="-",IFERROR(INT(MID(metadata!C873,6,1))&gt;=0,FALSE),IFERROR(INT(MID(metadata!C873,6,1))&lt;=1,FALSE),NOT(MID(metadata!C873,7,1)=""),IFERROR(INT(MID(metadata!C873,6,2))&gt;=1,FALSE),IFERROR(INT(MID(metadata!C873,6,2))&lt;=12,FALSE)), OR(MID(metadata!C873,8,1)="", AND(AND(MID(metadata!C873,8,1)="-",IFERROR(INT(MID(metadata!C873,9,1))&gt;=0,FALSE),IFERROR(INT(MID(metadata!C873,9,1))&lt;=3,FALSE),NOT(MID(metadata!C873,10,1)=""),IFERROR(INT(MID(metadata!C873,9,2))&gt;=1,FALSE),IFERROR(INT(MID(metadata!C873,9,2))&lt;=31,FALSE)), OR(MID(metadata!C873,11,1)="", AND(AND(MID(metadata!C873,11,1)=" ",IFERROR(INT(MID(metadata!C873,12,1))&gt;=0,FALSE),IFERROR(INT(MID(metadata!C873,12,1))&lt;=2,FALSE),NOT(MID(metadata!C873,13,1)=""),IFERROR(INT(MID(metadata!C873,12,2))&gt;=0,FALSE),IFERROR(INT(MID(metadata!C873,12,2))&lt;=23,FALSE)), OR(MID(metadata!C873,14,1)="", AND(AND(MID(metadata!C873,14,1)=":",IFERROR(INT(MID(metadata!C873,15,1))&gt;=0,FALSE),IFERROR(INT(MID(metadata!C873,15,1))&lt;=5,FALSE),NOT(MID(metadata!C873,16,1)=""),IFERROR(INT(MID(metadata!C873,15,2))&gt;=0,FALSE),IFERROR(INT(MID(metadata!C873,15,2))&lt;=59,FALSE)), OR(MID(metadata!C873,17,1)="", AND(AND(MID(metadata!C873,17,1)=":",IFERROR(INT(MID(metadata!C873,18,1))&gt;=0,FALSE),IFERROR(INT(MID(metadata!C873,18,1))&lt;=5,FALSE),NOT(MID(metadata!C873,19,1)=""),IFERROR(INT(MID(metadata!C873,18,2))&gt;=0,FALSE),IFERROR(INT(MID(metadata!C873,18,2))&lt;=59,FALSE)), LEN(metadata!C873)&lt;=19)))))))))))))</f>
        <v>0</v>
      </c>
      <c r="AD873">
        <f>IF(metadata!D873="",FALSE,TRUE)</f>
        <v>0</v>
      </c>
      <c r="AE873">
        <f>OR(AND(IF(metadata!E873="",FALSE,TRUE),OR(exact(metadata!E873,"missing: not collected"),exact(metadata!E873,"missing: not provided"))),AND(IF(metadata!E873="",FALSE,TRUE),OR(exact(metadata!E873,"TRUE"),exact(metadata!E873,"FALSE"))))</f>
        <v>0</v>
      </c>
      <c r="AF873">
        <f>IF(metadata!F873="",FALSE,TRUE)</f>
        <v>0</v>
      </c>
      <c r="AG873">
        <f>IF(metadata!G873="",FALSE,TRUE)</f>
        <v>0</v>
      </c>
      <c r="AH873">
        <f>IF(metadata!H873="",FALSE,TRUE)</f>
        <v>0</v>
      </c>
      <c r="AI873">
        <f>OR(AND(IF(metadata!I873="",FALSE,TRUE),OR(exact(metadata!I873,"missing: not collected"),exact(metadata!I873,"missing: not provided"),exact(metadata!I873,"missing: restricted access"))),AND(IF(metadata!I873="",FALSE,TRUE),OR(exact(metadata!I873,"air"),exact(metadata!I873,"built environment"),exact(metadata!I873,"host-associated"),exact(metadata!I873,"human-associated"),exact(metadata!I873,"human-skin"),exact(metadata!I873,"human-oral"),exact(metadata!I873,"human-gut"),exact(metadata!I873,"human-vaginal"),exact(metadata!I873,"microbial mat/biofilm"),exact(metadata!I873,"misc environment"),exact(metadata!I873,"plant-associated"),exact(metadata!I873,"sediment"),exact(metadata!I873,"soil"),exact(metadata!I873,"wastewater/sludge"),exact(metadata!I873,"water"))))</f>
        <v>0</v>
      </c>
      <c r="AJ873">
        <f>IF(metadata!J873="",FALSE,TRUE)</f>
        <v>0</v>
      </c>
      <c r="AK873">
        <f>OR(AND(IF(metadata!K873="",FALSE,TRUE),OR(exact(metadata!K873,"missing: not collected"),exact(metadata!K873,"missing: not provided"),exact(metadata!K873,"missing: restricted access"))),AND(IF(metadata!K873="",FALSE,ISNUMBER(VALUE(metadata!K873))),metadata!K873&gt;=-90.00,metadata!K873&lt;=90.00))</f>
        <v>0</v>
      </c>
      <c r="AL873">
        <f>OR(AND(IF(metadata!L873="",FALSE,TRUE),OR(exact(metadata!L873,"missing: not collected"),exact(metadata!L873,"missing: not provided"),exact(metadata!L873,"missing: restricted access"))),AND(IF(metadata!L873="",FALSE,ISNUMBER(VALUE(metadata!L873))),metadata!L873&gt;=-180.00,metadata!L873&lt;=180.00))</f>
        <v>0</v>
      </c>
      <c r="AM873">
        <f>IF(metadata!M873="",FALSE,TRUE)</f>
        <v>0</v>
      </c>
      <c r="AN873">
        <f>OR(AND(IF(metadata!N873="",FALSE,TRUE),OR(exact(metadata!N873,"missing: not collected"),exact(metadata!N873,"missing: not provided"),exact(metadata!N873,"missing: restricted access"))),AND(IF(metadata!N873="",FALSE,TRUE),OR(exact(metadata!N873,"TRUE"),exact(metadata!N873,"FALSE"))))</f>
        <v>0</v>
      </c>
      <c r="AO873">
        <f>IF(metadata!O873="",FALSE,TRUE)</f>
        <v>0</v>
      </c>
      <c r="AP873">
        <f>OR(AND(IF(metadata!P873="",FALSE,TRUE),OR(exact(metadata!P873,"missing: not collected"),exact(metadata!P873,"missing: not provided"))),AND(IF(metadata!P873="",FALSE,IF(ISERROR(INT(metadata!P873)),FALSE,INT(metadata!P873)=metadata!P873)),metadata!P873&gt;0))</f>
        <v>0</v>
      </c>
      <c r="AQ873">
        <f>IF(metadata!Q873="",FALSE,TRUE)</f>
        <v>0</v>
      </c>
    </row>
    <row r="874" spans="1:43">
      <c r="A874" s="5">
        <f>IF(B874=" "," ",HYPERLINK(CONCATENATE("#metadata!",ADDRESS(INDEX($W$2:$W$1001,MATCH(ROWS($U$2:U874),$U$2:$U$1001,0),0),1)),INDEX($Z$2:$Z$1001,MATCH(ROWS($U$2:U874),$U$2:$U$1001,0),0)))</f>
        <v>0</v>
      </c>
      <c r="B874" s="4">
        <f>IF(OR(INDEX($V$2:$V$1001,MATCH(ROWS($U$2:U874),$U$2:$U$1001,0),1)&gt;=100000,INDEX($AB$1005:$AQ$1005,1,MATCH(COLUMNS($AB$1006:AB1006),$AB$1006:$AQ$1006,0))&gt;=100000), " ",IF(INDEX($AB$2:$AQ$1001,MATCH(ROWS($U$2:U874),$U$2:$U$1001,0),MATCH(COLUMNS($AB$1006:AB1006),$AB$1006:$AQ$1006,0)), HYPERLINK("#",""), HYPERLINK(CONCATENATE("#metadata!", ADDRESS(INDEX($W$2:$W$1001,MATCH(ROWS($U$2:U874),$U$2:$U$1001,0),0), INDEX($AB$1004:$AQ$1004,1,MATCH(COLUMNS($AB$1006:AB1006),$AB$1006:$AQ$1006,0)))),"Fix")))</f>
        <v>0</v>
      </c>
      <c r="C874" s="4">
        <f>IF(OR(INDEX($V$2:$V$1001,MATCH(ROWS($U$2:U874),$U$2:$U$1001,0),1)&gt;=100000,INDEX($AB$1005:$AQ$1005,1,MATCH(COLUMNS($AB$1006:AC1006),$AB$1006:$AQ$1006,0))&gt;=100000), " ",IF(INDEX($AB$2:$AQ$1001,MATCH(ROWS($U$2:U874),$U$2:$U$1001,0),MATCH(COLUMNS($AB$1006:AC1006),$AB$1006:$AQ$1006,0)), HYPERLINK("#",""), HYPERLINK(CONCATENATE("#metadata!", ADDRESS(INDEX($W$2:$W$1001,MATCH(ROWS($U$2:U874),$U$2:$U$1001,0),0), INDEX($AB$1004:$AQ$1004,1,MATCH(COLUMNS($AB$1006:AC1006),$AB$1006:$AQ$1006,0)))),"Fix")))</f>
        <v>0</v>
      </c>
      <c r="D874" s="4">
        <f>IF(OR(INDEX($V$2:$V$1001,MATCH(ROWS($U$2:U874),$U$2:$U$1001,0),1)&gt;=100000,INDEX($AB$1005:$AQ$1005,1,MATCH(COLUMNS($AB$1006:AD1006),$AB$1006:$AQ$1006,0))&gt;=100000), " ",IF(INDEX($AB$2:$AQ$1001,MATCH(ROWS($U$2:U874),$U$2:$U$1001,0),MATCH(COLUMNS($AB$1006:AD1006),$AB$1006:$AQ$1006,0)), HYPERLINK("#",""), HYPERLINK(CONCATENATE("#metadata!", ADDRESS(INDEX($W$2:$W$1001,MATCH(ROWS($U$2:U874),$U$2:$U$1001,0),0), INDEX($AB$1004:$AQ$1004,1,MATCH(COLUMNS($AB$1006:AD1006),$AB$1006:$AQ$1006,0)))),"Fix")))</f>
        <v>0</v>
      </c>
      <c r="E874" s="4">
        <f>IF(OR(INDEX($V$2:$V$1001,MATCH(ROWS($U$2:U874),$U$2:$U$1001,0),1)&gt;=100000,INDEX($AB$1005:$AQ$1005,1,MATCH(COLUMNS($AB$1006:AE1006),$AB$1006:$AQ$1006,0))&gt;=100000), " ",IF(INDEX($AB$2:$AQ$1001,MATCH(ROWS($U$2:U874),$U$2:$U$1001,0),MATCH(COLUMNS($AB$1006:AE1006),$AB$1006:$AQ$1006,0)), HYPERLINK("#",""), HYPERLINK(CONCATENATE("#metadata!", ADDRESS(INDEX($W$2:$W$1001,MATCH(ROWS($U$2:U874),$U$2:$U$1001,0),0), INDEX($AB$1004:$AQ$1004,1,MATCH(COLUMNS($AB$1006:AE1006),$AB$1006:$AQ$1006,0)))),"Fix")))</f>
        <v>0</v>
      </c>
      <c r="F874" s="4">
        <f>IF(OR(INDEX($V$2:$V$1001,MATCH(ROWS($U$2:U874),$U$2:$U$1001,0),1)&gt;=100000,INDEX($AB$1005:$AQ$1005,1,MATCH(COLUMNS($AB$1006:AF1006),$AB$1006:$AQ$1006,0))&gt;=100000), " ",IF(INDEX($AB$2:$AQ$1001,MATCH(ROWS($U$2:U874),$U$2:$U$1001,0),MATCH(COLUMNS($AB$1006:AF1006),$AB$1006:$AQ$1006,0)), HYPERLINK("#",""), HYPERLINK(CONCATENATE("#metadata!", ADDRESS(INDEX($W$2:$W$1001,MATCH(ROWS($U$2:U874),$U$2:$U$1001,0),0), INDEX($AB$1004:$AQ$1004,1,MATCH(COLUMNS($AB$1006:AF1006),$AB$1006:$AQ$1006,0)))),"Fix")))</f>
        <v>0</v>
      </c>
      <c r="G874" s="4">
        <f>IF(OR(INDEX($V$2:$V$1001,MATCH(ROWS($U$2:U874),$U$2:$U$1001,0),1)&gt;=100000,INDEX($AB$1005:$AQ$1005,1,MATCH(COLUMNS($AB$1006:AG1006),$AB$1006:$AQ$1006,0))&gt;=100000), " ",IF(INDEX($AB$2:$AQ$1001,MATCH(ROWS($U$2:U874),$U$2:$U$1001,0),MATCH(COLUMNS($AB$1006:AG1006),$AB$1006:$AQ$1006,0)), HYPERLINK("#",""), HYPERLINK(CONCATENATE("#metadata!", ADDRESS(INDEX($W$2:$W$1001,MATCH(ROWS($U$2:U874),$U$2:$U$1001,0),0), INDEX($AB$1004:$AQ$1004,1,MATCH(COLUMNS($AB$1006:AG1006),$AB$1006:$AQ$1006,0)))),"Fix")))</f>
        <v>0</v>
      </c>
      <c r="H874" s="4">
        <f>IF(OR(INDEX($V$2:$V$1001,MATCH(ROWS($U$2:U874),$U$2:$U$1001,0),1)&gt;=100000,INDEX($AB$1005:$AQ$1005,1,MATCH(COLUMNS($AB$1006:AH1006),$AB$1006:$AQ$1006,0))&gt;=100000), " ",IF(INDEX($AB$2:$AQ$1001,MATCH(ROWS($U$2:U874),$U$2:$U$1001,0),MATCH(COLUMNS($AB$1006:AH1006),$AB$1006:$AQ$1006,0)), HYPERLINK("#",""), HYPERLINK(CONCATENATE("#metadata!", ADDRESS(INDEX($W$2:$W$1001,MATCH(ROWS($U$2:U874),$U$2:$U$1001,0),0), INDEX($AB$1004:$AQ$1004,1,MATCH(COLUMNS($AB$1006:AH1006),$AB$1006:$AQ$1006,0)))),"Fix")))</f>
        <v>0</v>
      </c>
      <c r="I874" s="4">
        <f>IF(OR(INDEX($V$2:$V$1001,MATCH(ROWS($U$2:U874),$U$2:$U$1001,0),1)&gt;=100000,INDEX($AB$1005:$AQ$1005,1,MATCH(COLUMNS($AB$1006:AI1006),$AB$1006:$AQ$1006,0))&gt;=100000), " ",IF(INDEX($AB$2:$AQ$1001,MATCH(ROWS($U$2:U874),$U$2:$U$1001,0),MATCH(COLUMNS($AB$1006:AI1006),$AB$1006:$AQ$1006,0)), HYPERLINK("#",""), HYPERLINK(CONCATENATE("#metadata!", ADDRESS(INDEX($W$2:$W$1001,MATCH(ROWS($U$2:U874),$U$2:$U$1001,0),0), INDEX($AB$1004:$AQ$1004,1,MATCH(COLUMNS($AB$1006:AI1006),$AB$1006:$AQ$1006,0)))),"Fix")))</f>
        <v>0</v>
      </c>
      <c r="J874" s="4">
        <f>IF(OR(INDEX($V$2:$V$1001,MATCH(ROWS($U$2:U874),$U$2:$U$1001,0),1)&gt;=100000,INDEX($AB$1005:$AQ$1005,1,MATCH(COLUMNS($AB$1006:AJ1006),$AB$1006:$AQ$1006,0))&gt;=100000), " ",IF(INDEX($AB$2:$AQ$1001,MATCH(ROWS($U$2:U874),$U$2:$U$1001,0),MATCH(COLUMNS($AB$1006:AJ1006),$AB$1006:$AQ$1006,0)), HYPERLINK("#",""), HYPERLINK(CONCATENATE("#metadata!", ADDRESS(INDEX($W$2:$W$1001,MATCH(ROWS($U$2:U874),$U$2:$U$1001,0),0), INDEX($AB$1004:$AQ$1004,1,MATCH(COLUMNS($AB$1006:AJ1006),$AB$1006:$AQ$1006,0)))),"Fix")))</f>
        <v>0</v>
      </c>
      <c r="K874" s="4">
        <f>IF(OR(INDEX($V$2:$V$1001,MATCH(ROWS($U$2:U874),$U$2:$U$1001,0),1)&gt;=100000,INDEX($AB$1005:$AQ$1005,1,MATCH(COLUMNS($AB$1006:AK1006),$AB$1006:$AQ$1006,0))&gt;=100000), " ",IF(INDEX($AB$2:$AQ$1001,MATCH(ROWS($U$2:U874),$U$2:$U$1001,0),MATCH(COLUMNS($AB$1006:AK1006),$AB$1006:$AQ$1006,0)), HYPERLINK("#",""), HYPERLINK(CONCATENATE("#metadata!", ADDRESS(INDEX($W$2:$W$1001,MATCH(ROWS($U$2:U874),$U$2:$U$1001,0),0), INDEX($AB$1004:$AQ$1004,1,MATCH(COLUMNS($AB$1006:AK1006),$AB$1006:$AQ$1006,0)))),"Fix")))</f>
        <v>0</v>
      </c>
      <c r="L874" s="4">
        <f>IF(OR(INDEX($V$2:$V$1001,MATCH(ROWS($U$2:U874),$U$2:$U$1001,0),1)&gt;=100000,INDEX($AB$1005:$AQ$1005,1,MATCH(COLUMNS($AB$1006:AL1006),$AB$1006:$AQ$1006,0))&gt;=100000), " ",IF(INDEX($AB$2:$AQ$1001,MATCH(ROWS($U$2:U874),$U$2:$U$1001,0),MATCH(COLUMNS($AB$1006:AL1006),$AB$1006:$AQ$1006,0)), HYPERLINK("#",""), HYPERLINK(CONCATENATE("#metadata!", ADDRESS(INDEX($W$2:$W$1001,MATCH(ROWS($U$2:U874),$U$2:$U$1001,0),0), INDEX($AB$1004:$AQ$1004,1,MATCH(COLUMNS($AB$1006:AL1006),$AB$1006:$AQ$1006,0)))),"Fix")))</f>
        <v>0</v>
      </c>
      <c r="M874" s="4">
        <f>IF(OR(INDEX($V$2:$V$1001,MATCH(ROWS($U$2:U874),$U$2:$U$1001,0),1)&gt;=100000,INDEX($AB$1005:$AQ$1005,1,MATCH(COLUMNS($AB$1006:AM1006),$AB$1006:$AQ$1006,0))&gt;=100000), " ",IF(INDEX($AB$2:$AQ$1001,MATCH(ROWS($U$2:U874),$U$2:$U$1001,0),MATCH(COLUMNS($AB$1006:AM1006),$AB$1006:$AQ$1006,0)), HYPERLINK("#",""), HYPERLINK(CONCATENATE("#metadata!", ADDRESS(INDEX($W$2:$W$1001,MATCH(ROWS($U$2:U874),$U$2:$U$1001,0),0), INDEX($AB$1004:$AQ$1004,1,MATCH(COLUMNS($AB$1006:AM1006),$AB$1006:$AQ$1006,0)))),"Fix")))</f>
        <v>0</v>
      </c>
      <c r="N874" s="4">
        <f>IF(OR(INDEX($V$2:$V$1001,MATCH(ROWS($U$2:U874),$U$2:$U$1001,0),1)&gt;=100000,INDEX($AB$1005:$AQ$1005,1,MATCH(COLUMNS($AB$1006:AN1006),$AB$1006:$AQ$1006,0))&gt;=100000), " ",IF(INDEX($AB$2:$AQ$1001,MATCH(ROWS($U$2:U874),$U$2:$U$1001,0),MATCH(COLUMNS($AB$1006:AN1006),$AB$1006:$AQ$1006,0)), HYPERLINK("#",""), HYPERLINK(CONCATENATE("#metadata!", ADDRESS(INDEX($W$2:$W$1001,MATCH(ROWS($U$2:U874),$U$2:$U$1001,0),0), INDEX($AB$1004:$AQ$1004,1,MATCH(COLUMNS($AB$1006:AN1006),$AB$1006:$AQ$1006,0)))),"Fix")))</f>
        <v>0</v>
      </c>
      <c r="O874" s="4">
        <f>IF(OR(INDEX($V$2:$V$1001,MATCH(ROWS($U$2:U874),$U$2:$U$1001,0),1)&gt;=100000,INDEX($AB$1005:$AQ$1005,1,MATCH(COLUMNS($AB$1006:AO1006),$AB$1006:$AQ$1006,0))&gt;=100000), " ",IF(INDEX($AB$2:$AQ$1001,MATCH(ROWS($U$2:U874),$U$2:$U$1001,0),MATCH(COLUMNS($AB$1006:AO1006),$AB$1006:$AQ$1006,0)), HYPERLINK("#",""), HYPERLINK(CONCATENATE("#metadata!", ADDRESS(INDEX($W$2:$W$1001,MATCH(ROWS($U$2:U874),$U$2:$U$1001,0),0), INDEX($AB$1004:$AQ$1004,1,MATCH(COLUMNS($AB$1006:AO1006),$AB$1006:$AQ$1006,0)))),"Fix")))</f>
        <v>0</v>
      </c>
      <c r="P874" s="4">
        <f>IF(OR(INDEX($V$2:$V$1001,MATCH(ROWS($U$2:U874),$U$2:$U$1001,0),1)&gt;=100000,INDEX($AB$1005:$AQ$1005,1,MATCH(COLUMNS($AB$1006:AP1006),$AB$1006:$AQ$1006,0))&gt;=100000), " ",IF(INDEX($AB$2:$AQ$1001,MATCH(ROWS($U$2:U874),$U$2:$U$1001,0),MATCH(COLUMNS($AB$1006:AP1006),$AB$1006:$AQ$1006,0)), HYPERLINK("#",""), HYPERLINK(CONCATENATE("#metadata!", ADDRESS(INDEX($W$2:$W$1001,MATCH(ROWS($U$2:U874),$U$2:$U$1001,0),0), INDEX($AB$1004:$AQ$1004,1,MATCH(COLUMNS($AB$1006:AP1006),$AB$1006:$AQ$1006,0)))),"Fix")))</f>
        <v>0</v>
      </c>
      <c r="Q874" s="4">
        <f>IF(OR(INDEX($V$2:$V$1001,MATCH(ROWS($U$2:U874),$U$2:$U$1001,0),1)&gt;=100000,INDEX($AB$1005:$AQ$1005,1,MATCH(COLUMNS($AB$1006:AQ1006),$AB$1006:$AQ$1006,0))&gt;=100000), " ",IF(INDEX($AB$2:$AQ$1001,MATCH(ROWS($U$2:U874),$U$2:$U$1001,0),MATCH(COLUMNS($AB$1006:AQ1006),$AB$1006:$AQ$1006,0)), HYPERLINK("#",""), HYPERLINK(CONCATENATE("#metadata!", ADDRESS(INDEX($W$2:$W$1001,MATCH(ROWS($U$2:U874),$U$2:$U$1001,0),0), INDEX($AB$1004:$AQ$1004,1,MATCH(COLUMNS($AB$1006:AQ1006),$AB$1006:$AQ$1006,0)))),"Fix")))</f>
        <v>0</v>
      </c>
      <c r="U874">
        <v>0</v>
      </c>
      <c r="V874">
        <v>0</v>
      </c>
      <c r="W874">
        <v>0</v>
      </c>
      <c r="X874">
        <f>IF(Y874,TRUE,AND(AB874:AQ874))</f>
        <v>0</v>
      </c>
      <c r="Y874">
        <f>COUNTBLANK(metadata!B874:Q874)=COLUMNS(metadata!B874:Q874)</f>
        <v>0</v>
      </c>
      <c r="Z874">
        <v>0</v>
      </c>
      <c r="AB874">
        <f>AND(IF(metadata!B874="",FALSE,TRUE),COUNTIF(metadata!B:B, metadata!B874) = 1,NOT(ISERROR(SUMPRODUCT(SEARCH(MID(metadata!B874,ROW(INDIRECT("1:"&amp;LEN(metadata!B874))), 1),"0123456789abcdefghijklmnopqrstuvwxyzABCDEFGHIJKLMNOPQRSTUVWXYZ.")))))</f>
        <v>0</v>
      </c>
      <c r="AC874">
        <f>OR(AND(IF(metadata!C874="",FALSE,TRUE),OR(exact(metadata!C874,"missing: not collected"),exact(metadata!C874,"missing: not provided"),exact(metadata!C874,"missing: restricted access"))),AND(IF(metadata!C874="",FALSE,TRUE),AND(AND(IFERROR(INT(LEFT(metadata!C874,4))&gt;1900,FALSE),IFERROR(INT(LEFT(metadata!C874,4))&lt;=YEAR(NOW()),FALSE)), OR(MID(metadata!C874,5,1)="", AND(AND(MID(metadata!C874,5,1)="-",IFERROR(INT(MID(metadata!C874,6,1))&gt;=0,FALSE),IFERROR(INT(MID(metadata!C874,6,1))&lt;=1,FALSE),NOT(MID(metadata!C874,7,1)=""),IFERROR(INT(MID(metadata!C874,6,2))&gt;=1,FALSE),IFERROR(INT(MID(metadata!C874,6,2))&lt;=12,FALSE)), OR(MID(metadata!C874,8,1)="", AND(AND(MID(metadata!C874,8,1)="-",IFERROR(INT(MID(metadata!C874,9,1))&gt;=0,FALSE),IFERROR(INT(MID(metadata!C874,9,1))&lt;=3,FALSE),NOT(MID(metadata!C874,10,1)=""),IFERROR(INT(MID(metadata!C874,9,2))&gt;=1,FALSE),IFERROR(INT(MID(metadata!C874,9,2))&lt;=31,FALSE)), OR(MID(metadata!C874,11,1)="", AND(AND(MID(metadata!C874,11,1)=" ",IFERROR(INT(MID(metadata!C874,12,1))&gt;=0,FALSE),IFERROR(INT(MID(metadata!C874,12,1))&lt;=2,FALSE),NOT(MID(metadata!C874,13,1)=""),IFERROR(INT(MID(metadata!C874,12,2))&gt;=0,FALSE),IFERROR(INT(MID(metadata!C874,12,2))&lt;=23,FALSE)), OR(MID(metadata!C874,14,1)="", AND(AND(MID(metadata!C874,14,1)=":",IFERROR(INT(MID(metadata!C874,15,1))&gt;=0,FALSE),IFERROR(INT(MID(metadata!C874,15,1))&lt;=5,FALSE),NOT(MID(metadata!C874,16,1)=""),IFERROR(INT(MID(metadata!C874,15,2))&gt;=0,FALSE),IFERROR(INT(MID(metadata!C874,15,2))&lt;=59,FALSE)), OR(MID(metadata!C874,17,1)="", AND(AND(MID(metadata!C874,17,1)=":",IFERROR(INT(MID(metadata!C874,18,1))&gt;=0,FALSE),IFERROR(INT(MID(metadata!C874,18,1))&lt;=5,FALSE),NOT(MID(metadata!C874,19,1)=""),IFERROR(INT(MID(metadata!C874,18,2))&gt;=0,FALSE),IFERROR(INT(MID(metadata!C874,18,2))&lt;=59,FALSE)), LEN(metadata!C874)&lt;=19)))))))))))))</f>
        <v>0</v>
      </c>
      <c r="AD874">
        <f>IF(metadata!D874="",FALSE,TRUE)</f>
        <v>0</v>
      </c>
      <c r="AE874">
        <f>OR(AND(IF(metadata!E874="",FALSE,TRUE),OR(exact(metadata!E874,"missing: not collected"),exact(metadata!E874,"missing: not provided"))),AND(IF(metadata!E874="",FALSE,TRUE),OR(exact(metadata!E874,"TRUE"),exact(metadata!E874,"FALSE"))))</f>
        <v>0</v>
      </c>
      <c r="AF874">
        <f>IF(metadata!F874="",FALSE,TRUE)</f>
        <v>0</v>
      </c>
      <c r="AG874">
        <f>IF(metadata!G874="",FALSE,TRUE)</f>
        <v>0</v>
      </c>
      <c r="AH874">
        <f>IF(metadata!H874="",FALSE,TRUE)</f>
        <v>0</v>
      </c>
      <c r="AI874">
        <f>OR(AND(IF(metadata!I874="",FALSE,TRUE),OR(exact(metadata!I874,"missing: not collected"),exact(metadata!I874,"missing: not provided"),exact(metadata!I874,"missing: restricted access"))),AND(IF(metadata!I874="",FALSE,TRUE),OR(exact(metadata!I874,"air"),exact(metadata!I874,"built environment"),exact(metadata!I874,"host-associated"),exact(metadata!I874,"human-associated"),exact(metadata!I874,"human-skin"),exact(metadata!I874,"human-oral"),exact(metadata!I874,"human-gut"),exact(metadata!I874,"human-vaginal"),exact(metadata!I874,"microbial mat/biofilm"),exact(metadata!I874,"misc environment"),exact(metadata!I874,"plant-associated"),exact(metadata!I874,"sediment"),exact(metadata!I874,"soil"),exact(metadata!I874,"wastewater/sludge"),exact(metadata!I874,"water"))))</f>
        <v>0</v>
      </c>
      <c r="AJ874">
        <f>IF(metadata!J874="",FALSE,TRUE)</f>
        <v>0</v>
      </c>
      <c r="AK874">
        <f>OR(AND(IF(metadata!K874="",FALSE,TRUE),OR(exact(metadata!K874,"missing: not collected"),exact(metadata!K874,"missing: not provided"),exact(metadata!K874,"missing: restricted access"))),AND(IF(metadata!K874="",FALSE,ISNUMBER(VALUE(metadata!K874))),metadata!K874&gt;=-90.00,metadata!K874&lt;=90.00))</f>
        <v>0</v>
      </c>
      <c r="AL874">
        <f>OR(AND(IF(metadata!L874="",FALSE,TRUE),OR(exact(metadata!L874,"missing: not collected"),exact(metadata!L874,"missing: not provided"),exact(metadata!L874,"missing: restricted access"))),AND(IF(metadata!L874="",FALSE,ISNUMBER(VALUE(metadata!L874))),metadata!L874&gt;=-180.00,metadata!L874&lt;=180.00))</f>
        <v>0</v>
      </c>
      <c r="AM874">
        <f>IF(metadata!M874="",FALSE,TRUE)</f>
        <v>0</v>
      </c>
      <c r="AN874">
        <f>OR(AND(IF(metadata!N874="",FALSE,TRUE),OR(exact(metadata!N874,"missing: not collected"),exact(metadata!N874,"missing: not provided"),exact(metadata!N874,"missing: restricted access"))),AND(IF(metadata!N874="",FALSE,TRUE),OR(exact(metadata!N874,"TRUE"),exact(metadata!N874,"FALSE"))))</f>
        <v>0</v>
      </c>
      <c r="AO874">
        <f>IF(metadata!O874="",FALSE,TRUE)</f>
        <v>0</v>
      </c>
      <c r="AP874">
        <f>OR(AND(IF(metadata!P874="",FALSE,TRUE),OR(exact(metadata!P874,"missing: not collected"),exact(metadata!P874,"missing: not provided"))),AND(IF(metadata!P874="",FALSE,IF(ISERROR(INT(metadata!P874)),FALSE,INT(metadata!P874)=metadata!P874)),metadata!P874&gt;0))</f>
        <v>0</v>
      </c>
      <c r="AQ874">
        <f>IF(metadata!Q874="",FALSE,TRUE)</f>
        <v>0</v>
      </c>
    </row>
    <row r="875" spans="1:43">
      <c r="A875" s="5">
        <f>IF(B875=" "," ",HYPERLINK(CONCATENATE("#metadata!",ADDRESS(INDEX($W$2:$W$1001,MATCH(ROWS($U$2:U875),$U$2:$U$1001,0),0),1)),INDEX($Z$2:$Z$1001,MATCH(ROWS($U$2:U875),$U$2:$U$1001,0),0)))</f>
        <v>0</v>
      </c>
      <c r="B875" s="4">
        <f>IF(OR(INDEX($V$2:$V$1001,MATCH(ROWS($U$2:U875),$U$2:$U$1001,0),1)&gt;=100000,INDEX($AB$1005:$AQ$1005,1,MATCH(COLUMNS($AB$1006:AB1006),$AB$1006:$AQ$1006,0))&gt;=100000), " ",IF(INDEX($AB$2:$AQ$1001,MATCH(ROWS($U$2:U875),$U$2:$U$1001,0),MATCH(COLUMNS($AB$1006:AB1006),$AB$1006:$AQ$1006,0)), HYPERLINK("#",""), HYPERLINK(CONCATENATE("#metadata!", ADDRESS(INDEX($W$2:$W$1001,MATCH(ROWS($U$2:U875),$U$2:$U$1001,0),0), INDEX($AB$1004:$AQ$1004,1,MATCH(COLUMNS($AB$1006:AB1006),$AB$1006:$AQ$1006,0)))),"Fix")))</f>
        <v>0</v>
      </c>
      <c r="C875" s="4">
        <f>IF(OR(INDEX($V$2:$V$1001,MATCH(ROWS($U$2:U875),$U$2:$U$1001,0),1)&gt;=100000,INDEX($AB$1005:$AQ$1005,1,MATCH(COLUMNS($AB$1006:AC1006),$AB$1006:$AQ$1006,0))&gt;=100000), " ",IF(INDEX($AB$2:$AQ$1001,MATCH(ROWS($U$2:U875),$U$2:$U$1001,0),MATCH(COLUMNS($AB$1006:AC1006),$AB$1006:$AQ$1006,0)), HYPERLINK("#",""), HYPERLINK(CONCATENATE("#metadata!", ADDRESS(INDEX($W$2:$W$1001,MATCH(ROWS($U$2:U875),$U$2:$U$1001,0),0), INDEX($AB$1004:$AQ$1004,1,MATCH(COLUMNS($AB$1006:AC1006),$AB$1006:$AQ$1006,0)))),"Fix")))</f>
        <v>0</v>
      </c>
      <c r="D875" s="4">
        <f>IF(OR(INDEX($V$2:$V$1001,MATCH(ROWS($U$2:U875),$U$2:$U$1001,0),1)&gt;=100000,INDEX($AB$1005:$AQ$1005,1,MATCH(COLUMNS($AB$1006:AD1006),$AB$1006:$AQ$1006,0))&gt;=100000), " ",IF(INDEX($AB$2:$AQ$1001,MATCH(ROWS($U$2:U875),$U$2:$U$1001,0),MATCH(COLUMNS($AB$1006:AD1006),$AB$1006:$AQ$1006,0)), HYPERLINK("#",""), HYPERLINK(CONCATENATE("#metadata!", ADDRESS(INDEX($W$2:$W$1001,MATCH(ROWS($U$2:U875),$U$2:$U$1001,0),0), INDEX($AB$1004:$AQ$1004,1,MATCH(COLUMNS($AB$1006:AD1006),$AB$1006:$AQ$1006,0)))),"Fix")))</f>
        <v>0</v>
      </c>
      <c r="E875" s="4">
        <f>IF(OR(INDEX($V$2:$V$1001,MATCH(ROWS($U$2:U875),$U$2:$U$1001,0),1)&gt;=100000,INDEX($AB$1005:$AQ$1005,1,MATCH(COLUMNS($AB$1006:AE1006),$AB$1006:$AQ$1006,0))&gt;=100000), " ",IF(INDEX($AB$2:$AQ$1001,MATCH(ROWS($U$2:U875),$U$2:$U$1001,0),MATCH(COLUMNS($AB$1006:AE1006),$AB$1006:$AQ$1006,0)), HYPERLINK("#",""), HYPERLINK(CONCATENATE("#metadata!", ADDRESS(INDEX($W$2:$W$1001,MATCH(ROWS($U$2:U875),$U$2:$U$1001,0),0), INDEX($AB$1004:$AQ$1004,1,MATCH(COLUMNS($AB$1006:AE1006),$AB$1006:$AQ$1006,0)))),"Fix")))</f>
        <v>0</v>
      </c>
      <c r="F875" s="4">
        <f>IF(OR(INDEX($V$2:$V$1001,MATCH(ROWS($U$2:U875),$U$2:$U$1001,0),1)&gt;=100000,INDEX($AB$1005:$AQ$1005,1,MATCH(COLUMNS($AB$1006:AF1006),$AB$1006:$AQ$1006,0))&gt;=100000), " ",IF(INDEX($AB$2:$AQ$1001,MATCH(ROWS($U$2:U875),$U$2:$U$1001,0),MATCH(COLUMNS($AB$1006:AF1006),$AB$1006:$AQ$1006,0)), HYPERLINK("#",""), HYPERLINK(CONCATENATE("#metadata!", ADDRESS(INDEX($W$2:$W$1001,MATCH(ROWS($U$2:U875),$U$2:$U$1001,0),0), INDEX($AB$1004:$AQ$1004,1,MATCH(COLUMNS($AB$1006:AF1006),$AB$1006:$AQ$1006,0)))),"Fix")))</f>
        <v>0</v>
      </c>
      <c r="G875" s="4">
        <f>IF(OR(INDEX($V$2:$V$1001,MATCH(ROWS($U$2:U875),$U$2:$U$1001,0),1)&gt;=100000,INDEX($AB$1005:$AQ$1005,1,MATCH(COLUMNS($AB$1006:AG1006),$AB$1006:$AQ$1006,0))&gt;=100000), " ",IF(INDEX($AB$2:$AQ$1001,MATCH(ROWS($U$2:U875),$U$2:$U$1001,0),MATCH(COLUMNS($AB$1006:AG1006),$AB$1006:$AQ$1006,0)), HYPERLINK("#",""), HYPERLINK(CONCATENATE("#metadata!", ADDRESS(INDEX($W$2:$W$1001,MATCH(ROWS($U$2:U875),$U$2:$U$1001,0),0), INDEX($AB$1004:$AQ$1004,1,MATCH(COLUMNS($AB$1006:AG1006),$AB$1006:$AQ$1006,0)))),"Fix")))</f>
        <v>0</v>
      </c>
      <c r="H875" s="4">
        <f>IF(OR(INDEX($V$2:$V$1001,MATCH(ROWS($U$2:U875),$U$2:$U$1001,0),1)&gt;=100000,INDEX($AB$1005:$AQ$1005,1,MATCH(COLUMNS($AB$1006:AH1006),$AB$1006:$AQ$1006,0))&gt;=100000), " ",IF(INDEX($AB$2:$AQ$1001,MATCH(ROWS($U$2:U875),$U$2:$U$1001,0),MATCH(COLUMNS($AB$1006:AH1006),$AB$1006:$AQ$1006,0)), HYPERLINK("#",""), HYPERLINK(CONCATENATE("#metadata!", ADDRESS(INDEX($W$2:$W$1001,MATCH(ROWS($U$2:U875),$U$2:$U$1001,0),0), INDEX($AB$1004:$AQ$1004,1,MATCH(COLUMNS($AB$1006:AH1006),$AB$1006:$AQ$1006,0)))),"Fix")))</f>
        <v>0</v>
      </c>
      <c r="I875" s="4">
        <f>IF(OR(INDEX($V$2:$V$1001,MATCH(ROWS($U$2:U875),$U$2:$U$1001,0),1)&gt;=100000,INDEX($AB$1005:$AQ$1005,1,MATCH(COLUMNS($AB$1006:AI1006),$AB$1006:$AQ$1006,0))&gt;=100000), " ",IF(INDEX($AB$2:$AQ$1001,MATCH(ROWS($U$2:U875),$U$2:$U$1001,0),MATCH(COLUMNS($AB$1006:AI1006),$AB$1006:$AQ$1006,0)), HYPERLINK("#",""), HYPERLINK(CONCATENATE("#metadata!", ADDRESS(INDEX($W$2:$W$1001,MATCH(ROWS($U$2:U875),$U$2:$U$1001,0),0), INDEX($AB$1004:$AQ$1004,1,MATCH(COLUMNS($AB$1006:AI1006),$AB$1006:$AQ$1006,0)))),"Fix")))</f>
        <v>0</v>
      </c>
      <c r="J875" s="4">
        <f>IF(OR(INDEX($V$2:$V$1001,MATCH(ROWS($U$2:U875),$U$2:$U$1001,0),1)&gt;=100000,INDEX($AB$1005:$AQ$1005,1,MATCH(COLUMNS($AB$1006:AJ1006),$AB$1006:$AQ$1006,0))&gt;=100000), " ",IF(INDEX($AB$2:$AQ$1001,MATCH(ROWS($U$2:U875),$U$2:$U$1001,0),MATCH(COLUMNS($AB$1006:AJ1006),$AB$1006:$AQ$1006,0)), HYPERLINK("#",""), HYPERLINK(CONCATENATE("#metadata!", ADDRESS(INDEX($W$2:$W$1001,MATCH(ROWS($U$2:U875),$U$2:$U$1001,0),0), INDEX($AB$1004:$AQ$1004,1,MATCH(COLUMNS($AB$1006:AJ1006),$AB$1006:$AQ$1006,0)))),"Fix")))</f>
        <v>0</v>
      </c>
      <c r="K875" s="4">
        <f>IF(OR(INDEX($V$2:$V$1001,MATCH(ROWS($U$2:U875),$U$2:$U$1001,0),1)&gt;=100000,INDEX($AB$1005:$AQ$1005,1,MATCH(COLUMNS($AB$1006:AK1006),$AB$1006:$AQ$1006,0))&gt;=100000), " ",IF(INDEX($AB$2:$AQ$1001,MATCH(ROWS($U$2:U875),$U$2:$U$1001,0),MATCH(COLUMNS($AB$1006:AK1006),$AB$1006:$AQ$1006,0)), HYPERLINK("#",""), HYPERLINK(CONCATENATE("#metadata!", ADDRESS(INDEX($W$2:$W$1001,MATCH(ROWS($U$2:U875),$U$2:$U$1001,0),0), INDEX($AB$1004:$AQ$1004,1,MATCH(COLUMNS($AB$1006:AK1006),$AB$1006:$AQ$1006,0)))),"Fix")))</f>
        <v>0</v>
      </c>
      <c r="L875" s="4">
        <f>IF(OR(INDEX($V$2:$V$1001,MATCH(ROWS($U$2:U875),$U$2:$U$1001,0),1)&gt;=100000,INDEX($AB$1005:$AQ$1005,1,MATCH(COLUMNS($AB$1006:AL1006),$AB$1006:$AQ$1006,0))&gt;=100000), " ",IF(INDEX($AB$2:$AQ$1001,MATCH(ROWS($U$2:U875),$U$2:$U$1001,0),MATCH(COLUMNS($AB$1006:AL1006),$AB$1006:$AQ$1006,0)), HYPERLINK("#",""), HYPERLINK(CONCATENATE("#metadata!", ADDRESS(INDEX($W$2:$W$1001,MATCH(ROWS($U$2:U875),$U$2:$U$1001,0),0), INDEX($AB$1004:$AQ$1004,1,MATCH(COLUMNS($AB$1006:AL1006),$AB$1006:$AQ$1006,0)))),"Fix")))</f>
        <v>0</v>
      </c>
      <c r="M875" s="4">
        <f>IF(OR(INDEX($V$2:$V$1001,MATCH(ROWS($U$2:U875),$U$2:$U$1001,0),1)&gt;=100000,INDEX($AB$1005:$AQ$1005,1,MATCH(COLUMNS($AB$1006:AM1006),$AB$1006:$AQ$1006,0))&gt;=100000), " ",IF(INDEX($AB$2:$AQ$1001,MATCH(ROWS($U$2:U875),$U$2:$U$1001,0),MATCH(COLUMNS($AB$1006:AM1006),$AB$1006:$AQ$1006,0)), HYPERLINK("#",""), HYPERLINK(CONCATENATE("#metadata!", ADDRESS(INDEX($W$2:$W$1001,MATCH(ROWS($U$2:U875),$U$2:$U$1001,0),0), INDEX($AB$1004:$AQ$1004,1,MATCH(COLUMNS($AB$1006:AM1006),$AB$1006:$AQ$1006,0)))),"Fix")))</f>
        <v>0</v>
      </c>
      <c r="N875" s="4">
        <f>IF(OR(INDEX($V$2:$V$1001,MATCH(ROWS($U$2:U875),$U$2:$U$1001,0),1)&gt;=100000,INDEX($AB$1005:$AQ$1005,1,MATCH(COLUMNS($AB$1006:AN1006),$AB$1006:$AQ$1006,0))&gt;=100000), " ",IF(INDEX($AB$2:$AQ$1001,MATCH(ROWS($U$2:U875),$U$2:$U$1001,0),MATCH(COLUMNS($AB$1006:AN1006),$AB$1006:$AQ$1006,0)), HYPERLINK("#",""), HYPERLINK(CONCATENATE("#metadata!", ADDRESS(INDEX($W$2:$W$1001,MATCH(ROWS($U$2:U875),$U$2:$U$1001,0),0), INDEX($AB$1004:$AQ$1004,1,MATCH(COLUMNS($AB$1006:AN1006),$AB$1006:$AQ$1006,0)))),"Fix")))</f>
        <v>0</v>
      </c>
      <c r="O875" s="4">
        <f>IF(OR(INDEX($V$2:$V$1001,MATCH(ROWS($U$2:U875),$U$2:$U$1001,0),1)&gt;=100000,INDEX($AB$1005:$AQ$1005,1,MATCH(COLUMNS($AB$1006:AO1006),$AB$1006:$AQ$1006,0))&gt;=100000), " ",IF(INDEX($AB$2:$AQ$1001,MATCH(ROWS($U$2:U875),$U$2:$U$1001,0),MATCH(COLUMNS($AB$1006:AO1006),$AB$1006:$AQ$1006,0)), HYPERLINK("#",""), HYPERLINK(CONCATENATE("#metadata!", ADDRESS(INDEX($W$2:$W$1001,MATCH(ROWS($U$2:U875),$U$2:$U$1001,0),0), INDEX($AB$1004:$AQ$1004,1,MATCH(COLUMNS($AB$1006:AO1006),$AB$1006:$AQ$1006,0)))),"Fix")))</f>
        <v>0</v>
      </c>
      <c r="P875" s="4">
        <f>IF(OR(INDEX($V$2:$V$1001,MATCH(ROWS($U$2:U875),$U$2:$U$1001,0),1)&gt;=100000,INDEX($AB$1005:$AQ$1005,1,MATCH(COLUMNS($AB$1006:AP1006),$AB$1006:$AQ$1006,0))&gt;=100000), " ",IF(INDEX($AB$2:$AQ$1001,MATCH(ROWS($U$2:U875),$U$2:$U$1001,0),MATCH(COLUMNS($AB$1006:AP1006),$AB$1006:$AQ$1006,0)), HYPERLINK("#",""), HYPERLINK(CONCATENATE("#metadata!", ADDRESS(INDEX($W$2:$W$1001,MATCH(ROWS($U$2:U875),$U$2:$U$1001,0),0), INDEX($AB$1004:$AQ$1004,1,MATCH(COLUMNS($AB$1006:AP1006),$AB$1006:$AQ$1006,0)))),"Fix")))</f>
        <v>0</v>
      </c>
      <c r="Q875" s="4">
        <f>IF(OR(INDEX($V$2:$V$1001,MATCH(ROWS($U$2:U875),$U$2:$U$1001,0),1)&gt;=100000,INDEX($AB$1005:$AQ$1005,1,MATCH(COLUMNS($AB$1006:AQ1006),$AB$1006:$AQ$1006,0))&gt;=100000), " ",IF(INDEX($AB$2:$AQ$1001,MATCH(ROWS($U$2:U875),$U$2:$U$1001,0),MATCH(COLUMNS($AB$1006:AQ1006),$AB$1006:$AQ$1006,0)), HYPERLINK("#",""), HYPERLINK(CONCATENATE("#metadata!", ADDRESS(INDEX($W$2:$W$1001,MATCH(ROWS($U$2:U875),$U$2:$U$1001,0),0), INDEX($AB$1004:$AQ$1004,1,MATCH(COLUMNS($AB$1006:AQ1006),$AB$1006:$AQ$1006,0)))),"Fix")))</f>
        <v>0</v>
      </c>
      <c r="U875">
        <v>0</v>
      </c>
      <c r="V875">
        <v>0</v>
      </c>
      <c r="W875">
        <v>0</v>
      </c>
      <c r="X875">
        <f>IF(Y875,TRUE,AND(AB875:AQ875))</f>
        <v>0</v>
      </c>
      <c r="Y875">
        <f>COUNTBLANK(metadata!B875:Q875)=COLUMNS(metadata!B875:Q875)</f>
        <v>0</v>
      </c>
      <c r="Z875">
        <v>0</v>
      </c>
      <c r="AB875">
        <f>AND(IF(metadata!B875="",FALSE,TRUE),COUNTIF(metadata!B:B, metadata!B875) = 1,NOT(ISERROR(SUMPRODUCT(SEARCH(MID(metadata!B875,ROW(INDIRECT("1:"&amp;LEN(metadata!B875))), 1),"0123456789abcdefghijklmnopqrstuvwxyzABCDEFGHIJKLMNOPQRSTUVWXYZ.")))))</f>
        <v>0</v>
      </c>
      <c r="AC875">
        <f>OR(AND(IF(metadata!C875="",FALSE,TRUE),OR(exact(metadata!C875,"missing: not collected"),exact(metadata!C875,"missing: not provided"),exact(metadata!C875,"missing: restricted access"))),AND(IF(metadata!C875="",FALSE,TRUE),AND(AND(IFERROR(INT(LEFT(metadata!C875,4))&gt;1900,FALSE),IFERROR(INT(LEFT(metadata!C875,4))&lt;=YEAR(NOW()),FALSE)), OR(MID(metadata!C875,5,1)="", AND(AND(MID(metadata!C875,5,1)="-",IFERROR(INT(MID(metadata!C875,6,1))&gt;=0,FALSE),IFERROR(INT(MID(metadata!C875,6,1))&lt;=1,FALSE),NOT(MID(metadata!C875,7,1)=""),IFERROR(INT(MID(metadata!C875,6,2))&gt;=1,FALSE),IFERROR(INT(MID(metadata!C875,6,2))&lt;=12,FALSE)), OR(MID(metadata!C875,8,1)="", AND(AND(MID(metadata!C875,8,1)="-",IFERROR(INT(MID(metadata!C875,9,1))&gt;=0,FALSE),IFERROR(INT(MID(metadata!C875,9,1))&lt;=3,FALSE),NOT(MID(metadata!C875,10,1)=""),IFERROR(INT(MID(metadata!C875,9,2))&gt;=1,FALSE),IFERROR(INT(MID(metadata!C875,9,2))&lt;=31,FALSE)), OR(MID(metadata!C875,11,1)="", AND(AND(MID(metadata!C875,11,1)=" ",IFERROR(INT(MID(metadata!C875,12,1))&gt;=0,FALSE),IFERROR(INT(MID(metadata!C875,12,1))&lt;=2,FALSE),NOT(MID(metadata!C875,13,1)=""),IFERROR(INT(MID(metadata!C875,12,2))&gt;=0,FALSE),IFERROR(INT(MID(metadata!C875,12,2))&lt;=23,FALSE)), OR(MID(metadata!C875,14,1)="", AND(AND(MID(metadata!C875,14,1)=":",IFERROR(INT(MID(metadata!C875,15,1))&gt;=0,FALSE),IFERROR(INT(MID(metadata!C875,15,1))&lt;=5,FALSE),NOT(MID(metadata!C875,16,1)=""),IFERROR(INT(MID(metadata!C875,15,2))&gt;=0,FALSE),IFERROR(INT(MID(metadata!C875,15,2))&lt;=59,FALSE)), OR(MID(metadata!C875,17,1)="", AND(AND(MID(metadata!C875,17,1)=":",IFERROR(INT(MID(metadata!C875,18,1))&gt;=0,FALSE),IFERROR(INT(MID(metadata!C875,18,1))&lt;=5,FALSE),NOT(MID(metadata!C875,19,1)=""),IFERROR(INT(MID(metadata!C875,18,2))&gt;=0,FALSE),IFERROR(INT(MID(metadata!C875,18,2))&lt;=59,FALSE)), LEN(metadata!C875)&lt;=19)))))))))))))</f>
        <v>0</v>
      </c>
      <c r="AD875">
        <f>IF(metadata!D875="",FALSE,TRUE)</f>
        <v>0</v>
      </c>
      <c r="AE875">
        <f>OR(AND(IF(metadata!E875="",FALSE,TRUE),OR(exact(metadata!E875,"missing: not collected"),exact(metadata!E875,"missing: not provided"))),AND(IF(metadata!E875="",FALSE,TRUE),OR(exact(metadata!E875,"TRUE"),exact(metadata!E875,"FALSE"))))</f>
        <v>0</v>
      </c>
      <c r="AF875">
        <f>IF(metadata!F875="",FALSE,TRUE)</f>
        <v>0</v>
      </c>
      <c r="AG875">
        <f>IF(metadata!G875="",FALSE,TRUE)</f>
        <v>0</v>
      </c>
      <c r="AH875">
        <f>IF(metadata!H875="",FALSE,TRUE)</f>
        <v>0</v>
      </c>
      <c r="AI875">
        <f>OR(AND(IF(metadata!I875="",FALSE,TRUE),OR(exact(metadata!I875,"missing: not collected"),exact(metadata!I875,"missing: not provided"),exact(metadata!I875,"missing: restricted access"))),AND(IF(metadata!I875="",FALSE,TRUE),OR(exact(metadata!I875,"air"),exact(metadata!I875,"built environment"),exact(metadata!I875,"host-associated"),exact(metadata!I875,"human-associated"),exact(metadata!I875,"human-skin"),exact(metadata!I875,"human-oral"),exact(metadata!I875,"human-gut"),exact(metadata!I875,"human-vaginal"),exact(metadata!I875,"microbial mat/biofilm"),exact(metadata!I875,"misc environment"),exact(metadata!I875,"plant-associated"),exact(metadata!I875,"sediment"),exact(metadata!I875,"soil"),exact(metadata!I875,"wastewater/sludge"),exact(metadata!I875,"water"))))</f>
        <v>0</v>
      </c>
      <c r="AJ875">
        <f>IF(metadata!J875="",FALSE,TRUE)</f>
        <v>0</v>
      </c>
      <c r="AK875">
        <f>OR(AND(IF(metadata!K875="",FALSE,TRUE),OR(exact(metadata!K875,"missing: not collected"),exact(metadata!K875,"missing: not provided"),exact(metadata!K875,"missing: restricted access"))),AND(IF(metadata!K875="",FALSE,ISNUMBER(VALUE(metadata!K875))),metadata!K875&gt;=-90.00,metadata!K875&lt;=90.00))</f>
        <v>0</v>
      </c>
      <c r="AL875">
        <f>OR(AND(IF(metadata!L875="",FALSE,TRUE),OR(exact(metadata!L875,"missing: not collected"),exact(metadata!L875,"missing: not provided"),exact(metadata!L875,"missing: restricted access"))),AND(IF(metadata!L875="",FALSE,ISNUMBER(VALUE(metadata!L875))),metadata!L875&gt;=-180.00,metadata!L875&lt;=180.00))</f>
        <v>0</v>
      </c>
      <c r="AM875">
        <f>IF(metadata!M875="",FALSE,TRUE)</f>
        <v>0</v>
      </c>
      <c r="AN875">
        <f>OR(AND(IF(metadata!N875="",FALSE,TRUE),OR(exact(metadata!N875,"missing: not collected"),exact(metadata!N875,"missing: not provided"),exact(metadata!N875,"missing: restricted access"))),AND(IF(metadata!N875="",FALSE,TRUE),OR(exact(metadata!N875,"TRUE"),exact(metadata!N875,"FALSE"))))</f>
        <v>0</v>
      </c>
      <c r="AO875">
        <f>IF(metadata!O875="",FALSE,TRUE)</f>
        <v>0</v>
      </c>
      <c r="AP875">
        <f>OR(AND(IF(metadata!P875="",FALSE,TRUE),OR(exact(metadata!P875,"missing: not collected"),exact(metadata!P875,"missing: not provided"))),AND(IF(metadata!P875="",FALSE,IF(ISERROR(INT(metadata!P875)),FALSE,INT(metadata!P875)=metadata!P875)),metadata!P875&gt;0))</f>
        <v>0</v>
      </c>
      <c r="AQ875">
        <f>IF(metadata!Q875="",FALSE,TRUE)</f>
        <v>0</v>
      </c>
    </row>
    <row r="876" spans="1:43">
      <c r="A876" s="5">
        <f>IF(B876=" "," ",HYPERLINK(CONCATENATE("#metadata!",ADDRESS(INDEX($W$2:$W$1001,MATCH(ROWS($U$2:U876),$U$2:$U$1001,0),0),1)),INDEX($Z$2:$Z$1001,MATCH(ROWS($U$2:U876),$U$2:$U$1001,0),0)))</f>
        <v>0</v>
      </c>
      <c r="B876" s="4">
        <f>IF(OR(INDEX($V$2:$V$1001,MATCH(ROWS($U$2:U876),$U$2:$U$1001,0),1)&gt;=100000,INDEX($AB$1005:$AQ$1005,1,MATCH(COLUMNS($AB$1006:AB1006),$AB$1006:$AQ$1006,0))&gt;=100000), " ",IF(INDEX($AB$2:$AQ$1001,MATCH(ROWS($U$2:U876),$U$2:$U$1001,0),MATCH(COLUMNS($AB$1006:AB1006),$AB$1006:$AQ$1006,0)), HYPERLINK("#",""), HYPERLINK(CONCATENATE("#metadata!", ADDRESS(INDEX($W$2:$W$1001,MATCH(ROWS($U$2:U876),$U$2:$U$1001,0),0), INDEX($AB$1004:$AQ$1004,1,MATCH(COLUMNS($AB$1006:AB1006),$AB$1006:$AQ$1006,0)))),"Fix")))</f>
        <v>0</v>
      </c>
      <c r="C876" s="4">
        <f>IF(OR(INDEX($V$2:$V$1001,MATCH(ROWS($U$2:U876),$U$2:$U$1001,0),1)&gt;=100000,INDEX($AB$1005:$AQ$1005,1,MATCH(COLUMNS($AB$1006:AC1006),$AB$1006:$AQ$1006,0))&gt;=100000), " ",IF(INDEX($AB$2:$AQ$1001,MATCH(ROWS($U$2:U876),$U$2:$U$1001,0),MATCH(COLUMNS($AB$1006:AC1006),$AB$1006:$AQ$1006,0)), HYPERLINK("#",""), HYPERLINK(CONCATENATE("#metadata!", ADDRESS(INDEX($W$2:$W$1001,MATCH(ROWS($U$2:U876),$U$2:$U$1001,0),0), INDEX($AB$1004:$AQ$1004,1,MATCH(COLUMNS($AB$1006:AC1006),$AB$1006:$AQ$1006,0)))),"Fix")))</f>
        <v>0</v>
      </c>
      <c r="D876" s="4">
        <f>IF(OR(INDEX($V$2:$V$1001,MATCH(ROWS($U$2:U876),$U$2:$U$1001,0),1)&gt;=100000,INDEX($AB$1005:$AQ$1005,1,MATCH(COLUMNS($AB$1006:AD1006),$AB$1006:$AQ$1006,0))&gt;=100000), " ",IF(INDEX($AB$2:$AQ$1001,MATCH(ROWS($U$2:U876),$U$2:$U$1001,0),MATCH(COLUMNS($AB$1006:AD1006),$AB$1006:$AQ$1006,0)), HYPERLINK("#",""), HYPERLINK(CONCATENATE("#metadata!", ADDRESS(INDEX($W$2:$W$1001,MATCH(ROWS($U$2:U876),$U$2:$U$1001,0),0), INDEX($AB$1004:$AQ$1004,1,MATCH(COLUMNS($AB$1006:AD1006),$AB$1006:$AQ$1006,0)))),"Fix")))</f>
        <v>0</v>
      </c>
      <c r="E876" s="4">
        <f>IF(OR(INDEX($V$2:$V$1001,MATCH(ROWS($U$2:U876),$U$2:$U$1001,0),1)&gt;=100000,INDEX($AB$1005:$AQ$1005,1,MATCH(COLUMNS($AB$1006:AE1006),$AB$1006:$AQ$1006,0))&gt;=100000), " ",IF(INDEX($AB$2:$AQ$1001,MATCH(ROWS($U$2:U876),$U$2:$U$1001,0),MATCH(COLUMNS($AB$1006:AE1006),$AB$1006:$AQ$1006,0)), HYPERLINK("#",""), HYPERLINK(CONCATENATE("#metadata!", ADDRESS(INDEX($W$2:$W$1001,MATCH(ROWS($U$2:U876),$U$2:$U$1001,0),0), INDEX($AB$1004:$AQ$1004,1,MATCH(COLUMNS($AB$1006:AE1006),$AB$1006:$AQ$1006,0)))),"Fix")))</f>
        <v>0</v>
      </c>
      <c r="F876" s="4">
        <f>IF(OR(INDEX($V$2:$V$1001,MATCH(ROWS($U$2:U876),$U$2:$U$1001,0),1)&gt;=100000,INDEX($AB$1005:$AQ$1005,1,MATCH(COLUMNS($AB$1006:AF1006),$AB$1006:$AQ$1006,0))&gt;=100000), " ",IF(INDEX($AB$2:$AQ$1001,MATCH(ROWS($U$2:U876),$U$2:$U$1001,0),MATCH(COLUMNS($AB$1006:AF1006),$AB$1006:$AQ$1006,0)), HYPERLINK("#",""), HYPERLINK(CONCATENATE("#metadata!", ADDRESS(INDEX($W$2:$W$1001,MATCH(ROWS($U$2:U876),$U$2:$U$1001,0),0), INDEX($AB$1004:$AQ$1004,1,MATCH(COLUMNS($AB$1006:AF1006),$AB$1006:$AQ$1006,0)))),"Fix")))</f>
        <v>0</v>
      </c>
      <c r="G876" s="4">
        <f>IF(OR(INDEX($V$2:$V$1001,MATCH(ROWS($U$2:U876),$U$2:$U$1001,0),1)&gt;=100000,INDEX($AB$1005:$AQ$1005,1,MATCH(COLUMNS($AB$1006:AG1006),$AB$1006:$AQ$1006,0))&gt;=100000), " ",IF(INDEX($AB$2:$AQ$1001,MATCH(ROWS($U$2:U876),$U$2:$U$1001,0),MATCH(COLUMNS($AB$1006:AG1006),$AB$1006:$AQ$1006,0)), HYPERLINK("#",""), HYPERLINK(CONCATENATE("#metadata!", ADDRESS(INDEX($W$2:$W$1001,MATCH(ROWS($U$2:U876),$U$2:$U$1001,0),0), INDEX($AB$1004:$AQ$1004,1,MATCH(COLUMNS($AB$1006:AG1006),$AB$1006:$AQ$1006,0)))),"Fix")))</f>
        <v>0</v>
      </c>
      <c r="H876" s="4">
        <f>IF(OR(INDEX($V$2:$V$1001,MATCH(ROWS($U$2:U876),$U$2:$U$1001,0),1)&gt;=100000,INDEX($AB$1005:$AQ$1005,1,MATCH(COLUMNS($AB$1006:AH1006),$AB$1006:$AQ$1006,0))&gt;=100000), " ",IF(INDEX($AB$2:$AQ$1001,MATCH(ROWS($U$2:U876),$U$2:$U$1001,0),MATCH(COLUMNS($AB$1006:AH1006),$AB$1006:$AQ$1006,0)), HYPERLINK("#",""), HYPERLINK(CONCATENATE("#metadata!", ADDRESS(INDEX($W$2:$W$1001,MATCH(ROWS($U$2:U876),$U$2:$U$1001,0),0), INDEX($AB$1004:$AQ$1004,1,MATCH(COLUMNS($AB$1006:AH1006),$AB$1006:$AQ$1006,0)))),"Fix")))</f>
        <v>0</v>
      </c>
      <c r="I876" s="4">
        <f>IF(OR(INDEX($V$2:$V$1001,MATCH(ROWS($U$2:U876),$U$2:$U$1001,0),1)&gt;=100000,INDEX($AB$1005:$AQ$1005,1,MATCH(COLUMNS($AB$1006:AI1006),$AB$1006:$AQ$1006,0))&gt;=100000), " ",IF(INDEX($AB$2:$AQ$1001,MATCH(ROWS($U$2:U876),$U$2:$U$1001,0),MATCH(COLUMNS($AB$1006:AI1006),$AB$1006:$AQ$1006,0)), HYPERLINK("#",""), HYPERLINK(CONCATENATE("#metadata!", ADDRESS(INDEX($W$2:$W$1001,MATCH(ROWS($U$2:U876),$U$2:$U$1001,0),0), INDEX($AB$1004:$AQ$1004,1,MATCH(COLUMNS($AB$1006:AI1006),$AB$1006:$AQ$1006,0)))),"Fix")))</f>
        <v>0</v>
      </c>
      <c r="J876" s="4">
        <f>IF(OR(INDEX($V$2:$V$1001,MATCH(ROWS($U$2:U876),$U$2:$U$1001,0),1)&gt;=100000,INDEX($AB$1005:$AQ$1005,1,MATCH(COLUMNS($AB$1006:AJ1006),$AB$1006:$AQ$1006,0))&gt;=100000), " ",IF(INDEX($AB$2:$AQ$1001,MATCH(ROWS($U$2:U876),$U$2:$U$1001,0),MATCH(COLUMNS($AB$1006:AJ1006),$AB$1006:$AQ$1006,0)), HYPERLINK("#",""), HYPERLINK(CONCATENATE("#metadata!", ADDRESS(INDEX($W$2:$W$1001,MATCH(ROWS($U$2:U876),$U$2:$U$1001,0),0), INDEX($AB$1004:$AQ$1004,1,MATCH(COLUMNS($AB$1006:AJ1006),$AB$1006:$AQ$1006,0)))),"Fix")))</f>
        <v>0</v>
      </c>
      <c r="K876" s="4">
        <f>IF(OR(INDEX($V$2:$V$1001,MATCH(ROWS($U$2:U876),$U$2:$U$1001,0),1)&gt;=100000,INDEX($AB$1005:$AQ$1005,1,MATCH(COLUMNS($AB$1006:AK1006),$AB$1006:$AQ$1006,0))&gt;=100000), " ",IF(INDEX($AB$2:$AQ$1001,MATCH(ROWS($U$2:U876),$U$2:$U$1001,0),MATCH(COLUMNS($AB$1006:AK1006),$AB$1006:$AQ$1006,0)), HYPERLINK("#",""), HYPERLINK(CONCATENATE("#metadata!", ADDRESS(INDEX($W$2:$W$1001,MATCH(ROWS($U$2:U876),$U$2:$U$1001,0),0), INDEX($AB$1004:$AQ$1004,1,MATCH(COLUMNS($AB$1006:AK1006),$AB$1006:$AQ$1006,0)))),"Fix")))</f>
        <v>0</v>
      </c>
      <c r="L876" s="4">
        <f>IF(OR(INDEX($V$2:$V$1001,MATCH(ROWS($U$2:U876),$U$2:$U$1001,0),1)&gt;=100000,INDEX($AB$1005:$AQ$1005,1,MATCH(COLUMNS($AB$1006:AL1006),$AB$1006:$AQ$1006,0))&gt;=100000), " ",IF(INDEX($AB$2:$AQ$1001,MATCH(ROWS($U$2:U876),$U$2:$U$1001,0),MATCH(COLUMNS($AB$1006:AL1006),$AB$1006:$AQ$1006,0)), HYPERLINK("#",""), HYPERLINK(CONCATENATE("#metadata!", ADDRESS(INDEX($W$2:$W$1001,MATCH(ROWS($U$2:U876),$U$2:$U$1001,0),0), INDEX($AB$1004:$AQ$1004,1,MATCH(COLUMNS($AB$1006:AL1006),$AB$1006:$AQ$1006,0)))),"Fix")))</f>
        <v>0</v>
      </c>
      <c r="M876" s="4">
        <f>IF(OR(INDEX($V$2:$V$1001,MATCH(ROWS($U$2:U876),$U$2:$U$1001,0),1)&gt;=100000,INDEX($AB$1005:$AQ$1005,1,MATCH(COLUMNS($AB$1006:AM1006),$AB$1006:$AQ$1006,0))&gt;=100000), " ",IF(INDEX($AB$2:$AQ$1001,MATCH(ROWS($U$2:U876),$U$2:$U$1001,0),MATCH(COLUMNS($AB$1006:AM1006),$AB$1006:$AQ$1006,0)), HYPERLINK("#",""), HYPERLINK(CONCATENATE("#metadata!", ADDRESS(INDEX($W$2:$W$1001,MATCH(ROWS($U$2:U876),$U$2:$U$1001,0),0), INDEX($AB$1004:$AQ$1004,1,MATCH(COLUMNS($AB$1006:AM1006),$AB$1006:$AQ$1006,0)))),"Fix")))</f>
        <v>0</v>
      </c>
      <c r="N876" s="4">
        <f>IF(OR(INDEX($V$2:$V$1001,MATCH(ROWS($U$2:U876),$U$2:$U$1001,0),1)&gt;=100000,INDEX($AB$1005:$AQ$1005,1,MATCH(COLUMNS($AB$1006:AN1006),$AB$1006:$AQ$1006,0))&gt;=100000), " ",IF(INDEX($AB$2:$AQ$1001,MATCH(ROWS($U$2:U876),$U$2:$U$1001,0),MATCH(COLUMNS($AB$1006:AN1006),$AB$1006:$AQ$1006,0)), HYPERLINK("#",""), HYPERLINK(CONCATENATE("#metadata!", ADDRESS(INDEX($W$2:$W$1001,MATCH(ROWS($U$2:U876),$U$2:$U$1001,0),0), INDEX($AB$1004:$AQ$1004,1,MATCH(COLUMNS($AB$1006:AN1006),$AB$1006:$AQ$1006,0)))),"Fix")))</f>
        <v>0</v>
      </c>
      <c r="O876" s="4">
        <f>IF(OR(INDEX($V$2:$V$1001,MATCH(ROWS($U$2:U876),$U$2:$U$1001,0),1)&gt;=100000,INDEX($AB$1005:$AQ$1005,1,MATCH(COLUMNS($AB$1006:AO1006),$AB$1006:$AQ$1006,0))&gt;=100000), " ",IF(INDEX($AB$2:$AQ$1001,MATCH(ROWS($U$2:U876),$U$2:$U$1001,0),MATCH(COLUMNS($AB$1006:AO1006),$AB$1006:$AQ$1006,0)), HYPERLINK("#",""), HYPERLINK(CONCATENATE("#metadata!", ADDRESS(INDEX($W$2:$W$1001,MATCH(ROWS($U$2:U876),$U$2:$U$1001,0),0), INDEX($AB$1004:$AQ$1004,1,MATCH(COLUMNS($AB$1006:AO1006),$AB$1006:$AQ$1006,0)))),"Fix")))</f>
        <v>0</v>
      </c>
      <c r="P876" s="4">
        <f>IF(OR(INDEX($V$2:$V$1001,MATCH(ROWS($U$2:U876),$U$2:$U$1001,0),1)&gt;=100000,INDEX($AB$1005:$AQ$1005,1,MATCH(COLUMNS($AB$1006:AP1006),$AB$1006:$AQ$1006,0))&gt;=100000), " ",IF(INDEX($AB$2:$AQ$1001,MATCH(ROWS($U$2:U876),$U$2:$U$1001,0),MATCH(COLUMNS($AB$1006:AP1006),$AB$1006:$AQ$1006,0)), HYPERLINK("#",""), HYPERLINK(CONCATENATE("#metadata!", ADDRESS(INDEX($W$2:$W$1001,MATCH(ROWS($U$2:U876),$U$2:$U$1001,0),0), INDEX($AB$1004:$AQ$1004,1,MATCH(COLUMNS($AB$1006:AP1006),$AB$1006:$AQ$1006,0)))),"Fix")))</f>
        <v>0</v>
      </c>
      <c r="Q876" s="4">
        <f>IF(OR(INDEX($V$2:$V$1001,MATCH(ROWS($U$2:U876),$U$2:$U$1001,0),1)&gt;=100000,INDEX($AB$1005:$AQ$1005,1,MATCH(COLUMNS($AB$1006:AQ1006),$AB$1006:$AQ$1006,0))&gt;=100000), " ",IF(INDEX($AB$2:$AQ$1001,MATCH(ROWS($U$2:U876),$U$2:$U$1001,0),MATCH(COLUMNS($AB$1006:AQ1006),$AB$1006:$AQ$1006,0)), HYPERLINK("#",""), HYPERLINK(CONCATENATE("#metadata!", ADDRESS(INDEX($W$2:$W$1001,MATCH(ROWS($U$2:U876),$U$2:$U$1001,0),0), INDEX($AB$1004:$AQ$1004,1,MATCH(COLUMNS($AB$1006:AQ1006),$AB$1006:$AQ$1006,0)))),"Fix")))</f>
        <v>0</v>
      </c>
      <c r="U876">
        <v>0</v>
      </c>
      <c r="V876">
        <v>0</v>
      </c>
      <c r="W876">
        <v>0</v>
      </c>
      <c r="X876">
        <f>IF(Y876,TRUE,AND(AB876:AQ876))</f>
        <v>0</v>
      </c>
      <c r="Y876">
        <f>COUNTBLANK(metadata!B876:Q876)=COLUMNS(metadata!B876:Q876)</f>
        <v>0</v>
      </c>
      <c r="Z876">
        <v>0</v>
      </c>
      <c r="AB876">
        <f>AND(IF(metadata!B876="",FALSE,TRUE),COUNTIF(metadata!B:B, metadata!B876) = 1,NOT(ISERROR(SUMPRODUCT(SEARCH(MID(metadata!B876,ROW(INDIRECT("1:"&amp;LEN(metadata!B876))), 1),"0123456789abcdefghijklmnopqrstuvwxyzABCDEFGHIJKLMNOPQRSTUVWXYZ.")))))</f>
        <v>0</v>
      </c>
      <c r="AC876">
        <f>OR(AND(IF(metadata!C876="",FALSE,TRUE),OR(exact(metadata!C876,"missing: not collected"),exact(metadata!C876,"missing: not provided"),exact(metadata!C876,"missing: restricted access"))),AND(IF(metadata!C876="",FALSE,TRUE),AND(AND(IFERROR(INT(LEFT(metadata!C876,4))&gt;1900,FALSE),IFERROR(INT(LEFT(metadata!C876,4))&lt;=YEAR(NOW()),FALSE)), OR(MID(metadata!C876,5,1)="", AND(AND(MID(metadata!C876,5,1)="-",IFERROR(INT(MID(metadata!C876,6,1))&gt;=0,FALSE),IFERROR(INT(MID(metadata!C876,6,1))&lt;=1,FALSE),NOT(MID(metadata!C876,7,1)=""),IFERROR(INT(MID(metadata!C876,6,2))&gt;=1,FALSE),IFERROR(INT(MID(metadata!C876,6,2))&lt;=12,FALSE)), OR(MID(metadata!C876,8,1)="", AND(AND(MID(metadata!C876,8,1)="-",IFERROR(INT(MID(metadata!C876,9,1))&gt;=0,FALSE),IFERROR(INT(MID(metadata!C876,9,1))&lt;=3,FALSE),NOT(MID(metadata!C876,10,1)=""),IFERROR(INT(MID(metadata!C876,9,2))&gt;=1,FALSE),IFERROR(INT(MID(metadata!C876,9,2))&lt;=31,FALSE)), OR(MID(metadata!C876,11,1)="", AND(AND(MID(metadata!C876,11,1)=" ",IFERROR(INT(MID(metadata!C876,12,1))&gt;=0,FALSE),IFERROR(INT(MID(metadata!C876,12,1))&lt;=2,FALSE),NOT(MID(metadata!C876,13,1)=""),IFERROR(INT(MID(metadata!C876,12,2))&gt;=0,FALSE),IFERROR(INT(MID(metadata!C876,12,2))&lt;=23,FALSE)), OR(MID(metadata!C876,14,1)="", AND(AND(MID(metadata!C876,14,1)=":",IFERROR(INT(MID(metadata!C876,15,1))&gt;=0,FALSE),IFERROR(INT(MID(metadata!C876,15,1))&lt;=5,FALSE),NOT(MID(metadata!C876,16,1)=""),IFERROR(INT(MID(metadata!C876,15,2))&gt;=0,FALSE),IFERROR(INT(MID(metadata!C876,15,2))&lt;=59,FALSE)), OR(MID(metadata!C876,17,1)="", AND(AND(MID(metadata!C876,17,1)=":",IFERROR(INT(MID(metadata!C876,18,1))&gt;=0,FALSE),IFERROR(INT(MID(metadata!C876,18,1))&lt;=5,FALSE),NOT(MID(metadata!C876,19,1)=""),IFERROR(INT(MID(metadata!C876,18,2))&gt;=0,FALSE),IFERROR(INT(MID(metadata!C876,18,2))&lt;=59,FALSE)), LEN(metadata!C876)&lt;=19)))))))))))))</f>
        <v>0</v>
      </c>
      <c r="AD876">
        <f>IF(metadata!D876="",FALSE,TRUE)</f>
        <v>0</v>
      </c>
      <c r="AE876">
        <f>OR(AND(IF(metadata!E876="",FALSE,TRUE),OR(exact(metadata!E876,"missing: not collected"),exact(metadata!E876,"missing: not provided"))),AND(IF(metadata!E876="",FALSE,TRUE),OR(exact(metadata!E876,"TRUE"),exact(metadata!E876,"FALSE"))))</f>
        <v>0</v>
      </c>
      <c r="AF876">
        <f>IF(metadata!F876="",FALSE,TRUE)</f>
        <v>0</v>
      </c>
      <c r="AG876">
        <f>IF(metadata!G876="",FALSE,TRUE)</f>
        <v>0</v>
      </c>
      <c r="AH876">
        <f>IF(metadata!H876="",FALSE,TRUE)</f>
        <v>0</v>
      </c>
      <c r="AI876">
        <f>OR(AND(IF(metadata!I876="",FALSE,TRUE),OR(exact(metadata!I876,"missing: not collected"),exact(metadata!I876,"missing: not provided"),exact(metadata!I876,"missing: restricted access"))),AND(IF(metadata!I876="",FALSE,TRUE),OR(exact(metadata!I876,"air"),exact(metadata!I876,"built environment"),exact(metadata!I876,"host-associated"),exact(metadata!I876,"human-associated"),exact(metadata!I876,"human-skin"),exact(metadata!I876,"human-oral"),exact(metadata!I876,"human-gut"),exact(metadata!I876,"human-vaginal"),exact(metadata!I876,"microbial mat/biofilm"),exact(metadata!I876,"misc environment"),exact(metadata!I876,"plant-associated"),exact(metadata!I876,"sediment"),exact(metadata!I876,"soil"),exact(metadata!I876,"wastewater/sludge"),exact(metadata!I876,"water"))))</f>
        <v>0</v>
      </c>
      <c r="AJ876">
        <f>IF(metadata!J876="",FALSE,TRUE)</f>
        <v>0</v>
      </c>
      <c r="AK876">
        <f>OR(AND(IF(metadata!K876="",FALSE,TRUE),OR(exact(metadata!K876,"missing: not collected"),exact(metadata!K876,"missing: not provided"),exact(metadata!K876,"missing: restricted access"))),AND(IF(metadata!K876="",FALSE,ISNUMBER(VALUE(metadata!K876))),metadata!K876&gt;=-90.00,metadata!K876&lt;=90.00))</f>
        <v>0</v>
      </c>
      <c r="AL876">
        <f>OR(AND(IF(metadata!L876="",FALSE,TRUE),OR(exact(metadata!L876,"missing: not collected"),exact(metadata!L876,"missing: not provided"),exact(metadata!L876,"missing: restricted access"))),AND(IF(metadata!L876="",FALSE,ISNUMBER(VALUE(metadata!L876))),metadata!L876&gt;=-180.00,metadata!L876&lt;=180.00))</f>
        <v>0</v>
      </c>
      <c r="AM876">
        <f>IF(metadata!M876="",FALSE,TRUE)</f>
        <v>0</v>
      </c>
      <c r="AN876">
        <f>OR(AND(IF(metadata!N876="",FALSE,TRUE),OR(exact(metadata!N876,"missing: not collected"),exact(metadata!N876,"missing: not provided"),exact(metadata!N876,"missing: restricted access"))),AND(IF(metadata!N876="",FALSE,TRUE),OR(exact(metadata!N876,"TRUE"),exact(metadata!N876,"FALSE"))))</f>
        <v>0</v>
      </c>
      <c r="AO876">
        <f>IF(metadata!O876="",FALSE,TRUE)</f>
        <v>0</v>
      </c>
      <c r="AP876">
        <f>OR(AND(IF(metadata!P876="",FALSE,TRUE),OR(exact(metadata!P876,"missing: not collected"),exact(metadata!P876,"missing: not provided"))),AND(IF(metadata!P876="",FALSE,IF(ISERROR(INT(metadata!P876)),FALSE,INT(metadata!P876)=metadata!P876)),metadata!P876&gt;0))</f>
        <v>0</v>
      </c>
      <c r="AQ876">
        <f>IF(metadata!Q876="",FALSE,TRUE)</f>
        <v>0</v>
      </c>
    </row>
    <row r="877" spans="1:43">
      <c r="A877" s="5">
        <f>IF(B877=" "," ",HYPERLINK(CONCATENATE("#metadata!",ADDRESS(INDEX($W$2:$W$1001,MATCH(ROWS($U$2:U877),$U$2:$U$1001,0),0),1)),INDEX($Z$2:$Z$1001,MATCH(ROWS($U$2:U877),$U$2:$U$1001,0),0)))</f>
        <v>0</v>
      </c>
      <c r="B877" s="4">
        <f>IF(OR(INDEX($V$2:$V$1001,MATCH(ROWS($U$2:U877),$U$2:$U$1001,0),1)&gt;=100000,INDEX($AB$1005:$AQ$1005,1,MATCH(COLUMNS($AB$1006:AB1006),$AB$1006:$AQ$1006,0))&gt;=100000), " ",IF(INDEX($AB$2:$AQ$1001,MATCH(ROWS($U$2:U877),$U$2:$U$1001,0),MATCH(COLUMNS($AB$1006:AB1006),$AB$1006:$AQ$1006,0)), HYPERLINK("#",""), HYPERLINK(CONCATENATE("#metadata!", ADDRESS(INDEX($W$2:$W$1001,MATCH(ROWS($U$2:U877),$U$2:$U$1001,0),0), INDEX($AB$1004:$AQ$1004,1,MATCH(COLUMNS($AB$1006:AB1006),$AB$1006:$AQ$1006,0)))),"Fix")))</f>
        <v>0</v>
      </c>
      <c r="C877" s="4">
        <f>IF(OR(INDEX($V$2:$V$1001,MATCH(ROWS($U$2:U877),$U$2:$U$1001,0),1)&gt;=100000,INDEX($AB$1005:$AQ$1005,1,MATCH(COLUMNS($AB$1006:AC1006),$AB$1006:$AQ$1006,0))&gt;=100000), " ",IF(INDEX($AB$2:$AQ$1001,MATCH(ROWS($U$2:U877),$U$2:$U$1001,0),MATCH(COLUMNS($AB$1006:AC1006),$AB$1006:$AQ$1006,0)), HYPERLINK("#",""), HYPERLINK(CONCATENATE("#metadata!", ADDRESS(INDEX($W$2:$W$1001,MATCH(ROWS($U$2:U877),$U$2:$U$1001,0),0), INDEX($AB$1004:$AQ$1004,1,MATCH(COLUMNS($AB$1006:AC1006),$AB$1006:$AQ$1006,0)))),"Fix")))</f>
        <v>0</v>
      </c>
      <c r="D877" s="4">
        <f>IF(OR(INDEX($V$2:$V$1001,MATCH(ROWS($U$2:U877),$U$2:$U$1001,0),1)&gt;=100000,INDEX($AB$1005:$AQ$1005,1,MATCH(COLUMNS($AB$1006:AD1006),$AB$1006:$AQ$1006,0))&gt;=100000), " ",IF(INDEX($AB$2:$AQ$1001,MATCH(ROWS($U$2:U877),$U$2:$U$1001,0),MATCH(COLUMNS($AB$1006:AD1006),$AB$1006:$AQ$1006,0)), HYPERLINK("#",""), HYPERLINK(CONCATENATE("#metadata!", ADDRESS(INDEX($W$2:$W$1001,MATCH(ROWS($U$2:U877),$U$2:$U$1001,0),0), INDEX($AB$1004:$AQ$1004,1,MATCH(COLUMNS($AB$1006:AD1006),$AB$1006:$AQ$1006,0)))),"Fix")))</f>
        <v>0</v>
      </c>
      <c r="E877" s="4">
        <f>IF(OR(INDEX($V$2:$V$1001,MATCH(ROWS($U$2:U877),$U$2:$U$1001,0),1)&gt;=100000,INDEX($AB$1005:$AQ$1005,1,MATCH(COLUMNS($AB$1006:AE1006),$AB$1006:$AQ$1006,0))&gt;=100000), " ",IF(INDEX($AB$2:$AQ$1001,MATCH(ROWS($U$2:U877),$U$2:$U$1001,0),MATCH(COLUMNS($AB$1006:AE1006),$AB$1006:$AQ$1006,0)), HYPERLINK("#",""), HYPERLINK(CONCATENATE("#metadata!", ADDRESS(INDEX($W$2:$W$1001,MATCH(ROWS($U$2:U877),$U$2:$U$1001,0),0), INDEX($AB$1004:$AQ$1004,1,MATCH(COLUMNS($AB$1006:AE1006),$AB$1006:$AQ$1006,0)))),"Fix")))</f>
        <v>0</v>
      </c>
      <c r="F877" s="4">
        <f>IF(OR(INDEX($V$2:$V$1001,MATCH(ROWS($U$2:U877),$U$2:$U$1001,0),1)&gt;=100000,INDEX($AB$1005:$AQ$1005,1,MATCH(COLUMNS($AB$1006:AF1006),$AB$1006:$AQ$1006,0))&gt;=100000), " ",IF(INDEX($AB$2:$AQ$1001,MATCH(ROWS($U$2:U877),$U$2:$U$1001,0),MATCH(COLUMNS($AB$1006:AF1006),$AB$1006:$AQ$1006,0)), HYPERLINK("#",""), HYPERLINK(CONCATENATE("#metadata!", ADDRESS(INDEX($W$2:$W$1001,MATCH(ROWS($U$2:U877),$U$2:$U$1001,0),0), INDEX($AB$1004:$AQ$1004,1,MATCH(COLUMNS($AB$1006:AF1006),$AB$1006:$AQ$1006,0)))),"Fix")))</f>
        <v>0</v>
      </c>
      <c r="G877" s="4">
        <f>IF(OR(INDEX($V$2:$V$1001,MATCH(ROWS($U$2:U877),$U$2:$U$1001,0),1)&gt;=100000,INDEX($AB$1005:$AQ$1005,1,MATCH(COLUMNS($AB$1006:AG1006),$AB$1006:$AQ$1006,0))&gt;=100000), " ",IF(INDEX($AB$2:$AQ$1001,MATCH(ROWS($U$2:U877),$U$2:$U$1001,0),MATCH(COLUMNS($AB$1006:AG1006),$AB$1006:$AQ$1006,0)), HYPERLINK("#",""), HYPERLINK(CONCATENATE("#metadata!", ADDRESS(INDEX($W$2:$W$1001,MATCH(ROWS($U$2:U877),$U$2:$U$1001,0),0), INDEX($AB$1004:$AQ$1004,1,MATCH(COLUMNS($AB$1006:AG1006),$AB$1006:$AQ$1006,0)))),"Fix")))</f>
        <v>0</v>
      </c>
      <c r="H877" s="4">
        <f>IF(OR(INDEX($V$2:$V$1001,MATCH(ROWS($U$2:U877),$U$2:$U$1001,0),1)&gt;=100000,INDEX($AB$1005:$AQ$1005,1,MATCH(COLUMNS($AB$1006:AH1006),$AB$1006:$AQ$1006,0))&gt;=100000), " ",IF(INDEX($AB$2:$AQ$1001,MATCH(ROWS($U$2:U877),$U$2:$U$1001,0),MATCH(COLUMNS($AB$1006:AH1006),$AB$1006:$AQ$1006,0)), HYPERLINK("#",""), HYPERLINK(CONCATENATE("#metadata!", ADDRESS(INDEX($W$2:$W$1001,MATCH(ROWS($U$2:U877),$U$2:$U$1001,0),0), INDEX($AB$1004:$AQ$1004,1,MATCH(COLUMNS($AB$1006:AH1006),$AB$1006:$AQ$1006,0)))),"Fix")))</f>
        <v>0</v>
      </c>
      <c r="I877" s="4">
        <f>IF(OR(INDEX($V$2:$V$1001,MATCH(ROWS($U$2:U877),$U$2:$U$1001,0),1)&gt;=100000,INDEX($AB$1005:$AQ$1005,1,MATCH(COLUMNS($AB$1006:AI1006),$AB$1006:$AQ$1006,0))&gt;=100000), " ",IF(INDEX($AB$2:$AQ$1001,MATCH(ROWS($U$2:U877),$U$2:$U$1001,0),MATCH(COLUMNS($AB$1006:AI1006),$AB$1006:$AQ$1006,0)), HYPERLINK("#",""), HYPERLINK(CONCATENATE("#metadata!", ADDRESS(INDEX($W$2:$W$1001,MATCH(ROWS($U$2:U877),$U$2:$U$1001,0),0), INDEX($AB$1004:$AQ$1004,1,MATCH(COLUMNS($AB$1006:AI1006),$AB$1006:$AQ$1006,0)))),"Fix")))</f>
        <v>0</v>
      </c>
      <c r="J877" s="4">
        <f>IF(OR(INDEX($V$2:$V$1001,MATCH(ROWS($U$2:U877),$U$2:$U$1001,0),1)&gt;=100000,INDEX($AB$1005:$AQ$1005,1,MATCH(COLUMNS($AB$1006:AJ1006),$AB$1006:$AQ$1006,0))&gt;=100000), " ",IF(INDEX($AB$2:$AQ$1001,MATCH(ROWS($U$2:U877),$U$2:$U$1001,0),MATCH(COLUMNS($AB$1006:AJ1006),$AB$1006:$AQ$1006,0)), HYPERLINK("#",""), HYPERLINK(CONCATENATE("#metadata!", ADDRESS(INDEX($W$2:$W$1001,MATCH(ROWS($U$2:U877),$U$2:$U$1001,0),0), INDEX($AB$1004:$AQ$1004,1,MATCH(COLUMNS($AB$1006:AJ1006),$AB$1006:$AQ$1006,0)))),"Fix")))</f>
        <v>0</v>
      </c>
      <c r="K877" s="4">
        <f>IF(OR(INDEX($V$2:$V$1001,MATCH(ROWS($U$2:U877),$U$2:$U$1001,0),1)&gt;=100000,INDEX($AB$1005:$AQ$1005,1,MATCH(COLUMNS($AB$1006:AK1006),$AB$1006:$AQ$1006,0))&gt;=100000), " ",IF(INDEX($AB$2:$AQ$1001,MATCH(ROWS($U$2:U877),$U$2:$U$1001,0),MATCH(COLUMNS($AB$1006:AK1006),$AB$1006:$AQ$1006,0)), HYPERLINK("#",""), HYPERLINK(CONCATENATE("#metadata!", ADDRESS(INDEX($W$2:$W$1001,MATCH(ROWS($U$2:U877),$U$2:$U$1001,0),0), INDEX($AB$1004:$AQ$1004,1,MATCH(COLUMNS($AB$1006:AK1006),$AB$1006:$AQ$1006,0)))),"Fix")))</f>
        <v>0</v>
      </c>
      <c r="L877" s="4">
        <f>IF(OR(INDEX($V$2:$V$1001,MATCH(ROWS($U$2:U877),$U$2:$U$1001,0),1)&gt;=100000,INDEX($AB$1005:$AQ$1005,1,MATCH(COLUMNS($AB$1006:AL1006),$AB$1006:$AQ$1006,0))&gt;=100000), " ",IF(INDEX($AB$2:$AQ$1001,MATCH(ROWS($U$2:U877),$U$2:$U$1001,0),MATCH(COLUMNS($AB$1006:AL1006),$AB$1006:$AQ$1006,0)), HYPERLINK("#",""), HYPERLINK(CONCATENATE("#metadata!", ADDRESS(INDEX($W$2:$W$1001,MATCH(ROWS($U$2:U877),$U$2:$U$1001,0),0), INDEX($AB$1004:$AQ$1004,1,MATCH(COLUMNS($AB$1006:AL1006),$AB$1006:$AQ$1006,0)))),"Fix")))</f>
        <v>0</v>
      </c>
      <c r="M877" s="4">
        <f>IF(OR(INDEX($V$2:$V$1001,MATCH(ROWS($U$2:U877),$U$2:$U$1001,0),1)&gt;=100000,INDEX($AB$1005:$AQ$1005,1,MATCH(COLUMNS($AB$1006:AM1006),$AB$1006:$AQ$1006,0))&gt;=100000), " ",IF(INDEX($AB$2:$AQ$1001,MATCH(ROWS($U$2:U877),$U$2:$U$1001,0),MATCH(COLUMNS($AB$1006:AM1006),$AB$1006:$AQ$1006,0)), HYPERLINK("#",""), HYPERLINK(CONCATENATE("#metadata!", ADDRESS(INDEX($W$2:$W$1001,MATCH(ROWS($U$2:U877),$U$2:$U$1001,0),0), INDEX($AB$1004:$AQ$1004,1,MATCH(COLUMNS($AB$1006:AM1006),$AB$1006:$AQ$1006,0)))),"Fix")))</f>
        <v>0</v>
      </c>
      <c r="N877" s="4">
        <f>IF(OR(INDEX($V$2:$V$1001,MATCH(ROWS($U$2:U877),$U$2:$U$1001,0),1)&gt;=100000,INDEX($AB$1005:$AQ$1005,1,MATCH(COLUMNS($AB$1006:AN1006),$AB$1006:$AQ$1006,0))&gt;=100000), " ",IF(INDEX($AB$2:$AQ$1001,MATCH(ROWS($U$2:U877),$U$2:$U$1001,0),MATCH(COLUMNS($AB$1006:AN1006),$AB$1006:$AQ$1006,0)), HYPERLINK("#",""), HYPERLINK(CONCATENATE("#metadata!", ADDRESS(INDEX($W$2:$W$1001,MATCH(ROWS($U$2:U877),$U$2:$U$1001,0),0), INDEX($AB$1004:$AQ$1004,1,MATCH(COLUMNS($AB$1006:AN1006),$AB$1006:$AQ$1006,0)))),"Fix")))</f>
        <v>0</v>
      </c>
      <c r="O877" s="4">
        <f>IF(OR(INDEX($V$2:$V$1001,MATCH(ROWS($U$2:U877),$U$2:$U$1001,0),1)&gt;=100000,INDEX($AB$1005:$AQ$1005,1,MATCH(COLUMNS($AB$1006:AO1006),$AB$1006:$AQ$1006,0))&gt;=100000), " ",IF(INDEX($AB$2:$AQ$1001,MATCH(ROWS($U$2:U877),$U$2:$U$1001,0),MATCH(COLUMNS($AB$1006:AO1006),$AB$1006:$AQ$1006,0)), HYPERLINK("#",""), HYPERLINK(CONCATENATE("#metadata!", ADDRESS(INDEX($W$2:$W$1001,MATCH(ROWS($U$2:U877),$U$2:$U$1001,0),0), INDEX($AB$1004:$AQ$1004,1,MATCH(COLUMNS($AB$1006:AO1006),$AB$1006:$AQ$1006,0)))),"Fix")))</f>
        <v>0</v>
      </c>
      <c r="P877" s="4">
        <f>IF(OR(INDEX($V$2:$V$1001,MATCH(ROWS($U$2:U877),$U$2:$U$1001,0),1)&gt;=100000,INDEX($AB$1005:$AQ$1005,1,MATCH(COLUMNS($AB$1006:AP1006),$AB$1006:$AQ$1006,0))&gt;=100000), " ",IF(INDEX($AB$2:$AQ$1001,MATCH(ROWS($U$2:U877),$U$2:$U$1001,0),MATCH(COLUMNS($AB$1006:AP1006),$AB$1006:$AQ$1006,0)), HYPERLINK("#",""), HYPERLINK(CONCATENATE("#metadata!", ADDRESS(INDEX($W$2:$W$1001,MATCH(ROWS($U$2:U877),$U$2:$U$1001,0),0), INDEX($AB$1004:$AQ$1004,1,MATCH(COLUMNS($AB$1006:AP1006),$AB$1006:$AQ$1006,0)))),"Fix")))</f>
        <v>0</v>
      </c>
      <c r="Q877" s="4">
        <f>IF(OR(INDEX($V$2:$V$1001,MATCH(ROWS($U$2:U877),$U$2:$U$1001,0),1)&gt;=100000,INDEX($AB$1005:$AQ$1005,1,MATCH(COLUMNS($AB$1006:AQ1006),$AB$1006:$AQ$1006,0))&gt;=100000), " ",IF(INDEX($AB$2:$AQ$1001,MATCH(ROWS($U$2:U877),$U$2:$U$1001,0),MATCH(COLUMNS($AB$1006:AQ1006),$AB$1006:$AQ$1006,0)), HYPERLINK("#",""), HYPERLINK(CONCATENATE("#metadata!", ADDRESS(INDEX($W$2:$W$1001,MATCH(ROWS($U$2:U877),$U$2:$U$1001,0),0), INDEX($AB$1004:$AQ$1004,1,MATCH(COLUMNS($AB$1006:AQ1006),$AB$1006:$AQ$1006,0)))),"Fix")))</f>
        <v>0</v>
      </c>
      <c r="U877">
        <v>0</v>
      </c>
      <c r="V877">
        <v>0</v>
      </c>
      <c r="W877">
        <v>0</v>
      </c>
      <c r="X877">
        <f>IF(Y877,TRUE,AND(AB877:AQ877))</f>
        <v>0</v>
      </c>
      <c r="Y877">
        <f>COUNTBLANK(metadata!B877:Q877)=COLUMNS(metadata!B877:Q877)</f>
        <v>0</v>
      </c>
      <c r="Z877">
        <v>0</v>
      </c>
      <c r="AB877">
        <f>AND(IF(metadata!B877="",FALSE,TRUE),COUNTIF(metadata!B:B, metadata!B877) = 1,NOT(ISERROR(SUMPRODUCT(SEARCH(MID(metadata!B877,ROW(INDIRECT("1:"&amp;LEN(metadata!B877))), 1),"0123456789abcdefghijklmnopqrstuvwxyzABCDEFGHIJKLMNOPQRSTUVWXYZ.")))))</f>
        <v>0</v>
      </c>
      <c r="AC877">
        <f>OR(AND(IF(metadata!C877="",FALSE,TRUE),OR(exact(metadata!C877,"missing: not collected"),exact(metadata!C877,"missing: not provided"),exact(metadata!C877,"missing: restricted access"))),AND(IF(metadata!C877="",FALSE,TRUE),AND(AND(IFERROR(INT(LEFT(metadata!C877,4))&gt;1900,FALSE),IFERROR(INT(LEFT(metadata!C877,4))&lt;=YEAR(NOW()),FALSE)), OR(MID(metadata!C877,5,1)="", AND(AND(MID(metadata!C877,5,1)="-",IFERROR(INT(MID(metadata!C877,6,1))&gt;=0,FALSE),IFERROR(INT(MID(metadata!C877,6,1))&lt;=1,FALSE),NOT(MID(metadata!C877,7,1)=""),IFERROR(INT(MID(metadata!C877,6,2))&gt;=1,FALSE),IFERROR(INT(MID(metadata!C877,6,2))&lt;=12,FALSE)), OR(MID(metadata!C877,8,1)="", AND(AND(MID(metadata!C877,8,1)="-",IFERROR(INT(MID(metadata!C877,9,1))&gt;=0,FALSE),IFERROR(INT(MID(metadata!C877,9,1))&lt;=3,FALSE),NOT(MID(metadata!C877,10,1)=""),IFERROR(INT(MID(metadata!C877,9,2))&gt;=1,FALSE),IFERROR(INT(MID(metadata!C877,9,2))&lt;=31,FALSE)), OR(MID(metadata!C877,11,1)="", AND(AND(MID(metadata!C877,11,1)=" ",IFERROR(INT(MID(metadata!C877,12,1))&gt;=0,FALSE),IFERROR(INT(MID(metadata!C877,12,1))&lt;=2,FALSE),NOT(MID(metadata!C877,13,1)=""),IFERROR(INT(MID(metadata!C877,12,2))&gt;=0,FALSE),IFERROR(INT(MID(metadata!C877,12,2))&lt;=23,FALSE)), OR(MID(metadata!C877,14,1)="", AND(AND(MID(metadata!C877,14,1)=":",IFERROR(INT(MID(metadata!C877,15,1))&gt;=0,FALSE),IFERROR(INT(MID(metadata!C877,15,1))&lt;=5,FALSE),NOT(MID(metadata!C877,16,1)=""),IFERROR(INT(MID(metadata!C877,15,2))&gt;=0,FALSE),IFERROR(INT(MID(metadata!C877,15,2))&lt;=59,FALSE)), OR(MID(metadata!C877,17,1)="", AND(AND(MID(metadata!C877,17,1)=":",IFERROR(INT(MID(metadata!C877,18,1))&gt;=0,FALSE),IFERROR(INT(MID(metadata!C877,18,1))&lt;=5,FALSE),NOT(MID(metadata!C877,19,1)=""),IFERROR(INT(MID(metadata!C877,18,2))&gt;=0,FALSE),IFERROR(INT(MID(metadata!C877,18,2))&lt;=59,FALSE)), LEN(metadata!C877)&lt;=19)))))))))))))</f>
        <v>0</v>
      </c>
      <c r="AD877">
        <f>IF(metadata!D877="",FALSE,TRUE)</f>
        <v>0</v>
      </c>
      <c r="AE877">
        <f>OR(AND(IF(metadata!E877="",FALSE,TRUE),OR(exact(metadata!E877,"missing: not collected"),exact(metadata!E877,"missing: not provided"))),AND(IF(metadata!E877="",FALSE,TRUE),OR(exact(metadata!E877,"TRUE"),exact(metadata!E877,"FALSE"))))</f>
        <v>0</v>
      </c>
      <c r="AF877">
        <f>IF(metadata!F877="",FALSE,TRUE)</f>
        <v>0</v>
      </c>
      <c r="AG877">
        <f>IF(metadata!G877="",FALSE,TRUE)</f>
        <v>0</v>
      </c>
      <c r="AH877">
        <f>IF(metadata!H877="",FALSE,TRUE)</f>
        <v>0</v>
      </c>
      <c r="AI877">
        <f>OR(AND(IF(metadata!I877="",FALSE,TRUE),OR(exact(metadata!I877,"missing: not collected"),exact(metadata!I877,"missing: not provided"),exact(metadata!I877,"missing: restricted access"))),AND(IF(metadata!I877="",FALSE,TRUE),OR(exact(metadata!I877,"air"),exact(metadata!I877,"built environment"),exact(metadata!I877,"host-associated"),exact(metadata!I877,"human-associated"),exact(metadata!I877,"human-skin"),exact(metadata!I877,"human-oral"),exact(metadata!I877,"human-gut"),exact(metadata!I877,"human-vaginal"),exact(metadata!I877,"microbial mat/biofilm"),exact(metadata!I877,"misc environment"),exact(metadata!I877,"plant-associated"),exact(metadata!I877,"sediment"),exact(metadata!I877,"soil"),exact(metadata!I877,"wastewater/sludge"),exact(metadata!I877,"water"))))</f>
        <v>0</v>
      </c>
      <c r="AJ877">
        <f>IF(metadata!J877="",FALSE,TRUE)</f>
        <v>0</v>
      </c>
      <c r="AK877">
        <f>OR(AND(IF(metadata!K877="",FALSE,TRUE),OR(exact(metadata!K877,"missing: not collected"),exact(metadata!K877,"missing: not provided"),exact(metadata!K877,"missing: restricted access"))),AND(IF(metadata!K877="",FALSE,ISNUMBER(VALUE(metadata!K877))),metadata!K877&gt;=-90.00,metadata!K877&lt;=90.00))</f>
        <v>0</v>
      </c>
      <c r="AL877">
        <f>OR(AND(IF(metadata!L877="",FALSE,TRUE),OR(exact(metadata!L877,"missing: not collected"),exact(metadata!L877,"missing: not provided"),exact(metadata!L877,"missing: restricted access"))),AND(IF(metadata!L877="",FALSE,ISNUMBER(VALUE(metadata!L877))),metadata!L877&gt;=-180.00,metadata!L877&lt;=180.00))</f>
        <v>0</v>
      </c>
      <c r="AM877">
        <f>IF(metadata!M877="",FALSE,TRUE)</f>
        <v>0</v>
      </c>
      <c r="AN877">
        <f>OR(AND(IF(metadata!N877="",FALSE,TRUE),OR(exact(metadata!N877,"missing: not collected"),exact(metadata!N877,"missing: not provided"),exact(metadata!N877,"missing: restricted access"))),AND(IF(metadata!N877="",FALSE,TRUE),OR(exact(metadata!N877,"TRUE"),exact(metadata!N877,"FALSE"))))</f>
        <v>0</v>
      </c>
      <c r="AO877">
        <f>IF(metadata!O877="",FALSE,TRUE)</f>
        <v>0</v>
      </c>
      <c r="AP877">
        <f>OR(AND(IF(metadata!P877="",FALSE,TRUE),OR(exact(metadata!P877,"missing: not collected"),exact(metadata!P877,"missing: not provided"))),AND(IF(metadata!P877="",FALSE,IF(ISERROR(INT(metadata!P877)),FALSE,INT(metadata!P877)=metadata!P877)),metadata!P877&gt;0))</f>
        <v>0</v>
      </c>
      <c r="AQ877">
        <f>IF(metadata!Q877="",FALSE,TRUE)</f>
        <v>0</v>
      </c>
    </row>
    <row r="878" spans="1:43">
      <c r="A878" s="5">
        <f>IF(B878=" "," ",HYPERLINK(CONCATENATE("#metadata!",ADDRESS(INDEX($W$2:$W$1001,MATCH(ROWS($U$2:U878),$U$2:$U$1001,0),0),1)),INDEX($Z$2:$Z$1001,MATCH(ROWS($U$2:U878),$U$2:$U$1001,0),0)))</f>
        <v>0</v>
      </c>
      <c r="B878" s="4">
        <f>IF(OR(INDEX($V$2:$V$1001,MATCH(ROWS($U$2:U878),$U$2:$U$1001,0),1)&gt;=100000,INDEX($AB$1005:$AQ$1005,1,MATCH(COLUMNS($AB$1006:AB1006),$AB$1006:$AQ$1006,0))&gt;=100000), " ",IF(INDEX($AB$2:$AQ$1001,MATCH(ROWS($U$2:U878),$U$2:$U$1001,0),MATCH(COLUMNS($AB$1006:AB1006),$AB$1006:$AQ$1006,0)), HYPERLINK("#",""), HYPERLINK(CONCATENATE("#metadata!", ADDRESS(INDEX($W$2:$W$1001,MATCH(ROWS($U$2:U878),$U$2:$U$1001,0),0), INDEX($AB$1004:$AQ$1004,1,MATCH(COLUMNS($AB$1006:AB1006),$AB$1006:$AQ$1006,0)))),"Fix")))</f>
        <v>0</v>
      </c>
      <c r="C878" s="4">
        <f>IF(OR(INDEX($V$2:$V$1001,MATCH(ROWS($U$2:U878),$U$2:$U$1001,0),1)&gt;=100000,INDEX($AB$1005:$AQ$1005,1,MATCH(COLUMNS($AB$1006:AC1006),$AB$1006:$AQ$1006,0))&gt;=100000), " ",IF(INDEX($AB$2:$AQ$1001,MATCH(ROWS($U$2:U878),$U$2:$U$1001,0),MATCH(COLUMNS($AB$1006:AC1006),$AB$1006:$AQ$1006,0)), HYPERLINK("#",""), HYPERLINK(CONCATENATE("#metadata!", ADDRESS(INDEX($W$2:$W$1001,MATCH(ROWS($U$2:U878),$U$2:$U$1001,0),0), INDEX($AB$1004:$AQ$1004,1,MATCH(COLUMNS($AB$1006:AC1006),$AB$1006:$AQ$1006,0)))),"Fix")))</f>
        <v>0</v>
      </c>
      <c r="D878" s="4">
        <f>IF(OR(INDEX($V$2:$V$1001,MATCH(ROWS($U$2:U878),$U$2:$U$1001,0),1)&gt;=100000,INDEX($AB$1005:$AQ$1005,1,MATCH(COLUMNS($AB$1006:AD1006),$AB$1006:$AQ$1006,0))&gt;=100000), " ",IF(INDEX($AB$2:$AQ$1001,MATCH(ROWS($U$2:U878),$U$2:$U$1001,0),MATCH(COLUMNS($AB$1006:AD1006),$AB$1006:$AQ$1006,0)), HYPERLINK("#",""), HYPERLINK(CONCATENATE("#metadata!", ADDRESS(INDEX($W$2:$W$1001,MATCH(ROWS($U$2:U878),$U$2:$U$1001,0),0), INDEX($AB$1004:$AQ$1004,1,MATCH(COLUMNS($AB$1006:AD1006),$AB$1006:$AQ$1006,0)))),"Fix")))</f>
        <v>0</v>
      </c>
      <c r="E878" s="4">
        <f>IF(OR(INDEX($V$2:$V$1001,MATCH(ROWS($U$2:U878),$U$2:$U$1001,0),1)&gt;=100000,INDEX($AB$1005:$AQ$1005,1,MATCH(COLUMNS($AB$1006:AE1006),$AB$1006:$AQ$1006,0))&gt;=100000), " ",IF(INDEX($AB$2:$AQ$1001,MATCH(ROWS($U$2:U878),$U$2:$U$1001,0),MATCH(COLUMNS($AB$1006:AE1006),$AB$1006:$AQ$1006,0)), HYPERLINK("#",""), HYPERLINK(CONCATENATE("#metadata!", ADDRESS(INDEX($W$2:$W$1001,MATCH(ROWS($U$2:U878),$U$2:$U$1001,0),0), INDEX($AB$1004:$AQ$1004,1,MATCH(COLUMNS($AB$1006:AE1006),$AB$1006:$AQ$1006,0)))),"Fix")))</f>
        <v>0</v>
      </c>
      <c r="F878" s="4">
        <f>IF(OR(INDEX($V$2:$V$1001,MATCH(ROWS($U$2:U878),$U$2:$U$1001,0),1)&gt;=100000,INDEX($AB$1005:$AQ$1005,1,MATCH(COLUMNS($AB$1006:AF1006),$AB$1006:$AQ$1006,0))&gt;=100000), " ",IF(INDEX($AB$2:$AQ$1001,MATCH(ROWS($U$2:U878),$U$2:$U$1001,0),MATCH(COLUMNS($AB$1006:AF1006),$AB$1006:$AQ$1006,0)), HYPERLINK("#",""), HYPERLINK(CONCATENATE("#metadata!", ADDRESS(INDEX($W$2:$W$1001,MATCH(ROWS($U$2:U878),$U$2:$U$1001,0),0), INDEX($AB$1004:$AQ$1004,1,MATCH(COLUMNS($AB$1006:AF1006),$AB$1006:$AQ$1006,0)))),"Fix")))</f>
        <v>0</v>
      </c>
      <c r="G878" s="4">
        <f>IF(OR(INDEX($V$2:$V$1001,MATCH(ROWS($U$2:U878),$U$2:$U$1001,0),1)&gt;=100000,INDEX($AB$1005:$AQ$1005,1,MATCH(COLUMNS($AB$1006:AG1006),$AB$1006:$AQ$1006,0))&gt;=100000), " ",IF(INDEX($AB$2:$AQ$1001,MATCH(ROWS($U$2:U878),$U$2:$U$1001,0),MATCH(COLUMNS($AB$1006:AG1006),$AB$1006:$AQ$1006,0)), HYPERLINK("#",""), HYPERLINK(CONCATENATE("#metadata!", ADDRESS(INDEX($W$2:$W$1001,MATCH(ROWS($U$2:U878),$U$2:$U$1001,0),0), INDEX($AB$1004:$AQ$1004,1,MATCH(COLUMNS($AB$1006:AG1006),$AB$1006:$AQ$1006,0)))),"Fix")))</f>
        <v>0</v>
      </c>
      <c r="H878" s="4">
        <f>IF(OR(INDEX($V$2:$V$1001,MATCH(ROWS($U$2:U878),$U$2:$U$1001,0),1)&gt;=100000,INDEX($AB$1005:$AQ$1005,1,MATCH(COLUMNS($AB$1006:AH1006),$AB$1006:$AQ$1006,0))&gt;=100000), " ",IF(INDEX($AB$2:$AQ$1001,MATCH(ROWS($U$2:U878),$U$2:$U$1001,0),MATCH(COLUMNS($AB$1006:AH1006),$AB$1006:$AQ$1006,0)), HYPERLINK("#",""), HYPERLINK(CONCATENATE("#metadata!", ADDRESS(INDEX($W$2:$W$1001,MATCH(ROWS($U$2:U878),$U$2:$U$1001,0),0), INDEX($AB$1004:$AQ$1004,1,MATCH(COLUMNS($AB$1006:AH1006),$AB$1006:$AQ$1006,0)))),"Fix")))</f>
        <v>0</v>
      </c>
      <c r="I878" s="4">
        <f>IF(OR(INDEX($V$2:$V$1001,MATCH(ROWS($U$2:U878),$U$2:$U$1001,0),1)&gt;=100000,INDEX($AB$1005:$AQ$1005,1,MATCH(COLUMNS($AB$1006:AI1006),$AB$1006:$AQ$1006,0))&gt;=100000), " ",IF(INDEX($AB$2:$AQ$1001,MATCH(ROWS($U$2:U878),$U$2:$U$1001,0),MATCH(COLUMNS($AB$1006:AI1006),$AB$1006:$AQ$1006,0)), HYPERLINK("#",""), HYPERLINK(CONCATENATE("#metadata!", ADDRESS(INDEX($W$2:$W$1001,MATCH(ROWS($U$2:U878),$U$2:$U$1001,0),0), INDEX($AB$1004:$AQ$1004,1,MATCH(COLUMNS($AB$1006:AI1006),$AB$1006:$AQ$1006,0)))),"Fix")))</f>
        <v>0</v>
      </c>
      <c r="J878" s="4">
        <f>IF(OR(INDEX($V$2:$V$1001,MATCH(ROWS($U$2:U878),$U$2:$U$1001,0),1)&gt;=100000,INDEX($AB$1005:$AQ$1005,1,MATCH(COLUMNS($AB$1006:AJ1006),$AB$1006:$AQ$1006,0))&gt;=100000), " ",IF(INDEX($AB$2:$AQ$1001,MATCH(ROWS($U$2:U878),$U$2:$U$1001,0),MATCH(COLUMNS($AB$1006:AJ1006),$AB$1006:$AQ$1006,0)), HYPERLINK("#",""), HYPERLINK(CONCATENATE("#metadata!", ADDRESS(INDEX($W$2:$W$1001,MATCH(ROWS($U$2:U878),$U$2:$U$1001,0),0), INDEX($AB$1004:$AQ$1004,1,MATCH(COLUMNS($AB$1006:AJ1006),$AB$1006:$AQ$1006,0)))),"Fix")))</f>
        <v>0</v>
      </c>
      <c r="K878" s="4">
        <f>IF(OR(INDEX($V$2:$V$1001,MATCH(ROWS($U$2:U878),$U$2:$U$1001,0),1)&gt;=100000,INDEX($AB$1005:$AQ$1005,1,MATCH(COLUMNS($AB$1006:AK1006),$AB$1006:$AQ$1006,0))&gt;=100000), " ",IF(INDEX($AB$2:$AQ$1001,MATCH(ROWS($U$2:U878),$U$2:$U$1001,0),MATCH(COLUMNS($AB$1006:AK1006),$AB$1006:$AQ$1006,0)), HYPERLINK("#",""), HYPERLINK(CONCATENATE("#metadata!", ADDRESS(INDEX($W$2:$W$1001,MATCH(ROWS($U$2:U878),$U$2:$U$1001,0),0), INDEX($AB$1004:$AQ$1004,1,MATCH(COLUMNS($AB$1006:AK1006),$AB$1006:$AQ$1006,0)))),"Fix")))</f>
        <v>0</v>
      </c>
      <c r="L878" s="4">
        <f>IF(OR(INDEX($V$2:$V$1001,MATCH(ROWS($U$2:U878),$U$2:$U$1001,0),1)&gt;=100000,INDEX($AB$1005:$AQ$1005,1,MATCH(COLUMNS($AB$1006:AL1006),$AB$1006:$AQ$1006,0))&gt;=100000), " ",IF(INDEX($AB$2:$AQ$1001,MATCH(ROWS($U$2:U878),$U$2:$U$1001,0),MATCH(COLUMNS($AB$1006:AL1006),$AB$1006:$AQ$1006,0)), HYPERLINK("#",""), HYPERLINK(CONCATENATE("#metadata!", ADDRESS(INDEX($W$2:$W$1001,MATCH(ROWS($U$2:U878),$U$2:$U$1001,0),0), INDEX($AB$1004:$AQ$1004,1,MATCH(COLUMNS($AB$1006:AL1006),$AB$1006:$AQ$1006,0)))),"Fix")))</f>
        <v>0</v>
      </c>
      <c r="M878" s="4">
        <f>IF(OR(INDEX($V$2:$V$1001,MATCH(ROWS($U$2:U878),$U$2:$U$1001,0),1)&gt;=100000,INDEX($AB$1005:$AQ$1005,1,MATCH(COLUMNS($AB$1006:AM1006),$AB$1006:$AQ$1006,0))&gt;=100000), " ",IF(INDEX($AB$2:$AQ$1001,MATCH(ROWS($U$2:U878),$U$2:$U$1001,0),MATCH(COLUMNS($AB$1006:AM1006),$AB$1006:$AQ$1006,0)), HYPERLINK("#",""), HYPERLINK(CONCATENATE("#metadata!", ADDRESS(INDEX($W$2:$W$1001,MATCH(ROWS($U$2:U878),$U$2:$U$1001,0),0), INDEX($AB$1004:$AQ$1004,1,MATCH(COLUMNS($AB$1006:AM1006),$AB$1006:$AQ$1006,0)))),"Fix")))</f>
        <v>0</v>
      </c>
      <c r="N878" s="4">
        <f>IF(OR(INDEX($V$2:$V$1001,MATCH(ROWS($U$2:U878),$U$2:$U$1001,0),1)&gt;=100000,INDEX($AB$1005:$AQ$1005,1,MATCH(COLUMNS($AB$1006:AN1006),$AB$1006:$AQ$1006,0))&gt;=100000), " ",IF(INDEX($AB$2:$AQ$1001,MATCH(ROWS($U$2:U878),$U$2:$U$1001,0),MATCH(COLUMNS($AB$1006:AN1006),$AB$1006:$AQ$1006,0)), HYPERLINK("#",""), HYPERLINK(CONCATENATE("#metadata!", ADDRESS(INDEX($W$2:$W$1001,MATCH(ROWS($U$2:U878),$U$2:$U$1001,0),0), INDEX($AB$1004:$AQ$1004,1,MATCH(COLUMNS($AB$1006:AN1006),$AB$1006:$AQ$1006,0)))),"Fix")))</f>
        <v>0</v>
      </c>
      <c r="O878" s="4">
        <f>IF(OR(INDEX($V$2:$V$1001,MATCH(ROWS($U$2:U878),$U$2:$U$1001,0),1)&gt;=100000,INDEX($AB$1005:$AQ$1005,1,MATCH(COLUMNS($AB$1006:AO1006),$AB$1006:$AQ$1006,0))&gt;=100000), " ",IF(INDEX($AB$2:$AQ$1001,MATCH(ROWS($U$2:U878),$U$2:$U$1001,0),MATCH(COLUMNS($AB$1006:AO1006),$AB$1006:$AQ$1006,0)), HYPERLINK("#",""), HYPERLINK(CONCATENATE("#metadata!", ADDRESS(INDEX($W$2:$W$1001,MATCH(ROWS($U$2:U878),$U$2:$U$1001,0),0), INDEX($AB$1004:$AQ$1004,1,MATCH(COLUMNS($AB$1006:AO1006),$AB$1006:$AQ$1006,0)))),"Fix")))</f>
        <v>0</v>
      </c>
      <c r="P878" s="4">
        <f>IF(OR(INDEX($V$2:$V$1001,MATCH(ROWS($U$2:U878),$U$2:$U$1001,0),1)&gt;=100000,INDEX($AB$1005:$AQ$1005,1,MATCH(COLUMNS($AB$1006:AP1006),$AB$1006:$AQ$1006,0))&gt;=100000), " ",IF(INDEX($AB$2:$AQ$1001,MATCH(ROWS($U$2:U878),$U$2:$U$1001,0),MATCH(COLUMNS($AB$1006:AP1006),$AB$1006:$AQ$1006,0)), HYPERLINK("#",""), HYPERLINK(CONCATENATE("#metadata!", ADDRESS(INDEX($W$2:$W$1001,MATCH(ROWS($U$2:U878),$U$2:$U$1001,0),0), INDEX($AB$1004:$AQ$1004,1,MATCH(COLUMNS($AB$1006:AP1006),$AB$1006:$AQ$1006,0)))),"Fix")))</f>
        <v>0</v>
      </c>
      <c r="Q878" s="4">
        <f>IF(OR(INDEX($V$2:$V$1001,MATCH(ROWS($U$2:U878),$U$2:$U$1001,0),1)&gt;=100000,INDEX($AB$1005:$AQ$1005,1,MATCH(COLUMNS($AB$1006:AQ1006),$AB$1006:$AQ$1006,0))&gt;=100000), " ",IF(INDEX($AB$2:$AQ$1001,MATCH(ROWS($U$2:U878),$U$2:$U$1001,0),MATCH(COLUMNS($AB$1006:AQ1006),$AB$1006:$AQ$1006,0)), HYPERLINK("#",""), HYPERLINK(CONCATENATE("#metadata!", ADDRESS(INDEX($W$2:$W$1001,MATCH(ROWS($U$2:U878),$U$2:$U$1001,0),0), INDEX($AB$1004:$AQ$1004,1,MATCH(COLUMNS($AB$1006:AQ1006),$AB$1006:$AQ$1006,0)))),"Fix")))</f>
        <v>0</v>
      </c>
      <c r="U878">
        <v>0</v>
      </c>
      <c r="V878">
        <v>0</v>
      </c>
      <c r="W878">
        <v>0</v>
      </c>
      <c r="X878">
        <f>IF(Y878,TRUE,AND(AB878:AQ878))</f>
        <v>0</v>
      </c>
      <c r="Y878">
        <f>COUNTBLANK(metadata!B878:Q878)=COLUMNS(metadata!B878:Q878)</f>
        <v>0</v>
      </c>
      <c r="Z878">
        <v>0</v>
      </c>
      <c r="AB878">
        <f>AND(IF(metadata!B878="",FALSE,TRUE),COUNTIF(metadata!B:B, metadata!B878) = 1,NOT(ISERROR(SUMPRODUCT(SEARCH(MID(metadata!B878,ROW(INDIRECT("1:"&amp;LEN(metadata!B878))), 1),"0123456789abcdefghijklmnopqrstuvwxyzABCDEFGHIJKLMNOPQRSTUVWXYZ.")))))</f>
        <v>0</v>
      </c>
      <c r="AC878">
        <f>OR(AND(IF(metadata!C878="",FALSE,TRUE),OR(exact(metadata!C878,"missing: not collected"),exact(metadata!C878,"missing: not provided"),exact(metadata!C878,"missing: restricted access"))),AND(IF(metadata!C878="",FALSE,TRUE),AND(AND(IFERROR(INT(LEFT(metadata!C878,4))&gt;1900,FALSE),IFERROR(INT(LEFT(metadata!C878,4))&lt;=YEAR(NOW()),FALSE)), OR(MID(metadata!C878,5,1)="", AND(AND(MID(metadata!C878,5,1)="-",IFERROR(INT(MID(metadata!C878,6,1))&gt;=0,FALSE),IFERROR(INT(MID(metadata!C878,6,1))&lt;=1,FALSE),NOT(MID(metadata!C878,7,1)=""),IFERROR(INT(MID(metadata!C878,6,2))&gt;=1,FALSE),IFERROR(INT(MID(metadata!C878,6,2))&lt;=12,FALSE)), OR(MID(metadata!C878,8,1)="", AND(AND(MID(metadata!C878,8,1)="-",IFERROR(INT(MID(metadata!C878,9,1))&gt;=0,FALSE),IFERROR(INT(MID(metadata!C878,9,1))&lt;=3,FALSE),NOT(MID(metadata!C878,10,1)=""),IFERROR(INT(MID(metadata!C878,9,2))&gt;=1,FALSE),IFERROR(INT(MID(metadata!C878,9,2))&lt;=31,FALSE)), OR(MID(metadata!C878,11,1)="", AND(AND(MID(metadata!C878,11,1)=" ",IFERROR(INT(MID(metadata!C878,12,1))&gt;=0,FALSE),IFERROR(INT(MID(metadata!C878,12,1))&lt;=2,FALSE),NOT(MID(metadata!C878,13,1)=""),IFERROR(INT(MID(metadata!C878,12,2))&gt;=0,FALSE),IFERROR(INT(MID(metadata!C878,12,2))&lt;=23,FALSE)), OR(MID(metadata!C878,14,1)="", AND(AND(MID(metadata!C878,14,1)=":",IFERROR(INT(MID(metadata!C878,15,1))&gt;=0,FALSE),IFERROR(INT(MID(metadata!C878,15,1))&lt;=5,FALSE),NOT(MID(metadata!C878,16,1)=""),IFERROR(INT(MID(metadata!C878,15,2))&gt;=0,FALSE),IFERROR(INT(MID(metadata!C878,15,2))&lt;=59,FALSE)), OR(MID(metadata!C878,17,1)="", AND(AND(MID(metadata!C878,17,1)=":",IFERROR(INT(MID(metadata!C878,18,1))&gt;=0,FALSE),IFERROR(INT(MID(metadata!C878,18,1))&lt;=5,FALSE),NOT(MID(metadata!C878,19,1)=""),IFERROR(INT(MID(metadata!C878,18,2))&gt;=0,FALSE),IFERROR(INT(MID(metadata!C878,18,2))&lt;=59,FALSE)), LEN(metadata!C878)&lt;=19)))))))))))))</f>
        <v>0</v>
      </c>
      <c r="AD878">
        <f>IF(metadata!D878="",FALSE,TRUE)</f>
        <v>0</v>
      </c>
      <c r="AE878">
        <f>OR(AND(IF(metadata!E878="",FALSE,TRUE),OR(exact(metadata!E878,"missing: not collected"),exact(metadata!E878,"missing: not provided"))),AND(IF(metadata!E878="",FALSE,TRUE),OR(exact(metadata!E878,"TRUE"),exact(metadata!E878,"FALSE"))))</f>
        <v>0</v>
      </c>
      <c r="AF878">
        <f>IF(metadata!F878="",FALSE,TRUE)</f>
        <v>0</v>
      </c>
      <c r="AG878">
        <f>IF(metadata!G878="",FALSE,TRUE)</f>
        <v>0</v>
      </c>
      <c r="AH878">
        <f>IF(metadata!H878="",FALSE,TRUE)</f>
        <v>0</v>
      </c>
      <c r="AI878">
        <f>OR(AND(IF(metadata!I878="",FALSE,TRUE),OR(exact(metadata!I878,"missing: not collected"),exact(metadata!I878,"missing: not provided"),exact(metadata!I878,"missing: restricted access"))),AND(IF(metadata!I878="",FALSE,TRUE),OR(exact(metadata!I878,"air"),exact(metadata!I878,"built environment"),exact(metadata!I878,"host-associated"),exact(metadata!I878,"human-associated"),exact(metadata!I878,"human-skin"),exact(metadata!I878,"human-oral"),exact(metadata!I878,"human-gut"),exact(metadata!I878,"human-vaginal"),exact(metadata!I878,"microbial mat/biofilm"),exact(metadata!I878,"misc environment"),exact(metadata!I878,"plant-associated"),exact(metadata!I878,"sediment"),exact(metadata!I878,"soil"),exact(metadata!I878,"wastewater/sludge"),exact(metadata!I878,"water"))))</f>
        <v>0</v>
      </c>
      <c r="AJ878">
        <f>IF(metadata!J878="",FALSE,TRUE)</f>
        <v>0</v>
      </c>
      <c r="AK878">
        <f>OR(AND(IF(metadata!K878="",FALSE,TRUE),OR(exact(metadata!K878,"missing: not collected"),exact(metadata!K878,"missing: not provided"),exact(metadata!K878,"missing: restricted access"))),AND(IF(metadata!K878="",FALSE,ISNUMBER(VALUE(metadata!K878))),metadata!K878&gt;=-90.00,metadata!K878&lt;=90.00))</f>
        <v>0</v>
      </c>
      <c r="AL878">
        <f>OR(AND(IF(metadata!L878="",FALSE,TRUE),OR(exact(metadata!L878,"missing: not collected"),exact(metadata!L878,"missing: not provided"),exact(metadata!L878,"missing: restricted access"))),AND(IF(metadata!L878="",FALSE,ISNUMBER(VALUE(metadata!L878))),metadata!L878&gt;=-180.00,metadata!L878&lt;=180.00))</f>
        <v>0</v>
      </c>
      <c r="AM878">
        <f>IF(metadata!M878="",FALSE,TRUE)</f>
        <v>0</v>
      </c>
      <c r="AN878">
        <f>OR(AND(IF(metadata!N878="",FALSE,TRUE),OR(exact(metadata!N878,"missing: not collected"),exact(metadata!N878,"missing: not provided"),exact(metadata!N878,"missing: restricted access"))),AND(IF(metadata!N878="",FALSE,TRUE),OR(exact(metadata!N878,"TRUE"),exact(metadata!N878,"FALSE"))))</f>
        <v>0</v>
      </c>
      <c r="AO878">
        <f>IF(metadata!O878="",FALSE,TRUE)</f>
        <v>0</v>
      </c>
      <c r="AP878">
        <f>OR(AND(IF(metadata!P878="",FALSE,TRUE),OR(exact(metadata!P878,"missing: not collected"),exact(metadata!P878,"missing: not provided"))),AND(IF(metadata!P878="",FALSE,IF(ISERROR(INT(metadata!P878)),FALSE,INT(metadata!P878)=metadata!P878)),metadata!P878&gt;0))</f>
        <v>0</v>
      </c>
      <c r="AQ878">
        <f>IF(metadata!Q878="",FALSE,TRUE)</f>
        <v>0</v>
      </c>
    </row>
    <row r="879" spans="1:43">
      <c r="A879" s="5">
        <f>IF(B879=" "," ",HYPERLINK(CONCATENATE("#metadata!",ADDRESS(INDEX($W$2:$W$1001,MATCH(ROWS($U$2:U879),$U$2:$U$1001,0),0),1)),INDEX($Z$2:$Z$1001,MATCH(ROWS($U$2:U879),$U$2:$U$1001,0),0)))</f>
        <v>0</v>
      </c>
      <c r="B879" s="4">
        <f>IF(OR(INDEX($V$2:$V$1001,MATCH(ROWS($U$2:U879),$U$2:$U$1001,0),1)&gt;=100000,INDEX($AB$1005:$AQ$1005,1,MATCH(COLUMNS($AB$1006:AB1006),$AB$1006:$AQ$1006,0))&gt;=100000), " ",IF(INDEX($AB$2:$AQ$1001,MATCH(ROWS($U$2:U879),$U$2:$U$1001,0),MATCH(COLUMNS($AB$1006:AB1006),$AB$1006:$AQ$1006,0)), HYPERLINK("#",""), HYPERLINK(CONCATENATE("#metadata!", ADDRESS(INDEX($W$2:$W$1001,MATCH(ROWS($U$2:U879),$U$2:$U$1001,0),0), INDEX($AB$1004:$AQ$1004,1,MATCH(COLUMNS($AB$1006:AB1006),$AB$1006:$AQ$1006,0)))),"Fix")))</f>
        <v>0</v>
      </c>
      <c r="C879" s="4">
        <f>IF(OR(INDEX($V$2:$V$1001,MATCH(ROWS($U$2:U879),$U$2:$U$1001,0),1)&gt;=100000,INDEX($AB$1005:$AQ$1005,1,MATCH(COLUMNS($AB$1006:AC1006),$AB$1006:$AQ$1006,0))&gt;=100000), " ",IF(INDEX($AB$2:$AQ$1001,MATCH(ROWS($U$2:U879),$U$2:$U$1001,0),MATCH(COLUMNS($AB$1006:AC1006),$AB$1006:$AQ$1006,0)), HYPERLINK("#",""), HYPERLINK(CONCATENATE("#metadata!", ADDRESS(INDEX($W$2:$W$1001,MATCH(ROWS($U$2:U879),$U$2:$U$1001,0),0), INDEX($AB$1004:$AQ$1004,1,MATCH(COLUMNS($AB$1006:AC1006),$AB$1006:$AQ$1006,0)))),"Fix")))</f>
        <v>0</v>
      </c>
      <c r="D879" s="4">
        <f>IF(OR(INDEX($V$2:$V$1001,MATCH(ROWS($U$2:U879),$U$2:$U$1001,0),1)&gt;=100000,INDEX($AB$1005:$AQ$1005,1,MATCH(COLUMNS($AB$1006:AD1006),$AB$1006:$AQ$1006,0))&gt;=100000), " ",IF(INDEX($AB$2:$AQ$1001,MATCH(ROWS($U$2:U879),$U$2:$U$1001,0),MATCH(COLUMNS($AB$1006:AD1006),$AB$1006:$AQ$1006,0)), HYPERLINK("#",""), HYPERLINK(CONCATENATE("#metadata!", ADDRESS(INDEX($W$2:$W$1001,MATCH(ROWS($U$2:U879),$U$2:$U$1001,0),0), INDEX($AB$1004:$AQ$1004,1,MATCH(COLUMNS($AB$1006:AD1006),$AB$1006:$AQ$1006,0)))),"Fix")))</f>
        <v>0</v>
      </c>
      <c r="E879" s="4">
        <f>IF(OR(INDEX($V$2:$V$1001,MATCH(ROWS($U$2:U879),$U$2:$U$1001,0),1)&gt;=100000,INDEX($AB$1005:$AQ$1005,1,MATCH(COLUMNS($AB$1006:AE1006),$AB$1006:$AQ$1006,0))&gt;=100000), " ",IF(INDEX($AB$2:$AQ$1001,MATCH(ROWS($U$2:U879),$U$2:$U$1001,0),MATCH(COLUMNS($AB$1006:AE1006),$AB$1006:$AQ$1006,0)), HYPERLINK("#",""), HYPERLINK(CONCATENATE("#metadata!", ADDRESS(INDEX($W$2:$W$1001,MATCH(ROWS($U$2:U879),$U$2:$U$1001,0),0), INDEX($AB$1004:$AQ$1004,1,MATCH(COLUMNS($AB$1006:AE1006),$AB$1006:$AQ$1006,0)))),"Fix")))</f>
        <v>0</v>
      </c>
      <c r="F879" s="4">
        <f>IF(OR(INDEX($V$2:$V$1001,MATCH(ROWS($U$2:U879),$U$2:$U$1001,0),1)&gt;=100000,INDEX($AB$1005:$AQ$1005,1,MATCH(COLUMNS($AB$1006:AF1006),$AB$1006:$AQ$1006,0))&gt;=100000), " ",IF(INDEX($AB$2:$AQ$1001,MATCH(ROWS($U$2:U879),$U$2:$U$1001,0),MATCH(COLUMNS($AB$1006:AF1006),$AB$1006:$AQ$1006,0)), HYPERLINK("#",""), HYPERLINK(CONCATENATE("#metadata!", ADDRESS(INDEX($W$2:$W$1001,MATCH(ROWS($U$2:U879),$U$2:$U$1001,0),0), INDEX($AB$1004:$AQ$1004,1,MATCH(COLUMNS($AB$1006:AF1006),$AB$1006:$AQ$1006,0)))),"Fix")))</f>
        <v>0</v>
      </c>
      <c r="G879" s="4">
        <f>IF(OR(INDEX($V$2:$V$1001,MATCH(ROWS($U$2:U879),$U$2:$U$1001,0),1)&gt;=100000,INDEX($AB$1005:$AQ$1005,1,MATCH(COLUMNS($AB$1006:AG1006),$AB$1006:$AQ$1006,0))&gt;=100000), " ",IF(INDEX($AB$2:$AQ$1001,MATCH(ROWS($U$2:U879),$U$2:$U$1001,0),MATCH(COLUMNS($AB$1006:AG1006),$AB$1006:$AQ$1006,0)), HYPERLINK("#",""), HYPERLINK(CONCATENATE("#metadata!", ADDRESS(INDEX($W$2:$W$1001,MATCH(ROWS($U$2:U879),$U$2:$U$1001,0),0), INDEX($AB$1004:$AQ$1004,1,MATCH(COLUMNS($AB$1006:AG1006),$AB$1006:$AQ$1006,0)))),"Fix")))</f>
        <v>0</v>
      </c>
      <c r="H879" s="4">
        <f>IF(OR(INDEX($V$2:$V$1001,MATCH(ROWS($U$2:U879),$U$2:$U$1001,0),1)&gt;=100000,INDEX($AB$1005:$AQ$1005,1,MATCH(COLUMNS($AB$1006:AH1006),$AB$1006:$AQ$1006,0))&gt;=100000), " ",IF(INDEX($AB$2:$AQ$1001,MATCH(ROWS($U$2:U879),$U$2:$U$1001,0),MATCH(COLUMNS($AB$1006:AH1006),$AB$1006:$AQ$1006,0)), HYPERLINK("#",""), HYPERLINK(CONCATENATE("#metadata!", ADDRESS(INDEX($W$2:$W$1001,MATCH(ROWS($U$2:U879),$U$2:$U$1001,0),0), INDEX($AB$1004:$AQ$1004,1,MATCH(COLUMNS($AB$1006:AH1006),$AB$1006:$AQ$1006,0)))),"Fix")))</f>
        <v>0</v>
      </c>
      <c r="I879" s="4">
        <f>IF(OR(INDEX($V$2:$V$1001,MATCH(ROWS($U$2:U879),$U$2:$U$1001,0),1)&gt;=100000,INDEX($AB$1005:$AQ$1005,1,MATCH(COLUMNS($AB$1006:AI1006),$AB$1006:$AQ$1006,0))&gt;=100000), " ",IF(INDEX($AB$2:$AQ$1001,MATCH(ROWS($U$2:U879),$U$2:$U$1001,0),MATCH(COLUMNS($AB$1006:AI1006),$AB$1006:$AQ$1006,0)), HYPERLINK("#",""), HYPERLINK(CONCATENATE("#metadata!", ADDRESS(INDEX($W$2:$W$1001,MATCH(ROWS($U$2:U879),$U$2:$U$1001,0),0), INDEX($AB$1004:$AQ$1004,1,MATCH(COLUMNS($AB$1006:AI1006),$AB$1006:$AQ$1006,0)))),"Fix")))</f>
        <v>0</v>
      </c>
      <c r="J879" s="4">
        <f>IF(OR(INDEX($V$2:$V$1001,MATCH(ROWS($U$2:U879),$U$2:$U$1001,0),1)&gt;=100000,INDEX($AB$1005:$AQ$1005,1,MATCH(COLUMNS($AB$1006:AJ1006),$AB$1006:$AQ$1006,0))&gt;=100000), " ",IF(INDEX($AB$2:$AQ$1001,MATCH(ROWS($U$2:U879),$U$2:$U$1001,0),MATCH(COLUMNS($AB$1006:AJ1006),$AB$1006:$AQ$1006,0)), HYPERLINK("#",""), HYPERLINK(CONCATENATE("#metadata!", ADDRESS(INDEX($W$2:$W$1001,MATCH(ROWS($U$2:U879),$U$2:$U$1001,0),0), INDEX($AB$1004:$AQ$1004,1,MATCH(COLUMNS($AB$1006:AJ1006),$AB$1006:$AQ$1006,0)))),"Fix")))</f>
        <v>0</v>
      </c>
      <c r="K879" s="4">
        <f>IF(OR(INDEX($V$2:$V$1001,MATCH(ROWS($U$2:U879),$U$2:$U$1001,0),1)&gt;=100000,INDEX($AB$1005:$AQ$1005,1,MATCH(COLUMNS($AB$1006:AK1006),$AB$1006:$AQ$1006,0))&gt;=100000), " ",IF(INDEX($AB$2:$AQ$1001,MATCH(ROWS($U$2:U879),$U$2:$U$1001,0),MATCH(COLUMNS($AB$1006:AK1006),$AB$1006:$AQ$1006,0)), HYPERLINK("#",""), HYPERLINK(CONCATENATE("#metadata!", ADDRESS(INDEX($W$2:$W$1001,MATCH(ROWS($U$2:U879),$U$2:$U$1001,0),0), INDEX($AB$1004:$AQ$1004,1,MATCH(COLUMNS($AB$1006:AK1006),$AB$1006:$AQ$1006,0)))),"Fix")))</f>
        <v>0</v>
      </c>
      <c r="L879" s="4">
        <f>IF(OR(INDEX($V$2:$V$1001,MATCH(ROWS($U$2:U879),$U$2:$U$1001,0),1)&gt;=100000,INDEX($AB$1005:$AQ$1005,1,MATCH(COLUMNS($AB$1006:AL1006),$AB$1006:$AQ$1006,0))&gt;=100000), " ",IF(INDEX($AB$2:$AQ$1001,MATCH(ROWS($U$2:U879),$U$2:$U$1001,0),MATCH(COLUMNS($AB$1006:AL1006),$AB$1006:$AQ$1006,0)), HYPERLINK("#",""), HYPERLINK(CONCATENATE("#metadata!", ADDRESS(INDEX($W$2:$W$1001,MATCH(ROWS($U$2:U879),$U$2:$U$1001,0),0), INDEX($AB$1004:$AQ$1004,1,MATCH(COLUMNS($AB$1006:AL1006),$AB$1006:$AQ$1006,0)))),"Fix")))</f>
        <v>0</v>
      </c>
      <c r="M879" s="4">
        <f>IF(OR(INDEX($V$2:$V$1001,MATCH(ROWS($U$2:U879),$U$2:$U$1001,0),1)&gt;=100000,INDEX($AB$1005:$AQ$1005,1,MATCH(COLUMNS($AB$1006:AM1006),$AB$1006:$AQ$1006,0))&gt;=100000), " ",IF(INDEX($AB$2:$AQ$1001,MATCH(ROWS($U$2:U879),$U$2:$U$1001,0),MATCH(COLUMNS($AB$1006:AM1006),$AB$1006:$AQ$1006,0)), HYPERLINK("#",""), HYPERLINK(CONCATENATE("#metadata!", ADDRESS(INDEX($W$2:$W$1001,MATCH(ROWS($U$2:U879),$U$2:$U$1001,0),0), INDEX($AB$1004:$AQ$1004,1,MATCH(COLUMNS($AB$1006:AM1006),$AB$1006:$AQ$1006,0)))),"Fix")))</f>
        <v>0</v>
      </c>
      <c r="N879" s="4">
        <f>IF(OR(INDEX($V$2:$V$1001,MATCH(ROWS($U$2:U879),$U$2:$U$1001,0),1)&gt;=100000,INDEX($AB$1005:$AQ$1005,1,MATCH(COLUMNS($AB$1006:AN1006),$AB$1006:$AQ$1006,0))&gt;=100000), " ",IF(INDEX($AB$2:$AQ$1001,MATCH(ROWS($U$2:U879),$U$2:$U$1001,0),MATCH(COLUMNS($AB$1006:AN1006),$AB$1006:$AQ$1006,0)), HYPERLINK("#",""), HYPERLINK(CONCATENATE("#metadata!", ADDRESS(INDEX($W$2:$W$1001,MATCH(ROWS($U$2:U879),$U$2:$U$1001,0),0), INDEX($AB$1004:$AQ$1004,1,MATCH(COLUMNS($AB$1006:AN1006),$AB$1006:$AQ$1006,0)))),"Fix")))</f>
        <v>0</v>
      </c>
      <c r="O879" s="4">
        <f>IF(OR(INDEX($V$2:$V$1001,MATCH(ROWS($U$2:U879),$U$2:$U$1001,0),1)&gt;=100000,INDEX($AB$1005:$AQ$1005,1,MATCH(COLUMNS($AB$1006:AO1006),$AB$1006:$AQ$1006,0))&gt;=100000), " ",IF(INDEX($AB$2:$AQ$1001,MATCH(ROWS($U$2:U879),$U$2:$U$1001,0),MATCH(COLUMNS($AB$1006:AO1006),$AB$1006:$AQ$1006,0)), HYPERLINK("#",""), HYPERLINK(CONCATENATE("#metadata!", ADDRESS(INDEX($W$2:$W$1001,MATCH(ROWS($U$2:U879),$U$2:$U$1001,0),0), INDEX($AB$1004:$AQ$1004,1,MATCH(COLUMNS($AB$1006:AO1006),$AB$1006:$AQ$1006,0)))),"Fix")))</f>
        <v>0</v>
      </c>
      <c r="P879" s="4">
        <f>IF(OR(INDEX($V$2:$V$1001,MATCH(ROWS($U$2:U879),$U$2:$U$1001,0),1)&gt;=100000,INDEX($AB$1005:$AQ$1005,1,MATCH(COLUMNS($AB$1006:AP1006),$AB$1006:$AQ$1006,0))&gt;=100000), " ",IF(INDEX($AB$2:$AQ$1001,MATCH(ROWS($U$2:U879),$U$2:$U$1001,0),MATCH(COLUMNS($AB$1006:AP1006),$AB$1006:$AQ$1006,0)), HYPERLINK("#",""), HYPERLINK(CONCATENATE("#metadata!", ADDRESS(INDEX($W$2:$W$1001,MATCH(ROWS($U$2:U879),$U$2:$U$1001,0),0), INDEX($AB$1004:$AQ$1004,1,MATCH(COLUMNS($AB$1006:AP1006),$AB$1006:$AQ$1006,0)))),"Fix")))</f>
        <v>0</v>
      </c>
      <c r="Q879" s="4">
        <f>IF(OR(INDEX($V$2:$V$1001,MATCH(ROWS($U$2:U879),$U$2:$U$1001,0),1)&gt;=100000,INDEX($AB$1005:$AQ$1005,1,MATCH(COLUMNS($AB$1006:AQ1006),$AB$1006:$AQ$1006,0))&gt;=100000), " ",IF(INDEX($AB$2:$AQ$1001,MATCH(ROWS($U$2:U879),$U$2:$U$1001,0),MATCH(COLUMNS($AB$1006:AQ1006),$AB$1006:$AQ$1006,0)), HYPERLINK("#",""), HYPERLINK(CONCATENATE("#metadata!", ADDRESS(INDEX($W$2:$W$1001,MATCH(ROWS($U$2:U879),$U$2:$U$1001,0),0), INDEX($AB$1004:$AQ$1004,1,MATCH(COLUMNS($AB$1006:AQ1006),$AB$1006:$AQ$1006,0)))),"Fix")))</f>
        <v>0</v>
      </c>
      <c r="U879">
        <v>0</v>
      </c>
      <c r="V879">
        <v>0</v>
      </c>
      <c r="W879">
        <v>0</v>
      </c>
      <c r="X879">
        <f>IF(Y879,TRUE,AND(AB879:AQ879))</f>
        <v>0</v>
      </c>
      <c r="Y879">
        <f>COUNTBLANK(metadata!B879:Q879)=COLUMNS(metadata!B879:Q879)</f>
        <v>0</v>
      </c>
      <c r="Z879">
        <v>0</v>
      </c>
      <c r="AB879">
        <f>AND(IF(metadata!B879="",FALSE,TRUE),COUNTIF(metadata!B:B, metadata!B879) = 1,NOT(ISERROR(SUMPRODUCT(SEARCH(MID(metadata!B879,ROW(INDIRECT("1:"&amp;LEN(metadata!B879))), 1),"0123456789abcdefghijklmnopqrstuvwxyzABCDEFGHIJKLMNOPQRSTUVWXYZ.")))))</f>
        <v>0</v>
      </c>
      <c r="AC879">
        <f>OR(AND(IF(metadata!C879="",FALSE,TRUE),OR(exact(metadata!C879,"missing: not collected"),exact(metadata!C879,"missing: not provided"),exact(metadata!C879,"missing: restricted access"))),AND(IF(metadata!C879="",FALSE,TRUE),AND(AND(IFERROR(INT(LEFT(metadata!C879,4))&gt;1900,FALSE),IFERROR(INT(LEFT(metadata!C879,4))&lt;=YEAR(NOW()),FALSE)), OR(MID(metadata!C879,5,1)="", AND(AND(MID(metadata!C879,5,1)="-",IFERROR(INT(MID(metadata!C879,6,1))&gt;=0,FALSE),IFERROR(INT(MID(metadata!C879,6,1))&lt;=1,FALSE),NOT(MID(metadata!C879,7,1)=""),IFERROR(INT(MID(metadata!C879,6,2))&gt;=1,FALSE),IFERROR(INT(MID(metadata!C879,6,2))&lt;=12,FALSE)), OR(MID(metadata!C879,8,1)="", AND(AND(MID(metadata!C879,8,1)="-",IFERROR(INT(MID(metadata!C879,9,1))&gt;=0,FALSE),IFERROR(INT(MID(metadata!C879,9,1))&lt;=3,FALSE),NOT(MID(metadata!C879,10,1)=""),IFERROR(INT(MID(metadata!C879,9,2))&gt;=1,FALSE),IFERROR(INT(MID(metadata!C879,9,2))&lt;=31,FALSE)), OR(MID(metadata!C879,11,1)="", AND(AND(MID(metadata!C879,11,1)=" ",IFERROR(INT(MID(metadata!C879,12,1))&gt;=0,FALSE),IFERROR(INT(MID(metadata!C879,12,1))&lt;=2,FALSE),NOT(MID(metadata!C879,13,1)=""),IFERROR(INT(MID(metadata!C879,12,2))&gt;=0,FALSE),IFERROR(INT(MID(metadata!C879,12,2))&lt;=23,FALSE)), OR(MID(metadata!C879,14,1)="", AND(AND(MID(metadata!C879,14,1)=":",IFERROR(INT(MID(metadata!C879,15,1))&gt;=0,FALSE),IFERROR(INT(MID(metadata!C879,15,1))&lt;=5,FALSE),NOT(MID(metadata!C879,16,1)=""),IFERROR(INT(MID(metadata!C879,15,2))&gt;=0,FALSE),IFERROR(INT(MID(metadata!C879,15,2))&lt;=59,FALSE)), OR(MID(metadata!C879,17,1)="", AND(AND(MID(metadata!C879,17,1)=":",IFERROR(INT(MID(metadata!C879,18,1))&gt;=0,FALSE),IFERROR(INT(MID(metadata!C879,18,1))&lt;=5,FALSE),NOT(MID(metadata!C879,19,1)=""),IFERROR(INT(MID(metadata!C879,18,2))&gt;=0,FALSE),IFERROR(INT(MID(metadata!C879,18,2))&lt;=59,FALSE)), LEN(metadata!C879)&lt;=19)))))))))))))</f>
        <v>0</v>
      </c>
      <c r="AD879">
        <f>IF(metadata!D879="",FALSE,TRUE)</f>
        <v>0</v>
      </c>
      <c r="AE879">
        <f>OR(AND(IF(metadata!E879="",FALSE,TRUE),OR(exact(metadata!E879,"missing: not collected"),exact(metadata!E879,"missing: not provided"))),AND(IF(metadata!E879="",FALSE,TRUE),OR(exact(metadata!E879,"TRUE"),exact(metadata!E879,"FALSE"))))</f>
        <v>0</v>
      </c>
      <c r="AF879">
        <f>IF(metadata!F879="",FALSE,TRUE)</f>
        <v>0</v>
      </c>
      <c r="AG879">
        <f>IF(metadata!G879="",FALSE,TRUE)</f>
        <v>0</v>
      </c>
      <c r="AH879">
        <f>IF(metadata!H879="",FALSE,TRUE)</f>
        <v>0</v>
      </c>
      <c r="AI879">
        <f>OR(AND(IF(metadata!I879="",FALSE,TRUE),OR(exact(metadata!I879,"missing: not collected"),exact(metadata!I879,"missing: not provided"),exact(metadata!I879,"missing: restricted access"))),AND(IF(metadata!I879="",FALSE,TRUE),OR(exact(metadata!I879,"air"),exact(metadata!I879,"built environment"),exact(metadata!I879,"host-associated"),exact(metadata!I879,"human-associated"),exact(metadata!I879,"human-skin"),exact(metadata!I879,"human-oral"),exact(metadata!I879,"human-gut"),exact(metadata!I879,"human-vaginal"),exact(metadata!I879,"microbial mat/biofilm"),exact(metadata!I879,"misc environment"),exact(metadata!I879,"plant-associated"),exact(metadata!I879,"sediment"),exact(metadata!I879,"soil"),exact(metadata!I879,"wastewater/sludge"),exact(metadata!I879,"water"))))</f>
        <v>0</v>
      </c>
      <c r="AJ879">
        <f>IF(metadata!J879="",FALSE,TRUE)</f>
        <v>0</v>
      </c>
      <c r="AK879">
        <f>OR(AND(IF(metadata!K879="",FALSE,TRUE),OR(exact(metadata!K879,"missing: not collected"),exact(metadata!K879,"missing: not provided"),exact(metadata!K879,"missing: restricted access"))),AND(IF(metadata!K879="",FALSE,ISNUMBER(VALUE(metadata!K879))),metadata!K879&gt;=-90.00,metadata!K879&lt;=90.00))</f>
        <v>0</v>
      </c>
      <c r="AL879">
        <f>OR(AND(IF(metadata!L879="",FALSE,TRUE),OR(exact(metadata!L879,"missing: not collected"),exact(metadata!L879,"missing: not provided"),exact(metadata!L879,"missing: restricted access"))),AND(IF(metadata!L879="",FALSE,ISNUMBER(VALUE(metadata!L879))),metadata!L879&gt;=-180.00,metadata!L879&lt;=180.00))</f>
        <v>0</v>
      </c>
      <c r="AM879">
        <f>IF(metadata!M879="",FALSE,TRUE)</f>
        <v>0</v>
      </c>
      <c r="AN879">
        <f>OR(AND(IF(metadata!N879="",FALSE,TRUE),OR(exact(metadata!N879,"missing: not collected"),exact(metadata!N879,"missing: not provided"),exact(metadata!N879,"missing: restricted access"))),AND(IF(metadata!N879="",FALSE,TRUE),OR(exact(metadata!N879,"TRUE"),exact(metadata!N879,"FALSE"))))</f>
        <v>0</v>
      </c>
      <c r="AO879">
        <f>IF(metadata!O879="",FALSE,TRUE)</f>
        <v>0</v>
      </c>
      <c r="AP879">
        <f>OR(AND(IF(metadata!P879="",FALSE,TRUE),OR(exact(metadata!P879,"missing: not collected"),exact(metadata!P879,"missing: not provided"))),AND(IF(metadata!P879="",FALSE,IF(ISERROR(INT(metadata!P879)),FALSE,INT(metadata!P879)=metadata!P879)),metadata!P879&gt;0))</f>
        <v>0</v>
      </c>
      <c r="AQ879">
        <f>IF(metadata!Q879="",FALSE,TRUE)</f>
        <v>0</v>
      </c>
    </row>
    <row r="880" spans="1:43">
      <c r="A880" s="5">
        <f>IF(B880=" "," ",HYPERLINK(CONCATENATE("#metadata!",ADDRESS(INDEX($W$2:$W$1001,MATCH(ROWS($U$2:U880),$U$2:$U$1001,0),0),1)),INDEX($Z$2:$Z$1001,MATCH(ROWS($U$2:U880),$U$2:$U$1001,0),0)))</f>
        <v>0</v>
      </c>
      <c r="B880" s="4">
        <f>IF(OR(INDEX($V$2:$V$1001,MATCH(ROWS($U$2:U880),$U$2:$U$1001,0),1)&gt;=100000,INDEX($AB$1005:$AQ$1005,1,MATCH(COLUMNS($AB$1006:AB1006),$AB$1006:$AQ$1006,0))&gt;=100000), " ",IF(INDEX($AB$2:$AQ$1001,MATCH(ROWS($U$2:U880),$U$2:$U$1001,0),MATCH(COLUMNS($AB$1006:AB1006),$AB$1006:$AQ$1006,0)), HYPERLINK("#",""), HYPERLINK(CONCATENATE("#metadata!", ADDRESS(INDEX($W$2:$W$1001,MATCH(ROWS($U$2:U880),$U$2:$U$1001,0),0), INDEX($AB$1004:$AQ$1004,1,MATCH(COLUMNS($AB$1006:AB1006),$AB$1006:$AQ$1006,0)))),"Fix")))</f>
        <v>0</v>
      </c>
      <c r="C880" s="4">
        <f>IF(OR(INDEX($V$2:$V$1001,MATCH(ROWS($U$2:U880),$U$2:$U$1001,0),1)&gt;=100000,INDEX($AB$1005:$AQ$1005,1,MATCH(COLUMNS($AB$1006:AC1006),$AB$1006:$AQ$1006,0))&gt;=100000), " ",IF(INDEX($AB$2:$AQ$1001,MATCH(ROWS($U$2:U880),$U$2:$U$1001,0),MATCH(COLUMNS($AB$1006:AC1006),$AB$1006:$AQ$1006,0)), HYPERLINK("#",""), HYPERLINK(CONCATENATE("#metadata!", ADDRESS(INDEX($W$2:$W$1001,MATCH(ROWS($U$2:U880),$U$2:$U$1001,0),0), INDEX($AB$1004:$AQ$1004,1,MATCH(COLUMNS($AB$1006:AC1006),$AB$1006:$AQ$1006,0)))),"Fix")))</f>
        <v>0</v>
      </c>
      <c r="D880" s="4">
        <f>IF(OR(INDEX($V$2:$V$1001,MATCH(ROWS($U$2:U880),$U$2:$U$1001,0),1)&gt;=100000,INDEX($AB$1005:$AQ$1005,1,MATCH(COLUMNS($AB$1006:AD1006),$AB$1006:$AQ$1006,0))&gt;=100000), " ",IF(INDEX($AB$2:$AQ$1001,MATCH(ROWS($U$2:U880),$U$2:$U$1001,0),MATCH(COLUMNS($AB$1006:AD1006),$AB$1006:$AQ$1006,0)), HYPERLINK("#",""), HYPERLINK(CONCATENATE("#metadata!", ADDRESS(INDEX($W$2:$W$1001,MATCH(ROWS($U$2:U880),$U$2:$U$1001,0),0), INDEX($AB$1004:$AQ$1004,1,MATCH(COLUMNS($AB$1006:AD1006),$AB$1006:$AQ$1006,0)))),"Fix")))</f>
        <v>0</v>
      </c>
      <c r="E880" s="4">
        <f>IF(OR(INDEX($V$2:$V$1001,MATCH(ROWS($U$2:U880),$U$2:$U$1001,0),1)&gt;=100000,INDEX($AB$1005:$AQ$1005,1,MATCH(COLUMNS($AB$1006:AE1006),$AB$1006:$AQ$1006,0))&gt;=100000), " ",IF(INDEX($AB$2:$AQ$1001,MATCH(ROWS($U$2:U880),$U$2:$U$1001,0),MATCH(COLUMNS($AB$1006:AE1006),$AB$1006:$AQ$1006,0)), HYPERLINK("#",""), HYPERLINK(CONCATENATE("#metadata!", ADDRESS(INDEX($W$2:$W$1001,MATCH(ROWS($U$2:U880),$U$2:$U$1001,0),0), INDEX($AB$1004:$AQ$1004,1,MATCH(COLUMNS($AB$1006:AE1006),$AB$1006:$AQ$1006,0)))),"Fix")))</f>
        <v>0</v>
      </c>
      <c r="F880" s="4">
        <f>IF(OR(INDEX($V$2:$V$1001,MATCH(ROWS($U$2:U880),$U$2:$U$1001,0),1)&gt;=100000,INDEX($AB$1005:$AQ$1005,1,MATCH(COLUMNS($AB$1006:AF1006),$AB$1006:$AQ$1006,0))&gt;=100000), " ",IF(INDEX($AB$2:$AQ$1001,MATCH(ROWS($U$2:U880),$U$2:$U$1001,0),MATCH(COLUMNS($AB$1006:AF1006),$AB$1006:$AQ$1006,0)), HYPERLINK("#",""), HYPERLINK(CONCATENATE("#metadata!", ADDRESS(INDEX($W$2:$W$1001,MATCH(ROWS($U$2:U880),$U$2:$U$1001,0),0), INDEX($AB$1004:$AQ$1004,1,MATCH(COLUMNS($AB$1006:AF1006),$AB$1006:$AQ$1006,0)))),"Fix")))</f>
        <v>0</v>
      </c>
      <c r="G880" s="4">
        <f>IF(OR(INDEX($V$2:$V$1001,MATCH(ROWS($U$2:U880),$U$2:$U$1001,0),1)&gt;=100000,INDEX($AB$1005:$AQ$1005,1,MATCH(COLUMNS($AB$1006:AG1006),$AB$1006:$AQ$1006,0))&gt;=100000), " ",IF(INDEX($AB$2:$AQ$1001,MATCH(ROWS($U$2:U880),$U$2:$U$1001,0),MATCH(COLUMNS($AB$1006:AG1006),$AB$1006:$AQ$1006,0)), HYPERLINK("#",""), HYPERLINK(CONCATENATE("#metadata!", ADDRESS(INDEX($W$2:$W$1001,MATCH(ROWS($U$2:U880),$U$2:$U$1001,0),0), INDEX($AB$1004:$AQ$1004,1,MATCH(COLUMNS($AB$1006:AG1006),$AB$1006:$AQ$1006,0)))),"Fix")))</f>
        <v>0</v>
      </c>
      <c r="H880" s="4">
        <f>IF(OR(INDEX($V$2:$V$1001,MATCH(ROWS($U$2:U880),$U$2:$U$1001,0),1)&gt;=100000,INDEX($AB$1005:$AQ$1005,1,MATCH(COLUMNS($AB$1006:AH1006),$AB$1006:$AQ$1006,0))&gt;=100000), " ",IF(INDEX($AB$2:$AQ$1001,MATCH(ROWS($U$2:U880),$U$2:$U$1001,0),MATCH(COLUMNS($AB$1006:AH1006),$AB$1006:$AQ$1006,0)), HYPERLINK("#",""), HYPERLINK(CONCATENATE("#metadata!", ADDRESS(INDEX($W$2:$W$1001,MATCH(ROWS($U$2:U880),$U$2:$U$1001,0),0), INDEX($AB$1004:$AQ$1004,1,MATCH(COLUMNS($AB$1006:AH1006),$AB$1006:$AQ$1006,0)))),"Fix")))</f>
        <v>0</v>
      </c>
      <c r="I880" s="4">
        <f>IF(OR(INDEX($V$2:$V$1001,MATCH(ROWS($U$2:U880),$U$2:$U$1001,0),1)&gt;=100000,INDEX($AB$1005:$AQ$1005,1,MATCH(COLUMNS($AB$1006:AI1006),$AB$1006:$AQ$1006,0))&gt;=100000), " ",IF(INDEX($AB$2:$AQ$1001,MATCH(ROWS($U$2:U880),$U$2:$U$1001,0),MATCH(COLUMNS($AB$1006:AI1006),$AB$1006:$AQ$1006,0)), HYPERLINK("#",""), HYPERLINK(CONCATENATE("#metadata!", ADDRESS(INDEX($W$2:$W$1001,MATCH(ROWS($U$2:U880),$U$2:$U$1001,0),0), INDEX($AB$1004:$AQ$1004,1,MATCH(COLUMNS($AB$1006:AI1006),$AB$1006:$AQ$1006,0)))),"Fix")))</f>
        <v>0</v>
      </c>
      <c r="J880" s="4">
        <f>IF(OR(INDEX($V$2:$V$1001,MATCH(ROWS($U$2:U880),$U$2:$U$1001,0),1)&gt;=100000,INDEX($AB$1005:$AQ$1005,1,MATCH(COLUMNS($AB$1006:AJ1006),$AB$1006:$AQ$1006,0))&gt;=100000), " ",IF(INDEX($AB$2:$AQ$1001,MATCH(ROWS($U$2:U880),$U$2:$U$1001,0),MATCH(COLUMNS($AB$1006:AJ1006),$AB$1006:$AQ$1006,0)), HYPERLINK("#",""), HYPERLINK(CONCATENATE("#metadata!", ADDRESS(INDEX($W$2:$W$1001,MATCH(ROWS($U$2:U880),$U$2:$U$1001,0),0), INDEX($AB$1004:$AQ$1004,1,MATCH(COLUMNS($AB$1006:AJ1006),$AB$1006:$AQ$1006,0)))),"Fix")))</f>
        <v>0</v>
      </c>
      <c r="K880" s="4">
        <f>IF(OR(INDEX($V$2:$V$1001,MATCH(ROWS($U$2:U880),$U$2:$U$1001,0),1)&gt;=100000,INDEX($AB$1005:$AQ$1005,1,MATCH(COLUMNS($AB$1006:AK1006),$AB$1006:$AQ$1006,0))&gt;=100000), " ",IF(INDEX($AB$2:$AQ$1001,MATCH(ROWS($U$2:U880),$U$2:$U$1001,0),MATCH(COLUMNS($AB$1006:AK1006),$AB$1006:$AQ$1006,0)), HYPERLINK("#",""), HYPERLINK(CONCATENATE("#metadata!", ADDRESS(INDEX($W$2:$W$1001,MATCH(ROWS($U$2:U880),$U$2:$U$1001,0),0), INDEX($AB$1004:$AQ$1004,1,MATCH(COLUMNS($AB$1006:AK1006),$AB$1006:$AQ$1006,0)))),"Fix")))</f>
        <v>0</v>
      </c>
      <c r="L880" s="4">
        <f>IF(OR(INDEX($V$2:$V$1001,MATCH(ROWS($U$2:U880),$U$2:$U$1001,0),1)&gt;=100000,INDEX($AB$1005:$AQ$1005,1,MATCH(COLUMNS($AB$1006:AL1006),$AB$1006:$AQ$1006,0))&gt;=100000), " ",IF(INDEX($AB$2:$AQ$1001,MATCH(ROWS($U$2:U880),$U$2:$U$1001,0),MATCH(COLUMNS($AB$1006:AL1006),$AB$1006:$AQ$1006,0)), HYPERLINK("#",""), HYPERLINK(CONCATENATE("#metadata!", ADDRESS(INDEX($W$2:$W$1001,MATCH(ROWS($U$2:U880),$U$2:$U$1001,0),0), INDEX($AB$1004:$AQ$1004,1,MATCH(COLUMNS($AB$1006:AL1006),$AB$1006:$AQ$1006,0)))),"Fix")))</f>
        <v>0</v>
      </c>
      <c r="M880" s="4">
        <f>IF(OR(INDEX($V$2:$V$1001,MATCH(ROWS($U$2:U880),$U$2:$U$1001,0),1)&gt;=100000,INDEX($AB$1005:$AQ$1005,1,MATCH(COLUMNS($AB$1006:AM1006),$AB$1006:$AQ$1006,0))&gt;=100000), " ",IF(INDEX($AB$2:$AQ$1001,MATCH(ROWS($U$2:U880),$U$2:$U$1001,0),MATCH(COLUMNS($AB$1006:AM1006),$AB$1006:$AQ$1006,0)), HYPERLINK("#",""), HYPERLINK(CONCATENATE("#metadata!", ADDRESS(INDEX($W$2:$W$1001,MATCH(ROWS($U$2:U880),$U$2:$U$1001,0),0), INDEX($AB$1004:$AQ$1004,1,MATCH(COLUMNS($AB$1006:AM1006),$AB$1006:$AQ$1006,0)))),"Fix")))</f>
        <v>0</v>
      </c>
      <c r="N880" s="4">
        <f>IF(OR(INDEX($V$2:$V$1001,MATCH(ROWS($U$2:U880),$U$2:$U$1001,0),1)&gt;=100000,INDEX($AB$1005:$AQ$1005,1,MATCH(COLUMNS($AB$1006:AN1006),$AB$1006:$AQ$1006,0))&gt;=100000), " ",IF(INDEX($AB$2:$AQ$1001,MATCH(ROWS($U$2:U880),$U$2:$U$1001,0),MATCH(COLUMNS($AB$1006:AN1006),$AB$1006:$AQ$1006,0)), HYPERLINK("#",""), HYPERLINK(CONCATENATE("#metadata!", ADDRESS(INDEX($W$2:$W$1001,MATCH(ROWS($U$2:U880),$U$2:$U$1001,0),0), INDEX($AB$1004:$AQ$1004,1,MATCH(COLUMNS($AB$1006:AN1006),$AB$1006:$AQ$1006,0)))),"Fix")))</f>
        <v>0</v>
      </c>
      <c r="O880" s="4">
        <f>IF(OR(INDEX($V$2:$V$1001,MATCH(ROWS($U$2:U880),$U$2:$U$1001,0),1)&gt;=100000,INDEX($AB$1005:$AQ$1005,1,MATCH(COLUMNS($AB$1006:AO1006),$AB$1006:$AQ$1006,0))&gt;=100000), " ",IF(INDEX($AB$2:$AQ$1001,MATCH(ROWS($U$2:U880),$U$2:$U$1001,0),MATCH(COLUMNS($AB$1006:AO1006),$AB$1006:$AQ$1006,0)), HYPERLINK("#",""), HYPERLINK(CONCATENATE("#metadata!", ADDRESS(INDEX($W$2:$W$1001,MATCH(ROWS($U$2:U880),$U$2:$U$1001,0),0), INDEX($AB$1004:$AQ$1004,1,MATCH(COLUMNS($AB$1006:AO1006),$AB$1006:$AQ$1006,0)))),"Fix")))</f>
        <v>0</v>
      </c>
      <c r="P880" s="4">
        <f>IF(OR(INDEX($V$2:$V$1001,MATCH(ROWS($U$2:U880),$U$2:$U$1001,0),1)&gt;=100000,INDEX($AB$1005:$AQ$1005,1,MATCH(COLUMNS($AB$1006:AP1006),$AB$1006:$AQ$1006,0))&gt;=100000), " ",IF(INDEX($AB$2:$AQ$1001,MATCH(ROWS($U$2:U880),$U$2:$U$1001,0),MATCH(COLUMNS($AB$1006:AP1006),$AB$1006:$AQ$1006,0)), HYPERLINK("#",""), HYPERLINK(CONCATENATE("#metadata!", ADDRESS(INDEX($W$2:$W$1001,MATCH(ROWS($U$2:U880),$U$2:$U$1001,0),0), INDEX($AB$1004:$AQ$1004,1,MATCH(COLUMNS($AB$1006:AP1006),$AB$1006:$AQ$1006,0)))),"Fix")))</f>
        <v>0</v>
      </c>
      <c r="Q880" s="4">
        <f>IF(OR(INDEX($V$2:$V$1001,MATCH(ROWS($U$2:U880),$U$2:$U$1001,0),1)&gt;=100000,INDEX($AB$1005:$AQ$1005,1,MATCH(COLUMNS($AB$1006:AQ1006),$AB$1006:$AQ$1006,0))&gt;=100000), " ",IF(INDEX($AB$2:$AQ$1001,MATCH(ROWS($U$2:U880),$U$2:$U$1001,0),MATCH(COLUMNS($AB$1006:AQ1006),$AB$1006:$AQ$1006,0)), HYPERLINK("#",""), HYPERLINK(CONCATENATE("#metadata!", ADDRESS(INDEX($W$2:$W$1001,MATCH(ROWS($U$2:U880),$U$2:$U$1001,0),0), INDEX($AB$1004:$AQ$1004,1,MATCH(COLUMNS($AB$1006:AQ1006),$AB$1006:$AQ$1006,0)))),"Fix")))</f>
        <v>0</v>
      </c>
      <c r="U880">
        <v>0</v>
      </c>
      <c r="V880">
        <v>0</v>
      </c>
      <c r="W880">
        <v>0</v>
      </c>
      <c r="X880">
        <f>IF(Y880,TRUE,AND(AB880:AQ880))</f>
        <v>0</v>
      </c>
      <c r="Y880">
        <f>COUNTBLANK(metadata!B880:Q880)=COLUMNS(metadata!B880:Q880)</f>
        <v>0</v>
      </c>
      <c r="Z880">
        <v>0</v>
      </c>
      <c r="AB880">
        <f>AND(IF(metadata!B880="",FALSE,TRUE),COUNTIF(metadata!B:B, metadata!B880) = 1,NOT(ISERROR(SUMPRODUCT(SEARCH(MID(metadata!B880,ROW(INDIRECT("1:"&amp;LEN(metadata!B880))), 1),"0123456789abcdefghijklmnopqrstuvwxyzABCDEFGHIJKLMNOPQRSTUVWXYZ.")))))</f>
        <v>0</v>
      </c>
      <c r="AC880">
        <f>OR(AND(IF(metadata!C880="",FALSE,TRUE),OR(exact(metadata!C880,"missing: not collected"),exact(metadata!C880,"missing: not provided"),exact(metadata!C880,"missing: restricted access"))),AND(IF(metadata!C880="",FALSE,TRUE),AND(AND(IFERROR(INT(LEFT(metadata!C880,4))&gt;1900,FALSE),IFERROR(INT(LEFT(metadata!C880,4))&lt;=YEAR(NOW()),FALSE)), OR(MID(metadata!C880,5,1)="", AND(AND(MID(metadata!C880,5,1)="-",IFERROR(INT(MID(metadata!C880,6,1))&gt;=0,FALSE),IFERROR(INT(MID(metadata!C880,6,1))&lt;=1,FALSE),NOT(MID(metadata!C880,7,1)=""),IFERROR(INT(MID(metadata!C880,6,2))&gt;=1,FALSE),IFERROR(INT(MID(metadata!C880,6,2))&lt;=12,FALSE)), OR(MID(metadata!C880,8,1)="", AND(AND(MID(metadata!C880,8,1)="-",IFERROR(INT(MID(metadata!C880,9,1))&gt;=0,FALSE),IFERROR(INT(MID(metadata!C880,9,1))&lt;=3,FALSE),NOT(MID(metadata!C880,10,1)=""),IFERROR(INT(MID(metadata!C880,9,2))&gt;=1,FALSE),IFERROR(INT(MID(metadata!C880,9,2))&lt;=31,FALSE)), OR(MID(metadata!C880,11,1)="", AND(AND(MID(metadata!C880,11,1)=" ",IFERROR(INT(MID(metadata!C880,12,1))&gt;=0,FALSE),IFERROR(INT(MID(metadata!C880,12,1))&lt;=2,FALSE),NOT(MID(metadata!C880,13,1)=""),IFERROR(INT(MID(metadata!C880,12,2))&gt;=0,FALSE),IFERROR(INT(MID(metadata!C880,12,2))&lt;=23,FALSE)), OR(MID(metadata!C880,14,1)="", AND(AND(MID(metadata!C880,14,1)=":",IFERROR(INT(MID(metadata!C880,15,1))&gt;=0,FALSE),IFERROR(INT(MID(metadata!C880,15,1))&lt;=5,FALSE),NOT(MID(metadata!C880,16,1)=""),IFERROR(INT(MID(metadata!C880,15,2))&gt;=0,FALSE),IFERROR(INT(MID(metadata!C880,15,2))&lt;=59,FALSE)), OR(MID(metadata!C880,17,1)="", AND(AND(MID(metadata!C880,17,1)=":",IFERROR(INT(MID(metadata!C880,18,1))&gt;=0,FALSE),IFERROR(INT(MID(metadata!C880,18,1))&lt;=5,FALSE),NOT(MID(metadata!C880,19,1)=""),IFERROR(INT(MID(metadata!C880,18,2))&gt;=0,FALSE),IFERROR(INT(MID(metadata!C880,18,2))&lt;=59,FALSE)), LEN(metadata!C880)&lt;=19)))))))))))))</f>
        <v>0</v>
      </c>
      <c r="AD880">
        <f>IF(metadata!D880="",FALSE,TRUE)</f>
        <v>0</v>
      </c>
      <c r="AE880">
        <f>OR(AND(IF(metadata!E880="",FALSE,TRUE),OR(exact(metadata!E880,"missing: not collected"),exact(metadata!E880,"missing: not provided"))),AND(IF(metadata!E880="",FALSE,TRUE),OR(exact(metadata!E880,"TRUE"),exact(metadata!E880,"FALSE"))))</f>
        <v>0</v>
      </c>
      <c r="AF880">
        <f>IF(metadata!F880="",FALSE,TRUE)</f>
        <v>0</v>
      </c>
      <c r="AG880">
        <f>IF(metadata!G880="",FALSE,TRUE)</f>
        <v>0</v>
      </c>
      <c r="AH880">
        <f>IF(metadata!H880="",FALSE,TRUE)</f>
        <v>0</v>
      </c>
      <c r="AI880">
        <f>OR(AND(IF(metadata!I880="",FALSE,TRUE),OR(exact(metadata!I880,"missing: not collected"),exact(metadata!I880,"missing: not provided"),exact(metadata!I880,"missing: restricted access"))),AND(IF(metadata!I880="",FALSE,TRUE),OR(exact(metadata!I880,"air"),exact(metadata!I880,"built environment"),exact(metadata!I880,"host-associated"),exact(metadata!I880,"human-associated"),exact(metadata!I880,"human-skin"),exact(metadata!I880,"human-oral"),exact(metadata!I880,"human-gut"),exact(metadata!I880,"human-vaginal"),exact(metadata!I880,"microbial mat/biofilm"),exact(metadata!I880,"misc environment"),exact(metadata!I880,"plant-associated"),exact(metadata!I880,"sediment"),exact(metadata!I880,"soil"),exact(metadata!I880,"wastewater/sludge"),exact(metadata!I880,"water"))))</f>
        <v>0</v>
      </c>
      <c r="AJ880">
        <f>IF(metadata!J880="",FALSE,TRUE)</f>
        <v>0</v>
      </c>
      <c r="AK880">
        <f>OR(AND(IF(metadata!K880="",FALSE,TRUE),OR(exact(metadata!K880,"missing: not collected"),exact(metadata!K880,"missing: not provided"),exact(metadata!K880,"missing: restricted access"))),AND(IF(metadata!K880="",FALSE,ISNUMBER(VALUE(metadata!K880))),metadata!K880&gt;=-90.00,metadata!K880&lt;=90.00))</f>
        <v>0</v>
      </c>
      <c r="AL880">
        <f>OR(AND(IF(metadata!L880="",FALSE,TRUE),OR(exact(metadata!L880,"missing: not collected"),exact(metadata!L880,"missing: not provided"),exact(metadata!L880,"missing: restricted access"))),AND(IF(metadata!L880="",FALSE,ISNUMBER(VALUE(metadata!L880))),metadata!L880&gt;=-180.00,metadata!L880&lt;=180.00))</f>
        <v>0</v>
      </c>
      <c r="AM880">
        <f>IF(metadata!M880="",FALSE,TRUE)</f>
        <v>0</v>
      </c>
      <c r="AN880">
        <f>OR(AND(IF(metadata!N880="",FALSE,TRUE),OR(exact(metadata!N880,"missing: not collected"),exact(metadata!N880,"missing: not provided"),exact(metadata!N880,"missing: restricted access"))),AND(IF(metadata!N880="",FALSE,TRUE),OR(exact(metadata!N880,"TRUE"),exact(metadata!N880,"FALSE"))))</f>
        <v>0</v>
      </c>
      <c r="AO880">
        <f>IF(metadata!O880="",FALSE,TRUE)</f>
        <v>0</v>
      </c>
      <c r="AP880">
        <f>OR(AND(IF(metadata!P880="",FALSE,TRUE),OR(exact(metadata!P880,"missing: not collected"),exact(metadata!P880,"missing: not provided"))),AND(IF(metadata!P880="",FALSE,IF(ISERROR(INT(metadata!P880)),FALSE,INT(metadata!P880)=metadata!P880)),metadata!P880&gt;0))</f>
        <v>0</v>
      </c>
      <c r="AQ880">
        <f>IF(metadata!Q880="",FALSE,TRUE)</f>
        <v>0</v>
      </c>
    </row>
    <row r="881" spans="1:43">
      <c r="A881" s="5">
        <f>IF(B881=" "," ",HYPERLINK(CONCATENATE("#metadata!",ADDRESS(INDEX($W$2:$W$1001,MATCH(ROWS($U$2:U881),$U$2:$U$1001,0),0),1)),INDEX($Z$2:$Z$1001,MATCH(ROWS($U$2:U881),$U$2:$U$1001,0),0)))</f>
        <v>0</v>
      </c>
      <c r="B881" s="4">
        <f>IF(OR(INDEX($V$2:$V$1001,MATCH(ROWS($U$2:U881),$U$2:$U$1001,0),1)&gt;=100000,INDEX($AB$1005:$AQ$1005,1,MATCH(COLUMNS($AB$1006:AB1006),$AB$1006:$AQ$1006,0))&gt;=100000), " ",IF(INDEX($AB$2:$AQ$1001,MATCH(ROWS($U$2:U881),$U$2:$U$1001,0),MATCH(COLUMNS($AB$1006:AB1006),$AB$1006:$AQ$1006,0)), HYPERLINK("#",""), HYPERLINK(CONCATENATE("#metadata!", ADDRESS(INDEX($W$2:$W$1001,MATCH(ROWS($U$2:U881),$U$2:$U$1001,0),0), INDEX($AB$1004:$AQ$1004,1,MATCH(COLUMNS($AB$1006:AB1006),$AB$1006:$AQ$1006,0)))),"Fix")))</f>
        <v>0</v>
      </c>
      <c r="C881" s="4">
        <f>IF(OR(INDEX($V$2:$V$1001,MATCH(ROWS($U$2:U881),$U$2:$U$1001,0),1)&gt;=100000,INDEX($AB$1005:$AQ$1005,1,MATCH(COLUMNS($AB$1006:AC1006),$AB$1006:$AQ$1006,0))&gt;=100000), " ",IF(INDEX($AB$2:$AQ$1001,MATCH(ROWS($U$2:U881),$U$2:$U$1001,0),MATCH(COLUMNS($AB$1006:AC1006),$AB$1006:$AQ$1006,0)), HYPERLINK("#",""), HYPERLINK(CONCATENATE("#metadata!", ADDRESS(INDEX($W$2:$W$1001,MATCH(ROWS($U$2:U881),$U$2:$U$1001,0),0), INDEX($AB$1004:$AQ$1004,1,MATCH(COLUMNS($AB$1006:AC1006),$AB$1006:$AQ$1006,0)))),"Fix")))</f>
        <v>0</v>
      </c>
      <c r="D881" s="4">
        <f>IF(OR(INDEX($V$2:$V$1001,MATCH(ROWS($U$2:U881),$U$2:$U$1001,0),1)&gt;=100000,INDEX($AB$1005:$AQ$1005,1,MATCH(COLUMNS($AB$1006:AD1006),$AB$1006:$AQ$1006,0))&gt;=100000), " ",IF(INDEX($AB$2:$AQ$1001,MATCH(ROWS($U$2:U881),$U$2:$U$1001,0),MATCH(COLUMNS($AB$1006:AD1006),$AB$1006:$AQ$1006,0)), HYPERLINK("#",""), HYPERLINK(CONCATENATE("#metadata!", ADDRESS(INDEX($W$2:$W$1001,MATCH(ROWS($U$2:U881),$U$2:$U$1001,0),0), INDEX($AB$1004:$AQ$1004,1,MATCH(COLUMNS($AB$1006:AD1006),$AB$1006:$AQ$1006,0)))),"Fix")))</f>
        <v>0</v>
      </c>
      <c r="E881" s="4">
        <f>IF(OR(INDEX($V$2:$V$1001,MATCH(ROWS($U$2:U881),$U$2:$U$1001,0),1)&gt;=100000,INDEX($AB$1005:$AQ$1005,1,MATCH(COLUMNS($AB$1006:AE1006),$AB$1006:$AQ$1006,0))&gt;=100000), " ",IF(INDEX($AB$2:$AQ$1001,MATCH(ROWS($U$2:U881),$U$2:$U$1001,0),MATCH(COLUMNS($AB$1006:AE1006),$AB$1006:$AQ$1006,0)), HYPERLINK("#",""), HYPERLINK(CONCATENATE("#metadata!", ADDRESS(INDEX($W$2:$W$1001,MATCH(ROWS($U$2:U881),$U$2:$U$1001,0),0), INDEX($AB$1004:$AQ$1004,1,MATCH(COLUMNS($AB$1006:AE1006),$AB$1006:$AQ$1006,0)))),"Fix")))</f>
        <v>0</v>
      </c>
      <c r="F881" s="4">
        <f>IF(OR(INDEX($V$2:$V$1001,MATCH(ROWS($U$2:U881),$U$2:$U$1001,0),1)&gt;=100000,INDEX($AB$1005:$AQ$1005,1,MATCH(COLUMNS($AB$1006:AF1006),$AB$1006:$AQ$1006,0))&gt;=100000), " ",IF(INDEX($AB$2:$AQ$1001,MATCH(ROWS($U$2:U881),$U$2:$U$1001,0),MATCH(COLUMNS($AB$1006:AF1006),$AB$1006:$AQ$1006,0)), HYPERLINK("#",""), HYPERLINK(CONCATENATE("#metadata!", ADDRESS(INDEX($W$2:$W$1001,MATCH(ROWS($U$2:U881),$U$2:$U$1001,0),0), INDEX($AB$1004:$AQ$1004,1,MATCH(COLUMNS($AB$1006:AF1006),$AB$1006:$AQ$1006,0)))),"Fix")))</f>
        <v>0</v>
      </c>
      <c r="G881" s="4">
        <f>IF(OR(INDEX($V$2:$V$1001,MATCH(ROWS($U$2:U881),$U$2:$U$1001,0),1)&gt;=100000,INDEX($AB$1005:$AQ$1005,1,MATCH(COLUMNS($AB$1006:AG1006),$AB$1006:$AQ$1006,0))&gt;=100000), " ",IF(INDEX($AB$2:$AQ$1001,MATCH(ROWS($U$2:U881),$U$2:$U$1001,0),MATCH(COLUMNS($AB$1006:AG1006),$AB$1006:$AQ$1006,0)), HYPERLINK("#",""), HYPERLINK(CONCATENATE("#metadata!", ADDRESS(INDEX($W$2:$W$1001,MATCH(ROWS($U$2:U881),$U$2:$U$1001,0),0), INDEX($AB$1004:$AQ$1004,1,MATCH(COLUMNS($AB$1006:AG1006),$AB$1006:$AQ$1006,0)))),"Fix")))</f>
        <v>0</v>
      </c>
      <c r="H881" s="4">
        <f>IF(OR(INDEX($V$2:$V$1001,MATCH(ROWS($U$2:U881),$U$2:$U$1001,0),1)&gt;=100000,INDEX($AB$1005:$AQ$1005,1,MATCH(COLUMNS($AB$1006:AH1006),$AB$1006:$AQ$1006,0))&gt;=100000), " ",IF(INDEX($AB$2:$AQ$1001,MATCH(ROWS($U$2:U881),$U$2:$U$1001,0),MATCH(COLUMNS($AB$1006:AH1006),$AB$1006:$AQ$1006,0)), HYPERLINK("#",""), HYPERLINK(CONCATENATE("#metadata!", ADDRESS(INDEX($W$2:$W$1001,MATCH(ROWS($U$2:U881),$U$2:$U$1001,0),0), INDEX($AB$1004:$AQ$1004,1,MATCH(COLUMNS($AB$1006:AH1006),$AB$1006:$AQ$1006,0)))),"Fix")))</f>
        <v>0</v>
      </c>
      <c r="I881" s="4">
        <f>IF(OR(INDEX($V$2:$V$1001,MATCH(ROWS($U$2:U881),$U$2:$U$1001,0),1)&gt;=100000,INDEX($AB$1005:$AQ$1005,1,MATCH(COLUMNS($AB$1006:AI1006),$AB$1006:$AQ$1006,0))&gt;=100000), " ",IF(INDEX($AB$2:$AQ$1001,MATCH(ROWS($U$2:U881),$U$2:$U$1001,0),MATCH(COLUMNS($AB$1006:AI1006),$AB$1006:$AQ$1006,0)), HYPERLINK("#",""), HYPERLINK(CONCATENATE("#metadata!", ADDRESS(INDEX($W$2:$W$1001,MATCH(ROWS($U$2:U881),$U$2:$U$1001,0),0), INDEX($AB$1004:$AQ$1004,1,MATCH(COLUMNS($AB$1006:AI1006),$AB$1006:$AQ$1006,0)))),"Fix")))</f>
        <v>0</v>
      </c>
      <c r="J881" s="4">
        <f>IF(OR(INDEX($V$2:$V$1001,MATCH(ROWS($U$2:U881),$U$2:$U$1001,0),1)&gt;=100000,INDEX($AB$1005:$AQ$1005,1,MATCH(COLUMNS($AB$1006:AJ1006),$AB$1006:$AQ$1006,0))&gt;=100000), " ",IF(INDEX($AB$2:$AQ$1001,MATCH(ROWS($U$2:U881),$U$2:$U$1001,0),MATCH(COLUMNS($AB$1006:AJ1006),$AB$1006:$AQ$1006,0)), HYPERLINK("#",""), HYPERLINK(CONCATENATE("#metadata!", ADDRESS(INDEX($W$2:$W$1001,MATCH(ROWS($U$2:U881),$U$2:$U$1001,0),0), INDEX($AB$1004:$AQ$1004,1,MATCH(COLUMNS($AB$1006:AJ1006),$AB$1006:$AQ$1006,0)))),"Fix")))</f>
        <v>0</v>
      </c>
      <c r="K881" s="4">
        <f>IF(OR(INDEX($V$2:$V$1001,MATCH(ROWS($U$2:U881),$U$2:$U$1001,0),1)&gt;=100000,INDEX($AB$1005:$AQ$1005,1,MATCH(COLUMNS($AB$1006:AK1006),$AB$1006:$AQ$1006,0))&gt;=100000), " ",IF(INDEX($AB$2:$AQ$1001,MATCH(ROWS($U$2:U881),$U$2:$U$1001,0),MATCH(COLUMNS($AB$1006:AK1006),$AB$1006:$AQ$1006,0)), HYPERLINK("#",""), HYPERLINK(CONCATENATE("#metadata!", ADDRESS(INDEX($W$2:$W$1001,MATCH(ROWS($U$2:U881),$U$2:$U$1001,0),0), INDEX($AB$1004:$AQ$1004,1,MATCH(COLUMNS($AB$1006:AK1006),$AB$1006:$AQ$1006,0)))),"Fix")))</f>
        <v>0</v>
      </c>
      <c r="L881" s="4">
        <f>IF(OR(INDEX($V$2:$V$1001,MATCH(ROWS($U$2:U881),$U$2:$U$1001,0),1)&gt;=100000,INDEX($AB$1005:$AQ$1005,1,MATCH(COLUMNS($AB$1006:AL1006),$AB$1006:$AQ$1006,0))&gt;=100000), " ",IF(INDEX($AB$2:$AQ$1001,MATCH(ROWS($U$2:U881),$U$2:$U$1001,0),MATCH(COLUMNS($AB$1006:AL1006),$AB$1006:$AQ$1006,0)), HYPERLINK("#",""), HYPERLINK(CONCATENATE("#metadata!", ADDRESS(INDEX($W$2:$W$1001,MATCH(ROWS($U$2:U881),$U$2:$U$1001,0),0), INDEX($AB$1004:$AQ$1004,1,MATCH(COLUMNS($AB$1006:AL1006),$AB$1006:$AQ$1006,0)))),"Fix")))</f>
        <v>0</v>
      </c>
      <c r="M881" s="4">
        <f>IF(OR(INDEX($V$2:$V$1001,MATCH(ROWS($U$2:U881),$U$2:$U$1001,0),1)&gt;=100000,INDEX($AB$1005:$AQ$1005,1,MATCH(COLUMNS($AB$1006:AM1006),$AB$1006:$AQ$1006,0))&gt;=100000), " ",IF(INDEX($AB$2:$AQ$1001,MATCH(ROWS($U$2:U881),$U$2:$U$1001,0),MATCH(COLUMNS($AB$1006:AM1006),$AB$1006:$AQ$1006,0)), HYPERLINK("#",""), HYPERLINK(CONCATENATE("#metadata!", ADDRESS(INDEX($W$2:$W$1001,MATCH(ROWS($U$2:U881),$U$2:$U$1001,0),0), INDEX($AB$1004:$AQ$1004,1,MATCH(COLUMNS($AB$1006:AM1006),$AB$1006:$AQ$1006,0)))),"Fix")))</f>
        <v>0</v>
      </c>
      <c r="N881" s="4">
        <f>IF(OR(INDEX($V$2:$V$1001,MATCH(ROWS($U$2:U881),$U$2:$U$1001,0),1)&gt;=100000,INDEX($AB$1005:$AQ$1005,1,MATCH(COLUMNS($AB$1006:AN1006),$AB$1006:$AQ$1006,0))&gt;=100000), " ",IF(INDEX($AB$2:$AQ$1001,MATCH(ROWS($U$2:U881),$U$2:$U$1001,0),MATCH(COLUMNS($AB$1006:AN1006),$AB$1006:$AQ$1006,0)), HYPERLINK("#",""), HYPERLINK(CONCATENATE("#metadata!", ADDRESS(INDEX($W$2:$W$1001,MATCH(ROWS($U$2:U881),$U$2:$U$1001,0),0), INDEX($AB$1004:$AQ$1004,1,MATCH(COLUMNS($AB$1006:AN1006),$AB$1006:$AQ$1006,0)))),"Fix")))</f>
        <v>0</v>
      </c>
      <c r="O881" s="4">
        <f>IF(OR(INDEX($V$2:$V$1001,MATCH(ROWS($U$2:U881),$U$2:$U$1001,0),1)&gt;=100000,INDEX($AB$1005:$AQ$1005,1,MATCH(COLUMNS($AB$1006:AO1006),$AB$1006:$AQ$1006,0))&gt;=100000), " ",IF(INDEX($AB$2:$AQ$1001,MATCH(ROWS($U$2:U881),$U$2:$U$1001,0),MATCH(COLUMNS($AB$1006:AO1006),$AB$1006:$AQ$1006,0)), HYPERLINK("#",""), HYPERLINK(CONCATENATE("#metadata!", ADDRESS(INDEX($W$2:$W$1001,MATCH(ROWS($U$2:U881),$U$2:$U$1001,0),0), INDEX($AB$1004:$AQ$1004,1,MATCH(COLUMNS($AB$1006:AO1006),$AB$1006:$AQ$1006,0)))),"Fix")))</f>
        <v>0</v>
      </c>
      <c r="P881" s="4">
        <f>IF(OR(INDEX($V$2:$V$1001,MATCH(ROWS($U$2:U881),$U$2:$U$1001,0),1)&gt;=100000,INDEX($AB$1005:$AQ$1005,1,MATCH(COLUMNS($AB$1006:AP1006),$AB$1006:$AQ$1006,0))&gt;=100000), " ",IF(INDEX($AB$2:$AQ$1001,MATCH(ROWS($U$2:U881),$U$2:$U$1001,0),MATCH(COLUMNS($AB$1006:AP1006),$AB$1006:$AQ$1006,0)), HYPERLINK("#",""), HYPERLINK(CONCATENATE("#metadata!", ADDRESS(INDEX($W$2:$W$1001,MATCH(ROWS($U$2:U881),$U$2:$U$1001,0),0), INDEX($AB$1004:$AQ$1004,1,MATCH(COLUMNS($AB$1006:AP1006),$AB$1006:$AQ$1006,0)))),"Fix")))</f>
        <v>0</v>
      </c>
      <c r="Q881" s="4">
        <f>IF(OR(INDEX($V$2:$V$1001,MATCH(ROWS($U$2:U881),$U$2:$U$1001,0),1)&gt;=100000,INDEX($AB$1005:$AQ$1005,1,MATCH(COLUMNS($AB$1006:AQ1006),$AB$1006:$AQ$1006,0))&gt;=100000), " ",IF(INDEX($AB$2:$AQ$1001,MATCH(ROWS($U$2:U881),$U$2:$U$1001,0),MATCH(COLUMNS($AB$1006:AQ1006),$AB$1006:$AQ$1006,0)), HYPERLINK("#",""), HYPERLINK(CONCATENATE("#metadata!", ADDRESS(INDEX($W$2:$W$1001,MATCH(ROWS($U$2:U881),$U$2:$U$1001,0),0), INDEX($AB$1004:$AQ$1004,1,MATCH(COLUMNS($AB$1006:AQ1006),$AB$1006:$AQ$1006,0)))),"Fix")))</f>
        <v>0</v>
      </c>
      <c r="U881">
        <v>0</v>
      </c>
      <c r="V881">
        <v>0</v>
      </c>
      <c r="W881">
        <v>0</v>
      </c>
      <c r="X881">
        <f>IF(Y881,TRUE,AND(AB881:AQ881))</f>
        <v>0</v>
      </c>
      <c r="Y881">
        <f>COUNTBLANK(metadata!B881:Q881)=COLUMNS(metadata!B881:Q881)</f>
        <v>0</v>
      </c>
      <c r="Z881">
        <v>0</v>
      </c>
      <c r="AB881">
        <f>AND(IF(metadata!B881="",FALSE,TRUE),COUNTIF(metadata!B:B, metadata!B881) = 1,NOT(ISERROR(SUMPRODUCT(SEARCH(MID(metadata!B881,ROW(INDIRECT("1:"&amp;LEN(metadata!B881))), 1),"0123456789abcdefghijklmnopqrstuvwxyzABCDEFGHIJKLMNOPQRSTUVWXYZ.")))))</f>
        <v>0</v>
      </c>
      <c r="AC881">
        <f>OR(AND(IF(metadata!C881="",FALSE,TRUE),OR(exact(metadata!C881,"missing: not collected"),exact(metadata!C881,"missing: not provided"),exact(metadata!C881,"missing: restricted access"))),AND(IF(metadata!C881="",FALSE,TRUE),AND(AND(IFERROR(INT(LEFT(metadata!C881,4))&gt;1900,FALSE),IFERROR(INT(LEFT(metadata!C881,4))&lt;=YEAR(NOW()),FALSE)), OR(MID(metadata!C881,5,1)="", AND(AND(MID(metadata!C881,5,1)="-",IFERROR(INT(MID(metadata!C881,6,1))&gt;=0,FALSE),IFERROR(INT(MID(metadata!C881,6,1))&lt;=1,FALSE),NOT(MID(metadata!C881,7,1)=""),IFERROR(INT(MID(metadata!C881,6,2))&gt;=1,FALSE),IFERROR(INT(MID(metadata!C881,6,2))&lt;=12,FALSE)), OR(MID(metadata!C881,8,1)="", AND(AND(MID(metadata!C881,8,1)="-",IFERROR(INT(MID(metadata!C881,9,1))&gt;=0,FALSE),IFERROR(INT(MID(metadata!C881,9,1))&lt;=3,FALSE),NOT(MID(metadata!C881,10,1)=""),IFERROR(INT(MID(metadata!C881,9,2))&gt;=1,FALSE),IFERROR(INT(MID(metadata!C881,9,2))&lt;=31,FALSE)), OR(MID(metadata!C881,11,1)="", AND(AND(MID(metadata!C881,11,1)=" ",IFERROR(INT(MID(metadata!C881,12,1))&gt;=0,FALSE),IFERROR(INT(MID(metadata!C881,12,1))&lt;=2,FALSE),NOT(MID(metadata!C881,13,1)=""),IFERROR(INT(MID(metadata!C881,12,2))&gt;=0,FALSE),IFERROR(INT(MID(metadata!C881,12,2))&lt;=23,FALSE)), OR(MID(metadata!C881,14,1)="", AND(AND(MID(metadata!C881,14,1)=":",IFERROR(INT(MID(metadata!C881,15,1))&gt;=0,FALSE),IFERROR(INT(MID(metadata!C881,15,1))&lt;=5,FALSE),NOT(MID(metadata!C881,16,1)=""),IFERROR(INT(MID(metadata!C881,15,2))&gt;=0,FALSE),IFERROR(INT(MID(metadata!C881,15,2))&lt;=59,FALSE)), OR(MID(metadata!C881,17,1)="", AND(AND(MID(metadata!C881,17,1)=":",IFERROR(INT(MID(metadata!C881,18,1))&gt;=0,FALSE),IFERROR(INT(MID(metadata!C881,18,1))&lt;=5,FALSE),NOT(MID(metadata!C881,19,1)=""),IFERROR(INT(MID(metadata!C881,18,2))&gt;=0,FALSE),IFERROR(INT(MID(metadata!C881,18,2))&lt;=59,FALSE)), LEN(metadata!C881)&lt;=19)))))))))))))</f>
        <v>0</v>
      </c>
      <c r="AD881">
        <f>IF(metadata!D881="",FALSE,TRUE)</f>
        <v>0</v>
      </c>
      <c r="AE881">
        <f>OR(AND(IF(metadata!E881="",FALSE,TRUE),OR(exact(metadata!E881,"missing: not collected"),exact(metadata!E881,"missing: not provided"))),AND(IF(metadata!E881="",FALSE,TRUE),OR(exact(metadata!E881,"TRUE"),exact(metadata!E881,"FALSE"))))</f>
        <v>0</v>
      </c>
      <c r="AF881">
        <f>IF(metadata!F881="",FALSE,TRUE)</f>
        <v>0</v>
      </c>
      <c r="AG881">
        <f>IF(metadata!G881="",FALSE,TRUE)</f>
        <v>0</v>
      </c>
      <c r="AH881">
        <f>IF(metadata!H881="",FALSE,TRUE)</f>
        <v>0</v>
      </c>
      <c r="AI881">
        <f>OR(AND(IF(metadata!I881="",FALSE,TRUE),OR(exact(metadata!I881,"missing: not collected"),exact(metadata!I881,"missing: not provided"),exact(metadata!I881,"missing: restricted access"))),AND(IF(metadata!I881="",FALSE,TRUE),OR(exact(metadata!I881,"air"),exact(metadata!I881,"built environment"),exact(metadata!I881,"host-associated"),exact(metadata!I881,"human-associated"),exact(metadata!I881,"human-skin"),exact(metadata!I881,"human-oral"),exact(metadata!I881,"human-gut"),exact(metadata!I881,"human-vaginal"),exact(metadata!I881,"microbial mat/biofilm"),exact(metadata!I881,"misc environment"),exact(metadata!I881,"plant-associated"),exact(metadata!I881,"sediment"),exact(metadata!I881,"soil"),exact(metadata!I881,"wastewater/sludge"),exact(metadata!I881,"water"))))</f>
        <v>0</v>
      </c>
      <c r="AJ881">
        <f>IF(metadata!J881="",FALSE,TRUE)</f>
        <v>0</v>
      </c>
      <c r="AK881">
        <f>OR(AND(IF(metadata!K881="",FALSE,TRUE),OR(exact(metadata!K881,"missing: not collected"),exact(metadata!K881,"missing: not provided"),exact(metadata!K881,"missing: restricted access"))),AND(IF(metadata!K881="",FALSE,ISNUMBER(VALUE(metadata!K881))),metadata!K881&gt;=-90.00,metadata!K881&lt;=90.00))</f>
        <v>0</v>
      </c>
      <c r="AL881">
        <f>OR(AND(IF(metadata!L881="",FALSE,TRUE),OR(exact(metadata!L881,"missing: not collected"),exact(metadata!L881,"missing: not provided"),exact(metadata!L881,"missing: restricted access"))),AND(IF(metadata!L881="",FALSE,ISNUMBER(VALUE(metadata!L881))),metadata!L881&gt;=-180.00,metadata!L881&lt;=180.00))</f>
        <v>0</v>
      </c>
      <c r="AM881">
        <f>IF(metadata!M881="",FALSE,TRUE)</f>
        <v>0</v>
      </c>
      <c r="AN881">
        <f>OR(AND(IF(metadata!N881="",FALSE,TRUE),OR(exact(metadata!N881,"missing: not collected"),exact(metadata!N881,"missing: not provided"),exact(metadata!N881,"missing: restricted access"))),AND(IF(metadata!N881="",FALSE,TRUE),OR(exact(metadata!N881,"TRUE"),exact(metadata!N881,"FALSE"))))</f>
        <v>0</v>
      </c>
      <c r="AO881">
        <f>IF(metadata!O881="",FALSE,TRUE)</f>
        <v>0</v>
      </c>
      <c r="AP881">
        <f>OR(AND(IF(metadata!P881="",FALSE,TRUE),OR(exact(metadata!P881,"missing: not collected"),exact(metadata!P881,"missing: not provided"))),AND(IF(metadata!P881="",FALSE,IF(ISERROR(INT(metadata!P881)),FALSE,INT(metadata!P881)=metadata!P881)),metadata!P881&gt;0))</f>
        <v>0</v>
      </c>
      <c r="AQ881">
        <f>IF(metadata!Q881="",FALSE,TRUE)</f>
        <v>0</v>
      </c>
    </row>
    <row r="882" spans="1:43">
      <c r="A882" s="5">
        <f>IF(B882=" "," ",HYPERLINK(CONCATENATE("#metadata!",ADDRESS(INDEX($W$2:$W$1001,MATCH(ROWS($U$2:U882),$U$2:$U$1001,0),0),1)),INDEX($Z$2:$Z$1001,MATCH(ROWS($U$2:U882),$U$2:$U$1001,0),0)))</f>
        <v>0</v>
      </c>
      <c r="B882" s="4">
        <f>IF(OR(INDEX($V$2:$V$1001,MATCH(ROWS($U$2:U882),$U$2:$U$1001,0),1)&gt;=100000,INDEX($AB$1005:$AQ$1005,1,MATCH(COLUMNS($AB$1006:AB1006),$AB$1006:$AQ$1006,0))&gt;=100000), " ",IF(INDEX($AB$2:$AQ$1001,MATCH(ROWS($U$2:U882),$U$2:$U$1001,0),MATCH(COLUMNS($AB$1006:AB1006),$AB$1006:$AQ$1006,0)), HYPERLINK("#",""), HYPERLINK(CONCATENATE("#metadata!", ADDRESS(INDEX($W$2:$W$1001,MATCH(ROWS($U$2:U882),$U$2:$U$1001,0),0), INDEX($AB$1004:$AQ$1004,1,MATCH(COLUMNS($AB$1006:AB1006),$AB$1006:$AQ$1006,0)))),"Fix")))</f>
        <v>0</v>
      </c>
      <c r="C882" s="4">
        <f>IF(OR(INDEX($V$2:$V$1001,MATCH(ROWS($U$2:U882),$U$2:$U$1001,0),1)&gt;=100000,INDEX($AB$1005:$AQ$1005,1,MATCH(COLUMNS($AB$1006:AC1006),$AB$1006:$AQ$1006,0))&gt;=100000), " ",IF(INDEX($AB$2:$AQ$1001,MATCH(ROWS($U$2:U882),$U$2:$U$1001,0),MATCH(COLUMNS($AB$1006:AC1006),$AB$1006:$AQ$1006,0)), HYPERLINK("#",""), HYPERLINK(CONCATENATE("#metadata!", ADDRESS(INDEX($W$2:$W$1001,MATCH(ROWS($U$2:U882),$U$2:$U$1001,0),0), INDEX($AB$1004:$AQ$1004,1,MATCH(COLUMNS($AB$1006:AC1006),$AB$1006:$AQ$1006,0)))),"Fix")))</f>
        <v>0</v>
      </c>
      <c r="D882" s="4">
        <f>IF(OR(INDEX($V$2:$V$1001,MATCH(ROWS($U$2:U882),$U$2:$U$1001,0),1)&gt;=100000,INDEX($AB$1005:$AQ$1005,1,MATCH(COLUMNS($AB$1006:AD1006),$AB$1006:$AQ$1006,0))&gt;=100000), " ",IF(INDEX($AB$2:$AQ$1001,MATCH(ROWS($U$2:U882),$U$2:$U$1001,0),MATCH(COLUMNS($AB$1006:AD1006),$AB$1006:$AQ$1006,0)), HYPERLINK("#",""), HYPERLINK(CONCATENATE("#metadata!", ADDRESS(INDEX($W$2:$W$1001,MATCH(ROWS($U$2:U882),$U$2:$U$1001,0),0), INDEX($AB$1004:$AQ$1004,1,MATCH(COLUMNS($AB$1006:AD1006),$AB$1006:$AQ$1006,0)))),"Fix")))</f>
        <v>0</v>
      </c>
      <c r="E882" s="4">
        <f>IF(OR(INDEX($V$2:$V$1001,MATCH(ROWS($U$2:U882),$U$2:$U$1001,0),1)&gt;=100000,INDEX($AB$1005:$AQ$1005,1,MATCH(COLUMNS($AB$1006:AE1006),$AB$1006:$AQ$1006,0))&gt;=100000), " ",IF(INDEX($AB$2:$AQ$1001,MATCH(ROWS($U$2:U882),$U$2:$U$1001,0),MATCH(COLUMNS($AB$1006:AE1006),$AB$1006:$AQ$1006,0)), HYPERLINK("#",""), HYPERLINK(CONCATENATE("#metadata!", ADDRESS(INDEX($W$2:$W$1001,MATCH(ROWS($U$2:U882),$U$2:$U$1001,0),0), INDEX($AB$1004:$AQ$1004,1,MATCH(COLUMNS($AB$1006:AE1006),$AB$1006:$AQ$1006,0)))),"Fix")))</f>
        <v>0</v>
      </c>
      <c r="F882" s="4">
        <f>IF(OR(INDEX($V$2:$V$1001,MATCH(ROWS($U$2:U882),$U$2:$U$1001,0),1)&gt;=100000,INDEX($AB$1005:$AQ$1005,1,MATCH(COLUMNS($AB$1006:AF1006),$AB$1006:$AQ$1006,0))&gt;=100000), " ",IF(INDEX($AB$2:$AQ$1001,MATCH(ROWS($U$2:U882),$U$2:$U$1001,0),MATCH(COLUMNS($AB$1006:AF1006),$AB$1006:$AQ$1006,0)), HYPERLINK("#",""), HYPERLINK(CONCATENATE("#metadata!", ADDRESS(INDEX($W$2:$W$1001,MATCH(ROWS($U$2:U882),$U$2:$U$1001,0),0), INDEX($AB$1004:$AQ$1004,1,MATCH(COLUMNS($AB$1006:AF1006),$AB$1006:$AQ$1006,0)))),"Fix")))</f>
        <v>0</v>
      </c>
      <c r="G882" s="4">
        <f>IF(OR(INDEX($V$2:$V$1001,MATCH(ROWS($U$2:U882),$U$2:$U$1001,0),1)&gt;=100000,INDEX($AB$1005:$AQ$1005,1,MATCH(COLUMNS($AB$1006:AG1006),$AB$1006:$AQ$1006,0))&gt;=100000), " ",IF(INDEX($AB$2:$AQ$1001,MATCH(ROWS($U$2:U882),$U$2:$U$1001,0),MATCH(COLUMNS($AB$1006:AG1006),$AB$1006:$AQ$1006,0)), HYPERLINK("#",""), HYPERLINK(CONCATENATE("#metadata!", ADDRESS(INDEX($W$2:$W$1001,MATCH(ROWS($U$2:U882),$U$2:$U$1001,0),0), INDEX($AB$1004:$AQ$1004,1,MATCH(COLUMNS($AB$1006:AG1006),$AB$1006:$AQ$1006,0)))),"Fix")))</f>
        <v>0</v>
      </c>
      <c r="H882" s="4">
        <f>IF(OR(INDEX($V$2:$V$1001,MATCH(ROWS($U$2:U882),$U$2:$U$1001,0),1)&gt;=100000,INDEX($AB$1005:$AQ$1005,1,MATCH(COLUMNS($AB$1006:AH1006),$AB$1006:$AQ$1006,0))&gt;=100000), " ",IF(INDEX($AB$2:$AQ$1001,MATCH(ROWS($U$2:U882),$U$2:$U$1001,0),MATCH(COLUMNS($AB$1006:AH1006),$AB$1006:$AQ$1006,0)), HYPERLINK("#",""), HYPERLINK(CONCATENATE("#metadata!", ADDRESS(INDEX($W$2:$W$1001,MATCH(ROWS($U$2:U882),$U$2:$U$1001,0),0), INDEX($AB$1004:$AQ$1004,1,MATCH(COLUMNS($AB$1006:AH1006),$AB$1006:$AQ$1006,0)))),"Fix")))</f>
        <v>0</v>
      </c>
      <c r="I882" s="4">
        <f>IF(OR(INDEX($V$2:$V$1001,MATCH(ROWS($U$2:U882),$U$2:$U$1001,0),1)&gt;=100000,INDEX($AB$1005:$AQ$1005,1,MATCH(COLUMNS($AB$1006:AI1006),$AB$1006:$AQ$1006,0))&gt;=100000), " ",IF(INDEX($AB$2:$AQ$1001,MATCH(ROWS($U$2:U882),$U$2:$U$1001,0),MATCH(COLUMNS($AB$1006:AI1006),$AB$1006:$AQ$1006,0)), HYPERLINK("#",""), HYPERLINK(CONCATENATE("#metadata!", ADDRESS(INDEX($W$2:$W$1001,MATCH(ROWS($U$2:U882),$U$2:$U$1001,0),0), INDEX($AB$1004:$AQ$1004,1,MATCH(COLUMNS($AB$1006:AI1006),$AB$1006:$AQ$1006,0)))),"Fix")))</f>
        <v>0</v>
      </c>
      <c r="J882" s="4">
        <f>IF(OR(INDEX($V$2:$V$1001,MATCH(ROWS($U$2:U882),$U$2:$U$1001,0),1)&gt;=100000,INDEX($AB$1005:$AQ$1005,1,MATCH(COLUMNS($AB$1006:AJ1006),$AB$1006:$AQ$1006,0))&gt;=100000), " ",IF(INDEX($AB$2:$AQ$1001,MATCH(ROWS($U$2:U882),$U$2:$U$1001,0),MATCH(COLUMNS($AB$1006:AJ1006),$AB$1006:$AQ$1006,0)), HYPERLINK("#",""), HYPERLINK(CONCATENATE("#metadata!", ADDRESS(INDEX($W$2:$W$1001,MATCH(ROWS($U$2:U882),$U$2:$U$1001,0),0), INDEX($AB$1004:$AQ$1004,1,MATCH(COLUMNS($AB$1006:AJ1006),$AB$1006:$AQ$1006,0)))),"Fix")))</f>
        <v>0</v>
      </c>
      <c r="K882" s="4">
        <f>IF(OR(INDEX($V$2:$V$1001,MATCH(ROWS($U$2:U882),$U$2:$U$1001,0),1)&gt;=100000,INDEX($AB$1005:$AQ$1005,1,MATCH(COLUMNS($AB$1006:AK1006),$AB$1006:$AQ$1006,0))&gt;=100000), " ",IF(INDEX($AB$2:$AQ$1001,MATCH(ROWS($U$2:U882),$U$2:$U$1001,0),MATCH(COLUMNS($AB$1006:AK1006),$AB$1006:$AQ$1006,0)), HYPERLINK("#",""), HYPERLINK(CONCATENATE("#metadata!", ADDRESS(INDEX($W$2:$W$1001,MATCH(ROWS($U$2:U882),$U$2:$U$1001,0),0), INDEX($AB$1004:$AQ$1004,1,MATCH(COLUMNS($AB$1006:AK1006),$AB$1006:$AQ$1006,0)))),"Fix")))</f>
        <v>0</v>
      </c>
      <c r="L882" s="4">
        <f>IF(OR(INDEX($V$2:$V$1001,MATCH(ROWS($U$2:U882),$U$2:$U$1001,0),1)&gt;=100000,INDEX($AB$1005:$AQ$1005,1,MATCH(COLUMNS($AB$1006:AL1006),$AB$1006:$AQ$1006,0))&gt;=100000), " ",IF(INDEX($AB$2:$AQ$1001,MATCH(ROWS($U$2:U882),$U$2:$U$1001,0),MATCH(COLUMNS($AB$1006:AL1006),$AB$1006:$AQ$1006,0)), HYPERLINK("#",""), HYPERLINK(CONCATENATE("#metadata!", ADDRESS(INDEX($W$2:$W$1001,MATCH(ROWS($U$2:U882),$U$2:$U$1001,0),0), INDEX($AB$1004:$AQ$1004,1,MATCH(COLUMNS($AB$1006:AL1006),$AB$1006:$AQ$1006,0)))),"Fix")))</f>
        <v>0</v>
      </c>
      <c r="M882" s="4">
        <f>IF(OR(INDEX($V$2:$V$1001,MATCH(ROWS($U$2:U882),$U$2:$U$1001,0),1)&gt;=100000,INDEX($AB$1005:$AQ$1005,1,MATCH(COLUMNS($AB$1006:AM1006),$AB$1006:$AQ$1006,0))&gt;=100000), " ",IF(INDEX($AB$2:$AQ$1001,MATCH(ROWS($U$2:U882),$U$2:$U$1001,0),MATCH(COLUMNS($AB$1006:AM1006),$AB$1006:$AQ$1006,0)), HYPERLINK("#",""), HYPERLINK(CONCATENATE("#metadata!", ADDRESS(INDEX($W$2:$W$1001,MATCH(ROWS($U$2:U882),$U$2:$U$1001,0),0), INDEX($AB$1004:$AQ$1004,1,MATCH(COLUMNS($AB$1006:AM1006),$AB$1006:$AQ$1006,0)))),"Fix")))</f>
        <v>0</v>
      </c>
      <c r="N882" s="4">
        <f>IF(OR(INDEX($V$2:$V$1001,MATCH(ROWS($U$2:U882),$U$2:$U$1001,0),1)&gt;=100000,INDEX($AB$1005:$AQ$1005,1,MATCH(COLUMNS($AB$1006:AN1006),$AB$1006:$AQ$1006,0))&gt;=100000), " ",IF(INDEX($AB$2:$AQ$1001,MATCH(ROWS($U$2:U882),$U$2:$U$1001,0),MATCH(COLUMNS($AB$1006:AN1006),$AB$1006:$AQ$1006,0)), HYPERLINK("#",""), HYPERLINK(CONCATENATE("#metadata!", ADDRESS(INDEX($W$2:$W$1001,MATCH(ROWS($U$2:U882),$U$2:$U$1001,0),0), INDEX($AB$1004:$AQ$1004,1,MATCH(COLUMNS($AB$1006:AN1006),$AB$1006:$AQ$1006,0)))),"Fix")))</f>
        <v>0</v>
      </c>
      <c r="O882" s="4">
        <f>IF(OR(INDEX($V$2:$V$1001,MATCH(ROWS($U$2:U882),$U$2:$U$1001,0),1)&gt;=100000,INDEX($AB$1005:$AQ$1005,1,MATCH(COLUMNS($AB$1006:AO1006),$AB$1006:$AQ$1006,0))&gt;=100000), " ",IF(INDEX($AB$2:$AQ$1001,MATCH(ROWS($U$2:U882),$U$2:$U$1001,0),MATCH(COLUMNS($AB$1006:AO1006),$AB$1006:$AQ$1006,0)), HYPERLINK("#",""), HYPERLINK(CONCATENATE("#metadata!", ADDRESS(INDEX($W$2:$W$1001,MATCH(ROWS($U$2:U882),$U$2:$U$1001,0),0), INDEX($AB$1004:$AQ$1004,1,MATCH(COLUMNS($AB$1006:AO1006),$AB$1006:$AQ$1006,0)))),"Fix")))</f>
        <v>0</v>
      </c>
      <c r="P882" s="4">
        <f>IF(OR(INDEX($V$2:$V$1001,MATCH(ROWS($U$2:U882),$U$2:$U$1001,0),1)&gt;=100000,INDEX($AB$1005:$AQ$1005,1,MATCH(COLUMNS($AB$1006:AP1006),$AB$1006:$AQ$1006,0))&gt;=100000), " ",IF(INDEX($AB$2:$AQ$1001,MATCH(ROWS($U$2:U882),$U$2:$U$1001,0),MATCH(COLUMNS($AB$1006:AP1006),$AB$1006:$AQ$1006,0)), HYPERLINK("#",""), HYPERLINK(CONCATENATE("#metadata!", ADDRESS(INDEX($W$2:$W$1001,MATCH(ROWS($U$2:U882),$U$2:$U$1001,0),0), INDEX($AB$1004:$AQ$1004,1,MATCH(COLUMNS($AB$1006:AP1006),$AB$1006:$AQ$1006,0)))),"Fix")))</f>
        <v>0</v>
      </c>
      <c r="Q882" s="4">
        <f>IF(OR(INDEX($V$2:$V$1001,MATCH(ROWS($U$2:U882),$U$2:$U$1001,0),1)&gt;=100000,INDEX($AB$1005:$AQ$1005,1,MATCH(COLUMNS($AB$1006:AQ1006),$AB$1006:$AQ$1006,0))&gt;=100000), " ",IF(INDEX($AB$2:$AQ$1001,MATCH(ROWS($U$2:U882),$U$2:$U$1001,0),MATCH(COLUMNS($AB$1006:AQ1006),$AB$1006:$AQ$1006,0)), HYPERLINK("#",""), HYPERLINK(CONCATENATE("#metadata!", ADDRESS(INDEX($W$2:$W$1001,MATCH(ROWS($U$2:U882),$U$2:$U$1001,0),0), INDEX($AB$1004:$AQ$1004,1,MATCH(COLUMNS($AB$1006:AQ1006),$AB$1006:$AQ$1006,0)))),"Fix")))</f>
        <v>0</v>
      </c>
      <c r="U882">
        <v>0</v>
      </c>
      <c r="V882">
        <v>0</v>
      </c>
      <c r="W882">
        <v>0</v>
      </c>
      <c r="X882">
        <f>IF(Y882,TRUE,AND(AB882:AQ882))</f>
        <v>0</v>
      </c>
      <c r="Y882">
        <f>COUNTBLANK(metadata!B882:Q882)=COLUMNS(metadata!B882:Q882)</f>
        <v>0</v>
      </c>
      <c r="Z882">
        <v>0</v>
      </c>
      <c r="AB882">
        <f>AND(IF(metadata!B882="",FALSE,TRUE),COUNTIF(metadata!B:B, metadata!B882) = 1,NOT(ISERROR(SUMPRODUCT(SEARCH(MID(metadata!B882,ROW(INDIRECT("1:"&amp;LEN(metadata!B882))), 1),"0123456789abcdefghijklmnopqrstuvwxyzABCDEFGHIJKLMNOPQRSTUVWXYZ.")))))</f>
        <v>0</v>
      </c>
      <c r="AC882">
        <f>OR(AND(IF(metadata!C882="",FALSE,TRUE),OR(exact(metadata!C882,"missing: not collected"),exact(metadata!C882,"missing: not provided"),exact(metadata!C882,"missing: restricted access"))),AND(IF(metadata!C882="",FALSE,TRUE),AND(AND(IFERROR(INT(LEFT(metadata!C882,4))&gt;1900,FALSE),IFERROR(INT(LEFT(metadata!C882,4))&lt;=YEAR(NOW()),FALSE)), OR(MID(metadata!C882,5,1)="", AND(AND(MID(metadata!C882,5,1)="-",IFERROR(INT(MID(metadata!C882,6,1))&gt;=0,FALSE),IFERROR(INT(MID(metadata!C882,6,1))&lt;=1,FALSE),NOT(MID(metadata!C882,7,1)=""),IFERROR(INT(MID(metadata!C882,6,2))&gt;=1,FALSE),IFERROR(INT(MID(metadata!C882,6,2))&lt;=12,FALSE)), OR(MID(metadata!C882,8,1)="", AND(AND(MID(metadata!C882,8,1)="-",IFERROR(INT(MID(metadata!C882,9,1))&gt;=0,FALSE),IFERROR(INT(MID(metadata!C882,9,1))&lt;=3,FALSE),NOT(MID(metadata!C882,10,1)=""),IFERROR(INT(MID(metadata!C882,9,2))&gt;=1,FALSE),IFERROR(INT(MID(metadata!C882,9,2))&lt;=31,FALSE)), OR(MID(metadata!C882,11,1)="", AND(AND(MID(metadata!C882,11,1)=" ",IFERROR(INT(MID(metadata!C882,12,1))&gt;=0,FALSE),IFERROR(INT(MID(metadata!C882,12,1))&lt;=2,FALSE),NOT(MID(metadata!C882,13,1)=""),IFERROR(INT(MID(metadata!C882,12,2))&gt;=0,FALSE),IFERROR(INT(MID(metadata!C882,12,2))&lt;=23,FALSE)), OR(MID(metadata!C882,14,1)="", AND(AND(MID(metadata!C882,14,1)=":",IFERROR(INT(MID(metadata!C882,15,1))&gt;=0,FALSE),IFERROR(INT(MID(metadata!C882,15,1))&lt;=5,FALSE),NOT(MID(metadata!C882,16,1)=""),IFERROR(INT(MID(metadata!C882,15,2))&gt;=0,FALSE),IFERROR(INT(MID(metadata!C882,15,2))&lt;=59,FALSE)), OR(MID(metadata!C882,17,1)="", AND(AND(MID(metadata!C882,17,1)=":",IFERROR(INT(MID(metadata!C882,18,1))&gt;=0,FALSE),IFERROR(INT(MID(metadata!C882,18,1))&lt;=5,FALSE),NOT(MID(metadata!C882,19,1)=""),IFERROR(INT(MID(metadata!C882,18,2))&gt;=0,FALSE),IFERROR(INT(MID(metadata!C882,18,2))&lt;=59,FALSE)), LEN(metadata!C882)&lt;=19)))))))))))))</f>
        <v>0</v>
      </c>
      <c r="AD882">
        <f>IF(metadata!D882="",FALSE,TRUE)</f>
        <v>0</v>
      </c>
      <c r="AE882">
        <f>OR(AND(IF(metadata!E882="",FALSE,TRUE),OR(exact(metadata!E882,"missing: not collected"),exact(metadata!E882,"missing: not provided"))),AND(IF(metadata!E882="",FALSE,TRUE),OR(exact(metadata!E882,"TRUE"),exact(metadata!E882,"FALSE"))))</f>
        <v>0</v>
      </c>
      <c r="AF882">
        <f>IF(metadata!F882="",FALSE,TRUE)</f>
        <v>0</v>
      </c>
      <c r="AG882">
        <f>IF(metadata!G882="",FALSE,TRUE)</f>
        <v>0</v>
      </c>
      <c r="AH882">
        <f>IF(metadata!H882="",FALSE,TRUE)</f>
        <v>0</v>
      </c>
      <c r="AI882">
        <f>OR(AND(IF(metadata!I882="",FALSE,TRUE),OR(exact(metadata!I882,"missing: not collected"),exact(metadata!I882,"missing: not provided"),exact(metadata!I882,"missing: restricted access"))),AND(IF(metadata!I882="",FALSE,TRUE),OR(exact(metadata!I882,"air"),exact(metadata!I882,"built environment"),exact(metadata!I882,"host-associated"),exact(metadata!I882,"human-associated"),exact(metadata!I882,"human-skin"),exact(metadata!I882,"human-oral"),exact(metadata!I882,"human-gut"),exact(metadata!I882,"human-vaginal"),exact(metadata!I882,"microbial mat/biofilm"),exact(metadata!I882,"misc environment"),exact(metadata!I882,"plant-associated"),exact(metadata!I882,"sediment"),exact(metadata!I882,"soil"),exact(metadata!I882,"wastewater/sludge"),exact(metadata!I882,"water"))))</f>
        <v>0</v>
      </c>
      <c r="AJ882">
        <f>IF(metadata!J882="",FALSE,TRUE)</f>
        <v>0</v>
      </c>
      <c r="AK882">
        <f>OR(AND(IF(metadata!K882="",FALSE,TRUE),OR(exact(metadata!K882,"missing: not collected"),exact(metadata!K882,"missing: not provided"),exact(metadata!K882,"missing: restricted access"))),AND(IF(metadata!K882="",FALSE,ISNUMBER(VALUE(metadata!K882))),metadata!K882&gt;=-90.00,metadata!K882&lt;=90.00))</f>
        <v>0</v>
      </c>
      <c r="AL882">
        <f>OR(AND(IF(metadata!L882="",FALSE,TRUE),OR(exact(metadata!L882,"missing: not collected"),exact(metadata!L882,"missing: not provided"),exact(metadata!L882,"missing: restricted access"))),AND(IF(metadata!L882="",FALSE,ISNUMBER(VALUE(metadata!L882))),metadata!L882&gt;=-180.00,metadata!L882&lt;=180.00))</f>
        <v>0</v>
      </c>
      <c r="AM882">
        <f>IF(metadata!M882="",FALSE,TRUE)</f>
        <v>0</v>
      </c>
      <c r="AN882">
        <f>OR(AND(IF(metadata!N882="",FALSE,TRUE),OR(exact(metadata!N882,"missing: not collected"),exact(metadata!N882,"missing: not provided"),exact(metadata!N882,"missing: restricted access"))),AND(IF(metadata!N882="",FALSE,TRUE),OR(exact(metadata!N882,"TRUE"),exact(metadata!N882,"FALSE"))))</f>
        <v>0</v>
      </c>
      <c r="AO882">
        <f>IF(metadata!O882="",FALSE,TRUE)</f>
        <v>0</v>
      </c>
      <c r="AP882">
        <f>OR(AND(IF(metadata!P882="",FALSE,TRUE),OR(exact(metadata!P882,"missing: not collected"),exact(metadata!P882,"missing: not provided"))),AND(IF(metadata!P882="",FALSE,IF(ISERROR(INT(metadata!P882)),FALSE,INT(metadata!P882)=metadata!P882)),metadata!P882&gt;0))</f>
        <v>0</v>
      </c>
      <c r="AQ882">
        <f>IF(metadata!Q882="",FALSE,TRUE)</f>
        <v>0</v>
      </c>
    </row>
    <row r="883" spans="1:43">
      <c r="A883" s="5">
        <f>IF(B883=" "," ",HYPERLINK(CONCATENATE("#metadata!",ADDRESS(INDEX($W$2:$W$1001,MATCH(ROWS($U$2:U883),$U$2:$U$1001,0),0),1)),INDEX($Z$2:$Z$1001,MATCH(ROWS($U$2:U883),$U$2:$U$1001,0),0)))</f>
        <v>0</v>
      </c>
      <c r="B883" s="4">
        <f>IF(OR(INDEX($V$2:$V$1001,MATCH(ROWS($U$2:U883),$U$2:$U$1001,0),1)&gt;=100000,INDEX($AB$1005:$AQ$1005,1,MATCH(COLUMNS($AB$1006:AB1006),$AB$1006:$AQ$1006,0))&gt;=100000), " ",IF(INDEX($AB$2:$AQ$1001,MATCH(ROWS($U$2:U883),$U$2:$U$1001,0),MATCH(COLUMNS($AB$1006:AB1006),$AB$1006:$AQ$1006,0)), HYPERLINK("#",""), HYPERLINK(CONCATENATE("#metadata!", ADDRESS(INDEX($W$2:$W$1001,MATCH(ROWS($U$2:U883),$U$2:$U$1001,0),0), INDEX($AB$1004:$AQ$1004,1,MATCH(COLUMNS($AB$1006:AB1006),$AB$1006:$AQ$1006,0)))),"Fix")))</f>
        <v>0</v>
      </c>
      <c r="C883" s="4">
        <f>IF(OR(INDEX($V$2:$V$1001,MATCH(ROWS($U$2:U883),$U$2:$U$1001,0),1)&gt;=100000,INDEX($AB$1005:$AQ$1005,1,MATCH(COLUMNS($AB$1006:AC1006),$AB$1006:$AQ$1006,0))&gt;=100000), " ",IF(INDEX($AB$2:$AQ$1001,MATCH(ROWS($U$2:U883),$U$2:$U$1001,0),MATCH(COLUMNS($AB$1006:AC1006),$AB$1006:$AQ$1006,0)), HYPERLINK("#",""), HYPERLINK(CONCATENATE("#metadata!", ADDRESS(INDEX($W$2:$W$1001,MATCH(ROWS($U$2:U883),$U$2:$U$1001,0),0), INDEX($AB$1004:$AQ$1004,1,MATCH(COLUMNS($AB$1006:AC1006),$AB$1006:$AQ$1006,0)))),"Fix")))</f>
        <v>0</v>
      </c>
      <c r="D883" s="4">
        <f>IF(OR(INDEX($V$2:$V$1001,MATCH(ROWS($U$2:U883),$U$2:$U$1001,0),1)&gt;=100000,INDEX($AB$1005:$AQ$1005,1,MATCH(COLUMNS($AB$1006:AD1006),$AB$1006:$AQ$1006,0))&gt;=100000), " ",IF(INDEX($AB$2:$AQ$1001,MATCH(ROWS($U$2:U883),$U$2:$U$1001,0),MATCH(COLUMNS($AB$1006:AD1006),$AB$1006:$AQ$1006,0)), HYPERLINK("#",""), HYPERLINK(CONCATENATE("#metadata!", ADDRESS(INDEX($W$2:$W$1001,MATCH(ROWS($U$2:U883),$U$2:$U$1001,0),0), INDEX($AB$1004:$AQ$1004,1,MATCH(COLUMNS($AB$1006:AD1006),$AB$1006:$AQ$1006,0)))),"Fix")))</f>
        <v>0</v>
      </c>
      <c r="E883" s="4">
        <f>IF(OR(INDEX($V$2:$V$1001,MATCH(ROWS($U$2:U883),$U$2:$U$1001,0),1)&gt;=100000,INDEX($AB$1005:$AQ$1005,1,MATCH(COLUMNS($AB$1006:AE1006),$AB$1006:$AQ$1006,0))&gt;=100000), " ",IF(INDEX($AB$2:$AQ$1001,MATCH(ROWS($U$2:U883),$U$2:$U$1001,0),MATCH(COLUMNS($AB$1006:AE1006),$AB$1006:$AQ$1006,0)), HYPERLINK("#",""), HYPERLINK(CONCATENATE("#metadata!", ADDRESS(INDEX($W$2:$W$1001,MATCH(ROWS($U$2:U883),$U$2:$U$1001,0),0), INDEX($AB$1004:$AQ$1004,1,MATCH(COLUMNS($AB$1006:AE1006),$AB$1006:$AQ$1006,0)))),"Fix")))</f>
        <v>0</v>
      </c>
      <c r="F883" s="4">
        <f>IF(OR(INDEX($V$2:$V$1001,MATCH(ROWS($U$2:U883),$U$2:$U$1001,0),1)&gt;=100000,INDEX($AB$1005:$AQ$1005,1,MATCH(COLUMNS($AB$1006:AF1006),$AB$1006:$AQ$1006,0))&gt;=100000), " ",IF(INDEX($AB$2:$AQ$1001,MATCH(ROWS($U$2:U883),$U$2:$U$1001,0),MATCH(COLUMNS($AB$1006:AF1006),$AB$1006:$AQ$1006,0)), HYPERLINK("#",""), HYPERLINK(CONCATENATE("#metadata!", ADDRESS(INDEX($W$2:$W$1001,MATCH(ROWS($U$2:U883),$U$2:$U$1001,0),0), INDEX($AB$1004:$AQ$1004,1,MATCH(COLUMNS($AB$1006:AF1006),$AB$1006:$AQ$1006,0)))),"Fix")))</f>
        <v>0</v>
      </c>
      <c r="G883" s="4">
        <f>IF(OR(INDEX($V$2:$V$1001,MATCH(ROWS($U$2:U883),$U$2:$U$1001,0),1)&gt;=100000,INDEX($AB$1005:$AQ$1005,1,MATCH(COLUMNS($AB$1006:AG1006),$AB$1006:$AQ$1006,0))&gt;=100000), " ",IF(INDEX($AB$2:$AQ$1001,MATCH(ROWS($U$2:U883),$U$2:$U$1001,0),MATCH(COLUMNS($AB$1006:AG1006),$AB$1006:$AQ$1006,0)), HYPERLINK("#",""), HYPERLINK(CONCATENATE("#metadata!", ADDRESS(INDEX($W$2:$W$1001,MATCH(ROWS($U$2:U883),$U$2:$U$1001,0),0), INDEX($AB$1004:$AQ$1004,1,MATCH(COLUMNS($AB$1006:AG1006),$AB$1006:$AQ$1006,0)))),"Fix")))</f>
        <v>0</v>
      </c>
      <c r="H883" s="4">
        <f>IF(OR(INDEX($V$2:$V$1001,MATCH(ROWS($U$2:U883),$U$2:$U$1001,0),1)&gt;=100000,INDEX($AB$1005:$AQ$1005,1,MATCH(COLUMNS($AB$1006:AH1006),$AB$1006:$AQ$1006,0))&gt;=100000), " ",IF(INDEX($AB$2:$AQ$1001,MATCH(ROWS($U$2:U883),$U$2:$U$1001,0),MATCH(COLUMNS($AB$1006:AH1006),$AB$1006:$AQ$1006,0)), HYPERLINK("#",""), HYPERLINK(CONCATENATE("#metadata!", ADDRESS(INDEX($W$2:$W$1001,MATCH(ROWS($U$2:U883),$U$2:$U$1001,0),0), INDEX($AB$1004:$AQ$1004,1,MATCH(COLUMNS($AB$1006:AH1006),$AB$1006:$AQ$1006,0)))),"Fix")))</f>
        <v>0</v>
      </c>
      <c r="I883" s="4">
        <f>IF(OR(INDEX($V$2:$V$1001,MATCH(ROWS($U$2:U883),$U$2:$U$1001,0),1)&gt;=100000,INDEX($AB$1005:$AQ$1005,1,MATCH(COLUMNS($AB$1006:AI1006),$AB$1006:$AQ$1006,0))&gt;=100000), " ",IF(INDEX($AB$2:$AQ$1001,MATCH(ROWS($U$2:U883),$U$2:$U$1001,0),MATCH(COLUMNS($AB$1006:AI1006),$AB$1006:$AQ$1006,0)), HYPERLINK("#",""), HYPERLINK(CONCATENATE("#metadata!", ADDRESS(INDEX($W$2:$W$1001,MATCH(ROWS($U$2:U883),$U$2:$U$1001,0),0), INDEX($AB$1004:$AQ$1004,1,MATCH(COLUMNS($AB$1006:AI1006),$AB$1006:$AQ$1006,0)))),"Fix")))</f>
        <v>0</v>
      </c>
      <c r="J883" s="4">
        <f>IF(OR(INDEX($V$2:$V$1001,MATCH(ROWS($U$2:U883),$U$2:$U$1001,0),1)&gt;=100000,INDEX($AB$1005:$AQ$1005,1,MATCH(COLUMNS($AB$1006:AJ1006),$AB$1006:$AQ$1006,0))&gt;=100000), " ",IF(INDEX($AB$2:$AQ$1001,MATCH(ROWS($U$2:U883),$U$2:$U$1001,0),MATCH(COLUMNS($AB$1006:AJ1006),$AB$1006:$AQ$1006,0)), HYPERLINK("#",""), HYPERLINK(CONCATENATE("#metadata!", ADDRESS(INDEX($W$2:$W$1001,MATCH(ROWS($U$2:U883),$U$2:$U$1001,0),0), INDEX($AB$1004:$AQ$1004,1,MATCH(COLUMNS($AB$1006:AJ1006),$AB$1006:$AQ$1006,0)))),"Fix")))</f>
        <v>0</v>
      </c>
      <c r="K883" s="4">
        <f>IF(OR(INDEX($V$2:$V$1001,MATCH(ROWS($U$2:U883),$U$2:$U$1001,0),1)&gt;=100000,INDEX($AB$1005:$AQ$1005,1,MATCH(COLUMNS($AB$1006:AK1006),$AB$1006:$AQ$1006,0))&gt;=100000), " ",IF(INDEX($AB$2:$AQ$1001,MATCH(ROWS($U$2:U883),$U$2:$U$1001,0),MATCH(COLUMNS($AB$1006:AK1006),$AB$1006:$AQ$1006,0)), HYPERLINK("#",""), HYPERLINK(CONCATENATE("#metadata!", ADDRESS(INDEX($W$2:$W$1001,MATCH(ROWS($U$2:U883),$U$2:$U$1001,0),0), INDEX($AB$1004:$AQ$1004,1,MATCH(COLUMNS($AB$1006:AK1006),$AB$1006:$AQ$1006,0)))),"Fix")))</f>
        <v>0</v>
      </c>
      <c r="L883" s="4">
        <f>IF(OR(INDEX($V$2:$V$1001,MATCH(ROWS($U$2:U883),$U$2:$U$1001,0),1)&gt;=100000,INDEX($AB$1005:$AQ$1005,1,MATCH(COLUMNS($AB$1006:AL1006),$AB$1006:$AQ$1006,0))&gt;=100000), " ",IF(INDEX($AB$2:$AQ$1001,MATCH(ROWS($U$2:U883),$U$2:$U$1001,0),MATCH(COLUMNS($AB$1006:AL1006),$AB$1006:$AQ$1006,0)), HYPERLINK("#",""), HYPERLINK(CONCATENATE("#metadata!", ADDRESS(INDEX($W$2:$W$1001,MATCH(ROWS($U$2:U883),$U$2:$U$1001,0),0), INDEX($AB$1004:$AQ$1004,1,MATCH(COLUMNS($AB$1006:AL1006),$AB$1006:$AQ$1006,0)))),"Fix")))</f>
        <v>0</v>
      </c>
      <c r="M883" s="4">
        <f>IF(OR(INDEX($V$2:$V$1001,MATCH(ROWS($U$2:U883),$U$2:$U$1001,0),1)&gt;=100000,INDEX($AB$1005:$AQ$1005,1,MATCH(COLUMNS($AB$1006:AM1006),$AB$1006:$AQ$1006,0))&gt;=100000), " ",IF(INDEX($AB$2:$AQ$1001,MATCH(ROWS($U$2:U883),$U$2:$U$1001,0),MATCH(COLUMNS($AB$1006:AM1006),$AB$1006:$AQ$1006,0)), HYPERLINK("#",""), HYPERLINK(CONCATENATE("#metadata!", ADDRESS(INDEX($W$2:$W$1001,MATCH(ROWS($U$2:U883),$U$2:$U$1001,0),0), INDEX($AB$1004:$AQ$1004,1,MATCH(COLUMNS($AB$1006:AM1006),$AB$1006:$AQ$1006,0)))),"Fix")))</f>
        <v>0</v>
      </c>
      <c r="N883" s="4">
        <f>IF(OR(INDEX($V$2:$V$1001,MATCH(ROWS($U$2:U883),$U$2:$U$1001,0),1)&gt;=100000,INDEX($AB$1005:$AQ$1005,1,MATCH(COLUMNS($AB$1006:AN1006),$AB$1006:$AQ$1006,0))&gt;=100000), " ",IF(INDEX($AB$2:$AQ$1001,MATCH(ROWS($U$2:U883),$U$2:$U$1001,0),MATCH(COLUMNS($AB$1006:AN1006),$AB$1006:$AQ$1006,0)), HYPERLINK("#",""), HYPERLINK(CONCATENATE("#metadata!", ADDRESS(INDEX($W$2:$W$1001,MATCH(ROWS($U$2:U883),$U$2:$U$1001,0),0), INDEX($AB$1004:$AQ$1004,1,MATCH(COLUMNS($AB$1006:AN1006),$AB$1006:$AQ$1006,0)))),"Fix")))</f>
        <v>0</v>
      </c>
      <c r="O883" s="4">
        <f>IF(OR(INDEX($V$2:$V$1001,MATCH(ROWS($U$2:U883),$U$2:$U$1001,0),1)&gt;=100000,INDEX($AB$1005:$AQ$1005,1,MATCH(COLUMNS($AB$1006:AO1006),$AB$1006:$AQ$1006,0))&gt;=100000), " ",IF(INDEX($AB$2:$AQ$1001,MATCH(ROWS($U$2:U883),$U$2:$U$1001,0),MATCH(COLUMNS($AB$1006:AO1006),$AB$1006:$AQ$1006,0)), HYPERLINK("#",""), HYPERLINK(CONCATENATE("#metadata!", ADDRESS(INDEX($W$2:$W$1001,MATCH(ROWS($U$2:U883),$U$2:$U$1001,0),0), INDEX($AB$1004:$AQ$1004,1,MATCH(COLUMNS($AB$1006:AO1006),$AB$1006:$AQ$1006,0)))),"Fix")))</f>
        <v>0</v>
      </c>
      <c r="P883" s="4">
        <f>IF(OR(INDEX($V$2:$V$1001,MATCH(ROWS($U$2:U883),$U$2:$U$1001,0),1)&gt;=100000,INDEX($AB$1005:$AQ$1005,1,MATCH(COLUMNS($AB$1006:AP1006),$AB$1006:$AQ$1006,0))&gt;=100000), " ",IF(INDEX($AB$2:$AQ$1001,MATCH(ROWS($U$2:U883),$U$2:$U$1001,0),MATCH(COLUMNS($AB$1006:AP1006),$AB$1006:$AQ$1006,0)), HYPERLINK("#",""), HYPERLINK(CONCATENATE("#metadata!", ADDRESS(INDEX($W$2:$W$1001,MATCH(ROWS($U$2:U883),$U$2:$U$1001,0),0), INDEX($AB$1004:$AQ$1004,1,MATCH(COLUMNS($AB$1006:AP1006),$AB$1006:$AQ$1006,0)))),"Fix")))</f>
        <v>0</v>
      </c>
      <c r="Q883" s="4">
        <f>IF(OR(INDEX($V$2:$V$1001,MATCH(ROWS($U$2:U883),$U$2:$U$1001,0),1)&gt;=100000,INDEX($AB$1005:$AQ$1005,1,MATCH(COLUMNS($AB$1006:AQ1006),$AB$1006:$AQ$1006,0))&gt;=100000), " ",IF(INDEX($AB$2:$AQ$1001,MATCH(ROWS($U$2:U883),$U$2:$U$1001,0),MATCH(COLUMNS($AB$1006:AQ1006),$AB$1006:$AQ$1006,0)), HYPERLINK("#",""), HYPERLINK(CONCATENATE("#metadata!", ADDRESS(INDEX($W$2:$W$1001,MATCH(ROWS($U$2:U883),$U$2:$U$1001,0),0), INDEX($AB$1004:$AQ$1004,1,MATCH(COLUMNS($AB$1006:AQ1006),$AB$1006:$AQ$1006,0)))),"Fix")))</f>
        <v>0</v>
      </c>
      <c r="U883">
        <v>0</v>
      </c>
      <c r="V883">
        <v>0</v>
      </c>
      <c r="W883">
        <v>0</v>
      </c>
      <c r="X883">
        <f>IF(Y883,TRUE,AND(AB883:AQ883))</f>
        <v>0</v>
      </c>
      <c r="Y883">
        <f>COUNTBLANK(metadata!B883:Q883)=COLUMNS(metadata!B883:Q883)</f>
        <v>0</v>
      </c>
      <c r="Z883">
        <v>0</v>
      </c>
      <c r="AB883">
        <f>AND(IF(metadata!B883="",FALSE,TRUE),COUNTIF(metadata!B:B, metadata!B883) = 1,NOT(ISERROR(SUMPRODUCT(SEARCH(MID(metadata!B883,ROW(INDIRECT("1:"&amp;LEN(metadata!B883))), 1),"0123456789abcdefghijklmnopqrstuvwxyzABCDEFGHIJKLMNOPQRSTUVWXYZ.")))))</f>
        <v>0</v>
      </c>
      <c r="AC883">
        <f>OR(AND(IF(metadata!C883="",FALSE,TRUE),OR(exact(metadata!C883,"missing: not collected"),exact(metadata!C883,"missing: not provided"),exact(metadata!C883,"missing: restricted access"))),AND(IF(metadata!C883="",FALSE,TRUE),AND(AND(IFERROR(INT(LEFT(metadata!C883,4))&gt;1900,FALSE),IFERROR(INT(LEFT(metadata!C883,4))&lt;=YEAR(NOW()),FALSE)), OR(MID(metadata!C883,5,1)="", AND(AND(MID(metadata!C883,5,1)="-",IFERROR(INT(MID(metadata!C883,6,1))&gt;=0,FALSE),IFERROR(INT(MID(metadata!C883,6,1))&lt;=1,FALSE),NOT(MID(metadata!C883,7,1)=""),IFERROR(INT(MID(metadata!C883,6,2))&gt;=1,FALSE),IFERROR(INT(MID(metadata!C883,6,2))&lt;=12,FALSE)), OR(MID(metadata!C883,8,1)="", AND(AND(MID(metadata!C883,8,1)="-",IFERROR(INT(MID(metadata!C883,9,1))&gt;=0,FALSE),IFERROR(INT(MID(metadata!C883,9,1))&lt;=3,FALSE),NOT(MID(metadata!C883,10,1)=""),IFERROR(INT(MID(metadata!C883,9,2))&gt;=1,FALSE),IFERROR(INT(MID(metadata!C883,9,2))&lt;=31,FALSE)), OR(MID(metadata!C883,11,1)="", AND(AND(MID(metadata!C883,11,1)=" ",IFERROR(INT(MID(metadata!C883,12,1))&gt;=0,FALSE),IFERROR(INT(MID(metadata!C883,12,1))&lt;=2,FALSE),NOT(MID(metadata!C883,13,1)=""),IFERROR(INT(MID(metadata!C883,12,2))&gt;=0,FALSE),IFERROR(INT(MID(metadata!C883,12,2))&lt;=23,FALSE)), OR(MID(metadata!C883,14,1)="", AND(AND(MID(metadata!C883,14,1)=":",IFERROR(INT(MID(metadata!C883,15,1))&gt;=0,FALSE),IFERROR(INT(MID(metadata!C883,15,1))&lt;=5,FALSE),NOT(MID(metadata!C883,16,1)=""),IFERROR(INT(MID(metadata!C883,15,2))&gt;=0,FALSE),IFERROR(INT(MID(metadata!C883,15,2))&lt;=59,FALSE)), OR(MID(metadata!C883,17,1)="", AND(AND(MID(metadata!C883,17,1)=":",IFERROR(INT(MID(metadata!C883,18,1))&gt;=0,FALSE),IFERROR(INT(MID(metadata!C883,18,1))&lt;=5,FALSE),NOT(MID(metadata!C883,19,1)=""),IFERROR(INT(MID(metadata!C883,18,2))&gt;=0,FALSE),IFERROR(INT(MID(metadata!C883,18,2))&lt;=59,FALSE)), LEN(metadata!C883)&lt;=19)))))))))))))</f>
        <v>0</v>
      </c>
      <c r="AD883">
        <f>IF(metadata!D883="",FALSE,TRUE)</f>
        <v>0</v>
      </c>
      <c r="AE883">
        <f>OR(AND(IF(metadata!E883="",FALSE,TRUE),OR(exact(metadata!E883,"missing: not collected"),exact(metadata!E883,"missing: not provided"))),AND(IF(metadata!E883="",FALSE,TRUE),OR(exact(metadata!E883,"TRUE"),exact(metadata!E883,"FALSE"))))</f>
        <v>0</v>
      </c>
      <c r="AF883">
        <f>IF(metadata!F883="",FALSE,TRUE)</f>
        <v>0</v>
      </c>
      <c r="AG883">
        <f>IF(metadata!G883="",FALSE,TRUE)</f>
        <v>0</v>
      </c>
      <c r="AH883">
        <f>IF(metadata!H883="",FALSE,TRUE)</f>
        <v>0</v>
      </c>
      <c r="AI883">
        <f>OR(AND(IF(metadata!I883="",FALSE,TRUE),OR(exact(metadata!I883,"missing: not collected"),exact(metadata!I883,"missing: not provided"),exact(metadata!I883,"missing: restricted access"))),AND(IF(metadata!I883="",FALSE,TRUE),OR(exact(metadata!I883,"air"),exact(metadata!I883,"built environment"),exact(metadata!I883,"host-associated"),exact(metadata!I883,"human-associated"),exact(metadata!I883,"human-skin"),exact(metadata!I883,"human-oral"),exact(metadata!I883,"human-gut"),exact(metadata!I883,"human-vaginal"),exact(metadata!I883,"microbial mat/biofilm"),exact(metadata!I883,"misc environment"),exact(metadata!I883,"plant-associated"),exact(metadata!I883,"sediment"),exact(metadata!I883,"soil"),exact(metadata!I883,"wastewater/sludge"),exact(metadata!I883,"water"))))</f>
        <v>0</v>
      </c>
      <c r="AJ883">
        <f>IF(metadata!J883="",FALSE,TRUE)</f>
        <v>0</v>
      </c>
      <c r="AK883">
        <f>OR(AND(IF(metadata!K883="",FALSE,TRUE),OR(exact(metadata!K883,"missing: not collected"),exact(metadata!K883,"missing: not provided"),exact(metadata!K883,"missing: restricted access"))),AND(IF(metadata!K883="",FALSE,ISNUMBER(VALUE(metadata!K883))),metadata!K883&gt;=-90.00,metadata!K883&lt;=90.00))</f>
        <v>0</v>
      </c>
      <c r="AL883">
        <f>OR(AND(IF(metadata!L883="",FALSE,TRUE),OR(exact(metadata!L883,"missing: not collected"),exact(metadata!L883,"missing: not provided"),exact(metadata!L883,"missing: restricted access"))),AND(IF(metadata!L883="",FALSE,ISNUMBER(VALUE(metadata!L883))),metadata!L883&gt;=-180.00,metadata!L883&lt;=180.00))</f>
        <v>0</v>
      </c>
      <c r="AM883">
        <f>IF(metadata!M883="",FALSE,TRUE)</f>
        <v>0</v>
      </c>
      <c r="AN883">
        <f>OR(AND(IF(metadata!N883="",FALSE,TRUE),OR(exact(metadata!N883,"missing: not collected"),exact(metadata!N883,"missing: not provided"),exact(metadata!N883,"missing: restricted access"))),AND(IF(metadata!N883="",FALSE,TRUE),OR(exact(metadata!N883,"TRUE"),exact(metadata!N883,"FALSE"))))</f>
        <v>0</v>
      </c>
      <c r="AO883">
        <f>IF(metadata!O883="",FALSE,TRUE)</f>
        <v>0</v>
      </c>
      <c r="AP883">
        <f>OR(AND(IF(metadata!P883="",FALSE,TRUE),OR(exact(metadata!P883,"missing: not collected"),exact(metadata!P883,"missing: not provided"))),AND(IF(metadata!P883="",FALSE,IF(ISERROR(INT(metadata!P883)),FALSE,INT(metadata!P883)=metadata!P883)),metadata!P883&gt;0))</f>
        <v>0</v>
      </c>
      <c r="AQ883">
        <f>IF(metadata!Q883="",FALSE,TRUE)</f>
        <v>0</v>
      </c>
    </row>
    <row r="884" spans="1:43">
      <c r="A884" s="5">
        <f>IF(B884=" "," ",HYPERLINK(CONCATENATE("#metadata!",ADDRESS(INDEX($W$2:$W$1001,MATCH(ROWS($U$2:U884),$U$2:$U$1001,0),0),1)),INDEX($Z$2:$Z$1001,MATCH(ROWS($U$2:U884),$U$2:$U$1001,0),0)))</f>
        <v>0</v>
      </c>
      <c r="B884" s="4">
        <f>IF(OR(INDEX($V$2:$V$1001,MATCH(ROWS($U$2:U884),$U$2:$U$1001,0),1)&gt;=100000,INDEX($AB$1005:$AQ$1005,1,MATCH(COLUMNS($AB$1006:AB1006),$AB$1006:$AQ$1006,0))&gt;=100000), " ",IF(INDEX($AB$2:$AQ$1001,MATCH(ROWS($U$2:U884),$U$2:$U$1001,0),MATCH(COLUMNS($AB$1006:AB1006),$AB$1006:$AQ$1006,0)), HYPERLINK("#",""), HYPERLINK(CONCATENATE("#metadata!", ADDRESS(INDEX($W$2:$W$1001,MATCH(ROWS($U$2:U884),$U$2:$U$1001,0),0), INDEX($AB$1004:$AQ$1004,1,MATCH(COLUMNS($AB$1006:AB1006),$AB$1006:$AQ$1006,0)))),"Fix")))</f>
        <v>0</v>
      </c>
      <c r="C884" s="4">
        <f>IF(OR(INDEX($V$2:$V$1001,MATCH(ROWS($U$2:U884),$U$2:$U$1001,0),1)&gt;=100000,INDEX($AB$1005:$AQ$1005,1,MATCH(COLUMNS($AB$1006:AC1006),$AB$1006:$AQ$1006,0))&gt;=100000), " ",IF(INDEX($AB$2:$AQ$1001,MATCH(ROWS($U$2:U884),$U$2:$U$1001,0),MATCH(COLUMNS($AB$1006:AC1006),$AB$1006:$AQ$1006,0)), HYPERLINK("#",""), HYPERLINK(CONCATENATE("#metadata!", ADDRESS(INDEX($W$2:$W$1001,MATCH(ROWS($U$2:U884),$U$2:$U$1001,0),0), INDEX($AB$1004:$AQ$1004,1,MATCH(COLUMNS($AB$1006:AC1006),$AB$1006:$AQ$1006,0)))),"Fix")))</f>
        <v>0</v>
      </c>
      <c r="D884" s="4">
        <f>IF(OR(INDEX($V$2:$V$1001,MATCH(ROWS($U$2:U884),$U$2:$U$1001,0),1)&gt;=100000,INDEX($AB$1005:$AQ$1005,1,MATCH(COLUMNS($AB$1006:AD1006),$AB$1006:$AQ$1006,0))&gt;=100000), " ",IF(INDEX($AB$2:$AQ$1001,MATCH(ROWS($U$2:U884),$U$2:$U$1001,0),MATCH(COLUMNS($AB$1006:AD1006),$AB$1006:$AQ$1006,0)), HYPERLINK("#",""), HYPERLINK(CONCATENATE("#metadata!", ADDRESS(INDEX($W$2:$W$1001,MATCH(ROWS($U$2:U884),$U$2:$U$1001,0),0), INDEX($AB$1004:$AQ$1004,1,MATCH(COLUMNS($AB$1006:AD1006),$AB$1006:$AQ$1006,0)))),"Fix")))</f>
        <v>0</v>
      </c>
      <c r="E884" s="4">
        <f>IF(OR(INDEX($V$2:$V$1001,MATCH(ROWS($U$2:U884),$U$2:$U$1001,0),1)&gt;=100000,INDEX($AB$1005:$AQ$1005,1,MATCH(COLUMNS($AB$1006:AE1006),$AB$1006:$AQ$1006,0))&gt;=100000), " ",IF(INDEX($AB$2:$AQ$1001,MATCH(ROWS($U$2:U884),$U$2:$U$1001,0),MATCH(COLUMNS($AB$1006:AE1006),$AB$1006:$AQ$1006,0)), HYPERLINK("#",""), HYPERLINK(CONCATENATE("#metadata!", ADDRESS(INDEX($W$2:$W$1001,MATCH(ROWS($U$2:U884),$U$2:$U$1001,0),0), INDEX($AB$1004:$AQ$1004,1,MATCH(COLUMNS($AB$1006:AE1006),$AB$1006:$AQ$1006,0)))),"Fix")))</f>
        <v>0</v>
      </c>
      <c r="F884" s="4">
        <f>IF(OR(INDEX($V$2:$V$1001,MATCH(ROWS($U$2:U884),$U$2:$U$1001,0),1)&gt;=100000,INDEX($AB$1005:$AQ$1005,1,MATCH(COLUMNS($AB$1006:AF1006),$AB$1006:$AQ$1006,0))&gt;=100000), " ",IF(INDEX($AB$2:$AQ$1001,MATCH(ROWS($U$2:U884),$U$2:$U$1001,0),MATCH(COLUMNS($AB$1006:AF1006),$AB$1006:$AQ$1006,0)), HYPERLINK("#",""), HYPERLINK(CONCATENATE("#metadata!", ADDRESS(INDEX($W$2:$W$1001,MATCH(ROWS($U$2:U884),$U$2:$U$1001,0),0), INDEX($AB$1004:$AQ$1004,1,MATCH(COLUMNS($AB$1006:AF1006),$AB$1006:$AQ$1006,0)))),"Fix")))</f>
        <v>0</v>
      </c>
      <c r="G884" s="4">
        <f>IF(OR(INDEX($V$2:$V$1001,MATCH(ROWS($U$2:U884),$U$2:$U$1001,0),1)&gt;=100000,INDEX($AB$1005:$AQ$1005,1,MATCH(COLUMNS($AB$1006:AG1006),$AB$1006:$AQ$1006,0))&gt;=100000), " ",IF(INDEX($AB$2:$AQ$1001,MATCH(ROWS($U$2:U884),$U$2:$U$1001,0),MATCH(COLUMNS($AB$1006:AG1006),$AB$1006:$AQ$1006,0)), HYPERLINK("#",""), HYPERLINK(CONCATENATE("#metadata!", ADDRESS(INDEX($W$2:$W$1001,MATCH(ROWS($U$2:U884),$U$2:$U$1001,0),0), INDEX($AB$1004:$AQ$1004,1,MATCH(COLUMNS($AB$1006:AG1006),$AB$1006:$AQ$1006,0)))),"Fix")))</f>
        <v>0</v>
      </c>
      <c r="H884" s="4">
        <f>IF(OR(INDEX($V$2:$V$1001,MATCH(ROWS($U$2:U884),$U$2:$U$1001,0),1)&gt;=100000,INDEX($AB$1005:$AQ$1005,1,MATCH(COLUMNS($AB$1006:AH1006),$AB$1006:$AQ$1006,0))&gt;=100000), " ",IF(INDEX($AB$2:$AQ$1001,MATCH(ROWS($U$2:U884),$U$2:$U$1001,0),MATCH(COLUMNS($AB$1006:AH1006),$AB$1006:$AQ$1006,0)), HYPERLINK("#",""), HYPERLINK(CONCATENATE("#metadata!", ADDRESS(INDEX($W$2:$W$1001,MATCH(ROWS($U$2:U884),$U$2:$U$1001,0),0), INDEX($AB$1004:$AQ$1004,1,MATCH(COLUMNS($AB$1006:AH1006),$AB$1006:$AQ$1006,0)))),"Fix")))</f>
        <v>0</v>
      </c>
      <c r="I884" s="4">
        <f>IF(OR(INDEX($V$2:$V$1001,MATCH(ROWS($U$2:U884),$U$2:$U$1001,0),1)&gt;=100000,INDEX($AB$1005:$AQ$1005,1,MATCH(COLUMNS($AB$1006:AI1006),$AB$1006:$AQ$1006,0))&gt;=100000), " ",IF(INDEX($AB$2:$AQ$1001,MATCH(ROWS($U$2:U884),$U$2:$U$1001,0),MATCH(COLUMNS($AB$1006:AI1006),$AB$1006:$AQ$1006,0)), HYPERLINK("#",""), HYPERLINK(CONCATENATE("#metadata!", ADDRESS(INDEX($W$2:$W$1001,MATCH(ROWS($U$2:U884),$U$2:$U$1001,0),0), INDEX($AB$1004:$AQ$1004,1,MATCH(COLUMNS($AB$1006:AI1006),$AB$1006:$AQ$1006,0)))),"Fix")))</f>
        <v>0</v>
      </c>
      <c r="J884" s="4">
        <f>IF(OR(INDEX($V$2:$V$1001,MATCH(ROWS($U$2:U884),$U$2:$U$1001,0),1)&gt;=100000,INDEX($AB$1005:$AQ$1005,1,MATCH(COLUMNS($AB$1006:AJ1006),$AB$1006:$AQ$1006,0))&gt;=100000), " ",IF(INDEX($AB$2:$AQ$1001,MATCH(ROWS($U$2:U884),$U$2:$U$1001,0),MATCH(COLUMNS($AB$1006:AJ1006),$AB$1006:$AQ$1006,0)), HYPERLINK("#",""), HYPERLINK(CONCATENATE("#metadata!", ADDRESS(INDEX($W$2:$W$1001,MATCH(ROWS($U$2:U884),$U$2:$U$1001,0),0), INDEX($AB$1004:$AQ$1004,1,MATCH(COLUMNS($AB$1006:AJ1006),$AB$1006:$AQ$1006,0)))),"Fix")))</f>
        <v>0</v>
      </c>
      <c r="K884" s="4">
        <f>IF(OR(INDEX($V$2:$V$1001,MATCH(ROWS($U$2:U884),$U$2:$U$1001,0),1)&gt;=100000,INDEX($AB$1005:$AQ$1005,1,MATCH(COLUMNS($AB$1006:AK1006),$AB$1006:$AQ$1006,0))&gt;=100000), " ",IF(INDEX($AB$2:$AQ$1001,MATCH(ROWS($U$2:U884),$U$2:$U$1001,0),MATCH(COLUMNS($AB$1006:AK1006),$AB$1006:$AQ$1006,0)), HYPERLINK("#",""), HYPERLINK(CONCATENATE("#metadata!", ADDRESS(INDEX($W$2:$W$1001,MATCH(ROWS($U$2:U884),$U$2:$U$1001,0),0), INDEX($AB$1004:$AQ$1004,1,MATCH(COLUMNS($AB$1006:AK1006),$AB$1006:$AQ$1006,0)))),"Fix")))</f>
        <v>0</v>
      </c>
      <c r="L884" s="4">
        <f>IF(OR(INDEX($V$2:$V$1001,MATCH(ROWS($U$2:U884),$U$2:$U$1001,0),1)&gt;=100000,INDEX($AB$1005:$AQ$1005,1,MATCH(COLUMNS($AB$1006:AL1006),$AB$1006:$AQ$1006,0))&gt;=100000), " ",IF(INDEX($AB$2:$AQ$1001,MATCH(ROWS($U$2:U884),$U$2:$U$1001,0),MATCH(COLUMNS($AB$1006:AL1006),$AB$1006:$AQ$1006,0)), HYPERLINK("#",""), HYPERLINK(CONCATENATE("#metadata!", ADDRESS(INDEX($W$2:$W$1001,MATCH(ROWS($U$2:U884),$U$2:$U$1001,0),0), INDEX($AB$1004:$AQ$1004,1,MATCH(COLUMNS($AB$1006:AL1006),$AB$1006:$AQ$1006,0)))),"Fix")))</f>
        <v>0</v>
      </c>
      <c r="M884" s="4">
        <f>IF(OR(INDEX($V$2:$V$1001,MATCH(ROWS($U$2:U884),$U$2:$U$1001,0),1)&gt;=100000,INDEX($AB$1005:$AQ$1005,1,MATCH(COLUMNS($AB$1006:AM1006),$AB$1006:$AQ$1006,0))&gt;=100000), " ",IF(INDEX($AB$2:$AQ$1001,MATCH(ROWS($U$2:U884),$U$2:$U$1001,0),MATCH(COLUMNS($AB$1006:AM1006),$AB$1006:$AQ$1006,0)), HYPERLINK("#",""), HYPERLINK(CONCATENATE("#metadata!", ADDRESS(INDEX($W$2:$W$1001,MATCH(ROWS($U$2:U884),$U$2:$U$1001,0),0), INDEX($AB$1004:$AQ$1004,1,MATCH(COLUMNS($AB$1006:AM1006),$AB$1006:$AQ$1006,0)))),"Fix")))</f>
        <v>0</v>
      </c>
      <c r="N884" s="4">
        <f>IF(OR(INDEX($V$2:$V$1001,MATCH(ROWS($U$2:U884),$U$2:$U$1001,0),1)&gt;=100000,INDEX($AB$1005:$AQ$1005,1,MATCH(COLUMNS($AB$1006:AN1006),$AB$1006:$AQ$1006,0))&gt;=100000), " ",IF(INDEX($AB$2:$AQ$1001,MATCH(ROWS($U$2:U884),$U$2:$U$1001,0),MATCH(COLUMNS($AB$1006:AN1006),$AB$1006:$AQ$1006,0)), HYPERLINK("#",""), HYPERLINK(CONCATENATE("#metadata!", ADDRESS(INDEX($W$2:$W$1001,MATCH(ROWS($U$2:U884),$U$2:$U$1001,0),0), INDEX($AB$1004:$AQ$1004,1,MATCH(COLUMNS($AB$1006:AN1006),$AB$1006:$AQ$1006,0)))),"Fix")))</f>
        <v>0</v>
      </c>
      <c r="O884" s="4">
        <f>IF(OR(INDEX($V$2:$V$1001,MATCH(ROWS($U$2:U884),$U$2:$U$1001,0),1)&gt;=100000,INDEX($AB$1005:$AQ$1005,1,MATCH(COLUMNS($AB$1006:AO1006),$AB$1006:$AQ$1006,0))&gt;=100000), " ",IF(INDEX($AB$2:$AQ$1001,MATCH(ROWS($U$2:U884),$U$2:$U$1001,0),MATCH(COLUMNS($AB$1006:AO1006),$AB$1006:$AQ$1006,0)), HYPERLINK("#",""), HYPERLINK(CONCATENATE("#metadata!", ADDRESS(INDEX($W$2:$W$1001,MATCH(ROWS($U$2:U884),$U$2:$U$1001,0),0), INDEX($AB$1004:$AQ$1004,1,MATCH(COLUMNS($AB$1006:AO1006),$AB$1006:$AQ$1006,0)))),"Fix")))</f>
        <v>0</v>
      </c>
      <c r="P884" s="4">
        <f>IF(OR(INDEX($V$2:$V$1001,MATCH(ROWS($U$2:U884),$U$2:$U$1001,0),1)&gt;=100000,INDEX($AB$1005:$AQ$1005,1,MATCH(COLUMNS($AB$1006:AP1006),$AB$1006:$AQ$1006,0))&gt;=100000), " ",IF(INDEX($AB$2:$AQ$1001,MATCH(ROWS($U$2:U884),$U$2:$U$1001,0),MATCH(COLUMNS($AB$1006:AP1006),$AB$1006:$AQ$1006,0)), HYPERLINK("#",""), HYPERLINK(CONCATENATE("#metadata!", ADDRESS(INDEX($W$2:$W$1001,MATCH(ROWS($U$2:U884),$U$2:$U$1001,0),0), INDEX($AB$1004:$AQ$1004,1,MATCH(COLUMNS($AB$1006:AP1006),$AB$1006:$AQ$1006,0)))),"Fix")))</f>
        <v>0</v>
      </c>
      <c r="Q884" s="4">
        <f>IF(OR(INDEX($V$2:$V$1001,MATCH(ROWS($U$2:U884),$U$2:$U$1001,0),1)&gt;=100000,INDEX($AB$1005:$AQ$1005,1,MATCH(COLUMNS($AB$1006:AQ1006),$AB$1006:$AQ$1006,0))&gt;=100000), " ",IF(INDEX($AB$2:$AQ$1001,MATCH(ROWS($U$2:U884),$U$2:$U$1001,0),MATCH(COLUMNS($AB$1006:AQ1006),$AB$1006:$AQ$1006,0)), HYPERLINK("#",""), HYPERLINK(CONCATENATE("#metadata!", ADDRESS(INDEX($W$2:$W$1001,MATCH(ROWS($U$2:U884),$U$2:$U$1001,0),0), INDEX($AB$1004:$AQ$1004,1,MATCH(COLUMNS($AB$1006:AQ1006),$AB$1006:$AQ$1006,0)))),"Fix")))</f>
        <v>0</v>
      </c>
      <c r="U884">
        <v>0</v>
      </c>
      <c r="V884">
        <v>0</v>
      </c>
      <c r="W884">
        <v>0</v>
      </c>
      <c r="X884">
        <f>IF(Y884,TRUE,AND(AB884:AQ884))</f>
        <v>0</v>
      </c>
      <c r="Y884">
        <f>COUNTBLANK(metadata!B884:Q884)=COLUMNS(metadata!B884:Q884)</f>
        <v>0</v>
      </c>
      <c r="Z884">
        <v>0</v>
      </c>
      <c r="AB884">
        <f>AND(IF(metadata!B884="",FALSE,TRUE),COUNTIF(metadata!B:B, metadata!B884) = 1,NOT(ISERROR(SUMPRODUCT(SEARCH(MID(metadata!B884,ROW(INDIRECT("1:"&amp;LEN(metadata!B884))), 1),"0123456789abcdefghijklmnopqrstuvwxyzABCDEFGHIJKLMNOPQRSTUVWXYZ.")))))</f>
        <v>0</v>
      </c>
      <c r="AC884">
        <f>OR(AND(IF(metadata!C884="",FALSE,TRUE),OR(exact(metadata!C884,"missing: not collected"),exact(metadata!C884,"missing: not provided"),exact(metadata!C884,"missing: restricted access"))),AND(IF(metadata!C884="",FALSE,TRUE),AND(AND(IFERROR(INT(LEFT(metadata!C884,4))&gt;1900,FALSE),IFERROR(INT(LEFT(metadata!C884,4))&lt;=YEAR(NOW()),FALSE)), OR(MID(metadata!C884,5,1)="", AND(AND(MID(metadata!C884,5,1)="-",IFERROR(INT(MID(metadata!C884,6,1))&gt;=0,FALSE),IFERROR(INT(MID(metadata!C884,6,1))&lt;=1,FALSE),NOT(MID(metadata!C884,7,1)=""),IFERROR(INT(MID(metadata!C884,6,2))&gt;=1,FALSE),IFERROR(INT(MID(metadata!C884,6,2))&lt;=12,FALSE)), OR(MID(metadata!C884,8,1)="", AND(AND(MID(metadata!C884,8,1)="-",IFERROR(INT(MID(metadata!C884,9,1))&gt;=0,FALSE),IFERROR(INT(MID(metadata!C884,9,1))&lt;=3,FALSE),NOT(MID(metadata!C884,10,1)=""),IFERROR(INT(MID(metadata!C884,9,2))&gt;=1,FALSE),IFERROR(INT(MID(metadata!C884,9,2))&lt;=31,FALSE)), OR(MID(metadata!C884,11,1)="", AND(AND(MID(metadata!C884,11,1)=" ",IFERROR(INT(MID(metadata!C884,12,1))&gt;=0,FALSE),IFERROR(INT(MID(metadata!C884,12,1))&lt;=2,FALSE),NOT(MID(metadata!C884,13,1)=""),IFERROR(INT(MID(metadata!C884,12,2))&gt;=0,FALSE),IFERROR(INT(MID(metadata!C884,12,2))&lt;=23,FALSE)), OR(MID(metadata!C884,14,1)="", AND(AND(MID(metadata!C884,14,1)=":",IFERROR(INT(MID(metadata!C884,15,1))&gt;=0,FALSE),IFERROR(INT(MID(metadata!C884,15,1))&lt;=5,FALSE),NOT(MID(metadata!C884,16,1)=""),IFERROR(INT(MID(metadata!C884,15,2))&gt;=0,FALSE),IFERROR(INT(MID(metadata!C884,15,2))&lt;=59,FALSE)), OR(MID(metadata!C884,17,1)="", AND(AND(MID(metadata!C884,17,1)=":",IFERROR(INT(MID(metadata!C884,18,1))&gt;=0,FALSE),IFERROR(INT(MID(metadata!C884,18,1))&lt;=5,FALSE),NOT(MID(metadata!C884,19,1)=""),IFERROR(INT(MID(metadata!C884,18,2))&gt;=0,FALSE),IFERROR(INT(MID(metadata!C884,18,2))&lt;=59,FALSE)), LEN(metadata!C884)&lt;=19)))))))))))))</f>
        <v>0</v>
      </c>
      <c r="AD884">
        <f>IF(metadata!D884="",FALSE,TRUE)</f>
        <v>0</v>
      </c>
      <c r="AE884">
        <f>OR(AND(IF(metadata!E884="",FALSE,TRUE),OR(exact(metadata!E884,"missing: not collected"),exact(metadata!E884,"missing: not provided"))),AND(IF(metadata!E884="",FALSE,TRUE),OR(exact(metadata!E884,"TRUE"),exact(metadata!E884,"FALSE"))))</f>
        <v>0</v>
      </c>
      <c r="AF884">
        <f>IF(metadata!F884="",FALSE,TRUE)</f>
        <v>0</v>
      </c>
      <c r="AG884">
        <f>IF(metadata!G884="",FALSE,TRUE)</f>
        <v>0</v>
      </c>
      <c r="AH884">
        <f>IF(metadata!H884="",FALSE,TRUE)</f>
        <v>0</v>
      </c>
      <c r="AI884">
        <f>OR(AND(IF(metadata!I884="",FALSE,TRUE),OR(exact(metadata!I884,"missing: not collected"),exact(metadata!I884,"missing: not provided"),exact(metadata!I884,"missing: restricted access"))),AND(IF(metadata!I884="",FALSE,TRUE),OR(exact(metadata!I884,"air"),exact(metadata!I884,"built environment"),exact(metadata!I884,"host-associated"),exact(metadata!I884,"human-associated"),exact(metadata!I884,"human-skin"),exact(metadata!I884,"human-oral"),exact(metadata!I884,"human-gut"),exact(metadata!I884,"human-vaginal"),exact(metadata!I884,"microbial mat/biofilm"),exact(metadata!I884,"misc environment"),exact(metadata!I884,"plant-associated"),exact(metadata!I884,"sediment"),exact(metadata!I884,"soil"),exact(metadata!I884,"wastewater/sludge"),exact(metadata!I884,"water"))))</f>
        <v>0</v>
      </c>
      <c r="AJ884">
        <f>IF(metadata!J884="",FALSE,TRUE)</f>
        <v>0</v>
      </c>
      <c r="AK884">
        <f>OR(AND(IF(metadata!K884="",FALSE,TRUE),OR(exact(metadata!K884,"missing: not collected"),exact(metadata!K884,"missing: not provided"),exact(metadata!K884,"missing: restricted access"))),AND(IF(metadata!K884="",FALSE,ISNUMBER(VALUE(metadata!K884))),metadata!K884&gt;=-90.00,metadata!K884&lt;=90.00))</f>
        <v>0</v>
      </c>
      <c r="AL884">
        <f>OR(AND(IF(metadata!L884="",FALSE,TRUE),OR(exact(metadata!L884,"missing: not collected"),exact(metadata!L884,"missing: not provided"),exact(metadata!L884,"missing: restricted access"))),AND(IF(metadata!L884="",FALSE,ISNUMBER(VALUE(metadata!L884))),metadata!L884&gt;=-180.00,metadata!L884&lt;=180.00))</f>
        <v>0</v>
      </c>
      <c r="AM884">
        <f>IF(metadata!M884="",FALSE,TRUE)</f>
        <v>0</v>
      </c>
      <c r="AN884">
        <f>OR(AND(IF(metadata!N884="",FALSE,TRUE),OR(exact(metadata!N884,"missing: not collected"),exact(metadata!N884,"missing: not provided"),exact(metadata!N884,"missing: restricted access"))),AND(IF(metadata!N884="",FALSE,TRUE),OR(exact(metadata!N884,"TRUE"),exact(metadata!N884,"FALSE"))))</f>
        <v>0</v>
      </c>
      <c r="AO884">
        <f>IF(metadata!O884="",FALSE,TRUE)</f>
        <v>0</v>
      </c>
      <c r="AP884">
        <f>OR(AND(IF(metadata!P884="",FALSE,TRUE),OR(exact(metadata!P884,"missing: not collected"),exact(metadata!P884,"missing: not provided"))),AND(IF(metadata!P884="",FALSE,IF(ISERROR(INT(metadata!P884)),FALSE,INT(metadata!P884)=metadata!P884)),metadata!P884&gt;0))</f>
        <v>0</v>
      </c>
      <c r="AQ884">
        <f>IF(metadata!Q884="",FALSE,TRUE)</f>
        <v>0</v>
      </c>
    </row>
    <row r="885" spans="1:43">
      <c r="A885" s="5">
        <f>IF(B885=" "," ",HYPERLINK(CONCATENATE("#metadata!",ADDRESS(INDEX($W$2:$W$1001,MATCH(ROWS($U$2:U885),$U$2:$U$1001,0),0),1)),INDEX($Z$2:$Z$1001,MATCH(ROWS($U$2:U885),$U$2:$U$1001,0),0)))</f>
        <v>0</v>
      </c>
      <c r="B885" s="4">
        <f>IF(OR(INDEX($V$2:$V$1001,MATCH(ROWS($U$2:U885),$U$2:$U$1001,0),1)&gt;=100000,INDEX($AB$1005:$AQ$1005,1,MATCH(COLUMNS($AB$1006:AB1006),$AB$1006:$AQ$1006,0))&gt;=100000), " ",IF(INDEX($AB$2:$AQ$1001,MATCH(ROWS($U$2:U885),$U$2:$U$1001,0),MATCH(COLUMNS($AB$1006:AB1006),$AB$1006:$AQ$1006,0)), HYPERLINK("#",""), HYPERLINK(CONCATENATE("#metadata!", ADDRESS(INDEX($W$2:$W$1001,MATCH(ROWS($U$2:U885),$U$2:$U$1001,0),0), INDEX($AB$1004:$AQ$1004,1,MATCH(COLUMNS($AB$1006:AB1006),$AB$1006:$AQ$1006,0)))),"Fix")))</f>
        <v>0</v>
      </c>
      <c r="C885" s="4">
        <f>IF(OR(INDEX($V$2:$V$1001,MATCH(ROWS($U$2:U885),$U$2:$U$1001,0),1)&gt;=100000,INDEX($AB$1005:$AQ$1005,1,MATCH(COLUMNS($AB$1006:AC1006),$AB$1006:$AQ$1006,0))&gt;=100000), " ",IF(INDEX($AB$2:$AQ$1001,MATCH(ROWS($U$2:U885),$U$2:$U$1001,0),MATCH(COLUMNS($AB$1006:AC1006),$AB$1006:$AQ$1006,0)), HYPERLINK("#",""), HYPERLINK(CONCATENATE("#metadata!", ADDRESS(INDEX($W$2:$W$1001,MATCH(ROWS($U$2:U885),$U$2:$U$1001,0),0), INDEX($AB$1004:$AQ$1004,1,MATCH(COLUMNS($AB$1006:AC1006),$AB$1006:$AQ$1006,0)))),"Fix")))</f>
        <v>0</v>
      </c>
      <c r="D885" s="4">
        <f>IF(OR(INDEX($V$2:$V$1001,MATCH(ROWS($U$2:U885),$U$2:$U$1001,0),1)&gt;=100000,INDEX($AB$1005:$AQ$1005,1,MATCH(COLUMNS($AB$1006:AD1006),$AB$1006:$AQ$1006,0))&gt;=100000), " ",IF(INDEX($AB$2:$AQ$1001,MATCH(ROWS($U$2:U885),$U$2:$U$1001,0),MATCH(COLUMNS($AB$1006:AD1006),$AB$1006:$AQ$1006,0)), HYPERLINK("#",""), HYPERLINK(CONCATENATE("#metadata!", ADDRESS(INDEX($W$2:$W$1001,MATCH(ROWS($U$2:U885),$U$2:$U$1001,0),0), INDEX($AB$1004:$AQ$1004,1,MATCH(COLUMNS($AB$1006:AD1006),$AB$1006:$AQ$1006,0)))),"Fix")))</f>
        <v>0</v>
      </c>
      <c r="E885" s="4">
        <f>IF(OR(INDEX($V$2:$V$1001,MATCH(ROWS($U$2:U885),$U$2:$U$1001,0),1)&gt;=100000,INDEX($AB$1005:$AQ$1005,1,MATCH(COLUMNS($AB$1006:AE1006),$AB$1006:$AQ$1006,0))&gt;=100000), " ",IF(INDEX($AB$2:$AQ$1001,MATCH(ROWS($U$2:U885),$U$2:$U$1001,0),MATCH(COLUMNS($AB$1006:AE1006),$AB$1006:$AQ$1006,0)), HYPERLINK("#",""), HYPERLINK(CONCATENATE("#metadata!", ADDRESS(INDEX($W$2:$W$1001,MATCH(ROWS($U$2:U885),$U$2:$U$1001,0),0), INDEX($AB$1004:$AQ$1004,1,MATCH(COLUMNS($AB$1006:AE1006),$AB$1006:$AQ$1006,0)))),"Fix")))</f>
        <v>0</v>
      </c>
      <c r="F885" s="4">
        <f>IF(OR(INDEX($V$2:$V$1001,MATCH(ROWS($U$2:U885),$U$2:$U$1001,0),1)&gt;=100000,INDEX($AB$1005:$AQ$1005,1,MATCH(COLUMNS($AB$1006:AF1006),$AB$1006:$AQ$1006,0))&gt;=100000), " ",IF(INDEX($AB$2:$AQ$1001,MATCH(ROWS($U$2:U885),$U$2:$U$1001,0),MATCH(COLUMNS($AB$1006:AF1006),$AB$1006:$AQ$1006,0)), HYPERLINK("#",""), HYPERLINK(CONCATENATE("#metadata!", ADDRESS(INDEX($W$2:$W$1001,MATCH(ROWS($U$2:U885),$U$2:$U$1001,0),0), INDEX($AB$1004:$AQ$1004,1,MATCH(COLUMNS($AB$1006:AF1006),$AB$1006:$AQ$1006,0)))),"Fix")))</f>
        <v>0</v>
      </c>
      <c r="G885" s="4">
        <f>IF(OR(INDEX($V$2:$V$1001,MATCH(ROWS($U$2:U885),$U$2:$U$1001,0),1)&gt;=100000,INDEX($AB$1005:$AQ$1005,1,MATCH(COLUMNS($AB$1006:AG1006),$AB$1006:$AQ$1006,0))&gt;=100000), " ",IF(INDEX($AB$2:$AQ$1001,MATCH(ROWS($U$2:U885),$U$2:$U$1001,0),MATCH(COLUMNS($AB$1006:AG1006),$AB$1006:$AQ$1006,0)), HYPERLINK("#",""), HYPERLINK(CONCATENATE("#metadata!", ADDRESS(INDEX($W$2:$W$1001,MATCH(ROWS($U$2:U885),$U$2:$U$1001,0),0), INDEX($AB$1004:$AQ$1004,1,MATCH(COLUMNS($AB$1006:AG1006),$AB$1006:$AQ$1006,0)))),"Fix")))</f>
        <v>0</v>
      </c>
      <c r="H885" s="4">
        <f>IF(OR(INDEX($V$2:$V$1001,MATCH(ROWS($U$2:U885),$U$2:$U$1001,0),1)&gt;=100000,INDEX($AB$1005:$AQ$1005,1,MATCH(COLUMNS($AB$1006:AH1006),$AB$1006:$AQ$1006,0))&gt;=100000), " ",IF(INDEX($AB$2:$AQ$1001,MATCH(ROWS($U$2:U885),$U$2:$U$1001,0),MATCH(COLUMNS($AB$1006:AH1006),$AB$1006:$AQ$1006,0)), HYPERLINK("#",""), HYPERLINK(CONCATENATE("#metadata!", ADDRESS(INDEX($W$2:$W$1001,MATCH(ROWS($U$2:U885),$U$2:$U$1001,0),0), INDEX($AB$1004:$AQ$1004,1,MATCH(COLUMNS($AB$1006:AH1006),$AB$1006:$AQ$1006,0)))),"Fix")))</f>
        <v>0</v>
      </c>
      <c r="I885" s="4">
        <f>IF(OR(INDEX($V$2:$V$1001,MATCH(ROWS($U$2:U885),$U$2:$U$1001,0),1)&gt;=100000,INDEX($AB$1005:$AQ$1005,1,MATCH(COLUMNS($AB$1006:AI1006),$AB$1006:$AQ$1006,0))&gt;=100000), " ",IF(INDEX($AB$2:$AQ$1001,MATCH(ROWS($U$2:U885),$U$2:$U$1001,0),MATCH(COLUMNS($AB$1006:AI1006),$AB$1006:$AQ$1006,0)), HYPERLINK("#",""), HYPERLINK(CONCATENATE("#metadata!", ADDRESS(INDEX($W$2:$W$1001,MATCH(ROWS($U$2:U885),$U$2:$U$1001,0),0), INDEX($AB$1004:$AQ$1004,1,MATCH(COLUMNS($AB$1006:AI1006),$AB$1006:$AQ$1006,0)))),"Fix")))</f>
        <v>0</v>
      </c>
      <c r="J885" s="4">
        <f>IF(OR(INDEX($V$2:$V$1001,MATCH(ROWS($U$2:U885),$U$2:$U$1001,0),1)&gt;=100000,INDEX($AB$1005:$AQ$1005,1,MATCH(COLUMNS($AB$1006:AJ1006),$AB$1006:$AQ$1006,0))&gt;=100000), " ",IF(INDEX($AB$2:$AQ$1001,MATCH(ROWS($U$2:U885),$U$2:$U$1001,0),MATCH(COLUMNS($AB$1006:AJ1006),$AB$1006:$AQ$1006,0)), HYPERLINK("#",""), HYPERLINK(CONCATENATE("#metadata!", ADDRESS(INDEX($W$2:$W$1001,MATCH(ROWS($U$2:U885),$U$2:$U$1001,0),0), INDEX($AB$1004:$AQ$1004,1,MATCH(COLUMNS($AB$1006:AJ1006),$AB$1006:$AQ$1006,0)))),"Fix")))</f>
        <v>0</v>
      </c>
      <c r="K885" s="4">
        <f>IF(OR(INDEX($V$2:$V$1001,MATCH(ROWS($U$2:U885),$U$2:$U$1001,0),1)&gt;=100000,INDEX($AB$1005:$AQ$1005,1,MATCH(COLUMNS($AB$1006:AK1006),$AB$1006:$AQ$1006,0))&gt;=100000), " ",IF(INDEX($AB$2:$AQ$1001,MATCH(ROWS($U$2:U885),$U$2:$U$1001,0),MATCH(COLUMNS($AB$1006:AK1006),$AB$1006:$AQ$1006,0)), HYPERLINK("#",""), HYPERLINK(CONCATENATE("#metadata!", ADDRESS(INDEX($W$2:$W$1001,MATCH(ROWS($U$2:U885),$U$2:$U$1001,0),0), INDEX($AB$1004:$AQ$1004,1,MATCH(COLUMNS($AB$1006:AK1006),$AB$1006:$AQ$1006,0)))),"Fix")))</f>
        <v>0</v>
      </c>
      <c r="L885" s="4">
        <f>IF(OR(INDEX($V$2:$V$1001,MATCH(ROWS($U$2:U885),$U$2:$U$1001,0),1)&gt;=100000,INDEX($AB$1005:$AQ$1005,1,MATCH(COLUMNS($AB$1006:AL1006),$AB$1006:$AQ$1006,0))&gt;=100000), " ",IF(INDEX($AB$2:$AQ$1001,MATCH(ROWS($U$2:U885),$U$2:$U$1001,0),MATCH(COLUMNS($AB$1006:AL1006),$AB$1006:$AQ$1006,0)), HYPERLINK("#",""), HYPERLINK(CONCATENATE("#metadata!", ADDRESS(INDEX($W$2:$W$1001,MATCH(ROWS($U$2:U885),$U$2:$U$1001,0),0), INDEX($AB$1004:$AQ$1004,1,MATCH(COLUMNS($AB$1006:AL1006),$AB$1006:$AQ$1006,0)))),"Fix")))</f>
        <v>0</v>
      </c>
      <c r="M885" s="4">
        <f>IF(OR(INDEX($V$2:$V$1001,MATCH(ROWS($U$2:U885),$U$2:$U$1001,0),1)&gt;=100000,INDEX($AB$1005:$AQ$1005,1,MATCH(COLUMNS($AB$1006:AM1006),$AB$1006:$AQ$1006,0))&gt;=100000), " ",IF(INDEX($AB$2:$AQ$1001,MATCH(ROWS($U$2:U885),$U$2:$U$1001,0),MATCH(COLUMNS($AB$1006:AM1006),$AB$1006:$AQ$1006,0)), HYPERLINK("#",""), HYPERLINK(CONCATENATE("#metadata!", ADDRESS(INDEX($W$2:$W$1001,MATCH(ROWS($U$2:U885),$U$2:$U$1001,0),0), INDEX($AB$1004:$AQ$1004,1,MATCH(COLUMNS($AB$1006:AM1006),$AB$1006:$AQ$1006,0)))),"Fix")))</f>
        <v>0</v>
      </c>
      <c r="N885" s="4">
        <f>IF(OR(INDEX($V$2:$V$1001,MATCH(ROWS($U$2:U885),$U$2:$U$1001,0),1)&gt;=100000,INDEX($AB$1005:$AQ$1005,1,MATCH(COLUMNS($AB$1006:AN1006),$AB$1006:$AQ$1006,0))&gt;=100000), " ",IF(INDEX($AB$2:$AQ$1001,MATCH(ROWS($U$2:U885),$U$2:$U$1001,0),MATCH(COLUMNS($AB$1006:AN1006),$AB$1006:$AQ$1006,0)), HYPERLINK("#",""), HYPERLINK(CONCATENATE("#metadata!", ADDRESS(INDEX($W$2:$W$1001,MATCH(ROWS($U$2:U885),$U$2:$U$1001,0),0), INDEX($AB$1004:$AQ$1004,1,MATCH(COLUMNS($AB$1006:AN1006),$AB$1006:$AQ$1006,0)))),"Fix")))</f>
        <v>0</v>
      </c>
      <c r="O885" s="4">
        <f>IF(OR(INDEX($V$2:$V$1001,MATCH(ROWS($U$2:U885),$U$2:$U$1001,0),1)&gt;=100000,INDEX($AB$1005:$AQ$1005,1,MATCH(COLUMNS($AB$1006:AO1006),$AB$1006:$AQ$1006,0))&gt;=100000), " ",IF(INDEX($AB$2:$AQ$1001,MATCH(ROWS($U$2:U885),$U$2:$U$1001,0),MATCH(COLUMNS($AB$1006:AO1006),$AB$1006:$AQ$1006,0)), HYPERLINK("#",""), HYPERLINK(CONCATENATE("#metadata!", ADDRESS(INDEX($W$2:$W$1001,MATCH(ROWS($U$2:U885),$U$2:$U$1001,0),0), INDEX($AB$1004:$AQ$1004,1,MATCH(COLUMNS($AB$1006:AO1006),$AB$1006:$AQ$1006,0)))),"Fix")))</f>
        <v>0</v>
      </c>
      <c r="P885" s="4">
        <f>IF(OR(INDEX($V$2:$V$1001,MATCH(ROWS($U$2:U885),$U$2:$U$1001,0),1)&gt;=100000,INDEX($AB$1005:$AQ$1005,1,MATCH(COLUMNS($AB$1006:AP1006),$AB$1006:$AQ$1006,0))&gt;=100000), " ",IF(INDEX($AB$2:$AQ$1001,MATCH(ROWS($U$2:U885),$U$2:$U$1001,0),MATCH(COLUMNS($AB$1006:AP1006),$AB$1006:$AQ$1006,0)), HYPERLINK("#",""), HYPERLINK(CONCATENATE("#metadata!", ADDRESS(INDEX($W$2:$W$1001,MATCH(ROWS($U$2:U885),$U$2:$U$1001,0),0), INDEX($AB$1004:$AQ$1004,1,MATCH(COLUMNS($AB$1006:AP1006),$AB$1006:$AQ$1006,0)))),"Fix")))</f>
        <v>0</v>
      </c>
      <c r="Q885" s="4">
        <f>IF(OR(INDEX($V$2:$V$1001,MATCH(ROWS($U$2:U885),$U$2:$U$1001,0),1)&gt;=100000,INDEX($AB$1005:$AQ$1005,1,MATCH(COLUMNS($AB$1006:AQ1006),$AB$1006:$AQ$1006,0))&gt;=100000), " ",IF(INDEX($AB$2:$AQ$1001,MATCH(ROWS($U$2:U885),$U$2:$U$1001,0),MATCH(COLUMNS($AB$1006:AQ1006),$AB$1006:$AQ$1006,0)), HYPERLINK("#",""), HYPERLINK(CONCATENATE("#metadata!", ADDRESS(INDEX($W$2:$W$1001,MATCH(ROWS($U$2:U885),$U$2:$U$1001,0),0), INDEX($AB$1004:$AQ$1004,1,MATCH(COLUMNS($AB$1006:AQ1006),$AB$1006:$AQ$1006,0)))),"Fix")))</f>
        <v>0</v>
      </c>
      <c r="U885">
        <v>0</v>
      </c>
      <c r="V885">
        <v>0</v>
      </c>
      <c r="W885">
        <v>0</v>
      </c>
      <c r="X885">
        <f>IF(Y885,TRUE,AND(AB885:AQ885))</f>
        <v>0</v>
      </c>
      <c r="Y885">
        <f>COUNTBLANK(metadata!B885:Q885)=COLUMNS(metadata!B885:Q885)</f>
        <v>0</v>
      </c>
      <c r="Z885">
        <v>0</v>
      </c>
      <c r="AB885">
        <f>AND(IF(metadata!B885="",FALSE,TRUE),COUNTIF(metadata!B:B, metadata!B885) = 1,NOT(ISERROR(SUMPRODUCT(SEARCH(MID(metadata!B885,ROW(INDIRECT("1:"&amp;LEN(metadata!B885))), 1),"0123456789abcdefghijklmnopqrstuvwxyzABCDEFGHIJKLMNOPQRSTUVWXYZ.")))))</f>
        <v>0</v>
      </c>
      <c r="AC885">
        <f>OR(AND(IF(metadata!C885="",FALSE,TRUE),OR(exact(metadata!C885,"missing: not collected"),exact(metadata!C885,"missing: not provided"),exact(metadata!C885,"missing: restricted access"))),AND(IF(metadata!C885="",FALSE,TRUE),AND(AND(IFERROR(INT(LEFT(metadata!C885,4))&gt;1900,FALSE),IFERROR(INT(LEFT(metadata!C885,4))&lt;=YEAR(NOW()),FALSE)), OR(MID(metadata!C885,5,1)="", AND(AND(MID(metadata!C885,5,1)="-",IFERROR(INT(MID(metadata!C885,6,1))&gt;=0,FALSE),IFERROR(INT(MID(metadata!C885,6,1))&lt;=1,FALSE),NOT(MID(metadata!C885,7,1)=""),IFERROR(INT(MID(metadata!C885,6,2))&gt;=1,FALSE),IFERROR(INT(MID(metadata!C885,6,2))&lt;=12,FALSE)), OR(MID(metadata!C885,8,1)="", AND(AND(MID(metadata!C885,8,1)="-",IFERROR(INT(MID(metadata!C885,9,1))&gt;=0,FALSE),IFERROR(INT(MID(metadata!C885,9,1))&lt;=3,FALSE),NOT(MID(metadata!C885,10,1)=""),IFERROR(INT(MID(metadata!C885,9,2))&gt;=1,FALSE),IFERROR(INT(MID(metadata!C885,9,2))&lt;=31,FALSE)), OR(MID(metadata!C885,11,1)="", AND(AND(MID(metadata!C885,11,1)=" ",IFERROR(INT(MID(metadata!C885,12,1))&gt;=0,FALSE),IFERROR(INT(MID(metadata!C885,12,1))&lt;=2,FALSE),NOT(MID(metadata!C885,13,1)=""),IFERROR(INT(MID(metadata!C885,12,2))&gt;=0,FALSE),IFERROR(INT(MID(metadata!C885,12,2))&lt;=23,FALSE)), OR(MID(metadata!C885,14,1)="", AND(AND(MID(metadata!C885,14,1)=":",IFERROR(INT(MID(metadata!C885,15,1))&gt;=0,FALSE),IFERROR(INT(MID(metadata!C885,15,1))&lt;=5,FALSE),NOT(MID(metadata!C885,16,1)=""),IFERROR(INT(MID(metadata!C885,15,2))&gt;=0,FALSE),IFERROR(INT(MID(metadata!C885,15,2))&lt;=59,FALSE)), OR(MID(metadata!C885,17,1)="", AND(AND(MID(metadata!C885,17,1)=":",IFERROR(INT(MID(metadata!C885,18,1))&gt;=0,FALSE),IFERROR(INT(MID(metadata!C885,18,1))&lt;=5,FALSE),NOT(MID(metadata!C885,19,1)=""),IFERROR(INT(MID(metadata!C885,18,2))&gt;=0,FALSE),IFERROR(INT(MID(metadata!C885,18,2))&lt;=59,FALSE)), LEN(metadata!C885)&lt;=19)))))))))))))</f>
        <v>0</v>
      </c>
      <c r="AD885">
        <f>IF(metadata!D885="",FALSE,TRUE)</f>
        <v>0</v>
      </c>
      <c r="AE885">
        <f>OR(AND(IF(metadata!E885="",FALSE,TRUE),OR(exact(metadata!E885,"missing: not collected"),exact(metadata!E885,"missing: not provided"))),AND(IF(metadata!E885="",FALSE,TRUE),OR(exact(metadata!E885,"TRUE"),exact(metadata!E885,"FALSE"))))</f>
        <v>0</v>
      </c>
      <c r="AF885">
        <f>IF(metadata!F885="",FALSE,TRUE)</f>
        <v>0</v>
      </c>
      <c r="AG885">
        <f>IF(metadata!G885="",FALSE,TRUE)</f>
        <v>0</v>
      </c>
      <c r="AH885">
        <f>IF(metadata!H885="",FALSE,TRUE)</f>
        <v>0</v>
      </c>
      <c r="AI885">
        <f>OR(AND(IF(metadata!I885="",FALSE,TRUE),OR(exact(metadata!I885,"missing: not collected"),exact(metadata!I885,"missing: not provided"),exact(metadata!I885,"missing: restricted access"))),AND(IF(metadata!I885="",FALSE,TRUE),OR(exact(metadata!I885,"air"),exact(metadata!I885,"built environment"),exact(metadata!I885,"host-associated"),exact(metadata!I885,"human-associated"),exact(metadata!I885,"human-skin"),exact(metadata!I885,"human-oral"),exact(metadata!I885,"human-gut"),exact(metadata!I885,"human-vaginal"),exact(metadata!I885,"microbial mat/biofilm"),exact(metadata!I885,"misc environment"),exact(metadata!I885,"plant-associated"),exact(metadata!I885,"sediment"),exact(metadata!I885,"soil"),exact(metadata!I885,"wastewater/sludge"),exact(metadata!I885,"water"))))</f>
        <v>0</v>
      </c>
      <c r="AJ885">
        <f>IF(metadata!J885="",FALSE,TRUE)</f>
        <v>0</v>
      </c>
      <c r="AK885">
        <f>OR(AND(IF(metadata!K885="",FALSE,TRUE),OR(exact(metadata!K885,"missing: not collected"),exact(metadata!K885,"missing: not provided"),exact(metadata!K885,"missing: restricted access"))),AND(IF(metadata!K885="",FALSE,ISNUMBER(VALUE(metadata!K885))),metadata!K885&gt;=-90.00,metadata!K885&lt;=90.00))</f>
        <v>0</v>
      </c>
      <c r="AL885">
        <f>OR(AND(IF(metadata!L885="",FALSE,TRUE),OR(exact(metadata!L885,"missing: not collected"),exact(metadata!L885,"missing: not provided"),exact(metadata!L885,"missing: restricted access"))),AND(IF(metadata!L885="",FALSE,ISNUMBER(VALUE(metadata!L885))),metadata!L885&gt;=-180.00,metadata!L885&lt;=180.00))</f>
        <v>0</v>
      </c>
      <c r="AM885">
        <f>IF(metadata!M885="",FALSE,TRUE)</f>
        <v>0</v>
      </c>
      <c r="AN885">
        <f>OR(AND(IF(metadata!N885="",FALSE,TRUE),OR(exact(metadata!N885,"missing: not collected"),exact(metadata!N885,"missing: not provided"),exact(metadata!N885,"missing: restricted access"))),AND(IF(metadata!N885="",FALSE,TRUE),OR(exact(metadata!N885,"TRUE"),exact(metadata!N885,"FALSE"))))</f>
        <v>0</v>
      </c>
      <c r="AO885">
        <f>IF(metadata!O885="",FALSE,TRUE)</f>
        <v>0</v>
      </c>
      <c r="AP885">
        <f>OR(AND(IF(metadata!P885="",FALSE,TRUE),OR(exact(metadata!P885,"missing: not collected"),exact(metadata!P885,"missing: not provided"))),AND(IF(metadata!P885="",FALSE,IF(ISERROR(INT(metadata!P885)),FALSE,INT(metadata!P885)=metadata!P885)),metadata!P885&gt;0))</f>
        <v>0</v>
      </c>
      <c r="AQ885">
        <f>IF(metadata!Q885="",FALSE,TRUE)</f>
        <v>0</v>
      </c>
    </row>
    <row r="886" spans="1:43">
      <c r="A886" s="5">
        <f>IF(B886=" "," ",HYPERLINK(CONCATENATE("#metadata!",ADDRESS(INDEX($W$2:$W$1001,MATCH(ROWS($U$2:U886),$U$2:$U$1001,0),0),1)),INDEX($Z$2:$Z$1001,MATCH(ROWS($U$2:U886),$U$2:$U$1001,0),0)))</f>
        <v>0</v>
      </c>
      <c r="B886" s="4">
        <f>IF(OR(INDEX($V$2:$V$1001,MATCH(ROWS($U$2:U886),$U$2:$U$1001,0),1)&gt;=100000,INDEX($AB$1005:$AQ$1005,1,MATCH(COLUMNS($AB$1006:AB1006),$AB$1006:$AQ$1006,0))&gt;=100000), " ",IF(INDEX($AB$2:$AQ$1001,MATCH(ROWS($U$2:U886),$U$2:$U$1001,0),MATCH(COLUMNS($AB$1006:AB1006),$AB$1006:$AQ$1006,0)), HYPERLINK("#",""), HYPERLINK(CONCATENATE("#metadata!", ADDRESS(INDEX($W$2:$W$1001,MATCH(ROWS($U$2:U886),$U$2:$U$1001,0),0), INDEX($AB$1004:$AQ$1004,1,MATCH(COLUMNS($AB$1006:AB1006),$AB$1006:$AQ$1006,0)))),"Fix")))</f>
        <v>0</v>
      </c>
      <c r="C886" s="4">
        <f>IF(OR(INDEX($V$2:$V$1001,MATCH(ROWS($U$2:U886),$U$2:$U$1001,0),1)&gt;=100000,INDEX($AB$1005:$AQ$1005,1,MATCH(COLUMNS($AB$1006:AC1006),$AB$1006:$AQ$1006,0))&gt;=100000), " ",IF(INDEX($AB$2:$AQ$1001,MATCH(ROWS($U$2:U886),$U$2:$U$1001,0),MATCH(COLUMNS($AB$1006:AC1006),$AB$1006:$AQ$1006,0)), HYPERLINK("#",""), HYPERLINK(CONCATENATE("#metadata!", ADDRESS(INDEX($W$2:$W$1001,MATCH(ROWS($U$2:U886),$U$2:$U$1001,0),0), INDEX($AB$1004:$AQ$1004,1,MATCH(COLUMNS($AB$1006:AC1006),$AB$1006:$AQ$1006,0)))),"Fix")))</f>
        <v>0</v>
      </c>
      <c r="D886" s="4">
        <f>IF(OR(INDEX($V$2:$V$1001,MATCH(ROWS($U$2:U886),$U$2:$U$1001,0),1)&gt;=100000,INDEX($AB$1005:$AQ$1005,1,MATCH(COLUMNS($AB$1006:AD1006),$AB$1006:$AQ$1006,0))&gt;=100000), " ",IF(INDEX($AB$2:$AQ$1001,MATCH(ROWS($U$2:U886),$U$2:$U$1001,0),MATCH(COLUMNS($AB$1006:AD1006),$AB$1006:$AQ$1006,0)), HYPERLINK("#",""), HYPERLINK(CONCATENATE("#metadata!", ADDRESS(INDEX($W$2:$W$1001,MATCH(ROWS($U$2:U886),$U$2:$U$1001,0),0), INDEX($AB$1004:$AQ$1004,1,MATCH(COLUMNS($AB$1006:AD1006),$AB$1006:$AQ$1006,0)))),"Fix")))</f>
        <v>0</v>
      </c>
      <c r="E886" s="4">
        <f>IF(OR(INDEX($V$2:$V$1001,MATCH(ROWS($U$2:U886),$U$2:$U$1001,0),1)&gt;=100000,INDEX($AB$1005:$AQ$1005,1,MATCH(COLUMNS($AB$1006:AE1006),$AB$1006:$AQ$1006,0))&gt;=100000), " ",IF(INDEX($AB$2:$AQ$1001,MATCH(ROWS($U$2:U886),$U$2:$U$1001,0),MATCH(COLUMNS($AB$1006:AE1006),$AB$1006:$AQ$1006,0)), HYPERLINK("#",""), HYPERLINK(CONCATENATE("#metadata!", ADDRESS(INDEX($W$2:$W$1001,MATCH(ROWS($U$2:U886),$U$2:$U$1001,0),0), INDEX($AB$1004:$AQ$1004,1,MATCH(COLUMNS($AB$1006:AE1006),$AB$1006:$AQ$1006,0)))),"Fix")))</f>
        <v>0</v>
      </c>
      <c r="F886" s="4">
        <f>IF(OR(INDEX($V$2:$V$1001,MATCH(ROWS($U$2:U886),$U$2:$U$1001,0),1)&gt;=100000,INDEX($AB$1005:$AQ$1005,1,MATCH(COLUMNS($AB$1006:AF1006),$AB$1006:$AQ$1006,0))&gt;=100000), " ",IF(INDEX($AB$2:$AQ$1001,MATCH(ROWS($U$2:U886),$U$2:$U$1001,0),MATCH(COLUMNS($AB$1006:AF1006),$AB$1006:$AQ$1006,0)), HYPERLINK("#",""), HYPERLINK(CONCATENATE("#metadata!", ADDRESS(INDEX($W$2:$W$1001,MATCH(ROWS($U$2:U886),$U$2:$U$1001,0),0), INDEX($AB$1004:$AQ$1004,1,MATCH(COLUMNS($AB$1006:AF1006),$AB$1006:$AQ$1006,0)))),"Fix")))</f>
        <v>0</v>
      </c>
      <c r="G886" s="4">
        <f>IF(OR(INDEX($V$2:$V$1001,MATCH(ROWS($U$2:U886),$U$2:$U$1001,0),1)&gt;=100000,INDEX($AB$1005:$AQ$1005,1,MATCH(COLUMNS($AB$1006:AG1006),$AB$1006:$AQ$1006,0))&gt;=100000), " ",IF(INDEX($AB$2:$AQ$1001,MATCH(ROWS($U$2:U886),$U$2:$U$1001,0),MATCH(COLUMNS($AB$1006:AG1006),$AB$1006:$AQ$1006,0)), HYPERLINK("#",""), HYPERLINK(CONCATENATE("#metadata!", ADDRESS(INDEX($W$2:$W$1001,MATCH(ROWS($U$2:U886),$U$2:$U$1001,0),0), INDEX($AB$1004:$AQ$1004,1,MATCH(COLUMNS($AB$1006:AG1006),$AB$1006:$AQ$1006,0)))),"Fix")))</f>
        <v>0</v>
      </c>
      <c r="H886" s="4">
        <f>IF(OR(INDEX($V$2:$V$1001,MATCH(ROWS($U$2:U886),$U$2:$U$1001,0),1)&gt;=100000,INDEX($AB$1005:$AQ$1005,1,MATCH(COLUMNS($AB$1006:AH1006),$AB$1006:$AQ$1006,0))&gt;=100000), " ",IF(INDEX($AB$2:$AQ$1001,MATCH(ROWS($U$2:U886),$U$2:$U$1001,0),MATCH(COLUMNS($AB$1006:AH1006),$AB$1006:$AQ$1006,0)), HYPERLINK("#",""), HYPERLINK(CONCATENATE("#metadata!", ADDRESS(INDEX($W$2:$W$1001,MATCH(ROWS($U$2:U886),$U$2:$U$1001,0),0), INDEX($AB$1004:$AQ$1004,1,MATCH(COLUMNS($AB$1006:AH1006),$AB$1006:$AQ$1006,0)))),"Fix")))</f>
        <v>0</v>
      </c>
      <c r="I886" s="4">
        <f>IF(OR(INDEX($V$2:$V$1001,MATCH(ROWS($U$2:U886),$U$2:$U$1001,0),1)&gt;=100000,INDEX($AB$1005:$AQ$1005,1,MATCH(COLUMNS($AB$1006:AI1006),$AB$1006:$AQ$1006,0))&gt;=100000), " ",IF(INDEX($AB$2:$AQ$1001,MATCH(ROWS($U$2:U886),$U$2:$U$1001,0),MATCH(COLUMNS($AB$1006:AI1006),$AB$1006:$AQ$1006,0)), HYPERLINK("#",""), HYPERLINK(CONCATENATE("#metadata!", ADDRESS(INDEX($W$2:$W$1001,MATCH(ROWS($U$2:U886),$U$2:$U$1001,0),0), INDEX($AB$1004:$AQ$1004,1,MATCH(COLUMNS($AB$1006:AI1006),$AB$1006:$AQ$1006,0)))),"Fix")))</f>
        <v>0</v>
      </c>
      <c r="J886" s="4">
        <f>IF(OR(INDEX($V$2:$V$1001,MATCH(ROWS($U$2:U886),$U$2:$U$1001,0),1)&gt;=100000,INDEX($AB$1005:$AQ$1005,1,MATCH(COLUMNS($AB$1006:AJ1006),$AB$1006:$AQ$1006,0))&gt;=100000), " ",IF(INDEX($AB$2:$AQ$1001,MATCH(ROWS($U$2:U886),$U$2:$U$1001,0),MATCH(COLUMNS($AB$1006:AJ1006),$AB$1006:$AQ$1006,0)), HYPERLINK("#",""), HYPERLINK(CONCATENATE("#metadata!", ADDRESS(INDEX($W$2:$W$1001,MATCH(ROWS($U$2:U886),$U$2:$U$1001,0),0), INDEX($AB$1004:$AQ$1004,1,MATCH(COLUMNS($AB$1006:AJ1006),$AB$1006:$AQ$1006,0)))),"Fix")))</f>
        <v>0</v>
      </c>
      <c r="K886" s="4">
        <f>IF(OR(INDEX($V$2:$V$1001,MATCH(ROWS($U$2:U886),$U$2:$U$1001,0),1)&gt;=100000,INDEX($AB$1005:$AQ$1005,1,MATCH(COLUMNS($AB$1006:AK1006),$AB$1006:$AQ$1006,0))&gt;=100000), " ",IF(INDEX($AB$2:$AQ$1001,MATCH(ROWS($U$2:U886),$U$2:$U$1001,0),MATCH(COLUMNS($AB$1006:AK1006),$AB$1006:$AQ$1006,0)), HYPERLINK("#",""), HYPERLINK(CONCATENATE("#metadata!", ADDRESS(INDEX($W$2:$W$1001,MATCH(ROWS($U$2:U886),$U$2:$U$1001,0),0), INDEX($AB$1004:$AQ$1004,1,MATCH(COLUMNS($AB$1006:AK1006),$AB$1006:$AQ$1006,0)))),"Fix")))</f>
        <v>0</v>
      </c>
      <c r="L886" s="4">
        <f>IF(OR(INDEX($V$2:$V$1001,MATCH(ROWS($U$2:U886),$U$2:$U$1001,0),1)&gt;=100000,INDEX($AB$1005:$AQ$1005,1,MATCH(COLUMNS($AB$1006:AL1006),$AB$1006:$AQ$1006,0))&gt;=100000), " ",IF(INDEX($AB$2:$AQ$1001,MATCH(ROWS($U$2:U886),$U$2:$U$1001,0),MATCH(COLUMNS($AB$1006:AL1006),$AB$1006:$AQ$1006,0)), HYPERLINK("#",""), HYPERLINK(CONCATENATE("#metadata!", ADDRESS(INDEX($W$2:$W$1001,MATCH(ROWS($U$2:U886),$U$2:$U$1001,0),0), INDEX($AB$1004:$AQ$1004,1,MATCH(COLUMNS($AB$1006:AL1006),$AB$1006:$AQ$1006,0)))),"Fix")))</f>
        <v>0</v>
      </c>
      <c r="M886" s="4">
        <f>IF(OR(INDEX($V$2:$V$1001,MATCH(ROWS($U$2:U886),$U$2:$U$1001,0),1)&gt;=100000,INDEX($AB$1005:$AQ$1005,1,MATCH(COLUMNS($AB$1006:AM1006),$AB$1006:$AQ$1006,0))&gt;=100000), " ",IF(INDEX($AB$2:$AQ$1001,MATCH(ROWS($U$2:U886),$U$2:$U$1001,0),MATCH(COLUMNS($AB$1006:AM1006),$AB$1006:$AQ$1006,0)), HYPERLINK("#",""), HYPERLINK(CONCATENATE("#metadata!", ADDRESS(INDEX($W$2:$W$1001,MATCH(ROWS($U$2:U886),$U$2:$U$1001,0),0), INDEX($AB$1004:$AQ$1004,1,MATCH(COLUMNS($AB$1006:AM1006),$AB$1006:$AQ$1006,0)))),"Fix")))</f>
        <v>0</v>
      </c>
      <c r="N886" s="4">
        <f>IF(OR(INDEX($V$2:$V$1001,MATCH(ROWS($U$2:U886),$U$2:$U$1001,0),1)&gt;=100000,INDEX($AB$1005:$AQ$1005,1,MATCH(COLUMNS($AB$1006:AN1006),$AB$1006:$AQ$1006,0))&gt;=100000), " ",IF(INDEX($AB$2:$AQ$1001,MATCH(ROWS($U$2:U886),$U$2:$U$1001,0),MATCH(COLUMNS($AB$1006:AN1006),$AB$1006:$AQ$1006,0)), HYPERLINK("#",""), HYPERLINK(CONCATENATE("#metadata!", ADDRESS(INDEX($W$2:$W$1001,MATCH(ROWS($U$2:U886),$U$2:$U$1001,0),0), INDEX($AB$1004:$AQ$1004,1,MATCH(COLUMNS($AB$1006:AN1006),$AB$1006:$AQ$1006,0)))),"Fix")))</f>
        <v>0</v>
      </c>
      <c r="O886" s="4">
        <f>IF(OR(INDEX($V$2:$V$1001,MATCH(ROWS($U$2:U886),$U$2:$U$1001,0),1)&gt;=100000,INDEX($AB$1005:$AQ$1005,1,MATCH(COLUMNS($AB$1006:AO1006),$AB$1006:$AQ$1006,0))&gt;=100000), " ",IF(INDEX($AB$2:$AQ$1001,MATCH(ROWS($U$2:U886),$U$2:$U$1001,0),MATCH(COLUMNS($AB$1006:AO1006),$AB$1006:$AQ$1006,0)), HYPERLINK("#",""), HYPERLINK(CONCATENATE("#metadata!", ADDRESS(INDEX($W$2:$W$1001,MATCH(ROWS($U$2:U886),$U$2:$U$1001,0),0), INDEX($AB$1004:$AQ$1004,1,MATCH(COLUMNS($AB$1006:AO1006),$AB$1006:$AQ$1006,0)))),"Fix")))</f>
        <v>0</v>
      </c>
      <c r="P886" s="4">
        <f>IF(OR(INDEX($V$2:$V$1001,MATCH(ROWS($U$2:U886),$U$2:$U$1001,0),1)&gt;=100000,INDEX($AB$1005:$AQ$1005,1,MATCH(COLUMNS($AB$1006:AP1006),$AB$1006:$AQ$1006,0))&gt;=100000), " ",IF(INDEX($AB$2:$AQ$1001,MATCH(ROWS($U$2:U886),$U$2:$U$1001,0),MATCH(COLUMNS($AB$1006:AP1006),$AB$1006:$AQ$1006,0)), HYPERLINK("#",""), HYPERLINK(CONCATENATE("#metadata!", ADDRESS(INDEX($W$2:$W$1001,MATCH(ROWS($U$2:U886),$U$2:$U$1001,0),0), INDEX($AB$1004:$AQ$1004,1,MATCH(COLUMNS($AB$1006:AP1006),$AB$1006:$AQ$1006,0)))),"Fix")))</f>
        <v>0</v>
      </c>
      <c r="Q886" s="4">
        <f>IF(OR(INDEX($V$2:$V$1001,MATCH(ROWS($U$2:U886),$U$2:$U$1001,0),1)&gt;=100000,INDEX($AB$1005:$AQ$1005,1,MATCH(COLUMNS($AB$1006:AQ1006),$AB$1006:$AQ$1006,0))&gt;=100000), " ",IF(INDEX($AB$2:$AQ$1001,MATCH(ROWS($U$2:U886),$U$2:$U$1001,0),MATCH(COLUMNS($AB$1006:AQ1006),$AB$1006:$AQ$1006,0)), HYPERLINK("#",""), HYPERLINK(CONCATENATE("#metadata!", ADDRESS(INDEX($W$2:$W$1001,MATCH(ROWS($U$2:U886),$U$2:$U$1001,0),0), INDEX($AB$1004:$AQ$1004,1,MATCH(COLUMNS($AB$1006:AQ1006),$AB$1006:$AQ$1006,0)))),"Fix")))</f>
        <v>0</v>
      </c>
      <c r="U886">
        <v>0</v>
      </c>
      <c r="V886">
        <v>0</v>
      </c>
      <c r="W886">
        <v>0</v>
      </c>
      <c r="X886">
        <f>IF(Y886,TRUE,AND(AB886:AQ886))</f>
        <v>0</v>
      </c>
      <c r="Y886">
        <f>COUNTBLANK(metadata!B886:Q886)=COLUMNS(metadata!B886:Q886)</f>
        <v>0</v>
      </c>
      <c r="Z886">
        <v>0</v>
      </c>
      <c r="AB886">
        <f>AND(IF(metadata!B886="",FALSE,TRUE),COUNTIF(metadata!B:B, metadata!B886) = 1,NOT(ISERROR(SUMPRODUCT(SEARCH(MID(metadata!B886,ROW(INDIRECT("1:"&amp;LEN(metadata!B886))), 1),"0123456789abcdefghijklmnopqrstuvwxyzABCDEFGHIJKLMNOPQRSTUVWXYZ.")))))</f>
        <v>0</v>
      </c>
      <c r="AC886">
        <f>OR(AND(IF(metadata!C886="",FALSE,TRUE),OR(exact(metadata!C886,"missing: not collected"),exact(metadata!C886,"missing: not provided"),exact(metadata!C886,"missing: restricted access"))),AND(IF(metadata!C886="",FALSE,TRUE),AND(AND(IFERROR(INT(LEFT(metadata!C886,4))&gt;1900,FALSE),IFERROR(INT(LEFT(metadata!C886,4))&lt;=YEAR(NOW()),FALSE)), OR(MID(metadata!C886,5,1)="", AND(AND(MID(metadata!C886,5,1)="-",IFERROR(INT(MID(metadata!C886,6,1))&gt;=0,FALSE),IFERROR(INT(MID(metadata!C886,6,1))&lt;=1,FALSE),NOT(MID(metadata!C886,7,1)=""),IFERROR(INT(MID(metadata!C886,6,2))&gt;=1,FALSE),IFERROR(INT(MID(metadata!C886,6,2))&lt;=12,FALSE)), OR(MID(metadata!C886,8,1)="", AND(AND(MID(metadata!C886,8,1)="-",IFERROR(INT(MID(metadata!C886,9,1))&gt;=0,FALSE),IFERROR(INT(MID(metadata!C886,9,1))&lt;=3,FALSE),NOT(MID(metadata!C886,10,1)=""),IFERROR(INT(MID(metadata!C886,9,2))&gt;=1,FALSE),IFERROR(INT(MID(metadata!C886,9,2))&lt;=31,FALSE)), OR(MID(metadata!C886,11,1)="", AND(AND(MID(metadata!C886,11,1)=" ",IFERROR(INT(MID(metadata!C886,12,1))&gt;=0,FALSE),IFERROR(INT(MID(metadata!C886,12,1))&lt;=2,FALSE),NOT(MID(metadata!C886,13,1)=""),IFERROR(INT(MID(metadata!C886,12,2))&gt;=0,FALSE),IFERROR(INT(MID(metadata!C886,12,2))&lt;=23,FALSE)), OR(MID(metadata!C886,14,1)="", AND(AND(MID(metadata!C886,14,1)=":",IFERROR(INT(MID(metadata!C886,15,1))&gt;=0,FALSE),IFERROR(INT(MID(metadata!C886,15,1))&lt;=5,FALSE),NOT(MID(metadata!C886,16,1)=""),IFERROR(INT(MID(metadata!C886,15,2))&gt;=0,FALSE),IFERROR(INT(MID(metadata!C886,15,2))&lt;=59,FALSE)), OR(MID(metadata!C886,17,1)="", AND(AND(MID(metadata!C886,17,1)=":",IFERROR(INT(MID(metadata!C886,18,1))&gt;=0,FALSE),IFERROR(INT(MID(metadata!C886,18,1))&lt;=5,FALSE),NOT(MID(metadata!C886,19,1)=""),IFERROR(INT(MID(metadata!C886,18,2))&gt;=0,FALSE),IFERROR(INT(MID(metadata!C886,18,2))&lt;=59,FALSE)), LEN(metadata!C886)&lt;=19)))))))))))))</f>
        <v>0</v>
      </c>
      <c r="AD886">
        <f>IF(metadata!D886="",FALSE,TRUE)</f>
        <v>0</v>
      </c>
      <c r="AE886">
        <f>OR(AND(IF(metadata!E886="",FALSE,TRUE),OR(exact(metadata!E886,"missing: not collected"),exact(metadata!E886,"missing: not provided"))),AND(IF(metadata!E886="",FALSE,TRUE),OR(exact(metadata!E886,"TRUE"),exact(metadata!E886,"FALSE"))))</f>
        <v>0</v>
      </c>
      <c r="AF886">
        <f>IF(metadata!F886="",FALSE,TRUE)</f>
        <v>0</v>
      </c>
      <c r="AG886">
        <f>IF(metadata!G886="",FALSE,TRUE)</f>
        <v>0</v>
      </c>
      <c r="AH886">
        <f>IF(metadata!H886="",FALSE,TRUE)</f>
        <v>0</v>
      </c>
      <c r="AI886">
        <f>OR(AND(IF(metadata!I886="",FALSE,TRUE),OR(exact(metadata!I886,"missing: not collected"),exact(metadata!I886,"missing: not provided"),exact(metadata!I886,"missing: restricted access"))),AND(IF(metadata!I886="",FALSE,TRUE),OR(exact(metadata!I886,"air"),exact(metadata!I886,"built environment"),exact(metadata!I886,"host-associated"),exact(metadata!I886,"human-associated"),exact(metadata!I886,"human-skin"),exact(metadata!I886,"human-oral"),exact(metadata!I886,"human-gut"),exact(metadata!I886,"human-vaginal"),exact(metadata!I886,"microbial mat/biofilm"),exact(metadata!I886,"misc environment"),exact(metadata!I886,"plant-associated"),exact(metadata!I886,"sediment"),exact(metadata!I886,"soil"),exact(metadata!I886,"wastewater/sludge"),exact(metadata!I886,"water"))))</f>
        <v>0</v>
      </c>
      <c r="AJ886">
        <f>IF(metadata!J886="",FALSE,TRUE)</f>
        <v>0</v>
      </c>
      <c r="AK886">
        <f>OR(AND(IF(metadata!K886="",FALSE,TRUE),OR(exact(metadata!K886,"missing: not collected"),exact(metadata!K886,"missing: not provided"),exact(metadata!K886,"missing: restricted access"))),AND(IF(metadata!K886="",FALSE,ISNUMBER(VALUE(metadata!K886))),metadata!K886&gt;=-90.00,metadata!K886&lt;=90.00))</f>
        <v>0</v>
      </c>
      <c r="AL886">
        <f>OR(AND(IF(metadata!L886="",FALSE,TRUE),OR(exact(metadata!L886,"missing: not collected"),exact(metadata!L886,"missing: not provided"),exact(metadata!L886,"missing: restricted access"))),AND(IF(metadata!L886="",FALSE,ISNUMBER(VALUE(metadata!L886))),metadata!L886&gt;=-180.00,metadata!L886&lt;=180.00))</f>
        <v>0</v>
      </c>
      <c r="AM886">
        <f>IF(metadata!M886="",FALSE,TRUE)</f>
        <v>0</v>
      </c>
      <c r="AN886">
        <f>OR(AND(IF(metadata!N886="",FALSE,TRUE),OR(exact(metadata!N886,"missing: not collected"),exact(metadata!N886,"missing: not provided"),exact(metadata!N886,"missing: restricted access"))),AND(IF(metadata!N886="",FALSE,TRUE),OR(exact(metadata!N886,"TRUE"),exact(metadata!N886,"FALSE"))))</f>
        <v>0</v>
      </c>
      <c r="AO886">
        <f>IF(metadata!O886="",FALSE,TRUE)</f>
        <v>0</v>
      </c>
      <c r="AP886">
        <f>OR(AND(IF(metadata!P886="",FALSE,TRUE),OR(exact(metadata!P886,"missing: not collected"),exact(metadata!P886,"missing: not provided"))),AND(IF(metadata!P886="",FALSE,IF(ISERROR(INT(metadata!P886)),FALSE,INT(metadata!P886)=metadata!P886)),metadata!P886&gt;0))</f>
        <v>0</v>
      </c>
      <c r="AQ886">
        <f>IF(metadata!Q886="",FALSE,TRUE)</f>
        <v>0</v>
      </c>
    </row>
    <row r="887" spans="1:43">
      <c r="A887" s="5">
        <f>IF(B887=" "," ",HYPERLINK(CONCATENATE("#metadata!",ADDRESS(INDEX($W$2:$W$1001,MATCH(ROWS($U$2:U887),$U$2:$U$1001,0),0),1)),INDEX($Z$2:$Z$1001,MATCH(ROWS($U$2:U887),$U$2:$U$1001,0),0)))</f>
        <v>0</v>
      </c>
      <c r="B887" s="4">
        <f>IF(OR(INDEX($V$2:$V$1001,MATCH(ROWS($U$2:U887),$U$2:$U$1001,0),1)&gt;=100000,INDEX($AB$1005:$AQ$1005,1,MATCH(COLUMNS($AB$1006:AB1006),$AB$1006:$AQ$1006,0))&gt;=100000), " ",IF(INDEX($AB$2:$AQ$1001,MATCH(ROWS($U$2:U887),$U$2:$U$1001,0),MATCH(COLUMNS($AB$1006:AB1006),$AB$1006:$AQ$1006,0)), HYPERLINK("#",""), HYPERLINK(CONCATENATE("#metadata!", ADDRESS(INDEX($W$2:$W$1001,MATCH(ROWS($U$2:U887),$U$2:$U$1001,0),0), INDEX($AB$1004:$AQ$1004,1,MATCH(COLUMNS($AB$1006:AB1006),$AB$1006:$AQ$1006,0)))),"Fix")))</f>
        <v>0</v>
      </c>
      <c r="C887" s="4">
        <f>IF(OR(INDEX($V$2:$V$1001,MATCH(ROWS($U$2:U887),$U$2:$U$1001,0),1)&gt;=100000,INDEX($AB$1005:$AQ$1005,1,MATCH(COLUMNS($AB$1006:AC1006),$AB$1006:$AQ$1006,0))&gt;=100000), " ",IF(INDEX($AB$2:$AQ$1001,MATCH(ROWS($U$2:U887),$U$2:$U$1001,0),MATCH(COLUMNS($AB$1006:AC1006),$AB$1006:$AQ$1006,0)), HYPERLINK("#",""), HYPERLINK(CONCATENATE("#metadata!", ADDRESS(INDEX($W$2:$W$1001,MATCH(ROWS($U$2:U887),$U$2:$U$1001,0),0), INDEX($AB$1004:$AQ$1004,1,MATCH(COLUMNS($AB$1006:AC1006),$AB$1006:$AQ$1006,0)))),"Fix")))</f>
        <v>0</v>
      </c>
      <c r="D887" s="4">
        <f>IF(OR(INDEX($V$2:$V$1001,MATCH(ROWS($U$2:U887),$U$2:$U$1001,0),1)&gt;=100000,INDEX($AB$1005:$AQ$1005,1,MATCH(COLUMNS($AB$1006:AD1006),$AB$1006:$AQ$1006,0))&gt;=100000), " ",IF(INDEX($AB$2:$AQ$1001,MATCH(ROWS($U$2:U887),$U$2:$U$1001,0),MATCH(COLUMNS($AB$1006:AD1006),$AB$1006:$AQ$1006,0)), HYPERLINK("#",""), HYPERLINK(CONCATENATE("#metadata!", ADDRESS(INDEX($W$2:$W$1001,MATCH(ROWS($U$2:U887),$U$2:$U$1001,0),0), INDEX($AB$1004:$AQ$1004,1,MATCH(COLUMNS($AB$1006:AD1006),$AB$1006:$AQ$1006,0)))),"Fix")))</f>
        <v>0</v>
      </c>
      <c r="E887" s="4">
        <f>IF(OR(INDEX($V$2:$V$1001,MATCH(ROWS($U$2:U887),$U$2:$U$1001,0),1)&gt;=100000,INDEX($AB$1005:$AQ$1005,1,MATCH(COLUMNS($AB$1006:AE1006),$AB$1006:$AQ$1006,0))&gt;=100000), " ",IF(INDEX($AB$2:$AQ$1001,MATCH(ROWS($U$2:U887),$U$2:$U$1001,0),MATCH(COLUMNS($AB$1006:AE1006),$AB$1006:$AQ$1006,0)), HYPERLINK("#",""), HYPERLINK(CONCATENATE("#metadata!", ADDRESS(INDEX($W$2:$W$1001,MATCH(ROWS($U$2:U887),$U$2:$U$1001,0),0), INDEX($AB$1004:$AQ$1004,1,MATCH(COLUMNS($AB$1006:AE1006),$AB$1006:$AQ$1006,0)))),"Fix")))</f>
        <v>0</v>
      </c>
      <c r="F887" s="4">
        <f>IF(OR(INDEX($V$2:$V$1001,MATCH(ROWS($U$2:U887),$U$2:$U$1001,0),1)&gt;=100000,INDEX($AB$1005:$AQ$1005,1,MATCH(COLUMNS($AB$1006:AF1006),$AB$1006:$AQ$1006,0))&gt;=100000), " ",IF(INDEX($AB$2:$AQ$1001,MATCH(ROWS($U$2:U887),$U$2:$U$1001,0),MATCH(COLUMNS($AB$1006:AF1006),$AB$1006:$AQ$1006,0)), HYPERLINK("#",""), HYPERLINK(CONCATENATE("#metadata!", ADDRESS(INDEX($W$2:$W$1001,MATCH(ROWS($U$2:U887),$U$2:$U$1001,0),0), INDEX($AB$1004:$AQ$1004,1,MATCH(COLUMNS($AB$1006:AF1006),$AB$1006:$AQ$1006,0)))),"Fix")))</f>
        <v>0</v>
      </c>
      <c r="G887" s="4">
        <f>IF(OR(INDEX($V$2:$V$1001,MATCH(ROWS($U$2:U887),$U$2:$U$1001,0),1)&gt;=100000,INDEX($AB$1005:$AQ$1005,1,MATCH(COLUMNS($AB$1006:AG1006),$AB$1006:$AQ$1006,0))&gt;=100000), " ",IF(INDEX($AB$2:$AQ$1001,MATCH(ROWS($U$2:U887),$U$2:$U$1001,0),MATCH(COLUMNS($AB$1006:AG1006),$AB$1006:$AQ$1006,0)), HYPERLINK("#",""), HYPERLINK(CONCATENATE("#metadata!", ADDRESS(INDEX($W$2:$W$1001,MATCH(ROWS($U$2:U887),$U$2:$U$1001,0),0), INDEX($AB$1004:$AQ$1004,1,MATCH(COLUMNS($AB$1006:AG1006),$AB$1006:$AQ$1006,0)))),"Fix")))</f>
        <v>0</v>
      </c>
      <c r="H887" s="4">
        <f>IF(OR(INDEX($V$2:$V$1001,MATCH(ROWS($U$2:U887),$U$2:$U$1001,0),1)&gt;=100000,INDEX($AB$1005:$AQ$1005,1,MATCH(COLUMNS($AB$1006:AH1006),$AB$1006:$AQ$1006,0))&gt;=100000), " ",IF(INDEX($AB$2:$AQ$1001,MATCH(ROWS($U$2:U887),$U$2:$U$1001,0),MATCH(COLUMNS($AB$1006:AH1006),$AB$1006:$AQ$1006,0)), HYPERLINK("#",""), HYPERLINK(CONCATENATE("#metadata!", ADDRESS(INDEX($W$2:$W$1001,MATCH(ROWS($U$2:U887),$U$2:$U$1001,0),0), INDEX($AB$1004:$AQ$1004,1,MATCH(COLUMNS($AB$1006:AH1006),$AB$1006:$AQ$1006,0)))),"Fix")))</f>
        <v>0</v>
      </c>
      <c r="I887" s="4">
        <f>IF(OR(INDEX($V$2:$V$1001,MATCH(ROWS($U$2:U887),$U$2:$U$1001,0),1)&gt;=100000,INDEX($AB$1005:$AQ$1005,1,MATCH(COLUMNS($AB$1006:AI1006),$AB$1006:$AQ$1006,0))&gt;=100000), " ",IF(INDEX($AB$2:$AQ$1001,MATCH(ROWS($U$2:U887),$U$2:$U$1001,0),MATCH(COLUMNS($AB$1006:AI1006),$AB$1006:$AQ$1006,0)), HYPERLINK("#",""), HYPERLINK(CONCATENATE("#metadata!", ADDRESS(INDEX($W$2:$W$1001,MATCH(ROWS($U$2:U887),$U$2:$U$1001,0),0), INDEX($AB$1004:$AQ$1004,1,MATCH(COLUMNS($AB$1006:AI1006),$AB$1006:$AQ$1006,0)))),"Fix")))</f>
        <v>0</v>
      </c>
      <c r="J887" s="4">
        <f>IF(OR(INDEX($V$2:$V$1001,MATCH(ROWS($U$2:U887),$U$2:$U$1001,0),1)&gt;=100000,INDEX($AB$1005:$AQ$1005,1,MATCH(COLUMNS($AB$1006:AJ1006),$AB$1006:$AQ$1006,0))&gt;=100000), " ",IF(INDEX($AB$2:$AQ$1001,MATCH(ROWS($U$2:U887),$U$2:$U$1001,0),MATCH(COLUMNS($AB$1006:AJ1006),$AB$1006:$AQ$1006,0)), HYPERLINK("#",""), HYPERLINK(CONCATENATE("#metadata!", ADDRESS(INDEX($W$2:$W$1001,MATCH(ROWS($U$2:U887),$U$2:$U$1001,0),0), INDEX($AB$1004:$AQ$1004,1,MATCH(COLUMNS($AB$1006:AJ1006),$AB$1006:$AQ$1006,0)))),"Fix")))</f>
        <v>0</v>
      </c>
      <c r="K887" s="4">
        <f>IF(OR(INDEX($V$2:$V$1001,MATCH(ROWS($U$2:U887),$U$2:$U$1001,0),1)&gt;=100000,INDEX($AB$1005:$AQ$1005,1,MATCH(COLUMNS($AB$1006:AK1006),$AB$1006:$AQ$1006,0))&gt;=100000), " ",IF(INDEX($AB$2:$AQ$1001,MATCH(ROWS($U$2:U887),$U$2:$U$1001,0),MATCH(COLUMNS($AB$1006:AK1006),$AB$1006:$AQ$1006,0)), HYPERLINK("#",""), HYPERLINK(CONCATENATE("#metadata!", ADDRESS(INDEX($W$2:$W$1001,MATCH(ROWS($U$2:U887),$U$2:$U$1001,0),0), INDEX($AB$1004:$AQ$1004,1,MATCH(COLUMNS($AB$1006:AK1006),$AB$1006:$AQ$1006,0)))),"Fix")))</f>
        <v>0</v>
      </c>
      <c r="L887" s="4">
        <f>IF(OR(INDEX($V$2:$V$1001,MATCH(ROWS($U$2:U887),$U$2:$U$1001,0),1)&gt;=100000,INDEX($AB$1005:$AQ$1005,1,MATCH(COLUMNS($AB$1006:AL1006),$AB$1006:$AQ$1006,0))&gt;=100000), " ",IF(INDEX($AB$2:$AQ$1001,MATCH(ROWS($U$2:U887),$U$2:$U$1001,0),MATCH(COLUMNS($AB$1006:AL1006),$AB$1006:$AQ$1006,0)), HYPERLINK("#",""), HYPERLINK(CONCATENATE("#metadata!", ADDRESS(INDEX($W$2:$W$1001,MATCH(ROWS($U$2:U887),$U$2:$U$1001,0),0), INDEX($AB$1004:$AQ$1004,1,MATCH(COLUMNS($AB$1006:AL1006),$AB$1006:$AQ$1006,0)))),"Fix")))</f>
        <v>0</v>
      </c>
      <c r="M887" s="4">
        <f>IF(OR(INDEX($V$2:$V$1001,MATCH(ROWS($U$2:U887),$U$2:$U$1001,0),1)&gt;=100000,INDEX($AB$1005:$AQ$1005,1,MATCH(COLUMNS($AB$1006:AM1006),$AB$1006:$AQ$1006,0))&gt;=100000), " ",IF(INDEX($AB$2:$AQ$1001,MATCH(ROWS($U$2:U887),$U$2:$U$1001,0),MATCH(COLUMNS($AB$1006:AM1006),$AB$1006:$AQ$1006,0)), HYPERLINK("#",""), HYPERLINK(CONCATENATE("#metadata!", ADDRESS(INDEX($W$2:$W$1001,MATCH(ROWS($U$2:U887),$U$2:$U$1001,0),0), INDEX($AB$1004:$AQ$1004,1,MATCH(COLUMNS($AB$1006:AM1006),$AB$1006:$AQ$1006,0)))),"Fix")))</f>
        <v>0</v>
      </c>
      <c r="N887" s="4">
        <f>IF(OR(INDEX($V$2:$V$1001,MATCH(ROWS($U$2:U887),$U$2:$U$1001,0),1)&gt;=100000,INDEX($AB$1005:$AQ$1005,1,MATCH(COLUMNS($AB$1006:AN1006),$AB$1006:$AQ$1006,0))&gt;=100000), " ",IF(INDEX($AB$2:$AQ$1001,MATCH(ROWS($U$2:U887),$U$2:$U$1001,0),MATCH(COLUMNS($AB$1006:AN1006),$AB$1006:$AQ$1006,0)), HYPERLINK("#",""), HYPERLINK(CONCATENATE("#metadata!", ADDRESS(INDEX($W$2:$W$1001,MATCH(ROWS($U$2:U887),$U$2:$U$1001,0),0), INDEX($AB$1004:$AQ$1004,1,MATCH(COLUMNS($AB$1006:AN1006),$AB$1006:$AQ$1006,0)))),"Fix")))</f>
        <v>0</v>
      </c>
      <c r="O887" s="4">
        <f>IF(OR(INDEX($V$2:$V$1001,MATCH(ROWS($U$2:U887),$U$2:$U$1001,0),1)&gt;=100000,INDEX($AB$1005:$AQ$1005,1,MATCH(COLUMNS($AB$1006:AO1006),$AB$1006:$AQ$1006,0))&gt;=100000), " ",IF(INDEX($AB$2:$AQ$1001,MATCH(ROWS($U$2:U887),$U$2:$U$1001,0),MATCH(COLUMNS($AB$1006:AO1006),$AB$1006:$AQ$1006,0)), HYPERLINK("#",""), HYPERLINK(CONCATENATE("#metadata!", ADDRESS(INDEX($W$2:$W$1001,MATCH(ROWS($U$2:U887),$U$2:$U$1001,0),0), INDEX($AB$1004:$AQ$1004,1,MATCH(COLUMNS($AB$1006:AO1006),$AB$1006:$AQ$1006,0)))),"Fix")))</f>
        <v>0</v>
      </c>
      <c r="P887" s="4">
        <f>IF(OR(INDEX($V$2:$V$1001,MATCH(ROWS($U$2:U887),$U$2:$U$1001,0),1)&gt;=100000,INDEX($AB$1005:$AQ$1005,1,MATCH(COLUMNS($AB$1006:AP1006),$AB$1006:$AQ$1006,0))&gt;=100000), " ",IF(INDEX($AB$2:$AQ$1001,MATCH(ROWS($U$2:U887),$U$2:$U$1001,0),MATCH(COLUMNS($AB$1006:AP1006),$AB$1006:$AQ$1006,0)), HYPERLINK("#",""), HYPERLINK(CONCATENATE("#metadata!", ADDRESS(INDEX($W$2:$W$1001,MATCH(ROWS($U$2:U887),$U$2:$U$1001,0),0), INDEX($AB$1004:$AQ$1004,1,MATCH(COLUMNS($AB$1006:AP1006),$AB$1006:$AQ$1006,0)))),"Fix")))</f>
        <v>0</v>
      </c>
      <c r="Q887" s="4">
        <f>IF(OR(INDEX($V$2:$V$1001,MATCH(ROWS($U$2:U887),$U$2:$U$1001,0),1)&gt;=100000,INDEX($AB$1005:$AQ$1005,1,MATCH(COLUMNS($AB$1006:AQ1006),$AB$1006:$AQ$1006,0))&gt;=100000), " ",IF(INDEX($AB$2:$AQ$1001,MATCH(ROWS($U$2:U887),$U$2:$U$1001,0),MATCH(COLUMNS($AB$1006:AQ1006),$AB$1006:$AQ$1006,0)), HYPERLINK("#",""), HYPERLINK(CONCATENATE("#metadata!", ADDRESS(INDEX($W$2:$W$1001,MATCH(ROWS($U$2:U887),$U$2:$U$1001,0),0), INDEX($AB$1004:$AQ$1004,1,MATCH(COLUMNS($AB$1006:AQ1006),$AB$1006:$AQ$1006,0)))),"Fix")))</f>
        <v>0</v>
      </c>
      <c r="U887">
        <v>0</v>
      </c>
      <c r="V887">
        <v>0</v>
      </c>
      <c r="W887">
        <v>0</v>
      </c>
      <c r="X887">
        <f>IF(Y887,TRUE,AND(AB887:AQ887))</f>
        <v>0</v>
      </c>
      <c r="Y887">
        <f>COUNTBLANK(metadata!B887:Q887)=COLUMNS(metadata!B887:Q887)</f>
        <v>0</v>
      </c>
      <c r="Z887">
        <v>0</v>
      </c>
      <c r="AB887">
        <f>AND(IF(metadata!B887="",FALSE,TRUE),COUNTIF(metadata!B:B, metadata!B887) = 1,NOT(ISERROR(SUMPRODUCT(SEARCH(MID(metadata!B887,ROW(INDIRECT("1:"&amp;LEN(metadata!B887))), 1),"0123456789abcdefghijklmnopqrstuvwxyzABCDEFGHIJKLMNOPQRSTUVWXYZ.")))))</f>
        <v>0</v>
      </c>
      <c r="AC887">
        <f>OR(AND(IF(metadata!C887="",FALSE,TRUE),OR(exact(metadata!C887,"missing: not collected"),exact(metadata!C887,"missing: not provided"),exact(metadata!C887,"missing: restricted access"))),AND(IF(metadata!C887="",FALSE,TRUE),AND(AND(IFERROR(INT(LEFT(metadata!C887,4))&gt;1900,FALSE),IFERROR(INT(LEFT(metadata!C887,4))&lt;=YEAR(NOW()),FALSE)), OR(MID(metadata!C887,5,1)="", AND(AND(MID(metadata!C887,5,1)="-",IFERROR(INT(MID(metadata!C887,6,1))&gt;=0,FALSE),IFERROR(INT(MID(metadata!C887,6,1))&lt;=1,FALSE),NOT(MID(metadata!C887,7,1)=""),IFERROR(INT(MID(metadata!C887,6,2))&gt;=1,FALSE),IFERROR(INT(MID(metadata!C887,6,2))&lt;=12,FALSE)), OR(MID(metadata!C887,8,1)="", AND(AND(MID(metadata!C887,8,1)="-",IFERROR(INT(MID(metadata!C887,9,1))&gt;=0,FALSE),IFERROR(INT(MID(metadata!C887,9,1))&lt;=3,FALSE),NOT(MID(metadata!C887,10,1)=""),IFERROR(INT(MID(metadata!C887,9,2))&gt;=1,FALSE),IFERROR(INT(MID(metadata!C887,9,2))&lt;=31,FALSE)), OR(MID(metadata!C887,11,1)="", AND(AND(MID(metadata!C887,11,1)=" ",IFERROR(INT(MID(metadata!C887,12,1))&gt;=0,FALSE),IFERROR(INT(MID(metadata!C887,12,1))&lt;=2,FALSE),NOT(MID(metadata!C887,13,1)=""),IFERROR(INT(MID(metadata!C887,12,2))&gt;=0,FALSE),IFERROR(INT(MID(metadata!C887,12,2))&lt;=23,FALSE)), OR(MID(metadata!C887,14,1)="", AND(AND(MID(metadata!C887,14,1)=":",IFERROR(INT(MID(metadata!C887,15,1))&gt;=0,FALSE),IFERROR(INT(MID(metadata!C887,15,1))&lt;=5,FALSE),NOT(MID(metadata!C887,16,1)=""),IFERROR(INT(MID(metadata!C887,15,2))&gt;=0,FALSE),IFERROR(INT(MID(metadata!C887,15,2))&lt;=59,FALSE)), OR(MID(metadata!C887,17,1)="", AND(AND(MID(metadata!C887,17,1)=":",IFERROR(INT(MID(metadata!C887,18,1))&gt;=0,FALSE),IFERROR(INT(MID(metadata!C887,18,1))&lt;=5,FALSE),NOT(MID(metadata!C887,19,1)=""),IFERROR(INT(MID(metadata!C887,18,2))&gt;=0,FALSE),IFERROR(INT(MID(metadata!C887,18,2))&lt;=59,FALSE)), LEN(metadata!C887)&lt;=19)))))))))))))</f>
        <v>0</v>
      </c>
      <c r="AD887">
        <f>IF(metadata!D887="",FALSE,TRUE)</f>
        <v>0</v>
      </c>
      <c r="AE887">
        <f>OR(AND(IF(metadata!E887="",FALSE,TRUE),OR(exact(metadata!E887,"missing: not collected"),exact(metadata!E887,"missing: not provided"))),AND(IF(metadata!E887="",FALSE,TRUE),OR(exact(metadata!E887,"TRUE"),exact(metadata!E887,"FALSE"))))</f>
        <v>0</v>
      </c>
      <c r="AF887">
        <f>IF(metadata!F887="",FALSE,TRUE)</f>
        <v>0</v>
      </c>
      <c r="AG887">
        <f>IF(metadata!G887="",FALSE,TRUE)</f>
        <v>0</v>
      </c>
      <c r="AH887">
        <f>IF(metadata!H887="",FALSE,TRUE)</f>
        <v>0</v>
      </c>
      <c r="AI887">
        <f>OR(AND(IF(metadata!I887="",FALSE,TRUE),OR(exact(metadata!I887,"missing: not collected"),exact(metadata!I887,"missing: not provided"),exact(metadata!I887,"missing: restricted access"))),AND(IF(metadata!I887="",FALSE,TRUE),OR(exact(metadata!I887,"air"),exact(metadata!I887,"built environment"),exact(metadata!I887,"host-associated"),exact(metadata!I887,"human-associated"),exact(metadata!I887,"human-skin"),exact(metadata!I887,"human-oral"),exact(metadata!I887,"human-gut"),exact(metadata!I887,"human-vaginal"),exact(metadata!I887,"microbial mat/biofilm"),exact(metadata!I887,"misc environment"),exact(metadata!I887,"plant-associated"),exact(metadata!I887,"sediment"),exact(metadata!I887,"soil"),exact(metadata!I887,"wastewater/sludge"),exact(metadata!I887,"water"))))</f>
        <v>0</v>
      </c>
      <c r="AJ887">
        <f>IF(metadata!J887="",FALSE,TRUE)</f>
        <v>0</v>
      </c>
      <c r="AK887">
        <f>OR(AND(IF(metadata!K887="",FALSE,TRUE),OR(exact(metadata!K887,"missing: not collected"),exact(metadata!K887,"missing: not provided"),exact(metadata!K887,"missing: restricted access"))),AND(IF(metadata!K887="",FALSE,ISNUMBER(VALUE(metadata!K887))),metadata!K887&gt;=-90.00,metadata!K887&lt;=90.00))</f>
        <v>0</v>
      </c>
      <c r="AL887">
        <f>OR(AND(IF(metadata!L887="",FALSE,TRUE),OR(exact(metadata!L887,"missing: not collected"),exact(metadata!L887,"missing: not provided"),exact(metadata!L887,"missing: restricted access"))),AND(IF(metadata!L887="",FALSE,ISNUMBER(VALUE(metadata!L887))),metadata!L887&gt;=-180.00,metadata!L887&lt;=180.00))</f>
        <v>0</v>
      </c>
      <c r="AM887">
        <f>IF(metadata!M887="",FALSE,TRUE)</f>
        <v>0</v>
      </c>
      <c r="AN887">
        <f>OR(AND(IF(metadata!N887="",FALSE,TRUE),OR(exact(metadata!N887,"missing: not collected"),exact(metadata!N887,"missing: not provided"),exact(metadata!N887,"missing: restricted access"))),AND(IF(metadata!N887="",FALSE,TRUE),OR(exact(metadata!N887,"TRUE"),exact(metadata!N887,"FALSE"))))</f>
        <v>0</v>
      </c>
      <c r="AO887">
        <f>IF(metadata!O887="",FALSE,TRUE)</f>
        <v>0</v>
      </c>
      <c r="AP887">
        <f>OR(AND(IF(metadata!P887="",FALSE,TRUE),OR(exact(metadata!P887,"missing: not collected"),exact(metadata!P887,"missing: not provided"))),AND(IF(metadata!P887="",FALSE,IF(ISERROR(INT(metadata!P887)),FALSE,INT(metadata!P887)=metadata!P887)),metadata!P887&gt;0))</f>
        <v>0</v>
      </c>
      <c r="AQ887">
        <f>IF(metadata!Q887="",FALSE,TRUE)</f>
        <v>0</v>
      </c>
    </row>
    <row r="888" spans="1:43">
      <c r="A888" s="5">
        <f>IF(B888=" "," ",HYPERLINK(CONCATENATE("#metadata!",ADDRESS(INDEX($W$2:$W$1001,MATCH(ROWS($U$2:U888),$U$2:$U$1001,0),0),1)),INDEX($Z$2:$Z$1001,MATCH(ROWS($U$2:U888),$U$2:$U$1001,0),0)))</f>
        <v>0</v>
      </c>
      <c r="B888" s="4">
        <f>IF(OR(INDEX($V$2:$V$1001,MATCH(ROWS($U$2:U888),$U$2:$U$1001,0),1)&gt;=100000,INDEX($AB$1005:$AQ$1005,1,MATCH(COLUMNS($AB$1006:AB1006),$AB$1006:$AQ$1006,0))&gt;=100000), " ",IF(INDEX($AB$2:$AQ$1001,MATCH(ROWS($U$2:U888),$U$2:$U$1001,0),MATCH(COLUMNS($AB$1006:AB1006),$AB$1006:$AQ$1006,0)), HYPERLINK("#",""), HYPERLINK(CONCATENATE("#metadata!", ADDRESS(INDEX($W$2:$W$1001,MATCH(ROWS($U$2:U888),$U$2:$U$1001,0),0), INDEX($AB$1004:$AQ$1004,1,MATCH(COLUMNS($AB$1006:AB1006),$AB$1006:$AQ$1006,0)))),"Fix")))</f>
        <v>0</v>
      </c>
      <c r="C888" s="4">
        <f>IF(OR(INDEX($V$2:$V$1001,MATCH(ROWS($U$2:U888),$U$2:$U$1001,0),1)&gt;=100000,INDEX($AB$1005:$AQ$1005,1,MATCH(COLUMNS($AB$1006:AC1006),$AB$1006:$AQ$1006,0))&gt;=100000), " ",IF(INDEX($AB$2:$AQ$1001,MATCH(ROWS($U$2:U888),$U$2:$U$1001,0),MATCH(COLUMNS($AB$1006:AC1006),$AB$1006:$AQ$1006,0)), HYPERLINK("#",""), HYPERLINK(CONCATENATE("#metadata!", ADDRESS(INDEX($W$2:$W$1001,MATCH(ROWS($U$2:U888),$U$2:$U$1001,0),0), INDEX($AB$1004:$AQ$1004,1,MATCH(COLUMNS($AB$1006:AC1006),$AB$1006:$AQ$1006,0)))),"Fix")))</f>
        <v>0</v>
      </c>
      <c r="D888" s="4">
        <f>IF(OR(INDEX($V$2:$V$1001,MATCH(ROWS($U$2:U888),$U$2:$U$1001,0),1)&gt;=100000,INDEX($AB$1005:$AQ$1005,1,MATCH(COLUMNS($AB$1006:AD1006),$AB$1006:$AQ$1006,0))&gt;=100000), " ",IF(INDEX($AB$2:$AQ$1001,MATCH(ROWS($U$2:U888),$U$2:$U$1001,0),MATCH(COLUMNS($AB$1006:AD1006),$AB$1006:$AQ$1006,0)), HYPERLINK("#",""), HYPERLINK(CONCATENATE("#metadata!", ADDRESS(INDEX($W$2:$W$1001,MATCH(ROWS($U$2:U888),$U$2:$U$1001,0),0), INDEX($AB$1004:$AQ$1004,1,MATCH(COLUMNS($AB$1006:AD1006),$AB$1006:$AQ$1006,0)))),"Fix")))</f>
        <v>0</v>
      </c>
      <c r="E888" s="4">
        <f>IF(OR(INDEX($V$2:$V$1001,MATCH(ROWS($U$2:U888),$U$2:$U$1001,0),1)&gt;=100000,INDEX($AB$1005:$AQ$1005,1,MATCH(COLUMNS($AB$1006:AE1006),$AB$1006:$AQ$1006,0))&gt;=100000), " ",IF(INDEX($AB$2:$AQ$1001,MATCH(ROWS($U$2:U888),$U$2:$U$1001,0),MATCH(COLUMNS($AB$1006:AE1006),$AB$1006:$AQ$1006,0)), HYPERLINK("#",""), HYPERLINK(CONCATENATE("#metadata!", ADDRESS(INDEX($W$2:$W$1001,MATCH(ROWS($U$2:U888),$U$2:$U$1001,0),0), INDEX($AB$1004:$AQ$1004,1,MATCH(COLUMNS($AB$1006:AE1006),$AB$1006:$AQ$1006,0)))),"Fix")))</f>
        <v>0</v>
      </c>
      <c r="F888" s="4">
        <f>IF(OR(INDEX($V$2:$V$1001,MATCH(ROWS($U$2:U888),$U$2:$U$1001,0),1)&gt;=100000,INDEX($AB$1005:$AQ$1005,1,MATCH(COLUMNS($AB$1006:AF1006),$AB$1006:$AQ$1006,0))&gt;=100000), " ",IF(INDEX($AB$2:$AQ$1001,MATCH(ROWS($U$2:U888),$U$2:$U$1001,0),MATCH(COLUMNS($AB$1006:AF1006),$AB$1006:$AQ$1006,0)), HYPERLINK("#",""), HYPERLINK(CONCATENATE("#metadata!", ADDRESS(INDEX($W$2:$W$1001,MATCH(ROWS($U$2:U888),$U$2:$U$1001,0),0), INDEX($AB$1004:$AQ$1004,1,MATCH(COLUMNS($AB$1006:AF1006),$AB$1006:$AQ$1006,0)))),"Fix")))</f>
        <v>0</v>
      </c>
      <c r="G888" s="4">
        <f>IF(OR(INDEX($V$2:$V$1001,MATCH(ROWS($U$2:U888),$U$2:$U$1001,0),1)&gt;=100000,INDEX($AB$1005:$AQ$1005,1,MATCH(COLUMNS($AB$1006:AG1006),$AB$1006:$AQ$1006,0))&gt;=100000), " ",IF(INDEX($AB$2:$AQ$1001,MATCH(ROWS($U$2:U888),$U$2:$U$1001,0),MATCH(COLUMNS($AB$1006:AG1006),$AB$1006:$AQ$1006,0)), HYPERLINK("#",""), HYPERLINK(CONCATENATE("#metadata!", ADDRESS(INDEX($W$2:$W$1001,MATCH(ROWS($U$2:U888),$U$2:$U$1001,0),0), INDEX($AB$1004:$AQ$1004,1,MATCH(COLUMNS($AB$1006:AG1006),$AB$1006:$AQ$1006,0)))),"Fix")))</f>
        <v>0</v>
      </c>
      <c r="H888" s="4">
        <f>IF(OR(INDEX($V$2:$V$1001,MATCH(ROWS($U$2:U888),$U$2:$U$1001,0),1)&gt;=100000,INDEX($AB$1005:$AQ$1005,1,MATCH(COLUMNS($AB$1006:AH1006),$AB$1006:$AQ$1006,0))&gt;=100000), " ",IF(INDEX($AB$2:$AQ$1001,MATCH(ROWS($U$2:U888),$U$2:$U$1001,0),MATCH(COLUMNS($AB$1006:AH1006),$AB$1006:$AQ$1006,0)), HYPERLINK("#",""), HYPERLINK(CONCATENATE("#metadata!", ADDRESS(INDEX($W$2:$W$1001,MATCH(ROWS($U$2:U888),$U$2:$U$1001,0),0), INDEX($AB$1004:$AQ$1004,1,MATCH(COLUMNS($AB$1006:AH1006),$AB$1006:$AQ$1006,0)))),"Fix")))</f>
        <v>0</v>
      </c>
      <c r="I888" s="4">
        <f>IF(OR(INDEX($V$2:$V$1001,MATCH(ROWS($U$2:U888),$U$2:$U$1001,0),1)&gt;=100000,INDEX($AB$1005:$AQ$1005,1,MATCH(COLUMNS($AB$1006:AI1006),$AB$1006:$AQ$1006,0))&gt;=100000), " ",IF(INDEX($AB$2:$AQ$1001,MATCH(ROWS($U$2:U888),$U$2:$U$1001,0),MATCH(COLUMNS($AB$1006:AI1006),$AB$1006:$AQ$1006,0)), HYPERLINK("#",""), HYPERLINK(CONCATENATE("#metadata!", ADDRESS(INDEX($W$2:$W$1001,MATCH(ROWS($U$2:U888),$U$2:$U$1001,0),0), INDEX($AB$1004:$AQ$1004,1,MATCH(COLUMNS($AB$1006:AI1006),$AB$1006:$AQ$1006,0)))),"Fix")))</f>
        <v>0</v>
      </c>
      <c r="J888" s="4">
        <f>IF(OR(INDEX($V$2:$V$1001,MATCH(ROWS($U$2:U888),$U$2:$U$1001,0),1)&gt;=100000,INDEX($AB$1005:$AQ$1005,1,MATCH(COLUMNS($AB$1006:AJ1006),$AB$1006:$AQ$1006,0))&gt;=100000), " ",IF(INDEX($AB$2:$AQ$1001,MATCH(ROWS($U$2:U888),$U$2:$U$1001,0),MATCH(COLUMNS($AB$1006:AJ1006),$AB$1006:$AQ$1006,0)), HYPERLINK("#",""), HYPERLINK(CONCATENATE("#metadata!", ADDRESS(INDEX($W$2:$W$1001,MATCH(ROWS($U$2:U888),$U$2:$U$1001,0),0), INDEX($AB$1004:$AQ$1004,1,MATCH(COLUMNS($AB$1006:AJ1006),$AB$1006:$AQ$1006,0)))),"Fix")))</f>
        <v>0</v>
      </c>
      <c r="K888" s="4">
        <f>IF(OR(INDEX($V$2:$V$1001,MATCH(ROWS($U$2:U888),$U$2:$U$1001,0),1)&gt;=100000,INDEX($AB$1005:$AQ$1005,1,MATCH(COLUMNS($AB$1006:AK1006),$AB$1006:$AQ$1006,0))&gt;=100000), " ",IF(INDEX($AB$2:$AQ$1001,MATCH(ROWS($U$2:U888),$U$2:$U$1001,0),MATCH(COLUMNS($AB$1006:AK1006),$AB$1006:$AQ$1006,0)), HYPERLINK("#",""), HYPERLINK(CONCATENATE("#metadata!", ADDRESS(INDEX($W$2:$W$1001,MATCH(ROWS($U$2:U888),$U$2:$U$1001,0),0), INDEX($AB$1004:$AQ$1004,1,MATCH(COLUMNS($AB$1006:AK1006),$AB$1006:$AQ$1006,0)))),"Fix")))</f>
        <v>0</v>
      </c>
      <c r="L888" s="4">
        <f>IF(OR(INDEX($V$2:$V$1001,MATCH(ROWS($U$2:U888),$U$2:$U$1001,0),1)&gt;=100000,INDEX($AB$1005:$AQ$1005,1,MATCH(COLUMNS($AB$1006:AL1006),$AB$1006:$AQ$1006,0))&gt;=100000), " ",IF(INDEX($AB$2:$AQ$1001,MATCH(ROWS($U$2:U888),$U$2:$U$1001,0),MATCH(COLUMNS($AB$1006:AL1006),$AB$1006:$AQ$1006,0)), HYPERLINK("#",""), HYPERLINK(CONCATENATE("#metadata!", ADDRESS(INDEX($W$2:$W$1001,MATCH(ROWS($U$2:U888),$U$2:$U$1001,0),0), INDEX($AB$1004:$AQ$1004,1,MATCH(COLUMNS($AB$1006:AL1006),$AB$1006:$AQ$1006,0)))),"Fix")))</f>
        <v>0</v>
      </c>
      <c r="M888" s="4">
        <f>IF(OR(INDEX($V$2:$V$1001,MATCH(ROWS($U$2:U888),$U$2:$U$1001,0),1)&gt;=100000,INDEX($AB$1005:$AQ$1005,1,MATCH(COLUMNS($AB$1006:AM1006),$AB$1006:$AQ$1006,0))&gt;=100000), " ",IF(INDEX($AB$2:$AQ$1001,MATCH(ROWS($U$2:U888),$U$2:$U$1001,0),MATCH(COLUMNS($AB$1006:AM1006),$AB$1006:$AQ$1006,0)), HYPERLINK("#",""), HYPERLINK(CONCATENATE("#metadata!", ADDRESS(INDEX($W$2:$W$1001,MATCH(ROWS($U$2:U888),$U$2:$U$1001,0),0), INDEX($AB$1004:$AQ$1004,1,MATCH(COLUMNS($AB$1006:AM1006),$AB$1006:$AQ$1006,0)))),"Fix")))</f>
        <v>0</v>
      </c>
      <c r="N888" s="4">
        <f>IF(OR(INDEX($V$2:$V$1001,MATCH(ROWS($U$2:U888),$U$2:$U$1001,0),1)&gt;=100000,INDEX($AB$1005:$AQ$1005,1,MATCH(COLUMNS($AB$1006:AN1006),$AB$1006:$AQ$1006,0))&gt;=100000), " ",IF(INDEX($AB$2:$AQ$1001,MATCH(ROWS($U$2:U888),$U$2:$U$1001,0),MATCH(COLUMNS($AB$1006:AN1006),$AB$1006:$AQ$1006,0)), HYPERLINK("#",""), HYPERLINK(CONCATENATE("#metadata!", ADDRESS(INDEX($W$2:$W$1001,MATCH(ROWS($U$2:U888),$U$2:$U$1001,0),0), INDEX($AB$1004:$AQ$1004,1,MATCH(COLUMNS($AB$1006:AN1006),$AB$1006:$AQ$1006,0)))),"Fix")))</f>
        <v>0</v>
      </c>
      <c r="O888" s="4">
        <f>IF(OR(INDEX($V$2:$V$1001,MATCH(ROWS($U$2:U888),$U$2:$U$1001,0),1)&gt;=100000,INDEX($AB$1005:$AQ$1005,1,MATCH(COLUMNS($AB$1006:AO1006),$AB$1006:$AQ$1006,0))&gt;=100000), " ",IF(INDEX($AB$2:$AQ$1001,MATCH(ROWS($U$2:U888),$U$2:$U$1001,0),MATCH(COLUMNS($AB$1006:AO1006),$AB$1006:$AQ$1006,0)), HYPERLINK("#",""), HYPERLINK(CONCATENATE("#metadata!", ADDRESS(INDEX($W$2:$W$1001,MATCH(ROWS($U$2:U888),$U$2:$U$1001,0),0), INDEX($AB$1004:$AQ$1004,1,MATCH(COLUMNS($AB$1006:AO1006),$AB$1006:$AQ$1006,0)))),"Fix")))</f>
        <v>0</v>
      </c>
      <c r="P888" s="4">
        <f>IF(OR(INDEX($V$2:$V$1001,MATCH(ROWS($U$2:U888),$U$2:$U$1001,0),1)&gt;=100000,INDEX($AB$1005:$AQ$1005,1,MATCH(COLUMNS($AB$1006:AP1006),$AB$1006:$AQ$1006,0))&gt;=100000), " ",IF(INDEX($AB$2:$AQ$1001,MATCH(ROWS($U$2:U888),$U$2:$U$1001,0),MATCH(COLUMNS($AB$1006:AP1006),$AB$1006:$AQ$1006,0)), HYPERLINK("#",""), HYPERLINK(CONCATENATE("#metadata!", ADDRESS(INDEX($W$2:$W$1001,MATCH(ROWS($U$2:U888),$U$2:$U$1001,0),0), INDEX($AB$1004:$AQ$1004,1,MATCH(COLUMNS($AB$1006:AP1006),$AB$1006:$AQ$1006,0)))),"Fix")))</f>
        <v>0</v>
      </c>
      <c r="Q888" s="4">
        <f>IF(OR(INDEX($V$2:$V$1001,MATCH(ROWS($U$2:U888),$U$2:$U$1001,0),1)&gt;=100000,INDEX($AB$1005:$AQ$1005,1,MATCH(COLUMNS($AB$1006:AQ1006),$AB$1006:$AQ$1006,0))&gt;=100000), " ",IF(INDEX($AB$2:$AQ$1001,MATCH(ROWS($U$2:U888),$U$2:$U$1001,0),MATCH(COLUMNS($AB$1006:AQ1006),$AB$1006:$AQ$1006,0)), HYPERLINK("#",""), HYPERLINK(CONCATENATE("#metadata!", ADDRESS(INDEX($W$2:$W$1001,MATCH(ROWS($U$2:U888),$U$2:$U$1001,0),0), INDEX($AB$1004:$AQ$1004,1,MATCH(COLUMNS($AB$1006:AQ1006),$AB$1006:$AQ$1006,0)))),"Fix")))</f>
        <v>0</v>
      </c>
      <c r="U888">
        <v>0</v>
      </c>
      <c r="V888">
        <v>0</v>
      </c>
      <c r="W888">
        <v>0</v>
      </c>
      <c r="X888">
        <f>IF(Y888,TRUE,AND(AB888:AQ888))</f>
        <v>0</v>
      </c>
      <c r="Y888">
        <f>COUNTBLANK(metadata!B888:Q888)=COLUMNS(metadata!B888:Q888)</f>
        <v>0</v>
      </c>
      <c r="Z888">
        <v>0</v>
      </c>
      <c r="AB888">
        <f>AND(IF(metadata!B888="",FALSE,TRUE),COUNTIF(metadata!B:B, metadata!B888) = 1,NOT(ISERROR(SUMPRODUCT(SEARCH(MID(metadata!B888,ROW(INDIRECT("1:"&amp;LEN(metadata!B888))), 1),"0123456789abcdefghijklmnopqrstuvwxyzABCDEFGHIJKLMNOPQRSTUVWXYZ.")))))</f>
        <v>0</v>
      </c>
      <c r="AC888">
        <f>OR(AND(IF(metadata!C888="",FALSE,TRUE),OR(exact(metadata!C888,"missing: not collected"),exact(metadata!C888,"missing: not provided"),exact(metadata!C888,"missing: restricted access"))),AND(IF(metadata!C888="",FALSE,TRUE),AND(AND(IFERROR(INT(LEFT(metadata!C888,4))&gt;1900,FALSE),IFERROR(INT(LEFT(metadata!C888,4))&lt;=YEAR(NOW()),FALSE)), OR(MID(metadata!C888,5,1)="", AND(AND(MID(metadata!C888,5,1)="-",IFERROR(INT(MID(metadata!C888,6,1))&gt;=0,FALSE),IFERROR(INT(MID(metadata!C888,6,1))&lt;=1,FALSE),NOT(MID(metadata!C888,7,1)=""),IFERROR(INT(MID(metadata!C888,6,2))&gt;=1,FALSE),IFERROR(INT(MID(metadata!C888,6,2))&lt;=12,FALSE)), OR(MID(metadata!C888,8,1)="", AND(AND(MID(metadata!C888,8,1)="-",IFERROR(INT(MID(metadata!C888,9,1))&gt;=0,FALSE),IFERROR(INT(MID(metadata!C888,9,1))&lt;=3,FALSE),NOT(MID(metadata!C888,10,1)=""),IFERROR(INT(MID(metadata!C888,9,2))&gt;=1,FALSE),IFERROR(INT(MID(metadata!C888,9,2))&lt;=31,FALSE)), OR(MID(metadata!C888,11,1)="", AND(AND(MID(metadata!C888,11,1)=" ",IFERROR(INT(MID(metadata!C888,12,1))&gt;=0,FALSE),IFERROR(INT(MID(metadata!C888,12,1))&lt;=2,FALSE),NOT(MID(metadata!C888,13,1)=""),IFERROR(INT(MID(metadata!C888,12,2))&gt;=0,FALSE),IFERROR(INT(MID(metadata!C888,12,2))&lt;=23,FALSE)), OR(MID(metadata!C888,14,1)="", AND(AND(MID(metadata!C888,14,1)=":",IFERROR(INT(MID(metadata!C888,15,1))&gt;=0,FALSE),IFERROR(INT(MID(metadata!C888,15,1))&lt;=5,FALSE),NOT(MID(metadata!C888,16,1)=""),IFERROR(INT(MID(metadata!C888,15,2))&gt;=0,FALSE),IFERROR(INT(MID(metadata!C888,15,2))&lt;=59,FALSE)), OR(MID(metadata!C888,17,1)="", AND(AND(MID(metadata!C888,17,1)=":",IFERROR(INT(MID(metadata!C888,18,1))&gt;=0,FALSE),IFERROR(INT(MID(metadata!C888,18,1))&lt;=5,FALSE),NOT(MID(metadata!C888,19,1)=""),IFERROR(INT(MID(metadata!C888,18,2))&gt;=0,FALSE),IFERROR(INT(MID(metadata!C888,18,2))&lt;=59,FALSE)), LEN(metadata!C888)&lt;=19)))))))))))))</f>
        <v>0</v>
      </c>
      <c r="AD888">
        <f>IF(metadata!D888="",FALSE,TRUE)</f>
        <v>0</v>
      </c>
      <c r="AE888">
        <f>OR(AND(IF(metadata!E888="",FALSE,TRUE),OR(exact(metadata!E888,"missing: not collected"),exact(metadata!E888,"missing: not provided"))),AND(IF(metadata!E888="",FALSE,TRUE),OR(exact(metadata!E888,"TRUE"),exact(metadata!E888,"FALSE"))))</f>
        <v>0</v>
      </c>
      <c r="AF888">
        <f>IF(metadata!F888="",FALSE,TRUE)</f>
        <v>0</v>
      </c>
      <c r="AG888">
        <f>IF(metadata!G888="",FALSE,TRUE)</f>
        <v>0</v>
      </c>
      <c r="AH888">
        <f>IF(metadata!H888="",FALSE,TRUE)</f>
        <v>0</v>
      </c>
      <c r="AI888">
        <f>OR(AND(IF(metadata!I888="",FALSE,TRUE),OR(exact(metadata!I888,"missing: not collected"),exact(metadata!I888,"missing: not provided"),exact(metadata!I888,"missing: restricted access"))),AND(IF(metadata!I888="",FALSE,TRUE),OR(exact(metadata!I888,"air"),exact(metadata!I888,"built environment"),exact(metadata!I888,"host-associated"),exact(metadata!I888,"human-associated"),exact(metadata!I888,"human-skin"),exact(metadata!I888,"human-oral"),exact(metadata!I888,"human-gut"),exact(metadata!I888,"human-vaginal"),exact(metadata!I888,"microbial mat/biofilm"),exact(metadata!I888,"misc environment"),exact(metadata!I888,"plant-associated"),exact(metadata!I888,"sediment"),exact(metadata!I888,"soil"),exact(metadata!I888,"wastewater/sludge"),exact(metadata!I888,"water"))))</f>
        <v>0</v>
      </c>
      <c r="AJ888">
        <f>IF(metadata!J888="",FALSE,TRUE)</f>
        <v>0</v>
      </c>
      <c r="AK888">
        <f>OR(AND(IF(metadata!K888="",FALSE,TRUE),OR(exact(metadata!K888,"missing: not collected"),exact(metadata!K888,"missing: not provided"),exact(metadata!K888,"missing: restricted access"))),AND(IF(metadata!K888="",FALSE,ISNUMBER(VALUE(metadata!K888))),metadata!K888&gt;=-90.00,metadata!K888&lt;=90.00))</f>
        <v>0</v>
      </c>
      <c r="AL888">
        <f>OR(AND(IF(metadata!L888="",FALSE,TRUE),OR(exact(metadata!L888,"missing: not collected"),exact(metadata!L888,"missing: not provided"),exact(metadata!L888,"missing: restricted access"))),AND(IF(metadata!L888="",FALSE,ISNUMBER(VALUE(metadata!L888))),metadata!L888&gt;=-180.00,metadata!L888&lt;=180.00))</f>
        <v>0</v>
      </c>
      <c r="AM888">
        <f>IF(metadata!M888="",FALSE,TRUE)</f>
        <v>0</v>
      </c>
      <c r="AN888">
        <f>OR(AND(IF(metadata!N888="",FALSE,TRUE),OR(exact(metadata!N888,"missing: not collected"),exact(metadata!N888,"missing: not provided"),exact(metadata!N888,"missing: restricted access"))),AND(IF(metadata!N888="",FALSE,TRUE),OR(exact(metadata!N888,"TRUE"),exact(metadata!N888,"FALSE"))))</f>
        <v>0</v>
      </c>
      <c r="AO888">
        <f>IF(metadata!O888="",FALSE,TRUE)</f>
        <v>0</v>
      </c>
      <c r="AP888">
        <f>OR(AND(IF(metadata!P888="",FALSE,TRUE),OR(exact(metadata!P888,"missing: not collected"),exact(metadata!P888,"missing: not provided"))),AND(IF(metadata!P888="",FALSE,IF(ISERROR(INT(metadata!P888)),FALSE,INT(metadata!P888)=metadata!P888)),metadata!P888&gt;0))</f>
        <v>0</v>
      </c>
      <c r="AQ888">
        <f>IF(metadata!Q888="",FALSE,TRUE)</f>
        <v>0</v>
      </c>
    </row>
    <row r="889" spans="1:43">
      <c r="A889" s="5">
        <f>IF(B889=" "," ",HYPERLINK(CONCATENATE("#metadata!",ADDRESS(INDEX($W$2:$W$1001,MATCH(ROWS($U$2:U889),$U$2:$U$1001,0),0),1)),INDEX($Z$2:$Z$1001,MATCH(ROWS($U$2:U889),$U$2:$U$1001,0),0)))</f>
        <v>0</v>
      </c>
      <c r="B889" s="4">
        <f>IF(OR(INDEX($V$2:$V$1001,MATCH(ROWS($U$2:U889),$U$2:$U$1001,0),1)&gt;=100000,INDEX($AB$1005:$AQ$1005,1,MATCH(COLUMNS($AB$1006:AB1006),$AB$1006:$AQ$1006,0))&gt;=100000), " ",IF(INDEX($AB$2:$AQ$1001,MATCH(ROWS($U$2:U889),$U$2:$U$1001,0),MATCH(COLUMNS($AB$1006:AB1006),$AB$1006:$AQ$1006,0)), HYPERLINK("#",""), HYPERLINK(CONCATENATE("#metadata!", ADDRESS(INDEX($W$2:$W$1001,MATCH(ROWS($U$2:U889),$U$2:$U$1001,0),0), INDEX($AB$1004:$AQ$1004,1,MATCH(COLUMNS($AB$1006:AB1006),$AB$1006:$AQ$1006,0)))),"Fix")))</f>
        <v>0</v>
      </c>
      <c r="C889" s="4">
        <f>IF(OR(INDEX($V$2:$V$1001,MATCH(ROWS($U$2:U889),$U$2:$U$1001,0),1)&gt;=100000,INDEX($AB$1005:$AQ$1005,1,MATCH(COLUMNS($AB$1006:AC1006),$AB$1006:$AQ$1006,0))&gt;=100000), " ",IF(INDEX($AB$2:$AQ$1001,MATCH(ROWS($U$2:U889),$U$2:$U$1001,0),MATCH(COLUMNS($AB$1006:AC1006),$AB$1006:$AQ$1006,0)), HYPERLINK("#",""), HYPERLINK(CONCATENATE("#metadata!", ADDRESS(INDEX($W$2:$W$1001,MATCH(ROWS($U$2:U889),$U$2:$U$1001,0),0), INDEX($AB$1004:$AQ$1004,1,MATCH(COLUMNS($AB$1006:AC1006),$AB$1006:$AQ$1006,0)))),"Fix")))</f>
        <v>0</v>
      </c>
      <c r="D889" s="4">
        <f>IF(OR(INDEX($V$2:$V$1001,MATCH(ROWS($U$2:U889),$U$2:$U$1001,0),1)&gt;=100000,INDEX($AB$1005:$AQ$1005,1,MATCH(COLUMNS($AB$1006:AD1006),$AB$1006:$AQ$1006,0))&gt;=100000), " ",IF(INDEX($AB$2:$AQ$1001,MATCH(ROWS($U$2:U889),$U$2:$U$1001,0),MATCH(COLUMNS($AB$1006:AD1006),$AB$1006:$AQ$1006,0)), HYPERLINK("#",""), HYPERLINK(CONCATENATE("#metadata!", ADDRESS(INDEX($W$2:$W$1001,MATCH(ROWS($U$2:U889),$U$2:$U$1001,0),0), INDEX($AB$1004:$AQ$1004,1,MATCH(COLUMNS($AB$1006:AD1006),$AB$1006:$AQ$1006,0)))),"Fix")))</f>
        <v>0</v>
      </c>
      <c r="E889" s="4">
        <f>IF(OR(INDEX($V$2:$V$1001,MATCH(ROWS($U$2:U889),$U$2:$U$1001,0),1)&gt;=100000,INDEX($AB$1005:$AQ$1005,1,MATCH(COLUMNS($AB$1006:AE1006),$AB$1006:$AQ$1006,0))&gt;=100000), " ",IF(INDEX($AB$2:$AQ$1001,MATCH(ROWS($U$2:U889),$U$2:$U$1001,0),MATCH(COLUMNS($AB$1006:AE1006),$AB$1006:$AQ$1006,0)), HYPERLINK("#",""), HYPERLINK(CONCATENATE("#metadata!", ADDRESS(INDEX($W$2:$W$1001,MATCH(ROWS($U$2:U889),$U$2:$U$1001,0),0), INDEX($AB$1004:$AQ$1004,1,MATCH(COLUMNS($AB$1006:AE1006),$AB$1006:$AQ$1006,0)))),"Fix")))</f>
        <v>0</v>
      </c>
      <c r="F889" s="4">
        <f>IF(OR(INDEX($V$2:$V$1001,MATCH(ROWS($U$2:U889),$U$2:$U$1001,0),1)&gt;=100000,INDEX($AB$1005:$AQ$1005,1,MATCH(COLUMNS($AB$1006:AF1006),$AB$1006:$AQ$1006,0))&gt;=100000), " ",IF(INDEX($AB$2:$AQ$1001,MATCH(ROWS($U$2:U889),$U$2:$U$1001,0),MATCH(COLUMNS($AB$1006:AF1006),$AB$1006:$AQ$1006,0)), HYPERLINK("#",""), HYPERLINK(CONCATENATE("#metadata!", ADDRESS(INDEX($W$2:$W$1001,MATCH(ROWS($U$2:U889),$U$2:$U$1001,0),0), INDEX($AB$1004:$AQ$1004,1,MATCH(COLUMNS($AB$1006:AF1006),$AB$1006:$AQ$1006,0)))),"Fix")))</f>
        <v>0</v>
      </c>
      <c r="G889" s="4">
        <f>IF(OR(INDEX($V$2:$V$1001,MATCH(ROWS($U$2:U889),$U$2:$U$1001,0),1)&gt;=100000,INDEX($AB$1005:$AQ$1005,1,MATCH(COLUMNS($AB$1006:AG1006),$AB$1006:$AQ$1006,0))&gt;=100000), " ",IF(INDEX($AB$2:$AQ$1001,MATCH(ROWS($U$2:U889),$U$2:$U$1001,0),MATCH(COLUMNS($AB$1006:AG1006),$AB$1006:$AQ$1006,0)), HYPERLINK("#",""), HYPERLINK(CONCATENATE("#metadata!", ADDRESS(INDEX($W$2:$W$1001,MATCH(ROWS($U$2:U889),$U$2:$U$1001,0),0), INDEX($AB$1004:$AQ$1004,1,MATCH(COLUMNS($AB$1006:AG1006),$AB$1006:$AQ$1006,0)))),"Fix")))</f>
        <v>0</v>
      </c>
      <c r="H889" s="4">
        <f>IF(OR(INDEX($V$2:$V$1001,MATCH(ROWS($U$2:U889),$U$2:$U$1001,0),1)&gt;=100000,INDEX($AB$1005:$AQ$1005,1,MATCH(COLUMNS($AB$1006:AH1006),$AB$1006:$AQ$1006,0))&gt;=100000), " ",IF(INDEX($AB$2:$AQ$1001,MATCH(ROWS($U$2:U889),$U$2:$U$1001,0),MATCH(COLUMNS($AB$1006:AH1006),$AB$1006:$AQ$1006,0)), HYPERLINK("#",""), HYPERLINK(CONCATENATE("#metadata!", ADDRESS(INDEX($W$2:$W$1001,MATCH(ROWS($U$2:U889),$U$2:$U$1001,0),0), INDEX($AB$1004:$AQ$1004,1,MATCH(COLUMNS($AB$1006:AH1006),$AB$1006:$AQ$1006,0)))),"Fix")))</f>
        <v>0</v>
      </c>
      <c r="I889" s="4">
        <f>IF(OR(INDEX($V$2:$V$1001,MATCH(ROWS($U$2:U889),$U$2:$U$1001,0),1)&gt;=100000,INDEX($AB$1005:$AQ$1005,1,MATCH(COLUMNS($AB$1006:AI1006),$AB$1006:$AQ$1006,0))&gt;=100000), " ",IF(INDEX($AB$2:$AQ$1001,MATCH(ROWS($U$2:U889),$U$2:$U$1001,0),MATCH(COLUMNS($AB$1006:AI1006),$AB$1006:$AQ$1006,0)), HYPERLINK("#",""), HYPERLINK(CONCATENATE("#metadata!", ADDRESS(INDEX($W$2:$W$1001,MATCH(ROWS($U$2:U889),$U$2:$U$1001,0),0), INDEX($AB$1004:$AQ$1004,1,MATCH(COLUMNS($AB$1006:AI1006),$AB$1006:$AQ$1006,0)))),"Fix")))</f>
        <v>0</v>
      </c>
      <c r="J889" s="4">
        <f>IF(OR(INDEX($V$2:$V$1001,MATCH(ROWS($U$2:U889),$U$2:$U$1001,0),1)&gt;=100000,INDEX($AB$1005:$AQ$1005,1,MATCH(COLUMNS($AB$1006:AJ1006),$AB$1006:$AQ$1006,0))&gt;=100000), " ",IF(INDEX($AB$2:$AQ$1001,MATCH(ROWS($U$2:U889),$U$2:$U$1001,0),MATCH(COLUMNS($AB$1006:AJ1006),$AB$1006:$AQ$1006,0)), HYPERLINK("#",""), HYPERLINK(CONCATENATE("#metadata!", ADDRESS(INDEX($W$2:$W$1001,MATCH(ROWS($U$2:U889),$U$2:$U$1001,0),0), INDEX($AB$1004:$AQ$1004,1,MATCH(COLUMNS($AB$1006:AJ1006),$AB$1006:$AQ$1006,0)))),"Fix")))</f>
        <v>0</v>
      </c>
      <c r="K889" s="4">
        <f>IF(OR(INDEX($V$2:$V$1001,MATCH(ROWS($U$2:U889),$U$2:$U$1001,0),1)&gt;=100000,INDEX($AB$1005:$AQ$1005,1,MATCH(COLUMNS($AB$1006:AK1006),$AB$1006:$AQ$1006,0))&gt;=100000), " ",IF(INDEX($AB$2:$AQ$1001,MATCH(ROWS($U$2:U889),$U$2:$U$1001,0),MATCH(COLUMNS($AB$1006:AK1006),$AB$1006:$AQ$1006,0)), HYPERLINK("#",""), HYPERLINK(CONCATENATE("#metadata!", ADDRESS(INDEX($W$2:$W$1001,MATCH(ROWS($U$2:U889),$U$2:$U$1001,0),0), INDEX($AB$1004:$AQ$1004,1,MATCH(COLUMNS($AB$1006:AK1006),$AB$1006:$AQ$1006,0)))),"Fix")))</f>
        <v>0</v>
      </c>
      <c r="L889" s="4">
        <f>IF(OR(INDEX($V$2:$V$1001,MATCH(ROWS($U$2:U889),$U$2:$U$1001,0),1)&gt;=100000,INDEX($AB$1005:$AQ$1005,1,MATCH(COLUMNS($AB$1006:AL1006),$AB$1006:$AQ$1006,0))&gt;=100000), " ",IF(INDEX($AB$2:$AQ$1001,MATCH(ROWS($U$2:U889),$U$2:$U$1001,0),MATCH(COLUMNS($AB$1006:AL1006),$AB$1006:$AQ$1006,0)), HYPERLINK("#",""), HYPERLINK(CONCATENATE("#metadata!", ADDRESS(INDEX($W$2:$W$1001,MATCH(ROWS($U$2:U889),$U$2:$U$1001,0),0), INDEX($AB$1004:$AQ$1004,1,MATCH(COLUMNS($AB$1006:AL1006),$AB$1006:$AQ$1006,0)))),"Fix")))</f>
        <v>0</v>
      </c>
      <c r="M889" s="4">
        <f>IF(OR(INDEX($V$2:$V$1001,MATCH(ROWS($U$2:U889),$U$2:$U$1001,0),1)&gt;=100000,INDEX($AB$1005:$AQ$1005,1,MATCH(COLUMNS($AB$1006:AM1006),$AB$1006:$AQ$1006,0))&gt;=100000), " ",IF(INDEX($AB$2:$AQ$1001,MATCH(ROWS($U$2:U889),$U$2:$U$1001,0),MATCH(COLUMNS($AB$1006:AM1006),$AB$1006:$AQ$1006,0)), HYPERLINK("#",""), HYPERLINK(CONCATENATE("#metadata!", ADDRESS(INDEX($W$2:$W$1001,MATCH(ROWS($U$2:U889),$U$2:$U$1001,0),0), INDEX($AB$1004:$AQ$1004,1,MATCH(COLUMNS($AB$1006:AM1006),$AB$1006:$AQ$1006,0)))),"Fix")))</f>
        <v>0</v>
      </c>
      <c r="N889" s="4">
        <f>IF(OR(INDEX($V$2:$V$1001,MATCH(ROWS($U$2:U889),$U$2:$U$1001,0),1)&gt;=100000,INDEX($AB$1005:$AQ$1005,1,MATCH(COLUMNS($AB$1006:AN1006),$AB$1006:$AQ$1006,0))&gt;=100000), " ",IF(INDEX($AB$2:$AQ$1001,MATCH(ROWS($U$2:U889),$U$2:$U$1001,0),MATCH(COLUMNS($AB$1006:AN1006),$AB$1006:$AQ$1006,0)), HYPERLINK("#",""), HYPERLINK(CONCATENATE("#metadata!", ADDRESS(INDEX($W$2:$W$1001,MATCH(ROWS($U$2:U889),$U$2:$U$1001,0),0), INDEX($AB$1004:$AQ$1004,1,MATCH(COLUMNS($AB$1006:AN1006),$AB$1006:$AQ$1006,0)))),"Fix")))</f>
        <v>0</v>
      </c>
      <c r="O889" s="4">
        <f>IF(OR(INDEX($V$2:$V$1001,MATCH(ROWS($U$2:U889),$U$2:$U$1001,0),1)&gt;=100000,INDEX($AB$1005:$AQ$1005,1,MATCH(COLUMNS($AB$1006:AO1006),$AB$1006:$AQ$1006,0))&gt;=100000), " ",IF(INDEX($AB$2:$AQ$1001,MATCH(ROWS($U$2:U889),$U$2:$U$1001,0),MATCH(COLUMNS($AB$1006:AO1006),$AB$1006:$AQ$1006,0)), HYPERLINK("#",""), HYPERLINK(CONCATENATE("#metadata!", ADDRESS(INDEX($W$2:$W$1001,MATCH(ROWS($U$2:U889),$U$2:$U$1001,0),0), INDEX($AB$1004:$AQ$1004,1,MATCH(COLUMNS($AB$1006:AO1006),$AB$1006:$AQ$1006,0)))),"Fix")))</f>
        <v>0</v>
      </c>
      <c r="P889" s="4">
        <f>IF(OR(INDEX($V$2:$V$1001,MATCH(ROWS($U$2:U889),$U$2:$U$1001,0),1)&gt;=100000,INDEX($AB$1005:$AQ$1005,1,MATCH(COLUMNS($AB$1006:AP1006),$AB$1006:$AQ$1006,0))&gt;=100000), " ",IF(INDEX($AB$2:$AQ$1001,MATCH(ROWS($U$2:U889),$U$2:$U$1001,0),MATCH(COLUMNS($AB$1006:AP1006),$AB$1006:$AQ$1006,0)), HYPERLINK("#",""), HYPERLINK(CONCATENATE("#metadata!", ADDRESS(INDEX($W$2:$W$1001,MATCH(ROWS($U$2:U889),$U$2:$U$1001,0),0), INDEX($AB$1004:$AQ$1004,1,MATCH(COLUMNS($AB$1006:AP1006),$AB$1006:$AQ$1006,0)))),"Fix")))</f>
        <v>0</v>
      </c>
      <c r="Q889" s="4">
        <f>IF(OR(INDEX($V$2:$V$1001,MATCH(ROWS($U$2:U889),$U$2:$U$1001,0),1)&gt;=100000,INDEX($AB$1005:$AQ$1005,1,MATCH(COLUMNS($AB$1006:AQ1006),$AB$1006:$AQ$1006,0))&gt;=100000), " ",IF(INDEX($AB$2:$AQ$1001,MATCH(ROWS($U$2:U889),$U$2:$U$1001,0),MATCH(COLUMNS($AB$1006:AQ1006),$AB$1006:$AQ$1006,0)), HYPERLINK("#",""), HYPERLINK(CONCATENATE("#metadata!", ADDRESS(INDEX($W$2:$W$1001,MATCH(ROWS($U$2:U889),$U$2:$U$1001,0),0), INDEX($AB$1004:$AQ$1004,1,MATCH(COLUMNS($AB$1006:AQ1006),$AB$1006:$AQ$1006,0)))),"Fix")))</f>
        <v>0</v>
      </c>
      <c r="U889">
        <v>0</v>
      </c>
      <c r="V889">
        <v>0</v>
      </c>
      <c r="W889">
        <v>0</v>
      </c>
      <c r="X889">
        <f>IF(Y889,TRUE,AND(AB889:AQ889))</f>
        <v>0</v>
      </c>
      <c r="Y889">
        <f>COUNTBLANK(metadata!B889:Q889)=COLUMNS(metadata!B889:Q889)</f>
        <v>0</v>
      </c>
      <c r="Z889">
        <v>0</v>
      </c>
      <c r="AB889">
        <f>AND(IF(metadata!B889="",FALSE,TRUE),COUNTIF(metadata!B:B, metadata!B889) = 1,NOT(ISERROR(SUMPRODUCT(SEARCH(MID(metadata!B889,ROW(INDIRECT("1:"&amp;LEN(metadata!B889))), 1),"0123456789abcdefghijklmnopqrstuvwxyzABCDEFGHIJKLMNOPQRSTUVWXYZ.")))))</f>
        <v>0</v>
      </c>
      <c r="AC889">
        <f>OR(AND(IF(metadata!C889="",FALSE,TRUE),OR(exact(metadata!C889,"missing: not collected"),exact(metadata!C889,"missing: not provided"),exact(metadata!C889,"missing: restricted access"))),AND(IF(metadata!C889="",FALSE,TRUE),AND(AND(IFERROR(INT(LEFT(metadata!C889,4))&gt;1900,FALSE),IFERROR(INT(LEFT(metadata!C889,4))&lt;=YEAR(NOW()),FALSE)), OR(MID(metadata!C889,5,1)="", AND(AND(MID(metadata!C889,5,1)="-",IFERROR(INT(MID(metadata!C889,6,1))&gt;=0,FALSE),IFERROR(INT(MID(metadata!C889,6,1))&lt;=1,FALSE),NOT(MID(metadata!C889,7,1)=""),IFERROR(INT(MID(metadata!C889,6,2))&gt;=1,FALSE),IFERROR(INT(MID(metadata!C889,6,2))&lt;=12,FALSE)), OR(MID(metadata!C889,8,1)="", AND(AND(MID(metadata!C889,8,1)="-",IFERROR(INT(MID(metadata!C889,9,1))&gt;=0,FALSE),IFERROR(INT(MID(metadata!C889,9,1))&lt;=3,FALSE),NOT(MID(metadata!C889,10,1)=""),IFERROR(INT(MID(metadata!C889,9,2))&gt;=1,FALSE),IFERROR(INT(MID(metadata!C889,9,2))&lt;=31,FALSE)), OR(MID(metadata!C889,11,1)="", AND(AND(MID(metadata!C889,11,1)=" ",IFERROR(INT(MID(metadata!C889,12,1))&gt;=0,FALSE),IFERROR(INT(MID(metadata!C889,12,1))&lt;=2,FALSE),NOT(MID(metadata!C889,13,1)=""),IFERROR(INT(MID(metadata!C889,12,2))&gt;=0,FALSE),IFERROR(INT(MID(metadata!C889,12,2))&lt;=23,FALSE)), OR(MID(metadata!C889,14,1)="", AND(AND(MID(metadata!C889,14,1)=":",IFERROR(INT(MID(metadata!C889,15,1))&gt;=0,FALSE),IFERROR(INT(MID(metadata!C889,15,1))&lt;=5,FALSE),NOT(MID(metadata!C889,16,1)=""),IFERROR(INT(MID(metadata!C889,15,2))&gt;=0,FALSE),IFERROR(INT(MID(metadata!C889,15,2))&lt;=59,FALSE)), OR(MID(metadata!C889,17,1)="", AND(AND(MID(metadata!C889,17,1)=":",IFERROR(INT(MID(metadata!C889,18,1))&gt;=0,FALSE),IFERROR(INT(MID(metadata!C889,18,1))&lt;=5,FALSE),NOT(MID(metadata!C889,19,1)=""),IFERROR(INT(MID(metadata!C889,18,2))&gt;=0,FALSE),IFERROR(INT(MID(metadata!C889,18,2))&lt;=59,FALSE)), LEN(metadata!C889)&lt;=19)))))))))))))</f>
        <v>0</v>
      </c>
      <c r="AD889">
        <f>IF(metadata!D889="",FALSE,TRUE)</f>
        <v>0</v>
      </c>
      <c r="AE889">
        <f>OR(AND(IF(metadata!E889="",FALSE,TRUE),OR(exact(metadata!E889,"missing: not collected"),exact(metadata!E889,"missing: not provided"))),AND(IF(metadata!E889="",FALSE,TRUE),OR(exact(metadata!E889,"TRUE"),exact(metadata!E889,"FALSE"))))</f>
        <v>0</v>
      </c>
      <c r="AF889">
        <f>IF(metadata!F889="",FALSE,TRUE)</f>
        <v>0</v>
      </c>
      <c r="AG889">
        <f>IF(metadata!G889="",FALSE,TRUE)</f>
        <v>0</v>
      </c>
      <c r="AH889">
        <f>IF(metadata!H889="",FALSE,TRUE)</f>
        <v>0</v>
      </c>
      <c r="AI889">
        <f>OR(AND(IF(metadata!I889="",FALSE,TRUE),OR(exact(metadata!I889,"missing: not collected"),exact(metadata!I889,"missing: not provided"),exact(metadata!I889,"missing: restricted access"))),AND(IF(metadata!I889="",FALSE,TRUE),OR(exact(metadata!I889,"air"),exact(metadata!I889,"built environment"),exact(metadata!I889,"host-associated"),exact(metadata!I889,"human-associated"),exact(metadata!I889,"human-skin"),exact(metadata!I889,"human-oral"),exact(metadata!I889,"human-gut"),exact(metadata!I889,"human-vaginal"),exact(metadata!I889,"microbial mat/biofilm"),exact(metadata!I889,"misc environment"),exact(metadata!I889,"plant-associated"),exact(metadata!I889,"sediment"),exact(metadata!I889,"soil"),exact(metadata!I889,"wastewater/sludge"),exact(metadata!I889,"water"))))</f>
        <v>0</v>
      </c>
      <c r="AJ889">
        <f>IF(metadata!J889="",FALSE,TRUE)</f>
        <v>0</v>
      </c>
      <c r="AK889">
        <f>OR(AND(IF(metadata!K889="",FALSE,TRUE),OR(exact(metadata!K889,"missing: not collected"),exact(metadata!K889,"missing: not provided"),exact(metadata!K889,"missing: restricted access"))),AND(IF(metadata!K889="",FALSE,ISNUMBER(VALUE(metadata!K889))),metadata!K889&gt;=-90.00,metadata!K889&lt;=90.00))</f>
        <v>0</v>
      </c>
      <c r="AL889">
        <f>OR(AND(IF(metadata!L889="",FALSE,TRUE),OR(exact(metadata!L889,"missing: not collected"),exact(metadata!L889,"missing: not provided"),exact(metadata!L889,"missing: restricted access"))),AND(IF(metadata!L889="",FALSE,ISNUMBER(VALUE(metadata!L889))),metadata!L889&gt;=-180.00,metadata!L889&lt;=180.00))</f>
        <v>0</v>
      </c>
      <c r="AM889">
        <f>IF(metadata!M889="",FALSE,TRUE)</f>
        <v>0</v>
      </c>
      <c r="AN889">
        <f>OR(AND(IF(metadata!N889="",FALSE,TRUE),OR(exact(metadata!N889,"missing: not collected"),exact(metadata!N889,"missing: not provided"),exact(metadata!N889,"missing: restricted access"))),AND(IF(metadata!N889="",FALSE,TRUE),OR(exact(metadata!N889,"TRUE"),exact(metadata!N889,"FALSE"))))</f>
        <v>0</v>
      </c>
      <c r="AO889">
        <f>IF(metadata!O889="",FALSE,TRUE)</f>
        <v>0</v>
      </c>
      <c r="AP889">
        <f>OR(AND(IF(metadata!P889="",FALSE,TRUE),OR(exact(metadata!P889,"missing: not collected"),exact(metadata!P889,"missing: not provided"))),AND(IF(metadata!P889="",FALSE,IF(ISERROR(INT(metadata!P889)),FALSE,INT(metadata!P889)=metadata!P889)),metadata!P889&gt;0))</f>
        <v>0</v>
      </c>
      <c r="AQ889">
        <f>IF(metadata!Q889="",FALSE,TRUE)</f>
        <v>0</v>
      </c>
    </row>
    <row r="890" spans="1:43">
      <c r="A890" s="5">
        <f>IF(B890=" "," ",HYPERLINK(CONCATENATE("#metadata!",ADDRESS(INDEX($W$2:$W$1001,MATCH(ROWS($U$2:U890),$U$2:$U$1001,0),0),1)),INDEX($Z$2:$Z$1001,MATCH(ROWS($U$2:U890),$U$2:$U$1001,0),0)))</f>
        <v>0</v>
      </c>
      <c r="B890" s="4">
        <f>IF(OR(INDEX($V$2:$V$1001,MATCH(ROWS($U$2:U890),$U$2:$U$1001,0),1)&gt;=100000,INDEX($AB$1005:$AQ$1005,1,MATCH(COLUMNS($AB$1006:AB1006),$AB$1006:$AQ$1006,0))&gt;=100000), " ",IF(INDEX($AB$2:$AQ$1001,MATCH(ROWS($U$2:U890),$U$2:$U$1001,0),MATCH(COLUMNS($AB$1006:AB1006),$AB$1006:$AQ$1006,0)), HYPERLINK("#",""), HYPERLINK(CONCATENATE("#metadata!", ADDRESS(INDEX($W$2:$W$1001,MATCH(ROWS($U$2:U890),$U$2:$U$1001,0),0), INDEX($AB$1004:$AQ$1004,1,MATCH(COLUMNS($AB$1006:AB1006),$AB$1006:$AQ$1006,0)))),"Fix")))</f>
        <v>0</v>
      </c>
      <c r="C890" s="4">
        <f>IF(OR(INDEX($V$2:$V$1001,MATCH(ROWS($U$2:U890),$U$2:$U$1001,0),1)&gt;=100000,INDEX($AB$1005:$AQ$1005,1,MATCH(COLUMNS($AB$1006:AC1006),$AB$1006:$AQ$1006,0))&gt;=100000), " ",IF(INDEX($AB$2:$AQ$1001,MATCH(ROWS($U$2:U890),$U$2:$U$1001,0),MATCH(COLUMNS($AB$1006:AC1006),$AB$1006:$AQ$1006,0)), HYPERLINK("#",""), HYPERLINK(CONCATENATE("#metadata!", ADDRESS(INDEX($W$2:$W$1001,MATCH(ROWS($U$2:U890),$U$2:$U$1001,0),0), INDEX($AB$1004:$AQ$1004,1,MATCH(COLUMNS($AB$1006:AC1006),$AB$1006:$AQ$1006,0)))),"Fix")))</f>
        <v>0</v>
      </c>
      <c r="D890" s="4">
        <f>IF(OR(INDEX($V$2:$V$1001,MATCH(ROWS($U$2:U890),$U$2:$U$1001,0),1)&gt;=100000,INDEX($AB$1005:$AQ$1005,1,MATCH(COLUMNS($AB$1006:AD1006),$AB$1006:$AQ$1006,0))&gt;=100000), " ",IF(INDEX($AB$2:$AQ$1001,MATCH(ROWS($U$2:U890),$U$2:$U$1001,0),MATCH(COLUMNS($AB$1006:AD1006),$AB$1006:$AQ$1006,0)), HYPERLINK("#",""), HYPERLINK(CONCATENATE("#metadata!", ADDRESS(INDEX($W$2:$W$1001,MATCH(ROWS($U$2:U890),$U$2:$U$1001,0),0), INDEX($AB$1004:$AQ$1004,1,MATCH(COLUMNS($AB$1006:AD1006),$AB$1006:$AQ$1006,0)))),"Fix")))</f>
        <v>0</v>
      </c>
      <c r="E890" s="4">
        <f>IF(OR(INDEX($V$2:$V$1001,MATCH(ROWS($U$2:U890),$U$2:$U$1001,0),1)&gt;=100000,INDEX($AB$1005:$AQ$1005,1,MATCH(COLUMNS($AB$1006:AE1006),$AB$1006:$AQ$1006,0))&gt;=100000), " ",IF(INDEX($AB$2:$AQ$1001,MATCH(ROWS($U$2:U890),$U$2:$U$1001,0),MATCH(COLUMNS($AB$1006:AE1006),$AB$1006:$AQ$1006,0)), HYPERLINK("#",""), HYPERLINK(CONCATENATE("#metadata!", ADDRESS(INDEX($W$2:$W$1001,MATCH(ROWS($U$2:U890),$U$2:$U$1001,0),0), INDEX($AB$1004:$AQ$1004,1,MATCH(COLUMNS($AB$1006:AE1006),$AB$1006:$AQ$1006,0)))),"Fix")))</f>
        <v>0</v>
      </c>
      <c r="F890" s="4">
        <f>IF(OR(INDEX($V$2:$V$1001,MATCH(ROWS($U$2:U890),$U$2:$U$1001,0),1)&gt;=100000,INDEX($AB$1005:$AQ$1005,1,MATCH(COLUMNS($AB$1006:AF1006),$AB$1006:$AQ$1006,0))&gt;=100000), " ",IF(INDEX($AB$2:$AQ$1001,MATCH(ROWS($U$2:U890),$U$2:$U$1001,0),MATCH(COLUMNS($AB$1006:AF1006),$AB$1006:$AQ$1006,0)), HYPERLINK("#",""), HYPERLINK(CONCATENATE("#metadata!", ADDRESS(INDEX($W$2:$W$1001,MATCH(ROWS($U$2:U890),$U$2:$U$1001,0),0), INDEX($AB$1004:$AQ$1004,1,MATCH(COLUMNS($AB$1006:AF1006),$AB$1006:$AQ$1006,0)))),"Fix")))</f>
        <v>0</v>
      </c>
      <c r="G890" s="4">
        <f>IF(OR(INDEX($V$2:$V$1001,MATCH(ROWS($U$2:U890),$U$2:$U$1001,0),1)&gt;=100000,INDEX($AB$1005:$AQ$1005,1,MATCH(COLUMNS($AB$1006:AG1006),$AB$1006:$AQ$1006,0))&gt;=100000), " ",IF(INDEX($AB$2:$AQ$1001,MATCH(ROWS($U$2:U890),$U$2:$U$1001,0),MATCH(COLUMNS($AB$1006:AG1006),$AB$1006:$AQ$1006,0)), HYPERLINK("#",""), HYPERLINK(CONCATENATE("#metadata!", ADDRESS(INDEX($W$2:$W$1001,MATCH(ROWS($U$2:U890),$U$2:$U$1001,0),0), INDEX($AB$1004:$AQ$1004,1,MATCH(COLUMNS($AB$1006:AG1006),$AB$1006:$AQ$1006,0)))),"Fix")))</f>
        <v>0</v>
      </c>
      <c r="H890" s="4">
        <f>IF(OR(INDEX($V$2:$V$1001,MATCH(ROWS($U$2:U890),$U$2:$U$1001,0),1)&gt;=100000,INDEX($AB$1005:$AQ$1005,1,MATCH(COLUMNS($AB$1006:AH1006),$AB$1006:$AQ$1006,0))&gt;=100000), " ",IF(INDEX($AB$2:$AQ$1001,MATCH(ROWS($U$2:U890),$U$2:$U$1001,0),MATCH(COLUMNS($AB$1006:AH1006),$AB$1006:$AQ$1006,0)), HYPERLINK("#",""), HYPERLINK(CONCATENATE("#metadata!", ADDRESS(INDEX($W$2:$W$1001,MATCH(ROWS($U$2:U890),$U$2:$U$1001,0),0), INDEX($AB$1004:$AQ$1004,1,MATCH(COLUMNS($AB$1006:AH1006),$AB$1006:$AQ$1006,0)))),"Fix")))</f>
        <v>0</v>
      </c>
      <c r="I890" s="4">
        <f>IF(OR(INDEX($V$2:$V$1001,MATCH(ROWS($U$2:U890),$U$2:$U$1001,0),1)&gt;=100000,INDEX($AB$1005:$AQ$1005,1,MATCH(COLUMNS($AB$1006:AI1006),$AB$1006:$AQ$1006,0))&gt;=100000), " ",IF(INDEX($AB$2:$AQ$1001,MATCH(ROWS($U$2:U890),$U$2:$U$1001,0),MATCH(COLUMNS($AB$1006:AI1006),$AB$1006:$AQ$1006,0)), HYPERLINK("#",""), HYPERLINK(CONCATENATE("#metadata!", ADDRESS(INDEX($W$2:$W$1001,MATCH(ROWS($U$2:U890),$U$2:$U$1001,0),0), INDEX($AB$1004:$AQ$1004,1,MATCH(COLUMNS($AB$1006:AI1006),$AB$1006:$AQ$1006,0)))),"Fix")))</f>
        <v>0</v>
      </c>
      <c r="J890" s="4">
        <f>IF(OR(INDEX($V$2:$V$1001,MATCH(ROWS($U$2:U890),$U$2:$U$1001,0),1)&gt;=100000,INDEX($AB$1005:$AQ$1005,1,MATCH(COLUMNS($AB$1006:AJ1006),$AB$1006:$AQ$1006,0))&gt;=100000), " ",IF(INDEX($AB$2:$AQ$1001,MATCH(ROWS($U$2:U890),$U$2:$U$1001,0),MATCH(COLUMNS($AB$1006:AJ1006),$AB$1006:$AQ$1006,0)), HYPERLINK("#",""), HYPERLINK(CONCATENATE("#metadata!", ADDRESS(INDEX($W$2:$W$1001,MATCH(ROWS($U$2:U890),$U$2:$U$1001,0),0), INDEX($AB$1004:$AQ$1004,1,MATCH(COLUMNS($AB$1006:AJ1006),$AB$1006:$AQ$1006,0)))),"Fix")))</f>
        <v>0</v>
      </c>
      <c r="K890" s="4">
        <f>IF(OR(INDEX($V$2:$V$1001,MATCH(ROWS($U$2:U890),$U$2:$U$1001,0),1)&gt;=100000,INDEX($AB$1005:$AQ$1005,1,MATCH(COLUMNS($AB$1006:AK1006),$AB$1006:$AQ$1006,0))&gt;=100000), " ",IF(INDEX($AB$2:$AQ$1001,MATCH(ROWS($U$2:U890),$U$2:$U$1001,0),MATCH(COLUMNS($AB$1006:AK1006),$AB$1006:$AQ$1006,0)), HYPERLINK("#",""), HYPERLINK(CONCATENATE("#metadata!", ADDRESS(INDEX($W$2:$W$1001,MATCH(ROWS($U$2:U890),$U$2:$U$1001,0),0), INDEX($AB$1004:$AQ$1004,1,MATCH(COLUMNS($AB$1006:AK1006),$AB$1006:$AQ$1006,0)))),"Fix")))</f>
        <v>0</v>
      </c>
      <c r="L890" s="4">
        <f>IF(OR(INDEX($V$2:$V$1001,MATCH(ROWS($U$2:U890),$U$2:$U$1001,0),1)&gt;=100000,INDEX($AB$1005:$AQ$1005,1,MATCH(COLUMNS($AB$1006:AL1006),$AB$1006:$AQ$1006,0))&gt;=100000), " ",IF(INDEX($AB$2:$AQ$1001,MATCH(ROWS($U$2:U890),$U$2:$U$1001,0),MATCH(COLUMNS($AB$1006:AL1006),$AB$1006:$AQ$1006,0)), HYPERLINK("#",""), HYPERLINK(CONCATENATE("#metadata!", ADDRESS(INDEX($W$2:$W$1001,MATCH(ROWS($U$2:U890),$U$2:$U$1001,0),0), INDEX($AB$1004:$AQ$1004,1,MATCH(COLUMNS($AB$1006:AL1006),$AB$1006:$AQ$1006,0)))),"Fix")))</f>
        <v>0</v>
      </c>
      <c r="M890" s="4">
        <f>IF(OR(INDEX($V$2:$V$1001,MATCH(ROWS($U$2:U890),$U$2:$U$1001,0),1)&gt;=100000,INDEX($AB$1005:$AQ$1005,1,MATCH(COLUMNS($AB$1006:AM1006),$AB$1006:$AQ$1006,0))&gt;=100000), " ",IF(INDEX($AB$2:$AQ$1001,MATCH(ROWS($U$2:U890),$U$2:$U$1001,0),MATCH(COLUMNS($AB$1006:AM1006),$AB$1006:$AQ$1006,0)), HYPERLINK("#",""), HYPERLINK(CONCATENATE("#metadata!", ADDRESS(INDEX($W$2:$W$1001,MATCH(ROWS($U$2:U890),$U$2:$U$1001,0),0), INDEX($AB$1004:$AQ$1004,1,MATCH(COLUMNS($AB$1006:AM1006),$AB$1006:$AQ$1006,0)))),"Fix")))</f>
        <v>0</v>
      </c>
      <c r="N890" s="4">
        <f>IF(OR(INDEX($V$2:$V$1001,MATCH(ROWS($U$2:U890),$U$2:$U$1001,0),1)&gt;=100000,INDEX($AB$1005:$AQ$1005,1,MATCH(COLUMNS($AB$1006:AN1006),$AB$1006:$AQ$1006,0))&gt;=100000), " ",IF(INDEX($AB$2:$AQ$1001,MATCH(ROWS($U$2:U890),$U$2:$U$1001,0),MATCH(COLUMNS($AB$1006:AN1006),$AB$1006:$AQ$1006,0)), HYPERLINK("#",""), HYPERLINK(CONCATENATE("#metadata!", ADDRESS(INDEX($W$2:$W$1001,MATCH(ROWS($U$2:U890),$U$2:$U$1001,0),0), INDEX($AB$1004:$AQ$1004,1,MATCH(COLUMNS($AB$1006:AN1006),$AB$1006:$AQ$1006,0)))),"Fix")))</f>
        <v>0</v>
      </c>
      <c r="O890" s="4">
        <f>IF(OR(INDEX($V$2:$V$1001,MATCH(ROWS($U$2:U890),$U$2:$U$1001,0),1)&gt;=100000,INDEX($AB$1005:$AQ$1005,1,MATCH(COLUMNS($AB$1006:AO1006),$AB$1006:$AQ$1006,0))&gt;=100000), " ",IF(INDEX($AB$2:$AQ$1001,MATCH(ROWS($U$2:U890),$U$2:$U$1001,0),MATCH(COLUMNS($AB$1006:AO1006),$AB$1006:$AQ$1006,0)), HYPERLINK("#",""), HYPERLINK(CONCATENATE("#metadata!", ADDRESS(INDEX($W$2:$W$1001,MATCH(ROWS($U$2:U890),$U$2:$U$1001,0),0), INDEX($AB$1004:$AQ$1004,1,MATCH(COLUMNS($AB$1006:AO1006),$AB$1006:$AQ$1006,0)))),"Fix")))</f>
        <v>0</v>
      </c>
      <c r="P890" s="4">
        <f>IF(OR(INDEX($V$2:$V$1001,MATCH(ROWS($U$2:U890),$U$2:$U$1001,0),1)&gt;=100000,INDEX($AB$1005:$AQ$1005,1,MATCH(COLUMNS($AB$1006:AP1006),$AB$1006:$AQ$1006,0))&gt;=100000), " ",IF(INDEX($AB$2:$AQ$1001,MATCH(ROWS($U$2:U890),$U$2:$U$1001,0),MATCH(COLUMNS($AB$1006:AP1006),$AB$1006:$AQ$1006,0)), HYPERLINK("#",""), HYPERLINK(CONCATENATE("#metadata!", ADDRESS(INDEX($W$2:$W$1001,MATCH(ROWS($U$2:U890),$U$2:$U$1001,0),0), INDEX($AB$1004:$AQ$1004,1,MATCH(COLUMNS($AB$1006:AP1006),$AB$1006:$AQ$1006,0)))),"Fix")))</f>
        <v>0</v>
      </c>
      <c r="Q890" s="4">
        <f>IF(OR(INDEX($V$2:$V$1001,MATCH(ROWS($U$2:U890),$U$2:$U$1001,0),1)&gt;=100000,INDEX($AB$1005:$AQ$1005,1,MATCH(COLUMNS($AB$1006:AQ1006),$AB$1006:$AQ$1006,0))&gt;=100000), " ",IF(INDEX($AB$2:$AQ$1001,MATCH(ROWS($U$2:U890),$U$2:$U$1001,0),MATCH(COLUMNS($AB$1006:AQ1006),$AB$1006:$AQ$1006,0)), HYPERLINK("#",""), HYPERLINK(CONCATENATE("#metadata!", ADDRESS(INDEX($W$2:$W$1001,MATCH(ROWS($U$2:U890),$U$2:$U$1001,0),0), INDEX($AB$1004:$AQ$1004,1,MATCH(COLUMNS($AB$1006:AQ1006),$AB$1006:$AQ$1006,0)))),"Fix")))</f>
        <v>0</v>
      </c>
      <c r="U890">
        <v>0</v>
      </c>
      <c r="V890">
        <v>0</v>
      </c>
      <c r="W890">
        <v>0</v>
      </c>
      <c r="X890">
        <f>IF(Y890,TRUE,AND(AB890:AQ890))</f>
        <v>0</v>
      </c>
      <c r="Y890">
        <f>COUNTBLANK(metadata!B890:Q890)=COLUMNS(metadata!B890:Q890)</f>
        <v>0</v>
      </c>
      <c r="Z890">
        <v>0</v>
      </c>
      <c r="AB890">
        <f>AND(IF(metadata!B890="",FALSE,TRUE),COUNTIF(metadata!B:B, metadata!B890) = 1,NOT(ISERROR(SUMPRODUCT(SEARCH(MID(metadata!B890,ROW(INDIRECT("1:"&amp;LEN(metadata!B890))), 1),"0123456789abcdefghijklmnopqrstuvwxyzABCDEFGHIJKLMNOPQRSTUVWXYZ.")))))</f>
        <v>0</v>
      </c>
      <c r="AC890">
        <f>OR(AND(IF(metadata!C890="",FALSE,TRUE),OR(exact(metadata!C890,"missing: not collected"),exact(metadata!C890,"missing: not provided"),exact(metadata!C890,"missing: restricted access"))),AND(IF(metadata!C890="",FALSE,TRUE),AND(AND(IFERROR(INT(LEFT(metadata!C890,4))&gt;1900,FALSE),IFERROR(INT(LEFT(metadata!C890,4))&lt;=YEAR(NOW()),FALSE)), OR(MID(metadata!C890,5,1)="", AND(AND(MID(metadata!C890,5,1)="-",IFERROR(INT(MID(metadata!C890,6,1))&gt;=0,FALSE),IFERROR(INT(MID(metadata!C890,6,1))&lt;=1,FALSE),NOT(MID(metadata!C890,7,1)=""),IFERROR(INT(MID(metadata!C890,6,2))&gt;=1,FALSE),IFERROR(INT(MID(metadata!C890,6,2))&lt;=12,FALSE)), OR(MID(metadata!C890,8,1)="", AND(AND(MID(metadata!C890,8,1)="-",IFERROR(INT(MID(metadata!C890,9,1))&gt;=0,FALSE),IFERROR(INT(MID(metadata!C890,9,1))&lt;=3,FALSE),NOT(MID(metadata!C890,10,1)=""),IFERROR(INT(MID(metadata!C890,9,2))&gt;=1,FALSE),IFERROR(INT(MID(metadata!C890,9,2))&lt;=31,FALSE)), OR(MID(metadata!C890,11,1)="", AND(AND(MID(metadata!C890,11,1)=" ",IFERROR(INT(MID(metadata!C890,12,1))&gt;=0,FALSE),IFERROR(INT(MID(metadata!C890,12,1))&lt;=2,FALSE),NOT(MID(metadata!C890,13,1)=""),IFERROR(INT(MID(metadata!C890,12,2))&gt;=0,FALSE),IFERROR(INT(MID(metadata!C890,12,2))&lt;=23,FALSE)), OR(MID(metadata!C890,14,1)="", AND(AND(MID(metadata!C890,14,1)=":",IFERROR(INT(MID(metadata!C890,15,1))&gt;=0,FALSE),IFERROR(INT(MID(metadata!C890,15,1))&lt;=5,FALSE),NOT(MID(metadata!C890,16,1)=""),IFERROR(INT(MID(metadata!C890,15,2))&gt;=0,FALSE),IFERROR(INT(MID(metadata!C890,15,2))&lt;=59,FALSE)), OR(MID(metadata!C890,17,1)="", AND(AND(MID(metadata!C890,17,1)=":",IFERROR(INT(MID(metadata!C890,18,1))&gt;=0,FALSE),IFERROR(INT(MID(metadata!C890,18,1))&lt;=5,FALSE),NOT(MID(metadata!C890,19,1)=""),IFERROR(INT(MID(metadata!C890,18,2))&gt;=0,FALSE),IFERROR(INT(MID(metadata!C890,18,2))&lt;=59,FALSE)), LEN(metadata!C890)&lt;=19)))))))))))))</f>
        <v>0</v>
      </c>
      <c r="AD890">
        <f>IF(metadata!D890="",FALSE,TRUE)</f>
        <v>0</v>
      </c>
      <c r="AE890">
        <f>OR(AND(IF(metadata!E890="",FALSE,TRUE),OR(exact(metadata!E890,"missing: not collected"),exact(metadata!E890,"missing: not provided"))),AND(IF(metadata!E890="",FALSE,TRUE),OR(exact(metadata!E890,"TRUE"),exact(metadata!E890,"FALSE"))))</f>
        <v>0</v>
      </c>
      <c r="AF890">
        <f>IF(metadata!F890="",FALSE,TRUE)</f>
        <v>0</v>
      </c>
      <c r="AG890">
        <f>IF(metadata!G890="",FALSE,TRUE)</f>
        <v>0</v>
      </c>
      <c r="AH890">
        <f>IF(metadata!H890="",FALSE,TRUE)</f>
        <v>0</v>
      </c>
      <c r="AI890">
        <f>OR(AND(IF(metadata!I890="",FALSE,TRUE),OR(exact(metadata!I890,"missing: not collected"),exact(metadata!I890,"missing: not provided"),exact(metadata!I890,"missing: restricted access"))),AND(IF(metadata!I890="",FALSE,TRUE),OR(exact(metadata!I890,"air"),exact(metadata!I890,"built environment"),exact(metadata!I890,"host-associated"),exact(metadata!I890,"human-associated"),exact(metadata!I890,"human-skin"),exact(metadata!I890,"human-oral"),exact(metadata!I890,"human-gut"),exact(metadata!I890,"human-vaginal"),exact(metadata!I890,"microbial mat/biofilm"),exact(metadata!I890,"misc environment"),exact(metadata!I890,"plant-associated"),exact(metadata!I890,"sediment"),exact(metadata!I890,"soil"),exact(metadata!I890,"wastewater/sludge"),exact(metadata!I890,"water"))))</f>
        <v>0</v>
      </c>
      <c r="AJ890">
        <f>IF(metadata!J890="",FALSE,TRUE)</f>
        <v>0</v>
      </c>
      <c r="AK890">
        <f>OR(AND(IF(metadata!K890="",FALSE,TRUE),OR(exact(metadata!K890,"missing: not collected"),exact(metadata!K890,"missing: not provided"),exact(metadata!K890,"missing: restricted access"))),AND(IF(metadata!K890="",FALSE,ISNUMBER(VALUE(metadata!K890))),metadata!K890&gt;=-90.00,metadata!K890&lt;=90.00))</f>
        <v>0</v>
      </c>
      <c r="AL890">
        <f>OR(AND(IF(metadata!L890="",FALSE,TRUE),OR(exact(metadata!L890,"missing: not collected"),exact(metadata!L890,"missing: not provided"),exact(metadata!L890,"missing: restricted access"))),AND(IF(metadata!L890="",FALSE,ISNUMBER(VALUE(metadata!L890))),metadata!L890&gt;=-180.00,metadata!L890&lt;=180.00))</f>
        <v>0</v>
      </c>
      <c r="AM890">
        <f>IF(metadata!M890="",FALSE,TRUE)</f>
        <v>0</v>
      </c>
      <c r="AN890">
        <f>OR(AND(IF(metadata!N890="",FALSE,TRUE),OR(exact(metadata!N890,"missing: not collected"),exact(metadata!N890,"missing: not provided"),exact(metadata!N890,"missing: restricted access"))),AND(IF(metadata!N890="",FALSE,TRUE),OR(exact(metadata!N890,"TRUE"),exact(metadata!N890,"FALSE"))))</f>
        <v>0</v>
      </c>
      <c r="AO890">
        <f>IF(metadata!O890="",FALSE,TRUE)</f>
        <v>0</v>
      </c>
      <c r="AP890">
        <f>OR(AND(IF(metadata!P890="",FALSE,TRUE),OR(exact(metadata!P890,"missing: not collected"),exact(metadata!P890,"missing: not provided"))),AND(IF(metadata!P890="",FALSE,IF(ISERROR(INT(metadata!P890)),FALSE,INT(metadata!P890)=metadata!P890)),metadata!P890&gt;0))</f>
        <v>0</v>
      </c>
      <c r="AQ890">
        <f>IF(metadata!Q890="",FALSE,TRUE)</f>
        <v>0</v>
      </c>
    </row>
    <row r="891" spans="1:43">
      <c r="A891" s="5">
        <f>IF(B891=" "," ",HYPERLINK(CONCATENATE("#metadata!",ADDRESS(INDEX($W$2:$W$1001,MATCH(ROWS($U$2:U891),$U$2:$U$1001,0),0),1)),INDEX($Z$2:$Z$1001,MATCH(ROWS($U$2:U891),$U$2:$U$1001,0),0)))</f>
        <v>0</v>
      </c>
      <c r="B891" s="4">
        <f>IF(OR(INDEX($V$2:$V$1001,MATCH(ROWS($U$2:U891),$U$2:$U$1001,0),1)&gt;=100000,INDEX($AB$1005:$AQ$1005,1,MATCH(COLUMNS($AB$1006:AB1006),$AB$1006:$AQ$1006,0))&gt;=100000), " ",IF(INDEX($AB$2:$AQ$1001,MATCH(ROWS($U$2:U891),$U$2:$U$1001,0),MATCH(COLUMNS($AB$1006:AB1006),$AB$1006:$AQ$1006,0)), HYPERLINK("#",""), HYPERLINK(CONCATENATE("#metadata!", ADDRESS(INDEX($W$2:$W$1001,MATCH(ROWS($U$2:U891),$U$2:$U$1001,0),0), INDEX($AB$1004:$AQ$1004,1,MATCH(COLUMNS($AB$1006:AB1006),$AB$1006:$AQ$1006,0)))),"Fix")))</f>
        <v>0</v>
      </c>
      <c r="C891" s="4">
        <f>IF(OR(INDEX($V$2:$V$1001,MATCH(ROWS($U$2:U891),$U$2:$U$1001,0),1)&gt;=100000,INDEX($AB$1005:$AQ$1005,1,MATCH(COLUMNS($AB$1006:AC1006),$AB$1006:$AQ$1006,0))&gt;=100000), " ",IF(INDEX($AB$2:$AQ$1001,MATCH(ROWS($U$2:U891),$U$2:$U$1001,0),MATCH(COLUMNS($AB$1006:AC1006),$AB$1006:$AQ$1006,0)), HYPERLINK("#",""), HYPERLINK(CONCATENATE("#metadata!", ADDRESS(INDEX($W$2:$W$1001,MATCH(ROWS($U$2:U891),$U$2:$U$1001,0),0), INDEX($AB$1004:$AQ$1004,1,MATCH(COLUMNS($AB$1006:AC1006),$AB$1006:$AQ$1006,0)))),"Fix")))</f>
        <v>0</v>
      </c>
      <c r="D891" s="4">
        <f>IF(OR(INDEX($V$2:$V$1001,MATCH(ROWS($U$2:U891),$U$2:$U$1001,0),1)&gt;=100000,INDEX($AB$1005:$AQ$1005,1,MATCH(COLUMNS($AB$1006:AD1006),$AB$1006:$AQ$1006,0))&gt;=100000), " ",IF(INDEX($AB$2:$AQ$1001,MATCH(ROWS($U$2:U891),$U$2:$U$1001,0),MATCH(COLUMNS($AB$1006:AD1006),$AB$1006:$AQ$1006,0)), HYPERLINK("#",""), HYPERLINK(CONCATENATE("#metadata!", ADDRESS(INDEX($W$2:$W$1001,MATCH(ROWS($U$2:U891),$U$2:$U$1001,0),0), INDEX($AB$1004:$AQ$1004,1,MATCH(COLUMNS($AB$1006:AD1006),$AB$1006:$AQ$1006,0)))),"Fix")))</f>
        <v>0</v>
      </c>
      <c r="E891" s="4">
        <f>IF(OR(INDEX($V$2:$V$1001,MATCH(ROWS($U$2:U891),$U$2:$U$1001,0),1)&gt;=100000,INDEX($AB$1005:$AQ$1005,1,MATCH(COLUMNS($AB$1006:AE1006),$AB$1006:$AQ$1006,0))&gt;=100000), " ",IF(INDEX($AB$2:$AQ$1001,MATCH(ROWS($U$2:U891),$U$2:$U$1001,0),MATCH(COLUMNS($AB$1006:AE1006),$AB$1006:$AQ$1006,0)), HYPERLINK("#",""), HYPERLINK(CONCATENATE("#metadata!", ADDRESS(INDEX($W$2:$W$1001,MATCH(ROWS($U$2:U891),$U$2:$U$1001,0),0), INDEX($AB$1004:$AQ$1004,1,MATCH(COLUMNS($AB$1006:AE1006),$AB$1006:$AQ$1006,0)))),"Fix")))</f>
        <v>0</v>
      </c>
      <c r="F891" s="4">
        <f>IF(OR(INDEX($V$2:$V$1001,MATCH(ROWS($U$2:U891),$U$2:$U$1001,0),1)&gt;=100000,INDEX($AB$1005:$AQ$1005,1,MATCH(COLUMNS($AB$1006:AF1006),$AB$1006:$AQ$1006,0))&gt;=100000), " ",IF(INDEX($AB$2:$AQ$1001,MATCH(ROWS($U$2:U891),$U$2:$U$1001,0),MATCH(COLUMNS($AB$1006:AF1006),$AB$1006:$AQ$1006,0)), HYPERLINK("#",""), HYPERLINK(CONCATENATE("#metadata!", ADDRESS(INDEX($W$2:$W$1001,MATCH(ROWS($U$2:U891),$U$2:$U$1001,0),0), INDEX($AB$1004:$AQ$1004,1,MATCH(COLUMNS($AB$1006:AF1006),$AB$1006:$AQ$1006,0)))),"Fix")))</f>
        <v>0</v>
      </c>
      <c r="G891" s="4">
        <f>IF(OR(INDEX($V$2:$V$1001,MATCH(ROWS($U$2:U891),$U$2:$U$1001,0),1)&gt;=100000,INDEX($AB$1005:$AQ$1005,1,MATCH(COLUMNS($AB$1006:AG1006),$AB$1006:$AQ$1006,0))&gt;=100000), " ",IF(INDEX($AB$2:$AQ$1001,MATCH(ROWS($U$2:U891),$U$2:$U$1001,0),MATCH(COLUMNS($AB$1006:AG1006),$AB$1006:$AQ$1006,0)), HYPERLINK("#",""), HYPERLINK(CONCATENATE("#metadata!", ADDRESS(INDEX($W$2:$W$1001,MATCH(ROWS($U$2:U891),$U$2:$U$1001,0),0), INDEX($AB$1004:$AQ$1004,1,MATCH(COLUMNS($AB$1006:AG1006),$AB$1006:$AQ$1006,0)))),"Fix")))</f>
        <v>0</v>
      </c>
      <c r="H891" s="4">
        <f>IF(OR(INDEX($V$2:$V$1001,MATCH(ROWS($U$2:U891),$U$2:$U$1001,0),1)&gt;=100000,INDEX($AB$1005:$AQ$1005,1,MATCH(COLUMNS($AB$1006:AH1006),$AB$1006:$AQ$1006,0))&gt;=100000), " ",IF(INDEX($AB$2:$AQ$1001,MATCH(ROWS($U$2:U891),$U$2:$U$1001,0),MATCH(COLUMNS($AB$1006:AH1006),$AB$1006:$AQ$1006,0)), HYPERLINK("#",""), HYPERLINK(CONCATENATE("#metadata!", ADDRESS(INDEX($W$2:$W$1001,MATCH(ROWS($U$2:U891),$U$2:$U$1001,0),0), INDEX($AB$1004:$AQ$1004,1,MATCH(COLUMNS($AB$1006:AH1006),$AB$1006:$AQ$1006,0)))),"Fix")))</f>
        <v>0</v>
      </c>
      <c r="I891" s="4">
        <f>IF(OR(INDEX($V$2:$V$1001,MATCH(ROWS($U$2:U891),$U$2:$U$1001,0),1)&gt;=100000,INDEX($AB$1005:$AQ$1005,1,MATCH(COLUMNS($AB$1006:AI1006),$AB$1006:$AQ$1006,0))&gt;=100000), " ",IF(INDEX($AB$2:$AQ$1001,MATCH(ROWS($U$2:U891),$U$2:$U$1001,0),MATCH(COLUMNS($AB$1006:AI1006),$AB$1006:$AQ$1006,0)), HYPERLINK("#",""), HYPERLINK(CONCATENATE("#metadata!", ADDRESS(INDEX($W$2:$W$1001,MATCH(ROWS($U$2:U891),$U$2:$U$1001,0),0), INDEX($AB$1004:$AQ$1004,1,MATCH(COLUMNS($AB$1006:AI1006),$AB$1006:$AQ$1006,0)))),"Fix")))</f>
        <v>0</v>
      </c>
      <c r="J891" s="4">
        <f>IF(OR(INDEX($V$2:$V$1001,MATCH(ROWS($U$2:U891),$U$2:$U$1001,0),1)&gt;=100000,INDEX($AB$1005:$AQ$1005,1,MATCH(COLUMNS($AB$1006:AJ1006),$AB$1006:$AQ$1006,0))&gt;=100000), " ",IF(INDEX($AB$2:$AQ$1001,MATCH(ROWS($U$2:U891),$U$2:$U$1001,0),MATCH(COLUMNS($AB$1006:AJ1006),$AB$1006:$AQ$1006,0)), HYPERLINK("#",""), HYPERLINK(CONCATENATE("#metadata!", ADDRESS(INDEX($W$2:$W$1001,MATCH(ROWS($U$2:U891),$U$2:$U$1001,0),0), INDEX($AB$1004:$AQ$1004,1,MATCH(COLUMNS($AB$1006:AJ1006),$AB$1006:$AQ$1006,0)))),"Fix")))</f>
        <v>0</v>
      </c>
      <c r="K891" s="4">
        <f>IF(OR(INDEX($V$2:$V$1001,MATCH(ROWS($U$2:U891),$U$2:$U$1001,0),1)&gt;=100000,INDEX($AB$1005:$AQ$1005,1,MATCH(COLUMNS($AB$1006:AK1006),$AB$1006:$AQ$1006,0))&gt;=100000), " ",IF(INDEX($AB$2:$AQ$1001,MATCH(ROWS($U$2:U891),$U$2:$U$1001,0),MATCH(COLUMNS($AB$1006:AK1006),$AB$1006:$AQ$1006,0)), HYPERLINK("#",""), HYPERLINK(CONCATENATE("#metadata!", ADDRESS(INDEX($W$2:$W$1001,MATCH(ROWS($U$2:U891),$U$2:$U$1001,0),0), INDEX($AB$1004:$AQ$1004,1,MATCH(COLUMNS($AB$1006:AK1006),$AB$1006:$AQ$1006,0)))),"Fix")))</f>
        <v>0</v>
      </c>
      <c r="L891" s="4">
        <f>IF(OR(INDEX($V$2:$V$1001,MATCH(ROWS($U$2:U891),$U$2:$U$1001,0),1)&gt;=100000,INDEX($AB$1005:$AQ$1005,1,MATCH(COLUMNS($AB$1006:AL1006),$AB$1006:$AQ$1006,0))&gt;=100000), " ",IF(INDEX($AB$2:$AQ$1001,MATCH(ROWS($U$2:U891),$U$2:$U$1001,0),MATCH(COLUMNS($AB$1006:AL1006),$AB$1006:$AQ$1006,0)), HYPERLINK("#",""), HYPERLINK(CONCATENATE("#metadata!", ADDRESS(INDEX($W$2:$W$1001,MATCH(ROWS($U$2:U891),$U$2:$U$1001,0),0), INDEX($AB$1004:$AQ$1004,1,MATCH(COLUMNS($AB$1006:AL1006),$AB$1006:$AQ$1006,0)))),"Fix")))</f>
        <v>0</v>
      </c>
      <c r="M891" s="4">
        <f>IF(OR(INDEX($V$2:$V$1001,MATCH(ROWS($U$2:U891),$U$2:$U$1001,0),1)&gt;=100000,INDEX($AB$1005:$AQ$1005,1,MATCH(COLUMNS($AB$1006:AM1006),$AB$1006:$AQ$1006,0))&gt;=100000), " ",IF(INDEX($AB$2:$AQ$1001,MATCH(ROWS($U$2:U891),$U$2:$U$1001,0),MATCH(COLUMNS($AB$1006:AM1006),$AB$1006:$AQ$1006,0)), HYPERLINK("#",""), HYPERLINK(CONCATENATE("#metadata!", ADDRESS(INDEX($W$2:$W$1001,MATCH(ROWS($U$2:U891),$U$2:$U$1001,0),0), INDEX($AB$1004:$AQ$1004,1,MATCH(COLUMNS($AB$1006:AM1006),$AB$1006:$AQ$1006,0)))),"Fix")))</f>
        <v>0</v>
      </c>
      <c r="N891" s="4">
        <f>IF(OR(INDEX($V$2:$V$1001,MATCH(ROWS($U$2:U891),$U$2:$U$1001,0),1)&gt;=100000,INDEX($AB$1005:$AQ$1005,1,MATCH(COLUMNS($AB$1006:AN1006),$AB$1006:$AQ$1006,0))&gt;=100000), " ",IF(INDEX($AB$2:$AQ$1001,MATCH(ROWS($U$2:U891),$U$2:$U$1001,0),MATCH(COLUMNS($AB$1006:AN1006),$AB$1006:$AQ$1006,0)), HYPERLINK("#",""), HYPERLINK(CONCATENATE("#metadata!", ADDRESS(INDEX($W$2:$W$1001,MATCH(ROWS($U$2:U891),$U$2:$U$1001,0),0), INDEX($AB$1004:$AQ$1004,1,MATCH(COLUMNS($AB$1006:AN1006),$AB$1006:$AQ$1006,0)))),"Fix")))</f>
        <v>0</v>
      </c>
      <c r="O891" s="4">
        <f>IF(OR(INDEX($V$2:$V$1001,MATCH(ROWS($U$2:U891),$U$2:$U$1001,0),1)&gt;=100000,INDEX($AB$1005:$AQ$1005,1,MATCH(COLUMNS($AB$1006:AO1006),$AB$1006:$AQ$1006,0))&gt;=100000), " ",IF(INDEX($AB$2:$AQ$1001,MATCH(ROWS($U$2:U891),$U$2:$U$1001,0),MATCH(COLUMNS($AB$1006:AO1006),$AB$1006:$AQ$1006,0)), HYPERLINK("#",""), HYPERLINK(CONCATENATE("#metadata!", ADDRESS(INDEX($W$2:$W$1001,MATCH(ROWS($U$2:U891),$U$2:$U$1001,0),0), INDEX($AB$1004:$AQ$1004,1,MATCH(COLUMNS($AB$1006:AO1006),$AB$1006:$AQ$1006,0)))),"Fix")))</f>
        <v>0</v>
      </c>
      <c r="P891" s="4">
        <f>IF(OR(INDEX($V$2:$V$1001,MATCH(ROWS($U$2:U891),$U$2:$U$1001,0),1)&gt;=100000,INDEX($AB$1005:$AQ$1005,1,MATCH(COLUMNS($AB$1006:AP1006),$AB$1006:$AQ$1006,0))&gt;=100000), " ",IF(INDEX($AB$2:$AQ$1001,MATCH(ROWS($U$2:U891),$U$2:$U$1001,0),MATCH(COLUMNS($AB$1006:AP1006),$AB$1006:$AQ$1006,0)), HYPERLINK("#",""), HYPERLINK(CONCATENATE("#metadata!", ADDRESS(INDEX($W$2:$W$1001,MATCH(ROWS($U$2:U891),$U$2:$U$1001,0),0), INDEX($AB$1004:$AQ$1004,1,MATCH(COLUMNS($AB$1006:AP1006),$AB$1006:$AQ$1006,0)))),"Fix")))</f>
        <v>0</v>
      </c>
      <c r="Q891" s="4">
        <f>IF(OR(INDEX($V$2:$V$1001,MATCH(ROWS($U$2:U891),$U$2:$U$1001,0),1)&gt;=100000,INDEX($AB$1005:$AQ$1005,1,MATCH(COLUMNS($AB$1006:AQ1006),$AB$1006:$AQ$1006,0))&gt;=100000), " ",IF(INDEX($AB$2:$AQ$1001,MATCH(ROWS($U$2:U891),$U$2:$U$1001,0),MATCH(COLUMNS($AB$1006:AQ1006),$AB$1006:$AQ$1006,0)), HYPERLINK("#",""), HYPERLINK(CONCATENATE("#metadata!", ADDRESS(INDEX($W$2:$W$1001,MATCH(ROWS($U$2:U891),$U$2:$U$1001,0),0), INDEX($AB$1004:$AQ$1004,1,MATCH(COLUMNS($AB$1006:AQ1006),$AB$1006:$AQ$1006,0)))),"Fix")))</f>
        <v>0</v>
      </c>
      <c r="U891">
        <v>0</v>
      </c>
      <c r="V891">
        <v>0</v>
      </c>
      <c r="W891">
        <v>0</v>
      </c>
      <c r="X891">
        <f>IF(Y891,TRUE,AND(AB891:AQ891))</f>
        <v>0</v>
      </c>
      <c r="Y891">
        <f>COUNTBLANK(metadata!B891:Q891)=COLUMNS(metadata!B891:Q891)</f>
        <v>0</v>
      </c>
      <c r="Z891">
        <v>0</v>
      </c>
      <c r="AB891">
        <f>AND(IF(metadata!B891="",FALSE,TRUE),COUNTIF(metadata!B:B, metadata!B891) = 1,NOT(ISERROR(SUMPRODUCT(SEARCH(MID(metadata!B891,ROW(INDIRECT("1:"&amp;LEN(metadata!B891))), 1),"0123456789abcdefghijklmnopqrstuvwxyzABCDEFGHIJKLMNOPQRSTUVWXYZ.")))))</f>
        <v>0</v>
      </c>
      <c r="AC891">
        <f>OR(AND(IF(metadata!C891="",FALSE,TRUE),OR(exact(metadata!C891,"missing: not collected"),exact(metadata!C891,"missing: not provided"),exact(metadata!C891,"missing: restricted access"))),AND(IF(metadata!C891="",FALSE,TRUE),AND(AND(IFERROR(INT(LEFT(metadata!C891,4))&gt;1900,FALSE),IFERROR(INT(LEFT(metadata!C891,4))&lt;=YEAR(NOW()),FALSE)), OR(MID(metadata!C891,5,1)="", AND(AND(MID(metadata!C891,5,1)="-",IFERROR(INT(MID(metadata!C891,6,1))&gt;=0,FALSE),IFERROR(INT(MID(metadata!C891,6,1))&lt;=1,FALSE),NOT(MID(metadata!C891,7,1)=""),IFERROR(INT(MID(metadata!C891,6,2))&gt;=1,FALSE),IFERROR(INT(MID(metadata!C891,6,2))&lt;=12,FALSE)), OR(MID(metadata!C891,8,1)="", AND(AND(MID(metadata!C891,8,1)="-",IFERROR(INT(MID(metadata!C891,9,1))&gt;=0,FALSE),IFERROR(INT(MID(metadata!C891,9,1))&lt;=3,FALSE),NOT(MID(metadata!C891,10,1)=""),IFERROR(INT(MID(metadata!C891,9,2))&gt;=1,FALSE),IFERROR(INT(MID(metadata!C891,9,2))&lt;=31,FALSE)), OR(MID(metadata!C891,11,1)="", AND(AND(MID(metadata!C891,11,1)=" ",IFERROR(INT(MID(metadata!C891,12,1))&gt;=0,FALSE),IFERROR(INT(MID(metadata!C891,12,1))&lt;=2,FALSE),NOT(MID(metadata!C891,13,1)=""),IFERROR(INT(MID(metadata!C891,12,2))&gt;=0,FALSE),IFERROR(INT(MID(metadata!C891,12,2))&lt;=23,FALSE)), OR(MID(metadata!C891,14,1)="", AND(AND(MID(metadata!C891,14,1)=":",IFERROR(INT(MID(metadata!C891,15,1))&gt;=0,FALSE),IFERROR(INT(MID(metadata!C891,15,1))&lt;=5,FALSE),NOT(MID(metadata!C891,16,1)=""),IFERROR(INT(MID(metadata!C891,15,2))&gt;=0,FALSE),IFERROR(INT(MID(metadata!C891,15,2))&lt;=59,FALSE)), OR(MID(metadata!C891,17,1)="", AND(AND(MID(metadata!C891,17,1)=":",IFERROR(INT(MID(metadata!C891,18,1))&gt;=0,FALSE),IFERROR(INT(MID(metadata!C891,18,1))&lt;=5,FALSE),NOT(MID(metadata!C891,19,1)=""),IFERROR(INT(MID(metadata!C891,18,2))&gt;=0,FALSE),IFERROR(INT(MID(metadata!C891,18,2))&lt;=59,FALSE)), LEN(metadata!C891)&lt;=19)))))))))))))</f>
        <v>0</v>
      </c>
      <c r="AD891">
        <f>IF(metadata!D891="",FALSE,TRUE)</f>
        <v>0</v>
      </c>
      <c r="AE891">
        <f>OR(AND(IF(metadata!E891="",FALSE,TRUE),OR(exact(metadata!E891,"missing: not collected"),exact(metadata!E891,"missing: not provided"))),AND(IF(metadata!E891="",FALSE,TRUE),OR(exact(metadata!E891,"TRUE"),exact(metadata!E891,"FALSE"))))</f>
        <v>0</v>
      </c>
      <c r="AF891">
        <f>IF(metadata!F891="",FALSE,TRUE)</f>
        <v>0</v>
      </c>
      <c r="AG891">
        <f>IF(metadata!G891="",FALSE,TRUE)</f>
        <v>0</v>
      </c>
      <c r="AH891">
        <f>IF(metadata!H891="",FALSE,TRUE)</f>
        <v>0</v>
      </c>
      <c r="AI891">
        <f>OR(AND(IF(metadata!I891="",FALSE,TRUE),OR(exact(metadata!I891,"missing: not collected"),exact(metadata!I891,"missing: not provided"),exact(metadata!I891,"missing: restricted access"))),AND(IF(metadata!I891="",FALSE,TRUE),OR(exact(metadata!I891,"air"),exact(metadata!I891,"built environment"),exact(metadata!I891,"host-associated"),exact(metadata!I891,"human-associated"),exact(metadata!I891,"human-skin"),exact(metadata!I891,"human-oral"),exact(metadata!I891,"human-gut"),exact(metadata!I891,"human-vaginal"),exact(metadata!I891,"microbial mat/biofilm"),exact(metadata!I891,"misc environment"),exact(metadata!I891,"plant-associated"),exact(metadata!I891,"sediment"),exact(metadata!I891,"soil"),exact(metadata!I891,"wastewater/sludge"),exact(metadata!I891,"water"))))</f>
        <v>0</v>
      </c>
      <c r="AJ891">
        <f>IF(metadata!J891="",FALSE,TRUE)</f>
        <v>0</v>
      </c>
      <c r="AK891">
        <f>OR(AND(IF(metadata!K891="",FALSE,TRUE),OR(exact(metadata!K891,"missing: not collected"),exact(metadata!K891,"missing: not provided"),exact(metadata!K891,"missing: restricted access"))),AND(IF(metadata!K891="",FALSE,ISNUMBER(VALUE(metadata!K891))),metadata!K891&gt;=-90.00,metadata!K891&lt;=90.00))</f>
        <v>0</v>
      </c>
      <c r="AL891">
        <f>OR(AND(IF(metadata!L891="",FALSE,TRUE),OR(exact(metadata!L891,"missing: not collected"),exact(metadata!L891,"missing: not provided"),exact(metadata!L891,"missing: restricted access"))),AND(IF(metadata!L891="",FALSE,ISNUMBER(VALUE(metadata!L891))),metadata!L891&gt;=-180.00,metadata!L891&lt;=180.00))</f>
        <v>0</v>
      </c>
      <c r="AM891">
        <f>IF(metadata!M891="",FALSE,TRUE)</f>
        <v>0</v>
      </c>
      <c r="AN891">
        <f>OR(AND(IF(metadata!N891="",FALSE,TRUE),OR(exact(metadata!N891,"missing: not collected"),exact(metadata!N891,"missing: not provided"),exact(metadata!N891,"missing: restricted access"))),AND(IF(metadata!N891="",FALSE,TRUE),OR(exact(metadata!N891,"TRUE"),exact(metadata!N891,"FALSE"))))</f>
        <v>0</v>
      </c>
      <c r="AO891">
        <f>IF(metadata!O891="",FALSE,TRUE)</f>
        <v>0</v>
      </c>
      <c r="AP891">
        <f>OR(AND(IF(metadata!P891="",FALSE,TRUE),OR(exact(metadata!P891,"missing: not collected"),exact(metadata!P891,"missing: not provided"))),AND(IF(metadata!P891="",FALSE,IF(ISERROR(INT(metadata!P891)),FALSE,INT(metadata!P891)=metadata!P891)),metadata!P891&gt;0))</f>
        <v>0</v>
      </c>
      <c r="AQ891">
        <f>IF(metadata!Q891="",FALSE,TRUE)</f>
        <v>0</v>
      </c>
    </row>
    <row r="892" spans="1:43">
      <c r="A892" s="5">
        <f>IF(B892=" "," ",HYPERLINK(CONCATENATE("#metadata!",ADDRESS(INDEX($W$2:$W$1001,MATCH(ROWS($U$2:U892),$U$2:$U$1001,0),0),1)),INDEX($Z$2:$Z$1001,MATCH(ROWS($U$2:U892),$U$2:$U$1001,0),0)))</f>
        <v>0</v>
      </c>
      <c r="B892" s="4">
        <f>IF(OR(INDEX($V$2:$V$1001,MATCH(ROWS($U$2:U892),$U$2:$U$1001,0),1)&gt;=100000,INDEX($AB$1005:$AQ$1005,1,MATCH(COLUMNS($AB$1006:AB1006),$AB$1006:$AQ$1006,0))&gt;=100000), " ",IF(INDEX($AB$2:$AQ$1001,MATCH(ROWS($U$2:U892),$U$2:$U$1001,0),MATCH(COLUMNS($AB$1006:AB1006),$AB$1006:$AQ$1006,0)), HYPERLINK("#",""), HYPERLINK(CONCATENATE("#metadata!", ADDRESS(INDEX($W$2:$W$1001,MATCH(ROWS($U$2:U892),$U$2:$U$1001,0),0), INDEX($AB$1004:$AQ$1004,1,MATCH(COLUMNS($AB$1006:AB1006),$AB$1006:$AQ$1006,0)))),"Fix")))</f>
        <v>0</v>
      </c>
      <c r="C892" s="4">
        <f>IF(OR(INDEX($V$2:$V$1001,MATCH(ROWS($U$2:U892),$U$2:$U$1001,0),1)&gt;=100000,INDEX($AB$1005:$AQ$1005,1,MATCH(COLUMNS($AB$1006:AC1006),$AB$1006:$AQ$1006,0))&gt;=100000), " ",IF(INDEX($AB$2:$AQ$1001,MATCH(ROWS($U$2:U892),$U$2:$U$1001,0),MATCH(COLUMNS($AB$1006:AC1006),$AB$1006:$AQ$1006,0)), HYPERLINK("#",""), HYPERLINK(CONCATENATE("#metadata!", ADDRESS(INDEX($W$2:$W$1001,MATCH(ROWS($U$2:U892),$U$2:$U$1001,0),0), INDEX($AB$1004:$AQ$1004,1,MATCH(COLUMNS($AB$1006:AC1006),$AB$1006:$AQ$1006,0)))),"Fix")))</f>
        <v>0</v>
      </c>
      <c r="D892" s="4">
        <f>IF(OR(INDEX($V$2:$V$1001,MATCH(ROWS($U$2:U892),$U$2:$U$1001,0),1)&gt;=100000,INDEX($AB$1005:$AQ$1005,1,MATCH(COLUMNS($AB$1006:AD1006),$AB$1006:$AQ$1006,0))&gt;=100000), " ",IF(INDEX($AB$2:$AQ$1001,MATCH(ROWS($U$2:U892),$U$2:$U$1001,0),MATCH(COLUMNS($AB$1006:AD1006),$AB$1006:$AQ$1006,0)), HYPERLINK("#",""), HYPERLINK(CONCATENATE("#metadata!", ADDRESS(INDEX($W$2:$W$1001,MATCH(ROWS($U$2:U892),$U$2:$U$1001,0),0), INDEX($AB$1004:$AQ$1004,1,MATCH(COLUMNS($AB$1006:AD1006),$AB$1006:$AQ$1006,0)))),"Fix")))</f>
        <v>0</v>
      </c>
      <c r="E892" s="4">
        <f>IF(OR(INDEX($V$2:$V$1001,MATCH(ROWS($U$2:U892),$U$2:$U$1001,0),1)&gt;=100000,INDEX($AB$1005:$AQ$1005,1,MATCH(COLUMNS($AB$1006:AE1006),$AB$1006:$AQ$1006,0))&gt;=100000), " ",IF(INDEX($AB$2:$AQ$1001,MATCH(ROWS($U$2:U892),$U$2:$U$1001,0),MATCH(COLUMNS($AB$1006:AE1006),$AB$1006:$AQ$1006,0)), HYPERLINK("#",""), HYPERLINK(CONCATENATE("#metadata!", ADDRESS(INDEX($W$2:$W$1001,MATCH(ROWS($U$2:U892),$U$2:$U$1001,0),0), INDEX($AB$1004:$AQ$1004,1,MATCH(COLUMNS($AB$1006:AE1006),$AB$1006:$AQ$1006,0)))),"Fix")))</f>
        <v>0</v>
      </c>
      <c r="F892" s="4">
        <f>IF(OR(INDEX($V$2:$V$1001,MATCH(ROWS($U$2:U892),$U$2:$U$1001,0),1)&gt;=100000,INDEX($AB$1005:$AQ$1005,1,MATCH(COLUMNS($AB$1006:AF1006),$AB$1006:$AQ$1006,0))&gt;=100000), " ",IF(INDEX($AB$2:$AQ$1001,MATCH(ROWS($U$2:U892),$U$2:$U$1001,0),MATCH(COLUMNS($AB$1006:AF1006),$AB$1006:$AQ$1006,0)), HYPERLINK("#",""), HYPERLINK(CONCATENATE("#metadata!", ADDRESS(INDEX($W$2:$W$1001,MATCH(ROWS($U$2:U892),$U$2:$U$1001,0),0), INDEX($AB$1004:$AQ$1004,1,MATCH(COLUMNS($AB$1006:AF1006),$AB$1006:$AQ$1006,0)))),"Fix")))</f>
        <v>0</v>
      </c>
      <c r="G892" s="4">
        <f>IF(OR(INDEX($V$2:$V$1001,MATCH(ROWS($U$2:U892),$U$2:$U$1001,0),1)&gt;=100000,INDEX($AB$1005:$AQ$1005,1,MATCH(COLUMNS($AB$1006:AG1006),$AB$1006:$AQ$1006,0))&gt;=100000), " ",IF(INDEX($AB$2:$AQ$1001,MATCH(ROWS($U$2:U892),$U$2:$U$1001,0),MATCH(COLUMNS($AB$1006:AG1006),$AB$1006:$AQ$1006,0)), HYPERLINK("#",""), HYPERLINK(CONCATENATE("#metadata!", ADDRESS(INDEX($W$2:$W$1001,MATCH(ROWS($U$2:U892),$U$2:$U$1001,0),0), INDEX($AB$1004:$AQ$1004,1,MATCH(COLUMNS($AB$1006:AG1006),$AB$1006:$AQ$1006,0)))),"Fix")))</f>
        <v>0</v>
      </c>
      <c r="H892" s="4">
        <f>IF(OR(INDEX($V$2:$V$1001,MATCH(ROWS($U$2:U892),$U$2:$U$1001,0),1)&gt;=100000,INDEX($AB$1005:$AQ$1005,1,MATCH(COLUMNS($AB$1006:AH1006),$AB$1006:$AQ$1006,0))&gt;=100000), " ",IF(INDEX($AB$2:$AQ$1001,MATCH(ROWS($U$2:U892),$U$2:$U$1001,0),MATCH(COLUMNS($AB$1006:AH1006),$AB$1006:$AQ$1006,0)), HYPERLINK("#",""), HYPERLINK(CONCATENATE("#metadata!", ADDRESS(INDEX($W$2:$W$1001,MATCH(ROWS($U$2:U892),$U$2:$U$1001,0),0), INDEX($AB$1004:$AQ$1004,1,MATCH(COLUMNS($AB$1006:AH1006),$AB$1006:$AQ$1006,0)))),"Fix")))</f>
        <v>0</v>
      </c>
      <c r="I892" s="4">
        <f>IF(OR(INDEX($V$2:$V$1001,MATCH(ROWS($U$2:U892),$U$2:$U$1001,0),1)&gt;=100000,INDEX($AB$1005:$AQ$1005,1,MATCH(COLUMNS($AB$1006:AI1006),$AB$1006:$AQ$1006,0))&gt;=100000), " ",IF(INDEX($AB$2:$AQ$1001,MATCH(ROWS($U$2:U892),$U$2:$U$1001,0),MATCH(COLUMNS($AB$1006:AI1006),$AB$1006:$AQ$1006,0)), HYPERLINK("#",""), HYPERLINK(CONCATENATE("#metadata!", ADDRESS(INDEX($W$2:$W$1001,MATCH(ROWS($U$2:U892),$U$2:$U$1001,0),0), INDEX($AB$1004:$AQ$1004,1,MATCH(COLUMNS($AB$1006:AI1006),$AB$1006:$AQ$1006,0)))),"Fix")))</f>
        <v>0</v>
      </c>
      <c r="J892" s="4">
        <f>IF(OR(INDEX($V$2:$V$1001,MATCH(ROWS($U$2:U892),$U$2:$U$1001,0),1)&gt;=100000,INDEX($AB$1005:$AQ$1005,1,MATCH(COLUMNS($AB$1006:AJ1006),$AB$1006:$AQ$1006,0))&gt;=100000), " ",IF(INDEX($AB$2:$AQ$1001,MATCH(ROWS($U$2:U892),$U$2:$U$1001,0),MATCH(COLUMNS($AB$1006:AJ1006),$AB$1006:$AQ$1006,0)), HYPERLINK("#",""), HYPERLINK(CONCATENATE("#metadata!", ADDRESS(INDEX($W$2:$W$1001,MATCH(ROWS($U$2:U892),$U$2:$U$1001,0),0), INDEX($AB$1004:$AQ$1004,1,MATCH(COLUMNS($AB$1006:AJ1006),$AB$1006:$AQ$1006,0)))),"Fix")))</f>
        <v>0</v>
      </c>
      <c r="K892" s="4">
        <f>IF(OR(INDEX($V$2:$V$1001,MATCH(ROWS($U$2:U892),$U$2:$U$1001,0),1)&gt;=100000,INDEX($AB$1005:$AQ$1005,1,MATCH(COLUMNS($AB$1006:AK1006),$AB$1006:$AQ$1006,0))&gt;=100000), " ",IF(INDEX($AB$2:$AQ$1001,MATCH(ROWS($U$2:U892),$U$2:$U$1001,0),MATCH(COLUMNS($AB$1006:AK1006),$AB$1006:$AQ$1006,0)), HYPERLINK("#",""), HYPERLINK(CONCATENATE("#metadata!", ADDRESS(INDEX($W$2:$W$1001,MATCH(ROWS($U$2:U892),$U$2:$U$1001,0),0), INDEX($AB$1004:$AQ$1004,1,MATCH(COLUMNS($AB$1006:AK1006),$AB$1006:$AQ$1006,0)))),"Fix")))</f>
        <v>0</v>
      </c>
      <c r="L892" s="4">
        <f>IF(OR(INDEX($V$2:$V$1001,MATCH(ROWS($U$2:U892),$U$2:$U$1001,0),1)&gt;=100000,INDEX($AB$1005:$AQ$1005,1,MATCH(COLUMNS($AB$1006:AL1006),$AB$1006:$AQ$1006,0))&gt;=100000), " ",IF(INDEX($AB$2:$AQ$1001,MATCH(ROWS($U$2:U892),$U$2:$U$1001,0),MATCH(COLUMNS($AB$1006:AL1006),$AB$1006:$AQ$1006,0)), HYPERLINK("#",""), HYPERLINK(CONCATENATE("#metadata!", ADDRESS(INDEX($W$2:$W$1001,MATCH(ROWS($U$2:U892),$U$2:$U$1001,0),0), INDEX($AB$1004:$AQ$1004,1,MATCH(COLUMNS($AB$1006:AL1006),$AB$1006:$AQ$1006,0)))),"Fix")))</f>
        <v>0</v>
      </c>
      <c r="M892" s="4">
        <f>IF(OR(INDEX($V$2:$V$1001,MATCH(ROWS($U$2:U892),$U$2:$U$1001,0),1)&gt;=100000,INDEX($AB$1005:$AQ$1005,1,MATCH(COLUMNS($AB$1006:AM1006),$AB$1006:$AQ$1006,0))&gt;=100000), " ",IF(INDEX($AB$2:$AQ$1001,MATCH(ROWS($U$2:U892),$U$2:$U$1001,0),MATCH(COLUMNS($AB$1006:AM1006),$AB$1006:$AQ$1006,0)), HYPERLINK("#",""), HYPERLINK(CONCATENATE("#metadata!", ADDRESS(INDEX($W$2:$W$1001,MATCH(ROWS($U$2:U892),$U$2:$U$1001,0),0), INDEX($AB$1004:$AQ$1004,1,MATCH(COLUMNS($AB$1006:AM1006),$AB$1006:$AQ$1006,0)))),"Fix")))</f>
        <v>0</v>
      </c>
      <c r="N892" s="4">
        <f>IF(OR(INDEX($V$2:$V$1001,MATCH(ROWS($U$2:U892),$U$2:$U$1001,0),1)&gt;=100000,INDEX($AB$1005:$AQ$1005,1,MATCH(COLUMNS($AB$1006:AN1006),$AB$1006:$AQ$1006,0))&gt;=100000), " ",IF(INDEX($AB$2:$AQ$1001,MATCH(ROWS($U$2:U892),$U$2:$U$1001,0),MATCH(COLUMNS($AB$1006:AN1006),$AB$1006:$AQ$1006,0)), HYPERLINK("#",""), HYPERLINK(CONCATENATE("#metadata!", ADDRESS(INDEX($W$2:$W$1001,MATCH(ROWS($U$2:U892),$U$2:$U$1001,0),0), INDEX($AB$1004:$AQ$1004,1,MATCH(COLUMNS($AB$1006:AN1006),$AB$1006:$AQ$1006,0)))),"Fix")))</f>
        <v>0</v>
      </c>
      <c r="O892" s="4">
        <f>IF(OR(INDEX($V$2:$V$1001,MATCH(ROWS($U$2:U892),$U$2:$U$1001,0),1)&gt;=100000,INDEX($AB$1005:$AQ$1005,1,MATCH(COLUMNS($AB$1006:AO1006),$AB$1006:$AQ$1006,0))&gt;=100000), " ",IF(INDEX($AB$2:$AQ$1001,MATCH(ROWS($U$2:U892),$U$2:$U$1001,0),MATCH(COLUMNS($AB$1006:AO1006),$AB$1006:$AQ$1006,0)), HYPERLINK("#",""), HYPERLINK(CONCATENATE("#metadata!", ADDRESS(INDEX($W$2:$W$1001,MATCH(ROWS($U$2:U892),$U$2:$U$1001,0),0), INDEX($AB$1004:$AQ$1004,1,MATCH(COLUMNS($AB$1006:AO1006),$AB$1006:$AQ$1006,0)))),"Fix")))</f>
        <v>0</v>
      </c>
      <c r="P892" s="4">
        <f>IF(OR(INDEX($V$2:$V$1001,MATCH(ROWS($U$2:U892),$U$2:$U$1001,0),1)&gt;=100000,INDEX($AB$1005:$AQ$1005,1,MATCH(COLUMNS($AB$1006:AP1006),$AB$1006:$AQ$1006,0))&gt;=100000), " ",IF(INDEX($AB$2:$AQ$1001,MATCH(ROWS($U$2:U892),$U$2:$U$1001,0),MATCH(COLUMNS($AB$1006:AP1006),$AB$1006:$AQ$1006,0)), HYPERLINK("#",""), HYPERLINK(CONCATENATE("#metadata!", ADDRESS(INDEX($W$2:$W$1001,MATCH(ROWS($U$2:U892),$U$2:$U$1001,0),0), INDEX($AB$1004:$AQ$1004,1,MATCH(COLUMNS($AB$1006:AP1006),$AB$1006:$AQ$1006,0)))),"Fix")))</f>
        <v>0</v>
      </c>
      <c r="Q892" s="4">
        <f>IF(OR(INDEX($V$2:$V$1001,MATCH(ROWS($U$2:U892),$U$2:$U$1001,0),1)&gt;=100000,INDEX($AB$1005:$AQ$1005,1,MATCH(COLUMNS($AB$1006:AQ1006),$AB$1006:$AQ$1006,0))&gt;=100000), " ",IF(INDEX($AB$2:$AQ$1001,MATCH(ROWS($U$2:U892),$U$2:$U$1001,0),MATCH(COLUMNS($AB$1006:AQ1006),$AB$1006:$AQ$1006,0)), HYPERLINK("#",""), HYPERLINK(CONCATENATE("#metadata!", ADDRESS(INDEX($W$2:$W$1001,MATCH(ROWS($U$2:U892),$U$2:$U$1001,0),0), INDEX($AB$1004:$AQ$1004,1,MATCH(COLUMNS($AB$1006:AQ1006),$AB$1006:$AQ$1006,0)))),"Fix")))</f>
        <v>0</v>
      </c>
      <c r="U892">
        <v>0</v>
      </c>
      <c r="V892">
        <v>0</v>
      </c>
      <c r="W892">
        <v>0</v>
      </c>
      <c r="X892">
        <f>IF(Y892,TRUE,AND(AB892:AQ892))</f>
        <v>0</v>
      </c>
      <c r="Y892">
        <f>COUNTBLANK(metadata!B892:Q892)=COLUMNS(metadata!B892:Q892)</f>
        <v>0</v>
      </c>
      <c r="Z892">
        <v>0</v>
      </c>
      <c r="AB892">
        <f>AND(IF(metadata!B892="",FALSE,TRUE),COUNTIF(metadata!B:B, metadata!B892) = 1,NOT(ISERROR(SUMPRODUCT(SEARCH(MID(metadata!B892,ROW(INDIRECT("1:"&amp;LEN(metadata!B892))), 1),"0123456789abcdefghijklmnopqrstuvwxyzABCDEFGHIJKLMNOPQRSTUVWXYZ.")))))</f>
        <v>0</v>
      </c>
      <c r="AC892">
        <f>OR(AND(IF(metadata!C892="",FALSE,TRUE),OR(exact(metadata!C892,"missing: not collected"),exact(metadata!C892,"missing: not provided"),exact(metadata!C892,"missing: restricted access"))),AND(IF(metadata!C892="",FALSE,TRUE),AND(AND(IFERROR(INT(LEFT(metadata!C892,4))&gt;1900,FALSE),IFERROR(INT(LEFT(metadata!C892,4))&lt;=YEAR(NOW()),FALSE)), OR(MID(metadata!C892,5,1)="", AND(AND(MID(metadata!C892,5,1)="-",IFERROR(INT(MID(metadata!C892,6,1))&gt;=0,FALSE),IFERROR(INT(MID(metadata!C892,6,1))&lt;=1,FALSE),NOT(MID(metadata!C892,7,1)=""),IFERROR(INT(MID(metadata!C892,6,2))&gt;=1,FALSE),IFERROR(INT(MID(metadata!C892,6,2))&lt;=12,FALSE)), OR(MID(metadata!C892,8,1)="", AND(AND(MID(metadata!C892,8,1)="-",IFERROR(INT(MID(metadata!C892,9,1))&gt;=0,FALSE),IFERROR(INT(MID(metadata!C892,9,1))&lt;=3,FALSE),NOT(MID(metadata!C892,10,1)=""),IFERROR(INT(MID(metadata!C892,9,2))&gt;=1,FALSE),IFERROR(INT(MID(metadata!C892,9,2))&lt;=31,FALSE)), OR(MID(metadata!C892,11,1)="", AND(AND(MID(metadata!C892,11,1)=" ",IFERROR(INT(MID(metadata!C892,12,1))&gt;=0,FALSE),IFERROR(INT(MID(metadata!C892,12,1))&lt;=2,FALSE),NOT(MID(metadata!C892,13,1)=""),IFERROR(INT(MID(metadata!C892,12,2))&gt;=0,FALSE),IFERROR(INT(MID(metadata!C892,12,2))&lt;=23,FALSE)), OR(MID(metadata!C892,14,1)="", AND(AND(MID(metadata!C892,14,1)=":",IFERROR(INT(MID(metadata!C892,15,1))&gt;=0,FALSE),IFERROR(INT(MID(metadata!C892,15,1))&lt;=5,FALSE),NOT(MID(metadata!C892,16,1)=""),IFERROR(INT(MID(metadata!C892,15,2))&gt;=0,FALSE),IFERROR(INT(MID(metadata!C892,15,2))&lt;=59,FALSE)), OR(MID(metadata!C892,17,1)="", AND(AND(MID(metadata!C892,17,1)=":",IFERROR(INT(MID(metadata!C892,18,1))&gt;=0,FALSE),IFERROR(INT(MID(metadata!C892,18,1))&lt;=5,FALSE),NOT(MID(metadata!C892,19,1)=""),IFERROR(INT(MID(metadata!C892,18,2))&gt;=0,FALSE),IFERROR(INT(MID(metadata!C892,18,2))&lt;=59,FALSE)), LEN(metadata!C892)&lt;=19)))))))))))))</f>
        <v>0</v>
      </c>
      <c r="AD892">
        <f>IF(metadata!D892="",FALSE,TRUE)</f>
        <v>0</v>
      </c>
      <c r="AE892">
        <f>OR(AND(IF(metadata!E892="",FALSE,TRUE),OR(exact(metadata!E892,"missing: not collected"),exact(metadata!E892,"missing: not provided"))),AND(IF(metadata!E892="",FALSE,TRUE),OR(exact(metadata!E892,"TRUE"),exact(metadata!E892,"FALSE"))))</f>
        <v>0</v>
      </c>
      <c r="AF892">
        <f>IF(metadata!F892="",FALSE,TRUE)</f>
        <v>0</v>
      </c>
      <c r="AG892">
        <f>IF(metadata!G892="",FALSE,TRUE)</f>
        <v>0</v>
      </c>
      <c r="AH892">
        <f>IF(metadata!H892="",FALSE,TRUE)</f>
        <v>0</v>
      </c>
      <c r="AI892">
        <f>OR(AND(IF(metadata!I892="",FALSE,TRUE),OR(exact(metadata!I892,"missing: not collected"),exact(metadata!I892,"missing: not provided"),exact(metadata!I892,"missing: restricted access"))),AND(IF(metadata!I892="",FALSE,TRUE),OR(exact(metadata!I892,"air"),exact(metadata!I892,"built environment"),exact(metadata!I892,"host-associated"),exact(metadata!I892,"human-associated"),exact(metadata!I892,"human-skin"),exact(metadata!I892,"human-oral"),exact(metadata!I892,"human-gut"),exact(metadata!I892,"human-vaginal"),exact(metadata!I892,"microbial mat/biofilm"),exact(metadata!I892,"misc environment"),exact(metadata!I892,"plant-associated"),exact(metadata!I892,"sediment"),exact(metadata!I892,"soil"),exact(metadata!I892,"wastewater/sludge"),exact(metadata!I892,"water"))))</f>
        <v>0</v>
      </c>
      <c r="AJ892">
        <f>IF(metadata!J892="",FALSE,TRUE)</f>
        <v>0</v>
      </c>
      <c r="AK892">
        <f>OR(AND(IF(metadata!K892="",FALSE,TRUE),OR(exact(metadata!K892,"missing: not collected"),exact(metadata!K892,"missing: not provided"),exact(metadata!K892,"missing: restricted access"))),AND(IF(metadata!K892="",FALSE,ISNUMBER(VALUE(metadata!K892))),metadata!K892&gt;=-90.00,metadata!K892&lt;=90.00))</f>
        <v>0</v>
      </c>
      <c r="AL892">
        <f>OR(AND(IF(metadata!L892="",FALSE,TRUE),OR(exact(metadata!L892,"missing: not collected"),exact(metadata!L892,"missing: not provided"),exact(metadata!L892,"missing: restricted access"))),AND(IF(metadata!L892="",FALSE,ISNUMBER(VALUE(metadata!L892))),metadata!L892&gt;=-180.00,metadata!L892&lt;=180.00))</f>
        <v>0</v>
      </c>
      <c r="AM892">
        <f>IF(metadata!M892="",FALSE,TRUE)</f>
        <v>0</v>
      </c>
      <c r="AN892">
        <f>OR(AND(IF(metadata!N892="",FALSE,TRUE),OR(exact(metadata!N892,"missing: not collected"),exact(metadata!N892,"missing: not provided"),exact(metadata!N892,"missing: restricted access"))),AND(IF(metadata!N892="",FALSE,TRUE),OR(exact(metadata!N892,"TRUE"),exact(metadata!N892,"FALSE"))))</f>
        <v>0</v>
      </c>
      <c r="AO892">
        <f>IF(metadata!O892="",FALSE,TRUE)</f>
        <v>0</v>
      </c>
      <c r="AP892">
        <f>OR(AND(IF(metadata!P892="",FALSE,TRUE),OR(exact(metadata!P892,"missing: not collected"),exact(metadata!P892,"missing: not provided"))),AND(IF(metadata!P892="",FALSE,IF(ISERROR(INT(metadata!P892)),FALSE,INT(metadata!P892)=metadata!P892)),metadata!P892&gt;0))</f>
        <v>0</v>
      </c>
      <c r="AQ892">
        <f>IF(metadata!Q892="",FALSE,TRUE)</f>
        <v>0</v>
      </c>
    </row>
    <row r="893" spans="1:43">
      <c r="A893" s="5">
        <f>IF(B893=" "," ",HYPERLINK(CONCATENATE("#metadata!",ADDRESS(INDEX($W$2:$W$1001,MATCH(ROWS($U$2:U893),$U$2:$U$1001,0),0),1)),INDEX($Z$2:$Z$1001,MATCH(ROWS($U$2:U893),$U$2:$U$1001,0),0)))</f>
        <v>0</v>
      </c>
      <c r="B893" s="4">
        <f>IF(OR(INDEX($V$2:$V$1001,MATCH(ROWS($U$2:U893),$U$2:$U$1001,0),1)&gt;=100000,INDEX($AB$1005:$AQ$1005,1,MATCH(COLUMNS($AB$1006:AB1006),$AB$1006:$AQ$1006,0))&gt;=100000), " ",IF(INDEX($AB$2:$AQ$1001,MATCH(ROWS($U$2:U893),$U$2:$U$1001,0),MATCH(COLUMNS($AB$1006:AB1006),$AB$1006:$AQ$1006,0)), HYPERLINK("#",""), HYPERLINK(CONCATENATE("#metadata!", ADDRESS(INDEX($W$2:$W$1001,MATCH(ROWS($U$2:U893),$U$2:$U$1001,0),0), INDEX($AB$1004:$AQ$1004,1,MATCH(COLUMNS($AB$1006:AB1006),$AB$1006:$AQ$1006,0)))),"Fix")))</f>
        <v>0</v>
      </c>
      <c r="C893" s="4">
        <f>IF(OR(INDEX($V$2:$V$1001,MATCH(ROWS($U$2:U893),$U$2:$U$1001,0),1)&gt;=100000,INDEX($AB$1005:$AQ$1005,1,MATCH(COLUMNS($AB$1006:AC1006),$AB$1006:$AQ$1006,0))&gt;=100000), " ",IF(INDEX($AB$2:$AQ$1001,MATCH(ROWS($U$2:U893),$U$2:$U$1001,0),MATCH(COLUMNS($AB$1006:AC1006),$AB$1006:$AQ$1006,0)), HYPERLINK("#",""), HYPERLINK(CONCATENATE("#metadata!", ADDRESS(INDEX($W$2:$W$1001,MATCH(ROWS($U$2:U893),$U$2:$U$1001,0),0), INDEX($AB$1004:$AQ$1004,1,MATCH(COLUMNS($AB$1006:AC1006),$AB$1006:$AQ$1006,0)))),"Fix")))</f>
        <v>0</v>
      </c>
      <c r="D893" s="4">
        <f>IF(OR(INDEX($V$2:$V$1001,MATCH(ROWS($U$2:U893),$U$2:$U$1001,0),1)&gt;=100000,INDEX($AB$1005:$AQ$1005,1,MATCH(COLUMNS($AB$1006:AD1006),$AB$1006:$AQ$1006,0))&gt;=100000), " ",IF(INDEX($AB$2:$AQ$1001,MATCH(ROWS($U$2:U893),$U$2:$U$1001,0),MATCH(COLUMNS($AB$1006:AD1006),$AB$1006:$AQ$1006,0)), HYPERLINK("#",""), HYPERLINK(CONCATENATE("#metadata!", ADDRESS(INDEX($W$2:$W$1001,MATCH(ROWS($U$2:U893),$U$2:$U$1001,0),0), INDEX($AB$1004:$AQ$1004,1,MATCH(COLUMNS($AB$1006:AD1006),$AB$1006:$AQ$1006,0)))),"Fix")))</f>
        <v>0</v>
      </c>
      <c r="E893" s="4">
        <f>IF(OR(INDEX($V$2:$V$1001,MATCH(ROWS($U$2:U893),$U$2:$U$1001,0),1)&gt;=100000,INDEX($AB$1005:$AQ$1005,1,MATCH(COLUMNS($AB$1006:AE1006),$AB$1006:$AQ$1006,0))&gt;=100000), " ",IF(INDEX($AB$2:$AQ$1001,MATCH(ROWS($U$2:U893),$U$2:$U$1001,0),MATCH(COLUMNS($AB$1006:AE1006),$AB$1006:$AQ$1006,0)), HYPERLINK("#",""), HYPERLINK(CONCATENATE("#metadata!", ADDRESS(INDEX($W$2:$W$1001,MATCH(ROWS($U$2:U893),$U$2:$U$1001,0),0), INDEX($AB$1004:$AQ$1004,1,MATCH(COLUMNS($AB$1006:AE1006),$AB$1006:$AQ$1006,0)))),"Fix")))</f>
        <v>0</v>
      </c>
      <c r="F893" s="4">
        <f>IF(OR(INDEX($V$2:$V$1001,MATCH(ROWS($U$2:U893),$U$2:$U$1001,0),1)&gt;=100000,INDEX($AB$1005:$AQ$1005,1,MATCH(COLUMNS($AB$1006:AF1006),$AB$1006:$AQ$1006,0))&gt;=100000), " ",IF(INDEX($AB$2:$AQ$1001,MATCH(ROWS($U$2:U893),$U$2:$U$1001,0),MATCH(COLUMNS($AB$1006:AF1006),$AB$1006:$AQ$1006,0)), HYPERLINK("#",""), HYPERLINK(CONCATENATE("#metadata!", ADDRESS(INDEX($W$2:$W$1001,MATCH(ROWS($U$2:U893),$U$2:$U$1001,0),0), INDEX($AB$1004:$AQ$1004,1,MATCH(COLUMNS($AB$1006:AF1006),$AB$1006:$AQ$1006,0)))),"Fix")))</f>
        <v>0</v>
      </c>
      <c r="G893" s="4">
        <f>IF(OR(INDEX($V$2:$V$1001,MATCH(ROWS($U$2:U893),$U$2:$U$1001,0),1)&gt;=100000,INDEX($AB$1005:$AQ$1005,1,MATCH(COLUMNS($AB$1006:AG1006),$AB$1006:$AQ$1006,0))&gt;=100000), " ",IF(INDEX($AB$2:$AQ$1001,MATCH(ROWS($U$2:U893),$U$2:$U$1001,0),MATCH(COLUMNS($AB$1006:AG1006),$AB$1006:$AQ$1006,0)), HYPERLINK("#",""), HYPERLINK(CONCATENATE("#metadata!", ADDRESS(INDEX($W$2:$W$1001,MATCH(ROWS($U$2:U893),$U$2:$U$1001,0),0), INDEX($AB$1004:$AQ$1004,1,MATCH(COLUMNS($AB$1006:AG1006),$AB$1006:$AQ$1006,0)))),"Fix")))</f>
        <v>0</v>
      </c>
      <c r="H893" s="4">
        <f>IF(OR(INDEX($V$2:$V$1001,MATCH(ROWS($U$2:U893),$U$2:$U$1001,0),1)&gt;=100000,INDEX($AB$1005:$AQ$1005,1,MATCH(COLUMNS($AB$1006:AH1006),$AB$1006:$AQ$1006,0))&gt;=100000), " ",IF(INDEX($AB$2:$AQ$1001,MATCH(ROWS($U$2:U893),$U$2:$U$1001,0),MATCH(COLUMNS($AB$1006:AH1006),$AB$1006:$AQ$1006,0)), HYPERLINK("#",""), HYPERLINK(CONCATENATE("#metadata!", ADDRESS(INDEX($W$2:$W$1001,MATCH(ROWS($U$2:U893),$U$2:$U$1001,0),0), INDEX($AB$1004:$AQ$1004,1,MATCH(COLUMNS($AB$1006:AH1006),$AB$1006:$AQ$1006,0)))),"Fix")))</f>
        <v>0</v>
      </c>
      <c r="I893" s="4">
        <f>IF(OR(INDEX($V$2:$V$1001,MATCH(ROWS($U$2:U893),$U$2:$U$1001,0),1)&gt;=100000,INDEX($AB$1005:$AQ$1005,1,MATCH(COLUMNS($AB$1006:AI1006),$AB$1006:$AQ$1006,0))&gt;=100000), " ",IF(INDEX($AB$2:$AQ$1001,MATCH(ROWS($U$2:U893),$U$2:$U$1001,0),MATCH(COLUMNS($AB$1006:AI1006),$AB$1006:$AQ$1006,0)), HYPERLINK("#",""), HYPERLINK(CONCATENATE("#metadata!", ADDRESS(INDEX($W$2:$W$1001,MATCH(ROWS($U$2:U893),$U$2:$U$1001,0),0), INDEX($AB$1004:$AQ$1004,1,MATCH(COLUMNS($AB$1006:AI1006),$AB$1006:$AQ$1006,0)))),"Fix")))</f>
        <v>0</v>
      </c>
      <c r="J893" s="4">
        <f>IF(OR(INDEX($V$2:$V$1001,MATCH(ROWS($U$2:U893),$U$2:$U$1001,0),1)&gt;=100000,INDEX($AB$1005:$AQ$1005,1,MATCH(COLUMNS($AB$1006:AJ1006),$AB$1006:$AQ$1006,0))&gt;=100000), " ",IF(INDEX($AB$2:$AQ$1001,MATCH(ROWS($U$2:U893),$U$2:$U$1001,0),MATCH(COLUMNS($AB$1006:AJ1006),$AB$1006:$AQ$1006,0)), HYPERLINK("#",""), HYPERLINK(CONCATENATE("#metadata!", ADDRESS(INDEX($W$2:$W$1001,MATCH(ROWS($U$2:U893),$U$2:$U$1001,0),0), INDEX($AB$1004:$AQ$1004,1,MATCH(COLUMNS($AB$1006:AJ1006),$AB$1006:$AQ$1006,0)))),"Fix")))</f>
        <v>0</v>
      </c>
      <c r="K893" s="4">
        <f>IF(OR(INDEX($V$2:$V$1001,MATCH(ROWS($U$2:U893),$U$2:$U$1001,0),1)&gt;=100000,INDEX($AB$1005:$AQ$1005,1,MATCH(COLUMNS($AB$1006:AK1006),$AB$1006:$AQ$1006,0))&gt;=100000), " ",IF(INDEX($AB$2:$AQ$1001,MATCH(ROWS($U$2:U893),$U$2:$U$1001,0),MATCH(COLUMNS($AB$1006:AK1006),$AB$1006:$AQ$1006,0)), HYPERLINK("#",""), HYPERLINK(CONCATENATE("#metadata!", ADDRESS(INDEX($W$2:$W$1001,MATCH(ROWS($U$2:U893),$U$2:$U$1001,0),0), INDEX($AB$1004:$AQ$1004,1,MATCH(COLUMNS($AB$1006:AK1006),$AB$1006:$AQ$1006,0)))),"Fix")))</f>
        <v>0</v>
      </c>
      <c r="L893" s="4">
        <f>IF(OR(INDEX($V$2:$V$1001,MATCH(ROWS($U$2:U893),$U$2:$U$1001,0),1)&gt;=100000,INDEX($AB$1005:$AQ$1005,1,MATCH(COLUMNS($AB$1006:AL1006),$AB$1006:$AQ$1006,0))&gt;=100000), " ",IF(INDEX($AB$2:$AQ$1001,MATCH(ROWS($U$2:U893),$U$2:$U$1001,0),MATCH(COLUMNS($AB$1006:AL1006),$AB$1006:$AQ$1006,0)), HYPERLINK("#",""), HYPERLINK(CONCATENATE("#metadata!", ADDRESS(INDEX($W$2:$W$1001,MATCH(ROWS($U$2:U893),$U$2:$U$1001,0),0), INDEX($AB$1004:$AQ$1004,1,MATCH(COLUMNS($AB$1006:AL1006),$AB$1006:$AQ$1006,0)))),"Fix")))</f>
        <v>0</v>
      </c>
      <c r="M893" s="4">
        <f>IF(OR(INDEX($V$2:$V$1001,MATCH(ROWS($U$2:U893),$U$2:$U$1001,0),1)&gt;=100000,INDEX($AB$1005:$AQ$1005,1,MATCH(COLUMNS($AB$1006:AM1006),$AB$1006:$AQ$1006,0))&gt;=100000), " ",IF(INDEX($AB$2:$AQ$1001,MATCH(ROWS($U$2:U893),$U$2:$U$1001,0),MATCH(COLUMNS($AB$1006:AM1006),$AB$1006:$AQ$1006,0)), HYPERLINK("#",""), HYPERLINK(CONCATENATE("#metadata!", ADDRESS(INDEX($W$2:$W$1001,MATCH(ROWS($U$2:U893),$U$2:$U$1001,0),0), INDEX($AB$1004:$AQ$1004,1,MATCH(COLUMNS($AB$1006:AM1006),$AB$1006:$AQ$1006,0)))),"Fix")))</f>
        <v>0</v>
      </c>
      <c r="N893" s="4">
        <f>IF(OR(INDEX($V$2:$V$1001,MATCH(ROWS($U$2:U893),$U$2:$U$1001,0),1)&gt;=100000,INDEX($AB$1005:$AQ$1005,1,MATCH(COLUMNS($AB$1006:AN1006),$AB$1006:$AQ$1006,0))&gt;=100000), " ",IF(INDEX($AB$2:$AQ$1001,MATCH(ROWS($U$2:U893),$U$2:$U$1001,0),MATCH(COLUMNS($AB$1006:AN1006),$AB$1006:$AQ$1006,0)), HYPERLINK("#",""), HYPERLINK(CONCATENATE("#metadata!", ADDRESS(INDEX($W$2:$W$1001,MATCH(ROWS($U$2:U893),$U$2:$U$1001,0),0), INDEX($AB$1004:$AQ$1004,1,MATCH(COLUMNS($AB$1006:AN1006),$AB$1006:$AQ$1006,0)))),"Fix")))</f>
        <v>0</v>
      </c>
      <c r="O893" s="4">
        <f>IF(OR(INDEX($V$2:$V$1001,MATCH(ROWS($U$2:U893),$U$2:$U$1001,0),1)&gt;=100000,INDEX($AB$1005:$AQ$1005,1,MATCH(COLUMNS($AB$1006:AO1006),$AB$1006:$AQ$1006,0))&gt;=100000), " ",IF(INDEX($AB$2:$AQ$1001,MATCH(ROWS($U$2:U893),$U$2:$U$1001,0),MATCH(COLUMNS($AB$1006:AO1006),$AB$1006:$AQ$1006,0)), HYPERLINK("#",""), HYPERLINK(CONCATENATE("#metadata!", ADDRESS(INDEX($W$2:$W$1001,MATCH(ROWS($U$2:U893),$U$2:$U$1001,0),0), INDEX($AB$1004:$AQ$1004,1,MATCH(COLUMNS($AB$1006:AO1006),$AB$1006:$AQ$1006,0)))),"Fix")))</f>
        <v>0</v>
      </c>
      <c r="P893" s="4">
        <f>IF(OR(INDEX($V$2:$V$1001,MATCH(ROWS($U$2:U893),$U$2:$U$1001,0),1)&gt;=100000,INDEX($AB$1005:$AQ$1005,1,MATCH(COLUMNS($AB$1006:AP1006),$AB$1006:$AQ$1006,0))&gt;=100000), " ",IF(INDEX($AB$2:$AQ$1001,MATCH(ROWS($U$2:U893),$U$2:$U$1001,0),MATCH(COLUMNS($AB$1006:AP1006),$AB$1006:$AQ$1006,0)), HYPERLINK("#",""), HYPERLINK(CONCATENATE("#metadata!", ADDRESS(INDEX($W$2:$W$1001,MATCH(ROWS($U$2:U893),$U$2:$U$1001,0),0), INDEX($AB$1004:$AQ$1004,1,MATCH(COLUMNS($AB$1006:AP1006),$AB$1006:$AQ$1006,0)))),"Fix")))</f>
        <v>0</v>
      </c>
      <c r="Q893" s="4">
        <f>IF(OR(INDEX($V$2:$V$1001,MATCH(ROWS($U$2:U893),$U$2:$U$1001,0),1)&gt;=100000,INDEX($AB$1005:$AQ$1005,1,MATCH(COLUMNS($AB$1006:AQ1006),$AB$1006:$AQ$1006,0))&gt;=100000), " ",IF(INDEX($AB$2:$AQ$1001,MATCH(ROWS($U$2:U893),$U$2:$U$1001,0),MATCH(COLUMNS($AB$1006:AQ1006),$AB$1006:$AQ$1006,0)), HYPERLINK("#",""), HYPERLINK(CONCATENATE("#metadata!", ADDRESS(INDEX($W$2:$W$1001,MATCH(ROWS($U$2:U893),$U$2:$U$1001,0),0), INDEX($AB$1004:$AQ$1004,1,MATCH(COLUMNS($AB$1006:AQ1006),$AB$1006:$AQ$1006,0)))),"Fix")))</f>
        <v>0</v>
      </c>
      <c r="U893">
        <v>0</v>
      </c>
      <c r="V893">
        <v>0</v>
      </c>
      <c r="W893">
        <v>0</v>
      </c>
      <c r="X893">
        <f>IF(Y893,TRUE,AND(AB893:AQ893))</f>
        <v>0</v>
      </c>
      <c r="Y893">
        <f>COUNTBLANK(metadata!B893:Q893)=COLUMNS(metadata!B893:Q893)</f>
        <v>0</v>
      </c>
      <c r="Z893">
        <v>0</v>
      </c>
      <c r="AB893">
        <f>AND(IF(metadata!B893="",FALSE,TRUE),COUNTIF(metadata!B:B, metadata!B893) = 1,NOT(ISERROR(SUMPRODUCT(SEARCH(MID(metadata!B893,ROW(INDIRECT("1:"&amp;LEN(metadata!B893))), 1),"0123456789abcdefghijklmnopqrstuvwxyzABCDEFGHIJKLMNOPQRSTUVWXYZ.")))))</f>
        <v>0</v>
      </c>
      <c r="AC893">
        <f>OR(AND(IF(metadata!C893="",FALSE,TRUE),OR(exact(metadata!C893,"missing: not collected"),exact(metadata!C893,"missing: not provided"),exact(metadata!C893,"missing: restricted access"))),AND(IF(metadata!C893="",FALSE,TRUE),AND(AND(IFERROR(INT(LEFT(metadata!C893,4))&gt;1900,FALSE),IFERROR(INT(LEFT(metadata!C893,4))&lt;=YEAR(NOW()),FALSE)), OR(MID(metadata!C893,5,1)="", AND(AND(MID(metadata!C893,5,1)="-",IFERROR(INT(MID(metadata!C893,6,1))&gt;=0,FALSE),IFERROR(INT(MID(metadata!C893,6,1))&lt;=1,FALSE),NOT(MID(metadata!C893,7,1)=""),IFERROR(INT(MID(metadata!C893,6,2))&gt;=1,FALSE),IFERROR(INT(MID(metadata!C893,6,2))&lt;=12,FALSE)), OR(MID(metadata!C893,8,1)="", AND(AND(MID(metadata!C893,8,1)="-",IFERROR(INT(MID(metadata!C893,9,1))&gt;=0,FALSE),IFERROR(INT(MID(metadata!C893,9,1))&lt;=3,FALSE),NOT(MID(metadata!C893,10,1)=""),IFERROR(INT(MID(metadata!C893,9,2))&gt;=1,FALSE),IFERROR(INT(MID(metadata!C893,9,2))&lt;=31,FALSE)), OR(MID(metadata!C893,11,1)="", AND(AND(MID(metadata!C893,11,1)=" ",IFERROR(INT(MID(metadata!C893,12,1))&gt;=0,FALSE),IFERROR(INT(MID(metadata!C893,12,1))&lt;=2,FALSE),NOT(MID(metadata!C893,13,1)=""),IFERROR(INT(MID(metadata!C893,12,2))&gt;=0,FALSE),IFERROR(INT(MID(metadata!C893,12,2))&lt;=23,FALSE)), OR(MID(metadata!C893,14,1)="", AND(AND(MID(metadata!C893,14,1)=":",IFERROR(INT(MID(metadata!C893,15,1))&gt;=0,FALSE),IFERROR(INT(MID(metadata!C893,15,1))&lt;=5,FALSE),NOT(MID(metadata!C893,16,1)=""),IFERROR(INT(MID(metadata!C893,15,2))&gt;=0,FALSE),IFERROR(INT(MID(metadata!C893,15,2))&lt;=59,FALSE)), OR(MID(metadata!C893,17,1)="", AND(AND(MID(metadata!C893,17,1)=":",IFERROR(INT(MID(metadata!C893,18,1))&gt;=0,FALSE),IFERROR(INT(MID(metadata!C893,18,1))&lt;=5,FALSE),NOT(MID(metadata!C893,19,1)=""),IFERROR(INT(MID(metadata!C893,18,2))&gt;=0,FALSE),IFERROR(INT(MID(metadata!C893,18,2))&lt;=59,FALSE)), LEN(metadata!C893)&lt;=19)))))))))))))</f>
        <v>0</v>
      </c>
      <c r="AD893">
        <f>IF(metadata!D893="",FALSE,TRUE)</f>
        <v>0</v>
      </c>
      <c r="AE893">
        <f>OR(AND(IF(metadata!E893="",FALSE,TRUE),OR(exact(metadata!E893,"missing: not collected"),exact(metadata!E893,"missing: not provided"))),AND(IF(metadata!E893="",FALSE,TRUE),OR(exact(metadata!E893,"TRUE"),exact(metadata!E893,"FALSE"))))</f>
        <v>0</v>
      </c>
      <c r="AF893">
        <f>IF(metadata!F893="",FALSE,TRUE)</f>
        <v>0</v>
      </c>
      <c r="AG893">
        <f>IF(metadata!G893="",FALSE,TRUE)</f>
        <v>0</v>
      </c>
      <c r="AH893">
        <f>IF(metadata!H893="",FALSE,TRUE)</f>
        <v>0</v>
      </c>
      <c r="AI893">
        <f>OR(AND(IF(metadata!I893="",FALSE,TRUE),OR(exact(metadata!I893,"missing: not collected"),exact(metadata!I893,"missing: not provided"),exact(metadata!I893,"missing: restricted access"))),AND(IF(metadata!I893="",FALSE,TRUE),OR(exact(metadata!I893,"air"),exact(metadata!I893,"built environment"),exact(metadata!I893,"host-associated"),exact(metadata!I893,"human-associated"),exact(metadata!I893,"human-skin"),exact(metadata!I893,"human-oral"),exact(metadata!I893,"human-gut"),exact(metadata!I893,"human-vaginal"),exact(metadata!I893,"microbial mat/biofilm"),exact(metadata!I893,"misc environment"),exact(metadata!I893,"plant-associated"),exact(metadata!I893,"sediment"),exact(metadata!I893,"soil"),exact(metadata!I893,"wastewater/sludge"),exact(metadata!I893,"water"))))</f>
        <v>0</v>
      </c>
      <c r="AJ893">
        <f>IF(metadata!J893="",FALSE,TRUE)</f>
        <v>0</v>
      </c>
      <c r="AK893">
        <f>OR(AND(IF(metadata!K893="",FALSE,TRUE),OR(exact(metadata!K893,"missing: not collected"),exact(metadata!K893,"missing: not provided"),exact(metadata!K893,"missing: restricted access"))),AND(IF(metadata!K893="",FALSE,ISNUMBER(VALUE(metadata!K893))),metadata!K893&gt;=-90.00,metadata!K893&lt;=90.00))</f>
        <v>0</v>
      </c>
      <c r="AL893">
        <f>OR(AND(IF(metadata!L893="",FALSE,TRUE),OR(exact(metadata!L893,"missing: not collected"),exact(metadata!L893,"missing: not provided"),exact(metadata!L893,"missing: restricted access"))),AND(IF(metadata!L893="",FALSE,ISNUMBER(VALUE(metadata!L893))),metadata!L893&gt;=-180.00,metadata!L893&lt;=180.00))</f>
        <v>0</v>
      </c>
      <c r="AM893">
        <f>IF(metadata!M893="",FALSE,TRUE)</f>
        <v>0</v>
      </c>
      <c r="AN893">
        <f>OR(AND(IF(metadata!N893="",FALSE,TRUE),OR(exact(metadata!N893,"missing: not collected"),exact(metadata!N893,"missing: not provided"),exact(metadata!N893,"missing: restricted access"))),AND(IF(metadata!N893="",FALSE,TRUE),OR(exact(metadata!N893,"TRUE"),exact(metadata!N893,"FALSE"))))</f>
        <v>0</v>
      </c>
      <c r="AO893">
        <f>IF(metadata!O893="",FALSE,TRUE)</f>
        <v>0</v>
      </c>
      <c r="AP893">
        <f>OR(AND(IF(metadata!P893="",FALSE,TRUE),OR(exact(metadata!P893,"missing: not collected"),exact(metadata!P893,"missing: not provided"))),AND(IF(metadata!P893="",FALSE,IF(ISERROR(INT(metadata!P893)),FALSE,INT(metadata!P893)=metadata!P893)),metadata!P893&gt;0))</f>
        <v>0</v>
      </c>
      <c r="AQ893">
        <f>IF(metadata!Q893="",FALSE,TRUE)</f>
        <v>0</v>
      </c>
    </row>
    <row r="894" spans="1:43">
      <c r="A894" s="5">
        <f>IF(B894=" "," ",HYPERLINK(CONCATENATE("#metadata!",ADDRESS(INDEX($W$2:$W$1001,MATCH(ROWS($U$2:U894),$U$2:$U$1001,0),0),1)),INDEX($Z$2:$Z$1001,MATCH(ROWS($U$2:U894),$U$2:$U$1001,0),0)))</f>
        <v>0</v>
      </c>
      <c r="B894" s="4">
        <f>IF(OR(INDEX($V$2:$V$1001,MATCH(ROWS($U$2:U894),$U$2:$U$1001,0),1)&gt;=100000,INDEX($AB$1005:$AQ$1005,1,MATCH(COLUMNS($AB$1006:AB1006),$AB$1006:$AQ$1006,0))&gt;=100000), " ",IF(INDEX($AB$2:$AQ$1001,MATCH(ROWS($U$2:U894),$U$2:$U$1001,0),MATCH(COLUMNS($AB$1006:AB1006),$AB$1006:$AQ$1006,0)), HYPERLINK("#",""), HYPERLINK(CONCATENATE("#metadata!", ADDRESS(INDEX($W$2:$W$1001,MATCH(ROWS($U$2:U894),$U$2:$U$1001,0),0), INDEX($AB$1004:$AQ$1004,1,MATCH(COLUMNS($AB$1006:AB1006),$AB$1006:$AQ$1006,0)))),"Fix")))</f>
        <v>0</v>
      </c>
      <c r="C894" s="4">
        <f>IF(OR(INDEX($V$2:$V$1001,MATCH(ROWS($U$2:U894),$U$2:$U$1001,0),1)&gt;=100000,INDEX($AB$1005:$AQ$1005,1,MATCH(COLUMNS($AB$1006:AC1006),$AB$1006:$AQ$1006,0))&gt;=100000), " ",IF(INDEX($AB$2:$AQ$1001,MATCH(ROWS($U$2:U894),$U$2:$U$1001,0),MATCH(COLUMNS($AB$1006:AC1006),$AB$1006:$AQ$1006,0)), HYPERLINK("#",""), HYPERLINK(CONCATENATE("#metadata!", ADDRESS(INDEX($W$2:$W$1001,MATCH(ROWS($U$2:U894),$U$2:$U$1001,0),0), INDEX($AB$1004:$AQ$1004,1,MATCH(COLUMNS($AB$1006:AC1006),$AB$1006:$AQ$1006,0)))),"Fix")))</f>
        <v>0</v>
      </c>
      <c r="D894" s="4">
        <f>IF(OR(INDEX($V$2:$V$1001,MATCH(ROWS($U$2:U894),$U$2:$U$1001,0),1)&gt;=100000,INDEX($AB$1005:$AQ$1005,1,MATCH(COLUMNS($AB$1006:AD1006),$AB$1006:$AQ$1006,0))&gt;=100000), " ",IF(INDEX($AB$2:$AQ$1001,MATCH(ROWS($U$2:U894),$U$2:$U$1001,0),MATCH(COLUMNS($AB$1006:AD1006),$AB$1006:$AQ$1006,0)), HYPERLINK("#",""), HYPERLINK(CONCATENATE("#metadata!", ADDRESS(INDEX($W$2:$W$1001,MATCH(ROWS($U$2:U894),$U$2:$U$1001,0),0), INDEX($AB$1004:$AQ$1004,1,MATCH(COLUMNS($AB$1006:AD1006),$AB$1006:$AQ$1006,0)))),"Fix")))</f>
        <v>0</v>
      </c>
      <c r="E894" s="4">
        <f>IF(OR(INDEX($V$2:$V$1001,MATCH(ROWS($U$2:U894),$U$2:$U$1001,0),1)&gt;=100000,INDEX($AB$1005:$AQ$1005,1,MATCH(COLUMNS($AB$1006:AE1006),$AB$1006:$AQ$1006,0))&gt;=100000), " ",IF(INDEX($AB$2:$AQ$1001,MATCH(ROWS($U$2:U894),$U$2:$U$1001,0),MATCH(COLUMNS($AB$1006:AE1006),$AB$1006:$AQ$1006,0)), HYPERLINK("#",""), HYPERLINK(CONCATENATE("#metadata!", ADDRESS(INDEX($W$2:$W$1001,MATCH(ROWS($U$2:U894),$U$2:$U$1001,0),0), INDEX($AB$1004:$AQ$1004,1,MATCH(COLUMNS($AB$1006:AE1006),$AB$1006:$AQ$1006,0)))),"Fix")))</f>
        <v>0</v>
      </c>
      <c r="F894" s="4">
        <f>IF(OR(INDEX($V$2:$V$1001,MATCH(ROWS($U$2:U894),$U$2:$U$1001,0),1)&gt;=100000,INDEX($AB$1005:$AQ$1005,1,MATCH(COLUMNS($AB$1006:AF1006),$AB$1006:$AQ$1006,0))&gt;=100000), " ",IF(INDEX($AB$2:$AQ$1001,MATCH(ROWS($U$2:U894),$U$2:$U$1001,0),MATCH(COLUMNS($AB$1006:AF1006),$AB$1006:$AQ$1006,0)), HYPERLINK("#",""), HYPERLINK(CONCATENATE("#metadata!", ADDRESS(INDEX($W$2:$W$1001,MATCH(ROWS($U$2:U894),$U$2:$U$1001,0),0), INDEX($AB$1004:$AQ$1004,1,MATCH(COLUMNS($AB$1006:AF1006),$AB$1006:$AQ$1006,0)))),"Fix")))</f>
        <v>0</v>
      </c>
      <c r="G894" s="4">
        <f>IF(OR(INDEX($V$2:$V$1001,MATCH(ROWS($U$2:U894),$U$2:$U$1001,0),1)&gt;=100000,INDEX($AB$1005:$AQ$1005,1,MATCH(COLUMNS($AB$1006:AG1006),$AB$1006:$AQ$1006,0))&gt;=100000), " ",IF(INDEX($AB$2:$AQ$1001,MATCH(ROWS($U$2:U894),$U$2:$U$1001,0),MATCH(COLUMNS($AB$1006:AG1006),$AB$1006:$AQ$1006,0)), HYPERLINK("#",""), HYPERLINK(CONCATENATE("#metadata!", ADDRESS(INDEX($W$2:$W$1001,MATCH(ROWS($U$2:U894),$U$2:$U$1001,0),0), INDEX($AB$1004:$AQ$1004,1,MATCH(COLUMNS($AB$1006:AG1006),$AB$1006:$AQ$1006,0)))),"Fix")))</f>
        <v>0</v>
      </c>
      <c r="H894" s="4">
        <f>IF(OR(INDEX($V$2:$V$1001,MATCH(ROWS($U$2:U894),$U$2:$U$1001,0),1)&gt;=100000,INDEX($AB$1005:$AQ$1005,1,MATCH(COLUMNS($AB$1006:AH1006),$AB$1006:$AQ$1006,0))&gt;=100000), " ",IF(INDEX($AB$2:$AQ$1001,MATCH(ROWS($U$2:U894),$U$2:$U$1001,0),MATCH(COLUMNS($AB$1006:AH1006),$AB$1006:$AQ$1006,0)), HYPERLINK("#",""), HYPERLINK(CONCATENATE("#metadata!", ADDRESS(INDEX($W$2:$W$1001,MATCH(ROWS($U$2:U894),$U$2:$U$1001,0),0), INDEX($AB$1004:$AQ$1004,1,MATCH(COLUMNS($AB$1006:AH1006),$AB$1006:$AQ$1006,0)))),"Fix")))</f>
        <v>0</v>
      </c>
      <c r="I894" s="4">
        <f>IF(OR(INDEX($V$2:$V$1001,MATCH(ROWS($U$2:U894),$U$2:$U$1001,0),1)&gt;=100000,INDEX($AB$1005:$AQ$1005,1,MATCH(COLUMNS($AB$1006:AI1006),$AB$1006:$AQ$1006,0))&gt;=100000), " ",IF(INDEX($AB$2:$AQ$1001,MATCH(ROWS($U$2:U894),$U$2:$U$1001,0),MATCH(COLUMNS($AB$1006:AI1006),$AB$1006:$AQ$1006,0)), HYPERLINK("#",""), HYPERLINK(CONCATENATE("#metadata!", ADDRESS(INDEX($W$2:$W$1001,MATCH(ROWS($U$2:U894),$U$2:$U$1001,0),0), INDEX($AB$1004:$AQ$1004,1,MATCH(COLUMNS($AB$1006:AI1006),$AB$1006:$AQ$1006,0)))),"Fix")))</f>
        <v>0</v>
      </c>
      <c r="J894" s="4">
        <f>IF(OR(INDEX($V$2:$V$1001,MATCH(ROWS($U$2:U894),$U$2:$U$1001,0),1)&gt;=100000,INDEX($AB$1005:$AQ$1005,1,MATCH(COLUMNS($AB$1006:AJ1006),$AB$1006:$AQ$1006,0))&gt;=100000), " ",IF(INDEX($AB$2:$AQ$1001,MATCH(ROWS($U$2:U894),$U$2:$U$1001,0),MATCH(COLUMNS($AB$1006:AJ1006),$AB$1006:$AQ$1006,0)), HYPERLINK("#",""), HYPERLINK(CONCATENATE("#metadata!", ADDRESS(INDEX($W$2:$W$1001,MATCH(ROWS($U$2:U894),$U$2:$U$1001,0),0), INDEX($AB$1004:$AQ$1004,1,MATCH(COLUMNS($AB$1006:AJ1006),$AB$1006:$AQ$1006,0)))),"Fix")))</f>
        <v>0</v>
      </c>
      <c r="K894" s="4">
        <f>IF(OR(INDEX($V$2:$V$1001,MATCH(ROWS($U$2:U894),$U$2:$U$1001,0),1)&gt;=100000,INDEX($AB$1005:$AQ$1005,1,MATCH(COLUMNS($AB$1006:AK1006),$AB$1006:$AQ$1006,0))&gt;=100000), " ",IF(INDEX($AB$2:$AQ$1001,MATCH(ROWS($U$2:U894),$U$2:$U$1001,0),MATCH(COLUMNS($AB$1006:AK1006),$AB$1006:$AQ$1006,0)), HYPERLINK("#",""), HYPERLINK(CONCATENATE("#metadata!", ADDRESS(INDEX($W$2:$W$1001,MATCH(ROWS($U$2:U894),$U$2:$U$1001,0),0), INDEX($AB$1004:$AQ$1004,1,MATCH(COLUMNS($AB$1006:AK1006),$AB$1006:$AQ$1006,0)))),"Fix")))</f>
        <v>0</v>
      </c>
      <c r="L894" s="4">
        <f>IF(OR(INDEX($V$2:$V$1001,MATCH(ROWS($U$2:U894),$U$2:$U$1001,0),1)&gt;=100000,INDEX($AB$1005:$AQ$1005,1,MATCH(COLUMNS($AB$1006:AL1006),$AB$1006:$AQ$1006,0))&gt;=100000), " ",IF(INDEX($AB$2:$AQ$1001,MATCH(ROWS($U$2:U894),$U$2:$U$1001,0),MATCH(COLUMNS($AB$1006:AL1006),$AB$1006:$AQ$1006,0)), HYPERLINK("#",""), HYPERLINK(CONCATENATE("#metadata!", ADDRESS(INDEX($W$2:$W$1001,MATCH(ROWS($U$2:U894),$U$2:$U$1001,0),0), INDEX($AB$1004:$AQ$1004,1,MATCH(COLUMNS($AB$1006:AL1006),$AB$1006:$AQ$1006,0)))),"Fix")))</f>
        <v>0</v>
      </c>
      <c r="M894" s="4">
        <f>IF(OR(INDEX($V$2:$V$1001,MATCH(ROWS($U$2:U894),$U$2:$U$1001,0),1)&gt;=100000,INDEX($AB$1005:$AQ$1005,1,MATCH(COLUMNS($AB$1006:AM1006),$AB$1006:$AQ$1006,0))&gt;=100000), " ",IF(INDEX($AB$2:$AQ$1001,MATCH(ROWS($U$2:U894),$U$2:$U$1001,0),MATCH(COLUMNS($AB$1006:AM1006),$AB$1006:$AQ$1006,0)), HYPERLINK("#",""), HYPERLINK(CONCATENATE("#metadata!", ADDRESS(INDEX($W$2:$W$1001,MATCH(ROWS($U$2:U894),$U$2:$U$1001,0),0), INDEX($AB$1004:$AQ$1004,1,MATCH(COLUMNS($AB$1006:AM1006),$AB$1006:$AQ$1006,0)))),"Fix")))</f>
        <v>0</v>
      </c>
      <c r="N894" s="4">
        <f>IF(OR(INDEX($V$2:$V$1001,MATCH(ROWS($U$2:U894),$U$2:$U$1001,0),1)&gt;=100000,INDEX($AB$1005:$AQ$1005,1,MATCH(COLUMNS($AB$1006:AN1006),$AB$1006:$AQ$1006,0))&gt;=100000), " ",IF(INDEX($AB$2:$AQ$1001,MATCH(ROWS($U$2:U894),$U$2:$U$1001,0),MATCH(COLUMNS($AB$1006:AN1006),$AB$1006:$AQ$1006,0)), HYPERLINK("#",""), HYPERLINK(CONCATENATE("#metadata!", ADDRESS(INDEX($W$2:$W$1001,MATCH(ROWS($U$2:U894),$U$2:$U$1001,0),0), INDEX($AB$1004:$AQ$1004,1,MATCH(COLUMNS($AB$1006:AN1006),$AB$1006:$AQ$1006,0)))),"Fix")))</f>
        <v>0</v>
      </c>
      <c r="O894" s="4">
        <f>IF(OR(INDEX($V$2:$V$1001,MATCH(ROWS($U$2:U894),$U$2:$U$1001,0),1)&gt;=100000,INDEX($AB$1005:$AQ$1005,1,MATCH(COLUMNS($AB$1006:AO1006),$AB$1006:$AQ$1006,0))&gt;=100000), " ",IF(INDEX($AB$2:$AQ$1001,MATCH(ROWS($U$2:U894),$U$2:$U$1001,0),MATCH(COLUMNS($AB$1006:AO1006),$AB$1006:$AQ$1006,0)), HYPERLINK("#",""), HYPERLINK(CONCATENATE("#metadata!", ADDRESS(INDEX($W$2:$W$1001,MATCH(ROWS($U$2:U894),$U$2:$U$1001,0),0), INDEX($AB$1004:$AQ$1004,1,MATCH(COLUMNS($AB$1006:AO1006),$AB$1006:$AQ$1006,0)))),"Fix")))</f>
        <v>0</v>
      </c>
      <c r="P894" s="4">
        <f>IF(OR(INDEX($V$2:$V$1001,MATCH(ROWS($U$2:U894),$U$2:$U$1001,0),1)&gt;=100000,INDEX($AB$1005:$AQ$1005,1,MATCH(COLUMNS($AB$1006:AP1006),$AB$1006:$AQ$1006,0))&gt;=100000), " ",IF(INDEX($AB$2:$AQ$1001,MATCH(ROWS($U$2:U894),$U$2:$U$1001,0),MATCH(COLUMNS($AB$1006:AP1006),$AB$1006:$AQ$1006,0)), HYPERLINK("#",""), HYPERLINK(CONCATENATE("#metadata!", ADDRESS(INDEX($W$2:$W$1001,MATCH(ROWS($U$2:U894),$U$2:$U$1001,0),0), INDEX($AB$1004:$AQ$1004,1,MATCH(COLUMNS($AB$1006:AP1006),$AB$1006:$AQ$1006,0)))),"Fix")))</f>
        <v>0</v>
      </c>
      <c r="Q894" s="4">
        <f>IF(OR(INDEX($V$2:$V$1001,MATCH(ROWS($U$2:U894),$U$2:$U$1001,0),1)&gt;=100000,INDEX($AB$1005:$AQ$1005,1,MATCH(COLUMNS($AB$1006:AQ1006),$AB$1006:$AQ$1006,0))&gt;=100000), " ",IF(INDEX($AB$2:$AQ$1001,MATCH(ROWS($U$2:U894),$U$2:$U$1001,0),MATCH(COLUMNS($AB$1006:AQ1006),$AB$1006:$AQ$1006,0)), HYPERLINK("#",""), HYPERLINK(CONCATENATE("#metadata!", ADDRESS(INDEX($W$2:$W$1001,MATCH(ROWS($U$2:U894),$U$2:$U$1001,0),0), INDEX($AB$1004:$AQ$1004,1,MATCH(COLUMNS($AB$1006:AQ1006),$AB$1006:$AQ$1006,0)))),"Fix")))</f>
        <v>0</v>
      </c>
      <c r="U894">
        <v>0</v>
      </c>
      <c r="V894">
        <v>0</v>
      </c>
      <c r="W894">
        <v>0</v>
      </c>
      <c r="X894">
        <f>IF(Y894,TRUE,AND(AB894:AQ894))</f>
        <v>0</v>
      </c>
      <c r="Y894">
        <f>COUNTBLANK(metadata!B894:Q894)=COLUMNS(metadata!B894:Q894)</f>
        <v>0</v>
      </c>
      <c r="Z894">
        <v>0</v>
      </c>
      <c r="AB894">
        <f>AND(IF(metadata!B894="",FALSE,TRUE),COUNTIF(metadata!B:B, metadata!B894) = 1,NOT(ISERROR(SUMPRODUCT(SEARCH(MID(metadata!B894,ROW(INDIRECT("1:"&amp;LEN(metadata!B894))), 1),"0123456789abcdefghijklmnopqrstuvwxyzABCDEFGHIJKLMNOPQRSTUVWXYZ.")))))</f>
        <v>0</v>
      </c>
      <c r="AC894">
        <f>OR(AND(IF(metadata!C894="",FALSE,TRUE),OR(exact(metadata!C894,"missing: not collected"),exact(metadata!C894,"missing: not provided"),exact(metadata!C894,"missing: restricted access"))),AND(IF(metadata!C894="",FALSE,TRUE),AND(AND(IFERROR(INT(LEFT(metadata!C894,4))&gt;1900,FALSE),IFERROR(INT(LEFT(metadata!C894,4))&lt;=YEAR(NOW()),FALSE)), OR(MID(metadata!C894,5,1)="", AND(AND(MID(metadata!C894,5,1)="-",IFERROR(INT(MID(metadata!C894,6,1))&gt;=0,FALSE),IFERROR(INT(MID(metadata!C894,6,1))&lt;=1,FALSE),NOT(MID(metadata!C894,7,1)=""),IFERROR(INT(MID(metadata!C894,6,2))&gt;=1,FALSE),IFERROR(INT(MID(metadata!C894,6,2))&lt;=12,FALSE)), OR(MID(metadata!C894,8,1)="", AND(AND(MID(metadata!C894,8,1)="-",IFERROR(INT(MID(metadata!C894,9,1))&gt;=0,FALSE),IFERROR(INT(MID(metadata!C894,9,1))&lt;=3,FALSE),NOT(MID(metadata!C894,10,1)=""),IFERROR(INT(MID(metadata!C894,9,2))&gt;=1,FALSE),IFERROR(INT(MID(metadata!C894,9,2))&lt;=31,FALSE)), OR(MID(metadata!C894,11,1)="", AND(AND(MID(metadata!C894,11,1)=" ",IFERROR(INT(MID(metadata!C894,12,1))&gt;=0,FALSE),IFERROR(INT(MID(metadata!C894,12,1))&lt;=2,FALSE),NOT(MID(metadata!C894,13,1)=""),IFERROR(INT(MID(metadata!C894,12,2))&gt;=0,FALSE),IFERROR(INT(MID(metadata!C894,12,2))&lt;=23,FALSE)), OR(MID(metadata!C894,14,1)="", AND(AND(MID(metadata!C894,14,1)=":",IFERROR(INT(MID(metadata!C894,15,1))&gt;=0,FALSE),IFERROR(INT(MID(metadata!C894,15,1))&lt;=5,FALSE),NOT(MID(metadata!C894,16,1)=""),IFERROR(INT(MID(metadata!C894,15,2))&gt;=0,FALSE),IFERROR(INT(MID(metadata!C894,15,2))&lt;=59,FALSE)), OR(MID(metadata!C894,17,1)="", AND(AND(MID(metadata!C894,17,1)=":",IFERROR(INT(MID(metadata!C894,18,1))&gt;=0,FALSE),IFERROR(INT(MID(metadata!C894,18,1))&lt;=5,FALSE),NOT(MID(metadata!C894,19,1)=""),IFERROR(INT(MID(metadata!C894,18,2))&gt;=0,FALSE),IFERROR(INT(MID(metadata!C894,18,2))&lt;=59,FALSE)), LEN(metadata!C894)&lt;=19)))))))))))))</f>
        <v>0</v>
      </c>
      <c r="AD894">
        <f>IF(metadata!D894="",FALSE,TRUE)</f>
        <v>0</v>
      </c>
      <c r="AE894">
        <f>OR(AND(IF(metadata!E894="",FALSE,TRUE),OR(exact(metadata!E894,"missing: not collected"),exact(metadata!E894,"missing: not provided"))),AND(IF(metadata!E894="",FALSE,TRUE),OR(exact(metadata!E894,"TRUE"),exact(metadata!E894,"FALSE"))))</f>
        <v>0</v>
      </c>
      <c r="AF894">
        <f>IF(metadata!F894="",FALSE,TRUE)</f>
        <v>0</v>
      </c>
      <c r="AG894">
        <f>IF(metadata!G894="",FALSE,TRUE)</f>
        <v>0</v>
      </c>
      <c r="AH894">
        <f>IF(metadata!H894="",FALSE,TRUE)</f>
        <v>0</v>
      </c>
      <c r="AI894">
        <f>OR(AND(IF(metadata!I894="",FALSE,TRUE),OR(exact(metadata!I894,"missing: not collected"),exact(metadata!I894,"missing: not provided"),exact(metadata!I894,"missing: restricted access"))),AND(IF(metadata!I894="",FALSE,TRUE),OR(exact(metadata!I894,"air"),exact(metadata!I894,"built environment"),exact(metadata!I894,"host-associated"),exact(metadata!I894,"human-associated"),exact(metadata!I894,"human-skin"),exact(metadata!I894,"human-oral"),exact(metadata!I894,"human-gut"),exact(metadata!I894,"human-vaginal"),exact(metadata!I894,"microbial mat/biofilm"),exact(metadata!I894,"misc environment"),exact(metadata!I894,"plant-associated"),exact(metadata!I894,"sediment"),exact(metadata!I894,"soil"),exact(metadata!I894,"wastewater/sludge"),exact(metadata!I894,"water"))))</f>
        <v>0</v>
      </c>
      <c r="AJ894">
        <f>IF(metadata!J894="",FALSE,TRUE)</f>
        <v>0</v>
      </c>
      <c r="AK894">
        <f>OR(AND(IF(metadata!K894="",FALSE,TRUE),OR(exact(metadata!K894,"missing: not collected"),exact(metadata!K894,"missing: not provided"),exact(metadata!K894,"missing: restricted access"))),AND(IF(metadata!K894="",FALSE,ISNUMBER(VALUE(metadata!K894))),metadata!K894&gt;=-90.00,metadata!K894&lt;=90.00))</f>
        <v>0</v>
      </c>
      <c r="AL894">
        <f>OR(AND(IF(metadata!L894="",FALSE,TRUE),OR(exact(metadata!L894,"missing: not collected"),exact(metadata!L894,"missing: not provided"),exact(metadata!L894,"missing: restricted access"))),AND(IF(metadata!L894="",FALSE,ISNUMBER(VALUE(metadata!L894))),metadata!L894&gt;=-180.00,metadata!L894&lt;=180.00))</f>
        <v>0</v>
      </c>
      <c r="AM894">
        <f>IF(metadata!M894="",FALSE,TRUE)</f>
        <v>0</v>
      </c>
      <c r="AN894">
        <f>OR(AND(IF(metadata!N894="",FALSE,TRUE),OR(exact(metadata!N894,"missing: not collected"),exact(metadata!N894,"missing: not provided"),exact(metadata!N894,"missing: restricted access"))),AND(IF(metadata!N894="",FALSE,TRUE),OR(exact(metadata!N894,"TRUE"),exact(metadata!N894,"FALSE"))))</f>
        <v>0</v>
      </c>
      <c r="AO894">
        <f>IF(metadata!O894="",FALSE,TRUE)</f>
        <v>0</v>
      </c>
      <c r="AP894">
        <f>OR(AND(IF(metadata!P894="",FALSE,TRUE),OR(exact(metadata!P894,"missing: not collected"),exact(metadata!P894,"missing: not provided"))),AND(IF(metadata!P894="",FALSE,IF(ISERROR(INT(metadata!P894)),FALSE,INT(metadata!P894)=metadata!P894)),metadata!P894&gt;0))</f>
        <v>0</v>
      </c>
      <c r="AQ894">
        <f>IF(metadata!Q894="",FALSE,TRUE)</f>
        <v>0</v>
      </c>
    </row>
    <row r="895" spans="1:43">
      <c r="A895" s="5">
        <f>IF(B895=" "," ",HYPERLINK(CONCATENATE("#metadata!",ADDRESS(INDEX($W$2:$W$1001,MATCH(ROWS($U$2:U895),$U$2:$U$1001,0),0),1)),INDEX($Z$2:$Z$1001,MATCH(ROWS($U$2:U895),$U$2:$U$1001,0),0)))</f>
        <v>0</v>
      </c>
      <c r="B895" s="4">
        <f>IF(OR(INDEX($V$2:$V$1001,MATCH(ROWS($U$2:U895),$U$2:$U$1001,0),1)&gt;=100000,INDEX($AB$1005:$AQ$1005,1,MATCH(COLUMNS($AB$1006:AB1006),$AB$1006:$AQ$1006,0))&gt;=100000), " ",IF(INDEX($AB$2:$AQ$1001,MATCH(ROWS($U$2:U895),$U$2:$U$1001,0),MATCH(COLUMNS($AB$1006:AB1006),$AB$1006:$AQ$1006,0)), HYPERLINK("#",""), HYPERLINK(CONCATENATE("#metadata!", ADDRESS(INDEX($W$2:$W$1001,MATCH(ROWS($U$2:U895),$U$2:$U$1001,0),0), INDEX($AB$1004:$AQ$1004,1,MATCH(COLUMNS($AB$1006:AB1006),$AB$1006:$AQ$1006,0)))),"Fix")))</f>
        <v>0</v>
      </c>
      <c r="C895" s="4">
        <f>IF(OR(INDEX($V$2:$V$1001,MATCH(ROWS($U$2:U895),$U$2:$U$1001,0),1)&gt;=100000,INDEX($AB$1005:$AQ$1005,1,MATCH(COLUMNS($AB$1006:AC1006),$AB$1006:$AQ$1006,0))&gt;=100000), " ",IF(INDEX($AB$2:$AQ$1001,MATCH(ROWS($U$2:U895),$U$2:$U$1001,0),MATCH(COLUMNS($AB$1006:AC1006),$AB$1006:$AQ$1006,0)), HYPERLINK("#",""), HYPERLINK(CONCATENATE("#metadata!", ADDRESS(INDEX($W$2:$W$1001,MATCH(ROWS($U$2:U895),$U$2:$U$1001,0),0), INDEX($AB$1004:$AQ$1004,1,MATCH(COLUMNS($AB$1006:AC1006),$AB$1006:$AQ$1006,0)))),"Fix")))</f>
        <v>0</v>
      </c>
      <c r="D895" s="4">
        <f>IF(OR(INDEX($V$2:$V$1001,MATCH(ROWS($U$2:U895),$U$2:$U$1001,0),1)&gt;=100000,INDEX($AB$1005:$AQ$1005,1,MATCH(COLUMNS($AB$1006:AD1006),$AB$1006:$AQ$1006,0))&gt;=100000), " ",IF(INDEX($AB$2:$AQ$1001,MATCH(ROWS($U$2:U895),$U$2:$U$1001,0),MATCH(COLUMNS($AB$1006:AD1006),$AB$1006:$AQ$1006,0)), HYPERLINK("#",""), HYPERLINK(CONCATENATE("#metadata!", ADDRESS(INDEX($W$2:$W$1001,MATCH(ROWS($U$2:U895),$U$2:$U$1001,0),0), INDEX($AB$1004:$AQ$1004,1,MATCH(COLUMNS($AB$1006:AD1006),$AB$1006:$AQ$1006,0)))),"Fix")))</f>
        <v>0</v>
      </c>
      <c r="E895" s="4">
        <f>IF(OR(INDEX($V$2:$V$1001,MATCH(ROWS($U$2:U895),$U$2:$U$1001,0),1)&gt;=100000,INDEX($AB$1005:$AQ$1005,1,MATCH(COLUMNS($AB$1006:AE1006),$AB$1006:$AQ$1006,0))&gt;=100000), " ",IF(INDEX($AB$2:$AQ$1001,MATCH(ROWS($U$2:U895),$U$2:$U$1001,0),MATCH(COLUMNS($AB$1006:AE1006),$AB$1006:$AQ$1006,0)), HYPERLINK("#",""), HYPERLINK(CONCATENATE("#metadata!", ADDRESS(INDEX($W$2:$W$1001,MATCH(ROWS($U$2:U895),$U$2:$U$1001,0),0), INDEX($AB$1004:$AQ$1004,1,MATCH(COLUMNS($AB$1006:AE1006),$AB$1006:$AQ$1006,0)))),"Fix")))</f>
        <v>0</v>
      </c>
      <c r="F895" s="4">
        <f>IF(OR(INDEX($V$2:$V$1001,MATCH(ROWS($U$2:U895),$U$2:$U$1001,0),1)&gt;=100000,INDEX($AB$1005:$AQ$1005,1,MATCH(COLUMNS($AB$1006:AF1006),$AB$1006:$AQ$1006,0))&gt;=100000), " ",IF(INDEX($AB$2:$AQ$1001,MATCH(ROWS($U$2:U895),$U$2:$U$1001,0),MATCH(COLUMNS($AB$1006:AF1006),$AB$1006:$AQ$1006,0)), HYPERLINK("#",""), HYPERLINK(CONCATENATE("#metadata!", ADDRESS(INDEX($W$2:$W$1001,MATCH(ROWS($U$2:U895),$U$2:$U$1001,0),0), INDEX($AB$1004:$AQ$1004,1,MATCH(COLUMNS($AB$1006:AF1006),$AB$1006:$AQ$1006,0)))),"Fix")))</f>
        <v>0</v>
      </c>
      <c r="G895" s="4">
        <f>IF(OR(INDEX($V$2:$V$1001,MATCH(ROWS($U$2:U895),$U$2:$U$1001,0),1)&gt;=100000,INDEX($AB$1005:$AQ$1005,1,MATCH(COLUMNS($AB$1006:AG1006),$AB$1006:$AQ$1006,0))&gt;=100000), " ",IF(INDEX($AB$2:$AQ$1001,MATCH(ROWS($U$2:U895),$U$2:$U$1001,0),MATCH(COLUMNS($AB$1006:AG1006),$AB$1006:$AQ$1006,0)), HYPERLINK("#",""), HYPERLINK(CONCATENATE("#metadata!", ADDRESS(INDEX($W$2:$W$1001,MATCH(ROWS($U$2:U895),$U$2:$U$1001,0),0), INDEX($AB$1004:$AQ$1004,1,MATCH(COLUMNS($AB$1006:AG1006),$AB$1006:$AQ$1006,0)))),"Fix")))</f>
        <v>0</v>
      </c>
      <c r="H895" s="4">
        <f>IF(OR(INDEX($V$2:$V$1001,MATCH(ROWS($U$2:U895),$U$2:$U$1001,0),1)&gt;=100000,INDEX($AB$1005:$AQ$1005,1,MATCH(COLUMNS($AB$1006:AH1006),$AB$1006:$AQ$1006,0))&gt;=100000), " ",IF(INDEX($AB$2:$AQ$1001,MATCH(ROWS($U$2:U895),$U$2:$U$1001,0),MATCH(COLUMNS($AB$1006:AH1006),$AB$1006:$AQ$1006,0)), HYPERLINK("#",""), HYPERLINK(CONCATENATE("#metadata!", ADDRESS(INDEX($W$2:$W$1001,MATCH(ROWS($U$2:U895),$U$2:$U$1001,0),0), INDEX($AB$1004:$AQ$1004,1,MATCH(COLUMNS($AB$1006:AH1006),$AB$1006:$AQ$1006,0)))),"Fix")))</f>
        <v>0</v>
      </c>
      <c r="I895" s="4">
        <f>IF(OR(INDEX($V$2:$V$1001,MATCH(ROWS($U$2:U895),$U$2:$U$1001,0),1)&gt;=100000,INDEX($AB$1005:$AQ$1005,1,MATCH(COLUMNS($AB$1006:AI1006),$AB$1006:$AQ$1006,0))&gt;=100000), " ",IF(INDEX($AB$2:$AQ$1001,MATCH(ROWS($U$2:U895),$U$2:$U$1001,0),MATCH(COLUMNS($AB$1006:AI1006),$AB$1006:$AQ$1006,0)), HYPERLINK("#",""), HYPERLINK(CONCATENATE("#metadata!", ADDRESS(INDEX($W$2:$W$1001,MATCH(ROWS($U$2:U895),$U$2:$U$1001,0),0), INDEX($AB$1004:$AQ$1004,1,MATCH(COLUMNS($AB$1006:AI1006),$AB$1006:$AQ$1006,0)))),"Fix")))</f>
        <v>0</v>
      </c>
      <c r="J895" s="4">
        <f>IF(OR(INDEX($V$2:$V$1001,MATCH(ROWS($U$2:U895),$U$2:$U$1001,0),1)&gt;=100000,INDEX($AB$1005:$AQ$1005,1,MATCH(COLUMNS($AB$1006:AJ1006),$AB$1006:$AQ$1006,0))&gt;=100000), " ",IF(INDEX($AB$2:$AQ$1001,MATCH(ROWS($U$2:U895),$U$2:$U$1001,0),MATCH(COLUMNS($AB$1006:AJ1006),$AB$1006:$AQ$1006,0)), HYPERLINK("#",""), HYPERLINK(CONCATENATE("#metadata!", ADDRESS(INDEX($W$2:$W$1001,MATCH(ROWS($U$2:U895),$U$2:$U$1001,0),0), INDEX($AB$1004:$AQ$1004,1,MATCH(COLUMNS($AB$1006:AJ1006),$AB$1006:$AQ$1006,0)))),"Fix")))</f>
        <v>0</v>
      </c>
      <c r="K895" s="4">
        <f>IF(OR(INDEX($V$2:$V$1001,MATCH(ROWS($U$2:U895),$U$2:$U$1001,0),1)&gt;=100000,INDEX($AB$1005:$AQ$1005,1,MATCH(COLUMNS($AB$1006:AK1006),$AB$1006:$AQ$1006,0))&gt;=100000), " ",IF(INDEX($AB$2:$AQ$1001,MATCH(ROWS($U$2:U895),$U$2:$U$1001,0),MATCH(COLUMNS($AB$1006:AK1006),$AB$1006:$AQ$1006,0)), HYPERLINK("#",""), HYPERLINK(CONCATENATE("#metadata!", ADDRESS(INDEX($W$2:$W$1001,MATCH(ROWS($U$2:U895),$U$2:$U$1001,0),0), INDEX($AB$1004:$AQ$1004,1,MATCH(COLUMNS($AB$1006:AK1006),$AB$1006:$AQ$1006,0)))),"Fix")))</f>
        <v>0</v>
      </c>
      <c r="L895" s="4">
        <f>IF(OR(INDEX($V$2:$V$1001,MATCH(ROWS($U$2:U895),$U$2:$U$1001,0),1)&gt;=100000,INDEX($AB$1005:$AQ$1005,1,MATCH(COLUMNS($AB$1006:AL1006),$AB$1006:$AQ$1006,0))&gt;=100000), " ",IF(INDEX($AB$2:$AQ$1001,MATCH(ROWS($U$2:U895),$U$2:$U$1001,0),MATCH(COLUMNS($AB$1006:AL1006),$AB$1006:$AQ$1006,0)), HYPERLINK("#",""), HYPERLINK(CONCATENATE("#metadata!", ADDRESS(INDEX($W$2:$W$1001,MATCH(ROWS($U$2:U895),$U$2:$U$1001,0),0), INDEX($AB$1004:$AQ$1004,1,MATCH(COLUMNS($AB$1006:AL1006),$AB$1006:$AQ$1006,0)))),"Fix")))</f>
        <v>0</v>
      </c>
      <c r="M895" s="4">
        <f>IF(OR(INDEX($V$2:$V$1001,MATCH(ROWS($U$2:U895),$U$2:$U$1001,0),1)&gt;=100000,INDEX($AB$1005:$AQ$1005,1,MATCH(COLUMNS($AB$1006:AM1006),$AB$1006:$AQ$1006,0))&gt;=100000), " ",IF(INDEX($AB$2:$AQ$1001,MATCH(ROWS($U$2:U895),$U$2:$U$1001,0),MATCH(COLUMNS($AB$1006:AM1006),$AB$1006:$AQ$1006,0)), HYPERLINK("#",""), HYPERLINK(CONCATENATE("#metadata!", ADDRESS(INDEX($W$2:$W$1001,MATCH(ROWS($U$2:U895),$U$2:$U$1001,0),0), INDEX($AB$1004:$AQ$1004,1,MATCH(COLUMNS($AB$1006:AM1006),$AB$1006:$AQ$1006,0)))),"Fix")))</f>
        <v>0</v>
      </c>
      <c r="N895" s="4">
        <f>IF(OR(INDEX($V$2:$V$1001,MATCH(ROWS($U$2:U895),$U$2:$U$1001,0),1)&gt;=100000,INDEX($AB$1005:$AQ$1005,1,MATCH(COLUMNS($AB$1006:AN1006),$AB$1006:$AQ$1006,0))&gt;=100000), " ",IF(INDEX($AB$2:$AQ$1001,MATCH(ROWS($U$2:U895),$U$2:$U$1001,0),MATCH(COLUMNS($AB$1006:AN1006),$AB$1006:$AQ$1006,0)), HYPERLINK("#",""), HYPERLINK(CONCATENATE("#metadata!", ADDRESS(INDEX($W$2:$W$1001,MATCH(ROWS($U$2:U895),$U$2:$U$1001,0),0), INDEX($AB$1004:$AQ$1004,1,MATCH(COLUMNS($AB$1006:AN1006),$AB$1006:$AQ$1006,0)))),"Fix")))</f>
        <v>0</v>
      </c>
      <c r="O895" s="4">
        <f>IF(OR(INDEX($V$2:$V$1001,MATCH(ROWS($U$2:U895),$U$2:$U$1001,0),1)&gt;=100000,INDEX($AB$1005:$AQ$1005,1,MATCH(COLUMNS($AB$1006:AO1006),$AB$1006:$AQ$1006,0))&gt;=100000), " ",IF(INDEX($AB$2:$AQ$1001,MATCH(ROWS($U$2:U895),$U$2:$U$1001,0),MATCH(COLUMNS($AB$1006:AO1006),$AB$1006:$AQ$1006,0)), HYPERLINK("#",""), HYPERLINK(CONCATENATE("#metadata!", ADDRESS(INDEX($W$2:$W$1001,MATCH(ROWS($U$2:U895),$U$2:$U$1001,0),0), INDEX($AB$1004:$AQ$1004,1,MATCH(COLUMNS($AB$1006:AO1006),$AB$1006:$AQ$1006,0)))),"Fix")))</f>
        <v>0</v>
      </c>
      <c r="P895" s="4">
        <f>IF(OR(INDEX($V$2:$V$1001,MATCH(ROWS($U$2:U895),$U$2:$U$1001,0),1)&gt;=100000,INDEX($AB$1005:$AQ$1005,1,MATCH(COLUMNS($AB$1006:AP1006),$AB$1006:$AQ$1006,0))&gt;=100000), " ",IF(INDEX($AB$2:$AQ$1001,MATCH(ROWS($U$2:U895),$U$2:$U$1001,0),MATCH(COLUMNS($AB$1006:AP1006),$AB$1006:$AQ$1006,0)), HYPERLINK("#",""), HYPERLINK(CONCATENATE("#metadata!", ADDRESS(INDEX($W$2:$W$1001,MATCH(ROWS($U$2:U895),$U$2:$U$1001,0),0), INDEX($AB$1004:$AQ$1004,1,MATCH(COLUMNS($AB$1006:AP1006),$AB$1006:$AQ$1006,0)))),"Fix")))</f>
        <v>0</v>
      </c>
      <c r="Q895" s="4">
        <f>IF(OR(INDEX($V$2:$V$1001,MATCH(ROWS($U$2:U895),$U$2:$U$1001,0),1)&gt;=100000,INDEX($AB$1005:$AQ$1005,1,MATCH(COLUMNS($AB$1006:AQ1006),$AB$1006:$AQ$1006,0))&gt;=100000), " ",IF(INDEX($AB$2:$AQ$1001,MATCH(ROWS($U$2:U895),$U$2:$U$1001,0),MATCH(COLUMNS($AB$1006:AQ1006),$AB$1006:$AQ$1006,0)), HYPERLINK("#",""), HYPERLINK(CONCATENATE("#metadata!", ADDRESS(INDEX($W$2:$W$1001,MATCH(ROWS($U$2:U895),$U$2:$U$1001,0),0), INDEX($AB$1004:$AQ$1004,1,MATCH(COLUMNS($AB$1006:AQ1006),$AB$1006:$AQ$1006,0)))),"Fix")))</f>
        <v>0</v>
      </c>
      <c r="U895">
        <v>0</v>
      </c>
      <c r="V895">
        <v>0</v>
      </c>
      <c r="W895">
        <v>0</v>
      </c>
      <c r="X895">
        <f>IF(Y895,TRUE,AND(AB895:AQ895))</f>
        <v>0</v>
      </c>
      <c r="Y895">
        <f>COUNTBLANK(metadata!B895:Q895)=COLUMNS(metadata!B895:Q895)</f>
        <v>0</v>
      </c>
      <c r="Z895">
        <v>0</v>
      </c>
      <c r="AB895">
        <f>AND(IF(metadata!B895="",FALSE,TRUE),COUNTIF(metadata!B:B, metadata!B895) = 1,NOT(ISERROR(SUMPRODUCT(SEARCH(MID(metadata!B895,ROW(INDIRECT("1:"&amp;LEN(metadata!B895))), 1),"0123456789abcdefghijklmnopqrstuvwxyzABCDEFGHIJKLMNOPQRSTUVWXYZ.")))))</f>
        <v>0</v>
      </c>
      <c r="AC895">
        <f>OR(AND(IF(metadata!C895="",FALSE,TRUE),OR(exact(metadata!C895,"missing: not collected"),exact(metadata!C895,"missing: not provided"),exact(metadata!C895,"missing: restricted access"))),AND(IF(metadata!C895="",FALSE,TRUE),AND(AND(IFERROR(INT(LEFT(metadata!C895,4))&gt;1900,FALSE),IFERROR(INT(LEFT(metadata!C895,4))&lt;=YEAR(NOW()),FALSE)), OR(MID(metadata!C895,5,1)="", AND(AND(MID(metadata!C895,5,1)="-",IFERROR(INT(MID(metadata!C895,6,1))&gt;=0,FALSE),IFERROR(INT(MID(metadata!C895,6,1))&lt;=1,FALSE),NOT(MID(metadata!C895,7,1)=""),IFERROR(INT(MID(metadata!C895,6,2))&gt;=1,FALSE),IFERROR(INT(MID(metadata!C895,6,2))&lt;=12,FALSE)), OR(MID(metadata!C895,8,1)="", AND(AND(MID(metadata!C895,8,1)="-",IFERROR(INT(MID(metadata!C895,9,1))&gt;=0,FALSE),IFERROR(INT(MID(metadata!C895,9,1))&lt;=3,FALSE),NOT(MID(metadata!C895,10,1)=""),IFERROR(INT(MID(metadata!C895,9,2))&gt;=1,FALSE),IFERROR(INT(MID(metadata!C895,9,2))&lt;=31,FALSE)), OR(MID(metadata!C895,11,1)="", AND(AND(MID(metadata!C895,11,1)=" ",IFERROR(INT(MID(metadata!C895,12,1))&gt;=0,FALSE),IFERROR(INT(MID(metadata!C895,12,1))&lt;=2,FALSE),NOT(MID(metadata!C895,13,1)=""),IFERROR(INT(MID(metadata!C895,12,2))&gt;=0,FALSE),IFERROR(INT(MID(metadata!C895,12,2))&lt;=23,FALSE)), OR(MID(metadata!C895,14,1)="", AND(AND(MID(metadata!C895,14,1)=":",IFERROR(INT(MID(metadata!C895,15,1))&gt;=0,FALSE),IFERROR(INT(MID(metadata!C895,15,1))&lt;=5,FALSE),NOT(MID(metadata!C895,16,1)=""),IFERROR(INT(MID(metadata!C895,15,2))&gt;=0,FALSE),IFERROR(INT(MID(metadata!C895,15,2))&lt;=59,FALSE)), OR(MID(metadata!C895,17,1)="", AND(AND(MID(metadata!C895,17,1)=":",IFERROR(INT(MID(metadata!C895,18,1))&gt;=0,FALSE),IFERROR(INT(MID(metadata!C895,18,1))&lt;=5,FALSE),NOT(MID(metadata!C895,19,1)=""),IFERROR(INT(MID(metadata!C895,18,2))&gt;=0,FALSE),IFERROR(INT(MID(metadata!C895,18,2))&lt;=59,FALSE)), LEN(metadata!C895)&lt;=19)))))))))))))</f>
        <v>0</v>
      </c>
      <c r="AD895">
        <f>IF(metadata!D895="",FALSE,TRUE)</f>
        <v>0</v>
      </c>
      <c r="AE895">
        <f>OR(AND(IF(metadata!E895="",FALSE,TRUE),OR(exact(metadata!E895,"missing: not collected"),exact(metadata!E895,"missing: not provided"))),AND(IF(metadata!E895="",FALSE,TRUE),OR(exact(metadata!E895,"TRUE"),exact(metadata!E895,"FALSE"))))</f>
        <v>0</v>
      </c>
      <c r="AF895">
        <f>IF(metadata!F895="",FALSE,TRUE)</f>
        <v>0</v>
      </c>
      <c r="AG895">
        <f>IF(metadata!G895="",FALSE,TRUE)</f>
        <v>0</v>
      </c>
      <c r="AH895">
        <f>IF(metadata!H895="",FALSE,TRUE)</f>
        <v>0</v>
      </c>
      <c r="AI895">
        <f>OR(AND(IF(metadata!I895="",FALSE,TRUE),OR(exact(metadata!I895,"missing: not collected"),exact(metadata!I895,"missing: not provided"),exact(metadata!I895,"missing: restricted access"))),AND(IF(metadata!I895="",FALSE,TRUE),OR(exact(metadata!I895,"air"),exact(metadata!I895,"built environment"),exact(metadata!I895,"host-associated"),exact(metadata!I895,"human-associated"),exact(metadata!I895,"human-skin"),exact(metadata!I895,"human-oral"),exact(metadata!I895,"human-gut"),exact(metadata!I895,"human-vaginal"),exact(metadata!I895,"microbial mat/biofilm"),exact(metadata!I895,"misc environment"),exact(metadata!I895,"plant-associated"),exact(metadata!I895,"sediment"),exact(metadata!I895,"soil"),exact(metadata!I895,"wastewater/sludge"),exact(metadata!I895,"water"))))</f>
        <v>0</v>
      </c>
      <c r="AJ895">
        <f>IF(metadata!J895="",FALSE,TRUE)</f>
        <v>0</v>
      </c>
      <c r="AK895">
        <f>OR(AND(IF(metadata!K895="",FALSE,TRUE),OR(exact(metadata!K895,"missing: not collected"),exact(metadata!K895,"missing: not provided"),exact(metadata!K895,"missing: restricted access"))),AND(IF(metadata!K895="",FALSE,ISNUMBER(VALUE(metadata!K895))),metadata!K895&gt;=-90.00,metadata!K895&lt;=90.00))</f>
        <v>0</v>
      </c>
      <c r="AL895">
        <f>OR(AND(IF(metadata!L895="",FALSE,TRUE),OR(exact(metadata!L895,"missing: not collected"),exact(metadata!L895,"missing: not provided"),exact(metadata!L895,"missing: restricted access"))),AND(IF(metadata!L895="",FALSE,ISNUMBER(VALUE(metadata!L895))),metadata!L895&gt;=-180.00,metadata!L895&lt;=180.00))</f>
        <v>0</v>
      </c>
      <c r="AM895">
        <f>IF(metadata!M895="",FALSE,TRUE)</f>
        <v>0</v>
      </c>
      <c r="AN895">
        <f>OR(AND(IF(metadata!N895="",FALSE,TRUE),OR(exact(metadata!N895,"missing: not collected"),exact(metadata!N895,"missing: not provided"),exact(metadata!N895,"missing: restricted access"))),AND(IF(metadata!N895="",FALSE,TRUE),OR(exact(metadata!N895,"TRUE"),exact(metadata!N895,"FALSE"))))</f>
        <v>0</v>
      </c>
      <c r="AO895">
        <f>IF(metadata!O895="",FALSE,TRUE)</f>
        <v>0</v>
      </c>
      <c r="AP895">
        <f>OR(AND(IF(metadata!P895="",FALSE,TRUE),OR(exact(metadata!P895,"missing: not collected"),exact(metadata!P895,"missing: not provided"))),AND(IF(metadata!P895="",FALSE,IF(ISERROR(INT(metadata!P895)),FALSE,INT(metadata!P895)=metadata!P895)),metadata!P895&gt;0))</f>
        <v>0</v>
      </c>
      <c r="AQ895">
        <f>IF(metadata!Q895="",FALSE,TRUE)</f>
        <v>0</v>
      </c>
    </row>
    <row r="896" spans="1:43">
      <c r="A896" s="5">
        <f>IF(B896=" "," ",HYPERLINK(CONCATENATE("#metadata!",ADDRESS(INDEX($W$2:$W$1001,MATCH(ROWS($U$2:U896),$U$2:$U$1001,0),0),1)),INDEX($Z$2:$Z$1001,MATCH(ROWS($U$2:U896),$U$2:$U$1001,0),0)))</f>
        <v>0</v>
      </c>
      <c r="B896" s="4">
        <f>IF(OR(INDEX($V$2:$V$1001,MATCH(ROWS($U$2:U896),$U$2:$U$1001,0),1)&gt;=100000,INDEX($AB$1005:$AQ$1005,1,MATCH(COLUMNS($AB$1006:AB1006),$AB$1006:$AQ$1006,0))&gt;=100000), " ",IF(INDEX($AB$2:$AQ$1001,MATCH(ROWS($U$2:U896),$U$2:$U$1001,0),MATCH(COLUMNS($AB$1006:AB1006),$AB$1006:$AQ$1006,0)), HYPERLINK("#",""), HYPERLINK(CONCATENATE("#metadata!", ADDRESS(INDEX($W$2:$W$1001,MATCH(ROWS($U$2:U896),$U$2:$U$1001,0),0), INDEX($AB$1004:$AQ$1004,1,MATCH(COLUMNS($AB$1006:AB1006),$AB$1006:$AQ$1006,0)))),"Fix")))</f>
        <v>0</v>
      </c>
      <c r="C896" s="4">
        <f>IF(OR(INDEX($V$2:$V$1001,MATCH(ROWS($U$2:U896),$U$2:$U$1001,0),1)&gt;=100000,INDEX($AB$1005:$AQ$1005,1,MATCH(COLUMNS($AB$1006:AC1006),$AB$1006:$AQ$1006,0))&gt;=100000), " ",IF(INDEX($AB$2:$AQ$1001,MATCH(ROWS($U$2:U896),$U$2:$U$1001,0),MATCH(COLUMNS($AB$1006:AC1006),$AB$1006:$AQ$1006,0)), HYPERLINK("#",""), HYPERLINK(CONCATENATE("#metadata!", ADDRESS(INDEX($W$2:$W$1001,MATCH(ROWS($U$2:U896),$U$2:$U$1001,0),0), INDEX($AB$1004:$AQ$1004,1,MATCH(COLUMNS($AB$1006:AC1006),$AB$1006:$AQ$1006,0)))),"Fix")))</f>
        <v>0</v>
      </c>
      <c r="D896" s="4">
        <f>IF(OR(INDEX($V$2:$V$1001,MATCH(ROWS($U$2:U896),$U$2:$U$1001,0),1)&gt;=100000,INDEX($AB$1005:$AQ$1005,1,MATCH(COLUMNS($AB$1006:AD1006),$AB$1006:$AQ$1006,0))&gt;=100000), " ",IF(INDEX($AB$2:$AQ$1001,MATCH(ROWS($U$2:U896),$U$2:$U$1001,0),MATCH(COLUMNS($AB$1006:AD1006),$AB$1006:$AQ$1006,0)), HYPERLINK("#",""), HYPERLINK(CONCATENATE("#metadata!", ADDRESS(INDEX($W$2:$W$1001,MATCH(ROWS($U$2:U896),$U$2:$U$1001,0),0), INDEX($AB$1004:$AQ$1004,1,MATCH(COLUMNS($AB$1006:AD1006),$AB$1006:$AQ$1006,0)))),"Fix")))</f>
        <v>0</v>
      </c>
      <c r="E896" s="4">
        <f>IF(OR(INDEX($V$2:$V$1001,MATCH(ROWS($U$2:U896),$U$2:$U$1001,0),1)&gt;=100000,INDEX($AB$1005:$AQ$1005,1,MATCH(COLUMNS($AB$1006:AE1006),$AB$1006:$AQ$1006,0))&gt;=100000), " ",IF(INDEX($AB$2:$AQ$1001,MATCH(ROWS($U$2:U896),$U$2:$U$1001,0),MATCH(COLUMNS($AB$1006:AE1006),$AB$1006:$AQ$1006,0)), HYPERLINK("#",""), HYPERLINK(CONCATENATE("#metadata!", ADDRESS(INDEX($W$2:$W$1001,MATCH(ROWS($U$2:U896),$U$2:$U$1001,0),0), INDEX($AB$1004:$AQ$1004,1,MATCH(COLUMNS($AB$1006:AE1006),$AB$1006:$AQ$1006,0)))),"Fix")))</f>
        <v>0</v>
      </c>
      <c r="F896" s="4">
        <f>IF(OR(INDEX($V$2:$V$1001,MATCH(ROWS($U$2:U896),$U$2:$U$1001,0),1)&gt;=100000,INDEX($AB$1005:$AQ$1005,1,MATCH(COLUMNS($AB$1006:AF1006),$AB$1006:$AQ$1006,0))&gt;=100000), " ",IF(INDEX($AB$2:$AQ$1001,MATCH(ROWS($U$2:U896),$U$2:$U$1001,0),MATCH(COLUMNS($AB$1006:AF1006),$AB$1006:$AQ$1006,0)), HYPERLINK("#",""), HYPERLINK(CONCATENATE("#metadata!", ADDRESS(INDEX($W$2:$W$1001,MATCH(ROWS($U$2:U896),$U$2:$U$1001,0),0), INDEX($AB$1004:$AQ$1004,1,MATCH(COLUMNS($AB$1006:AF1006),$AB$1006:$AQ$1006,0)))),"Fix")))</f>
        <v>0</v>
      </c>
      <c r="G896" s="4">
        <f>IF(OR(INDEX($V$2:$V$1001,MATCH(ROWS($U$2:U896),$U$2:$U$1001,0),1)&gt;=100000,INDEX($AB$1005:$AQ$1005,1,MATCH(COLUMNS($AB$1006:AG1006),$AB$1006:$AQ$1006,0))&gt;=100000), " ",IF(INDEX($AB$2:$AQ$1001,MATCH(ROWS($U$2:U896),$U$2:$U$1001,0),MATCH(COLUMNS($AB$1006:AG1006),$AB$1006:$AQ$1006,0)), HYPERLINK("#",""), HYPERLINK(CONCATENATE("#metadata!", ADDRESS(INDEX($W$2:$W$1001,MATCH(ROWS($U$2:U896),$U$2:$U$1001,0),0), INDEX($AB$1004:$AQ$1004,1,MATCH(COLUMNS($AB$1006:AG1006),$AB$1006:$AQ$1006,0)))),"Fix")))</f>
        <v>0</v>
      </c>
      <c r="H896" s="4">
        <f>IF(OR(INDEX($V$2:$V$1001,MATCH(ROWS($U$2:U896),$U$2:$U$1001,0),1)&gt;=100000,INDEX($AB$1005:$AQ$1005,1,MATCH(COLUMNS($AB$1006:AH1006),$AB$1006:$AQ$1006,0))&gt;=100000), " ",IF(INDEX($AB$2:$AQ$1001,MATCH(ROWS($U$2:U896),$U$2:$U$1001,0),MATCH(COLUMNS($AB$1006:AH1006),$AB$1006:$AQ$1006,0)), HYPERLINK("#",""), HYPERLINK(CONCATENATE("#metadata!", ADDRESS(INDEX($W$2:$W$1001,MATCH(ROWS($U$2:U896),$U$2:$U$1001,0),0), INDEX($AB$1004:$AQ$1004,1,MATCH(COLUMNS($AB$1006:AH1006),$AB$1006:$AQ$1006,0)))),"Fix")))</f>
        <v>0</v>
      </c>
      <c r="I896" s="4">
        <f>IF(OR(INDEX($V$2:$V$1001,MATCH(ROWS($U$2:U896),$U$2:$U$1001,0),1)&gt;=100000,INDEX($AB$1005:$AQ$1005,1,MATCH(COLUMNS($AB$1006:AI1006),$AB$1006:$AQ$1006,0))&gt;=100000), " ",IF(INDEX($AB$2:$AQ$1001,MATCH(ROWS($U$2:U896),$U$2:$U$1001,0),MATCH(COLUMNS($AB$1006:AI1006),$AB$1006:$AQ$1006,0)), HYPERLINK("#",""), HYPERLINK(CONCATENATE("#metadata!", ADDRESS(INDEX($W$2:$W$1001,MATCH(ROWS($U$2:U896),$U$2:$U$1001,0),0), INDEX($AB$1004:$AQ$1004,1,MATCH(COLUMNS($AB$1006:AI1006),$AB$1006:$AQ$1006,0)))),"Fix")))</f>
        <v>0</v>
      </c>
      <c r="J896" s="4">
        <f>IF(OR(INDEX($V$2:$V$1001,MATCH(ROWS($U$2:U896),$U$2:$U$1001,0),1)&gt;=100000,INDEX($AB$1005:$AQ$1005,1,MATCH(COLUMNS($AB$1006:AJ1006),$AB$1006:$AQ$1006,0))&gt;=100000), " ",IF(INDEX($AB$2:$AQ$1001,MATCH(ROWS($U$2:U896),$U$2:$U$1001,0),MATCH(COLUMNS($AB$1006:AJ1006),$AB$1006:$AQ$1006,0)), HYPERLINK("#",""), HYPERLINK(CONCATENATE("#metadata!", ADDRESS(INDEX($W$2:$W$1001,MATCH(ROWS($U$2:U896),$U$2:$U$1001,0),0), INDEX($AB$1004:$AQ$1004,1,MATCH(COLUMNS($AB$1006:AJ1006),$AB$1006:$AQ$1006,0)))),"Fix")))</f>
        <v>0</v>
      </c>
      <c r="K896" s="4">
        <f>IF(OR(INDEX($V$2:$V$1001,MATCH(ROWS($U$2:U896),$U$2:$U$1001,0),1)&gt;=100000,INDEX($AB$1005:$AQ$1005,1,MATCH(COLUMNS($AB$1006:AK1006),$AB$1006:$AQ$1006,0))&gt;=100000), " ",IF(INDEX($AB$2:$AQ$1001,MATCH(ROWS($U$2:U896),$U$2:$U$1001,0),MATCH(COLUMNS($AB$1006:AK1006),$AB$1006:$AQ$1006,0)), HYPERLINK("#",""), HYPERLINK(CONCATENATE("#metadata!", ADDRESS(INDEX($W$2:$W$1001,MATCH(ROWS($U$2:U896),$U$2:$U$1001,0),0), INDEX($AB$1004:$AQ$1004,1,MATCH(COLUMNS($AB$1006:AK1006),$AB$1006:$AQ$1006,0)))),"Fix")))</f>
        <v>0</v>
      </c>
      <c r="L896" s="4">
        <f>IF(OR(INDEX($V$2:$V$1001,MATCH(ROWS($U$2:U896),$U$2:$U$1001,0),1)&gt;=100000,INDEX($AB$1005:$AQ$1005,1,MATCH(COLUMNS($AB$1006:AL1006),$AB$1006:$AQ$1006,0))&gt;=100000), " ",IF(INDEX($AB$2:$AQ$1001,MATCH(ROWS($U$2:U896),$U$2:$U$1001,0),MATCH(COLUMNS($AB$1006:AL1006),$AB$1006:$AQ$1006,0)), HYPERLINK("#",""), HYPERLINK(CONCATENATE("#metadata!", ADDRESS(INDEX($W$2:$W$1001,MATCH(ROWS($U$2:U896),$U$2:$U$1001,0),0), INDEX($AB$1004:$AQ$1004,1,MATCH(COLUMNS($AB$1006:AL1006),$AB$1006:$AQ$1006,0)))),"Fix")))</f>
        <v>0</v>
      </c>
      <c r="M896" s="4">
        <f>IF(OR(INDEX($V$2:$V$1001,MATCH(ROWS($U$2:U896),$U$2:$U$1001,0),1)&gt;=100000,INDEX($AB$1005:$AQ$1005,1,MATCH(COLUMNS($AB$1006:AM1006),$AB$1006:$AQ$1006,0))&gt;=100000), " ",IF(INDEX($AB$2:$AQ$1001,MATCH(ROWS($U$2:U896),$U$2:$U$1001,0),MATCH(COLUMNS($AB$1006:AM1006),$AB$1006:$AQ$1006,0)), HYPERLINK("#",""), HYPERLINK(CONCATENATE("#metadata!", ADDRESS(INDEX($W$2:$W$1001,MATCH(ROWS($U$2:U896),$U$2:$U$1001,0),0), INDEX($AB$1004:$AQ$1004,1,MATCH(COLUMNS($AB$1006:AM1006),$AB$1006:$AQ$1006,0)))),"Fix")))</f>
        <v>0</v>
      </c>
      <c r="N896" s="4">
        <f>IF(OR(INDEX($V$2:$V$1001,MATCH(ROWS($U$2:U896),$U$2:$U$1001,0),1)&gt;=100000,INDEX($AB$1005:$AQ$1005,1,MATCH(COLUMNS($AB$1006:AN1006),$AB$1006:$AQ$1006,0))&gt;=100000), " ",IF(INDEX($AB$2:$AQ$1001,MATCH(ROWS($U$2:U896),$U$2:$U$1001,0),MATCH(COLUMNS($AB$1006:AN1006),$AB$1006:$AQ$1006,0)), HYPERLINK("#",""), HYPERLINK(CONCATENATE("#metadata!", ADDRESS(INDEX($W$2:$W$1001,MATCH(ROWS($U$2:U896),$U$2:$U$1001,0),0), INDEX($AB$1004:$AQ$1004,1,MATCH(COLUMNS($AB$1006:AN1006),$AB$1006:$AQ$1006,0)))),"Fix")))</f>
        <v>0</v>
      </c>
      <c r="O896" s="4">
        <f>IF(OR(INDEX($V$2:$V$1001,MATCH(ROWS($U$2:U896),$U$2:$U$1001,0),1)&gt;=100000,INDEX($AB$1005:$AQ$1005,1,MATCH(COLUMNS($AB$1006:AO1006),$AB$1006:$AQ$1006,0))&gt;=100000), " ",IF(INDEX($AB$2:$AQ$1001,MATCH(ROWS($U$2:U896),$U$2:$U$1001,0),MATCH(COLUMNS($AB$1006:AO1006),$AB$1006:$AQ$1006,0)), HYPERLINK("#",""), HYPERLINK(CONCATENATE("#metadata!", ADDRESS(INDEX($W$2:$W$1001,MATCH(ROWS($U$2:U896),$U$2:$U$1001,0),0), INDEX($AB$1004:$AQ$1004,1,MATCH(COLUMNS($AB$1006:AO1006),$AB$1006:$AQ$1006,0)))),"Fix")))</f>
        <v>0</v>
      </c>
      <c r="P896" s="4">
        <f>IF(OR(INDEX($V$2:$V$1001,MATCH(ROWS($U$2:U896),$U$2:$U$1001,0),1)&gt;=100000,INDEX($AB$1005:$AQ$1005,1,MATCH(COLUMNS($AB$1006:AP1006),$AB$1006:$AQ$1006,0))&gt;=100000), " ",IF(INDEX($AB$2:$AQ$1001,MATCH(ROWS($U$2:U896),$U$2:$U$1001,0),MATCH(COLUMNS($AB$1006:AP1006),$AB$1006:$AQ$1006,0)), HYPERLINK("#",""), HYPERLINK(CONCATENATE("#metadata!", ADDRESS(INDEX($W$2:$W$1001,MATCH(ROWS($U$2:U896),$U$2:$U$1001,0),0), INDEX($AB$1004:$AQ$1004,1,MATCH(COLUMNS($AB$1006:AP1006),$AB$1006:$AQ$1006,0)))),"Fix")))</f>
        <v>0</v>
      </c>
      <c r="Q896" s="4">
        <f>IF(OR(INDEX($V$2:$V$1001,MATCH(ROWS($U$2:U896),$U$2:$U$1001,0),1)&gt;=100000,INDEX($AB$1005:$AQ$1005,1,MATCH(COLUMNS($AB$1006:AQ1006),$AB$1006:$AQ$1006,0))&gt;=100000), " ",IF(INDEX($AB$2:$AQ$1001,MATCH(ROWS($U$2:U896),$U$2:$U$1001,0),MATCH(COLUMNS($AB$1006:AQ1006),$AB$1006:$AQ$1006,0)), HYPERLINK("#",""), HYPERLINK(CONCATENATE("#metadata!", ADDRESS(INDEX($W$2:$W$1001,MATCH(ROWS($U$2:U896),$U$2:$U$1001,0),0), INDEX($AB$1004:$AQ$1004,1,MATCH(COLUMNS($AB$1006:AQ1006),$AB$1006:$AQ$1006,0)))),"Fix")))</f>
        <v>0</v>
      </c>
      <c r="U896">
        <v>0</v>
      </c>
      <c r="V896">
        <v>0</v>
      </c>
      <c r="W896">
        <v>0</v>
      </c>
      <c r="X896">
        <f>IF(Y896,TRUE,AND(AB896:AQ896))</f>
        <v>0</v>
      </c>
      <c r="Y896">
        <f>COUNTBLANK(metadata!B896:Q896)=COLUMNS(metadata!B896:Q896)</f>
        <v>0</v>
      </c>
      <c r="Z896">
        <v>0</v>
      </c>
      <c r="AB896">
        <f>AND(IF(metadata!B896="",FALSE,TRUE),COUNTIF(metadata!B:B, metadata!B896) = 1,NOT(ISERROR(SUMPRODUCT(SEARCH(MID(metadata!B896,ROW(INDIRECT("1:"&amp;LEN(metadata!B896))), 1),"0123456789abcdefghijklmnopqrstuvwxyzABCDEFGHIJKLMNOPQRSTUVWXYZ.")))))</f>
        <v>0</v>
      </c>
      <c r="AC896">
        <f>OR(AND(IF(metadata!C896="",FALSE,TRUE),OR(exact(metadata!C896,"missing: not collected"),exact(metadata!C896,"missing: not provided"),exact(metadata!C896,"missing: restricted access"))),AND(IF(metadata!C896="",FALSE,TRUE),AND(AND(IFERROR(INT(LEFT(metadata!C896,4))&gt;1900,FALSE),IFERROR(INT(LEFT(metadata!C896,4))&lt;=YEAR(NOW()),FALSE)), OR(MID(metadata!C896,5,1)="", AND(AND(MID(metadata!C896,5,1)="-",IFERROR(INT(MID(metadata!C896,6,1))&gt;=0,FALSE),IFERROR(INT(MID(metadata!C896,6,1))&lt;=1,FALSE),NOT(MID(metadata!C896,7,1)=""),IFERROR(INT(MID(metadata!C896,6,2))&gt;=1,FALSE),IFERROR(INT(MID(metadata!C896,6,2))&lt;=12,FALSE)), OR(MID(metadata!C896,8,1)="", AND(AND(MID(metadata!C896,8,1)="-",IFERROR(INT(MID(metadata!C896,9,1))&gt;=0,FALSE),IFERROR(INT(MID(metadata!C896,9,1))&lt;=3,FALSE),NOT(MID(metadata!C896,10,1)=""),IFERROR(INT(MID(metadata!C896,9,2))&gt;=1,FALSE),IFERROR(INT(MID(metadata!C896,9,2))&lt;=31,FALSE)), OR(MID(metadata!C896,11,1)="", AND(AND(MID(metadata!C896,11,1)=" ",IFERROR(INT(MID(metadata!C896,12,1))&gt;=0,FALSE),IFERROR(INT(MID(metadata!C896,12,1))&lt;=2,FALSE),NOT(MID(metadata!C896,13,1)=""),IFERROR(INT(MID(metadata!C896,12,2))&gt;=0,FALSE),IFERROR(INT(MID(metadata!C896,12,2))&lt;=23,FALSE)), OR(MID(metadata!C896,14,1)="", AND(AND(MID(metadata!C896,14,1)=":",IFERROR(INT(MID(metadata!C896,15,1))&gt;=0,FALSE),IFERROR(INT(MID(metadata!C896,15,1))&lt;=5,FALSE),NOT(MID(metadata!C896,16,1)=""),IFERROR(INT(MID(metadata!C896,15,2))&gt;=0,FALSE),IFERROR(INT(MID(metadata!C896,15,2))&lt;=59,FALSE)), OR(MID(metadata!C896,17,1)="", AND(AND(MID(metadata!C896,17,1)=":",IFERROR(INT(MID(metadata!C896,18,1))&gt;=0,FALSE),IFERROR(INT(MID(metadata!C896,18,1))&lt;=5,FALSE),NOT(MID(metadata!C896,19,1)=""),IFERROR(INT(MID(metadata!C896,18,2))&gt;=0,FALSE),IFERROR(INT(MID(metadata!C896,18,2))&lt;=59,FALSE)), LEN(metadata!C896)&lt;=19)))))))))))))</f>
        <v>0</v>
      </c>
      <c r="AD896">
        <f>IF(metadata!D896="",FALSE,TRUE)</f>
        <v>0</v>
      </c>
      <c r="AE896">
        <f>OR(AND(IF(metadata!E896="",FALSE,TRUE),OR(exact(metadata!E896,"missing: not collected"),exact(metadata!E896,"missing: not provided"))),AND(IF(metadata!E896="",FALSE,TRUE),OR(exact(metadata!E896,"TRUE"),exact(metadata!E896,"FALSE"))))</f>
        <v>0</v>
      </c>
      <c r="AF896">
        <f>IF(metadata!F896="",FALSE,TRUE)</f>
        <v>0</v>
      </c>
      <c r="AG896">
        <f>IF(metadata!G896="",FALSE,TRUE)</f>
        <v>0</v>
      </c>
      <c r="AH896">
        <f>IF(metadata!H896="",FALSE,TRUE)</f>
        <v>0</v>
      </c>
      <c r="AI896">
        <f>OR(AND(IF(metadata!I896="",FALSE,TRUE),OR(exact(metadata!I896,"missing: not collected"),exact(metadata!I896,"missing: not provided"),exact(metadata!I896,"missing: restricted access"))),AND(IF(metadata!I896="",FALSE,TRUE),OR(exact(metadata!I896,"air"),exact(metadata!I896,"built environment"),exact(metadata!I896,"host-associated"),exact(metadata!I896,"human-associated"),exact(metadata!I896,"human-skin"),exact(metadata!I896,"human-oral"),exact(metadata!I896,"human-gut"),exact(metadata!I896,"human-vaginal"),exact(metadata!I896,"microbial mat/biofilm"),exact(metadata!I896,"misc environment"),exact(metadata!I896,"plant-associated"),exact(metadata!I896,"sediment"),exact(metadata!I896,"soil"),exact(metadata!I896,"wastewater/sludge"),exact(metadata!I896,"water"))))</f>
        <v>0</v>
      </c>
      <c r="AJ896">
        <f>IF(metadata!J896="",FALSE,TRUE)</f>
        <v>0</v>
      </c>
      <c r="AK896">
        <f>OR(AND(IF(metadata!K896="",FALSE,TRUE),OR(exact(metadata!K896,"missing: not collected"),exact(metadata!K896,"missing: not provided"),exact(metadata!K896,"missing: restricted access"))),AND(IF(metadata!K896="",FALSE,ISNUMBER(VALUE(metadata!K896))),metadata!K896&gt;=-90.00,metadata!K896&lt;=90.00))</f>
        <v>0</v>
      </c>
      <c r="AL896">
        <f>OR(AND(IF(metadata!L896="",FALSE,TRUE),OR(exact(metadata!L896,"missing: not collected"),exact(metadata!L896,"missing: not provided"),exact(metadata!L896,"missing: restricted access"))),AND(IF(metadata!L896="",FALSE,ISNUMBER(VALUE(metadata!L896))),metadata!L896&gt;=-180.00,metadata!L896&lt;=180.00))</f>
        <v>0</v>
      </c>
      <c r="AM896">
        <f>IF(metadata!M896="",FALSE,TRUE)</f>
        <v>0</v>
      </c>
      <c r="AN896">
        <f>OR(AND(IF(metadata!N896="",FALSE,TRUE),OR(exact(metadata!N896,"missing: not collected"),exact(metadata!N896,"missing: not provided"),exact(metadata!N896,"missing: restricted access"))),AND(IF(metadata!N896="",FALSE,TRUE),OR(exact(metadata!N896,"TRUE"),exact(metadata!N896,"FALSE"))))</f>
        <v>0</v>
      </c>
      <c r="AO896">
        <f>IF(metadata!O896="",FALSE,TRUE)</f>
        <v>0</v>
      </c>
      <c r="AP896">
        <f>OR(AND(IF(metadata!P896="",FALSE,TRUE),OR(exact(metadata!P896,"missing: not collected"),exact(metadata!P896,"missing: not provided"))),AND(IF(metadata!P896="",FALSE,IF(ISERROR(INT(metadata!P896)),FALSE,INT(metadata!P896)=metadata!P896)),metadata!P896&gt;0))</f>
        <v>0</v>
      </c>
      <c r="AQ896">
        <f>IF(metadata!Q896="",FALSE,TRUE)</f>
        <v>0</v>
      </c>
    </row>
    <row r="897" spans="1:43">
      <c r="A897" s="5">
        <f>IF(B897=" "," ",HYPERLINK(CONCATENATE("#metadata!",ADDRESS(INDEX($W$2:$W$1001,MATCH(ROWS($U$2:U897),$U$2:$U$1001,0),0),1)),INDEX($Z$2:$Z$1001,MATCH(ROWS($U$2:U897),$U$2:$U$1001,0),0)))</f>
        <v>0</v>
      </c>
      <c r="B897" s="4">
        <f>IF(OR(INDEX($V$2:$V$1001,MATCH(ROWS($U$2:U897),$U$2:$U$1001,0),1)&gt;=100000,INDEX($AB$1005:$AQ$1005,1,MATCH(COLUMNS($AB$1006:AB1006),$AB$1006:$AQ$1006,0))&gt;=100000), " ",IF(INDEX($AB$2:$AQ$1001,MATCH(ROWS($U$2:U897),$U$2:$U$1001,0),MATCH(COLUMNS($AB$1006:AB1006),$AB$1006:$AQ$1006,0)), HYPERLINK("#",""), HYPERLINK(CONCATENATE("#metadata!", ADDRESS(INDEX($W$2:$W$1001,MATCH(ROWS($U$2:U897),$U$2:$U$1001,0),0), INDEX($AB$1004:$AQ$1004,1,MATCH(COLUMNS($AB$1006:AB1006),$AB$1006:$AQ$1006,0)))),"Fix")))</f>
        <v>0</v>
      </c>
      <c r="C897" s="4">
        <f>IF(OR(INDEX($V$2:$V$1001,MATCH(ROWS($U$2:U897),$U$2:$U$1001,0),1)&gt;=100000,INDEX($AB$1005:$AQ$1005,1,MATCH(COLUMNS($AB$1006:AC1006),$AB$1006:$AQ$1006,0))&gt;=100000), " ",IF(INDEX($AB$2:$AQ$1001,MATCH(ROWS($U$2:U897),$U$2:$U$1001,0),MATCH(COLUMNS($AB$1006:AC1006),$AB$1006:$AQ$1006,0)), HYPERLINK("#",""), HYPERLINK(CONCATENATE("#metadata!", ADDRESS(INDEX($W$2:$W$1001,MATCH(ROWS($U$2:U897),$U$2:$U$1001,0),0), INDEX($AB$1004:$AQ$1004,1,MATCH(COLUMNS($AB$1006:AC1006),$AB$1006:$AQ$1006,0)))),"Fix")))</f>
        <v>0</v>
      </c>
      <c r="D897" s="4">
        <f>IF(OR(INDEX($V$2:$V$1001,MATCH(ROWS($U$2:U897),$U$2:$U$1001,0),1)&gt;=100000,INDEX($AB$1005:$AQ$1005,1,MATCH(COLUMNS($AB$1006:AD1006),$AB$1006:$AQ$1006,0))&gt;=100000), " ",IF(INDEX($AB$2:$AQ$1001,MATCH(ROWS($U$2:U897),$U$2:$U$1001,0),MATCH(COLUMNS($AB$1006:AD1006),$AB$1006:$AQ$1006,0)), HYPERLINK("#",""), HYPERLINK(CONCATENATE("#metadata!", ADDRESS(INDEX($W$2:$W$1001,MATCH(ROWS($U$2:U897),$U$2:$U$1001,0),0), INDEX($AB$1004:$AQ$1004,1,MATCH(COLUMNS($AB$1006:AD1006),$AB$1006:$AQ$1006,0)))),"Fix")))</f>
        <v>0</v>
      </c>
      <c r="E897" s="4">
        <f>IF(OR(INDEX($V$2:$V$1001,MATCH(ROWS($U$2:U897),$U$2:$U$1001,0),1)&gt;=100000,INDEX($AB$1005:$AQ$1005,1,MATCH(COLUMNS($AB$1006:AE1006),$AB$1006:$AQ$1006,0))&gt;=100000), " ",IF(INDEX($AB$2:$AQ$1001,MATCH(ROWS($U$2:U897),$U$2:$U$1001,0),MATCH(COLUMNS($AB$1006:AE1006),$AB$1006:$AQ$1006,0)), HYPERLINK("#",""), HYPERLINK(CONCATENATE("#metadata!", ADDRESS(INDEX($W$2:$W$1001,MATCH(ROWS($U$2:U897),$U$2:$U$1001,0),0), INDEX($AB$1004:$AQ$1004,1,MATCH(COLUMNS($AB$1006:AE1006),$AB$1006:$AQ$1006,0)))),"Fix")))</f>
        <v>0</v>
      </c>
      <c r="F897" s="4">
        <f>IF(OR(INDEX($V$2:$V$1001,MATCH(ROWS($U$2:U897),$U$2:$U$1001,0),1)&gt;=100000,INDEX($AB$1005:$AQ$1005,1,MATCH(COLUMNS($AB$1006:AF1006),$AB$1006:$AQ$1006,0))&gt;=100000), " ",IF(INDEX($AB$2:$AQ$1001,MATCH(ROWS($U$2:U897),$U$2:$U$1001,0),MATCH(COLUMNS($AB$1006:AF1006),$AB$1006:$AQ$1006,0)), HYPERLINK("#",""), HYPERLINK(CONCATENATE("#metadata!", ADDRESS(INDEX($W$2:$W$1001,MATCH(ROWS($U$2:U897),$U$2:$U$1001,0),0), INDEX($AB$1004:$AQ$1004,1,MATCH(COLUMNS($AB$1006:AF1006),$AB$1006:$AQ$1006,0)))),"Fix")))</f>
        <v>0</v>
      </c>
      <c r="G897" s="4">
        <f>IF(OR(INDEX($V$2:$V$1001,MATCH(ROWS($U$2:U897),$U$2:$U$1001,0),1)&gt;=100000,INDEX($AB$1005:$AQ$1005,1,MATCH(COLUMNS($AB$1006:AG1006),$AB$1006:$AQ$1006,0))&gt;=100000), " ",IF(INDEX($AB$2:$AQ$1001,MATCH(ROWS($U$2:U897),$U$2:$U$1001,0),MATCH(COLUMNS($AB$1006:AG1006),$AB$1006:$AQ$1006,0)), HYPERLINK("#",""), HYPERLINK(CONCATENATE("#metadata!", ADDRESS(INDEX($W$2:$W$1001,MATCH(ROWS($U$2:U897),$U$2:$U$1001,0),0), INDEX($AB$1004:$AQ$1004,1,MATCH(COLUMNS($AB$1006:AG1006),$AB$1006:$AQ$1006,0)))),"Fix")))</f>
        <v>0</v>
      </c>
      <c r="H897" s="4">
        <f>IF(OR(INDEX($V$2:$V$1001,MATCH(ROWS($U$2:U897),$U$2:$U$1001,0),1)&gt;=100000,INDEX($AB$1005:$AQ$1005,1,MATCH(COLUMNS($AB$1006:AH1006),$AB$1006:$AQ$1006,0))&gt;=100000), " ",IF(INDEX($AB$2:$AQ$1001,MATCH(ROWS($U$2:U897),$U$2:$U$1001,0),MATCH(COLUMNS($AB$1006:AH1006),$AB$1006:$AQ$1006,0)), HYPERLINK("#",""), HYPERLINK(CONCATENATE("#metadata!", ADDRESS(INDEX($W$2:$W$1001,MATCH(ROWS($U$2:U897),$U$2:$U$1001,0),0), INDEX($AB$1004:$AQ$1004,1,MATCH(COLUMNS($AB$1006:AH1006),$AB$1006:$AQ$1006,0)))),"Fix")))</f>
        <v>0</v>
      </c>
      <c r="I897" s="4">
        <f>IF(OR(INDEX($V$2:$V$1001,MATCH(ROWS($U$2:U897),$U$2:$U$1001,0),1)&gt;=100000,INDEX($AB$1005:$AQ$1005,1,MATCH(COLUMNS($AB$1006:AI1006),$AB$1006:$AQ$1006,0))&gt;=100000), " ",IF(INDEX($AB$2:$AQ$1001,MATCH(ROWS($U$2:U897),$U$2:$U$1001,0),MATCH(COLUMNS($AB$1006:AI1006),$AB$1006:$AQ$1006,0)), HYPERLINK("#",""), HYPERLINK(CONCATENATE("#metadata!", ADDRESS(INDEX($W$2:$W$1001,MATCH(ROWS($U$2:U897),$U$2:$U$1001,0),0), INDEX($AB$1004:$AQ$1004,1,MATCH(COLUMNS($AB$1006:AI1006),$AB$1006:$AQ$1006,0)))),"Fix")))</f>
        <v>0</v>
      </c>
      <c r="J897" s="4">
        <f>IF(OR(INDEX($V$2:$V$1001,MATCH(ROWS($U$2:U897),$U$2:$U$1001,0),1)&gt;=100000,INDEX($AB$1005:$AQ$1005,1,MATCH(COLUMNS($AB$1006:AJ1006),$AB$1006:$AQ$1006,0))&gt;=100000), " ",IF(INDEX($AB$2:$AQ$1001,MATCH(ROWS($U$2:U897),$U$2:$U$1001,0),MATCH(COLUMNS($AB$1006:AJ1006),$AB$1006:$AQ$1006,0)), HYPERLINK("#",""), HYPERLINK(CONCATENATE("#metadata!", ADDRESS(INDEX($W$2:$W$1001,MATCH(ROWS($U$2:U897),$U$2:$U$1001,0),0), INDEX($AB$1004:$AQ$1004,1,MATCH(COLUMNS($AB$1006:AJ1006),$AB$1006:$AQ$1006,0)))),"Fix")))</f>
        <v>0</v>
      </c>
      <c r="K897" s="4">
        <f>IF(OR(INDEX($V$2:$V$1001,MATCH(ROWS($U$2:U897),$U$2:$U$1001,0),1)&gt;=100000,INDEX($AB$1005:$AQ$1005,1,MATCH(COLUMNS($AB$1006:AK1006),$AB$1006:$AQ$1006,0))&gt;=100000), " ",IF(INDEX($AB$2:$AQ$1001,MATCH(ROWS($U$2:U897),$U$2:$U$1001,0),MATCH(COLUMNS($AB$1006:AK1006),$AB$1006:$AQ$1006,0)), HYPERLINK("#",""), HYPERLINK(CONCATENATE("#metadata!", ADDRESS(INDEX($W$2:$W$1001,MATCH(ROWS($U$2:U897),$U$2:$U$1001,0),0), INDEX($AB$1004:$AQ$1004,1,MATCH(COLUMNS($AB$1006:AK1006),$AB$1006:$AQ$1006,0)))),"Fix")))</f>
        <v>0</v>
      </c>
      <c r="L897" s="4">
        <f>IF(OR(INDEX($V$2:$V$1001,MATCH(ROWS($U$2:U897),$U$2:$U$1001,0),1)&gt;=100000,INDEX($AB$1005:$AQ$1005,1,MATCH(COLUMNS($AB$1006:AL1006),$AB$1006:$AQ$1006,0))&gt;=100000), " ",IF(INDEX($AB$2:$AQ$1001,MATCH(ROWS($U$2:U897),$U$2:$U$1001,0),MATCH(COLUMNS($AB$1006:AL1006),$AB$1006:$AQ$1006,0)), HYPERLINK("#",""), HYPERLINK(CONCATENATE("#metadata!", ADDRESS(INDEX($W$2:$W$1001,MATCH(ROWS($U$2:U897),$U$2:$U$1001,0),0), INDEX($AB$1004:$AQ$1004,1,MATCH(COLUMNS($AB$1006:AL1006),$AB$1006:$AQ$1006,0)))),"Fix")))</f>
        <v>0</v>
      </c>
      <c r="M897" s="4">
        <f>IF(OR(INDEX($V$2:$V$1001,MATCH(ROWS($U$2:U897),$U$2:$U$1001,0),1)&gt;=100000,INDEX($AB$1005:$AQ$1005,1,MATCH(COLUMNS($AB$1006:AM1006),$AB$1006:$AQ$1006,0))&gt;=100000), " ",IF(INDEX($AB$2:$AQ$1001,MATCH(ROWS($U$2:U897),$U$2:$U$1001,0),MATCH(COLUMNS($AB$1006:AM1006),$AB$1006:$AQ$1006,0)), HYPERLINK("#",""), HYPERLINK(CONCATENATE("#metadata!", ADDRESS(INDEX($W$2:$W$1001,MATCH(ROWS($U$2:U897),$U$2:$U$1001,0),0), INDEX($AB$1004:$AQ$1004,1,MATCH(COLUMNS($AB$1006:AM1006),$AB$1006:$AQ$1006,0)))),"Fix")))</f>
        <v>0</v>
      </c>
      <c r="N897" s="4">
        <f>IF(OR(INDEX($V$2:$V$1001,MATCH(ROWS($U$2:U897),$U$2:$U$1001,0),1)&gt;=100000,INDEX($AB$1005:$AQ$1005,1,MATCH(COLUMNS($AB$1006:AN1006),$AB$1006:$AQ$1006,0))&gt;=100000), " ",IF(INDEX($AB$2:$AQ$1001,MATCH(ROWS($U$2:U897),$U$2:$U$1001,0),MATCH(COLUMNS($AB$1006:AN1006),$AB$1006:$AQ$1006,0)), HYPERLINK("#",""), HYPERLINK(CONCATENATE("#metadata!", ADDRESS(INDEX($W$2:$W$1001,MATCH(ROWS($U$2:U897),$U$2:$U$1001,0),0), INDEX($AB$1004:$AQ$1004,1,MATCH(COLUMNS($AB$1006:AN1006),$AB$1006:$AQ$1006,0)))),"Fix")))</f>
        <v>0</v>
      </c>
      <c r="O897" s="4">
        <f>IF(OR(INDEX($V$2:$V$1001,MATCH(ROWS($U$2:U897),$U$2:$U$1001,0),1)&gt;=100000,INDEX($AB$1005:$AQ$1005,1,MATCH(COLUMNS($AB$1006:AO1006),$AB$1006:$AQ$1006,0))&gt;=100000), " ",IF(INDEX($AB$2:$AQ$1001,MATCH(ROWS($U$2:U897),$U$2:$U$1001,0),MATCH(COLUMNS($AB$1006:AO1006),$AB$1006:$AQ$1006,0)), HYPERLINK("#",""), HYPERLINK(CONCATENATE("#metadata!", ADDRESS(INDEX($W$2:$W$1001,MATCH(ROWS($U$2:U897),$U$2:$U$1001,0),0), INDEX($AB$1004:$AQ$1004,1,MATCH(COLUMNS($AB$1006:AO1006),$AB$1006:$AQ$1006,0)))),"Fix")))</f>
        <v>0</v>
      </c>
      <c r="P897" s="4">
        <f>IF(OR(INDEX($V$2:$V$1001,MATCH(ROWS($U$2:U897),$U$2:$U$1001,0),1)&gt;=100000,INDEX($AB$1005:$AQ$1005,1,MATCH(COLUMNS($AB$1006:AP1006),$AB$1006:$AQ$1006,0))&gt;=100000), " ",IF(INDEX($AB$2:$AQ$1001,MATCH(ROWS($U$2:U897),$U$2:$U$1001,0),MATCH(COLUMNS($AB$1006:AP1006),$AB$1006:$AQ$1006,0)), HYPERLINK("#",""), HYPERLINK(CONCATENATE("#metadata!", ADDRESS(INDEX($W$2:$W$1001,MATCH(ROWS($U$2:U897),$U$2:$U$1001,0),0), INDEX($AB$1004:$AQ$1004,1,MATCH(COLUMNS($AB$1006:AP1006),$AB$1006:$AQ$1006,0)))),"Fix")))</f>
        <v>0</v>
      </c>
      <c r="Q897" s="4">
        <f>IF(OR(INDEX($V$2:$V$1001,MATCH(ROWS($U$2:U897),$U$2:$U$1001,0),1)&gt;=100000,INDEX($AB$1005:$AQ$1005,1,MATCH(COLUMNS($AB$1006:AQ1006),$AB$1006:$AQ$1006,0))&gt;=100000), " ",IF(INDEX($AB$2:$AQ$1001,MATCH(ROWS($U$2:U897),$U$2:$U$1001,0),MATCH(COLUMNS($AB$1006:AQ1006),$AB$1006:$AQ$1006,0)), HYPERLINK("#",""), HYPERLINK(CONCATENATE("#metadata!", ADDRESS(INDEX($W$2:$W$1001,MATCH(ROWS($U$2:U897),$U$2:$U$1001,0),0), INDEX($AB$1004:$AQ$1004,1,MATCH(COLUMNS($AB$1006:AQ1006),$AB$1006:$AQ$1006,0)))),"Fix")))</f>
        <v>0</v>
      </c>
      <c r="U897">
        <v>0</v>
      </c>
      <c r="V897">
        <v>0</v>
      </c>
      <c r="W897">
        <v>0</v>
      </c>
      <c r="X897">
        <f>IF(Y897,TRUE,AND(AB897:AQ897))</f>
        <v>0</v>
      </c>
      <c r="Y897">
        <f>COUNTBLANK(metadata!B897:Q897)=COLUMNS(metadata!B897:Q897)</f>
        <v>0</v>
      </c>
      <c r="Z897">
        <v>0</v>
      </c>
      <c r="AB897">
        <f>AND(IF(metadata!B897="",FALSE,TRUE),COUNTIF(metadata!B:B, metadata!B897) = 1,NOT(ISERROR(SUMPRODUCT(SEARCH(MID(metadata!B897,ROW(INDIRECT("1:"&amp;LEN(metadata!B897))), 1),"0123456789abcdefghijklmnopqrstuvwxyzABCDEFGHIJKLMNOPQRSTUVWXYZ.")))))</f>
        <v>0</v>
      </c>
      <c r="AC897">
        <f>OR(AND(IF(metadata!C897="",FALSE,TRUE),OR(exact(metadata!C897,"missing: not collected"),exact(metadata!C897,"missing: not provided"),exact(metadata!C897,"missing: restricted access"))),AND(IF(metadata!C897="",FALSE,TRUE),AND(AND(IFERROR(INT(LEFT(metadata!C897,4))&gt;1900,FALSE),IFERROR(INT(LEFT(metadata!C897,4))&lt;=YEAR(NOW()),FALSE)), OR(MID(metadata!C897,5,1)="", AND(AND(MID(metadata!C897,5,1)="-",IFERROR(INT(MID(metadata!C897,6,1))&gt;=0,FALSE),IFERROR(INT(MID(metadata!C897,6,1))&lt;=1,FALSE),NOT(MID(metadata!C897,7,1)=""),IFERROR(INT(MID(metadata!C897,6,2))&gt;=1,FALSE),IFERROR(INT(MID(metadata!C897,6,2))&lt;=12,FALSE)), OR(MID(metadata!C897,8,1)="", AND(AND(MID(metadata!C897,8,1)="-",IFERROR(INT(MID(metadata!C897,9,1))&gt;=0,FALSE),IFERROR(INT(MID(metadata!C897,9,1))&lt;=3,FALSE),NOT(MID(metadata!C897,10,1)=""),IFERROR(INT(MID(metadata!C897,9,2))&gt;=1,FALSE),IFERROR(INT(MID(metadata!C897,9,2))&lt;=31,FALSE)), OR(MID(metadata!C897,11,1)="", AND(AND(MID(metadata!C897,11,1)=" ",IFERROR(INT(MID(metadata!C897,12,1))&gt;=0,FALSE),IFERROR(INT(MID(metadata!C897,12,1))&lt;=2,FALSE),NOT(MID(metadata!C897,13,1)=""),IFERROR(INT(MID(metadata!C897,12,2))&gt;=0,FALSE),IFERROR(INT(MID(metadata!C897,12,2))&lt;=23,FALSE)), OR(MID(metadata!C897,14,1)="", AND(AND(MID(metadata!C897,14,1)=":",IFERROR(INT(MID(metadata!C897,15,1))&gt;=0,FALSE),IFERROR(INT(MID(metadata!C897,15,1))&lt;=5,FALSE),NOT(MID(metadata!C897,16,1)=""),IFERROR(INT(MID(metadata!C897,15,2))&gt;=0,FALSE),IFERROR(INT(MID(metadata!C897,15,2))&lt;=59,FALSE)), OR(MID(metadata!C897,17,1)="", AND(AND(MID(metadata!C897,17,1)=":",IFERROR(INT(MID(metadata!C897,18,1))&gt;=0,FALSE),IFERROR(INT(MID(metadata!C897,18,1))&lt;=5,FALSE),NOT(MID(metadata!C897,19,1)=""),IFERROR(INT(MID(metadata!C897,18,2))&gt;=0,FALSE),IFERROR(INT(MID(metadata!C897,18,2))&lt;=59,FALSE)), LEN(metadata!C897)&lt;=19)))))))))))))</f>
        <v>0</v>
      </c>
      <c r="AD897">
        <f>IF(metadata!D897="",FALSE,TRUE)</f>
        <v>0</v>
      </c>
      <c r="AE897">
        <f>OR(AND(IF(metadata!E897="",FALSE,TRUE),OR(exact(metadata!E897,"missing: not collected"),exact(metadata!E897,"missing: not provided"))),AND(IF(metadata!E897="",FALSE,TRUE),OR(exact(metadata!E897,"TRUE"),exact(metadata!E897,"FALSE"))))</f>
        <v>0</v>
      </c>
      <c r="AF897">
        <f>IF(metadata!F897="",FALSE,TRUE)</f>
        <v>0</v>
      </c>
      <c r="AG897">
        <f>IF(metadata!G897="",FALSE,TRUE)</f>
        <v>0</v>
      </c>
      <c r="AH897">
        <f>IF(metadata!H897="",FALSE,TRUE)</f>
        <v>0</v>
      </c>
      <c r="AI897">
        <f>OR(AND(IF(metadata!I897="",FALSE,TRUE),OR(exact(metadata!I897,"missing: not collected"),exact(metadata!I897,"missing: not provided"),exact(metadata!I897,"missing: restricted access"))),AND(IF(metadata!I897="",FALSE,TRUE),OR(exact(metadata!I897,"air"),exact(metadata!I897,"built environment"),exact(metadata!I897,"host-associated"),exact(metadata!I897,"human-associated"),exact(metadata!I897,"human-skin"),exact(metadata!I897,"human-oral"),exact(metadata!I897,"human-gut"),exact(metadata!I897,"human-vaginal"),exact(metadata!I897,"microbial mat/biofilm"),exact(metadata!I897,"misc environment"),exact(metadata!I897,"plant-associated"),exact(metadata!I897,"sediment"),exact(metadata!I897,"soil"),exact(metadata!I897,"wastewater/sludge"),exact(metadata!I897,"water"))))</f>
        <v>0</v>
      </c>
      <c r="AJ897">
        <f>IF(metadata!J897="",FALSE,TRUE)</f>
        <v>0</v>
      </c>
      <c r="AK897">
        <f>OR(AND(IF(metadata!K897="",FALSE,TRUE),OR(exact(metadata!K897,"missing: not collected"),exact(metadata!K897,"missing: not provided"),exact(metadata!K897,"missing: restricted access"))),AND(IF(metadata!K897="",FALSE,ISNUMBER(VALUE(metadata!K897))),metadata!K897&gt;=-90.00,metadata!K897&lt;=90.00))</f>
        <v>0</v>
      </c>
      <c r="AL897">
        <f>OR(AND(IF(metadata!L897="",FALSE,TRUE),OR(exact(metadata!L897,"missing: not collected"),exact(metadata!L897,"missing: not provided"),exact(metadata!L897,"missing: restricted access"))),AND(IF(metadata!L897="",FALSE,ISNUMBER(VALUE(metadata!L897))),metadata!L897&gt;=-180.00,metadata!L897&lt;=180.00))</f>
        <v>0</v>
      </c>
      <c r="AM897">
        <f>IF(metadata!M897="",FALSE,TRUE)</f>
        <v>0</v>
      </c>
      <c r="AN897">
        <f>OR(AND(IF(metadata!N897="",FALSE,TRUE),OR(exact(metadata!N897,"missing: not collected"),exact(metadata!N897,"missing: not provided"),exact(metadata!N897,"missing: restricted access"))),AND(IF(metadata!N897="",FALSE,TRUE),OR(exact(metadata!N897,"TRUE"),exact(metadata!N897,"FALSE"))))</f>
        <v>0</v>
      </c>
      <c r="AO897">
        <f>IF(metadata!O897="",FALSE,TRUE)</f>
        <v>0</v>
      </c>
      <c r="AP897">
        <f>OR(AND(IF(metadata!P897="",FALSE,TRUE),OR(exact(metadata!P897,"missing: not collected"),exact(metadata!P897,"missing: not provided"))),AND(IF(metadata!P897="",FALSE,IF(ISERROR(INT(metadata!P897)),FALSE,INT(metadata!P897)=metadata!P897)),metadata!P897&gt;0))</f>
        <v>0</v>
      </c>
      <c r="AQ897">
        <f>IF(metadata!Q897="",FALSE,TRUE)</f>
        <v>0</v>
      </c>
    </row>
    <row r="898" spans="1:43">
      <c r="A898" s="5">
        <f>IF(B898=" "," ",HYPERLINK(CONCATENATE("#metadata!",ADDRESS(INDEX($W$2:$W$1001,MATCH(ROWS($U$2:U898),$U$2:$U$1001,0),0),1)),INDEX($Z$2:$Z$1001,MATCH(ROWS($U$2:U898),$U$2:$U$1001,0),0)))</f>
        <v>0</v>
      </c>
      <c r="B898" s="4">
        <f>IF(OR(INDEX($V$2:$V$1001,MATCH(ROWS($U$2:U898),$U$2:$U$1001,0),1)&gt;=100000,INDEX($AB$1005:$AQ$1005,1,MATCH(COLUMNS($AB$1006:AB1006),$AB$1006:$AQ$1006,0))&gt;=100000), " ",IF(INDEX($AB$2:$AQ$1001,MATCH(ROWS($U$2:U898),$U$2:$U$1001,0),MATCH(COLUMNS($AB$1006:AB1006),$AB$1006:$AQ$1006,0)), HYPERLINK("#",""), HYPERLINK(CONCATENATE("#metadata!", ADDRESS(INDEX($W$2:$W$1001,MATCH(ROWS($U$2:U898),$U$2:$U$1001,0),0), INDEX($AB$1004:$AQ$1004,1,MATCH(COLUMNS($AB$1006:AB1006),$AB$1006:$AQ$1006,0)))),"Fix")))</f>
        <v>0</v>
      </c>
      <c r="C898" s="4">
        <f>IF(OR(INDEX($V$2:$V$1001,MATCH(ROWS($U$2:U898),$U$2:$U$1001,0),1)&gt;=100000,INDEX($AB$1005:$AQ$1005,1,MATCH(COLUMNS($AB$1006:AC1006),$AB$1006:$AQ$1006,0))&gt;=100000), " ",IF(INDEX($AB$2:$AQ$1001,MATCH(ROWS($U$2:U898),$U$2:$U$1001,0),MATCH(COLUMNS($AB$1006:AC1006),$AB$1006:$AQ$1006,0)), HYPERLINK("#",""), HYPERLINK(CONCATENATE("#metadata!", ADDRESS(INDEX($W$2:$W$1001,MATCH(ROWS($U$2:U898),$U$2:$U$1001,0),0), INDEX($AB$1004:$AQ$1004,1,MATCH(COLUMNS($AB$1006:AC1006),$AB$1006:$AQ$1006,0)))),"Fix")))</f>
        <v>0</v>
      </c>
      <c r="D898" s="4">
        <f>IF(OR(INDEX($V$2:$V$1001,MATCH(ROWS($U$2:U898),$U$2:$U$1001,0),1)&gt;=100000,INDEX($AB$1005:$AQ$1005,1,MATCH(COLUMNS($AB$1006:AD1006),$AB$1006:$AQ$1006,0))&gt;=100000), " ",IF(INDEX($AB$2:$AQ$1001,MATCH(ROWS($U$2:U898),$U$2:$U$1001,0),MATCH(COLUMNS($AB$1006:AD1006),$AB$1006:$AQ$1006,0)), HYPERLINK("#",""), HYPERLINK(CONCATENATE("#metadata!", ADDRESS(INDEX($W$2:$W$1001,MATCH(ROWS($U$2:U898),$U$2:$U$1001,0),0), INDEX($AB$1004:$AQ$1004,1,MATCH(COLUMNS($AB$1006:AD1006),$AB$1006:$AQ$1006,0)))),"Fix")))</f>
        <v>0</v>
      </c>
      <c r="E898" s="4">
        <f>IF(OR(INDEX($V$2:$V$1001,MATCH(ROWS($U$2:U898),$U$2:$U$1001,0),1)&gt;=100000,INDEX($AB$1005:$AQ$1005,1,MATCH(COLUMNS($AB$1006:AE1006),$AB$1006:$AQ$1006,0))&gt;=100000), " ",IF(INDEX($AB$2:$AQ$1001,MATCH(ROWS($U$2:U898),$U$2:$U$1001,0),MATCH(COLUMNS($AB$1006:AE1006),$AB$1006:$AQ$1006,0)), HYPERLINK("#",""), HYPERLINK(CONCATENATE("#metadata!", ADDRESS(INDEX($W$2:$W$1001,MATCH(ROWS($U$2:U898),$U$2:$U$1001,0),0), INDEX($AB$1004:$AQ$1004,1,MATCH(COLUMNS($AB$1006:AE1006),$AB$1006:$AQ$1006,0)))),"Fix")))</f>
        <v>0</v>
      </c>
      <c r="F898" s="4">
        <f>IF(OR(INDEX($V$2:$V$1001,MATCH(ROWS($U$2:U898),$U$2:$U$1001,0),1)&gt;=100000,INDEX($AB$1005:$AQ$1005,1,MATCH(COLUMNS($AB$1006:AF1006),$AB$1006:$AQ$1006,0))&gt;=100000), " ",IF(INDEX($AB$2:$AQ$1001,MATCH(ROWS($U$2:U898),$U$2:$U$1001,0),MATCH(COLUMNS($AB$1006:AF1006),$AB$1006:$AQ$1006,0)), HYPERLINK("#",""), HYPERLINK(CONCATENATE("#metadata!", ADDRESS(INDEX($W$2:$W$1001,MATCH(ROWS($U$2:U898),$U$2:$U$1001,0),0), INDEX($AB$1004:$AQ$1004,1,MATCH(COLUMNS($AB$1006:AF1006),$AB$1006:$AQ$1006,0)))),"Fix")))</f>
        <v>0</v>
      </c>
      <c r="G898" s="4">
        <f>IF(OR(INDEX($V$2:$V$1001,MATCH(ROWS($U$2:U898),$U$2:$U$1001,0),1)&gt;=100000,INDEX($AB$1005:$AQ$1005,1,MATCH(COLUMNS($AB$1006:AG1006),$AB$1006:$AQ$1006,0))&gt;=100000), " ",IF(INDEX($AB$2:$AQ$1001,MATCH(ROWS($U$2:U898),$U$2:$U$1001,0),MATCH(COLUMNS($AB$1006:AG1006),$AB$1006:$AQ$1006,0)), HYPERLINK("#",""), HYPERLINK(CONCATENATE("#metadata!", ADDRESS(INDEX($W$2:$W$1001,MATCH(ROWS($U$2:U898),$U$2:$U$1001,0),0), INDEX($AB$1004:$AQ$1004,1,MATCH(COLUMNS($AB$1006:AG1006),$AB$1006:$AQ$1006,0)))),"Fix")))</f>
        <v>0</v>
      </c>
      <c r="H898" s="4">
        <f>IF(OR(INDEX($V$2:$V$1001,MATCH(ROWS($U$2:U898),$U$2:$U$1001,0),1)&gt;=100000,INDEX($AB$1005:$AQ$1005,1,MATCH(COLUMNS($AB$1006:AH1006),$AB$1006:$AQ$1006,0))&gt;=100000), " ",IF(INDEX($AB$2:$AQ$1001,MATCH(ROWS($U$2:U898),$U$2:$U$1001,0),MATCH(COLUMNS($AB$1006:AH1006),$AB$1006:$AQ$1006,0)), HYPERLINK("#",""), HYPERLINK(CONCATENATE("#metadata!", ADDRESS(INDEX($W$2:$W$1001,MATCH(ROWS($U$2:U898),$U$2:$U$1001,0),0), INDEX($AB$1004:$AQ$1004,1,MATCH(COLUMNS($AB$1006:AH1006),$AB$1006:$AQ$1006,0)))),"Fix")))</f>
        <v>0</v>
      </c>
      <c r="I898" s="4">
        <f>IF(OR(INDEX($V$2:$V$1001,MATCH(ROWS($U$2:U898),$U$2:$U$1001,0),1)&gt;=100000,INDEX($AB$1005:$AQ$1005,1,MATCH(COLUMNS($AB$1006:AI1006),$AB$1006:$AQ$1006,0))&gt;=100000), " ",IF(INDEX($AB$2:$AQ$1001,MATCH(ROWS($U$2:U898),$U$2:$U$1001,0),MATCH(COLUMNS($AB$1006:AI1006),$AB$1006:$AQ$1006,0)), HYPERLINK("#",""), HYPERLINK(CONCATENATE("#metadata!", ADDRESS(INDEX($W$2:$W$1001,MATCH(ROWS($U$2:U898),$U$2:$U$1001,0),0), INDEX($AB$1004:$AQ$1004,1,MATCH(COLUMNS($AB$1006:AI1006),$AB$1006:$AQ$1006,0)))),"Fix")))</f>
        <v>0</v>
      </c>
      <c r="J898" s="4">
        <f>IF(OR(INDEX($V$2:$V$1001,MATCH(ROWS($U$2:U898),$U$2:$U$1001,0),1)&gt;=100000,INDEX($AB$1005:$AQ$1005,1,MATCH(COLUMNS($AB$1006:AJ1006),$AB$1006:$AQ$1006,0))&gt;=100000), " ",IF(INDEX($AB$2:$AQ$1001,MATCH(ROWS($U$2:U898),$U$2:$U$1001,0),MATCH(COLUMNS($AB$1006:AJ1006),$AB$1006:$AQ$1006,0)), HYPERLINK("#",""), HYPERLINK(CONCATENATE("#metadata!", ADDRESS(INDEX($W$2:$W$1001,MATCH(ROWS($U$2:U898),$U$2:$U$1001,0),0), INDEX($AB$1004:$AQ$1004,1,MATCH(COLUMNS($AB$1006:AJ1006),$AB$1006:$AQ$1006,0)))),"Fix")))</f>
        <v>0</v>
      </c>
      <c r="K898" s="4">
        <f>IF(OR(INDEX($V$2:$V$1001,MATCH(ROWS($U$2:U898),$U$2:$U$1001,0),1)&gt;=100000,INDEX($AB$1005:$AQ$1005,1,MATCH(COLUMNS($AB$1006:AK1006),$AB$1006:$AQ$1006,0))&gt;=100000), " ",IF(INDEX($AB$2:$AQ$1001,MATCH(ROWS($U$2:U898),$U$2:$U$1001,0),MATCH(COLUMNS($AB$1006:AK1006),$AB$1006:$AQ$1006,0)), HYPERLINK("#",""), HYPERLINK(CONCATENATE("#metadata!", ADDRESS(INDEX($W$2:$W$1001,MATCH(ROWS($U$2:U898),$U$2:$U$1001,0),0), INDEX($AB$1004:$AQ$1004,1,MATCH(COLUMNS($AB$1006:AK1006),$AB$1006:$AQ$1006,0)))),"Fix")))</f>
        <v>0</v>
      </c>
      <c r="L898" s="4">
        <f>IF(OR(INDEX($V$2:$V$1001,MATCH(ROWS($U$2:U898),$U$2:$U$1001,0),1)&gt;=100000,INDEX($AB$1005:$AQ$1005,1,MATCH(COLUMNS($AB$1006:AL1006),$AB$1006:$AQ$1006,0))&gt;=100000), " ",IF(INDEX($AB$2:$AQ$1001,MATCH(ROWS($U$2:U898),$U$2:$U$1001,0),MATCH(COLUMNS($AB$1006:AL1006),$AB$1006:$AQ$1006,0)), HYPERLINK("#",""), HYPERLINK(CONCATENATE("#metadata!", ADDRESS(INDEX($W$2:$W$1001,MATCH(ROWS($U$2:U898),$U$2:$U$1001,0),0), INDEX($AB$1004:$AQ$1004,1,MATCH(COLUMNS($AB$1006:AL1006),$AB$1006:$AQ$1006,0)))),"Fix")))</f>
        <v>0</v>
      </c>
      <c r="M898" s="4">
        <f>IF(OR(INDEX($V$2:$V$1001,MATCH(ROWS($U$2:U898),$U$2:$U$1001,0),1)&gt;=100000,INDEX($AB$1005:$AQ$1005,1,MATCH(COLUMNS($AB$1006:AM1006),$AB$1006:$AQ$1006,0))&gt;=100000), " ",IF(INDEX($AB$2:$AQ$1001,MATCH(ROWS($U$2:U898),$U$2:$U$1001,0),MATCH(COLUMNS($AB$1006:AM1006),$AB$1006:$AQ$1006,0)), HYPERLINK("#",""), HYPERLINK(CONCATENATE("#metadata!", ADDRESS(INDEX($W$2:$W$1001,MATCH(ROWS($U$2:U898),$U$2:$U$1001,0),0), INDEX($AB$1004:$AQ$1004,1,MATCH(COLUMNS($AB$1006:AM1006),$AB$1006:$AQ$1006,0)))),"Fix")))</f>
        <v>0</v>
      </c>
      <c r="N898" s="4">
        <f>IF(OR(INDEX($V$2:$V$1001,MATCH(ROWS($U$2:U898),$U$2:$U$1001,0),1)&gt;=100000,INDEX($AB$1005:$AQ$1005,1,MATCH(COLUMNS($AB$1006:AN1006),$AB$1006:$AQ$1006,0))&gt;=100000), " ",IF(INDEX($AB$2:$AQ$1001,MATCH(ROWS($U$2:U898),$U$2:$U$1001,0),MATCH(COLUMNS($AB$1006:AN1006),$AB$1006:$AQ$1006,0)), HYPERLINK("#",""), HYPERLINK(CONCATENATE("#metadata!", ADDRESS(INDEX($W$2:$W$1001,MATCH(ROWS($U$2:U898),$U$2:$U$1001,0),0), INDEX($AB$1004:$AQ$1004,1,MATCH(COLUMNS($AB$1006:AN1006),$AB$1006:$AQ$1006,0)))),"Fix")))</f>
        <v>0</v>
      </c>
      <c r="O898" s="4">
        <f>IF(OR(INDEX($V$2:$V$1001,MATCH(ROWS($U$2:U898),$U$2:$U$1001,0),1)&gt;=100000,INDEX($AB$1005:$AQ$1005,1,MATCH(COLUMNS($AB$1006:AO1006),$AB$1006:$AQ$1006,0))&gt;=100000), " ",IF(INDEX($AB$2:$AQ$1001,MATCH(ROWS($U$2:U898),$U$2:$U$1001,0),MATCH(COLUMNS($AB$1006:AO1006),$AB$1006:$AQ$1006,0)), HYPERLINK("#",""), HYPERLINK(CONCATENATE("#metadata!", ADDRESS(INDEX($W$2:$W$1001,MATCH(ROWS($U$2:U898),$U$2:$U$1001,0),0), INDEX($AB$1004:$AQ$1004,1,MATCH(COLUMNS($AB$1006:AO1006),$AB$1006:$AQ$1006,0)))),"Fix")))</f>
        <v>0</v>
      </c>
      <c r="P898" s="4">
        <f>IF(OR(INDEX($V$2:$V$1001,MATCH(ROWS($U$2:U898),$U$2:$U$1001,0),1)&gt;=100000,INDEX($AB$1005:$AQ$1005,1,MATCH(COLUMNS($AB$1006:AP1006),$AB$1006:$AQ$1006,0))&gt;=100000), " ",IF(INDEX($AB$2:$AQ$1001,MATCH(ROWS($U$2:U898),$U$2:$U$1001,0),MATCH(COLUMNS($AB$1006:AP1006),$AB$1006:$AQ$1006,0)), HYPERLINK("#",""), HYPERLINK(CONCATENATE("#metadata!", ADDRESS(INDEX($W$2:$W$1001,MATCH(ROWS($U$2:U898),$U$2:$U$1001,0),0), INDEX($AB$1004:$AQ$1004,1,MATCH(COLUMNS($AB$1006:AP1006),$AB$1006:$AQ$1006,0)))),"Fix")))</f>
        <v>0</v>
      </c>
      <c r="Q898" s="4">
        <f>IF(OR(INDEX($V$2:$V$1001,MATCH(ROWS($U$2:U898),$U$2:$U$1001,0),1)&gt;=100000,INDEX($AB$1005:$AQ$1005,1,MATCH(COLUMNS($AB$1006:AQ1006),$AB$1006:$AQ$1006,0))&gt;=100000), " ",IF(INDEX($AB$2:$AQ$1001,MATCH(ROWS($U$2:U898),$U$2:$U$1001,0),MATCH(COLUMNS($AB$1006:AQ1006),$AB$1006:$AQ$1006,0)), HYPERLINK("#",""), HYPERLINK(CONCATENATE("#metadata!", ADDRESS(INDEX($W$2:$W$1001,MATCH(ROWS($U$2:U898),$U$2:$U$1001,0),0), INDEX($AB$1004:$AQ$1004,1,MATCH(COLUMNS($AB$1006:AQ1006),$AB$1006:$AQ$1006,0)))),"Fix")))</f>
        <v>0</v>
      </c>
      <c r="U898">
        <v>0</v>
      </c>
      <c r="V898">
        <v>0</v>
      </c>
      <c r="W898">
        <v>0</v>
      </c>
      <c r="X898">
        <f>IF(Y898,TRUE,AND(AB898:AQ898))</f>
        <v>0</v>
      </c>
      <c r="Y898">
        <f>COUNTBLANK(metadata!B898:Q898)=COLUMNS(metadata!B898:Q898)</f>
        <v>0</v>
      </c>
      <c r="Z898">
        <v>0</v>
      </c>
      <c r="AB898">
        <f>AND(IF(metadata!B898="",FALSE,TRUE),COUNTIF(metadata!B:B, metadata!B898) = 1,NOT(ISERROR(SUMPRODUCT(SEARCH(MID(metadata!B898,ROW(INDIRECT("1:"&amp;LEN(metadata!B898))), 1),"0123456789abcdefghijklmnopqrstuvwxyzABCDEFGHIJKLMNOPQRSTUVWXYZ.")))))</f>
        <v>0</v>
      </c>
      <c r="AC898">
        <f>OR(AND(IF(metadata!C898="",FALSE,TRUE),OR(exact(metadata!C898,"missing: not collected"),exact(metadata!C898,"missing: not provided"),exact(metadata!C898,"missing: restricted access"))),AND(IF(metadata!C898="",FALSE,TRUE),AND(AND(IFERROR(INT(LEFT(metadata!C898,4))&gt;1900,FALSE),IFERROR(INT(LEFT(metadata!C898,4))&lt;=YEAR(NOW()),FALSE)), OR(MID(metadata!C898,5,1)="", AND(AND(MID(metadata!C898,5,1)="-",IFERROR(INT(MID(metadata!C898,6,1))&gt;=0,FALSE),IFERROR(INT(MID(metadata!C898,6,1))&lt;=1,FALSE),NOT(MID(metadata!C898,7,1)=""),IFERROR(INT(MID(metadata!C898,6,2))&gt;=1,FALSE),IFERROR(INT(MID(metadata!C898,6,2))&lt;=12,FALSE)), OR(MID(metadata!C898,8,1)="", AND(AND(MID(metadata!C898,8,1)="-",IFERROR(INT(MID(metadata!C898,9,1))&gt;=0,FALSE),IFERROR(INT(MID(metadata!C898,9,1))&lt;=3,FALSE),NOT(MID(metadata!C898,10,1)=""),IFERROR(INT(MID(metadata!C898,9,2))&gt;=1,FALSE),IFERROR(INT(MID(metadata!C898,9,2))&lt;=31,FALSE)), OR(MID(metadata!C898,11,1)="", AND(AND(MID(metadata!C898,11,1)=" ",IFERROR(INT(MID(metadata!C898,12,1))&gt;=0,FALSE),IFERROR(INT(MID(metadata!C898,12,1))&lt;=2,FALSE),NOT(MID(metadata!C898,13,1)=""),IFERROR(INT(MID(metadata!C898,12,2))&gt;=0,FALSE),IFERROR(INT(MID(metadata!C898,12,2))&lt;=23,FALSE)), OR(MID(metadata!C898,14,1)="", AND(AND(MID(metadata!C898,14,1)=":",IFERROR(INT(MID(metadata!C898,15,1))&gt;=0,FALSE),IFERROR(INT(MID(metadata!C898,15,1))&lt;=5,FALSE),NOT(MID(metadata!C898,16,1)=""),IFERROR(INT(MID(metadata!C898,15,2))&gt;=0,FALSE),IFERROR(INT(MID(metadata!C898,15,2))&lt;=59,FALSE)), OR(MID(metadata!C898,17,1)="", AND(AND(MID(metadata!C898,17,1)=":",IFERROR(INT(MID(metadata!C898,18,1))&gt;=0,FALSE),IFERROR(INT(MID(metadata!C898,18,1))&lt;=5,FALSE),NOT(MID(metadata!C898,19,1)=""),IFERROR(INT(MID(metadata!C898,18,2))&gt;=0,FALSE),IFERROR(INT(MID(metadata!C898,18,2))&lt;=59,FALSE)), LEN(metadata!C898)&lt;=19)))))))))))))</f>
        <v>0</v>
      </c>
      <c r="AD898">
        <f>IF(metadata!D898="",FALSE,TRUE)</f>
        <v>0</v>
      </c>
      <c r="AE898">
        <f>OR(AND(IF(metadata!E898="",FALSE,TRUE),OR(exact(metadata!E898,"missing: not collected"),exact(metadata!E898,"missing: not provided"))),AND(IF(metadata!E898="",FALSE,TRUE),OR(exact(metadata!E898,"TRUE"),exact(metadata!E898,"FALSE"))))</f>
        <v>0</v>
      </c>
      <c r="AF898">
        <f>IF(metadata!F898="",FALSE,TRUE)</f>
        <v>0</v>
      </c>
      <c r="AG898">
        <f>IF(metadata!G898="",FALSE,TRUE)</f>
        <v>0</v>
      </c>
      <c r="AH898">
        <f>IF(metadata!H898="",FALSE,TRUE)</f>
        <v>0</v>
      </c>
      <c r="AI898">
        <f>OR(AND(IF(metadata!I898="",FALSE,TRUE),OR(exact(metadata!I898,"missing: not collected"),exact(metadata!I898,"missing: not provided"),exact(metadata!I898,"missing: restricted access"))),AND(IF(metadata!I898="",FALSE,TRUE),OR(exact(metadata!I898,"air"),exact(metadata!I898,"built environment"),exact(metadata!I898,"host-associated"),exact(metadata!I898,"human-associated"),exact(metadata!I898,"human-skin"),exact(metadata!I898,"human-oral"),exact(metadata!I898,"human-gut"),exact(metadata!I898,"human-vaginal"),exact(metadata!I898,"microbial mat/biofilm"),exact(metadata!I898,"misc environment"),exact(metadata!I898,"plant-associated"),exact(metadata!I898,"sediment"),exact(metadata!I898,"soil"),exact(metadata!I898,"wastewater/sludge"),exact(metadata!I898,"water"))))</f>
        <v>0</v>
      </c>
      <c r="AJ898">
        <f>IF(metadata!J898="",FALSE,TRUE)</f>
        <v>0</v>
      </c>
      <c r="AK898">
        <f>OR(AND(IF(metadata!K898="",FALSE,TRUE),OR(exact(metadata!K898,"missing: not collected"),exact(metadata!K898,"missing: not provided"),exact(metadata!K898,"missing: restricted access"))),AND(IF(metadata!K898="",FALSE,ISNUMBER(VALUE(metadata!K898))),metadata!K898&gt;=-90.00,metadata!K898&lt;=90.00))</f>
        <v>0</v>
      </c>
      <c r="AL898">
        <f>OR(AND(IF(metadata!L898="",FALSE,TRUE),OR(exact(metadata!L898,"missing: not collected"),exact(metadata!L898,"missing: not provided"),exact(metadata!L898,"missing: restricted access"))),AND(IF(metadata!L898="",FALSE,ISNUMBER(VALUE(metadata!L898))),metadata!L898&gt;=-180.00,metadata!L898&lt;=180.00))</f>
        <v>0</v>
      </c>
      <c r="AM898">
        <f>IF(metadata!M898="",FALSE,TRUE)</f>
        <v>0</v>
      </c>
      <c r="AN898">
        <f>OR(AND(IF(metadata!N898="",FALSE,TRUE),OR(exact(metadata!N898,"missing: not collected"),exact(metadata!N898,"missing: not provided"),exact(metadata!N898,"missing: restricted access"))),AND(IF(metadata!N898="",FALSE,TRUE),OR(exact(metadata!N898,"TRUE"),exact(metadata!N898,"FALSE"))))</f>
        <v>0</v>
      </c>
      <c r="AO898">
        <f>IF(metadata!O898="",FALSE,TRUE)</f>
        <v>0</v>
      </c>
      <c r="AP898">
        <f>OR(AND(IF(metadata!P898="",FALSE,TRUE),OR(exact(metadata!P898,"missing: not collected"),exact(metadata!P898,"missing: not provided"))),AND(IF(metadata!P898="",FALSE,IF(ISERROR(INT(metadata!P898)),FALSE,INT(metadata!P898)=metadata!P898)),metadata!P898&gt;0))</f>
        <v>0</v>
      </c>
      <c r="AQ898">
        <f>IF(metadata!Q898="",FALSE,TRUE)</f>
        <v>0</v>
      </c>
    </row>
    <row r="899" spans="1:43">
      <c r="A899" s="5">
        <f>IF(B899=" "," ",HYPERLINK(CONCATENATE("#metadata!",ADDRESS(INDEX($W$2:$W$1001,MATCH(ROWS($U$2:U899),$U$2:$U$1001,0),0),1)),INDEX($Z$2:$Z$1001,MATCH(ROWS($U$2:U899),$U$2:$U$1001,0),0)))</f>
        <v>0</v>
      </c>
      <c r="B899" s="4">
        <f>IF(OR(INDEX($V$2:$V$1001,MATCH(ROWS($U$2:U899),$U$2:$U$1001,0),1)&gt;=100000,INDEX($AB$1005:$AQ$1005,1,MATCH(COLUMNS($AB$1006:AB1006),$AB$1006:$AQ$1006,0))&gt;=100000), " ",IF(INDEX($AB$2:$AQ$1001,MATCH(ROWS($U$2:U899),$U$2:$U$1001,0),MATCH(COLUMNS($AB$1006:AB1006),$AB$1006:$AQ$1006,0)), HYPERLINK("#",""), HYPERLINK(CONCATENATE("#metadata!", ADDRESS(INDEX($W$2:$W$1001,MATCH(ROWS($U$2:U899),$U$2:$U$1001,0),0), INDEX($AB$1004:$AQ$1004,1,MATCH(COLUMNS($AB$1006:AB1006),$AB$1006:$AQ$1006,0)))),"Fix")))</f>
        <v>0</v>
      </c>
      <c r="C899" s="4">
        <f>IF(OR(INDEX($V$2:$V$1001,MATCH(ROWS($U$2:U899),$U$2:$U$1001,0),1)&gt;=100000,INDEX($AB$1005:$AQ$1005,1,MATCH(COLUMNS($AB$1006:AC1006),$AB$1006:$AQ$1006,0))&gt;=100000), " ",IF(INDEX($AB$2:$AQ$1001,MATCH(ROWS($U$2:U899),$U$2:$U$1001,0),MATCH(COLUMNS($AB$1006:AC1006),$AB$1006:$AQ$1006,0)), HYPERLINK("#",""), HYPERLINK(CONCATENATE("#metadata!", ADDRESS(INDEX($W$2:$W$1001,MATCH(ROWS($U$2:U899),$U$2:$U$1001,0),0), INDEX($AB$1004:$AQ$1004,1,MATCH(COLUMNS($AB$1006:AC1006),$AB$1006:$AQ$1006,0)))),"Fix")))</f>
        <v>0</v>
      </c>
      <c r="D899" s="4">
        <f>IF(OR(INDEX($V$2:$V$1001,MATCH(ROWS($U$2:U899),$U$2:$U$1001,0),1)&gt;=100000,INDEX($AB$1005:$AQ$1005,1,MATCH(COLUMNS($AB$1006:AD1006),$AB$1006:$AQ$1006,0))&gt;=100000), " ",IF(INDEX($AB$2:$AQ$1001,MATCH(ROWS($U$2:U899),$U$2:$U$1001,0),MATCH(COLUMNS($AB$1006:AD1006),$AB$1006:$AQ$1006,0)), HYPERLINK("#",""), HYPERLINK(CONCATENATE("#metadata!", ADDRESS(INDEX($W$2:$W$1001,MATCH(ROWS($U$2:U899),$U$2:$U$1001,0),0), INDEX($AB$1004:$AQ$1004,1,MATCH(COLUMNS($AB$1006:AD1006),$AB$1006:$AQ$1006,0)))),"Fix")))</f>
        <v>0</v>
      </c>
      <c r="E899" s="4">
        <f>IF(OR(INDEX($V$2:$V$1001,MATCH(ROWS($U$2:U899),$U$2:$U$1001,0),1)&gt;=100000,INDEX($AB$1005:$AQ$1005,1,MATCH(COLUMNS($AB$1006:AE1006),$AB$1006:$AQ$1006,0))&gt;=100000), " ",IF(INDEX($AB$2:$AQ$1001,MATCH(ROWS($U$2:U899),$U$2:$U$1001,0),MATCH(COLUMNS($AB$1006:AE1006),$AB$1006:$AQ$1006,0)), HYPERLINK("#",""), HYPERLINK(CONCATENATE("#metadata!", ADDRESS(INDEX($W$2:$W$1001,MATCH(ROWS($U$2:U899),$U$2:$U$1001,0),0), INDEX($AB$1004:$AQ$1004,1,MATCH(COLUMNS($AB$1006:AE1006),$AB$1006:$AQ$1006,0)))),"Fix")))</f>
        <v>0</v>
      </c>
      <c r="F899" s="4">
        <f>IF(OR(INDEX($V$2:$V$1001,MATCH(ROWS($U$2:U899),$U$2:$U$1001,0),1)&gt;=100000,INDEX($AB$1005:$AQ$1005,1,MATCH(COLUMNS($AB$1006:AF1006),$AB$1006:$AQ$1006,0))&gt;=100000), " ",IF(INDEX($AB$2:$AQ$1001,MATCH(ROWS($U$2:U899),$U$2:$U$1001,0),MATCH(COLUMNS($AB$1006:AF1006),$AB$1006:$AQ$1006,0)), HYPERLINK("#",""), HYPERLINK(CONCATENATE("#metadata!", ADDRESS(INDEX($W$2:$W$1001,MATCH(ROWS($U$2:U899),$U$2:$U$1001,0),0), INDEX($AB$1004:$AQ$1004,1,MATCH(COLUMNS($AB$1006:AF1006),$AB$1006:$AQ$1006,0)))),"Fix")))</f>
        <v>0</v>
      </c>
      <c r="G899" s="4">
        <f>IF(OR(INDEX($V$2:$V$1001,MATCH(ROWS($U$2:U899),$U$2:$U$1001,0),1)&gt;=100000,INDEX($AB$1005:$AQ$1005,1,MATCH(COLUMNS($AB$1006:AG1006),$AB$1006:$AQ$1006,0))&gt;=100000), " ",IF(INDEX($AB$2:$AQ$1001,MATCH(ROWS($U$2:U899),$U$2:$U$1001,0),MATCH(COLUMNS($AB$1006:AG1006),$AB$1006:$AQ$1006,0)), HYPERLINK("#",""), HYPERLINK(CONCATENATE("#metadata!", ADDRESS(INDEX($W$2:$W$1001,MATCH(ROWS($U$2:U899),$U$2:$U$1001,0),0), INDEX($AB$1004:$AQ$1004,1,MATCH(COLUMNS($AB$1006:AG1006),$AB$1006:$AQ$1006,0)))),"Fix")))</f>
        <v>0</v>
      </c>
      <c r="H899" s="4">
        <f>IF(OR(INDEX($V$2:$V$1001,MATCH(ROWS($U$2:U899),$U$2:$U$1001,0),1)&gt;=100000,INDEX($AB$1005:$AQ$1005,1,MATCH(COLUMNS($AB$1006:AH1006),$AB$1006:$AQ$1006,0))&gt;=100000), " ",IF(INDEX($AB$2:$AQ$1001,MATCH(ROWS($U$2:U899),$U$2:$U$1001,0),MATCH(COLUMNS($AB$1006:AH1006),$AB$1006:$AQ$1006,0)), HYPERLINK("#",""), HYPERLINK(CONCATENATE("#metadata!", ADDRESS(INDEX($W$2:$W$1001,MATCH(ROWS($U$2:U899),$U$2:$U$1001,0),0), INDEX($AB$1004:$AQ$1004,1,MATCH(COLUMNS($AB$1006:AH1006),$AB$1006:$AQ$1006,0)))),"Fix")))</f>
        <v>0</v>
      </c>
      <c r="I899" s="4">
        <f>IF(OR(INDEX($V$2:$V$1001,MATCH(ROWS($U$2:U899),$U$2:$U$1001,0),1)&gt;=100000,INDEX($AB$1005:$AQ$1005,1,MATCH(COLUMNS($AB$1006:AI1006),$AB$1006:$AQ$1006,0))&gt;=100000), " ",IF(INDEX($AB$2:$AQ$1001,MATCH(ROWS($U$2:U899),$U$2:$U$1001,0),MATCH(COLUMNS($AB$1006:AI1006),$AB$1006:$AQ$1006,0)), HYPERLINK("#",""), HYPERLINK(CONCATENATE("#metadata!", ADDRESS(INDEX($W$2:$W$1001,MATCH(ROWS($U$2:U899),$U$2:$U$1001,0),0), INDEX($AB$1004:$AQ$1004,1,MATCH(COLUMNS($AB$1006:AI1006),$AB$1006:$AQ$1006,0)))),"Fix")))</f>
        <v>0</v>
      </c>
      <c r="J899" s="4">
        <f>IF(OR(INDEX($V$2:$V$1001,MATCH(ROWS($U$2:U899),$U$2:$U$1001,0),1)&gt;=100000,INDEX($AB$1005:$AQ$1005,1,MATCH(COLUMNS($AB$1006:AJ1006),$AB$1006:$AQ$1006,0))&gt;=100000), " ",IF(INDEX($AB$2:$AQ$1001,MATCH(ROWS($U$2:U899),$U$2:$U$1001,0),MATCH(COLUMNS($AB$1006:AJ1006),$AB$1006:$AQ$1006,0)), HYPERLINK("#",""), HYPERLINK(CONCATENATE("#metadata!", ADDRESS(INDEX($W$2:$W$1001,MATCH(ROWS($U$2:U899),$U$2:$U$1001,0),0), INDEX($AB$1004:$AQ$1004,1,MATCH(COLUMNS($AB$1006:AJ1006),$AB$1006:$AQ$1006,0)))),"Fix")))</f>
        <v>0</v>
      </c>
      <c r="K899" s="4">
        <f>IF(OR(INDEX($V$2:$V$1001,MATCH(ROWS($U$2:U899),$U$2:$U$1001,0),1)&gt;=100000,INDEX($AB$1005:$AQ$1005,1,MATCH(COLUMNS($AB$1006:AK1006),$AB$1006:$AQ$1006,0))&gt;=100000), " ",IF(INDEX($AB$2:$AQ$1001,MATCH(ROWS($U$2:U899),$U$2:$U$1001,0),MATCH(COLUMNS($AB$1006:AK1006),$AB$1006:$AQ$1006,0)), HYPERLINK("#",""), HYPERLINK(CONCATENATE("#metadata!", ADDRESS(INDEX($W$2:$W$1001,MATCH(ROWS($U$2:U899),$U$2:$U$1001,0),0), INDEX($AB$1004:$AQ$1004,1,MATCH(COLUMNS($AB$1006:AK1006),$AB$1006:$AQ$1006,0)))),"Fix")))</f>
        <v>0</v>
      </c>
      <c r="L899" s="4">
        <f>IF(OR(INDEX($V$2:$V$1001,MATCH(ROWS($U$2:U899),$U$2:$U$1001,0),1)&gt;=100000,INDEX($AB$1005:$AQ$1005,1,MATCH(COLUMNS($AB$1006:AL1006),$AB$1006:$AQ$1006,0))&gt;=100000), " ",IF(INDEX($AB$2:$AQ$1001,MATCH(ROWS($U$2:U899),$U$2:$U$1001,0),MATCH(COLUMNS($AB$1006:AL1006),$AB$1006:$AQ$1006,0)), HYPERLINK("#",""), HYPERLINK(CONCATENATE("#metadata!", ADDRESS(INDEX($W$2:$W$1001,MATCH(ROWS($U$2:U899),$U$2:$U$1001,0),0), INDEX($AB$1004:$AQ$1004,1,MATCH(COLUMNS($AB$1006:AL1006),$AB$1006:$AQ$1006,0)))),"Fix")))</f>
        <v>0</v>
      </c>
      <c r="M899" s="4">
        <f>IF(OR(INDEX($V$2:$V$1001,MATCH(ROWS($U$2:U899),$U$2:$U$1001,0),1)&gt;=100000,INDEX($AB$1005:$AQ$1005,1,MATCH(COLUMNS($AB$1006:AM1006),$AB$1006:$AQ$1006,0))&gt;=100000), " ",IF(INDEX($AB$2:$AQ$1001,MATCH(ROWS($U$2:U899),$U$2:$U$1001,0),MATCH(COLUMNS($AB$1006:AM1006),$AB$1006:$AQ$1006,0)), HYPERLINK("#",""), HYPERLINK(CONCATENATE("#metadata!", ADDRESS(INDEX($W$2:$W$1001,MATCH(ROWS($U$2:U899),$U$2:$U$1001,0),0), INDEX($AB$1004:$AQ$1004,1,MATCH(COLUMNS($AB$1006:AM1006),$AB$1006:$AQ$1006,0)))),"Fix")))</f>
        <v>0</v>
      </c>
      <c r="N899" s="4">
        <f>IF(OR(INDEX($V$2:$V$1001,MATCH(ROWS($U$2:U899),$U$2:$U$1001,0),1)&gt;=100000,INDEX($AB$1005:$AQ$1005,1,MATCH(COLUMNS($AB$1006:AN1006),$AB$1006:$AQ$1006,0))&gt;=100000), " ",IF(INDEX($AB$2:$AQ$1001,MATCH(ROWS($U$2:U899),$U$2:$U$1001,0),MATCH(COLUMNS($AB$1006:AN1006),$AB$1006:$AQ$1006,0)), HYPERLINK("#",""), HYPERLINK(CONCATENATE("#metadata!", ADDRESS(INDEX($W$2:$W$1001,MATCH(ROWS($U$2:U899),$U$2:$U$1001,0),0), INDEX($AB$1004:$AQ$1004,1,MATCH(COLUMNS($AB$1006:AN1006),$AB$1006:$AQ$1006,0)))),"Fix")))</f>
        <v>0</v>
      </c>
      <c r="O899" s="4">
        <f>IF(OR(INDEX($V$2:$V$1001,MATCH(ROWS($U$2:U899),$U$2:$U$1001,0),1)&gt;=100000,INDEX($AB$1005:$AQ$1005,1,MATCH(COLUMNS($AB$1006:AO1006),$AB$1006:$AQ$1006,0))&gt;=100000), " ",IF(INDEX($AB$2:$AQ$1001,MATCH(ROWS($U$2:U899),$U$2:$U$1001,0),MATCH(COLUMNS($AB$1006:AO1006),$AB$1006:$AQ$1006,0)), HYPERLINK("#",""), HYPERLINK(CONCATENATE("#metadata!", ADDRESS(INDEX($W$2:$W$1001,MATCH(ROWS($U$2:U899),$U$2:$U$1001,0),0), INDEX($AB$1004:$AQ$1004,1,MATCH(COLUMNS($AB$1006:AO1006),$AB$1006:$AQ$1006,0)))),"Fix")))</f>
        <v>0</v>
      </c>
      <c r="P899" s="4">
        <f>IF(OR(INDEX($V$2:$V$1001,MATCH(ROWS($U$2:U899),$U$2:$U$1001,0),1)&gt;=100000,INDEX($AB$1005:$AQ$1005,1,MATCH(COLUMNS($AB$1006:AP1006),$AB$1006:$AQ$1006,0))&gt;=100000), " ",IF(INDEX($AB$2:$AQ$1001,MATCH(ROWS($U$2:U899),$U$2:$U$1001,0),MATCH(COLUMNS($AB$1006:AP1006),$AB$1006:$AQ$1006,0)), HYPERLINK("#",""), HYPERLINK(CONCATENATE("#metadata!", ADDRESS(INDEX($W$2:$W$1001,MATCH(ROWS($U$2:U899),$U$2:$U$1001,0),0), INDEX($AB$1004:$AQ$1004,1,MATCH(COLUMNS($AB$1006:AP1006),$AB$1006:$AQ$1006,0)))),"Fix")))</f>
        <v>0</v>
      </c>
      <c r="Q899" s="4">
        <f>IF(OR(INDEX($V$2:$V$1001,MATCH(ROWS($U$2:U899),$U$2:$U$1001,0),1)&gt;=100000,INDEX($AB$1005:$AQ$1005,1,MATCH(COLUMNS($AB$1006:AQ1006),$AB$1006:$AQ$1006,0))&gt;=100000), " ",IF(INDEX($AB$2:$AQ$1001,MATCH(ROWS($U$2:U899),$U$2:$U$1001,0),MATCH(COLUMNS($AB$1006:AQ1006),$AB$1006:$AQ$1006,0)), HYPERLINK("#",""), HYPERLINK(CONCATENATE("#metadata!", ADDRESS(INDEX($W$2:$W$1001,MATCH(ROWS($U$2:U899),$U$2:$U$1001,0),0), INDEX($AB$1004:$AQ$1004,1,MATCH(COLUMNS($AB$1006:AQ1006),$AB$1006:$AQ$1006,0)))),"Fix")))</f>
        <v>0</v>
      </c>
      <c r="U899">
        <v>0</v>
      </c>
      <c r="V899">
        <v>0</v>
      </c>
      <c r="W899">
        <v>0</v>
      </c>
      <c r="X899">
        <f>IF(Y899,TRUE,AND(AB899:AQ899))</f>
        <v>0</v>
      </c>
      <c r="Y899">
        <f>COUNTBLANK(metadata!B899:Q899)=COLUMNS(metadata!B899:Q899)</f>
        <v>0</v>
      </c>
      <c r="Z899">
        <v>0</v>
      </c>
      <c r="AB899">
        <f>AND(IF(metadata!B899="",FALSE,TRUE),COUNTIF(metadata!B:B, metadata!B899) = 1,NOT(ISERROR(SUMPRODUCT(SEARCH(MID(metadata!B899,ROW(INDIRECT("1:"&amp;LEN(metadata!B899))), 1),"0123456789abcdefghijklmnopqrstuvwxyzABCDEFGHIJKLMNOPQRSTUVWXYZ.")))))</f>
        <v>0</v>
      </c>
      <c r="AC899">
        <f>OR(AND(IF(metadata!C899="",FALSE,TRUE),OR(exact(metadata!C899,"missing: not collected"),exact(metadata!C899,"missing: not provided"),exact(metadata!C899,"missing: restricted access"))),AND(IF(metadata!C899="",FALSE,TRUE),AND(AND(IFERROR(INT(LEFT(metadata!C899,4))&gt;1900,FALSE),IFERROR(INT(LEFT(metadata!C899,4))&lt;=YEAR(NOW()),FALSE)), OR(MID(metadata!C899,5,1)="", AND(AND(MID(metadata!C899,5,1)="-",IFERROR(INT(MID(metadata!C899,6,1))&gt;=0,FALSE),IFERROR(INT(MID(metadata!C899,6,1))&lt;=1,FALSE),NOT(MID(metadata!C899,7,1)=""),IFERROR(INT(MID(metadata!C899,6,2))&gt;=1,FALSE),IFERROR(INT(MID(metadata!C899,6,2))&lt;=12,FALSE)), OR(MID(metadata!C899,8,1)="", AND(AND(MID(metadata!C899,8,1)="-",IFERROR(INT(MID(metadata!C899,9,1))&gt;=0,FALSE),IFERROR(INT(MID(metadata!C899,9,1))&lt;=3,FALSE),NOT(MID(metadata!C899,10,1)=""),IFERROR(INT(MID(metadata!C899,9,2))&gt;=1,FALSE),IFERROR(INT(MID(metadata!C899,9,2))&lt;=31,FALSE)), OR(MID(metadata!C899,11,1)="", AND(AND(MID(metadata!C899,11,1)=" ",IFERROR(INT(MID(metadata!C899,12,1))&gt;=0,FALSE),IFERROR(INT(MID(metadata!C899,12,1))&lt;=2,FALSE),NOT(MID(metadata!C899,13,1)=""),IFERROR(INT(MID(metadata!C899,12,2))&gt;=0,FALSE),IFERROR(INT(MID(metadata!C899,12,2))&lt;=23,FALSE)), OR(MID(metadata!C899,14,1)="", AND(AND(MID(metadata!C899,14,1)=":",IFERROR(INT(MID(metadata!C899,15,1))&gt;=0,FALSE),IFERROR(INT(MID(metadata!C899,15,1))&lt;=5,FALSE),NOT(MID(metadata!C899,16,1)=""),IFERROR(INT(MID(metadata!C899,15,2))&gt;=0,FALSE),IFERROR(INT(MID(metadata!C899,15,2))&lt;=59,FALSE)), OR(MID(metadata!C899,17,1)="", AND(AND(MID(metadata!C899,17,1)=":",IFERROR(INT(MID(metadata!C899,18,1))&gt;=0,FALSE),IFERROR(INT(MID(metadata!C899,18,1))&lt;=5,FALSE),NOT(MID(metadata!C899,19,1)=""),IFERROR(INT(MID(metadata!C899,18,2))&gt;=0,FALSE),IFERROR(INT(MID(metadata!C899,18,2))&lt;=59,FALSE)), LEN(metadata!C899)&lt;=19)))))))))))))</f>
        <v>0</v>
      </c>
      <c r="AD899">
        <f>IF(metadata!D899="",FALSE,TRUE)</f>
        <v>0</v>
      </c>
      <c r="AE899">
        <f>OR(AND(IF(metadata!E899="",FALSE,TRUE),OR(exact(metadata!E899,"missing: not collected"),exact(metadata!E899,"missing: not provided"))),AND(IF(metadata!E899="",FALSE,TRUE),OR(exact(metadata!E899,"TRUE"),exact(metadata!E899,"FALSE"))))</f>
        <v>0</v>
      </c>
      <c r="AF899">
        <f>IF(metadata!F899="",FALSE,TRUE)</f>
        <v>0</v>
      </c>
      <c r="AG899">
        <f>IF(metadata!G899="",FALSE,TRUE)</f>
        <v>0</v>
      </c>
      <c r="AH899">
        <f>IF(metadata!H899="",FALSE,TRUE)</f>
        <v>0</v>
      </c>
      <c r="AI899">
        <f>OR(AND(IF(metadata!I899="",FALSE,TRUE),OR(exact(metadata!I899,"missing: not collected"),exact(metadata!I899,"missing: not provided"),exact(metadata!I899,"missing: restricted access"))),AND(IF(metadata!I899="",FALSE,TRUE),OR(exact(metadata!I899,"air"),exact(metadata!I899,"built environment"),exact(metadata!I899,"host-associated"),exact(metadata!I899,"human-associated"),exact(metadata!I899,"human-skin"),exact(metadata!I899,"human-oral"),exact(metadata!I899,"human-gut"),exact(metadata!I899,"human-vaginal"),exact(metadata!I899,"microbial mat/biofilm"),exact(metadata!I899,"misc environment"),exact(metadata!I899,"plant-associated"),exact(metadata!I899,"sediment"),exact(metadata!I899,"soil"),exact(metadata!I899,"wastewater/sludge"),exact(metadata!I899,"water"))))</f>
        <v>0</v>
      </c>
      <c r="AJ899">
        <f>IF(metadata!J899="",FALSE,TRUE)</f>
        <v>0</v>
      </c>
      <c r="AK899">
        <f>OR(AND(IF(metadata!K899="",FALSE,TRUE),OR(exact(metadata!K899,"missing: not collected"),exact(metadata!K899,"missing: not provided"),exact(metadata!K899,"missing: restricted access"))),AND(IF(metadata!K899="",FALSE,ISNUMBER(VALUE(metadata!K899))),metadata!K899&gt;=-90.00,metadata!K899&lt;=90.00))</f>
        <v>0</v>
      </c>
      <c r="AL899">
        <f>OR(AND(IF(metadata!L899="",FALSE,TRUE),OR(exact(metadata!L899,"missing: not collected"),exact(metadata!L899,"missing: not provided"),exact(metadata!L899,"missing: restricted access"))),AND(IF(metadata!L899="",FALSE,ISNUMBER(VALUE(metadata!L899))),metadata!L899&gt;=-180.00,metadata!L899&lt;=180.00))</f>
        <v>0</v>
      </c>
      <c r="AM899">
        <f>IF(metadata!M899="",FALSE,TRUE)</f>
        <v>0</v>
      </c>
      <c r="AN899">
        <f>OR(AND(IF(metadata!N899="",FALSE,TRUE),OR(exact(metadata!N899,"missing: not collected"),exact(metadata!N899,"missing: not provided"),exact(metadata!N899,"missing: restricted access"))),AND(IF(metadata!N899="",FALSE,TRUE),OR(exact(metadata!N899,"TRUE"),exact(metadata!N899,"FALSE"))))</f>
        <v>0</v>
      </c>
      <c r="AO899">
        <f>IF(metadata!O899="",FALSE,TRUE)</f>
        <v>0</v>
      </c>
      <c r="AP899">
        <f>OR(AND(IF(metadata!P899="",FALSE,TRUE),OR(exact(metadata!P899,"missing: not collected"),exact(metadata!P899,"missing: not provided"))),AND(IF(metadata!P899="",FALSE,IF(ISERROR(INT(metadata!P899)),FALSE,INT(metadata!P899)=metadata!P899)),metadata!P899&gt;0))</f>
        <v>0</v>
      </c>
      <c r="AQ899">
        <f>IF(metadata!Q899="",FALSE,TRUE)</f>
        <v>0</v>
      </c>
    </row>
    <row r="900" spans="1:43">
      <c r="A900" s="5">
        <f>IF(B900=" "," ",HYPERLINK(CONCATENATE("#metadata!",ADDRESS(INDEX($W$2:$W$1001,MATCH(ROWS($U$2:U900),$U$2:$U$1001,0),0),1)),INDEX($Z$2:$Z$1001,MATCH(ROWS($U$2:U900),$U$2:$U$1001,0),0)))</f>
        <v>0</v>
      </c>
      <c r="B900" s="4">
        <f>IF(OR(INDEX($V$2:$V$1001,MATCH(ROWS($U$2:U900),$U$2:$U$1001,0),1)&gt;=100000,INDEX($AB$1005:$AQ$1005,1,MATCH(COLUMNS($AB$1006:AB1006),$AB$1006:$AQ$1006,0))&gt;=100000), " ",IF(INDEX($AB$2:$AQ$1001,MATCH(ROWS($U$2:U900),$U$2:$U$1001,0),MATCH(COLUMNS($AB$1006:AB1006),$AB$1006:$AQ$1006,0)), HYPERLINK("#",""), HYPERLINK(CONCATENATE("#metadata!", ADDRESS(INDEX($W$2:$W$1001,MATCH(ROWS($U$2:U900),$U$2:$U$1001,0),0), INDEX($AB$1004:$AQ$1004,1,MATCH(COLUMNS($AB$1006:AB1006),$AB$1006:$AQ$1006,0)))),"Fix")))</f>
        <v>0</v>
      </c>
      <c r="C900" s="4">
        <f>IF(OR(INDEX($V$2:$V$1001,MATCH(ROWS($U$2:U900),$U$2:$U$1001,0),1)&gt;=100000,INDEX($AB$1005:$AQ$1005,1,MATCH(COLUMNS($AB$1006:AC1006),$AB$1006:$AQ$1006,0))&gt;=100000), " ",IF(INDEX($AB$2:$AQ$1001,MATCH(ROWS($U$2:U900),$U$2:$U$1001,0),MATCH(COLUMNS($AB$1006:AC1006),$AB$1006:$AQ$1006,0)), HYPERLINK("#",""), HYPERLINK(CONCATENATE("#metadata!", ADDRESS(INDEX($W$2:$W$1001,MATCH(ROWS($U$2:U900),$U$2:$U$1001,0),0), INDEX($AB$1004:$AQ$1004,1,MATCH(COLUMNS($AB$1006:AC1006),$AB$1006:$AQ$1006,0)))),"Fix")))</f>
        <v>0</v>
      </c>
      <c r="D900" s="4">
        <f>IF(OR(INDEX($V$2:$V$1001,MATCH(ROWS($U$2:U900),$U$2:$U$1001,0),1)&gt;=100000,INDEX($AB$1005:$AQ$1005,1,MATCH(COLUMNS($AB$1006:AD1006),$AB$1006:$AQ$1006,0))&gt;=100000), " ",IF(INDEX($AB$2:$AQ$1001,MATCH(ROWS($U$2:U900),$U$2:$U$1001,0),MATCH(COLUMNS($AB$1006:AD1006),$AB$1006:$AQ$1006,0)), HYPERLINK("#",""), HYPERLINK(CONCATENATE("#metadata!", ADDRESS(INDEX($W$2:$W$1001,MATCH(ROWS($U$2:U900),$U$2:$U$1001,0),0), INDEX($AB$1004:$AQ$1004,1,MATCH(COLUMNS($AB$1006:AD1006),$AB$1006:$AQ$1006,0)))),"Fix")))</f>
        <v>0</v>
      </c>
      <c r="E900" s="4">
        <f>IF(OR(INDEX($V$2:$V$1001,MATCH(ROWS($U$2:U900),$U$2:$U$1001,0),1)&gt;=100000,INDEX($AB$1005:$AQ$1005,1,MATCH(COLUMNS($AB$1006:AE1006),$AB$1006:$AQ$1006,0))&gt;=100000), " ",IF(INDEX($AB$2:$AQ$1001,MATCH(ROWS($U$2:U900),$U$2:$U$1001,0),MATCH(COLUMNS($AB$1006:AE1006),$AB$1006:$AQ$1006,0)), HYPERLINK("#",""), HYPERLINK(CONCATENATE("#metadata!", ADDRESS(INDEX($W$2:$W$1001,MATCH(ROWS($U$2:U900),$U$2:$U$1001,0),0), INDEX($AB$1004:$AQ$1004,1,MATCH(COLUMNS($AB$1006:AE1006),$AB$1006:$AQ$1006,0)))),"Fix")))</f>
        <v>0</v>
      </c>
      <c r="F900" s="4">
        <f>IF(OR(INDEX($V$2:$V$1001,MATCH(ROWS($U$2:U900),$U$2:$U$1001,0),1)&gt;=100000,INDEX($AB$1005:$AQ$1005,1,MATCH(COLUMNS($AB$1006:AF1006),$AB$1006:$AQ$1006,0))&gt;=100000), " ",IF(INDEX($AB$2:$AQ$1001,MATCH(ROWS($U$2:U900),$U$2:$U$1001,0),MATCH(COLUMNS($AB$1006:AF1006),$AB$1006:$AQ$1006,0)), HYPERLINK("#",""), HYPERLINK(CONCATENATE("#metadata!", ADDRESS(INDEX($W$2:$W$1001,MATCH(ROWS($U$2:U900),$U$2:$U$1001,0),0), INDEX($AB$1004:$AQ$1004,1,MATCH(COLUMNS($AB$1006:AF1006),$AB$1006:$AQ$1006,0)))),"Fix")))</f>
        <v>0</v>
      </c>
      <c r="G900" s="4">
        <f>IF(OR(INDEX($V$2:$V$1001,MATCH(ROWS($U$2:U900),$U$2:$U$1001,0),1)&gt;=100000,INDEX($AB$1005:$AQ$1005,1,MATCH(COLUMNS($AB$1006:AG1006),$AB$1006:$AQ$1006,0))&gt;=100000), " ",IF(INDEX($AB$2:$AQ$1001,MATCH(ROWS($U$2:U900),$U$2:$U$1001,0),MATCH(COLUMNS($AB$1006:AG1006),$AB$1006:$AQ$1006,0)), HYPERLINK("#",""), HYPERLINK(CONCATENATE("#metadata!", ADDRESS(INDEX($W$2:$W$1001,MATCH(ROWS($U$2:U900),$U$2:$U$1001,0),0), INDEX($AB$1004:$AQ$1004,1,MATCH(COLUMNS($AB$1006:AG1006),$AB$1006:$AQ$1006,0)))),"Fix")))</f>
        <v>0</v>
      </c>
      <c r="H900" s="4">
        <f>IF(OR(INDEX($V$2:$V$1001,MATCH(ROWS($U$2:U900),$U$2:$U$1001,0),1)&gt;=100000,INDEX($AB$1005:$AQ$1005,1,MATCH(COLUMNS($AB$1006:AH1006),$AB$1006:$AQ$1006,0))&gt;=100000), " ",IF(INDEX($AB$2:$AQ$1001,MATCH(ROWS($U$2:U900),$U$2:$U$1001,0),MATCH(COLUMNS($AB$1006:AH1006),$AB$1006:$AQ$1006,0)), HYPERLINK("#",""), HYPERLINK(CONCATENATE("#metadata!", ADDRESS(INDEX($W$2:$W$1001,MATCH(ROWS($U$2:U900),$U$2:$U$1001,0),0), INDEX($AB$1004:$AQ$1004,1,MATCH(COLUMNS($AB$1006:AH1006),$AB$1006:$AQ$1006,0)))),"Fix")))</f>
        <v>0</v>
      </c>
      <c r="I900" s="4">
        <f>IF(OR(INDEX($V$2:$V$1001,MATCH(ROWS($U$2:U900),$U$2:$U$1001,0),1)&gt;=100000,INDEX($AB$1005:$AQ$1005,1,MATCH(COLUMNS($AB$1006:AI1006),$AB$1006:$AQ$1006,0))&gt;=100000), " ",IF(INDEX($AB$2:$AQ$1001,MATCH(ROWS($U$2:U900),$U$2:$U$1001,0),MATCH(COLUMNS($AB$1006:AI1006),$AB$1006:$AQ$1006,0)), HYPERLINK("#",""), HYPERLINK(CONCATENATE("#metadata!", ADDRESS(INDEX($W$2:$W$1001,MATCH(ROWS($U$2:U900),$U$2:$U$1001,0),0), INDEX($AB$1004:$AQ$1004,1,MATCH(COLUMNS($AB$1006:AI1006),$AB$1006:$AQ$1006,0)))),"Fix")))</f>
        <v>0</v>
      </c>
      <c r="J900" s="4">
        <f>IF(OR(INDEX($V$2:$V$1001,MATCH(ROWS($U$2:U900),$U$2:$U$1001,0),1)&gt;=100000,INDEX($AB$1005:$AQ$1005,1,MATCH(COLUMNS($AB$1006:AJ1006),$AB$1006:$AQ$1006,0))&gt;=100000), " ",IF(INDEX($AB$2:$AQ$1001,MATCH(ROWS($U$2:U900),$U$2:$U$1001,0),MATCH(COLUMNS($AB$1006:AJ1006),$AB$1006:$AQ$1006,0)), HYPERLINK("#",""), HYPERLINK(CONCATENATE("#metadata!", ADDRESS(INDEX($W$2:$W$1001,MATCH(ROWS($U$2:U900),$U$2:$U$1001,0),0), INDEX($AB$1004:$AQ$1004,1,MATCH(COLUMNS($AB$1006:AJ1006),$AB$1006:$AQ$1006,0)))),"Fix")))</f>
        <v>0</v>
      </c>
      <c r="K900" s="4">
        <f>IF(OR(INDEX($V$2:$V$1001,MATCH(ROWS($U$2:U900),$U$2:$U$1001,0),1)&gt;=100000,INDEX($AB$1005:$AQ$1005,1,MATCH(COLUMNS($AB$1006:AK1006),$AB$1006:$AQ$1006,0))&gt;=100000), " ",IF(INDEX($AB$2:$AQ$1001,MATCH(ROWS($U$2:U900),$U$2:$U$1001,0),MATCH(COLUMNS($AB$1006:AK1006),$AB$1006:$AQ$1006,0)), HYPERLINK("#",""), HYPERLINK(CONCATENATE("#metadata!", ADDRESS(INDEX($W$2:$W$1001,MATCH(ROWS($U$2:U900),$U$2:$U$1001,0),0), INDEX($AB$1004:$AQ$1004,1,MATCH(COLUMNS($AB$1006:AK1006),$AB$1006:$AQ$1006,0)))),"Fix")))</f>
        <v>0</v>
      </c>
      <c r="L900" s="4">
        <f>IF(OR(INDEX($V$2:$V$1001,MATCH(ROWS($U$2:U900),$U$2:$U$1001,0),1)&gt;=100000,INDEX($AB$1005:$AQ$1005,1,MATCH(COLUMNS($AB$1006:AL1006),$AB$1006:$AQ$1006,0))&gt;=100000), " ",IF(INDEX($AB$2:$AQ$1001,MATCH(ROWS($U$2:U900),$U$2:$U$1001,0),MATCH(COLUMNS($AB$1006:AL1006),$AB$1006:$AQ$1006,0)), HYPERLINK("#",""), HYPERLINK(CONCATENATE("#metadata!", ADDRESS(INDEX($W$2:$W$1001,MATCH(ROWS($U$2:U900),$U$2:$U$1001,0),0), INDEX($AB$1004:$AQ$1004,1,MATCH(COLUMNS($AB$1006:AL1006),$AB$1006:$AQ$1006,0)))),"Fix")))</f>
        <v>0</v>
      </c>
      <c r="M900" s="4">
        <f>IF(OR(INDEX($V$2:$V$1001,MATCH(ROWS($U$2:U900),$U$2:$U$1001,0),1)&gt;=100000,INDEX($AB$1005:$AQ$1005,1,MATCH(COLUMNS($AB$1006:AM1006),$AB$1006:$AQ$1006,0))&gt;=100000), " ",IF(INDEX($AB$2:$AQ$1001,MATCH(ROWS($U$2:U900),$U$2:$U$1001,0),MATCH(COLUMNS($AB$1006:AM1006),$AB$1006:$AQ$1006,0)), HYPERLINK("#",""), HYPERLINK(CONCATENATE("#metadata!", ADDRESS(INDEX($W$2:$W$1001,MATCH(ROWS($U$2:U900),$U$2:$U$1001,0),0), INDEX($AB$1004:$AQ$1004,1,MATCH(COLUMNS($AB$1006:AM1006),$AB$1006:$AQ$1006,0)))),"Fix")))</f>
        <v>0</v>
      </c>
      <c r="N900" s="4">
        <f>IF(OR(INDEX($V$2:$V$1001,MATCH(ROWS($U$2:U900),$U$2:$U$1001,0),1)&gt;=100000,INDEX($AB$1005:$AQ$1005,1,MATCH(COLUMNS($AB$1006:AN1006),$AB$1006:$AQ$1006,0))&gt;=100000), " ",IF(INDEX($AB$2:$AQ$1001,MATCH(ROWS($U$2:U900),$U$2:$U$1001,0),MATCH(COLUMNS($AB$1006:AN1006),$AB$1006:$AQ$1006,0)), HYPERLINK("#",""), HYPERLINK(CONCATENATE("#metadata!", ADDRESS(INDEX($W$2:$W$1001,MATCH(ROWS($U$2:U900),$U$2:$U$1001,0),0), INDEX($AB$1004:$AQ$1004,1,MATCH(COLUMNS($AB$1006:AN1006),$AB$1006:$AQ$1006,0)))),"Fix")))</f>
        <v>0</v>
      </c>
      <c r="O900" s="4">
        <f>IF(OR(INDEX($V$2:$V$1001,MATCH(ROWS($U$2:U900),$U$2:$U$1001,0),1)&gt;=100000,INDEX($AB$1005:$AQ$1005,1,MATCH(COLUMNS($AB$1006:AO1006),$AB$1006:$AQ$1006,0))&gt;=100000), " ",IF(INDEX($AB$2:$AQ$1001,MATCH(ROWS($U$2:U900),$U$2:$U$1001,0),MATCH(COLUMNS($AB$1006:AO1006),$AB$1006:$AQ$1006,0)), HYPERLINK("#",""), HYPERLINK(CONCATENATE("#metadata!", ADDRESS(INDEX($W$2:$W$1001,MATCH(ROWS($U$2:U900),$U$2:$U$1001,0),0), INDEX($AB$1004:$AQ$1004,1,MATCH(COLUMNS($AB$1006:AO1006),$AB$1006:$AQ$1006,0)))),"Fix")))</f>
        <v>0</v>
      </c>
      <c r="P900" s="4">
        <f>IF(OR(INDEX($V$2:$V$1001,MATCH(ROWS($U$2:U900),$U$2:$U$1001,0),1)&gt;=100000,INDEX($AB$1005:$AQ$1005,1,MATCH(COLUMNS($AB$1006:AP1006),$AB$1006:$AQ$1006,0))&gt;=100000), " ",IF(INDEX($AB$2:$AQ$1001,MATCH(ROWS($U$2:U900),$U$2:$U$1001,0),MATCH(COLUMNS($AB$1006:AP1006),$AB$1006:$AQ$1006,0)), HYPERLINK("#",""), HYPERLINK(CONCATENATE("#metadata!", ADDRESS(INDEX($W$2:$W$1001,MATCH(ROWS($U$2:U900),$U$2:$U$1001,0),0), INDEX($AB$1004:$AQ$1004,1,MATCH(COLUMNS($AB$1006:AP1006),$AB$1006:$AQ$1006,0)))),"Fix")))</f>
        <v>0</v>
      </c>
      <c r="Q900" s="4">
        <f>IF(OR(INDEX($V$2:$V$1001,MATCH(ROWS($U$2:U900),$U$2:$U$1001,0),1)&gt;=100000,INDEX($AB$1005:$AQ$1005,1,MATCH(COLUMNS($AB$1006:AQ1006),$AB$1006:$AQ$1006,0))&gt;=100000), " ",IF(INDEX($AB$2:$AQ$1001,MATCH(ROWS($U$2:U900),$U$2:$U$1001,0),MATCH(COLUMNS($AB$1006:AQ1006),$AB$1006:$AQ$1006,0)), HYPERLINK("#",""), HYPERLINK(CONCATENATE("#metadata!", ADDRESS(INDEX($W$2:$W$1001,MATCH(ROWS($U$2:U900),$U$2:$U$1001,0),0), INDEX($AB$1004:$AQ$1004,1,MATCH(COLUMNS($AB$1006:AQ1006),$AB$1006:$AQ$1006,0)))),"Fix")))</f>
        <v>0</v>
      </c>
      <c r="U900">
        <v>0</v>
      </c>
      <c r="V900">
        <v>0</v>
      </c>
      <c r="W900">
        <v>0</v>
      </c>
      <c r="X900">
        <f>IF(Y900,TRUE,AND(AB900:AQ900))</f>
        <v>0</v>
      </c>
      <c r="Y900">
        <f>COUNTBLANK(metadata!B900:Q900)=COLUMNS(metadata!B900:Q900)</f>
        <v>0</v>
      </c>
      <c r="Z900">
        <v>0</v>
      </c>
      <c r="AB900">
        <f>AND(IF(metadata!B900="",FALSE,TRUE),COUNTIF(metadata!B:B, metadata!B900) = 1,NOT(ISERROR(SUMPRODUCT(SEARCH(MID(metadata!B900,ROW(INDIRECT("1:"&amp;LEN(metadata!B900))), 1),"0123456789abcdefghijklmnopqrstuvwxyzABCDEFGHIJKLMNOPQRSTUVWXYZ.")))))</f>
        <v>0</v>
      </c>
      <c r="AC900">
        <f>OR(AND(IF(metadata!C900="",FALSE,TRUE),OR(exact(metadata!C900,"missing: not collected"),exact(metadata!C900,"missing: not provided"),exact(metadata!C900,"missing: restricted access"))),AND(IF(metadata!C900="",FALSE,TRUE),AND(AND(IFERROR(INT(LEFT(metadata!C900,4))&gt;1900,FALSE),IFERROR(INT(LEFT(metadata!C900,4))&lt;=YEAR(NOW()),FALSE)), OR(MID(metadata!C900,5,1)="", AND(AND(MID(metadata!C900,5,1)="-",IFERROR(INT(MID(metadata!C900,6,1))&gt;=0,FALSE),IFERROR(INT(MID(metadata!C900,6,1))&lt;=1,FALSE),NOT(MID(metadata!C900,7,1)=""),IFERROR(INT(MID(metadata!C900,6,2))&gt;=1,FALSE),IFERROR(INT(MID(metadata!C900,6,2))&lt;=12,FALSE)), OR(MID(metadata!C900,8,1)="", AND(AND(MID(metadata!C900,8,1)="-",IFERROR(INT(MID(metadata!C900,9,1))&gt;=0,FALSE),IFERROR(INT(MID(metadata!C900,9,1))&lt;=3,FALSE),NOT(MID(metadata!C900,10,1)=""),IFERROR(INT(MID(metadata!C900,9,2))&gt;=1,FALSE),IFERROR(INT(MID(metadata!C900,9,2))&lt;=31,FALSE)), OR(MID(metadata!C900,11,1)="", AND(AND(MID(metadata!C900,11,1)=" ",IFERROR(INT(MID(metadata!C900,12,1))&gt;=0,FALSE),IFERROR(INT(MID(metadata!C900,12,1))&lt;=2,FALSE),NOT(MID(metadata!C900,13,1)=""),IFERROR(INT(MID(metadata!C900,12,2))&gt;=0,FALSE),IFERROR(INT(MID(metadata!C900,12,2))&lt;=23,FALSE)), OR(MID(metadata!C900,14,1)="", AND(AND(MID(metadata!C900,14,1)=":",IFERROR(INT(MID(metadata!C900,15,1))&gt;=0,FALSE),IFERROR(INT(MID(metadata!C900,15,1))&lt;=5,FALSE),NOT(MID(metadata!C900,16,1)=""),IFERROR(INT(MID(metadata!C900,15,2))&gt;=0,FALSE),IFERROR(INT(MID(metadata!C900,15,2))&lt;=59,FALSE)), OR(MID(metadata!C900,17,1)="", AND(AND(MID(metadata!C900,17,1)=":",IFERROR(INT(MID(metadata!C900,18,1))&gt;=0,FALSE),IFERROR(INT(MID(metadata!C900,18,1))&lt;=5,FALSE),NOT(MID(metadata!C900,19,1)=""),IFERROR(INT(MID(metadata!C900,18,2))&gt;=0,FALSE),IFERROR(INT(MID(metadata!C900,18,2))&lt;=59,FALSE)), LEN(metadata!C900)&lt;=19)))))))))))))</f>
        <v>0</v>
      </c>
      <c r="AD900">
        <f>IF(metadata!D900="",FALSE,TRUE)</f>
        <v>0</v>
      </c>
      <c r="AE900">
        <f>OR(AND(IF(metadata!E900="",FALSE,TRUE),OR(exact(metadata!E900,"missing: not collected"),exact(metadata!E900,"missing: not provided"))),AND(IF(metadata!E900="",FALSE,TRUE),OR(exact(metadata!E900,"TRUE"),exact(metadata!E900,"FALSE"))))</f>
        <v>0</v>
      </c>
      <c r="AF900">
        <f>IF(metadata!F900="",FALSE,TRUE)</f>
        <v>0</v>
      </c>
      <c r="AG900">
        <f>IF(metadata!G900="",FALSE,TRUE)</f>
        <v>0</v>
      </c>
      <c r="AH900">
        <f>IF(metadata!H900="",FALSE,TRUE)</f>
        <v>0</v>
      </c>
      <c r="AI900">
        <f>OR(AND(IF(metadata!I900="",FALSE,TRUE),OR(exact(metadata!I900,"missing: not collected"),exact(metadata!I900,"missing: not provided"),exact(metadata!I900,"missing: restricted access"))),AND(IF(metadata!I900="",FALSE,TRUE),OR(exact(metadata!I900,"air"),exact(metadata!I900,"built environment"),exact(metadata!I900,"host-associated"),exact(metadata!I900,"human-associated"),exact(metadata!I900,"human-skin"),exact(metadata!I900,"human-oral"),exact(metadata!I900,"human-gut"),exact(metadata!I900,"human-vaginal"),exact(metadata!I900,"microbial mat/biofilm"),exact(metadata!I900,"misc environment"),exact(metadata!I900,"plant-associated"),exact(metadata!I900,"sediment"),exact(metadata!I900,"soil"),exact(metadata!I900,"wastewater/sludge"),exact(metadata!I900,"water"))))</f>
        <v>0</v>
      </c>
      <c r="AJ900">
        <f>IF(metadata!J900="",FALSE,TRUE)</f>
        <v>0</v>
      </c>
      <c r="AK900">
        <f>OR(AND(IF(metadata!K900="",FALSE,TRUE),OR(exact(metadata!K900,"missing: not collected"),exact(metadata!K900,"missing: not provided"),exact(metadata!K900,"missing: restricted access"))),AND(IF(metadata!K900="",FALSE,ISNUMBER(VALUE(metadata!K900))),metadata!K900&gt;=-90.00,metadata!K900&lt;=90.00))</f>
        <v>0</v>
      </c>
      <c r="AL900">
        <f>OR(AND(IF(metadata!L900="",FALSE,TRUE),OR(exact(metadata!L900,"missing: not collected"),exact(metadata!L900,"missing: not provided"),exact(metadata!L900,"missing: restricted access"))),AND(IF(metadata!L900="",FALSE,ISNUMBER(VALUE(metadata!L900))),metadata!L900&gt;=-180.00,metadata!L900&lt;=180.00))</f>
        <v>0</v>
      </c>
      <c r="AM900">
        <f>IF(metadata!M900="",FALSE,TRUE)</f>
        <v>0</v>
      </c>
      <c r="AN900">
        <f>OR(AND(IF(metadata!N900="",FALSE,TRUE),OR(exact(metadata!N900,"missing: not collected"),exact(metadata!N900,"missing: not provided"),exact(metadata!N900,"missing: restricted access"))),AND(IF(metadata!N900="",FALSE,TRUE),OR(exact(metadata!N900,"TRUE"),exact(metadata!N900,"FALSE"))))</f>
        <v>0</v>
      </c>
      <c r="AO900">
        <f>IF(metadata!O900="",FALSE,TRUE)</f>
        <v>0</v>
      </c>
      <c r="AP900">
        <f>OR(AND(IF(metadata!P900="",FALSE,TRUE),OR(exact(metadata!P900,"missing: not collected"),exact(metadata!P900,"missing: not provided"))),AND(IF(metadata!P900="",FALSE,IF(ISERROR(INT(metadata!P900)),FALSE,INT(metadata!P900)=metadata!P900)),metadata!P900&gt;0))</f>
        <v>0</v>
      </c>
      <c r="AQ900">
        <f>IF(metadata!Q900="",FALSE,TRUE)</f>
        <v>0</v>
      </c>
    </row>
    <row r="901" spans="1:43">
      <c r="A901" s="5">
        <f>IF(B901=" "," ",HYPERLINK(CONCATENATE("#metadata!",ADDRESS(INDEX($W$2:$W$1001,MATCH(ROWS($U$2:U901),$U$2:$U$1001,0),0),1)),INDEX($Z$2:$Z$1001,MATCH(ROWS($U$2:U901),$U$2:$U$1001,0),0)))</f>
        <v>0</v>
      </c>
      <c r="B901" s="4">
        <f>IF(OR(INDEX($V$2:$V$1001,MATCH(ROWS($U$2:U901),$U$2:$U$1001,0),1)&gt;=100000,INDEX($AB$1005:$AQ$1005,1,MATCH(COLUMNS($AB$1006:AB1006),$AB$1006:$AQ$1006,0))&gt;=100000), " ",IF(INDEX($AB$2:$AQ$1001,MATCH(ROWS($U$2:U901),$U$2:$U$1001,0),MATCH(COLUMNS($AB$1006:AB1006),$AB$1006:$AQ$1006,0)), HYPERLINK("#",""), HYPERLINK(CONCATENATE("#metadata!", ADDRESS(INDEX($W$2:$W$1001,MATCH(ROWS($U$2:U901),$U$2:$U$1001,0),0), INDEX($AB$1004:$AQ$1004,1,MATCH(COLUMNS($AB$1006:AB1006),$AB$1006:$AQ$1006,0)))),"Fix")))</f>
        <v>0</v>
      </c>
      <c r="C901" s="4">
        <f>IF(OR(INDEX($V$2:$V$1001,MATCH(ROWS($U$2:U901),$U$2:$U$1001,0),1)&gt;=100000,INDEX($AB$1005:$AQ$1005,1,MATCH(COLUMNS($AB$1006:AC1006),$AB$1006:$AQ$1006,0))&gt;=100000), " ",IF(INDEX($AB$2:$AQ$1001,MATCH(ROWS($U$2:U901),$U$2:$U$1001,0),MATCH(COLUMNS($AB$1006:AC1006),$AB$1006:$AQ$1006,0)), HYPERLINK("#",""), HYPERLINK(CONCATENATE("#metadata!", ADDRESS(INDEX($W$2:$W$1001,MATCH(ROWS($U$2:U901),$U$2:$U$1001,0),0), INDEX($AB$1004:$AQ$1004,1,MATCH(COLUMNS($AB$1006:AC1006),$AB$1006:$AQ$1006,0)))),"Fix")))</f>
        <v>0</v>
      </c>
      <c r="D901" s="4">
        <f>IF(OR(INDEX($V$2:$V$1001,MATCH(ROWS($U$2:U901),$U$2:$U$1001,0),1)&gt;=100000,INDEX($AB$1005:$AQ$1005,1,MATCH(COLUMNS($AB$1006:AD1006),$AB$1006:$AQ$1006,0))&gt;=100000), " ",IF(INDEX($AB$2:$AQ$1001,MATCH(ROWS($U$2:U901),$U$2:$U$1001,0),MATCH(COLUMNS($AB$1006:AD1006),$AB$1006:$AQ$1006,0)), HYPERLINK("#",""), HYPERLINK(CONCATENATE("#metadata!", ADDRESS(INDEX($W$2:$W$1001,MATCH(ROWS($U$2:U901),$U$2:$U$1001,0),0), INDEX($AB$1004:$AQ$1004,1,MATCH(COLUMNS($AB$1006:AD1006),$AB$1006:$AQ$1006,0)))),"Fix")))</f>
        <v>0</v>
      </c>
      <c r="E901" s="4">
        <f>IF(OR(INDEX($V$2:$V$1001,MATCH(ROWS($U$2:U901),$U$2:$U$1001,0),1)&gt;=100000,INDEX($AB$1005:$AQ$1005,1,MATCH(COLUMNS($AB$1006:AE1006),$AB$1006:$AQ$1006,0))&gt;=100000), " ",IF(INDEX($AB$2:$AQ$1001,MATCH(ROWS($U$2:U901),$U$2:$U$1001,0),MATCH(COLUMNS($AB$1006:AE1006),$AB$1006:$AQ$1006,0)), HYPERLINK("#",""), HYPERLINK(CONCATENATE("#metadata!", ADDRESS(INDEX($W$2:$W$1001,MATCH(ROWS($U$2:U901),$U$2:$U$1001,0),0), INDEX($AB$1004:$AQ$1004,1,MATCH(COLUMNS($AB$1006:AE1006),$AB$1006:$AQ$1006,0)))),"Fix")))</f>
        <v>0</v>
      </c>
      <c r="F901" s="4">
        <f>IF(OR(INDEX($V$2:$V$1001,MATCH(ROWS($U$2:U901),$U$2:$U$1001,0),1)&gt;=100000,INDEX($AB$1005:$AQ$1005,1,MATCH(COLUMNS($AB$1006:AF1006),$AB$1006:$AQ$1006,0))&gt;=100000), " ",IF(INDEX($AB$2:$AQ$1001,MATCH(ROWS($U$2:U901),$U$2:$U$1001,0),MATCH(COLUMNS($AB$1006:AF1006),$AB$1006:$AQ$1006,0)), HYPERLINK("#",""), HYPERLINK(CONCATENATE("#metadata!", ADDRESS(INDEX($W$2:$W$1001,MATCH(ROWS($U$2:U901),$U$2:$U$1001,0),0), INDEX($AB$1004:$AQ$1004,1,MATCH(COLUMNS($AB$1006:AF1006),$AB$1006:$AQ$1006,0)))),"Fix")))</f>
        <v>0</v>
      </c>
      <c r="G901" s="4">
        <f>IF(OR(INDEX($V$2:$V$1001,MATCH(ROWS($U$2:U901),$U$2:$U$1001,0),1)&gt;=100000,INDEX($AB$1005:$AQ$1005,1,MATCH(COLUMNS($AB$1006:AG1006),$AB$1006:$AQ$1006,0))&gt;=100000), " ",IF(INDEX($AB$2:$AQ$1001,MATCH(ROWS($U$2:U901),$U$2:$U$1001,0),MATCH(COLUMNS($AB$1006:AG1006),$AB$1006:$AQ$1006,0)), HYPERLINK("#",""), HYPERLINK(CONCATENATE("#metadata!", ADDRESS(INDEX($W$2:$W$1001,MATCH(ROWS($U$2:U901),$U$2:$U$1001,0),0), INDEX($AB$1004:$AQ$1004,1,MATCH(COLUMNS($AB$1006:AG1006),$AB$1006:$AQ$1006,0)))),"Fix")))</f>
        <v>0</v>
      </c>
      <c r="H901" s="4">
        <f>IF(OR(INDEX($V$2:$V$1001,MATCH(ROWS($U$2:U901),$U$2:$U$1001,0),1)&gt;=100000,INDEX($AB$1005:$AQ$1005,1,MATCH(COLUMNS($AB$1006:AH1006),$AB$1006:$AQ$1006,0))&gt;=100000), " ",IF(INDEX($AB$2:$AQ$1001,MATCH(ROWS($U$2:U901),$U$2:$U$1001,0),MATCH(COLUMNS($AB$1006:AH1006),$AB$1006:$AQ$1006,0)), HYPERLINK("#",""), HYPERLINK(CONCATENATE("#metadata!", ADDRESS(INDEX($W$2:$W$1001,MATCH(ROWS($U$2:U901),$U$2:$U$1001,0),0), INDEX($AB$1004:$AQ$1004,1,MATCH(COLUMNS($AB$1006:AH1006),$AB$1006:$AQ$1006,0)))),"Fix")))</f>
        <v>0</v>
      </c>
      <c r="I901" s="4">
        <f>IF(OR(INDEX($V$2:$V$1001,MATCH(ROWS($U$2:U901),$U$2:$U$1001,0),1)&gt;=100000,INDEX($AB$1005:$AQ$1005,1,MATCH(COLUMNS($AB$1006:AI1006),$AB$1006:$AQ$1006,0))&gt;=100000), " ",IF(INDEX($AB$2:$AQ$1001,MATCH(ROWS($U$2:U901),$U$2:$U$1001,0),MATCH(COLUMNS($AB$1006:AI1006),$AB$1006:$AQ$1006,0)), HYPERLINK("#",""), HYPERLINK(CONCATENATE("#metadata!", ADDRESS(INDEX($W$2:$W$1001,MATCH(ROWS($U$2:U901),$U$2:$U$1001,0),0), INDEX($AB$1004:$AQ$1004,1,MATCH(COLUMNS($AB$1006:AI1006),$AB$1006:$AQ$1006,0)))),"Fix")))</f>
        <v>0</v>
      </c>
      <c r="J901" s="4">
        <f>IF(OR(INDEX($V$2:$V$1001,MATCH(ROWS($U$2:U901),$U$2:$U$1001,0),1)&gt;=100000,INDEX($AB$1005:$AQ$1005,1,MATCH(COLUMNS($AB$1006:AJ1006),$AB$1006:$AQ$1006,0))&gt;=100000), " ",IF(INDEX($AB$2:$AQ$1001,MATCH(ROWS($U$2:U901),$U$2:$U$1001,0),MATCH(COLUMNS($AB$1006:AJ1006),$AB$1006:$AQ$1006,0)), HYPERLINK("#",""), HYPERLINK(CONCATENATE("#metadata!", ADDRESS(INDEX($W$2:$W$1001,MATCH(ROWS($U$2:U901),$U$2:$U$1001,0),0), INDEX($AB$1004:$AQ$1004,1,MATCH(COLUMNS($AB$1006:AJ1006),$AB$1006:$AQ$1006,0)))),"Fix")))</f>
        <v>0</v>
      </c>
      <c r="K901" s="4">
        <f>IF(OR(INDEX($V$2:$V$1001,MATCH(ROWS($U$2:U901),$U$2:$U$1001,0),1)&gt;=100000,INDEX($AB$1005:$AQ$1005,1,MATCH(COLUMNS($AB$1006:AK1006),$AB$1006:$AQ$1006,0))&gt;=100000), " ",IF(INDEX($AB$2:$AQ$1001,MATCH(ROWS($U$2:U901),$U$2:$U$1001,0),MATCH(COLUMNS($AB$1006:AK1006),$AB$1006:$AQ$1006,0)), HYPERLINK("#",""), HYPERLINK(CONCATENATE("#metadata!", ADDRESS(INDEX($W$2:$W$1001,MATCH(ROWS($U$2:U901),$U$2:$U$1001,0),0), INDEX($AB$1004:$AQ$1004,1,MATCH(COLUMNS($AB$1006:AK1006),$AB$1006:$AQ$1006,0)))),"Fix")))</f>
        <v>0</v>
      </c>
      <c r="L901" s="4">
        <f>IF(OR(INDEX($V$2:$V$1001,MATCH(ROWS($U$2:U901),$U$2:$U$1001,0),1)&gt;=100000,INDEX($AB$1005:$AQ$1005,1,MATCH(COLUMNS($AB$1006:AL1006),$AB$1006:$AQ$1006,0))&gt;=100000), " ",IF(INDEX($AB$2:$AQ$1001,MATCH(ROWS($U$2:U901),$U$2:$U$1001,0),MATCH(COLUMNS($AB$1006:AL1006),$AB$1006:$AQ$1006,0)), HYPERLINK("#",""), HYPERLINK(CONCATENATE("#metadata!", ADDRESS(INDEX($W$2:$W$1001,MATCH(ROWS($U$2:U901),$U$2:$U$1001,0),0), INDEX($AB$1004:$AQ$1004,1,MATCH(COLUMNS($AB$1006:AL1006),$AB$1006:$AQ$1006,0)))),"Fix")))</f>
        <v>0</v>
      </c>
      <c r="M901" s="4">
        <f>IF(OR(INDEX($V$2:$V$1001,MATCH(ROWS($U$2:U901),$U$2:$U$1001,0),1)&gt;=100000,INDEX($AB$1005:$AQ$1005,1,MATCH(COLUMNS($AB$1006:AM1006),$AB$1006:$AQ$1006,0))&gt;=100000), " ",IF(INDEX($AB$2:$AQ$1001,MATCH(ROWS($U$2:U901),$U$2:$U$1001,0),MATCH(COLUMNS($AB$1006:AM1006),$AB$1006:$AQ$1006,0)), HYPERLINK("#",""), HYPERLINK(CONCATENATE("#metadata!", ADDRESS(INDEX($W$2:$W$1001,MATCH(ROWS($U$2:U901),$U$2:$U$1001,0),0), INDEX($AB$1004:$AQ$1004,1,MATCH(COLUMNS($AB$1006:AM1006),$AB$1006:$AQ$1006,0)))),"Fix")))</f>
        <v>0</v>
      </c>
      <c r="N901" s="4">
        <f>IF(OR(INDEX($V$2:$V$1001,MATCH(ROWS($U$2:U901),$U$2:$U$1001,0),1)&gt;=100000,INDEX($AB$1005:$AQ$1005,1,MATCH(COLUMNS($AB$1006:AN1006),$AB$1006:$AQ$1006,0))&gt;=100000), " ",IF(INDEX($AB$2:$AQ$1001,MATCH(ROWS($U$2:U901),$U$2:$U$1001,0),MATCH(COLUMNS($AB$1006:AN1006),$AB$1006:$AQ$1006,0)), HYPERLINK("#",""), HYPERLINK(CONCATENATE("#metadata!", ADDRESS(INDEX($W$2:$W$1001,MATCH(ROWS($U$2:U901),$U$2:$U$1001,0),0), INDEX($AB$1004:$AQ$1004,1,MATCH(COLUMNS($AB$1006:AN1006),$AB$1006:$AQ$1006,0)))),"Fix")))</f>
        <v>0</v>
      </c>
      <c r="O901" s="4">
        <f>IF(OR(INDEX($V$2:$V$1001,MATCH(ROWS($U$2:U901),$U$2:$U$1001,0),1)&gt;=100000,INDEX($AB$1005:$AQ$1005,1,MATCH(COLUMNS($AB$1006:AO1006),$AB$1006:$AQ$1006,0))&gt;=100000), " ",IF(INDEX($AB$2:$AQ$1001,MATCH(ROWS($U$2:U901),$U$2:$U$1001,0),MATCH(COLUMNS($AB$1006:AO1006),$AB$1006:$AQ$1006,0)), HYPERLINK("#",""), HYPERLINK(CONCATENATE("#metadata!", ADDRESS(INDEX($W$2:$W$1001,MATCH(ROWS($U$2:U901),$U$2:$U$1001,0),0), INDEX($AB$1004:$AQ$1004,1,MATCH(COLUMNS($AB$1006:AO1006),$AB$1006:$AQ$1006,0)))),"Fix")))</f>
        <v>0</v>
      </c>
      <c r="P901" s="4">
        <f>IF(OR(INDEX($V$2:$V$1001,MATCH(ROWS($U$2:U901),$U$2:$U$1001,0),1)&gt;=100000,INDEX($AB$1005:$AQ$1005,1,MATCH(COLUMNS($AB$1006:AP1006),$AB$1006:$AQ$1006,0))&gt;=100000), " ",IF(INDEX($AB$2:$AQ$1001,MATCH(ROWS($U$2:U901),$U$2:$U$1001,0),MATCH(COLUMNS($AB$1006:AP1006),$AB$1006:$AQ$1006,0)), HYPERLINK("#",""), HYPERLINK(CONCATENATE("#metadata!", ADDRESS(INDEX($W$2:$W$1001,MATCH(ROWS($U$2:U901),$U$2:$U$1001,0),0), INDEX($AB$1004:$AQ$1004,1,MATCH(COLUMNS($AB$1006:AP1006),$AB$1006:$AQ$1006,0)))),"Fix")))</f>
        <v>0</v>
      </c>
      <c r="Q901" s="4">
        <f>IF(OR(INDEX($V$2:$V$1001,MATCH(ROWS($U$2:U901),$U$2:$U$1001,0),1)&gt;=100000,INDEX($AB$1005:$AQ$1005,1,MATCH(COLUMNS($AB$1006:AQ1006),$AB$1006:$AQ$1006,0))&gt;=100000), " ",IF(INDEX($AB$2:$AQ$1001,MATCH(ROWS($U$2:U901),$U$2:$U$1001,0),MATCH(COLUMNS($AB$1006:AQ1006),$AB$1006:$AQ$1006,0)), HYPERLINK("#",""), HYPERLINK(CONCATENATE("#metadata!", ADDRESS(INDEX($W$2:$W$1001,MATCH(ROWS($U$2:U901),$U$2:$U$1001,0),0), INDEX($AB$1004:$AQ$1004,1,MATCH(COLUMNS($AB$1006:AQ1006),$AB$1006:$AQ$1006,0)))),"Fix")))</f>
        <v>0</v>
      </c>
      <c r="U901">
        <v>0</v>
      </c>
      <c r="V901">
        <v>0</v>
      </c>
      <c r="W901">
        <v>0</v>
      </c>
      <c r="X901">
        <f>IF(Y901,TRUE,AND(AB901:AQ901))</f>
        <v>0</v>
      </c>
      <c r="Y901">
        <f>COUNTBLANK(metadata!B901:Q901)=COLUMNS(metadata!B901:Q901)</f>
        <v>0</v>
      </c>
      <c r="Z901">
        <v>0</v>
      </c>
      <c r="AB901">
        <f>AND(IF(metadata!B901="",FALSE,TRUE),COUNTIF(metadata!B:B, metadata!B901) = 1,NOT(ISERROR(SUMPRODUCT(SEARCH(MID(metadata!B901,ROW(INDIRECT("1:"&amp;LEN(metadata!B901))), 1),"0123456789abcdefghijklmnopqrstuvwxyzABCDEFGHIJKLMNOPQRSTUVWXYZ.")))))</f>
        <v>0</v>
      </c>
      <c r="AC901">
        <f>OR(AND(IF(metadata!C901="",FALSE,TRUE),OR(exact(metadata!C901,"missing: not collected"),exact(metadata!C901,"missing: not provided"),exact(metadata!C901,"missing: restricted access"))),AND(IF(metadata!C901="",FALSE,TRUE),AND(AND(IFERROR(INT(LEFT(metadata!C901,4))&gt;1900,FALSE),IFERROR(INT(LEFT(metadata!C901,4))&lt;=YEAR(NOW()),FALSE)), OR(MID(metadata!C901,5,1)="", AND(AND(MID(metadata!C901,5,1)="-",IFERROR(INT(MID(metadata!C901,6,1))&gt;=0,FALSE),IFERROR(INT(MID(metadata!C901,6,1))&lt;=1,FALSE),NOT(MID(metadata!C901,7,1)=""),IFERROR(INT(MID(metadata!C901,6,2))&gt;=1,FALSE),IFERROR(INT(MID(metadata!C901,6,2))&lt;=12,FALSE)), OR(MID(metadata!C901,8,1)="", AND(AND(MID(metadata!C901,8,1)="-",IFERROR(INT(MID(metadata!C901,9,1))&gt;=0,FALSE),IFERROR(INT(MID(metadata!C901,9,1))&lt;=3,FALSE),NOT(MID(metadata!C901,10,1)=""),IFERROR(INT(MID(metadata!C901,9,2))&gt;=1,FALSE),IFERROR(INT(MID(metadata!C901,9,2))&lt;=31,FALSE)), OR(MID(metadata!C901,11,1)="", AND(AND(MID(metadata!C901,11,1)=" ",IFERROR(INT(MID(metadata!C901,12,1))&gt;=0,FALSE),IFERROR(INT(MID(metadata!C901,12,1))&lt;=2,FALSE),NOT(MID(metadata!C901,13,1)=""),IFERROR(INT(MID(metadata!C901,12,2))&gt;=0,FALSE),IFERROR(INT(MID(metadata!C901,12,2))&lt;=23,FALSE)), OR(MID(metadata!C901,14,1)="", AND(AND(MID(metadata!C901,14,1)=":",IFERROR(INT(MID(metadata!C901,15,1))&gt;=0,FALSE),IFERROR(INT(MID(metadata!C901,15,1))&lt;=5,FALSE),NOT(MID(metadata!C901,16,1)=""),IFERROR(INT(MID(metadata!C901,15,2))&gt;=0,FALSE),IFERROR(INT(MID(metadata!C901,15,2))&lt;=59,FALSE)), OR(MID(metadata!C901,17,1)="", AND(AND(MID(metadata!C901,17,1)=":",IFERROR(INT(MID(metadata!C901,18,1))&gt;=0,FALSE),IFERROR(INT(MID(metadata!C901,18,1))&lt;=5,FALSE),NOT(MID(metadata!C901,19,1)=""),IFERROR(INT(MID(metadata!C901,18,2))&gt;=0,FALSE),IFERROR(INT(MID(metadata!C901,18,2))&lt;=59,FALSE)), LEN(metadata!C901)&lt;=19)))))))))))))</f>
        <v>0</v>
      </c>
      <c r="AD901">
        <f>IF(metadata!D901="",FALSE,TRUE)</f>
        <v>0</v>
      </c>
      <c r="AE901">
        <f>OR(AND(IF(metadata!E901="",FALSE,TRUE),OR(exact(metadata!E901,"missing: not collected"),exact(metadata!E901,"missing: not provided"))),AND(IF(metadata!E901="",FALSE,TRUE),OR(exact(metadata!E901,"TRUE"),exact(metadata!E901,"FALSE"))))</f>
        <v>0</v>
      </c>
      <c r="AF901">
        <f>IF(metadata!F901="",FALSE,TRUE)</f>
        <v>0</v>
      </c>
      <c r="AG901">
        <f>IF(metadata!G901="",FALSE,TRUE)</f>
        <v>0</v>
      </c>
      <c r="AH901">
        <f>IF(metadata!H901="",FALSE,TRUE)</f>
        <v>0</v>
      </c>
      <c r="AI901">
        <f>OR(AND(IF(metadata!I901="",FALSE,TRUE),OR(exact(metadata!I901,"missing: not collected"),exact(metadata!I901,"missing: not provided"),exact(metadata!I901,"missing: restricted access"))),AND(IF(metadata!I901="",FALSE,TRUE),OR(exact(metadata!I901,"air"),exact(metadata!I901,"built environment"),exact(metadata!I901,"host-associated"),exact(metadata!I901,"human-associated"),exact(metadata!I901,"human-skin"),exact(metadata!I901,"human-oral"),exact(metadata!I901,"human-gut"),exact(metadata!I901,"human-vaginal"),exact(metadata!I901,"microbial mat/biofilm"),exact(metadata!I901,"misc environment"),exact(metadata!I901,"plant-associated"),exact(metadata!I901,"sediment"),exact(metadata!I901,"soil"),exact(metadata!I901,"wastewater/sludge"),exact(metadata!I901,"water"))))</f>
        <v>0</v>
      </c>
      <c r="AJ901">
        <f>IF(metadata!J901="",FALSE,TRUE)</f>
        <v>0</v>
      </c>
      <c r="AK901">
        <f>OR(AND(IF(metadata!K901="",FALSE,TRUE),OR(exact(metadata!K901,"missing: not collected"),exact(metadata!K901,"missing: not provided"),exact(metadata!K901,"missing: restricted access"))),AND(IF(metadata!K901="",FALSE,ISNUMBER(VALUE(metadata!K901))),metadata!K901&gt;=-90.00,metadata!K901&lt;=90.00))</f>
        <v>0</v>
      </c>
      <c r="AL901">
        <f>OR(AND(IF(metadata!L901="",FALSE,TRUE),OR(exact(metadata!L901,"missing: not collected"),exact(metadata!L901,"missing: not provided"),exact(metadata!L901,"missing: restricted access"))),AND(IF(metadata!L901="",FALSE,ISNUMBER(VALUE(metadata!L901))),metadata!L901&gt;=-180.00,metadata!L901&lt;=180.00))</f>
        <v>0</v>
      </c>
      <c r="AM901">
        <f>IF(metadata!M901="",FALSE,TRUE)</f>
        <v>0</v>
      </c>
      <c r="AN901">
        <f>OR(AND(IF(metadata!N901="",FALSE,TRUE),OR(exact(metadata!N901,"missing: not collected"),exact(metadata!N901,"missing: not provided"),exact(metadata!N901,"missing: restricted access"))),AND(IF(metadata!N901="",FALSE,TRUE),OR(exact(metadata!N901,"TRUE"),exact(metadata!N901,"FALSE"))))</f>
        <v>0</v>
      </c>
      <c r="AO901">
        <f>IF(metadata!O901="",FALSE,TRUE)</f>
        <v>0</v>
      </c>
      <c r="AP901">
        <f>OR(AND(IF(metadata!P901="",FALSE,TRUE),OR(exact(metadata!P901,"missing: not collected"),exact(metadata!P901,"missing: not provided"))),AND(IF(metadata!P901="",FALSE,IF(ISERROR(INT(metadata!P901)),FALSE,INT(metadata!P901)=metadata!P901)),metadata!P901&gt;0))</f>
        <v>0</v>
      </c>
      <c r="AQ901">
        <f>IF(metadata!Q901="",FALSE,TRUE)</f>
        <v>0</v>
      </c>
    </row>
    <row r="902" spans="1:43">
      <c r="A902" s="5">
        <f>IF(B902=" "," ",HYPERLINK(CONCATENATE("#metadata!",ADDRESS(INDEX($W$2:$W$1001,MATCH(ROWS($U$2:U902),$U$2:$U$1001,0),0),1)),INDEX($Z$2:$Z$1001,MATCH(ROWS($U$2:U902),$U$2:$U$1001,0),0)))</f>
        <v>0</v>
      </c>
      <c r="B902" s="4">
        <f>IF(OR(INDEX($V$2:$V$1001,MATCH(ROWS($U$2:U902),$U$2:$U$1001,0),1)&gt;=100000,INDEX($AB$1005:$AQ$1005,1,MATCH(COLUMNS($AB$1006:AB1006),$AB$1006:$AQ$1006,0))&gt;=100000), " ",IF(INDEX($AB$2:$AQ$1001,MATCH(ROWS($U$2:U902),$U$2:$U$1001,0),MATCH(COLUMNS($AB$1006:AB1006),$AB$1006:$AQ$1006,0)), HYPERLINK("#",""), HYPERLINK(CONCATENATE("#metadata!", ADDRESS(INDEX($W$2:$W$1001,MATCH(ROWS($U$2:U902),$U$2:$U$1001,0),0), INDEX($AB$1004:$AQ$1004,1,MATCH(COLUMNS($AB$1006:AB1006),$AB$1006:$AQ$1006,0)))),"Fix")))</f>
        <v>0</v>
      </c>
      <c r="C902" s="4">
        <f>IF(OR(INDEX($V$2:$V$1001,MATCH(ROWS($U$2:U902),$U$2:$U$1001,0),1)&gt;=100000,INDEX($AB$1005:$AQ$1005,1,MATCH(COLUMNS($AB$1006:AC1006),$AB$1006:$AQ$1006,0))&gt;=100000), " ",IF(INDEX($AB$2:$AQ$1001,MATCH(ROWS($U$2:U902),$U$2:$U$1001,0),MATCH(COLUMNS($AB$1006:AC1006),$AB$1006:$AQ$1006,0)), HYPERLINK("#",""), HYPERLINK(CONCATENATE("#metadata!", ADDRESS(INDEX($W$2:$W$1001,MATCH(ROWS($U$2:U902),$U$2:$U$1001,0),0), INDEX($AB$1004:$AQ$1004,1,MATCH(COLUMNS($AB$1006:AC1006),$AB$1006:$AQ$1006,0)))),"Fix")))</f>
        <v>0</v>
      </c>
      <c r="D902" s="4">
        <f>IF(OR(INDEX($V$2:$V$1001,MATCH(ROWS($U$2:U902),$U$2:$U$1001,0),1)&gt;=100000,INDEX($AB$1005:$AQ$1005,1,MATCH(COLUMNS($AB$1006:AD1006),$AB$1006:$AQ$1006,0))&gt;=100000), " ",IF(INDEX($AB$2:$AQ$1001,MATCH(ROWS($U$2:U902),$U$2:$U$1001,0),MATCH(COLUMNS($AB$1006:AD1006),$AB$1006:$AQ$1006,0)), HYPERLINK("#",""), HYPERLINK(CONCATENATE("#metadata!", ADDRESS(INDEX($W$2:$W$1001,MATCH(ROWS($U$2:U902),$U$2:$U$1001,0),0), INDEX($AB$1004:$AQ$1004,1,MATCH(COLUMNS($AB$1006:AD1006),$AB$1006:$AQ$1006,0)))),"Fix")))</f>
        <v>0</v>
      </c>
      <c r="E902" s="4">
        <f>IF(OR(INDEX($V$2:$V$1001,MATCH(ROWS($U$2:U902),$U$2:$U$1001,0),1)&gt;=100000,INDEX($AB$1005:$AQ$1005,1,MATCH(COLUMNS($AB$1006:AE1006),$AB$1006:$AQ$1006,0))&gt;=100000), " ",IF(INDEX($AB$2:$AQ$1001,MATCH(ROWS($U$2:U902),$U$2:$U$1001,0),MATCH(COLUMNS($AB$1006:AE1006),$AB$1006:$AQ$1006,0)), HYPERLINK("#",""), HYPERLINK(CONCATENATE("#metadata!", ADDRESS(INDEX($W$2:$W$1001,MATCH(ROWS($U$2:U902),$U$2:$U$1001,0),0), INDEX($AB$1004:$AQ$1004,1,MATCH(COLUMNS($AB$1006:AE1006),$AB$1006:$AQ$1006,0)))),"Fix")))</f>
        <v>0</v>
      </c>
      <c r="F902" s="4">
        <f>IF(OR(INDEX($V$2:$V$1001,MATCH(ROWS($U$2:U902),$U$2:$U$1001,0),1)&gt;=100000,INDEX($AB$1005:$AQ$1005,1,MATCH(COLUMNS($AB$1006:AF1006),$AB$1006:$AQ$1006,0))&gt;=100000), " ",IF(INDEX($AB$2:$AQ$1001,MATCH(ROWS($U$2:U902),$U$2:$U$1001,0),MATCH(COLUMNS($AB$1006:AF1006),$AB$1006:$AQ$1006,0)), HYPERLINK("#",""), HYPERLINK(CONCATENATE("#metadata!", ADDRESS(INDEX($W$2:$W$1001,MATCH(ROWS($U$2:U902),$U$2:$U$1001,0),0), INDEX($AB$1004:$AQ$1004,1,MATCH(COLUMNS($AB$1006:AF1006),$AB$1006:$AQ$1006,0)))),"Fix")))</f>
        <v>0</v>
      </c>
      <c r="G902" s="4">
        <f>IF(OR(INDEX($V$2:$V$1001,MATCH(ROWS($U$2:U902),$U$2:$U$1001,0),1)&gt;=100000,INDEX($AB$1005:$AQ$1005,1,MATCH(COLUMNS($AB$1006:AG1006),$AB$1006:$AQ$1006,0))&gt;=100000), " ",IF(INDEX($AB$2:$AQ$1001,MATCH(ROWS($U$2:U902),$U$2:$U$1001,0),MATCH(COLUMNS($AB$1006:AG1006),$AB$1006:$AQ$1006,0)), HYPERLINK("#",""), HYPERLINK(CONCATENATE("#metadata!", ADDRESS(INDEX($W$2:$W$1001,MATCH(ROWS($U$2:U902),$U$2:$U$1001,0),0), INDEX($AB$1004:$AQ$1004,1,MATCH(COLUMNS($AB$1006:AG1006),$AB$1006:$AQ$1006,0)))),"Fix")))</f>
        <v>0</v>
      </c>
      <c r="H902" s="4">
        <f>IF(OR(INDEX($V$2:$V$1001,MATCH(ROWS($U$2:U902),$U$2:$U$1001,0),1)&gt;=100000,INDEX($AB$1005:$AQ$1005,1,MATCH(COLUMNS($AB$1006:AH1006),$AB$1006:$AQ$1006,0))&gt;=100000), " ",IF(INDEX($AB$2:$AQ$1001,MATCH(ROWS($U$2:U902),$U$2:$U$1001,0),MATCH(COLUMNS($AB$1006:AH1006),$AB$1006:$AQ$1006,0)), HYPERLINK("#",""), HYPERLINK(CONCATENATE("#metadata!", ADDRESS(INDEX($W$2:$W$1001,MATCH(ROWS($U$2:U902),$U$2:$U$1001,0),0), INDEX($AB$1004:$AQ$1004,1,MATCH(COLUMNS($AB$1006:AH1006),$AB$1006:$AQ$1006,0)))),"Fix")))</f>
        <v>0</v>
      </c>
      <c r="I902" s="4">
        <f>IF(OR(INDEX($V$2:$V$1001,MATCH(ROWS($U$2:U902),$U$2:$U$1001,0),1)&gt;=100000,INDEX($AB$1005:$AQ$1005,1,MATCH(COLUMNS($AB$1006:AI1006),$AB$1006:$AQ$1006,0))&gt;=100000), " ",IF(INDEX($AB$2:$AQ$1001,MATCH(ROWS($U$2:U902),$U$2:$U$1001,0),MATCH(COLUMNS($AB$1006:AI1006),$AB$1006:$AQ$1006,0)), HYPERLINK("#",""), HYPERLINK(CONCATENATE("#metadata!", ADDRESS(INDEX($W$2:$W$1001,MATCH(ROWS($U$2:U902),$U$2:$U$1001,0),0), INDEX($AB$1004:$AQ$1004,1,MATCH(COLUMNS($AB$1006:AI1006),$AB$1006:$AQ$1006,0)))),"Fix")))</f>
        <v>0</v>
      </c>
      <c r="J902" s="4">
        <f>IF(OR(INDEX($V$2:$V$1001,MATCH(ROWS($U$2:U902),$U$2:$U$1001,0),1)&gt;=100000,INDEX($AB$1005:$AQ$1005,1,MATCH(COLUMNS($AB$1006:AJ1006),$AB$1006:$AQ$1006,0))&gt;=100000), " ",IF(INDEX($AB$2:$AQ$1001,MATCH(ROWS($U$2:U902),$U$2:$U$1001,0),MATCH(COLUMNS($AB$1006:AJ1006),$AB$1006:$AQ$1006,0)), HYPERLINK("#",""), HYPERLINK(CONCATENATE("#metadata!", ADDRESS(INDEX($W$2:$W$1001,MATCH(ROWS($U$2:U902),$U$2:$U$1001,0),0), INDEX($AB$1004:$AQ$1004,1,MATCH(COLUMNS($AB$1006:AJ1006),$AB$1006:$AQ$1006,0)))),"Fix")))</f>
        <v>0</v>
      </c>
      <c r="K902" s="4">
        <f>IF(OR(INDEX($V$2:$V$1001,MATCH(ROWS($U$2:U902),$U$2:$U$1001,0),1)&gt;=100000,INDEX($AB$1005:$AQ$1005,1,MATCH(COLUMNS($AB$1006:AK1006),$AB$1006:$AQ$1006,0))&gt;=100000), " ",IF(INDEX($AB$2:$AQ$1001,MATCH(ROWS($U$2:U902),$U$2:$U$1001,0),MATCH(COLUMNS($AB$1006:AK1006),$AB$1006:$AQ$1006,0)), HYPERLINK("#",""), HYPERLINK(CONCATENATE("#metadata!", ADDRESS(INDEX($W$2:$W$1001,MATCH(ROWS($U$2:U902),$U$2:$U$1001,0),0), INDEX($AB$1004:$AQ$1004,1,MATCH(COLUMNS($AB$1006:AK1006),$AB$1006:$AQ$1006,0)))),"Fix")))</f>
        <v>0</v>
      </c>
      <c r="L902" s="4">
        <f>IF(OR(INDEX($V$2:$V$1001,MATCH(ROWS($U$2:U902),$U$2:$U$1001,0),1)&gt;=100000,INDEX($AB$1005:$AQ$1005,1,MATCH(COLUMNS($AB$1006:AL1006),$AB$1006:$AQ$1006,0))&gt;=100000), " ",IF(INDEX($AB$2:$AQ$1001,MATCH(ROWS($U$2:U902),$U$2:$U$1001,0),MATCH(COLUMNS($AB$1006:AL1006),$AB$1006:$AQ$1006,0)), HYPERLINK("#",""), HYPERLINK(CONCATENATE("#metadata!", ADDRESS(INDEX($W$2:$W$1001,MATCH(ROWS($U$2:U902),$U$2:$U$1001,0),0), INDEX($AB$1004:$AQ$1004,1,MATCH(COLUMNS($AB$1006:AL1006),$AB$1006:$AQ$1006,0)))),"Fix")))</f>
        <v>0</v>
      </c>
      <c r="M902" s="4">
        <f>IF(OR(INDEX($V$2:$V$1001,MATCH(ROWS($U$2:U902),$U$2:$U$1001,0),1)&gt;=100000,INDEX($AB$1005:$AQ$1005,1,MATCH(COLUMNS($AB$1006:AM1006),$AB$1006:$AQ$1006,0))&gt;=100000), " ",IF(INDEX($AB$2:$AQ$1001,MATCH(ROWS($U$2:U902),$U$2:$U$1001,0),MATCH(COLUMNS($AB$1006:AM1006),$AB$1006:$AQ$1006,0)), HYPERLINK("#",""), HYPERLINK(CONCATENATE("#metadata!", ADDRESS(INDEX($W$2:$W$1001,MATCH(ROWS($U$2:U902),$U$2:$U$1001,0),0), INDEX($AB$1004:$AQ$1004,1,MATCH(COLUMNS($AB$1006:AM1006),$AB$1006:$AQ$1006,0)))),"Fix")))</f>
        <v>0</v>
      </c>
      <c r="N902" s="4">
        <f>IF(OR(INDEX($V$2:$V$1001,MATCH(ROWS($U$2:U902),$U$2:$U$1001,0),1)&gt;=100000,INDEX($AB$1005:$AQ$1005,1,MATCH(COLUMNS($AB$1006:AN1006),$AB$1006:$AQ$1006,0))&gt;=100000), " ",IF(INDEX($AB$2:$AQ$1001,MATCH(ROWS($U$2:U902),$U$2:$U$1001,0),MATCH(COLUMNS($AB$1006:AN1006),$AB$1006:$AQ$1006,0)), HYPERLINK("#",""), HYPERLINK(CONCATENATE("#metadata!", ADDRESS(INDEX($W$2:$W$1001,MATCH(ROWS($U$2:U902),$U$2:$U$1001,0),0), INDEX($AB$1004:$AQ$1004,1,MATCH(COLUMNS($AB$1006:AN1006),$AB$1006:$AQ$1006,0)))),"Fix")))</f>
        <v>0</v>
      </c>
      <c r="O902" s="4">
        <f>IF(OR(INDEX($V$2:$V$1001,MATCH(ROWS($U$2:U902),$U$2:$U$1001,0),1)&gt;=100000,INDEX($AB$1005:$AQ$1005,1,MATCH(COLUMNS($AB$1006:AO1006),$AB$1006:$AQ$1006,0))&gt;=100000), " ",IF(INDEX($AB$2:$AQ$1001,MATCH(ROWS($U$2:U902),$U$2:$U$1001,0),MATCH(COLUMNS($AB$1006:AO1006),$AB$1006:$AQ$1006,0)), HYPERLINK("#",""), HYPERLINK(CONCATENATE("#metadata!", ADDRESS(INDEX($W$2:$W$1001,MATCH(ROWS($U$2:U902),$U$2:$U$1001,0),0), INDEX($AB$1004:$AQ$1004,1,MATCH(COLUMNS($AB$1006:AO1006),$AB$1006:$AQ$1006,0)))),"Fix")))</f>
        <v>0</v>
      </c>
      <c r="P902" s="4">
        <f>IF(OR(INDEX($V$2:$V$1001,MATCH(ROWS($U$2:U902),$U$2:$U$1001,0),1)&gt;=100000,INDEX($AB$1005:$AQ$1005,1,MATCH(COLUMNS($AB$1006:AP1006),$AB$1006:$AQ$1006,0))&gt;=100000), " ",IF(INDEX($AB$2:$AQ$1001,MATCH(ROWS($U$2:U902),$U$2:$U$1001,0),MATCH(COLUMNS($AB$1006:AP1006),$AB$1006:$AQ$1006,0)), HYPERLINK("#",""), HYPERLINK(CONCATENATE("#metadata!", ADDRESS(INDEX($W$2:$W$1001,MATCH(ROWS($U$2:U902),$U$2:$U$1001,0),0), INDEX($AB$1004:$AQ$1004,1,MATCH(COLUMNS($AB$1006:AP1006),$AB$1006:$AQ$1006,0)))),"Fix")))</f>
        <v>0</v>
      </c>
      <c r="Q902" s="4">
        <f>IF(OR(INDEX($V$2:$V$1001,MATCH(ROWS($U$2:U902),$U$2:$U$1001,0),1)&gt;=100000,INDEX($AB$1005:$AQ$1005,1,MATCH(COLUMNS($AB$1006:AQ1006),$AB$1006:$AQ$1006,0))&gt;=100000), " ",IF(INDEX($AB$2:$AQ$1001,MATCH(ROWS($U$2:U902),$U$2:$U$1001,0),MATCH(COLUMNS($AB$1006:AQ1006),$AB$1006:$AQ$1006,0)), HYPERLINK("#",""), HYPERLINK(CONCATENATE("#metadata!", ADDRESS(INDEX($W$2:$W$1001,MATCH(ROWS($U$2:U902),$U$2:$U$1001,0),0), INDEX($AB$1004:$AQ$1004,1,MATCH(COLUMNS($AB$1006:AQ1006),$AB$1006:$AQ$1006,0)))),"Fix")))</f>
        <v>0</v>
      </c>
      <c r="U902">
        <v>0</v>
      </c>
      <c r="V902">
        <v>0</v>
      </c>
      <c r="W902">
        <v>0</v>
      </c>
      <c r="X902">
        <f>IF(Y902,TRUE,AND(AB902:AQ902))</f>
        <v>0</v>
      </c>
      <c r="Y902">
        <f>COUNTBLANK(metadata!B902:Q902)=COLUMNS(metadata!B902:Q902)</f>
        <v>0</v>
      </c>
      <c r="Z902">
        <v>0</v>
      </c>
      <c r="AB902">
        <f>AND(IF(metadata!B902="",FALSE,TRUE),COUNTIF(metadata!B:B, metadata!B902) = 1,NOT(ISERROR(SUMPRODUCT(SEARCH(MID(metadata!B902,ROW(INDIRECT("1:"&amp;LEN(metadata!B902))), 1),"0123456789abcdefghijklmnopqrstuvwxyzABCDEFGHIJKLMNOPQRSTUVWXYZ.")))))</f>
        <v>0</v>
      </c>
      <c r="AC902">
        <f>OR(AND(IF(metadata!C902="",FALSE,TRUE),OR(exact(metadata!C902,"missing: not collected"),exact(metadata!C902,"missing: not provided"),exact(metadata!C902,"missing: restricted access"))),AND(IF(metadata!C902="",FALSE,TRUE),AND(AND(IFERROR(INT(LEFT(metadata!C902,4))&gt;1900,FALSE),IFERROR(INT(LEFT(metadata!C902,4))&lt;=YEAR(NOW()),FALSE)), OR(MID(metadata!C902,5,1)="", AND(AND(MID(metadata!C902,5,1)="-",IFERROR(INT(MID(metadata!C902,6,1))&gt;=0,FALSE),IFERROR(INT(MID(metadata!C902,6,1))&lt;=1,FALSE),NOT(MID(metadata!C902,7,1)=""),IFERROR(INT(MID(metadata!C902,6,2))&gt;=1,FALSE),IFERROR(INT(MID(metadata!C902,6,2))&lt;=12,FALSE)), OR(MID(metadata!C902,8,1)="", AND(AND(MID(metadata!C902,8,1)="-",IFERROR(INT(MID(metadata!C902,9,1))&gt;=0,FALSE),IFERROR(INT(MID(metadata!C902,9,1))&lt;=3,FALSE),NOT(MID(metadata!C902,10,1)=""),IFERROR(INT(MID(metadata!C902,9,2))&gt;=1,FALSE),IFERROR(INT(MID(metadata!C902,9,2))&lt;=31,FALSE)), OR(MID(metadata!C902,11,1)="", AND(AND(MID(metadata!C902,11,1)=" ",IFERROR(INT(MID(metadata!C902,12,1))&gt;=0,FALSE),IFERROR(INT(MID(metadata!C902,12,1))&lt;=2,FALSE),NOT(MID(metadata!C902,13,1)=""),IFERROR(INT(MID(metadata!C902,12,2))&gt;=0,FALSE),IFERROR(INT(MID(metadata!C902,12,2))&lt;=23,FALSE)), OR(MID(metadata!C902,14,1)="", AND(AND(MID(metadata!C902,14,1)=":",IFERROR(INT(MID(metadata!C902,15,1))&gt;=0,FALSE),IFERROR(INT(MID(metadata!C902,15,1))&lt;=5,FALSE),NOT(MID(metadata!C902,16,1)=""),IFERROR(INT(MID(metadata!C902,15,2))&gt;=0,FALSE),IFERROR(INT(MID(metadata!C902,15,2))&lt;=59,FALSE)), OR(MID(metadata!C902,17,1)="", AND(AND(MID(metadata!C902,17,1)=":",IFERROR(INT(MID(metadata!C902,18,1))&gt;=0,FALSE),IFERROR(INT(MID(metadata!C902,18,1))&lt;=5,FALSE),NOT(MID(metadata!C902,19,1)=""),IFERROR(INT(MID(metadata!C902,18,2))&gt;=0,FALSE),IFERROR(INT(MID(metadata!C902,18,2))&lt;=59,FALSE)), LEN(metadata!C902)&lt;=19)))))))))))))</f>
        <v>0</v>
      </c>
      <c r="AD902">
        <f>IF(metadata!D902="",FALSE,TRUE)</f>
        <v>0</v>
      </c>
      <c r="AE902">
        <f>OR(AND(IF(metadata!E902="",FALSE,TRUE),OR(exact(metadata!E902,"missing: not collected"),exact(metadata!E902,"missing: not provided"))),AND(IF(metadata!E902="",FALSE,TRUE),OR(exact(metadata!E902,"TRUE"),exact(metadata!E902,"FALSE"))))</f>
        <v>0</v>
      </c>
      <c r="AF902">
        <f>IF(metadata!F902="",FALSE,TRUE)</f>
        <v>0</v>
      </c>
      <c r="AG902">
        <f>IF(metadata!G902="",FALSE,TRUE)</f>
        <v>0</v>
      </c>
      <c r="AH902">
        <f>IF(metadata!H902="",FALSE,TRUE)</f>
        <v>0</v>
      </c>
      <c r="AI902">
        <f>OR(AND(IF(metadata!I902="",FALSE,TRUE),OR(exact(metadata!I902,"missing: not collected"),exact(metadata!I902,"missing: not provided"),exact(metadata!I902,"missing: restricted access"))),AND(IF(metadata!I902="",FALSE,TRUE),OR(exact(metadata!I902,"air"),exact(metadata!I902,"built environment"),exact(metadata!I902,"host-associated"),exact(metadata!I902,"human-associated"),exact(metadata!I902,"human-skin"),exact(metadata!I902,"human-oral"),exact(metadata!I902,"human-gut"),exact(metadata!I902,"human-vaginal"),exact(metadata!I902,"microbial mat/biofilm"),exact(metadata!I902,"misc environment"),exact(metadata!I902,"plant-associated"),exact(metadata!I902,"sediment"),exact(metadata!I902,"soil"),exact(metadata!I902,"wastewater/sludge"),exact(metadata!I902,"water"))))</f>
        <v>0</v>
      </c>
      <c r="AJ902">
        <f>IF(metadata!J902="",FALSE,TRUE)</f>
        <v>0</v>
      </c>
      <c r="AK902">
        <f>OR(AND(IF(metadata!K902="",FALSE,TRUE),OR(exact(metadata!K902,"missing: not collected"),exact(metadata!K902,"missing: not provided"),exact(metadata!K902,"missing: restricted access"))),AND(IF(metadata!K902="",FALSE,ISNUMBER(VALUE(metadata!K902))),metadata!K902&gt;=-90.00,metadata!K902&lt;=90.00))</f>
        <v>0</v>
      </c>
      <c r="AL902">
        <f>OR(AND(IF(metadata!L902="",FALSE,TRUE),OR(exact(metadata!L902,"missing: not collected"),exact(metadata!L902,"missing: not provided"),exact(metadata!L902,"missing: restricted access"))),AND(IF(metadata!L902="",FALSE,ISNUMBER(VALUE(metadata!L902))),metadata!L902&gt;=-180.00,metadata!L902&lt;=180.00))</f>
        <v>0</v>
      </c>
      <c r="AM902">
        <f>IF(metadata!M902="",FALSE,TRUE)</f>
        <v>0</v>
      </c>
      <c r="AN902">
        <f>OR(AND(IF(metadata!N902="",FALSE,TRUE),OR(exact(metadata!N902,"missing: not collected"),exact(metadata!N902,"missing: not provided"),exact(metadata!N902,"missing: restricted access"))),AND(IF(metadata!N902="",FALSE,TRUE),OR(exact(metadata!N902,"TRUE"),exact(metadata!N902,"FALSE"))))</f>
        <v>0</v>
      </c>
      <c r="AO902">
        <f>IF(metadata!O902="",FALSE,TRUE)</f>
        <v>0</v>
      </c>
      <c r="AP902">
        <f>OR(AND(IF(metadata!P902="",FALSE,TRUE),OR(exact(metadata!P902,"missing: not collected"),exact(metadata!P902,"missing: not provided"))),AND(IF(metadata!P902="",FALSE,IF(ISERROR(INT(metadata!P902)),FALSE,INT(metadata!P902)=metadata!P902)),metadata!P902&gt;0))</f>
        <v>0</v>
      </c>
      <c r="AQ902">
        <f>IF(metadata!Q902="",FALSE,TRUE)</f>
        <v>0</v>
      </c>
    </row>
    <row r="903" spans="1:43">
      <c r="A903" s="5">
        <f>IF(B903=" "," ",HYPERLINK(CONCATENATE("#metadata!",ADDRESS(INDEX($W$2:$W$1001,MATCH(ROWS($U$2:U903),$U$2:$U$1001,0),0),1)),INDEX($Z$2:$Z$1001,MATCH(ROWS($U$2:U903),$U$2:$U$1001,0),0)))</f>
        <v>0</v>
      </c>
      <c r="B903" s="4">
        <f>IF(OR(INDEX($V$2:$V$1001,MATCH(ROWS($U$2:U903),$U$2:$U$1001,0),1)&gt;=100000,INDEX($AB$1005:$AQ$1005,1,MATCH(COLUMNS($AB$1006:AB1006),$AB$1006:$AQ$1006,0))&gt;=100000), " ",IF(INDEX($AB$2:$AQ$1001,MATCH(ROWS($U$2:U903),$U$2:$U$1001,0),MATCH(COLUMNS($AB$1006:AB1006),$AB$1006:$AQ$1006,0)), HYPERLINK("#",""), HYPERLINK(CONCATENATE("#metadata!", ADDRESS(INDEX($W$2:$W$1001,MATCH(ROWS($U$2:U903),$U$2:$U$1001,0),0), INDEX($AB$1004:$AQ$1004,1,MATCH(COLUMNS($AB$1006:AB1006),$AB$1006:$AQ$1006,0)))),"Fix")))</f>
        <v>0</v>
      </c>
      <c r="C903" s="4">
        <f>IF(OR(INDEX($V$2:$V$1001,MATCH(ROWS($U$2:U903),$U$2:$U$1001,0),1)&gt;=100000,INDEX($AB$1005:$AQ$1005,1,MATCH(COLUMNS($AB$1006:AC1006),$AB$1006:$AQ$1006,0))&gt;=100000), " ",IF(INDEX($AB$2:$AQ$1001,MATCH(ROWS($U$2:U903),$U$2:$U$1001,0),MATCH(COLUMNS($AB$1006:AC1006),$AB$1006:$AQ$1006,0)), HYPERLINK("#",""), HYPERLINK(CONCATENATE("#metadata!", ADDRESS(INDEX($W$2:$W$1001,MATCH(ROWS($U$2:U903),$U$2:$U$1001,0),0), INDEX($AB$1004:$AQ$1004,1,MATCH(COLUMNS($AB$1006:AC1006),$AB$1006:$AQ$1006,0)))),"Fix")))</f>
        <v>0</v>
      </c>
      <c r="D903" s="4">
        <f>IF(OR(INDEX($V$2:$V$1001,MATCH(ROWS($U$2:U903),$U$2:$U$1001,0),1)&gt;=100000,INDEX($AB$1005:$AQ$1005,1,MATCH(COLUMNS($AB$1006:AD1006),$AB$1006:$AQ$1006,0))&gt;=100000), " ",IF(INDEX($AB$2:$AQ$1001,MATCH(ROWS($U$2:U903),$U$2:$U$1001,0),MATCH(COLUMNS($AB$1006:AD1006),$AB$1006:$AQ$1006,0)), HYPERLINK("#",""), HYPERLINK(CONCATENATE("#metadata!", ADDRESS(INDEX($W$2:$W$1001,MATCH(ROWS($U$2:U903),$U$2:$U$1001,0),0), INDEX($AB$1004:$AQ$1004,1,MATCH(COLUMNS($AB$1006:AD1006),$AB$1006:$AQ$1006,0)))),"Fix")))</f>
        <v>0</v>
      </c>
      <c r="E903" s="4">
        <f>IF(OR(INDEX($V$2:$V$1001,MATCH(ROWS($U$2:U903),$U$2:$U$1001,0),1)&gt;=100000,INDEX($AB$1005:$AQ$1005,1,MATCH(COLUMNS($AB$1006:AE1006),$AB$1006:$AQ$1006,0))&gt;=100000), " ",IF(INDEX($AB$2:$AQ$1001,MATCH(ROWS($U$2:U903),$U$2:$U$1001,0),MATCH(COLUMNS($AB$1006:AE1006),$AB$1006:$AQ$1006,0)), HYPERLINK("#",""), HYPERLINK(CONCATENATE("#metadata!", ADDRESS(INDEX($W$2:$W$1001,MATCH(ROWS($U$2:U903),$U$2:$U$1001,0),0), INDEX($AB$1004:$AQ$1004,1,MATCH(COLUMNS($AB$1006:AE1006),$AB$1006:$AQ$1006,0)))),"Fix")))</f>
        <v>0</v>
      </c>
      <c r="F903" s="4">
        <f>IF(OR(INDEX($V$2:$V$1001,MATCH(ROWS($U$2:U903),$U$2:$U$1001,0),1)&gt;=100000,INDEX($AB$1005:$AQ$1005,1,MATCH(COLUMNS($AB$1006:AF1006),$AB$1006:$AQ$1006,0))&gt;=100000), " ",IF(INDEX($AB$2:$AQ$1001,MATCH(ROWS($U$2:U903),$U$2:$U$1001,0),MATCH(COLUMNS($AB$1006:AF1006),$AB$1006:$AQ$1006,0)), HYPERLINK("#",""), HYPERLINK(CONCATENATE("#metadata!", ADDRESS(INDEX($W$2:$W$1001,MATCH(ROWS($U$2:U903),$U$2:$U$1001,0),0), INDEX($AB$1004:$AQ$1004,1,MATCH(COLUMNS($AB$1006:AF1006),$AB$1006:$AQ$1006,0)))),"Fix")))</f>
        <v>0</v>
      </c>
      <c r="G903" s="4">
        <f>IF(OR(INDEX($V$2:$V$1001,MATCH(ROWS($U$2:U903),$U$2:$U$1001,0),1)&gt;=100000,INDEX($AB$1005:$AQ$1005,1,MATCH(COLUMNS($AB$1006:AG1006),$AB$1006:$AQ$1006,0))&gt;=100000), " ",IF(INDEX($AB$2:$AQ$1001,MATCH(ROWS($U$2:U903),$U$2:$U$1001,0),MATCH(COLUMNS($AB$1006:AG1006),$AB$1006:$AQ$1006,0)), HYPERLINK("#",""), HYPERLINK(CONCATENATE("#metadata!", ADDRESS(INDEX($W$2:$W$1001,MATCH(ROWS($U$2:U903),$U$2:$U$1001,0),0), INDEX($AB$1004:$AQ$1004,1,MATCH(COLUMNS($AB$1006:AG1006),$AB$1006:$AQ$1006,0)))),"Fix")))</f>
        <v>0</v>
      </c>
      <c r="H903" s="4">
        <f>IF(OR(INDEX($V$2:$V$1001,MATCH(ROWS($U$2:U903),$U$2:$U$1001,0),1)&gt;=100000,INDEX($AB$1005:$AQ$1005,1,MATCH(COLUMNS($AB$1006:AH1006),$AB$1006:$AQ$1006,0))&gt;=100000), " ",IF(INDEX($AB$2:$AQ$1001,MATCH(ROWS($U$2:U903),$U$2:$U$1001,0),MATCH(COLUMNS($AB$1006:AH1006),$AB$1006:$AQ$1006,0)), HYPERLINK("#",""), HYPERLINK(CONCATENATE("#metadata!", ADDRESS(INDEX($W$2:$W$1001,MATCH(ROWS($U$2:U903),$U$2:$U$1001,0),0), INDEX($AB$1004:$AQ$1004,1,MATCH(COLUMNS($AB$1006:AH1006),$AB$1006:$AQ$1006,0)))),"Fix")))</f>
        <v>0</v>
      </c>
      <c r="I903" s="4">
        <f>IF(OR(INDEX($V$2:$V$1001,MATCH(ROWS($U$2:U903),$U$2:$U$1001,0),1)&gt;=100000,INDEX($AB$1005:$AQ$1005,1,MATCH(COLUMNS($AB$1006:AI1006),$AB$1006:$AQ$1006,0))&gt;=100000), " ",IF(INDEX($AB$2:$AQ$1001,MATCH(ROWS($U$2:U903),$U$2:$U$1001,0),MATCH(COLUMNS($AB$1006:AI1006),$AB$1006:$AQ$1006,0)), HYPERLINK("#",""), HYPERLINK(CONCATENATE("#metadata!", ADDRESS(INDEX($W$2:$W$1001,MATCH(ROWS($U$2:U903),$U$2:$U$1001,0),0), INDEX($AB$1004:$AQ$1004,1,MATCH(COLUMNS($AB$1006:AI1006),$AB$1006:$AQ$1006,0)))),"Fix")))</f>
        <v>0</v>
      </c>
      <c r="J903" s="4">
        <f>IF(OR(INDEX($V$2:$V$1001,MATCH(ROWS($U$2:U903),$U$2:$U$1001,0),1)&gt;=100000,INDEX($AB$1005:$AQ$1005,1,MATCH(COLUMNS($AB$1006:AJ1006),$AB$1006:$AQ$1006,0))&gt;=100000), " ",IF(INDEX($AB$2:$AQ$1001,MATCH(ROWS($U$2:U903),$U$2:$U$1001,0),MATCH(COLUMNS($AB$1006:AJ1006),$AB$1006:$AQ$1006,0)), HYPERLINK("#",""), HYPERLINK(CONCATENATE("#metadata!", ADDRESS(INDEX($W$2:$W$1001,MATCH(ROWS($U$2:U903),$U$2:$U$1001,0),0), INDEX($AB$1004:$AQ$1004,1,MATCH(COLUMNS($AB$1006:AJ1006),$AB$1006:$AQ$1006,0)))),"Fix")))</f>
        <v>0</v>
      </c>
      <c r="K903" s="4">
        <f>IF(OR(INDEX($V$2:$V$1001,MATCH(ROWS($U$2:U903),$U$2:$U$1001,0),1)&gt;=100000,INDEX($AB$1005:$AQ$1005,1,MATCH(COLUMNS($AB$1006:AK1006),$AB$1006:$AQ$1006,0))&gt;=100000), " ",IF(INDEX($AB$2:$AQ$1001,MATCH(ROWS($U$2:U903),$U$2:$U$1001,0),MATCH(COLUMNS($AB$1006:AK1006),$AB$1006:$AQ$1006,0)), HYPERLINK("#",""), HYPERLINK(CONCATENATE("#metadata!", ADDRESS(INDEX($W$2:$W$1001,MATCH(ROWS($U$2:U903),$U$2:$U$1001,0),0), INDEX($AB$1004:$AQ$1004,1,MATCH(COLUMNS($AB$1006:AK1006),$AB$1006:$AQ$1006,0)))),"Fix")))</f>
        <v>0</v>
      </c>
      <c r="L903" s="4">
        <f>IF(OR(INDEX($V$2:$V$1001,MATCH(ROWS($U$2:U903),$U$2:$U$1001,0),1)&gt;=100000,INDEX($AB$1005:$AQ$1005,1,MATCH(COLUMNS($AB$1006:AL1006),$AB$1006:$AQ$1006,0))&gt;=100000), " ",IF(INDEX($AB$2:$AQ$1001,MATCH(ROWS($U$2:U903),$U$2:$U$1001,0),MATCH(COLUMNS($AB$1006:AL1006),$AB$1006:$AQ$1006,0)), HYPERLINK("#",""), HYPERLINK(CONCATENATE("#metadata!", ADDRESS(INDEX($W$2:$W$1001,MATCH(ROWS($U$2:U903),$U$2:$U$1001,0),0), INDEX($AB$1004:$AQ$1004,1,MATCH(COLUMNS($AB$1006:AL1006),$AB$1006:$AQ$1006,0)))),"Fix")))</f>
        <v>0</v>
      </c>
      <c r="M903" s="4">
        <f>IF(OR(INDEX($V$2:$V$1001,MATCH(ROWS($U$2:U903),$U$2:$U$1001,0),1)&gt;=100000,INDEX($AB$1005:$AQ$1005,1,MATCH(COLUMNS($AB$1006:AM1006),$AB$1006:$AQ$1006,0))&gt;=100000), " ",IF(INDEX($AB$2:$AQ$1001,MATCH(ROWS($U$2:U903),$U$2:$U$1001,0),MATCH(COLUMNS($AB$1006:AM1006),$AB$1006:$AQ$1006,0)), HYPERLINK("#",""), HYPERLINK(CONCATENATE("#metadata!", ADDRESS(INDEX($W$2:$W$1001,MATCH(ROWS($U$2:U903),$U$2:$U$1001,0),0), INDEX($AB$1004:$AQ$1004,1,MATCH(COLUMNS($AB$1006:AM1006),$AB$1006:$AQ$1006,0)))),"Fix")))</f>
        <v>0</v>
      </c>
      <c r="N903" s="4">
        <f>IF(OR(INDEX($V$2:$V$1001,MATCH(ROWS($U$2:U903),$U$2:$U$1001,0),1)&gt;=100000,INDEX($AB$1005:$AQ$1005,1,MATCH(COLUMNS($AB$1006:AN1006),$AB$1006:$AQ$1006,0))&gt;=100000), " ",IF(INDEX($AB$2:$AQ$1001,MATCH(ROWS($U$2:U903),$U$2:$U$1001,0),MATCH(COLUMNS($AB$1006:AN1006),$AB$1006:$AQ$1006,0)), HYPERLINK("#",""), HYPERLINK(CONCATENATE("#metadata!", ADDRESS(INDEX($W$2:$W$1001,MATCH(ROWS($U$2:U903),$U$2:$U$1001,0),0), INDEX($AB$1004:$AQ$1004,1,MATCH(COLUMNS($AB$1006:AN1006),$AB$1006:$AQ$1006,0)))),"Fix")))</f>
        <v>0</v>
      </c>
      <c r="O903" s="4">
        <f>IF(OR(INDEX($V$2:$V$1001,MATCH(ROWS($U$2:U903),$U$2:$U$1001,0),1)&gt;=100000,INDEX($AB$1005:$AQ$1005,1,MATCH(COLUMNS($AB$1006:AO1006),$AB$1006:$AQ$1006,0))&gt;=100000), " ",IF(INDEX($AB$2:$AQ$1001,MATCH(ROWS($U$2:U903),$U$2:$U$1001,0),MATCH(COLUMNS($AB$1006:AO1006),$AB$1006:$AQ$1006,0)), HYPERLINK("#",""), HYPERLINK(CONCATENATE("#metadata!", ADDRESS(INDEX($W$2:$W$1001,MATCH(ROWS($U$2:U903),$U$2:$U$1001,0),0), INDEX($AB$1004:$AQ$1004,1,MATCH(COLUMNS($AB$1006:AO1006),$AB$1006:$AQ$1006,0)))),"Fix")))</f>
        <v>0</v>
      </c>
      <c r="P903" s="4">
        <f>IF(OR(INDEX($V$2:$V$1001,MATCH(ROWS($U$2:U903),$U$2:$U$1001,0),1)&gt;=100000,INDEX($AB$1005:$AQ$1005,1,MATCH(COLUMNS($AB$1006:AP1006),$AB$1006:$AQ$1006,0))&gt;=100000), " ",IF(INDEX($AB$2:$AQ$1001,MATCH(ROWS($U$2:U903),$U$2:$U$1001,0),MATCH(COLUMNS($AB$1006:AP1006),$AB$1006:$AQ$1006,0)), HYPERLINK("#",""), HYPERLINK(CONCATENATE("#metadata!", ADDRESS(INDEX($W$2:$W$1001,MATCH(ROWS($U$2:U903),$U$2:$U$1001,0),0), INDEX($AB$1004:$AQ$1004,1,MATCH(COLUMNS($AB$1006:AP1006),$AB$1006:$AQ$1006,0)))),"Fix")))</f>
        <v>0</v>
      </c>
      <c r="Q903" s="4">
        <f>IF(OR(INDEX($V$2:$V$1001,MATCH(ROWS($U$2:U903),$U$2:$U$1001,0),1)&gt;=100000,INDEX($AB$1005:$AQ$1005,1,MATCH(COLUMNS($AB$1006:AQ1006),$AB$1006:$AQ$1006,0))&gt;=100000), " ",IF(INDEX($AB$2:$AQ$1001,MATCH(ROWS($U$2:U903),$U$2:$U$1001,0),MATCH(COLUMNS($AB$1006:AQ1006),$AB$1006:$AQ$1006,0)), HYPERLINK("#",""), HYPERLINK(CONCATENATE("#metadata!", ADDRESS(INDEX($W$2:$W$1001,MATCH(ROWS($U$2:U903),$U$2:$U$1001,0),0), INDEX($AB$1004:$AQ$1004,1,MATCH(COLUMNS($AB$1006:AQ1006),$AB$1006:$AQ$1006,0)))),"Fix")))</f>
        <v>0</v>
      </c>
      <c r="U903">
        <v>0</v>
      </c>
      <c r="V903">
        <v>0</v>
      </c>
      <c r="W903">
        <v>0</v>
      </c>
      <c r="X903">
        <f>IF(Y903,TRUE,AND(AB903:AQ903))</f>
        <v>0</v>
      </c>
      <c r="Y903">
        <f>COUNTBLANK(metadata!B903:Q903)=COLUMNS(metadata!B903:Q903)</f>
        <v>0</v>
      </c>
      <c r="Z903">
        <v>0</v>
      </c>
      <c r="AB903">
        <f>AND(IF(metadata!B903="",FALSE,TRUE),COUNTIF(metadata!B:B, metadata!B903) = 1,NOT(ISERROR(SUMPRODUCT(SEARCH(MID(metadata!B903,ROW(INDIRECT("1:"&amp;LEN(metadata!B903))), 1),"0123456789abcdefghijklmnopqrstuvwxyzABCDEFGHIJKLMNOPQRSTUVWXYZ.")))))</f>
        <v>0</v>
      </c>
      <c r="AC903">
        <f>OR(AND(IF(metadata!C903="",FALSE,TRUE),OR(exact(metadata!C903,"missing: not collected"),exact(metadata!C903,"missing: not provided"),exact(metadata!C903,"missing: restricted access"))),AND(IF(metadata!C903="",FALSE,TRUE),AND(AND(IFERROR(INT(LEFT(metadata!C903,4))&gt;1900,FALSE),IFERROR(INT(LEFT(metadata!C903,4))&lt;=YEAR(NOW()),FALSE)), OR(MID(metadata!C903,5,1)="", AND(AND(MID(metadata!C903,5,1)="-",IFERROR(INT(MID(metadata!C903,6,1))&gt;=0,FALSE),IFERROR(INT(MID(metadata!C903,6,1))&lt;=1,FALSE),NOT(MID(metadata!C903,7,1)=""),IFERROR(INT(MID(metadata!C903,6,2))&gt;=1,FALSE),IFERROR(INT(MID(metadata!C903,6,2))&lt;=12,FALSE)), OR(MID(metadata!C903,8,1)="", AND(AND(MID(metadata!C903,8,1)="-",IFERROR(INT(MID(metadata!C903,9,1))&gt;=0,FALSE),IFERROR(INT(MID(metadata!C903,9,1))&lt;=3,FALSE),NOT(MID(metadata!C903,10,1)=""),IFERROR(INT(MID(metadata!C903,9,2))&gt;=1,FALSE),IFERROR(INT(MID(metadata!C903,9,2))&lt;=31,FALSE)), OR(MID(metadata!C903,11,1)="", AND(AND(MID(metadata!C903,11,1)=" ",IFERROR(INT(MID(metadata!C903,12,1))&gt;=0,FALSE),IFERROR(INT(MID(metadata!C903,12,1))&lt;=2,FALSE),NOT(MID(metadata!C903,13,1)=""),IFERROR(INT(MID(metadata!C903,12,2))&gt;=0,FALSE),IFERROR(INT(MID(metadata!C903,12,2))&lt;=23,FALSE)), OR(MID(metadata!C903,14,1)="", AND(AND(MID(metadata!C903,14,1)=":",IFERROR(INT(MID(metadata!C903,15,1))&gt;=0,FALSE),IFERROR(INT(MID(metadata!C903,15,1))&lt;=5,FALSE),NOT(MID(metadata!C903,16,1)=""),IFERROR(INT(MID(metadata!C903,15,2))&gt;=0,FALSE),IFERROR(INT(MID(metadata!C903,15,2))&lt;=59,FALSE)), OR(MID(metadata!C903,17,1)="", AND(AND(MID(metadata!C903,17,1)=":",IFERROR(INT(MID(metadata!C903,18,1))&gt;=0,FALSE),IFERROR(INT(MID(metadata!C903,18,1))&lt;=5,FALSE),NOT(MID(metadata!C903,19,1)=""),IFERROR(INT(MID(metadata!C903,18,2))&gt;=0,FALSE),IFERROR(INT(MID(metadata!C903,18,2))&lt;=59,FALSE)), LEN(metadata!C903)&lt;=19)))))))))))))</f>
        <v>0</v>
      </c>
      <c r="AD903">
        <f>IF(metadata!D903="",FALSE,TRUE)</f>
        <v>0</v>
      </c>
      <c r="AE903">
        <f>OR(AND(IF(metadata!E903="",FALSE,TRUE),OR(exact(metadata!E903,"missing: not collected"),exact(metadata!E903,"missing: not provided"))),AND(IF(metadata!E903="",FALSE,TRUE),OR(exact(metadata!E903,"TRUE"),exact(metadata!E903,"FALSE"))))</f>
        <v>0</v>
      </c>
      <c r="AF903">
        <f>IF(metadata!F903="",FALSE,TRUE)</f>
        <v>0</v>
      </c>
      <c r="AG903">
        <f>IF(metadata!G903="",FALSE,TRUE)</f>
        <v>0</v>
      </c>
      <c r="AH903">
        <f>IF(metadata!H903="",FALSE,TRUE)</f>
        <v>0</v>
      </c>
      <c r="AI903">
        <f>OR(AND(IF(metadata!I903="",FALSE,TRUE),OR(exact(metadata!I903,"missing: not collected"),exact(metadata!I903,"missing: not provided"),exact(metadata!I903,"missing: restricted access"))),AND(IF(metadata!I903="",FALSE,TRUE),OR(exact(metadata!I903,"air"),exact(metadata!I903,"built environment"),exact(metadata!I903,"host-associated"),exact(metadata!I903,"human-associated"),exact(metadata!I903,"human-skin"),exact(metadata!I903,"human-oral"),exact(metadata!I903,"human-gut"),exact(metadata!I903,"human-vaginal"),exact(metadata!I903,"microbial mat/biofilm"),exact(metadata!I903,"misc environment"),exact(metadata!I903,"plant-associated"),exact(metadata!I903,"sediment"),exact(metadata!I903,"soil"),exact(metadata!I903,"wastewater/sludge"),exact(metadata!I903,"water"))))</f>
        <v>0</v>
      </c>
      <c r="AJ903">
        <f>IF(metadata!J903="",FALSE,TRUE)</f>
        <v>0</v>
      </c>
      <c r="AK903">
        <f>OR(AND(IF(metadata!K903="",FALSE,TRUE),OR(exact(metadata!K903,"missing: not collected"),exact(metadata!K903,"missing: not provided"),exact(metadata!K903,"missing: restricted access"))),AND(IF(metadata!K903="",FALSE,ISNUMBER(VALUE(metadata!K903))),metadata!K903&gt;=-90.00,metadata!K903&lt;=90.00))</f>
        <v>0</v>
      </c>
      <c r="AL903">
        <f>OR(AND(IF(metadata!L903="",FALSE,TRUE),OR(exact(metadata!L903,"missing: not collected"),exact(metadata!L903,"missing: not provided"),exact(metadata!L903,"missing: restricted access"))),AND(IF(metadata!L903="",FALSE,ISNUMBER(VALUE(metadata!L903))),metadata!L903&gt;=-180.00,metadata!L903&lt;=180.00))</f>
        <v>0</v>
      </c>
      <c r="AM903">
        <f>IF(metadata!M903="",FALSE,TRUE)</f>
        <v>0</v>
      </c>
      <c r="AN903">
        <f>OR(AND(IF(metadata!N903="",FALSE,TRUE),OR(exact(metadata!N903,"missing: not collected"),exact(metadata!N903,"missing: not provided"),exact(metadata!N903,"missing: restricted access"))),AND(IF(metadata!N903="",FALSE,TRUE),OR(exact(metadata!N903,"TRUE"),exact(metadata!N903,"FALSE"))))</f>
        <v>0</v>
      </c>
      <c r="AO903">
        <f>IF(metadata!O903="",FALSE,TRUE)</f>
        <v>0</v>
      </c>
      <c r="AP903">
        <f>OR(AND(IF(metadata!P903="",FALSE,TRUE),OR(exact(metadata!P903,"missing: not collected"),exact(metadata!P903,"missing: not provided"))),AND(IF(metadata!P903="",FALSE,IF(ISERROR(INT(metadata!P903)),FALSE,INT(metadata!P903)=metadata!P903)),metadata!P903&gt;0))</f>
        <v>0</v>
      </c>
      <c r="AQ903">
        <f>IF(metadata!Q903="",FALSE,TRUE)</f>
        <v>0</v>
      </c>
    </row>
    <row r="904" spans="1:43">
      <c r="A904" s="5">
        <f>IF(B904=" "," ",HYPERLINK(CONCATENATE("#metadata!",ADDRESS(INDEX($W$2:$W$1001,MATCH(ROWS($U$2:U904),$U$2:$U$1001,0),0),1)),INDEX($Z$2:$Z$1001,MATCH(ROWS($U$2:U904),$U$2:$U$1001,0),0)))</f>
        <v>0</v>
      </c>
      <c r="B904" s="4">
        <f>IF(OR(INDEX($V$2:$V$1001,MATCH(ROWS($U$2:U904),$U$2:$U$1001,0),1)&gt;=100000,INDEX($AB$1005:$AQ$1005,1,MATCH(COLUMNS($AB$1006:AB1006),$AB$1006:$AQ$1006,0))&gt;=100000), " ",IF(INDEX($AB$2:$AQ$1001,MATCH(ROWS($U$2:U904),$U$2:$U$1001,0),MATCH(COLUMNS($AB$1006:AB1006),$AB$1006:$AQ$1006,0)), HYPERLINK("#",""), HYPERLINK(CONCATENATE("#metadata!", ADDRESS(INDEX($W$2:$W$1001,MATCH(ROWS($U$2:U904),$U$2:$U$1001,0),0), INDEX($AB$1004:$AQ$1004,1,MATCH(COLUMNS($AB$1006:AB1006),$AB$1006:$AQ$1006,0)))),"Fix")))</f>
        <v>0</v>
      </c>
      <c r="C904" s="4">
        <f>IF(OR(INDEX($V$2:$V$1001,MATCH(ROWS($U$2:U904),$U$2:$U$1001,0),1)&gt;=100000,INDEX($AB$1005:$AQ$1005,1,MATCH(COLUMNS($AB$1006:AC1006),$AB$1006:$AQ$1006,0))&gt;=100000), " ",IF(INDEX($AB$2:$AQ$1001,MATCH(ROWS($U$2:U904),$U$2:$U$1001,0),MATCH(COLUMNS($AB$1006:AC1006),$AB$1006:$AQ$1006,0)), HYPERLINK("#",""), HYPERLINK(CONCATENATE("#metadata!", ADDRESS(INDEX($W$2:$W$1001,MATCH(ROWS($U$2:U904),$U$2:$U$1001,0),0), INDEX($AB$1004:$AQ$1004,1,MATCH(COLUMNS($AB$1006:AC1006),$AB$1006:$AQ$1006,0)))),"Fix")))</f>
        <v>0</v>
      </c>
      <c r="D904" s="4">
        <f>IF(OR(INDEX($V$2:$V$1001,MATCH(ROWS($U$2:U904),$U$2:$U$1001,0),1)&gt;=100000,INDEX($AB$1005:$AQ$1005,1,MATCH(COLUMNS($AB$1006:AD1006),$AB$1006:$AQ$1006,0))&gt;=100000), " ",IF(INDEX($AB$2:$AQ$1001,MATCH(ROWS($U$2:U904),$U$2:$U$1001,0),MATCH(COLUMNS($AB$1006:AD1006),$AB$1006:$AQ$1006,0)), HYPERLINK("#",""), HYPERLINK(CONCATENATE("#metadata!", ADDRESS(INDEX($W$2:$W$1001,MATCH(ROWS($U$2:U904),$U$2:$U$1001,0),0), INDEX($AB$1004:$AQ$1004,1,MATCH(COLUMNS($AB$1006:AD1006),$AB$1006:$AQ$1006,0)))),"Fix")))</f>
        <v>0</v>
      </c>
      <c r="E904" s="4">
        <f>IF(OR(INDEX($V$2:$V$1001,MATCH(ROWS($U$2:U904),$U$2:$U$1001,0),1)&gt;=100000,INDEX($AB$1005:$AQ$1005,1,MATCH(COLUMNS($AB$1006:AE1006),$AB$1006:$AQ$1006,0))&gt;=100000), " ",IF(INDEX($AB$2:$AQ$1001,MATCH(ROWS($U$2:U904),$U$2:$U$1001,0),MATCH(COLUMNS($AB$1006:AE1006),$AB$1006:$AQ$1006,0)), HYPERLINK("#",""), HYPERLINK(CONCATENATE("#metadata!", ADDRESS(INDEX($W$2:$W$1001,MATCH(ROWS($U$2:U904),$U$2:$U$1001,0),0), INDEX($AB$1004:$AQ$1004,1,MATCH(COLUMNS($AB$1006:AE1006),$AB$1006:$AQ$1006,0)))),"Fix")))</f>
        <v>0</v>
      </c>
      <c r="F904" s="4">
        <f>IF(OR(INDEX($V$2:$V$1001,MATCH(ROWS($U$2:U904),$U$2:$U$1001,0),1)&gt;=100000,INDEX($AB$1005:$AQ$1005,1,MATCH(COLUMNS($AB$1006:AF1006),$AB$1006:$AQ$1006,0))&gt;=100000), " ",IF(INDEX($AB$2:$AQ$1001,MATCH(ROWS($U$2:U904),$U$2:$U$1001,0),MATCH(COLUMNS($AB$1006:AF1006),$AB$1006:$AQ$1006,0)), HYPERLINK("#",""), HYPERLINK(CONCATENATE("#metadata!", ADDRESS(INDEX($W$2:$W$1001,MATCH(ROWS($U$2:U904),$U$2:$U$1001,0),0), INDEX($AB$1004:$AQ$1004,1,MATCH(COLUMNS($AB$1006:AF1006),$AB$1006:$AQ$1006,0)))),"Fix")))</f>
        <v>0</v>
      </c>
      <c r="G904" s="4">
        <f>IF(OR(INDEX($V$2:$V$1001,MATCH(ROWS($U$2:U904),$U$2:$U$1001,0),1)&gt;=100000,INDEX($AB$1005:$AQ$1005,1,MATCH(COLUMNS($AB$1006:AG1006),$AB$1006:$AQ$1006,0))&gt;=100000), " ",IF(INDEX($AB$2:$AQ$1001,MATCH(ROWS($U$2:U904),$U$2:$U$1001,0),MATCH(COLUMNS($AB$1006:AG1006),$AB$1006:$AQ$1006,0)), HYPERLINK("#",""), HYPERLINK(CONCATENATE("#metadata!", ADDRESS(INDEX($W$2:$W$1001,MATCH(ROWS($U$2:U904),$U$2:$U$1001,0),0), INDEX($AB$1004:$AQ$1004,1,MATCH(COLUMNS($AB$1006:AG1006),$AB$1006:$AQ$1006,0)))),"Fix")))</f>
        <v>0</v>
      </c>
      <c r="H904" s="4">
        <f>IF(OR(INDEX($V$2:$V$1001,MATCH(ROWS($U$2:U904),$U$2:$U$1001,0),1)&gt;=100000,INDEX($AB$1005:$AQ$1005,1,MATCH(COLUMNS($AB$1006:AH1006),$AB$1006:$AQ$1006,0))&gt;=100000), " ",IF(INDEX($AB$2:$AQ$1001,MATCH(ROWS($U$2:U904),$U$2:$U$1001,0),MATCH(COLUMNS($AB$1006:AH1006),$AB$1006:$AQ$1006,0)), HYPERLINK("#",""), HYPERLINK(CONCATENATE("#metadata!", ADDRESS(INDEX($W$2:$W$1001,MATCH(ROWS($U$2:U904),$U$2:$U$1001,0),0), INDEX($AB$1004:$AQ$1004,1,MATCH(COLUMNS($AB$1006:AH1006),$AB$1006:$AQ$1006,0)))),"Fix")))</f>
        <v>0</v>
      </c>
      <c r="I904" s="4">
        <f>IF(OR(INDEX($V$2:$V$1001,MATCH(ROWS($U$2:U904),$U$2:$U$1001,0),1)&gt;=100000,INDEX($AB$1005:$AQ$1005,1,MATCH(COLUMNS($AB$1006:AI1006),$AB$1006:$AQ$1006,0))&gt;=100000), " ",IF(INDEX($AB$2:$AQ$1001,MATCH(ROWS($U$2:U904),$U$2:$U$1001,0),MATCH(COLUMNS($AB$1006:AI1006),$AB$1006:$AQ$1006,0)), HYPERLINK("#",""), HYPERLINK(CONCATENATE("#metadata!", ADDRESS(INDEX($W$2:$W$1001,MATCH(ROWS($U$2:U904),$U$2:$U$1001,0),0), INDEX($AB$1004:$AQ$1004,1,MATCH(COLUMNS($AB$1006:AI1006),$AB$1006:$AQ$1006,0)))),"Fix")))</f>
        <v>0</v>
      </c>
      <c r="J904" s="4">
        <f>IF(OR(INDEX($V$2:$V$1001,MATCH(ROWS($U$2:U904),$U$2:$U$1001,0),1)&gt;=100000,INDEX($AB$1005:$AQ$1005,1,MATCH(COLUMNS($AB$1006:AJ1006),$AB$1006:$AQ$1006,0))&gt;=100000), " ",IF(INDEX($AB$2:$AQ$1001,MATCH(ROWS($U$2:U904),$U$2:$U$1001,0),MATCH(COLUMNS($AB$1006:AJ1006),$AB$1006:$AQ$1006,0)), HYPERLINK("#",""), HYPERLINK(CONCATENATE("#metadata!", ADDRESS(INDEX($W$2:$W$1001,MATCH(ROWS($U$2:U904),$U$2:$U$1001,0),0), INDEX($AB$1004:$AQ$1004,1,MATCH(COLUMNS($AB$1006:AJ1006),$AB$1006:$AQ$1006,0)))),"Fix")))</f>
        <v>0</v>
      </c>
      <c r="K904" s="4">
        <f>IF(OR(INDEX($V$2:$V$1001,MATCH(ROWS($U$2:U904),$U$2:$U$1001,0),1)&gt;=100000,INDEX($AB$1005:$AQ$1005,1,MATCH(COLUMNS($AB$1006:AK1006),$AB$1006:$AQ$1006,0))&gt;=100000), " ",IF(INDEX($AB$2:$AQ$1001,MATCH(ROWS($U$2:U904),$U$2:$U$1001,0),MATCH(COLUMNS($AB$1006:AK1006),$AB$1006:$AQ$1006,0)), HYPERLINK("#",""), HYPERLINK(CONCATENATE("#metadata!", ADDRESS(INDEX($W$2:$W$1001,MATCH(ROWS($U$2:U904),$U$2:$U$1001,0),0), INDEX($AB$1004:$AQ$1004,1,MATCH(COLUMNS($AB$1006:AK1006),$AB$1006:$AQ$1006,0)))),"Fix")))</f>
        <v>0</v>
      </c>
      <c r="L904" s="4">
        <f>IF(OR(INDEX($V$2:$V$1001,MATCH(ROWS($U$2:U904),$U$2:$U$1001,0),1)&gt;=100000,INDEX($AB$1005:$AQ$1005,1,MATCH(COLUMNS($AB$1006:AL1006),$AB$1006:$AQ$1006,0))&gt;=100000), " ",IF(INDEX($AB$2:$AQ$1001,MATCH(ROWS($U$2:U904),$U$2:$U$1001,0),MATCH(COLUMNS($AB$1006:AL1006),$AB$1006:$AQ$1006,0)), HYPERLINK("#",""), HYPERLINK(CONCATENATE("#metadata!", ADDRESS(INDEX($W$2:$W$1001,MATCH(ROWS($U$2:U904),$U$2:$U$1001,0),0), INDEX($AB$1004:$AQ$1004,1,MATCH(COLUMNS($AB$1006:AL1006),$AB$1006:$AQ$1006,0)))),"Fix")))</f>
        <v>0</v>
      </c>
      <c r="M904" s="4">
        <f>IF(OR(INDEX($V$2:$V$1001,MATCH(ROWS($U$2:U904),$U$2:$U$1001,0),1)&gt;=100000,INDEX($AB$1005:$AQ$1005,1,MATCH(COLUMNS($AB$1006:AM1006),$AB$1006:$AQ$1006,0))&gt;=100000), " ",IF(INDEX($AB$2:$AQ$1001,MATCH(ROWS($U$2:U904),$U$2:$U$1001,0),MATCH(COLUMNS($AB$1006:AM1006),$AB$1006:$AQ$1006,0)), HYPERLINK("#",""), HYPERLINK(CONCATENATE("#metadata!", ADDRESS(INDEX($W$2:$W$1001,MATCH(ROWS($U$2:U904),$U$2:$U$1001,0),0), INDEX($AB$1004:$AQ$1004,1,MATCH(COLUMNS($AB$1006:AM1006),$AB$1006:$AQ$1006,0)))),"Fix")))</f>
        <v>0</v>
      </c>
      <c r="N904" s="4">
        <f>IF(OR(INDEX($V$2:$V$1001,MATCH(ROWS($U$2:U904),$U$2:$U$1001,0),1)&gt;=100000,INDEX($AB$1005:$AQ$1005,1,MATCH(COLUMNS($AB$1006:AN1006),$AB$1006:$AQ$1006,0))&gt;=100000), " ",IF(INDEX($AB$2:$AQ$1001,MATCH(ROWS($U$2:U904),$U$2:$U$1001,0),MATCH(COLUMNS($AB$1006:AN1006),$AB$1006:$AQ$1006,0)), HYPERLINK("#",""), HYPERLINK(CONCATENATE("#metadata!", ADDRESS(INDEX($W$2:$W$1001,MATCH(ROWS($U$2:U904),$U$2:$U$1001,0),0), INDEX($AB$1004:$AQ$1004,1,MATCH(COLUMNS($AB$1006:AN1006),$AB$1006:$AQ$1006,0)))),"Fix")))</f>
        <v>0</v>
      </c>
      <c r="O904" s="4">
        <f>IF(OR(INDEX($V$2:$V$1001,MATCH(ROWS($U$2:U904),$U$2:$U$1001,0),1)&gt;=100000,INDEX($AB$1005:$AQ$1005,1,MATCH(COLUMNS($AB$1006:AO1006),$AB$1006:$AQ$1006,0))&gt;=100000), " ",IF(INDEX($AB$2:$AQ$1001,MATCH(ROWS($U$2:U904),$U$2:$U$1001,0),MATCH(COLUMNS($AB$1006:AO1006),$AB$1006:$AQ$1006,0)), HYPERLINK("#",""), HYPERLINK(CONCATENATE("#metadata!", ADDRESS(INDEX($W$2:$W$1001,MATCH(ROWS($U$2:U904),$U$2:$U$1001,0),0), INDEX($AB$1004:$AQ$1004,1,MATCH(COLUMNS($AB$1006:AO1006),$AB$1006:$AQ$1006,0)))),"Fix")))</f>
        <v>0</v>
      </c>
      <c r="P904" s="4">
        <f>IF(OR(INDEX($V$2:$V$1001,MATCH(ROWS($U$2:U904),$U$2:$U$1001,0),1)&gt;=100000,INDEX($AB$1005:$AQ$1005,1,MATCH(COLUMNS($AB$1006:AP1006),$AB$1006:$AQ$1006,0))&gt;=100000), " ",IF(INDEX($AB$2:$AQ$1001,MATCH(ROWS($U$2:U904),$U$2:$U$1001,0),MATCH(COLUMNS($AB$1006:AP1006),$AB$1006:$AQ$1006,0)), HYPERLINK("#",""), HYPERLINK(CONCATENATE("#metadata!", ADDRESS(INDEX($W$2:$W$1001,MATCH(ROWS($U$2:U904),$U$2:$U$1001,0),0), INDEX($AB$1004:$AQ$1004,1,MATCH(COLUMNS($AB$1006:AP1006),$AB$1006:$AQ$1006,0)))),"Fix")))</f>
        <v>0</v>
      </c>
      <c r="Q904" s="4">
        <f>IF(OR(INDEX($V$2:$V$1001,MATCH(ROWS($U$2:U904),$U$2:$U$1001,0),1)&gt;=100000,INDEX($AB$1005:$AQ$1005,1,MATCH(COLUMNS($AB$1006:AQ1006),$AB$1006:$AQ$1006,0))&gt;=100000), " ",IF(INDEX($AB$2:$AQ$1001,MATCH(ROWS($U$2:U904),$U$2:$U$1001,0),MATCH(COLUMNS($AB$1006:AQ1006),$AB$1006:$AQ$1006,0)), HYPERLINK("#",""), HYPERLINK(CONCATENATE("#metadata!", ADDRESS(INDEX($W$2:$W$1001,MATCH(ROWS($U$2:U904),$U$2:$U$1001,0),0), INDEX($AB$1004:$AQ$1004,1,MATCH(COLUMNS($AB$1006:AQ1006),$AB$1006:$AQ$1006,0)))),"Fix")))</f>
        <v>0</v>
      </c>
      <c r="U904">
        <v>0</v>
      </c>
      <c r="V904">
        <v>0</v>
      </c>
      <c r="W904">
        <v>0</v>
      </c>
      <c r="X904">
        <f>IF(Y904,TRUE,AND(AB904:AQ904))</f>
        <v>0</v>
      </c>
      <c r="Y904">
        <f>COUNTBLANK(metadata!B904:Q904)=COLUMNS(metadata!B904:Q904)</f>
        <v>0</v>
      </c>
      <c r="Z904">
        <v>0</v>
      </c>
      <c r="AB904">
        <f>AND(IF(metadata!B904="",FALSE,TRUE),COUNTIF(metadata!B:B, metadata!B904) = 1,NOT(ISERROR(SUMPRODUCT(SEARCH(MID(metadata!B904,ROW(INDIRECT("1:"&amp;LEN(metadata!B904))), 1),"0123456789abcdefghijklmnopqrstuvwxyzABCDEFGHIJKLMNOPQRSTUVWXYZ.")))))</f>
        <v>0</v>
      </c>
      <c r="AC904">
        <f>OR(AND(IF(metadata!C904="",FALSE,TRUE),OR(exact(metadata!C904,"missing: not collected"),exact(metadata!C904,"missing: not provided"),exact(metadata!C904,"missing: restricted access"))),AND(IF(metadata!C904="",FALSE,TRUE),AND(AND(IFERROR(INT(LEFT(metadata!C904,4))&gt;1900,FALSE),IFERROR(INT(LEFT(metadata!C904,4))&lt;=YEAR(NOW()),FALSE)), OR(MID(metadata!C904,5,1)="", AND(AND(MID(metadata!C904,5,1)="-",IFERROR(INT(MID(metadata!C904,6,1))&gt;=0,FALSE),IFERROR(INT(MID(metadata!C904,6,1))&lt;=1,FALSE),NOT(MID(metadata!C904,7,1)=""),IFERROR(INT(MID(metadata!C904,6,2))&gt;=1,FALSE),IFERROR(INT(MID(metadata!C904,6,2))&lt;=12,FALSE)), OR(MID(metadata!C904,8,1)="", AND(AND(MID(metadata!C904,8,1)="-",IFERROR(INT(MID(metadata!C904,9,1))&gt;=0,FALSE),IFERROR(INT(MID(metadata!C904,9,1))&lt;=3,FALSE),NOT(MID(metadata!C904,10,1)=""),IFERROR(INT(MID(metadata!C904,9,2))&gt;=1,FALSE),IFERROR(INT(MID(metadata!C904,9,2))&lt;=31,FALSE)), OR(MID(metadata!C904,11,1)="", AND(AND(MID(metadata!C904,11,1)=" ",IFERROR(INT(MID(metadata!C904,12,1))&gt;=0,FALSE),IFERROR(INT(MID(metadata!C904,12,1))&lt;=2,FALSE),NOT(MID(metadata!C904,13,1)=""),IFERROR(INT(MID(metadata!C904,12,2))&gt;=0,FALSE),IFERROR(INT(MID(metadata!C904,12,2))&lt;=23,FALSE)), OR(MID(metadata!C904,14,1)="", AND(AND(MID(metadata!C904,14,1)=":",IFERROR(INT(MID(metadata!C904,15,1))&gt;=0,FALSE),IFERROR(INT(MID(metadata!C904,15,1))&lt;=5,FALSE),NOT(MID(metadata!C904,16,1)=""),IFERROR(INT(MID(metadata!C904,15,2))&gt;=0,FALSE),IFERROR(INT(MID(metadata!C904,15,2))&lt;=59,FALSE)), OR(MID(metadata!C904,17,1)="", AND(AND(MID(metadata!C904,17,1)=":",IFERROR(INT(MID(metadata!C904,18,1))&gt;=0,FALSE),IFERROR(INT(MID(metadata!C904,18,1))&lt;=5,FALSE),NOT(MID(metadata!C904,19,1)=""),IFERROR(INT(MID(metadata!C904,18,2))&gt;=0,FALSE),IFERROR(INT(MID(metadata!C904,18,2))&lt;=59,FALSE)), LEN(metadata!C904)&lt;=19)))))))))))))</f>
        <v>0</v>
      </c>
      <c r="AD904">
        <f>IF(metadata!D904="",FALSE,TRUE)</f>
        <v>0</v>
      </c>
      <c r="AE904">
        <f>OR(AND(IF(metadata!E904="",FALSE,TRUE),OR(exact(metadata!E904,"missing: not collected"),exact(metadata!E904,"missing: not provided"))),AND(IF(metadata!E904="",FALSE,TRUE),OR(exact(metadata!E904,"TRUE"),exact(metadata!E904,"FALSE"))))</f>
        <v>0</v>
      </c>
      <c r="AF904">
        <f>IF(metadata!F904="",FALSE,TRUE)</f>
        <v>0</v>
      </c>
      <c r="AG904">
        <f>IF(metadata!G904="",FALSE,TRUE)</f>
        <v>0</v>
      </c>
      <c r="AH904">
        <f>IF(metadata!H904="",FALSE,TRUE)</f>
        <v>0</v>
      </c>
      <c r="AI904">
        <f>OR(AND(IF(metadata!I904="",FALSE,TRUE),OR(exact(metadata!I904,"missing: not collected"),exact(metadata!I904,"missing: not provided"),exact(metadata!I904,"missing: restricted access"))),AND(IF(metadata!I904="",FALSE,TRUE),OR(exact(metadata!I904,"air"),exact(metadata!I904,"built environment"),exact(metadata!I904,"host-associated"),exact(metadata!I904,"human-associated"),exact(metadata!I904,"human-skin"),exact(metadata!I904,"human-oral"),exact(metadata!I904,"human-gut"),exact(metadata!I904,"human-vaginal"),exact(metadata!I904,"microbial mat/biofilm"),exact(metadata!I904,"misc environment"),exact(metadata!I904,"plant-associated"),exact(metadata!I904,"sediment"),exact(metadata!I904,"soil"),exact(metadata!I904,"wastewater/sludge"),exact(metadata!I904,"water"))))</f>
        <v>0</v>
      </c>
      <c r="AJ904">
        <f>IF(metadata!J904="",FALSE,TRUE)</f>
        <v>0</v>
      </c>
      <c r="AK904">
        <f>OR(AND(IF(metadata!K904="",FALSE,TRUE),OR(exact(metadata!K904,"missing: not collected"),exact(metadata!K904,"missing: not provided"),exact(metadata!K904,"missing: restricted access"))),AND(IF(metadata!K904="",FALSE,ISNUMBER(VALUE(metadata!K904))),metadata!K904&gt;=-90.00,metadata!K904&lt;=90.00))</f>
        <v>0</v>
      </c>
      <c r="AL904">
        <f>OR(AND(IF(metadata!L904="",FALSE,TRUE),OR(exact(metadata!L904,"missing: not collected"),exact(metadata!L904,"missing: not provided"),exact(metadata!L904,"missing: restricted access"))),AND(IF(metadata!L904="",FALSE,ISNUMBER(VALUE(metadata!L904))),metadata!L904&gt;=-180.00,metadata!L904&lt;=180.00))</f>
        <v>0</v>
      </c>
      <c r="AM904">
        <f>IF(metadata!M904="",FALSE,TRUE)</f>
        <v>0</v>
      </c>
      <c r="AN904">
        <f>OR(AND(IF(metadata!N904="",FALSE,TRUE),OR(exact(metadata!N904,"missing: not collected"),exact(metadata!N904,"missing: not provided"),exact(metadata!N904,"missing: restricted access"))),AND(IF(metadata!N904="",FALSE,TRUE),OR(exact(metadata!N904,"TRUE"),exact(metadata!N904,"FALSE"))))</f>
        <v>0</v>
      </c>
      <c r="AO904">
        <f>IF(metadata!O904="",FALSE,TRUE)</f>
        <v>0</v>
      </c>
      <c r="AP904">
        <f>OR(AND(IF(metadata!P904="",FALSE,TRUE),OR(exact(metadata!P904,"missing: not collected"),exact(metadata!P904,"missing: not provided"))),AND(IF(metadata!P904="",FALSE,IF(ISERROR(INT(metadata!P904)),FALSE,INT(metadata!P904)=metadata!P904)),metadata!P904&gt;0))</f>
        <v>0</v>
      </c>
      <c r="AQ904">
        <f>IF(metadata!Q904="",FALSE,TRUE)</f>
        <v>0</v>
      </c>
    </row>
    <row r="905" spans="1:43">
      <c r="A905" s="5">
        <f>IF(B905=" "," ",HYPERLINK(CONCATENATE("#metadata!",ADDRESS(INDEX($W$2:$W$1001,MATCH(ROWS($U$2:U905),$U$2:$U$1001,0),0),1)),INDEX($Z$2:$Z$1001,MATCH(ROWS($U$2:U905),$U$2:$U$1001,0),0)))</f>
        <v>0</v>
      </c>
      <c r="B905" s="4">
        <f>IF(OR(INDEX($V$2:$V$1001,MATCH(ROWS($U$2:U905),$U$2:$U$1001,0),1)&gt;=100000,INDEX($AB$1005:$AQ$1005,1,MATCH(COLUMNS($AB$1006:AB1006),$AB$1006:$AQ$1006,0))&gt;=100000), " ",IF(INDEX($AB$2:$AQ$1001,MATCH(ROWS($U$2:U905),$U$2:$U$1001,0),MATCH(COLUMNS($AB$1006:AB1006),$AB$1006:$AQ$1006,0)), HYPERLINK("#",""), HYPERLINK(CONCATENATE("#metadata!", ADDRESS(INDEX($W$2:$W$1001,MATCH(ROWS($U$2:U905),$U$2:$U$1001,0),0), INDEX($AB$1004:$AQ$1004,1,MATCH(COLUMNS($AB$1006:AB1006),$AB$1006:$AQ$1006,0)))),"Fix")))</f>
        <v>0</v>
      </c>
      <c r="C905" s="4">
        <f>IF(OR(INDEX($V$2:$V$1001,MATCH(ROWS($U$2:U905),$U$2:$U$1001,0),1)&gt;=100000,INDEX($AB$1005:$AQ$1005,1,MATCH(COLUMNS($AB$1006:AC1006),$AB$1006:$AQ$1006,0))&gt;=100000), " ",IF(INDEX($AB$2:$AQ$1001,MATCH(ROWS($U$2:U905),$U$2:$U$1001,0),MATCH(COLUMNS($AB$1006:AC1006),$AB$1006:$AQ$1006,0)), HYPERLINK("#",""), HYPERLINK(CONCATENATE("#metadata!", ADDRESS(INDEX($W$2:$W$1001,MATCH(ROWS($U$2:U905),$U$2:$U$1001,0),0), INDEX($AB$1004:$AQ$1004,1,MATCH(COLUMNS($AB$1006:AC1006),$AB$1006:$AQ$1006,0)))),"Fix")))</f>
        <v>0</v>
      </c>
      <c r="D905" s="4">
        <f>IF(OR(INDEX($V$2:$V$1001,MATCH(ROWS($U$2:U905),$U$2:$U$1001,0),1)&gt;=100000,INDEX($AB$1005:$AQ$1005,1,MATCH(COLUMNS($AB$1006:AD1006),$AB$1006:$AQ$1006,0))&gt;=100000), " ",IF(INDEX($AB$2:$AQ$1001,MATCH(ROWS($U$2:U905),$U$2:$U$1001,0),MATCH(COLUMNS($AB$1006:AD1006),$AB$1006:$AQ$1006,0)), HYPERLINK("#",""), HYPERLINK(CONCATENATE("#metadata!", ADDRESS(INDEX($W$2:$W$1001,MATCH(ROWS($U$2:U905),$U$2:$U$1001,0),0), INDEX($AB$1004:$AQ$1004,1,MATCH(COLUMNS($AB$1006:AD1006),$AB$1006:$AQ$1006,0)))),"Fix")))</f>
        <v>0</v>
      </c>
      <c r="E905" s="4">
        <f>IF(OR(INDEX($V$2:$V$1001,MATCH(ROWS($U$2:U905),$U$2:$U$1001,0),1)&gt;=100000,INDEX($AB$1005:$AQ$1005,1,MATCH(COLUMNS($AB$1006:AE1006),$AB$1006:$AQ$1006,0))&gt;=100000), " ",IF(INDEX($AB$2:$AQ$1001,MATCH(ROWS($U$2:U905),$U$2:$U$1001,0),MATCH(COLUMNS($AB$1006:AE1006),$AB$1006:$AQ$1006,0)), HYPERLINK("#",""), HYPERLINK(CONCATENATE("#metadata!", ADDRESS(INDEX($W$2:$W$1001,MATCH(ROWS($U$2:U905),$U$2:$U$1001,0),0), INDEX($AB$1004:$AQ$1004,1,MATCH(COLUMNS($AB$1006:AE1006),$AB$1006:$AQ$1006,0)))),"Fix")))</f>
        <v>0</v>
      </c>
      <c r="F905" s="4">
        <f>IF(OR(INDEX($V$2:$V$1001,MATCH(ROWS($U$2:U905),$U$2:$U$1001,0),1)&gt;=100000,INDEX($AB$1005:$AQ$1005,1,MATCH(COLUMNS($AB$1006:AF1006),$AB$1006:$AQ$1006,0))&gt;=100000), " ",IF(INDEX($AB$2:$AQ$1001,MATCH(ROWS($U$2:U905),$U$2:$U$1001,0),MATCH(COLUMNS($AB$1006:AF1006),$AB$1006:$AQ$1006,0)), HYPERLINK("#",""), HYPERLINK(CONCATENATE("#metadata!", ADDRESS(INDEX($W$2:$W$1001,MATCH(ROWS($U$2:U905),$U$2:$U$1001,0),0), INDEX($AB$1004:$AQ$1004,1,MATCH(COLUMNS($AB$1006:AF1006),$AB$1006:$AQ$1006,0)))),"Fix")))</f>
        <v>0</v>
      </c>
      <c r="G905" s="4">
        <f>IF(OR(INDEX($V$2:$V$1001,MATCH(ROWS($U$2:U905),$U$2:$U$1001,0),1)&gt;=100000,INDEX($AB$1005:$AQ$1005,1,MATCH(COLUMNS($AB$1006:AG1006),$AB$1006:$AQ$1006,0))&gt;=100000), " ",IF(INDEX($AB$2:$AQ$1001,MATCH(ROWS($U$2:U905),$U$2:$U$1001,0),MATCH(COLUMNS($AB$1006:AG1006),$AB$1006:$AQ$1006,0)), HYPERLINK("#",""), HYPERLINK(CONCATENATE("#metadata!", ADDRESS(INDEX($W$2:$W$1001,MATCH(ROWS($U$2:U905),$U$2:$U$1001,0),0), INDEX($AB$1004:$AQ$1004,1,MATCH(COLUMNS($AB$1006:AG1006),$AB$1006:$AQ$1006,0)))),"Fix")))</f>
        <v>0</v>
      </c>
      <c r="H905" s="4">
        <f>IF(OR(INDEX($V$2:$V$1001,MATCH(ROWS($U$2:U905),$U$2:$U$1001,0),1)&gt;=100000,INDEX($AB$1005:$AQ$1005,1,MATCH(COLUMNS($AB$1006:AH1006),$AB$1006:$AQ$1006,0))&gt;=100000), " ",IF(INDEX($AB$2:$AQ$1001,MATCH(ROWS($U$2:U905),$U$2:$U$1001,0),MATCH(COLUMNS($AB$1006:AH1006),$AB$1006:$AQ$1006,0)), HYPERLINK("#",""), HYPERLINK(CONCATENATE("#metadata!", ADDRESS(INDEX($W$2:$W$1001,MATCH(ROWS($U$2:U905),$U$2:$U$1001,0),0), INDEX($AB$1004:$AQ$1004,1,MATCH(COLUMNS($AB$1006:AH1006),$AB$1006:$AQ$1006,0)))),"Fix")))</f>
        <v>0</v>
      </c>
      <c r="I905" s="4">
        <f>IF(OR(INDEX($V$2:$V$1001,MATCH(ROWS($U$2:U905),$U$2:$U$1001,0),1)&gt;=100000,INDEX($AB$1005:$AQ$1005,1,MATCH(COLUMNS($AB$1006:AI1006),$AB$1006:$AQ$1006,0))&gt;=100000), " ",IF(INDEX($AB$2:$AQ$1001,MATCH(ROWS($U$2:U905),$U$2:$U$1001,0),MATCH(COLUMNS($AB$1006:AI1006),$AB$1006:$AQ$1006,0)), HYPERLINK("#",""), HYPERLINK(CONCATENATE("#metadata!", ADDRESS(INDEX($W$2:$W$1001,MATCH(ROWS($U$2:U905),$U$2:$U$1001,0),0), INDEX($AB$1004:$AQ$1004,1,MATCH(COLUMNS($AB$1006:AI1006),$AB$1006:$AQ$1006,0)))),"Fix")))</f>
        <v>0</v>
      </c>
      <c r="J905" s="4">
        <f>IF(OR(INDEX($V$2:$V$1001,MATCH(ROWS($U$2:U905),$U$2:$U$1001,0),1)&gt;=100000,INDEX($AB$1005:$AQ$1005,1,MATCH(COLUMNS($AB$1006:AJ1006),$AB$1006:$AQ$1006,0))&gt;=100000), " ",IF(INDEX($AB$2:$AQ$1001,MATCH(ROWS($U$2:U905),$U$2:$U$1001,0),MATCH(COLUMNS($AB$1006:AJ1006),$AB$1006:$AQ$1006,0)), HYPERLINK("#",""), HYPERLINK(CONCATENATE("#metadata!", ADDRESS(INDEX($W$2:$W$1001,MATCH(ROWS($U$2:U905),$U$2:$U$1001,0),0), INDEX($AB$1004:$AQ$1004,1,MATCH(COLUMNS($AB$1006:AJ1006),$AB$1006:$AQ$1006,0)))),"Fix")))</f>
        <v>0</v>
      </c>
      <c r="K905" s="4">
        <f>IF(OR(INDEX($V$2:$V$1001,MATCH(ROWS($U$2:U905),$U$2:$U$1001,0),1)&gt;=100000,INDEX($AB$1005:$AQ$1005,1,MATCH(COLUMNS($AB$1006:AK1006),$AB$1006:$AQ$1006,0))&gt;=100000), " ",IF(INDEX($AB$2:$AQ$1001,MATCH(ROWS($U$2:U905),$U$2:$U$1001,0),MATCH(COLUMNS($AB$1006:AK1006),$AB$1006:$AQ$1006,0)), HYPERLINK("#",""), HYPERLINK(CONCATENATE("#metadata!", ADDRESS(INDEX($W$2:$W$1001,MATCH(ROWS($U$2:U905),$U$2:$U$1001,0),0), INDEX($AB$1004:$AQ$1004,1,MATCH(COLUMNS($AB$1006:AK1006),$AB$1006:$AQ$1006,0)))),"Fix")))</f>
        <v>0</v>
      </c>
      <c r="L905" s="4">
        <f>IF(OR(INDEX($V$2:$V$1001,MATCH(ROWS($U$2:U905),$U$2:$U$1001,0),1)&gt;=100000,INDEX($AB$1005:$AQ$1005,1,MATCH(COLUMNS($AB$1006:AL1006),$AB$1006:$AQ$1006,0))&gt;=100000), " ",IF(INDEX($AB$2:$AQ$1001,MATCH(ROWS($U$2:U905),$U$2:$U$1001,0),MATCH(COLUMNS($AB$1006:AL1006),$AB$1006:$AQ$1006,0)), HYPERLINK("#",""), HYPERLINK(CONCATENATE("#metadata!", ADDRESS(INDEX($W$2:$W$1001,MATCH(ROWS($U$2:U905),$U$2:$U$1001,0),0), INDEX($AB$1004:$AQ$1004,1,MATCH(COLUMNS($AB$1006:AL1006),$AB$1006:$AQ$1006,0)))),"Fix")))</f>
        <v>0</v>
      </c>
      <c r="M905" s="4">
        <f>IF(OR(INDEX($V$2:$V$1001,MATCH(ROWS($U$2:U905),$U$2:$U$1001,0),1)&gt;=100000,INDEX($AB$1005:$AQ$1005,1,MATCH(COLUMNS($AB$1006:AM1006),$AB$1006:$AQ$1006,0))&gt;=100000), " ",IF(INDEX($AB$2:$AQ$1001,MATCH(ROWS($U$2:U905),$U$2:$U$1001,0),MATCH(COLUMNS($AB$1006:AM1006),$AB$1006:$AQ$1006,0)), HYPERLINK("#",""), HYPERLINK(CONCATENATE("#metadata!", ADDRESS(INDEX($W$2:$W$1001,MATCH(ROWS($U$2:U905),$U$2:$U$1001,0),0), INDEX($AB$1004:$AQ$1004,1,MATCH(COLUMNS($AB$1006:AM1006),$AB$1006:$AQ$1006,0)))),"Fix")))</f>
        <v>0</v>
      </c>
      <c r="N905" s="4">
        <f>IF(OR(INDEX($V$2:$V$1001,MATCH(ROWS($U$2:U905),$U$2:$U$1001,0),1)&gt;=100000,INDEX($AB$1005:$AQ$1005,1,MATCH(COLUMNS($AB$1006:AN1006),$AB$1006:$AQ$1006,0))&gt;=100000), " ",IF(INDEX($AB$2:$AQ$1001,MATCH(ROWS($U$2:U905),$U$2:$U$1001,0),MATCH(COLUMNS($AB$1006:AN1006),$AB$1006:$AQ$1006,0)), HYPERLINK("#",""), HYPERLINK(CONCATENATE("#metadata!", ADDRESS(INDEX($W$2:$W$1001,MATCH(ROWS($U$2:U905),$U$2:$U$1001,0),0), INDEX($AB$1004:$AQ$1004,1,MATCH(COLUMNS($AB$1006:AN1006),$AB$1006:$AQ$1006,0)))),"Fix")))</f>
        <v>0</v>
      </c>
      <c r="O905" s="4">
        <f>IF(OR(INDEX($V$2:$V$1001,MATCH(ROWS($U$2:U905),$U$2:$U$1001,0),1)&gt;=100000,INDEX($AB$1005:$AQ$1005,1,MATCH(COLUMNS($AB$1006:AO1006),$AB$1006:$AQ$1006,0))&gt;=100000), " ",IF(INDEX($AB$2:$AQ$1001,MATCH(ROWS($U$2:U905),$U$2:$U$1001,0),MATCH(COLUMNS($AB$1006:AO1006),$AB$1006:$AQ$1006,0)), HYPERLINK("#",""), HYPERLINK(CONCATENATE("#metadata!", ADDRESS(INDEX($W$2:$W$1001,MATCH(ROWS($U$2:U905),$U$2:$U$1001,0),0), INDEX($AB$1004:$AQ$1004,1,MATCH(COLUMNS($AB$1006:AO1006),$AB$1006:$AQ$1006,0)))),"Fix")))</f>
        <v>0</v>
      </c>
      <c r="P905" s="4">
        <f>IF(OR(INDEX($V$2:$V$1001,MATCH(ROWS($U$2:U905),$U$2:$U$1001,0),1)&gt;=100000,INDEX($AB$1005:$AQ$1005,1,MATCH(COLUMNS($AB$1006:AP1006),$AB$1006:$AQ$1006,0))&gt;=100000), " ",IF(INDEX($AB$2:$AQ$1001,MATCH(ROWS($U$2:U905),$U$2:$U$1001,0),MATCH(COLUMNS($AB$1006:AP1006),$AB$1006:$AQ$1006,0)), HYPERLINK("#",""), HYPERLINK(CONCATENATE("#metadata!", ADDRESS(INDEX($W$2:$W$1001,MATCH(ROWS($U$2:U905),$U$2:$U$1001,0),0), INDEX($AB$1004:$AQ$1004,1,MATCH(COLUMNS($AB$1006:AP1006),$AB$1006:$AQ$1006,0)))),"Fix")))</f>
        <v>0</v>
      </c>
      <c r="Q905" s="4">
        <f>IF(OR(INDEX($V$2:$V$1001,MATCH(ROWS($U$2:U905),$U$2:$U$1001,0),1)&gt;=100000,INDEX($AB$1005:$AQ$1005,1,MATCH(COLUMNS($AB$1006:AQ1006),$AB$1006:$AQ$1006,0))&gt;=100000), " ",IF(INDEX($AB$2:$AQ$1001,MATCH(ROWS($U$2:U905),$U$2:$U$1001,0),MATCH(COLUMNS($AB$1006:AQ1006),$AB$1006:$AQ$1006,0)), HYPERLINK("#",""), HYPERLINK(CONCATENATE("#metadata!", ADDRESS(INDEX($W$2:$W$1001,MATCH(ROWS($U$2:U905),$U$2:$U$1001,0),0), INDEX($AB$1004:$AQ$1004,1,MATCH(COLUMNS($AB$1006:AQ1006),$AB$1006:$AQ$1006,0)))),"Fix")))</f>
        <v>0</v>
      </c>
      <c r="U905">
        <v>0</v>
      </c>
      <c r="V905">
        <v>0</v>
      </c>
      <c r="W905">
        <v>0</v>
      </c>
      <c r="X905">
        <f>IF(Y905,TRUE,AND(AB905:AQ905))</f>
        <v>0</v>
      </c>
      <c r="Y905">
        <f>COUNTBLANK(metadata!B905:Q905)=COLUMNS(metadata!B905:Q905)</f>
        <v>0</v>
      </c>
      <c r="Z905">
        <v>0</v>
      </c>
      <c r="AB905">
        <f>AND(IF(metadata!B905="",FALSE,TRUE),COUNTIF(metadata!B:B, metadata!B905) = 1,NOT(ISERROR(SUMPRODUCT(SEARCH(MID(metadata!B905,ROW(INDIRECT("1:"&amp;LEN(metadata!B905))), 1),"0123456789abcdefghijklmnopqrstuvwxyzABCDEFGHIJKLMNOPQRSTUVWXYZ.")))))</f>
        <v>0</v>
      </c>
      <c r="AC905">
        <f>OR(AND(IF(metadata!C905="",FALSE,TRUE),OR(exact(metadata!C905,"missing: not collected"),exact(metadata!C905,"missing: not provided"),exact(metadata!C905,"missing: restricted access"))),AND(IF(metadata!C905="",FALSE,TRUE),AND(AND(IFERROR(INT(LEFT(metadata!C905,4))&gt;1900,FALSE),IFERROR(INT(LEFT(metadata!C905,4))&lt;=YEAR(NOW()),FALSE)), OR(MID(metadata!C905,5,1)="", AND(AND(MID(metadata!C905,5,1)="-",IFERROR(INT(MID(metadata!C905,6,1))&gt;=0,FALSE),IFERROR(INT(MID(metadata!C905,6,1))&lt;=1,FALSE),NOT(MID(metadata!C905,7,1)=""),IFERROR(INT(MID(metadata!C905,6,2))&gt;=1,FALSE),IFERROR(INT(MID(metadata!C905,6,2))&lt;=12,FALSE)), OR(MID(metadata!C905,8,1)="", AND(AND(MID(metadata!C905,8,1)="-",IFERROR(INT(MID(metadata!C905,9,1))&gt;=0,FALSE),IFERROR(INT(MID(metadata!C905,9,1))&lt;=3,FALSE),NOT(MID(metadata!C905,10,1)=""),IFERROR(INT(MID(metadata!C905,9,2))&gt;=1,FALSE),IFERROR(INT(MID(metadata!C905,9,2))&lt;=31,FALSE)), OR(MID(metadata!C905,11,1)="", AND(AND(MID(metadata!C905,11,1)=" ",IFERROR(INT(MID(metadata!C905,12,1))&gt;=0,FALSE),IFERROR(INT(MID(metadata!C905,12,1))&lt;=2,FALSE),NOT(MID(metadata!C905,13,1)=""),IFERROR(INT(MID(metadata!C905,12,2))&gt;=0,FALSE),IFERROR(INT(MID(metadata!C905,12,2))&lt;=23,FALSE)), OR(MID(metadata!C905,14,1)="", AND(AND(MID(metadata!C905,14,1)=":",IFERROR(INT(MID(metadata!C905,15,1))&gt;=0,FALSE),IFERROR(INT(MID(metadata!C905,15,1))&lt;=5,FALSE),NOT(MID(metadata!C905,16,1)=""),IFERROR(INT(MID(metadata!C905,15,2))&gt;=0,FALSE),IFERROR(INT(MID(metadata!C905,15,2))&lt;=59,FALSE)), OR(MID(metadata!C905,17,1)="", AND(AND(MID(metadata!C905,17,1)=":",IFERROR(INT(MID(metadata!C905,18,1))&gt;=0,FALSE),IFERROR(INT(MID(metadata!C905,18,1))&lt;=5,FALSE),NOT(MID(metadata!C905,19,1)=""),IFERROR(INT(MID(metadata!C905,18,2))&gt;=0,FALSE),IFERROR(INT(MID(metadata!C905,18,2))&lt;=59,FALSE)), LEN(metadata!C905)&lt;=19)))))))))))))</f>
        <v>0</v>
      </c>
      <c r="AD905">
        <f>IF(metadata!D905="",FALSE,TRUE)</f>
        <v>0</v>
      </c>
      <c r="AE905">
        <f>OR(AND(IF(metadata!E905="",FALSE,TRUE),OR(exact(metadata!E905,"missing: not collected"),exact(metadata!E905,"missing: not provided"))),AND(IF(metadata!E905="",FALSE,TRUE),OR(exact(metadata!E905,"TRUE"),exact(metadata!E905,"FALSE"))))</f>
        <v>0</v>
      </c>
      <c r="AF905">
        <f>IF(metadata!F905="",FALSE,TRUE)</f>
        <v>0</v>
      </c>
      <c r="AG905">
        <f>IF(metadata!G905="",FALSE,TRUE)</f>
        <v>0</v>
      </c>
      <c r="AH905">
        <f>IF(metadata!H905="",FALSE,TRUE)</f>
        <v>0</v>
      </c>
      <c r="AI905">
        <f>OR(AND(IF(metadata!I905="",FALSE,TRUE),OR(exact(metadata!I905,"missing: not collected"),exact(metadata!I905,"missing: not provided"),exact(metadata!I905,"missing: restricted access"))),AND(IF(metadata!I905="",FALSE,TRUE),OR(exact(metadata!I905,"air"),exact(metadata!I905,"built environment"),exact(metadata!I905,"host-associated"),exact(metadata!I905,"human-associated"),exact(metadata!I905,"human-skin"),exact(metadata!I905,"human-oral"),exact(metadata!I905,"human-gut"),exact(metadata!I905,"human-vaginal"),exact(metadata!I905,"microbial mat/biofilm"),exact(metadata!I905,"misc environment"),exact(metadata!I905,"plant-associated"),exact(metadata!I905,"sediment"),exact(metadata!I905,"soil"),exact(metadata!I905,"wastewater/sludge"),exact(metadata!I905,"water"))))</f>
        <v>0</v>
      </c>
      <c r="AJ905">
        <f>IF(metadata!J905="",FALSE,TRUE)</f>
        <v>0</v>
      </c>
      <c r="AK905">
        <f>OR(AND(IF(metadata!K905="",FALSE,TRUE),OR(exact(metadata!K905,"missing: not collected"),exact(metadata!K905,"missing: not provided"),exact(metadata!K905,"missing: restricted access"))),AND(IF(metadata!K905="",FALSE,ISNUMBER(VALUE(metadata!K905))),metadata!K905&gt;=-90.00,metadata!K905&lt;=90.00))</f>
        <v>0</v>
      </c>
      <c r="AL905">
        <f>OR(AND(IF(metadata!L905="",FALSE,TRUE),OR(exact(metadata!L905,"missing: not collected"),exact(metadata!L905,"missing: not provided"),exact(metadata!L905,"missing: restricted access"))),AND(IF(metadata!L905="",FALSE,ISNUMBER(VALUE(metadata!L905))),metadata!L905&gt;=-180.00,metadata!L905&lt;=180.00))</f>
        <v>0</v>
      </c>
      <c r="AM905">
        <f>IF(metadata!M905="",FALSE,TRUE)</f>
        <v>0</v>
      </c>
      <c r="AN905">
        <f>OR(AND(IF(metadata!N905="",FALSE,TRUE),OR(exact(metadata!N905,"missing: not collected"),exact(metadata!N905,"missing: not provided"),exact(metadata!N905,"missing: restricted access"))),AND(IF(metadata!N905="",FALSE,TRUE),OR(exact(metadata!N905,"TRUE"),exact(metadata!N905,"FALSE"))))</f>
        <v>0</v>
      </c>
      <c r="AO905">
        <f>IF(metadata!O905="",FALSE,TRUE)</f>
        <v>0</v>
      </c>
      <c r="AP905">
        <f>OR(AND(IF(metadata!P905="",FALSE,TRUE),OR(exact(metadata!P905,"missing: not collected"),exact(metadata!P905,"missing: not provided"))),AND(IF(metadata!P905="",FALSE,IF(ISERROR(INT(metadata!P905)),FALSE,INT(metadata!P905)=metadata!P905)),metadata!P905&gt;0))</f>
        <v>0</v>
      </c>
      <c r="AQ905">
        <f>IF(metadata!Q905="",FALSE,TRUE)</f>
        <v>0</v>
      </c>
    </row>
    <row r="906" spans="1:43">
      <c r="A906" s="5">
        <f>IF(B906=" "," ",HYPERLINK(CONCATENATE("#metadata!",ADDRESS(INDEX($W$2:$W$1001,MATCH(ROWS($U$2:U906),$U$2:$U$1001,0),0),1)),INDEX($Z$2:$Z$1001,MATCH(ROWS($U$2:U906),$U$2:$U$1001,0),0)))</f>
        <v>0</v>
      </c>
      <c r="B906" s="4">
        <f>IF(OR(INDEX($V$2:$V$1001,MATCH(ROWS($U$2:U906),$U$2:$U$1001,0),1)&gt;=100000,INDEX($AB$1005:$AQ$1005,1,MATCH(COLUMNS($AB$1006:AB1006),$AB$1006:$AQ$1006,0))&gt;=100000), " ",IF(INDEX($AB$2:$AQ$1001,MATCH(ROWS($U$2:U906),$U$2:$U$1001,0),MATCH(COLUMNS($AB$1006:AB1006),$AB$1006:$AQ$1006,0)), HYPERLINK("#",""), HYPERLINK(CONCATENATE("#metadata!", ADDRESS(INDEX($W$2:$W$1001,MATCH(ROWS($U$2:U906),$U$2:$U$1001,0),0), INDEX($AB$1004:$AQ$1004,1,MATCH(COLUMNS($AB$1006:AB1006),$AB$1006:$AQ$1006,0)))),"Fix")))</f>
        <v>0</v>
      </c>
      <c r="C906" s="4">
        <f>IF(OR(INDEX($V$2:$V$1001,MATCH(ROWS($U$2:U906),$U$2:$U$1001,0),1)&gt;=100000,INDEX($AB$1005:$AQ$1005,1,MATCH(COLUMNS($AB$1006:AC1006),$AB$1006:$AQ$1006,0))&gt;=100000), " ",IF(INDEX($AB$2:$AQ$1001,MATCH(ROWS($U$2:U906),$U$2:$U$1001,0),MATCH(COLUMNS($AB$1006:AC1006),$AB$1006:$AQ$1006,0)), HYPERLINK("#",""), HYPERLINK(CONCATENATE("#metadata!", ADDRESS(INDEX($W$2:$W$1001,MATCH(ROWS($U$2:U906),$U$2:$U$1001,0),0), INDEX($AB$1004:$AQ$1004,1,MATCH(COLUMNS($AB$1006:AC1006),$AB$1006:$AQ$1006,0)))),"Fix")))</f>
        <v>0</v>
      </c>
      <c r="D906" s="4">
        <f>IF(OR(INDEX($V$2:$V$1001,MATCH(ROWS($U$2:U906),$U$2:$U$1001,0),1)&gt;=100000,INDEX($AB$1005:$AQ$1005,1,MATCH(COLUMNS($AB$1006:AD1006),$AB$1006:$AQ$1006,0))&gt;=100000), " ",IF(INDEX($AB$2:$AQ$1001,MATCH(ROWS($U$2:U906),$U$2:$U$1001,0),MATCH(COLUMNS($AB$1006:AD1006),$AB$1006:$AQ$1006,0)), HYPERLINK("#",""), HYPERLINK(CONCATENATE("#metadata!", ADDRESS(INDEX($W$2:$W$1001,MATCH(ROWS($U$2:U906),$U$2:$U$1001,0),0), INDEX($AB$1004:$AQ$1004,1,MATCH(COLUMNS($AB$1006:AD1006),$AB$1006:$AQ$1006,0)))),"Fix")))</f>
        <v>0</v>
      </c>
      <c r="E906" s="4">
        <f>IF(OR(INDEX($V$2:$V$1001,MATCH(ROWS($U$2:U906),$U$2:$U$1001,0),1)&gt;=100000,INDEX($AB$1005:$AQ$1005,1,MATCH(COLUMNS($AB$1006:AE1006),$AB$1006:$AQ$1006,0))&gt;=100000), " ",IF(INDEX($AB$2:$AQ$1001,MATCH(ROWS($U$2:U906),$U$2:$U$1001,0),MATCH(COLUMNS($AB$1006:AE1006),$AB$1006:$AQ$1006,0)), HYPERLINK("#",""), HYPERLINK(CONCATENATE("#metadata!", ADDRESS(INDEX($W$2:$W$1001,MATCH(ROWS($U$2:U906),$U$2:$U$1001,0),0), INDEX($AB$1004:$AQ$1004,1,MATCH(COLUMNS($AB$1006:AE1006),$AB$1006:$AQ$1006,0)))),"Fix")))</f>
        <v>0</v>
      </c>
      <c r="F906" s="4">
        <f>IF(OR(INDEX($V$2:$V$1001,MATCH(ROWS($U$2:U906),$U$2:$U$1001,0),1)&gt;=100000,INDEX($AB$1005:$AQ$1005,1,MATCH(COLUMNS($AB$1006:AF1006),$AB$1006:$AQ$1006,0))&gt;=100000), " ",IF(INDEX($AB$2:$AQ$1001,MATCH(ROWS($U$2:U906),$U$2:$U$1001,0),MATCH(COLUMNS($AB$1006:AF1006),$AB$1006:$AQ$1006,0)), HYPERLINK("#",""), HYPERLINK(CONCATENATE("#metadata!", ADDRESS(INDEX($W$2:$W$1001,MATCH(ROWS($U$2:U906),$U$2:$U$1001,0),0), INDEX($AB$1004:$AQ$1004,1,MATCH(COLUMNS($AB$1006:AF1006),$AB$1006:$AQ$1006,0)))),"Fix")))</f>
        <v>0</v>
      </c>
      <c r="G906" s="4">
        <f>IF(OR(INDEX($V$2:$V$1001,MATCH(ROWS($U$2:U906),$U$2:$U$1001,0),1)&gt;=100000,INDEX($AB$1005:$AQ$1005,1,MATCH(COLUMNS($AB$1006:AG1006),$AB$1006:$AQ$1006,0))&gt;=100000), " ",IF(INDEX($AB$2:$AQ$1001,MATCH(ROWS($U$2:U906),$U$2:$U$1001,0),MATCH(COLUMNS($AB$1006:AG1006),$AB$1006:$AQ$1006,0)), HYPERLINK("#",""), HYPERLINK(CONCATENATE("#metadata!", ADDRESS(INDEX($W$2:$W$1001,MATCH(ROWS($U$2:U906),$U$2:$U$1001,0),0), INDEX($AB$1004:$AQ$1004,1,MATCH(COLUMNS($AB$1006:AG1006),$AB$1006:$AQ$1006,0)))),"Fix")))</f>
        <v>0</v>
      </c>
      <c r="H906" s="4">
        <f>IF(OR(INDEX($V$2:$V$1001,MATCH(ROWS($U$2:U906),$U$2:$U$1001,0),1)&gt;=100000,INDEX($AB$1005:$AQ$1005,1,MATCH(COLUMNS($AB$1006:AH1006),$AB$1006:$AQ$1006,0))&gt;=100000), " ",IF(INDEX($AB$2:$AQ$1001,MATCH(ROWS($U$2:U906),$U$2:$U$1001,0),MATCH(COLUMNS($AB$1006:AH1006),$AB$1006:$AQ$1006,0)), HYPERLINK("#",""), HYPERLINK(CONCATENATE("#metadata!", ADDRESS(INDEX($W$2:$W$1001,MATCH(ROWS($U$2:U906),$U$2:$U$1001,0),0), INDEX($AB$1004:$AQ$1004,1,MATCH(COLUMNS($AB$1006:AH1006),$AB$1006:$AQ$1006,0)))),"Fix")))</f>
        <v>0</v>
      </c>
      <c r="I906" s="4">
        <f>IF(OR(INDEX($V$2:$V$1001,MATCH(ROWS($U$2:U906),$U$2:$U$1001,0),1)&gt;=100000,INDEX($AB$1005:$AQ$1005,1,MATCH(COLUMNS($AB$1006:AI1006),$AB$1006:$AQ$1006,0))&gt;=100000), " ",IF(INDEX($AB$2:$AQ$1001,MATCH(ROWS($U$2:U906),$U$2:$U$1001,0),MATCH(COLUMNS($AB$1006:AI1006),$AB$1006:$AQ$1006,0)), HYPERLINK("#",""), HYPERLINK(CONCATENATE("#metadata!", ADDRESS(INDEX($W$2:$W$1001,MATCH(ROWS($U$2:U906),$U$2:$U$1001,0),0), INDEX($AB$1004:$AQ$1004,1,MATCH(COLUMNS($AB$1006:AI1006),$AB$1006:$AQ$1006,0)))),"Fix")))</f>
        <v>0</v>
      </c>
      <c r="J906" s="4">
        <f>IF(OR(INDEX($V$2:$V$1001,MATCH(ROWS($U$2:U906),$U$2:$U$1001,0),1)&gt;=100000,INDEX($AB$1005:$AQ$1005,1,MATCH(COLUMNS($AB$1006:AJ1006),$AB$1006:$AQ$1006,0))&gt;=100000), " ",IF(INDEX($AB$2:$AQ$1001,MATCH(ROWS($U$2:U906),$U$2:$U$1001,0),MATCH(COLUMNS($AB$1006:AJ1006),$AB$1006:$AQ$1006,0)), HYPERLINK("#",""), HYPERLINK(CONCATENATE("#metadata!", ADDRESS(INDEX($W$2:$W$1001,MATCH(ROWS($U$2:U906),$U$2:$U$1001,0),0), INDEX($AB$1004:$AQ$1004,1,MATCH(COLUMNS($AB$1006:AJ1006),$AB$1006:$AQ$1006,0)))),"Fix")))</f>
        <v>0</v>
      </c>
      <c r="K906" s="4">
        <f>IF(OR(INDEX($V$2:$V$1001,MATCH(ROWS($U$2:U906),$U$2:$U$1001,0),1)&gt;=100000,INDEX($AB$1005:$AQ$1005,1,MATCH(COLUMNS($AB$1006:AK1006),$AB$1006:$AQ$1006,0))&gt;=100000), " ",IF(INDEX($AB$2:$AQ$1001,MATCH(ROWS($U$2:U906),$U$2:$U$1001,0),MATCH(COLUMNS($AB$1006:AK1006),$AB$1006:$AQ$1006,0)), HYPERLINK("#",""), HYPERLINK(CONCATENATE("#metadata!", ADDRESS(INDEX($W$2:$W$1001,MATCH(ROWS($U$2:U906),$U$2:$U$1001,0),0), INDEX($AB$1004:$AQ$1004,1,MATCH(COLUMNS($AB$1006:AK1006),$AB$1006:$AQ$1006,0)))),"Fix")))</f>
        <v>0</v>
      </c>
      <c r="L906" s="4">
        <f>IF(OR(INDEX($V$2:$V$1001,MATCH(ROWS($U$2:U906),$U$2:$U$1001,0),1)&gt;=100000,INDEX($AB$1005:$AQ$1005,1,MATCH(COLUMNS($AB$1006:AL1006),$AB$1006:$AQ$1006,0))&gt;=100000), " ",IF(INDEX($AB$2:$AQ$1001,MATCH(ROWS($U$2:U906),$U$2:$U$1001,0),MATCH(COLUMNS($AB$1006:AL1006),$AB$1006:$AQ$1006,0)), HYPERLINK("#",""), HYPERLINK(CONCATENATE("#metadata!", ADDRESS(INDEX($W$2:$W$1001,MATCH(ROWS($U$2:U906),$U$2:$U$1001,0),0), INDEX($AB$1004:$AQ$1004,1,MATCH(COLUMNS($AB$1006:AL1006),$AB$1006:$AQ$1006,0)))),"Fix")))</f>
        <v>0</v>
      </c>
      <c r="M906" s="4">
        <f>IF(OR(INDEX($V$2:$V$1001,MATCH(ROWS($U$2:U906),$U$2:$U$1001,0),1)&gt;=100000,INDEX($AB$1005:$AQ$1005,1,MATCH(COLUMNS($AB$1006:AM1006),$AB$1006:$AQ$1006,0))&gt;=100000), " ",IF(INDEX($AB$2:$AQ$1001,MATCH(ROWS($U$2:U906),$U$2:$U$1001,0),MATCH(COLUMNS($AB$1006:AM1006),$AB$1006:$AQ$1006,0)), HYPERLINK("#",""), HYPERLINK(CONCATENATE("#metadata!", ADDRESS(INDEX($W$2:$W$1001,MATCH(ROWS($U$2:U906),$U$2:$U$1001,0),0), INDEX($AB$1004:$AQ$1004,1,MATCH(COLUMNS($AB$1006:AM1006),$AB$1006:$AQ$1006,0)))),"Fix")))</f>
        <v>0</v>
      </c>
      <c r="N906" s="4">
        <f>IF(OR(INDEX($V$2:$V$1001,MATCH(ROWS($U$2:U906),$U$2:$U$1001,0),1)&gt;=100000,INDEX($AB$1005:$AQ$1005,1,MATCH(COLUMNS($AB$1006:AN1006),$AB$1006:$AQ$1006,0))&gt;=100000), " ",IF(INDEX($AB$2:$AQ$1001,MATCH(ROWS($U$2:U906),$U$2:$U$1001,0),MATCH(COLUMNS($AB$1006:AN1006),$AB$1006:$AQ$1006,0)), HYPERLINK("#",""), HYPERLINK(CONCATENATE("#metadata!", ADDRESS(INDEX($W$2:$W$1001,MATCH(ROWS($U$2:U906),$U$2:$U$1001,0),0), INDEX($AB$1004:$AQ$1004,1,MATCH(COLUMNS($AB$1006:AN1006),$AB$1006:$AQ$1006,0)))),"Fix")))</f>
        <v>0</v>
      </c>
      <c r="O906" s="4">
        <f>IF(OR(INDEX($V$2:$V$1001,MATCH(ROWS($U$2:U906),$U$2:$U$1001,0),1)&gt;=100000,INDEX($AB$1005:$AQ$1005,1,MATCH(COLUMNS($AB$1006:AO1006),$AB$1006:$AQ$1006,0))&gt;=100000), " ",IF(INDEX($AB$2:$AQ$1001,MATCH(ROWS($U$2:U906),$U$2:$U$1001,0),MATCH(COLUMNS($AB$1006:AO1006),$AB$1006:$AQ$1006,0)), HYPERLINK("#",""), HYPERLINK(CONCATENATE("#metadata!", ADDRESS(INDEX($W$2:$W$1001,MATCH(ROWS($U$2:U906),$U$2:$U$1001,0),0), INDEX($AB$1004:$AQ$1004,1,MATCH(COLUMNS($AB$1006:AO1006),$AB$1006:$AQ$1006,0)))),"Fix")))</f>
        <v>0</v>
      </c>
      <c r="P906" s="4">
        <f>IF(OR(INDEX($V$2:$V$1001,MATCH(ROWS($U$2:U906),$U$2:$U$1001,0),1)&gt;=100000,INDEX($AB$1005:$AQ$1005,1,MATCH(COLUMNS($AB$1006:AP1006),$AB$1006:$AQ$1006,0))&gt;=100000), " ",IF(INDEX($AB$2:$AQ$1001,MATCH(ROWS($U$2:U906),$U$2:$U$1001,0),MATCH(COLUMNS($AB$1006:AP1006),$AB$1006:$AQ$1006,0)), HYPERLINK("#",""), HYPERLINK(CONCATENATE("#metadata!", ADDRESS(INDEX($W$2:$W$1001,MATCH(ROWS($U$2:U906),$U$2:$U$1001,0),0), INDEX($AB$1004:$AQ$1004,1,MATCH(COLUMNS($AB$1006:AP1006),$AB$1006:$AQ$1006,0)))),"Fix")))</f>
        <v>0</v>
      </c>
      <c r="Q906" s="4">
        <f>IF(OR(INDEX($V$2:$V$1001,MATCH(ROWS($U$2:U906),$U$2:$U$1001,0),1)&gt;=100000,INDEX($AB$1005:$AQ$1005,1,MATCH(COLUMNS($AB$1006:AQ1006),$AB$1006:$AQ$1006,0))&gt;=100000), " ",IF(INDEX($AB$2:$AQ$1001,MATCH(ROWS($U$2:U906),$U$2:$U$1001,0),MATCH(COLUMNS($AB$1006:AQ1006),$AB$1006:$AQ$1006,0)), HYPERLINK("#",""), HYPERLINK(CONCATENATE("#metadata!", ADDRESS(INDEX($W$2:$W$1001,MATCH(ROWS($U$2:U906),$U$2:$U$1001,0),0), INDEX($AB$1004:$AQ$1004,1,MATCH(COLUMNS($AB$1006:AQ1006),$AB$1006:$AQ$1006,0)))),"Fix")))</f>
        <v>0</v>
      </c>
      <c r="U906">
        <v>0</v>
      </c>
      <c r="V906">
        <v>0</v>
      </c>
      <c r="W906">
        <v>0</v>
      </c>
      <c r="X906">
        <f>IF(Y906,TRUE,AND(AB906:AQ906))</f>
        <v>0</v>
      </c>
      <c r="Y906">
        <f>COUNTBLANK(metadata!B906:Q906)=COLUMNS(metadata!B906:Q906)</f>
        <v>0</v>
      </c>
      <c r="Z906">
        <v>0</v>
      </c>
      <c r="AB906">
        <f>AND(IF(metadata!B906="",FALSE,TRUE),COUNTIF(metadata!B:B, metadata!B906) = 1,NOT(ISERROR(SUMPRODUCT(SEARCH(MID(metadata!B906,ROW(INDIRECT("1:"&amp;LEN(metadata!B906))), 1),"0123456789abcdefghijklmnopqrstuvwxyzABCDEFGHIJKLMNOPQRSTUVWXYZ.")))))</f>
        <v>0</v>
      </c>
      <c r="AC906">
        <f>OR(AND(IF(metadata!C906="",FALSE,TRUE),OR(exact(metadata!C906,"missing: not collected"),exact(metadata!C906,"missing: not provided"),exact(metadata!C906,"missing: restricted access"))),AND(IF(metadata!C906="",FALSE,TRUE),AND(AND(IFERROR(INT(LEFT(metadata!C906,4))&gt;1900,FALSE),IFERROR(INT(LEFT(metadata!C906,4))&lt;=YEAR(NOW()),FALSE)), OR(MID(metadata!C906,5,1)="", AND(AND(MID(metadata!C906,5,1)="-",IFERROR(INT(MID(metadata!C906,6,1))&gt;=0,FALSE),IFERROR(INT(MID(metadata!C906,6,1))&lt;=1,FALSE),NOT(MID(metadata!C906,7,1)=""),IFERROR(INT(MID(metadata!C906,6,2))&gt;=1,FALSE),IFERROR(INT(MID(metadata!C906,6,2))&lt;=12,FALSE)), OR(MID(metadata!C906,8,1)="", AND(AND(MID(metadata!C906,8,1)="-",IFERROR(INT(MID(metadata!C906,9,1))&gt;=0,FALSE),IFERROR(INT(MID(metadata!C906,9,1))&lt;=3,FALSE),NOT(MID(metadata!C906,10,1)=""),IFERROR(INT(MID(metadata!C906,9,2))&gt;=1,FALSE),IFERROR(INT(MID(metadata!C906,9,2))&lt;=31,FALSE)), OR(MID(metadata!C906,11,1)="", AND(AND(MID(metadata!C906,11,1)=" ",IFERROR(INT(MID(metadata!C906,12,1))&gt;=0,FALSE),IFERROR(INT(MID(metadata!C906,12,1))&lt;=2,FALSE),NOT(MID(metadata!C906,13,1)=""),IFERROR(INT(MID(metadata!C906,12,2))&gt;=0,FALSE),IFERROR(INT(MID(metadata!C906,12,2))&lt;=23,FALSE)), OR(MID(metadata!C906,14,1)="", AND(AND(MID(metadata!C906,14,1)=":",IFERROR(INT(MID(metadata!C906,15,1))&gt;=0,FALSE),IFERROR(INT(MID(metadata!C906,15,1))&lt;=5,FALSE),NOT(MID(metadata!C906,16,1)=""),IFERROR(INT(MID(metadata!C906,15,2))&gt;=0,FALSE),IFERROR(INT(MID(metadata!C906,15,2))&lt;=59,FALSE)), OR(MID(metadata!C906,17,1)="", AND(AND(MID(metadata!C906,17,1)=":",IFERROR(INT(MID(metadata!C906,18,1))&gt;=0,FALSE),IFERROR(INT(MID(metadata!C906,18,1))&lt;=5,FALSE),NOT(MID(metadata!C906,19,1)=""),IFERROR(INT(MID(metadata!C906,18,2))&gt;=0,FALSE),IFERROR(INT(MID(metadata!C906,18,2))&lt;=59,FALSE)), LEN(metadata!C906)&lt;=19)))))))))))))</f>
        <v>0</v>
      </c>
      <c r="AD906">
        <f>IF(metadata!D906="",FALSE,TRUE)</f>
        <v>0</v>
      </c>
      <c r="AE906">
        <f>OR(AND(IF(metadata!E906="",FALSE,TRUE),OR(exact(metadata!E906,"missing: not collected"),exact(metadata!E906,"missing: not provided"))),AND(IF(metadata!E906="",FALSE,TRUE),OR(exact(metadata!E906,"TRUE"),exact(metadata!E906,"FALSE"))))</f>
        <v>0</v>
      </c>
      <c r="AF906">
        <f>IF(metadata!F906="",FALSE,TRUE)</f>
        <v>0</v>
      </c>
      <c r="AG906">
        <f>IF(metadata!G906="",FALSE,TRUE)</f>
        <v>0</v>
      </c>
      <c r="AH906">
        <f>IF(metadata!H906="",FALSE,TRUE)</f>
        <v>0</v>
      </c>
      <c r="AI906">
        <f>OR(AND(IF(metadata!I906="",FALSE,TRUE),OR(exact(metadata!I906,"missing: not collected"),exact(metadata!I906,"missing: not provided"),exact(metadata!I906,"missing: restricted access"))),AND(IF(metadata!I906="",FALSE,TRUE),OR(exact(metadata!I906,"air"),exact(metadata!I906,"built environment"),exact(metadata!I906,"host-associated"),exact(metadata!I906,"human-associated"),exact(metadata!I906,"human-skin"),exact(metadata!I906,"human-oral"),exact(metadata!I906,"human-gut"),exact(metadata!I906,"human-vaginal"),exact(metadata!I906,"microbial mat/biofilm"),exact(metadata!I906,"misc environment"),exact(metadata!I906,"plant-associated"),exact(metadata!I906,"sediment"),exact(metadata!I906,"soil"),exact(metadata!I906,"wastewater/sludge"),exact(metadata!I906,"water"))))</f>
        <v>0</v>
      </c>
      <c r="AJ906">
        <f>IF(metadata!J906="",FALSE,TRUE)</f>
        <v>0</v>
      </c>
      <c r="AK906">
        <f>OR(AND(IF(metadata!K906="",FALSE,TRUE),OR(exact(metadata!K906,"missing: not collected"),exact(metadata!K906,"missing: not provided"),exact(metadata!K906,"missing: restricted access"))),AND(IF(metadata!K906="",FALSE,ISNUMBER(VALUE(metadata!K906))),metadata!K906&gt;=-90.00,metadata!K906&lt;=90.00))</f>
        <v>0</v>
      </c>
      <c r="AL906">
        <f>OR(AND(IF(metadata!L906="",FALSE,TRUE),OR(exact(metadata!L906,"missing: not collected"),exact(metadata!L906,"missing: not provided"),exact(metadata!L906,"missing: restricted access"))),AND(IF(metadata!L906="",FALSE,ISNUMBER(VALUE(metadata!L906))),metadata!L906&gt;=-180.00,metadata!L906&lt;=180.00))</f>
        <v>0</v>
      </c>
      <c r="AM906">
        <f>IF(metadata!M906="",FALSE,TRUE)</f>
        <v>0</v>
      </c>
      <c r="AN906">
        <f>OR(AND(IF(metadata!N906="",FALSE,TRUE),OR(exact(metadata!N906,"missing: not collected"),exact(metadata!N906,"missing: not provided"),exact(metadata!N906,"missing: restricted access"))),AND(IF(metadata!N906="",FALSE,TRUE),OR(exact(metadata!N906,"TRUE"),exact(metadata!N906,"FALSE"))))</f>
        <v>0</v>
      </c>
      <c r="AO906">
        <f>IF(metadata!O906="",FALSE,TRUE)</f>
        <v>0</v>
      </c>
      <c r="AP906">
        <f>OR(AND(IF(metadata!P906="",FALSE,TRUE),OR(exact(metadata!P906,"missing: not collected"),exact(metadata!P906,"missing: not provided"))),AND(IF(metadata!P906="",FALSE,IF(ISERROR(INT(metadata!P906)),FALSE,INT(metadata!P906)=metadata!P906)),metadata!P906&gt;0))</f>
        <v>0</v>
      </c>
      <c r="AQ906">
        <f>IF(metadata!Q906="",FALSE,TRUE)</f>
        <v>0</v>
      </c>
    </row>
    <row r="907" spans="1:43">
      <c r="A907" s="5">
        <f>IF(B907=" "," ",HYPERLINK(CONCATENATE("#metadata!",ADDRESS(INDEX($W$2:$W$1001,MATCH(ROWS($U$2:U907),$U$2:$U$1001,0),0),1)),INDEX($Z$2:$Z$1001,MATCH(ROWS($U$2:U907),$U$2:$U$1001,0),0)))</f>
        <v>0</v>
      </c>
      <c r="B907" s="4">
        <f>IF(OR(INDEX($V$2:$V$1001,MATCH(ROWS($U$2:U907),$U$2:$U$1001,0),1)&gt;=100000,INDEX($AB$1005:$AQ$1005,1,MATCH(COLUMNS($AB$1006:AB1006),$AB$1006:$AQ$1006,0))&gt;=100000), " ",IF(INDEX($AB$2:$AQ$1001,MATCH(ROWS($U$2:U907),$U$2:$U$1001,0),MATCH(COLUMNS($AB$1006:AB1006),$AB$1006:$AQ$1006,0)), HYPERLINK("#",""), HYPERLINK(CONCATENATE("#metadata!", ADDRESS(INDEX($W$2:$W$1001,MATCH(ROWS($U$2:U907),$U$2:$U$1001,0),0), INDEX($AB$1004:$AQ$1004,1,MATCH(COLUMNS($AB$1006:AB1006),$AB$1006:$AQ$1006,0)))),"Fix")))</f>
        <v>0</v>
      </c>
      <c r="C907" s="4">
        <f>IF(OR(INDEX($V$2:$V$1001,MATCH(ROWS($U$2:U907),$U$2:$U$1001,0),1)&gt;=100000,INDEX($AB$1005:$AQ$1005,1,MATCH(COLUMNS($AB$1006:AC1006),$AB$1006:$AQ$1006,0))&gt;=100000), " ",IF(INDEX($AB$2:$AQ$1001,MATCH(ROWS($U$2:U907),$U$2:$U$1001,0),MATCH(COLUMNS($AB$1006:AC1006),$AB$1006:$AQ$1006,0)), HYPERLINK("#",""), HYPERLINK(CONCATENATE("#metadata!", ADDRESS(INDEX($W$2:$W$1001,MATCH(ROWS($U$2:U907),$U$2:$U$1001,0),0), INDEX($AB$1004:$AQ$1004,1,MATCH(COLUMNS($AB$1006:AC1006),$AB$1006:$AQ$1006,0)))),"Fix")))</f>
        <v>0</v>
      </c>
      <c r="D907" s="4">
        <f>IF(OR(INDEX($V$2:$V$1001,MATCH(ROWS($U$2:U907),$U$2:$U$1001,0),1)&gt;=100000,INDEX($AB$1005:$AQ$1005,1,MATCH(COLUMNS($AB$1006:AD1006),$AB$1006:$AQ$1006,0))&gt;=100000), " ",IF(INDEX($AB$2:$AQ$1001,MATCH(ROWS($U$2:U907),$U$2:$U$1001,0),MATCH(COLUMNS($AB$1006:AD1006),$AB$1006:$AQ$1006,0)), HYPERLINK("#",""), HYPERLINK(CONCATENATE("#metadata!", ADDRESS(INDEX($W$2:$W$1001,MATCH(ROWS($U$2:U907),$U$2:$U$1001,0),0), INDEX($AB$1004:$AQ$1004,1,MATCH(COLUMNS($AB$1006:AD1006),$AB$1006:$AQ$1006,0)))),"Fix")))</f>
        <v>0</v>
      </c>
      <c r="E907" s="4">
        <f>IF(OR(INDEX($V$2:$V$1001,MATCH(ROWS($U$2:U907),$U$2:$U$1001,0),1)&gt;=100000,INDEX($AB$1005:$AQ$1005,1,MATCH(COLUMNS($AB$1006:AE1006),$AB$1006:$AQ$1006,0))&gt;=100000), " ",IF(INDEX($AB$2:$AQ$1001,MATCH(ROWS($U$2:U907),$U$2:$U$1001,0),MATCH(COLUMNS($AB$1006:AE1006),$AB$1006:$AQ$1006,0)), HYPERLINK("#",""), HYPERLINK(CONCATENATE("#metadata!", ADDRESS(INDEX($W$2:$W$1001,MATCH(ROWS($U$2:U907),$U$2:$U$1001,0),0), INDEX($AB$1004:$AQ$1004,1,MATCH(COLUMNS($AB$1006:AE1006),$AB$1006:$AQ$1006,0)))),"Fix")))</f>
        <v>0</v>
      </c>
      <c r="F907" s="4">
        <f>IF(OR(INDEX($V$2:$V$1001,MATCH(ROWS($U$2:U907),$U$2:$U$1001,0),1)&gt;=100000,INDEX($AB$1005:$AQ$1005,1,MATCH(COLUMNS($AB$1006:AF1006),$AB$1006:$AQ$1006,0))&gt;=100000), " ",IF(INDEX($AB$2:$AQ$1001,MATCH(ROWS($U$2:U907),$U$2:$U$1001,0),MATCH(COLUMNS($AB$1006:AF1006),$AB$1006:$AQ$1006,0)), HYPERLINK("#",""), HYPERLINK(CONCATENATE("#metadata!", ADDRESS(INDEX($W$2:$W$1001,MATCH(ROWS($U$2:U907),$U$2:$U$1001,0),0), INDEX($AB$1004:$AQ$1004,1,MATCH(COLUMNS($AB$1006:AF1006),$AB$1006:$AQ$1006,0)))),"Fix")))</f>
        <v>0</v>
      </c>
      <c r="G907" s="4">
        <f>IF(OR(INDEX($V$2:$V$1001,MATCH(ROWS($U$2:U907),$U$2:$U$1001,0),1)&gt;=100000,INDEX($AB$1005:$AQ$1005,1,MATCH(COLUMNS($AB$1006:AG1006),$AB$1006:$AQ$1006,0))&gt;=100000), " ",IF(INDEX($AB$2:$AQ$1001,MATCH(ROWS($U$2:U907),$U$2:$U$1001,0),MATCH(COLUMNS($AB$1006:AG1006),$AB$1006:$AQ$1006,0)), HYPERLINK("#",""), HYPERLINK(CONCATENATE("#metadata!", ADDRESS(INDEX($W$2:$W$1001,MATCH(ROWS($U$2:U907),$U$2:$U$1001,0),0), INDEX($AB$1004:$AQ$1004,1,MATCH(COLUMNS($AB$1006:AG1006),$AB$1006:$AQ$1006,0)))),"Fix")))</f>
        <v>0</v>
      </c>
      <c r="H907" s="4">
        <f>IF(OR(INDEX($V$2:$V$1001,MATCH(ROWS($U$2:U907),$U$2:$U$1001,0),1)&gt;=100000,INDEX($AB$1005:$AQ$1005,1,MATCH(COLUMNS($AB$1006:AH1006),$AB$1006:$AQ$1006,0))&gt;=100000), " ",IF(INDEX($AB$2:$AQ$1001,MATCH(ROWS($U$2:U907),$U$2:$U$1001,0),MATCH(COLUMNS($AB$1006:AH1006),$AB$1006:$AQ$1006,0)), HYPERLINK("#",""), HYPERLINK(CONCATENATE("#metadata!", ADDRESS(INDEX($W$2:$W$1001,MATCH(ROWS($U$2:U907),$U$2:$U$1001,0),0), INDEX($AB$1004:$AQ$1004,1,MATCH(COLUMNS($AB$1006:AH1006),$AB$1006:$AQ$1006,0)))),"Fix")))</f>
        <v>0</v>
      </c>
      <c r="I907" s="4">
        <f>IF(OR(INDEX($V$2:$V$1001,MATCH(ROWS($U$2:U907),$U$2:$U$1001,0),1)&gt;=100000,INDEX($AB$1005:$AQ$1005,1,MATCH(COLUMNS($AB$1006:AI1006),$AB$1006:$AQ$1006,0))&gt;=100000), " ",IF(INDEX($AB$2:$AQ$1001,MATCH(ROWS($U$2:U907),$U$2:$U$1001,0),MATCH(COLUMNS($AB$1006:AI1006),$AB$1006:$AQ$1006,0)), HYPERLINK("#",""), HYPERLINK(CONCATENATE("#metadata!", ADDRESS(INDEX($W$2:$W$1001,MATCH(ROWS($U$2:U907),$U$2:$U$1001,0),0), INDEX($AB$1004:$AQ$1004,1,MATCH(COLUMNS($AB$1006:AI1006),$AB$1006:$AQ$1006,0)))),"Fix")))</f>
        <v>0</v>
      </c>
      <c r="J907" s="4">
        <f>IF(OR(INDEX($V$2:$V$1001,MATCH(ROWS($U$2:U907),$U$2:$U$1001,0),1)&gt;=100000,INDEX($AB$1005:$AQ$1005,1,MATCH(COLUMNS($AB$1006:AJ1006),$AB$1006:$AQ$1006,0))&gt;=100000), " ",IF(INDEX($AB$2:$AQ$1001,MATCH(ROWS($U$2:U907),$U$2:$U$1001,0),MATCH(COLUMNS($AB$1006:AJ1006),$AB$1006:$AQ$1006,0)), HYPERLINK("#",""), HYPERLINK(CONCATENATE("#metadata!", ADDRESS(INDEX($W$2:$W$1001,MATCH(ROWS($U$2:U907),$U$2:$U$1001,0),0), INDEX($AB$1004:$AQ$1004,1,MATCH(COLUMNS($AB$1006:AJ1006),$AB$1006:$AQ$1006,0)))),"Fix")))</f>
        <v>0</v>
      </c>
      <c r="K907" s="4">
        <f>IF(OR(INDEX($V$2:$V$1001,MATCH(ROWS($U$2:U907),$U$2:$U$1001,0),1)&gt;=100000,INDEX($AB$1005:$AQ$1005,1,MATCH(COLUMNS($AB$1006:AK1006),$AB$1006:$AQ$1006,0))&gt;=100000), " ",IF(INDEX($AB$2:$AQ$1001,MATCH(ROWS($U$2:U907),$U$2:$U$1001,0),MATCH(COLUMNS($AB$1006:AK1006),$AB$1006:$AQ$1006,0)), HYPERLINK("#",""), HYPERLINK(CONCATENATE("#metadata!", ADDRESS(INDEX($W$2:$W$1001,MATCH(ROWS($U$2:U907),$U$2:$U$1001,0),0), INDEX($AB$1004:$AQ$1004,1,MATCH(COLUMNS($AB$1006:AK1006),$AB$1006:$AQ$1006,0)))),"Fix")))</f>
        <v>0</v>
      </c>
      <c r="L907" s="4">
        <f>IF(OR(INDEX($V$2:$V$1001,MATCH(ROWS($U$2:U907),$U$2:$U$1001,0),1)&gt;=100000,INDEX($AB$1005:$AQ$1005,1,MATCH(COLUMNS($AB$1006:AL1006),$AB$1006:$AQ$1006,0))&gt;=100000), " ",IF(INDEX($AB$2:$AQ$1001,MATCH(ROWS($U$2:U907),$U$2:$U$1001,0),MATCH(COLUMNS($AB$1006:AL1006),$AB$1006:$AQ$1006,0)), HYPERLINK("#",""), HYPERLINK(CONCATENATE("#metadata!", ADDRESS(INDEX($W$2:$W$1001,MATCH(ROWS($U$2:U907),$U$2:$U$1001,0),0), INDEX($AB$1004:$AQ$1004,1,MATCH(COLUMNS($AB$1006:AL1006),$AB$1006:$AQ$1006,0)))),"Fix")))</f>
        <v>0</v>
      </c>
      <c r="M907" s="4">
        <f>IF(OR(INDEX($V$2:$V$1001,MATCH(ROWS($U$2:U907),$U$2:$U$1001,0),1)&gt;=100000,INDEX($AB$1005:$AQ$1005,1,MATCH(COLUMNS($AB$1006:AM1006),$AB$1006:$AQ$1006,0))&gt;=100000), " ",IF(INDEX($AB$2:$AQ$1001,MATCH(ROWS($U$2:U907),$U$2:$U$1001,0),MATCH(COLUMNS($AB$1006:AM1006),$AB$1006:$AQ$1006,0)), HYPERLINK("#",""), HYPERLINK(CONCATENATE("#metadata!", ADDRESS(INDEX($W$2:$W$1001,MATCH(ROWS($U$2:U907),$U$2:$U$1001,0),0), INDEX($AB$1004:$AQ$1004,1,MATCH(COLUMNS($AB$1006:AM1006),$AB$1006:$AQ$1006,0)))),"Fix")))</f>
        <v>0</v>
      </c>
      <c r="N907" s="4">
        <f>IF(OR(INDEX($V$2:$V$1001,MATCH(ROWS($U$2:U907),$U$2:$U$1001,0),1)&gt;=100000,INDEX($AB$1005:$AQ$1005,1,MATCH(COLUMNS($AB$1006:AN1006),$AB$1006:$AQ$1006,0))&gt;=100000), " ",IF(INDEX($AB$2:$AQ$1001,MATCH(ROWS($U$2:U907),$U$2:$U$1001,0),MATCH(COLUMNS($AB$1006:AN1006),$AB$1006:$AQ$1006,0)), HYPERLINK("#",""), HYPERLINK(CONCATENATE("#metadata!", ADDRESS(INDEX($W$2:$W$1001,MATCH(ROWS($U$2:U907),$U$2:$U$1001,0),0), INDEX($AB$1004:$AQ$1004,1,MATCH(COLUMNS($AB$1006:AN1006),$AB$1006:$AQ$1006,0)))),"Fix")))</f>
        <v>0</v>
      </c>
      <c r="O907" s="4">
        <f>IF(OR(INDEX($V$2:$V$1001,MATCH(ROWS($U$2:U907),$U$2:$U$1001,0),1)&gt;=100000,INDEX($AB$1005:$AQ$1005,1,MATCH(COLUMNS($AB$1006:AO1006),$AB$1006:$AQ$1006,0))&gt;=100000), " ",IF(INDEX($AB$2:$AQ$1001,MATCH(ROWS($U$2:U907),$U$2:$U$1001,0),MATCH(COLUMNS($AB$1006:AO1006),$AB$1006:$AQ$1006,0)), HYPERLINK("#",""), HYPERLINK(CONCATENATE("#metadata!", ADDRESS(INDEX($W$2:$W$1001,MATCH(ROWS($U$2:U907),$U$2:$U$1001,0),0), INDEX($AB$1004:$AQ$1004,1,MATCH(COLUMNS($AB$1006:AO1006),$AB$1006:$AQ$1006,0)))),"Fix")))</f>
        <v>0</v>
      </c>
      <c r="P907" s="4">
        <f>IF(OR(INDEX($V$2:$V$1001,MATCH(ROWS($U$2:U907),$U$2:$U$1001,0),1)&gt;=100000,INDEX($AB$1005:$AQ$1005,1,MATCH(COLUMNS($AB$1006:AP1006),$AB$1006:$AQ$1006,0))&gt;=100000), " ",IF(INDEX($AB$2:$AQ$1001,MATCH(ROWS($U$2:U907),$U$2:$U$1001,0),MATCH(COLUMNS($AB$1006:AP1006),$AB$1006:$AQ$1006,0)), HYPERLINK("#",""), HYPERLINK(CONCATENATE("#metadata!", ADDRESS(INDEX($W$2:$W$1001,MATCH(ROWS($U$2:U907),$U$2:$U$1001,0),0), INDEX($AB$1004:$AQ$1004,1,MATCH(COLUMNS($AB$1006:AP1006),$AB$1006:$AQ$1006,0)))),"Fix")))</f>
        <v>0</v>
      </c>
      <c r="Q907" s="4">
        <f>IF(OR(INDEX($V$2:$V$1001,MATCH(ROWS($U$2:U907),$U$2:$U$1001,0),1)&gt;=100000,INDEX($AB$1005:$AQ$1005,1,MATCH(COLUMNS($AB$1006:AQ1006),$AB$1006:$AQ$1006,0))&gt;=100000), " ",IF(INDEX($AB$2:$AQ$1001,MATCH(ROWS($U$2:U907),$U$2:$U$1001,0),MATCH(COLUMNS($AB$1006:AQ1006),$AB$1006:$AQ$1006,0)), HYPERLINK("#",""), HYPERLINK(CONCATENATE("#metadata!", ADDRESS(INDEX($W$2:$W$1001,MATCH(ROWS($U$2:U907),$U$2:$U$1001,0),0), INDEX($AB$1004:$AQ$1004,1,MATCH(COLUMNS($AB$1006:AQ1006),$AB$1006:$AQ$1006,0)))),"Fix")))</f>
        <v>0</v>
      </c>
      <c r="U907">
        <v>0</v>
      </c>
      <c r="V907">
        <v>0</v>
      </c>
      <c r="W907">
        <v>0</v>
      </c>
      <c r="X907">
        <f>IF(Y907,TRUE,AND(AB907:AQ907))</f>
        <v>0</v>
      </c>
      <c r="Y907">
        <f>COUNTBLANK(metadata!B907:Q907)=COLUMNS(metadata!B907:Q907)</f>
        <v>0</v>
      </c>
      <c r="Z907">
        <v>0</v>
      </c>
      <c r="AB907">
        <f>AND(IF(metadata!B907="",FALSE,TRUE),COUNTIF(metadata!B:B, metadata!B907) = 1,NOT(ISERROR(SUMPRODUCT(SEARCH(MID(metadata!B907,ROW(INDIRECT("1:"&amp;LEN(metadata!B907))), 1),"0123456789abcdefghijklmnopqrstuvwxyzABCDEFGHIJKLMNOPQRSTUVWXYZ.")))))</f>
        <v>0</v>
      </c>
      <c r="AC907">
        <f>OR(AND(IF(metadata!C907="",FALSE,TRUE),OR(exact(metadata!C907,"missing: not collected"),exact(metadata!C907,"missing: not provided"),exact(metadata!C907,"missing: restricted access"))),AND(IF(metadata!C907="",FALSE,TRUE),AND(AND(IFERROR(INT(LEFT(metadata!C907,4))&gt;1900,FALSE),IFERROR(INT(LEFT(metadata!C907,4))&lt;=YEAR(NOW()),FALSE)), OR(MID(metadata!C907,5,1)="", AND(AND(MID(metadata!C907,5,1)="-",IFERROR(INT(MID(metadata!C907,6,1))&gt;=0,FALSE),IFERROR(INT(MID(metadata!C907,6,1))&lt;=1,FALSE),NOT(MID(metadata!C907,7,1)=""),IFERROR(INT(MID(metadata!C907,6,2))&gt;=1,FALSE),IFERROR(INT(MID(metadata!C907,6,2))&lt;=12,FALSE)), OR(MID(metadata!C907,8,1)="", AND(AND(MID(metadata!C907,8,1)="-",IFERROR(INT(MID(metadata!C907,9,1))&gt;=0,FALSE),IFERROR(INT(MID(metadata!C907,9,1))&lt;=3,FALSE),NOT(MID(metadata!C907,10,1)=""),IFERROR(INT(MID(metadata!C907,9,2))&gt;=1,FALSE),IFERROR(INT(MID(metadata!C907,9,2))&lt;=31,FALSE)), OR(MID(metadata!C907,11,1)="", AND(AND(MID(metadata!C907,11,1)=" ",IFERROR(INT(MID(metadata!C907,12,1))&gt;=0,FALSE),IFERROR(INT(MID(metadata!C907,12,1))&lt;=2,FALSE),NOT(MID(metadata!C907,13,1)=""),IFERROR(INT(MID(metadata!C907,12,2))&gt;=0,FALSE),IFERROR(INT(MID(metadata!C907,12,2))&lt;=23,FALSE)), OR(MID(metadata!C907,14,1)="", AND(AND(MID(metadata!C907,14,1)=":",IFERROR(INT(MID(metadata!C907,15,1))&gt;=0,FALSE),IFERROR(INT(MID(metadata!C907,15,1))&lt;=5,FALSE),NOT(MID(metadata!C907,16,1)=""),IFERROR(INT(MID(metadata!C907,15,2))&gt;=0,FALSE),IFERROR(INT(MID(metadata!C907,15,2))&lt;=59,FALSE)), OR(MID(metadata!C907,17,1)="", AND(AND(MID(metadata!C907,17,1)=":",IFERROR(INT(MID(metadata!C907,18,1))&gt;=0,FALSE),IFERROR(INT(MID(metadata!C907,18,1))&lt;=5,FALSE),NOT(MID(metadata!C907,19,1)=""),IFERROR(INT(MID(metadata!C907,18,2))&gt;=0,FALSE),IFERROR(INT(MID(metadata!C907,18,2))&lt;=59,FALSE)), LEN(metadata!C907)&lt;=19)))))))))))))</f>
        <v>0</v>
      </c>
      <c r="AD907">
        <f>IF(metadata!D907="",FALSE,TRUE)</f>
        <v>0</v>
      </c>
      <c r="AE907">
        <f>OR(AND(IF(metadata!E907="",FALSE,TRUE),OR(exact(metadata!E907,"missing: not collected"),exact(metadata!E907,"missing: not provided"))),AND(IF(metadata!E907="",FALSE,TRUE),OR(exact(metadata!E907,"TRUE"),exact(metadata!E907,"FALSE"))))</f>
        <v>0</v>
      </c>
      <c r="AF907">
        <f>IF(metadata!F907="",FALSE,TRUE)</f>
        <v>0</v>
      </c>
      <c r="AG907">
        <f>IF(metadata!G907="",FALSE,TRUE)</f>
        <v>0</v>
      </c>
      <c r="AH907">
        <f>IF(metadata!H907="",FALSE,TRUE)</f>
        <v>0</v>
      </c>
      <c r="AI907">
        <f>OR(AND(IF(metadata!I907="",FALSE,TRUE),OR(exact(metadata!I907,"missing: not collected"),exact(metadata!I907,"missing: not provided"),exact(metadata!I907,"missing: restricted access"))),AND(IF(metadata!I907="",FALSE,TRUE),OR(exact(metadata!I907,"air"),exact(metadata!I907,"built environment"),exact(metadata!I907,"host-associated"),exact(metadata!I907,"human-associated"),exact(metadata!I907,"human-skin"),exact(metadata!I907,"human-oral"),exact(metadata!I907,"human-gut"),exact(metadata!I907,"human-vaginal"),exact(metadata!I907,"microbial mat/biofilm"),exact(metadata!I907,"misc environment"),exact(metadata!I907,"plant-associated"),exact(metadata!I907,"sediment"),exact(metadata!I907,"soil"),exact(metadata!I907,"wastewater/sludge"),exact(metadata!I907,"water"))))</f>
        <v>0</v>
      </c>
      <c r="AJ907">
        <f>IF(metadata!J907="",FALSE,TRUE)</f>
        <v>0</v>
      </c>
      <c r="AK907">
        <f>OR(AND(IF(metadata!K907="",FALSE,TRUE),OR(exact(metadata!K907,"missing: not collected"),exact(metadata!K907,"missing: not provided"),exact(metadata!K907,"missing: restricted access"))),AND(IF(metadata!K907="",FALSE,ISNUMBER(VALUE(metadata!K907))),metadata!K907&gt;=-90.00,metadata!K907&lt;=90.00))</f>
        <v>0</v>
      </c>
      <c r="AL907">
        <f>OR(AND(IF(metadata!L907="",FALSE,TRUE),OR(exact(metadata!L907,"missing: not collected"),exact(metadata!L907,"missing: not provided"),exact(metadata!L907,"missing: restricted access"))),AND(IF(metadata!L907="",FALSE,ISNUMBER(VALUE(metadata!L907))),metadata!L907&gt;=-180.00,metadata!L907&lt;=180.00))</f>
        <v>0</v>
      </c>
      <c r="AM907">
        <f>IF(metadata!M907="",FALSE,TRUE)</f>
        <v>0</v>
      </c>
      <c r="AN907">
        <f>OR(AND(IF(metadata!N907="",FALSE,TRUE),OR(exact(metadata!N907,"missing: not collected"),exact(metadata!N907,"missing: not provided"),exact(metadata!N907,"missing: restricted access"))),AND(IF(metadata!N907="",FALSE,TRUE),OR(exact(metadata!N907,"TRUE"),exact(metadata!N907,"FALSE"))))</f>
        <v>0</v>
      </c>
      <c r="AO907">
        <f>IF(metadata!O907="",FALSE,TRUE)</f>
        <v>0</v>
      </c>
      <c r="AP907">
        <f>OR(AND(IF(metadata!P907="",FALSE,TRUE),OR(exact(metadata!P907,"missing: not collected"),exact(metadata!P907,"missing: not provided"))),AND(IF(metadata!P907="",FALSE,IF(ISERROR(INT(metadata!P907)),FALSE,INT(metadata!P907)=metadata!P907)),metadata!P907&gt;0))</f>
        <v>0</v>
      </c>
      <c r="AQ907">
        <f>IF(metadata!Q907="",FALSE,TRUE)</f>
        <v>0</v>
      </c>
    </row>
    <row r="908" spans="1:43">
      <c r="A908" s="5">
        <f>IF(B908=" "," ",HYPERLINK(CONCATENATE("#metadata!",ADDRESS(INDEX($W$2:$W$1001,MATCH(ROWS($U$2:U908),$U$2:$U$1001,0),0),1)),INDEX($Z$2:$Z$1001,MATCH(ROWS($U$2:U908),$U$2:$U$1001,0),0)))</f>
        <v>0</v>
      </c>
      <c r="B908" s="4">
        <f>IF(OR(INDEX($V$2:$V$1001,MATCH(ROWS($U$2:U908),$U$2:$U$1001,0),1)&gt;=100000,INDEX($AB$1005:$AQ$1005,1,MATCH(COLUMNS($AB$1006:AB1006),$AB$1006:$AQ$1006,0))&gt;=100000), " ",IF(INDEX($AB$2:$AQ$1001,MATCH(ROWS($U$2:U908),$U$2:$U$1001,0),MATCH(COLUMNS($AB$1006:AB1006),$AB$1006:$AQ$1006,0)), HYPERLINK("#",""), HYPERLINK(CONCATENATE("#metadata!", ADDRESS(INDEX($W$2:$W$1001,MATCH(ROWS($U$2:U908),$U$2:$U$1001,0),0), INDEX($AB$1004:$AQ$1004,1,MATCH(COLUMNS($AB$1006:AB1006),$AB$1006:$AQ$1006,0)))),"Fix")))</f>
        <v>0</v>
      </c>
      <c r="C908" s="4">
        <f>IF(OR(INDEX($V$2:$V$1001,MATCH(ROWS($U$2:U908),$U$2:$U$1001,0),1)&gt;=100000,INDEX($AB$1005:$AQ$1005,1,MATCH(COLUMNS($AB$1006:AC1006),$AB$1006:$AQ$1006,0))&gt;=100000), " ",IF(INDEX($AB$2:$AQ$1001,MATCH(ROWS($U$2:U908),$U$2:$U$1001,0),MATCH(COLUMNS($AB$1006:AC1006),$AB$1006:$AQ$1006,0)), HYPERLINK("#",""), HYPERLINK(CONCATENATE("#metadata!", ADDRESS(INDEX($W$2:$W$1001,MATCH(ROWS($U$2:U908),$U$2:$U$1001,0),0), INDEX($AB$1004:$AQ$1004,1,MATCH(COLUMNS($AB$1006:AC1006),$AB$1006:$AQ$1006,0)))),"Fix")))</f>
        <v>0</v>
      </c>
      <c r="D908" s="4">
        <f>IF(OR(INDEX($V$2:$V$1001,MATCH(ROWS($U$2:U908),$U$2:$U$1001,0),1)&gt;=100000,INDEX($AB$1005:$AQ$1005,1,MATCH(COLUMNS($AB$1006:AD1006),$AB$1006:$AQ$1006,0))&gt;=100000), " ",IF(INDEX($AB$2:$AQ$1001,MATCH(ROWS($U$2:U908),$U$2:$U$1001,0),MATCH(COLUMNS($AB$1006:AD1006),$AB$1006:$AQ$1006,0)), HYPERLINK("#",""), HYPERLINK(CONCATENATE("#metadata!", ADDRESS(INDEX($W$2:$W$1001,MATCH(ROWS($U$2:U908),$U$2:$U$1001,0),0), INDEX($AB$1004:$AQ$1004,1,MATCH(COLUMNS($AB$1006:AD1006),$AB$1006:$AQ$1006,0)))),"Fix")))</f>
        <v>0</v>
      </c>
      <c r="E908" s="4">
        <f>IF(OR(INDEX($V$2:$V$1001,MATCH(ROWS($U$2:U908),$U$2:$U$1001,0),1)&gt;=100000,INDEX($AB$1005:$AQ$1005,1,MATCH(COLUMNS($AB$1006:AE1006),$AB$1006:$AQ$1006,0))&gt;=100000), " ",IF(INDEX($AB$2:$AQ$1001,MATCH(ROWS($U$2:U908),$U$2:$U$1001,0),MATCH(COLUMNS($AB$1006:AE1006),$AB$1006:$AQ$1006,0)), HYPERLINK("#",""), HYPERLINK(CONCATENATE("#metadata!", ADDRESS(INDEX($W$2:$W$1001,MATCH(ROWS($U$2:U908),$U$2:$U$1001,0),0), INDEX($AB$1004:$AQ$1004,1,MATCH(COLUMNS($AB$1006:AE1006),$AB$1006:$AQ$1006,0)))),"Fix")))</f>
        <v>0</v>
      </c>
      <c r="F908" s="4">
        <f>IF(OR(INDEX($V$2:$V$1001,MATCH(ROWS($U$2:U908),$U$2:$U$1001,0),1)&gt;=100000,INDEX($AB$1005:$AQ$1005,1,MATCH(COLUMNS($AB$1006:AF1006),$AB$1006:$AQ$1006,0))&gt;=100000), " ",IF(INDEX($AB$2:$AQ$1001,MATCH(ROWS($U$2:U908),$U$2:$U$1001,0),MATCH(COLUMNS($AB$1006:AF1006),$AB$1006:$AQ$1006,0)), HYPERLINK("#",""), HYPERLINK(CONCATENATE("#metadata!", ADDRESS(INDEX($W$2:$W$1001,MATCH(ROWS($U$2:U908),$U$2:$U$1001,0),0), INDEX($AB$1004:$AQ$1004,1,MATCH(COLUMNS($AB$1006:AF1006),$AB$1006:$AQ$1006,0)))),"Fix")))</f>
        <v>0</v>
      </c>
      <c r="G908" s="4">
        <f>IF(OR(INDEX($V$2:$V$1001,MATCH(ROWS($U$2:U908),$U$2:$U$1001,0),1)&gt;=100000,INDEX($AB$1005:$AQ$1005,1,MATCH(COLUMNS($AB$1006:AG1006),$AB$1006:$AQ$1006,0))&gt;=100000), " ",IF(INDEX($AB$2:$AQ$1001,MATCH(ROWS($U$2:U908),$U$2:$U$1001,0),MATCH(COLUMNS($AB$1006:AG1006),$AB$1006:$AQ$1006,0)), HYPERLINK("#",""), HYPERLINK(CONCATENATE("#metadata!", ADDRESS(INDEX($W$2:$W$1001,MATCH(ROWS($U$2:U908),$U$2:$U$1001,0),0), INDEX($AB$1004:$AQ$1004,1,MATCH(COLUMNS($AB$1006:AG1006),$AB$1006:$AQ$1006,0)))),"Fix")))</f>
        <v>0</v>
      </c>
      <c r="H908" s="4">
        <f>IF(OR(INDEX($V$2:$V$1001,MATCH(ROWS($U$2:U908),$U$2:$U$1001,0),1)&gt;=100000,INDEX($AB$1005:$AQ$1005,1,MATCH(COLUMNS($AB$1006:AH1006),$AB$1006:$AQ$1006,0))&gt;=100000), " ",IF(INDEX($AB$2:$AQ$1001,MATCH(ROWS($U$2:U908),$U$2:$U$1001,0),MATCH(COLUMNS($AB$1006:AH1006),$AB$1006:$AQ$1006,0)), HYPERLINK("#",""), HYPERLINK(CONCATENATE("#metadata!", ADDRESS(INDEX($W$2:$W$1001,MATCH(ROWS($U$2:U908),$U$2:$U$1001,0),0), INDEX($AB$1004:$AQ$1004,1,MATCH(COLUMNS($AB$1006:AH1006),$AB$1006:$AQ$1006,0)))),"Fix")))</f>
        <v>0</v>
      </c>
      <c r="I908" s="4">
        <f>IF(OR(INDEX($V$2:$V$1001,MATCH(ROWS($U$2:U908),$U$2:$U$1001,0),1)&gt;=100000,INDEX($AB$1005:$AQ$1005,1,MATCH(COLUMNS($AB$1006:AI1006),$AB$1006:$AQ$1006,0))&gt;=100000), " ",IF(INDEX($AB$2:$AQ$1001,MATCH(ROWS($U$2:U908),$U$2:$U$1001,0),MATCH(COLUMNS($AB$1006:AI1006),$AB$1006:$AQ$1006,0)), HYPERLINK("#",""), HYPERLINK(CONCATENATE("#metadata!", ADDRESS(INDEX($W$2:$W$1001,MATCH(ROWS($U$2:U908),$U$2:$U$1001,0),0), INDEX($AB$1004:$AQ$1004,1,MATCH(COLUMNS($AB$1006:AI1006),$AB$1006:$AQ$1006,0)))),"Fix")))</f>
        <v>0</v>
      </c>
      <c r="J908" s="4">
        <f>IF(OR(INDEX($V$2:$V$1001,MATCH(ROWS($U$2:U908),$U$2:$U$1001,0),1)&gt;=100000,INDEX($AB$1005:$AQ$1005,1,MATCH(COLUMNS($AB$1006:AJ1006),$AB$1006:$AQ$1006,0))&gt;=100000), " ",IF(INDEX($AB$2:$AQ$1001,MATCH(ROWS($U$2:U908),$U$2:$U$1001,0),MATCH(COLUMNS($AB$1006:AJ1006),$AB$1006:$AQ$1006,0)), HYPERLINK("#",""), HYPERLINK(CONCATENATE("#metadata!", ADDRESS(INDEX($W$2:$W$1001,MATCH(ROWS($U$2:U908),$U$2:$U$1001,0),0), INDEX($AB$1004:$AQ$1004,1,MATCH(COLUMNS($AB$1006:AJ1006),$AB$1006:$AQ$1006,0)))),"Fix")))</f>
        <v>0</v>
      </c>
      <c r="K908" s="4">
        <f>IF(OR(INDEX($V$2:$V$1001,MATCH(ROWS($U$2:U908),$U$2:$U$1001,0),1)&gt;=100000,INDEX($AB$1005:$AQ$1005,1,MATCH(COLUMNS($AB$1006:AK1006),$AB$1006:$AQ$1006,0))&gt;=100000), " ",IF(INDEX($AB$2:$AQ$1001,MATCH(ROWS($U$2:U908),$U$2:$U$1001,0),MATCH(COLUMNS($AB$1006:AK1006),$AB$1006:$AQ$1006,0)), HYPERLINK("#",""), HYPERLINK(CONCATENATE("#metadata!", ADDRESS(INDEX($W$2:$W$1001,MATCH(ROWS($U$2:U908),$U$2:$U$1001,0),0), INDEX($AB$1004:$AQ$1004,1,MATCH(COLUMNS($AB$1006:AK1006),$AB$1006:$AQ$1006,0)))),"Fix")))</f>
        <v>0</v>
      </c>
      <c r="L908" s="4">
        <f>IF(OR(INDEX($V$2:$V$1001,MATCH(ROWS($U$2:U908),$U$2:$U$1001,0),1)&gt;=100000,INDEX($AB$1005:$AQ$1005,1,MATCH(COLUMNS($AB$1006:AL1006),$AB$1006:$AQ$1006,0))&gt;=100000), " ",IF(INDEX($AB$2:$AQ$1001,MATCH(ROWS($U$2:U908),$U$2:$U$1001,0),MATCH(COLUMNS($AB$1006:AL1006),$AB$1006:$AQ$1006,0)), HYPERLINK("#",""), HYPERLINK(CONCATENATE("#metadata!", ADDRESS(INDEX($W$2:$W$1001,MATCH(ROWS($U$2:U908),$U$2:$U$1001,0),0), INDEX($AB$1004:$AQ$1004,1,MATCH(COLUMNS($AB$1006:AL1006),$AB$1006:$AQ$1006,0)))),"Fix")))</f>
        <v>0</v>
      </c>
      <c r="M908" s="4">
        <f>IF(OR(INDEX($V$2:$V$1001,MATCH(ROWS($U$2:U908),$U$2:$U$1001,0),1)&gt;=100000,INDEX($AB$1005:$AQ$1005,1,MATCH(COLUMNS($AB$1006:AM1006),$AB$1006:$AQ$1006,0))&gt;=100000), " ",IF(INDEX($AB$2:$AQ$1001,MATCH(ROWS($U$2:U908),$U$2:$U$1001,0),MATCH(COLUMNS($AB$1006:AM1006),$AB$1006:$AQ$1006,0)), HYPERLINK("#",""), HYPERLINK(CONCATENATE("#metadata!", ADDRESS(INDEX($W$2:$W$1001,MATCH(ROWS($U$2:U908),$U$2:$U$1001,0),0), INDEX($AB$1004:$AQ$1004,1,MATCH(COLUMNS($AB$1006:AM1006),$AB$1006:$AQ$1006,0)))),"Fix")))</f>
        <v>0</v>
      </c>
      <c r="N908" s="4">
        <f>IF(OR(INDEX($V$2:$V$1001,MATCH(ROWS($U$2:U908),$U$2:$U$1001,0),1)&gt;=100000,INDEX($AB$1005:$AQ$1005,1,MATCH(COLUMNS($AB$1006:AN1006),$AB$1006:$AQ$1006,0))&gt;=100000), " ",IF(INDEX($AB$2:$AQ$1001,MATCH(ROWS($U$2:U908),$U$2:$U$1001,0),MATCH(COLUMNS($AB$1006:AN1006),$AB$1006:$AQ$1006,0)), HYPERLINK("#",""), HYPERLINK(CONCATENATE("#metadata!", ADDRESS(INDEX($W$2:$W$1001,MATCH(ROWS($U$2:U908),$U$2:$U$1001,0),0), INDEX($AB$1004:$AQ$1004,1,MATCH(COLUMNS($AB$1006:AN1006),$AB$1006:$AQ$1006,0)))),"Fix")))</f>
        <v>0</v>
      </c>
      <c r="O908" s="4">
        <f>IF(OR(INDEX($V$2:$V$1001,MATCH(ROWS($U$2:U908),$U$2:$U$1001,0),1)&gt;=100000,INDEX($AB$1005:$AQ$1005,1,MATCH(COLUMNS($AB$1006:AO1006),$AB$1006:$AQ$1006,0))&gt;=100000), " ",IF(INDEX($AB$2:$AQ$1001,MATCH(ROWS($U$2:U908),$U$2:$U$1001,0),MATCH(COLUMNS($AB$1006:AO1006),$AB$1006:$AQ$1006,0)), HYPERLINK("#",""), HYPERLINK(CONCATENATE("#metadata!", ADDRESS(INDEX($W$2:$W$1001,MATCH(ROWS($U$2:U908),$U$2:$U$1001,0),0), INDEX($AB$1004:$AQ$1004,1,MATCH(COLUMNS($AB$1006:AO1006),$AB$1006:$AQ$1006,0)))),"Fix")))</f>
        <v>0</v>
      </c>
      <c r="P908" s="4">
        <f>IF(OR(INDEX($V$2:$V$1001,MATCH(ROWS($U$2:U908),$U$2:$U$1001,0),1)&gt;=100000,INDEX($AB$1005:$AQ$1005,1,MATCH(COLUMNS($AB$1006:AP1006),$AB$1006:$AQ$1006,0))&gt;=100000), " ",IF(INDEX($AB$2:$AQ$1001,MATCH(ROWS($U$2:U908),$U$2:$U$1001,0),MATCH(COLUMNS($AB$1006:AP1006),$AB$1006:$AQ$1006,0)), HYPERLINK("#",""), HYPERLINK(CONCATENATE("#metadata!", ADDRESS(INDEX($W$2:$W$1001,MATCH(ROWS($U$2:U908),$U$2:$U$1001,0),0), INDEX($AB$1004:$AQ$1004,1,MATCH(COLUMNS($AB$1006:AP1006),$AB$1006:$AQ$1006,0)))),"Fix")))</f>
        <v>0</v>
      </c>
      <c r="Q908" s="4">
        <f>IF(OR(INDEX($V$2:$V$1001,MATCH(ROWS($U$2:U908),$U$2:$U$1001,0),1)&gt;=100000,INDEX($AB$1005:$AQ$1005,1,MATCH(COLUMNS($AB$1006:AQ1006),$AB$1006:$AQ$1006,0))&gt;=100000), " ",IF(INDEX($AB$2:$AQ$1001,MATCH(ROWS($U$2:U908),$U$2:$U$1001,0),MATCH(COLUMNS($AB$1006:AQ1006),$AB$1006:$AQ$1006,0)), HYPERLINK("#",""), HYPERLINK(CONCATENATE("#metadata!", ADDRESS(INDEX($W$2:$W$1001,MATCH(ROWS($U$2:U908),$U$2:$U$1001,0),0), INDEX($AB$1004:$AQ$1004,1,MATCH(COLUMNS($AB$1006:AQ1006),$AB$1006:$AQ$1006,0)))),"Fix")))</f>
        <v>0</v>
      </c>
      <c r="U908">
        <v>0</v>
      </c>
      <c r="V908">
        <v>0</v>
      </c>
      <c r="W908">
        <v>0</v>
      </c>
      <c r="X908">
        <f>IF(Y908,TRUE,AND(AB908:AQ908))</f>
        <v>0</v>
      </c>
      <c r="Y908">
        <f>COUNTBLANK(metadata!B908:Q908)=COLUMNS(metadata!B908:Q908)</f>
        <v>0</v>
      </c>
      <c r="Z908">
        <v>0</v>
      </c>
      <c r="AB908">
        <f>AND(IF(metadata!B908="",FALSE,TRUE),COUNTIF(metadata!B:B, metadata!B908) = 1,NOT(ISERROR(SUMPRODUCT(SEARCH(MID(metadata!B908,ROW(INDIRECT("1:"&amp;LEN(metadata!B908))), 1),"0123456789abcdefghijklmnopqrstuvwxyzABCDEFGHIJKLMNOPQRSTUVWXYZ.")))))</f>
        <v>0</v>
      </c>
      <c r="AC908">
        <f>OR(AND(IF(metadata!C908="",FALSE,TRUE),OR(exact(metadata!C908,"missing: not collected"),exact(metadata!C908,"missing: not provided"),exact(metadata!C908,"missing: restricted access"))),AND(IF(metadata!C908="",FALSE,TRUE),AND(AND(IFERROR(INT(LEFT(metadata!C908,4))&gt;1900,FALSE),IFERROR(INT(LEFT(metadata!C908,4))&lt;=YEAR(NOW()),FALSE)), OR(MID(metadata!C908,5,1)="", AND(AND(MID(metadata!C908,5,1)="-",IFERROR(INT(MID(metadata!C908,6,1))&gt;=0,FALSE),IFERROR(INT(MID(metadata!C908,6,1))&lt;=1,FALSE),NOT(MID(metadata!C908,7,1)=""),IFERROR(INT(MID(metadata!C908,6,2))&gt;=1,FALSE),IFERROR(INT(MID(metadata!C908,6,2))&lt;=12,FALSE)), OR(MID(metadata!C908,8,1)="", AND(AND(MID(metadata!C908,8,1)="-",IFERROR(INT(MID(metadata!C908,9,1))&gt;=0,FALSE),IFERROR(INT(MID(metadata!C908,9,1))&lt;=3,FALSE),NOT(MID(metadata!C908,10,1)=""),IFERROR(INT(MID(metadata!C908,9,2))&gt;=1,FALSE),IFERROR(INT(MID(metadata!C908,9,2))&lt;=31,FALSE)), OR(MID(metadata!C908,11,1)="", AND(AND(MID(metadata!C908,11,1)=" ",IFERROR(INT(MID(metadata!C908,12,1))&gt;=0,FALSE),IFERROR(INT(MID(metadata!C908,12,1))&lt;=2,FALSE),NOT(MID(metadata!C908,13,1)=""),IFERROR(INT(MID(metadata!C908,12,2))&gt;=0,FALSE),IFERROR(INT(MID(metadata!C908,12,2))&lt;=23,FALSE)), OR(MID(metadata!C908,14,1)="", AND(AND(MID(metadata!C908,14,1)=":",IFERROR(INT(MID(metadata!C908,15,1))&gt;=0,FALSE),IFERROR(INT(MID(metadata!C908,15,1))&lt;=5,FALSE),NOT(MID(metadata!C908,16,1)=""),IFERROR(INT(MID(metadata!C908,15,2))&gt;=0,FALSE),IFERROR(INT(MID(metadata!C908,15,2))&lt;=59,FALSE)), OR(MID(metadata!C908,17,1)="", AND(AND(MID(metadata!C908,17,1)=":",IFERROR(INT(MID(metadata!C908,18,1))&gt;=0,FALSE),IFERROR(INT(MID(metadata!C908,18,1))&lt;=5,FALSE),NOT(MID(metadata!C908,19,1)=""),IFERROR(INT(MID(metadata!C908,18,2))&gt;=0,FALSE),IFERROR(INT(MID(metadata!C908,18,2))&lt;=59,FALSE)), LEN(metadata!C908)&lt;=19)))))))))))))</f>
        <v>0</v>
      </c>
      <c r="AD908">
        <f>IF(metadata!D908="",FALSE,TRUE)</f>
        <v>0</v>
      </c>
      <c r="AE908">
        <f>OR(AND(IF(metadata!E908="",FALSE,TRUE),OR(exact(metadata!E908,"missing: not collected"),exact(metadata!E908,"missing: not provided"))),AND(IF(metadata!E908="",FALSE,TRUE),OR(exact(metadata!E908,"TRUE"),exact(metadata!E908,"FALSE"))))</f>
        <v>0</v>
      </c>
      <c r="AF908">
        <f>IF(metadata!F908="",FALSE,TRUE)</f>
        <v>0</v>
      </c>
      <c r="AG908">
        <f>IF(metadata!G908="",FALSE,TRUE)</f>
        <v>0</v>
      </c>
      <c r="AH908">
        <f>IF(metadata!H908="",FALSE,TRUE)</f>
        <v>0</v>
      </c>
      <c r="AI908">
        <f>OR(AND(IF(metadata!I908="",FALSE,TRUE),OR(exact(metadata!I908,"missing: not collected"),exact(metadata!I908,"missing: not provided"),exact(metadata!I908,"missing: restricted access"))),AND(IF(metadata!I908="",FALSE,TRUE),OR(exact(metadata!I908,"air"),exact(metadata!I908,"built environment"),exact(metadata!I908,"host-associated"),exact(metadata!I908,"human-associated"),exact(metadata!I908,"human-skin"),exact(metadata!I908,"human-oral"),exact(metadata!I908,"human-gut"),exact(metadata!I908,"human-vaginal"),exact(metadata!I908,"microbial mat/biofilm"),exact(metadata!I908,"misc environment"),exact(metadata!I908,"plant-associated"),exact(metadata!I908,"sediment"),exact(metadata!I908,"soil"),exact(metadata!I908,"wastewater/sludge"),exact(metadata!I908,"water"))))</f>
        <v>0</v>
      </c>
      <c r="AJ908">
        <f>IF(metadata!J908="",FALSE,TRUE)</f>
        <v>0</v>
      </c>
      <c r="AK908">
        <f>OR(AND(IF(metadata!K908="",FALSE,TRUE),OR(exact(metadata!K908,"missing: not collected"),exact(metadata!K908,"missing: not provided"),exact(metadata!K908,"missing: restricted access"))),AND(IF(metadata!K908="",FALSE,ISNUMBER(VALUE(metadata!K908))),metadata!K908&gt;=-90.00,metadata!K908&lt;=90.00))</f>
        <v>0</v>
      </c>
      <c r="AL908">
        <f>OR(AND(IF(metadata!L908="",FALSE,TRUE),OR(exact(metadata!L908,"missing: not collected"),exact(metadata!L908,"missing: not provided"),exact(metadata!L908,"missing: restricted access"))),AND(IF(metadata!L908="",FALSE,ISNUMBER(VALUE(metadata!L908))),metadata!L908&gt;=-180.00,metadata!L908&lt;=180.00))</f>
        <v>0</v>
      </c>
      <c r="AM908">
        <f>IF(metadata!M908="",FALSE,TRUE)</f>
        <v>0</v>
      </c>
      <c r="AN908">
        <f>OR(AND(IF(metadata!N908="",FALSE,TRUE),OR(exact(metadata!N908,"missing: not collected"),exact(metadata!N908,"missing: not provided"),exact(metadata!N908,"missing: restricted access"))),AND(IF(metadata!N908="",FALSE,TRUE),OR(exact(metadata!N908,"TRUE"),exact(metadata!N908,"FALSE"))))</f>
        <v>0</v>
      </c>
      <c r="AO908">
        <f>IF(metadata!O908="",FALSE,TRUE)</f>
        <v>0</v>
      </c>
      <c r="AP908">
        <f>OR(AND(IF(metadata!P908="",FALSE,TRUE),OR(exact(metadata!P908,"missing: not collected"),exact(metadata!P908,"missing: not provided"))),AND(IF(metadata!P908="",FALSE,IF(ISERROR(INT(metadata!P908)),FALSE,INT(metadata!P908)=metadata!P908)),metadata!P908&gt;0))</f>
        <v>0</v>
      </c>
      <c r="AQ908">
        <f>IF(metadata!Q908="",FALSE,TRUE)</f>
        <v>0</v>
      </c>
    </row>
    <row r="909" spans="1:43">
      <c r="A909" s="5">
        <f>IF(B909=" "," ",HYPERLINK(CONCATENATE("#metadata!",ADDRESS(INDEX($W$2:$W$1001,MATCH(ROWS($U$2:U909),$U$2:$U$1001,0),0),1)),INDEX($Z$2:$Z$1001,MATCH(ROWS($U$2:U909),$U$2:$U$1001,0),0)))</f>
        <v>0</v>
      </c>
      <c r="B909" s="4">
        <f>IF(OR(INDEX($V$2:$V$1001,MATCH(ROWS($U$2:U909),$U$2:$U$1001,0),1)&gt;=100000,INDEX($AB$1005:$AQ$1005,1,MATCH(COLUMNS($AB$1006:AB1006),$AB$1006:$AQ$1006,0))&gt;=100000), " ",IF(INDEX($AB$2:$AQ$1001,MATCH(ROWS($U$2:U909),$U$2:$U$1001,0),MATCH(COLUMNS($AB$1006:AB1006),$AB$1006:$AQ$1006,0)), HYPERLINK("#",""), HYPERLINK(CONCATENATE("#metadata!", ADDRESS(INDEX($W$2:$W$1001,MATCH(ROWS($U$2:U909),$U$2:$U$1001,0),0), INDEX($AB$1004:$AQ$1004,1,MATCH(COLUMNS($AB$1006:AB1006),$AB$1006:$AQ$1006,0)))),"Fix")))</f>
        <v>0</v>
      </c>
      <c r="C909" s="4">
        <f>IF(OR(INDEX($V$2:$V$1001,MATCH(ROWS($U$2:U909),$U$2:$U$1001,0),1)&gt;=100000,INDEX($AB$1005:$AQ$1005,1,MATCH(COLUMNS($AB$1006:AC1006),$AB$1006:$AQ$1006,0))&gt;=100000), " ",IF(INDEX($AB$2:$AQ$1001,MATCH(ROWS($U$2:U909),$U$2:$U$1001,0),MATCH(COLUMNS($AB$1006:AC1006),$AB$1006:$AQ$1006,0)), HYPERLINK("#",""), HYPERLINK(CONCATENATE("#metadata!", ADDRESS(INDEX($W$2:$W$1001,MATCH(ROWS($U$2:U909),$U$2:$U$1001,0),0), INDEX($AB$1004:$AQ$1004,1,MATCH(COLUMNS($AB$1006:AC1006),$AB$1006:$AQ$1006,0)))),"Fix")))</f>
        <v>0</v>
      </c>
      <c r="D909" s="4">
        <f>IF(OR(INDEX($V$2:$V$1001,MATCH(ROWS($U$2:U909),$U$2:$U$1001,0),1)&gt;=100000,INDEX($AB$1005:$AQ$1005,1,MATCH(COLUMNS($AB$1006:AD1006),$AB$1006:$AQ$1006,0))&gt;=100000), " ",IF(INDEX($AB$2:$AQ$1001,MATCH(ROWS($U$2:U909),$U$2:$U$1001,0),MATCH(COLUMNS($AB$1006:AD1006),$AB$1006:$AQ$1006,0)), HYPERLINK("#",""), HYPERLINK(CONCATENATE("#metadata!", ADDRESS(INDEX($W$2:$W$1001,MATCH(ROWS($U$2:U909),$U$2:$U$1001,0),0), INDEX($AB$1004:$AQ$1004,1,MATCH(COLUMNS($AB$1006:AD1006),$AB$1006:$AQ$1006,0)))),"Fix")))</f>
        <v>0</v>
      </c>
      <c r="E909" s="4">
        <f>IF(OR(INDEX($V$2:$V$1001,MATCH(ROWS($U$2:U909),$U$2:$U$1001,0),1)&gt;=100000,INDEX($AB$1005:$AQ$1005,1,MATCH(COLUMNS($AB$1006:AE1006),$AB$1006:$AQ$1006,0))&gt;=100000), " ",IF(INDEX($AB$2:$AQ$1001,MATCH(ROWS($U$2:U909),$U$2:$U$1001,0),MATCH(COLUMNS($AB$1006:AE1006),$AB$1006:$AQ$1006,0)), HYPERLINK("#",""), HYPERLINK(CONCATENATE("#metadata!", ADDRESS(INDEX($W$2:$W$1001,MATCH(ROWS($U$2:U909),$U$2:$U$1001,0),0), INDEX($AB$1004:$AQ$1004,1,MATCH(COLUMNS($AB$1006:AE1006),$AB$1006:$AQ$1006,0)))),"Fix")))</f>
        <v>0</v>
      </c>
      <c r="F909" s="4">
        <f>IF(OR(INDEX($V$2:$V$1001,MATCH(ROWS($U$2:U909),$U$2:$U$1001,0),1)&gt;=100000,INDEX($AB$1005:$AQ$1005,1,MATCH(COLUMNS($AB$1006:AF1006),$AB$1006:$AQ$1006,0))&gt;=100000), " ",IF(INDEX($AB$2:$AQ$1001,MATCH(ROWS($U$2:U909),$U$2:$U$1001,0),MATCH(COLUMNS($AB$1006:AF1006),$AB$1006:$AQ$1006,0)), HYPERLINK("#",""), HYPERLINK(CONCATENATE("#metadata!", ADDRESS(INDEX($W$2:$W$1001,MATCH(ROWS($U$2:U909),$U$2:$U$1001,0),0), INDEX($AB$1004:$AQ$1004,1,MATCH(COLUMNS($AB$1006:AF1006),$AB$1006:$AQ$1006,0)))),"Fix")))</f>
        <v>0</v>
      </c>
      <c r="G909" s="4">
        <f>IF(OR(INDEX($V$2:$V$1001,MATCH(ROWS($U$2:U909),$U$2:$U$1001,0),1)&gt;=100000,INDEX($AB$1005:$AQ$1005,1,MATCH(COLUMNS($AB$1006:AG1006),$AB$1006:$AQ$1006,0))&gt;=100000), " ",IF(INDEX($AB$2:$AQ$1001,MATCH(ROWS($U$2:U909),$U$2:$U$1001,0),MATCH(COLUMNS($AB$1006:AG1006),$AB$1006:$AQ$1006,0)), HYPERLINK("#",""), HYPERLINK(CONCATENATE("#metadata!", ADDRESS(INDEX($W$2:$W$1001,MATCH(ROWS($U$2:U909),$U$2:$U$1001,0),0), INDEX($AB$1004:$AQ$1004,1,MATCH(COLUMNS($AB$1006:AG1006),$AB$1006:$AQ$1006,0)))),"Fix")))</f>
        <v>0</v>
      </c>
      <c r="H909" s="4">
        <f>IF(OR(INDEX($V$2:$V$1001,MATCH(ROWS($U$2:U909),$U$2:$U$1001,0),1)&gt;=100000,INDEX($AB$1005:$AQ$1005,1,MATCH(COLUMNS($AB$1006:AH1006),$AB$1006:$AQ$1006,0))&gt;=100000), " ",IF(INDEX($AB$2:$AQ$1001,MATCH(ROWS($U$2:U909),$U$2:$U$1001,0),MATCH(COLUMNS($AB$1006:AH1006),$AB$1006:$AQ$1006,0)), HYPERLINK("#",""), HYPERLINK(CONCATENATE("#metadata!", ADDRESS(INDEX($W$2:$W$1001,MATCH(ROWS($U$2:U909),$U$2:$U$1001,0),0), INDEX($AB$1004:$AQ$1004,1,MATCH(COLUMNS($AB$1006:AH1006),$AB$1006:$AQ$1006,0)))),"Fix")))</f>
        <v>0</v>
      </c>
      <c r="I909" s="4">
        <f>IF(OR(INDEX($V$2:$V$1001,MATCH(ROWS($U$2:U909),$U$2:$U$1001,0),1)&gt;=100000,INDEX($AB$1005:$AQ$1005,1,MATCH(COLUMNS($AB$1006:AI1006),$AB$1006:$AQ$1006,0))&gt;=100000), " ",IF(INDEX($AB$2:$AQ$1001,MATCH(ROWS($U$2:U909),$U$2:$U$1001,0),MATCH(COLUMNS($AB$1006:AI1006),$AB$1006:$AQ$1006,0)), HYPERLINK("#",""), HYPERLINK(CONCATENATE("#metadata!", ADDRESS(INDEX($W$2:$W$1001,MATCH(ROWS($U$2:U909),$U$2:$U$1001,0),0), INDEX($AB$1004:$AQ$1004,1,MATCH(COLUMNS($AB$1006:AI1006),$AB$1006:$AQ$1006,0)))),"Fix")))</f>
        <v>0</v>
      </c>
      <c r="J909" s="4">
        <f>IF(OR(INDEX($V$2:$V$1001,MATCH(ROWS($U$2:U909),$U$2:$U$1001,0),1)&gt;=100000,INDEX($AB$1005:$AQ$1005,1,MATCH(COLUMNS($AB$1006:AJ1006),$AB$1006:$AQ$1006,0))&gt;=100000), " ",IF(INDEX($AB$2:$AQ$1001,MATCH(ROWS($U$2:U909),$U$2:$U$1001,0),MATCH(COLUMNS($AB$1006:AJ1006),$AB$1006:$AQ$1006,0)), HYPERLINK("#",""), HYPERLINK(CONCATENATE("#metadata!", ADDRESS(INDEX($W$2:$W$1001,MATCH(ROWS($U$2:U909),$U$2:$U$1001,0),0), INDEX($AB$1004:$AQ$1004,1,MATCH(COLUMNS($AB$1006:AJ1006),$AB$1006:$AQ$1006,0)))),"Fix")))</f>
        <v>0</v>
      </c>
      <c r="K909" s="4">
        <f>IF(OR(INDEX($V$2:$V$1001,MATCH(ROWS($U$2:U909),$U$2:$U$1001,0),1)&gt;=100000,INDEX($AB$1005:$AQ$1005,1,MATCH(COLUMNS($AB$1006:AK1006),$AB$1006:$AQ$1006,0))&gt;=100000), " ",IF(INDEX($AB$2:$AQ$1001,MATCH(ROWS($U$2:U909),$U$2:$U$1001,0),MATCH(COLUMNS($AB$1006:AK1006),$AB$1006:$AQ$1006,0)), HYPERLINK("#",""), HYPERLINK(CONCATENATE("#metadata!", ADDRESS(INDEX($W$2:$W$1001,MATCH(ROWS($U$2:U909),$U$2:$U$1001,0),0), INDEX($AB$1004:$AQ$1004,1,MATCH(COLUMNS($AB$1006:AK1006),$AB$1006:$AQ$1006,0)))),"Fix")))</f>
        <v>0</v>
      </c>
      <c r="L909" s="4">
        <f>IF(OR(INDEX($V$2:$V$1001,MATCH(ROWS($U$2:U909),$U$2:$U$1001,0),1)&gt;=100000,INDEX($AB$1005:$AQ$1005,1,MATCH(COLUMNS($AB$1006:AL1006),$AB$1006:$AQ$1006,0))&gt;=100000), " ",IF(INDEX($AB$2:$AQ$1001,MATCH(ROWS($U$2:U909),$U$2:$U$1001,0),MATCH(COLUMNS($AB$1006:AL1006),$AB$1006:$AQ$1006,0)), HYPERLINK("#",""), HYPERLINK(CONCATENATE("#metadata!", ADDRESS(INDEX($W$2:$W$1001,MATCH(ROWS($U$2:U909),$U$2:$U$1001,0),0), INDEX($AB$1004:$AQ$1004,1,MATCH(COLUMNS($AB$1006:AL1006),$AB$1006:$AQ$1006,0)))),"Fix")))</f>
        <v>0</v>
      </c>
      <c r="M909" s="4">
        <f>IF(OR(INDEX($V$2:$V$1001,MATCH(ROWS($U$2:U909),$U$2:$U$1001,0),1)&gt;=100000,INDEX($AB$1005:$AQ$1005,1,MATCH(COLUMNS($AB$1006:AM1006),$AB$1006:$AQ$1006,0))&gt;=100000), " ",IF(INDEX($AB$2:$AQ$1001,MATCH(ROWS($U$2:U909),$U$2:$U$1001,0),MATCH(COLUMNS($AB$1006:AM1006),$AB$1006:$AQ$1006,0)), HYPERLINK("#",""), HYPERLINK(CONCATENATE("#metadata!", ADDRESS(INDEX($W$2:$W$1001,MATCH(ROWS($U$2:U909),$U$2:$U$1001,0),0), INDEX($AB$1004:$AQ$1004,1,MATCH(COLUMNS($AB$1006:AM1006),$AB$1006:$AQ$1006,0)))),"Fix")))</f>
        <v>0</v>
      </c>
      <c r="N909" s="4">
        <f>IF(OR(INDEX($V$2:$V$1001,MATCH(ROWS($U$2:U909),$U$2:$U$1001,0),1)&gt;=100000,INDEX($AB$1005:$AQ$1005,1,MATCH(COLUMNS($AB$1006:AN1006),$AB$1006:$AQ$1006,0))&gt;=100000), " ",IF(INDEX($AB$2:$AQ$1001,MATCH(ROWS($U$2:U909),$U$2:$U$1001,0),MATCH(COLUMNS($AB$1006:AN1006),$AB$1006:$AQ$1006,0)), HYPERLINK("#",""), HYPERLINK(CONCATENATE("#metadata!", ADDRESS(INDEX($W$2:$W$1001,MATCH(ROWS($U$2:U909),$U$2:$U$1001,0),0), INDEX($AB$1004:$AQ$1004,1,MATCH(COLUMNS($AB$1006:AN1006),$AB$1006:$AQ$1006,0)))),"Fix")))</f>
        <v>0</v>
      </c>
      <c r="O909" s="4">
        <f>IF(OR(INDEX($V$2:$V$1001,MATCH(ROWS($U$2:U909),$U$2:$U$1001,0),1)&gt;=100000,INDEX($AB$1005:$AQ$1005,1,MATCH(COLUMNS($AB$1006:AO1006),$AB$1006:$AQ$1006,0))&gt;=100000), " ",IF(INDEX($AB$2:$AQ$1001,MATCH(ROWS($U$2:U909),$U$2:$U$1001,0),MATCH(COLUMNS($AB$1006:AO1006),$AB$1006:$AQ$1006,0)), HYPERLINK("#",""), HYPERLINK(CONCATENATE("#metadata!", ADDRESS(INDEX($W$2:$W$1001,MATCH(ROWS($U$2:U909),$U$2:$U$1001,0),0), INDEX($AB$1004:$AQ$1004,1,MATCH(COLUMNS($AB$1006:AO1006),$AB$1006:$AQ$1006,0)))),"Fix")))</f>
        <v>0</v>
      </c>
      <c r="P909" s="4">
        <f>IF(OR(INDEX($V$2:$V$1001,MATCH(ROWS($U$2:U909),$U$2:$U$1001,0),1)&gt;=100000,INDEX($AB$1005:$AQ$1005,1,MATCH(COLUMNS($AB$1006:AP1006),$AB$1006:$AQ$1006,0))&gt;=100000), " ",IF(INDEX($AB$2:$AQ$1001,MATCH(ROWS($U$2:U909),$U$2:$U$1001,0),MATCH(COLUMNS($AB$1006:AP1006),$AB$1006:$AQ$1006,0)), HYPERLINK("#",""), HYPERLINK(CONCATENATE("#metadata!", ADDRESS(INDEX($W$2:$W$1001,MATCH(ROWS($U$2:U909),$U$2:$U$1001,0),0), INDEX($AB$1004:$AQ$1004,1,MATCH(COLUMNS($AB$1006:AP1006),$AB$1006:$AQ$1006,0)))),"Fix")))</f>
        <v>0</v>
      </c>
      <c r="Q909" s="4">
        <f>IF(OR(INDEX($V$2:$V$1001,MATCH(ROWS($U$2:U909),$U$2:$U$1001,0),1)&gt;=100000,INDEX($AB$1005:$AQ$1005,1,MATCH(COLUMNS($AB$1006:AQ1006),$AB$1006:$AQ$1006,0))&gt;=100000), " ",IF(INDEX($AB$2:$AQ$1001,MATCH(ROWS($U$2:U909),$U$2:$U$1001,0),MATCH(COLUMNS($AB$1006:AQ1006),$AB$1006:$AQ$1006,0)), HYPERLINK("#",""), HYPERLINK(CONCATENATE("#metadata!", ADDRESS(INDEX($W$2:$W$1001,MATCH(ROWS($U$2:U909),$U$2:$U$1001,0),0), INDEX($AB$1004:$AQ$1004,1,MATCH(COLUMNS($AB$1006:AQ1006),$AB$1006:$AQ$1006,0)))),"Fix")))</f>
        <v>0</v>
      </c>
      <c r="U909">
        <v>0</v>
      </c>
      <c r="V909">
        <v>0</v>
      </c>
      <c r="W909">
        <v>0</v>
      </c>
      <c r="X909">
        <f>IF(Y909,TRUE,AND(AB909:AQ909))</f>
        <v>0</v>
      </c>
      <c r="Y909">
        <f>COUNTBLANK(metadata!B909:Q909)=COLUMNS(metadata!B909:Q909)</f>
        <v>0</v>
      </c>
      <c r="Z909">
        <v>0</v>
      </c>
      <c r="AB909">
        <f>AND(IF(metadata!B909="",FALSE,TRUE),COUNTIF(metadata!B:B, metadata!B909) = 1,NOT(ISERROR(SUMPRODUCT(SEARCH(MID(metadata!B909,ROW(INDIRECT("1:"&amp;LEN(metadata!B909))), 1),"0123456789abcdefghijklmnopqrstuvwxyzABCDEFGHIJKLMNOPQRSTUVWXYZ.")))))</f>
        <v>0</v>
      </c>
      <c r="AC909">
        <f>OR(AND(IF(metadata!C909="",FALSE,TRUE),OR(exact(metadata!C909,"missing: not collected"),exact(metadata!C909,"missing: not provided"),exact(metadata!C909,"missing: restricted access"))),AND(IF(metadata!C909="",FALSE,TRUE),AND(AND(IFERROR(INT(LEFT(metadata!C909,4))&gt;1900,FALSE),IFERROR(INT(LEFT(metadata!C909,4))&lt;=YEAR(NOW()),FALSE)), OR(MID(metadata!C909,5,1)="", AND(AND(MID(metadata!C909,5,1)="-",IFERROR(INT(MID(metadata!C909,6,1))&gt;=0,FALSE),IFERROR(INT(MID(metadata!C909,6,1))&lt;=1,FALSE),NOT(MID(metadata!C909,7,1)=""),IFERROR(INT(MID(metadata!C909,6,2))&gt;=1,FALSE),IFERROR(INT(MID(metadata!C909,6,2))&lt;=12,FALSE)), OR(MID(metadata!C909,8,1)="", AND(AND(MID(metadata!C909,8,1)="-",IFERROR(INT(MID(metadata!C909,9,1))&gt;=0,FALSE),IFERROR(INT(MID(metadata!C909,9,1))&lt;=3,FALSE),NOT(MID(metadata!C909,10,1)=""),IFERROR(INT(MID(metadata!C909,9,2))&gt;=1,FALSE),IFERROR(INT(MID(metadata!C909,9,2))&lt;=31,FALSE)), OR(MID(metadata!C909,11,1)="", AND(AND(MID(metadata!C909,11,1)=" ",IFERROR(INT(MID(metadata!C909,12,1))&gt;=0,FALSE),IFERROR(INT(MID(metadata!C909,12,1))&lt;=2,FALSE),NOT(MID(metadata!C909,13,1)=""),IFERROR(INT(MID(metadata!C909,12,2))&gt;=0,FALSE),IFERROR(INT(MID(metadata!C909,12,2))&lt;=23,FALSE)), OR(MID(metadata!C909,14,1)="", AND(AND(MID(metadata!C909,14,1)=":",IFERROR(INT(MID(metadata!C909,15,1))&gt;=0,FALSE),IFERROR(INT(MID(metadata!C909,15,1))&lt;=5,FALSE),NOT(MID(metadata!C909,16,1)=""),IFERROR(INT(MID(metadata!C909,15,2))&gt;=0,FALSE),IFERROR(INT(MID(metadata!C909,15,2))&lt;=59,FALSE)), OR(MID(metadata!C909,17,1)="", AND(AND(MID(metadata!C909,17,1)=":",IFERROR(INT(MID(metadata!C909,18,1))&gt;=0,FALSE),IFERROR(INT(MID(metadata!C909,18,1))&lt;=5,FALSE),NOT(MID(metadata!C909,19,1)=""),IFERROR(INT(MID(metadata!C909,18,2))&gt;=0,FALSE),IFERROR(INT(MID(metadata!C909,18,2))&lt;=59,FALSE)), LEN(metadata!C909)&lt;=19)))))))))))))</f>
        <v>0</v>
      </c>
      <c r="AD909">
        <f>IF(metadata!D909="",FALSE,TRUE)</f>
        <v>0</v>
      </c>
      <c r="AE909">
        <f>OR(AND(IF(metadata!E909="",FALSE,TRUE),OR(exact(metadata!E909,"missing: not collected"),exact(metadata!E909,"missing: not provided"))),AND(IF(metadata!E909="",FALSE,TRUE),OR(exact(metadata!E909,"TRUE"),exact(metadata!E909,"FALSE"))))</f>
        <v>0</v>
      </c>
      <c r="AF909">
        <f>IF(metadata!F909="",FALSE,TRUE)</f>
        <v>0</v>
      </c>
      <c r="AG909">
        <f>IF(metadata!G909="",FALSE,TRUE)</f>
        <v>0</v>
      </c>
      <c r="AH909">
        <f>IF(metadata!H909="",FALSE,TRUE)</f>
        <v>0</v>
      </c>
      <c r="AI909">
        <f>OR(AND(IF(metadata!I909="",FALSE,TRUE),OR(exact(metadata!I909,"missing: not collected"),exact(metadata!I909,"missing: not provided"),exact(metadata!I909,"missing: restricted access"))),AND(IF(metadata!I909="",FALSE,TRUE),OR(exact(metadata!I909,"air"),exact(metadata!I909,"built environment"),exact(metadata!I909,"host-associated"),exact(metadata!I909,"human-associated"),exact(metadata!I909,"human-skin"),exact(metadata!I909,"human-oral"),exact(metadata!I909,"human-gut"),exact(metadata!I909,"human-vaginal"),exact(metadata!I909,"microbial mat/biofilm"),exact(metadata!I909,"misc environment"),exact(metadata!I909,"plant-associated"),exact(metadata!I909,"sediment"),exact(metadata!I909,"soil"),exact(metadata!I909,"wastewater/sludge"),exact(metadata!I909,"water"))))</f>
        <v>0</v>
      </c>
      <c r="AJ909">
        <f>IF(metadata!J909="",FALSE,TRUE)</f>
        <v>0</v>
      </c>
      <c r="AK909">
        <f>OR(AND(IF(metadata!K909="",FALSE,TRUE),OR(exact(metadata!K909,"missing: not collected"),exact(metadata!K909,"missing: not provided"),exact(metadata!K909,"missing: restricted access"))),AND(IF(metadata!K909="",FALSE,ISNUMBER(VALUE(metadata!K909))),metadata!K909&gt;=-90.00,metadata!K909&lt;=90.00))</f>
        <v>0</v>
      </c>
      <c r="AL909">
        <f>OR(AND(IF(metadata!L909="",FALSE,TRUE),OR(exact(metadata!L909,"missing: not collected"),exact(metadata!L909,"missing: not provided"),exact(metadata!L909,"missing: restricted access"))),AND(IF(metadata!L909="",FALSE,ISNUMBER(VALUE(metadata!L909))),metadata!L909&gt;=-180.00,metadata!L909&lt;=180.00))</f>
        <v>0</v>
      </c>
      <c r="AM909">
        <f>IF(metadata!M909="",FALSE,TRUE)</f>
        <v>0</v>
      </c>
      <c r="AN909">
        <f>OR(AND(IF(metadata!N909="",FALSE,TRUE),OR(exact(metadata!N909,"missing: not collected"),exact(metadata!N909,"missing: not provided"),exact(metadata!N909,"missing: restricted access"))),AND(IF(metadata!N909="",FALSE,TRUE),OR(exact(metadata!N909,"TRUE"),exact(metadata!N909,"FALSE"))))</f>
        <v>0</v>
      </c>
      <c r="AO909">
        <f>IF(metadata!O909="",FALSE,TRUE)</f>
        <v>0</v>
      </c>
      <c r="AP909">
        <f>OR(AND(IF(metadata!P909="",FALSE,TRUE),OR(exact(metadata!P909,"missing: not collected"),exact(metadata!P909,"missing: not provided"))),AND(IF(metadata!P909="",FALSE,IF(ISERROR(INT(metadata!P909)),FALSE,INT(metadata!P909)=metadata!P909)),metadata!P909&gt;0))</f>
        <v>0</v>
      </c>
      <c r="AQ909">
        <f>IF(metadata!Q909="",FALSE,TRUE)</f>
        <v>0</v>
      </c>
    </row>
    <row r="910" spans="1:43">
      <c r="A910" s="5">
        <f>IF(B910=" "," ",HYPERLINK(CONCATENATE("#metadata!",ADDRESS(INDEX($W$2:$W$1001,MATCH(ROWS($U$2:U910),$U$2:$U$1001,0),0),1)),INDEX($Z$2:$Z$1001,MATCH(ROWS($U$2:U910),$U$2:$U$1001,0),0)))</f>
        <v>0</v>
      </c>
      <c r="B910" s="4">
        <f>IF(OR(INDEX($V$2:$V$1001,MATCH(ROWS($U$2:U910),$U$2:$U$1001,0),1)&gt;=100000,INDEX($AB$1005:$AQ$1005,1,MATCH(COLUMNS($AB$1006:AB1006),$AB$1006:$AQ$1006,0))&gt;=100000), " ",IF(INDEX($AB$2:$AQ$1001,MATCH(ROWS($U$2:U910),$U$2:$U$1001,0),MATCH(COLUMNS($AB$1006:AB1006),$AB$1006:$AQ$1006,0)), HYPERLINK("#",""), HYPERLINK(CONCATENATE("#metadata!", ADDRESS(INDEX($W$2:$W$1001,MATCH(ROWS($U$2:U910),$U$2:$U$1001,0),0), INDEX($AB$1004:$AQ$1004,1,MATCH(COLUMNS($AB$1006:AB1006),$AB$1006:$AQ$1006,0)))),"Fix")))</f>
        <v>0</v>
      </c>
      <c r="C910" s="4">
        <f>IF(OR(INDEX($V$2:$V$1001,MATCH(ROWS($U$2:U910),$U$2:$U$1001,0),1)&gt;=100000,INDEX($AB$1005:$AQ$1005,1,MATCH(COLUMNS($AB$1006:AC1006),$AB$1006:$AQ$1006,0))&gt;=100000), " ",IF(INDEX($AB$2:$AQ$1001,MATCH(ROWS($U$2:U910),$U$2:$U$1001,0),MATCH(COLUMNS($AB$1006:AC1006),$AB$1006:$AQ$1006,0)), HYPERLINK("#",""), HYPERLINK(CONCATENATE("#metadata!", ADDRESS(INDEX($W$2:$W$1001,MATCH(ROWS($U$2:U910),$U$2:$U$1001,0),0), INDEX($AB$1004:$AQ$1004,1,MATCH(COLUMNS($AB$1006:AC1006),$AB$1006:$AQ$1006,0)))),"Fix")))</f>
        <v>0</v>
      </c>
      <c r="D910" s="4">
        <f>IF(OR(INDEX($V$2:$V$1001,MATCH(ROWS($U$2:U910),$U$2:$U$1001,0),1)&gt;=100000,INDEX($AB$1005:$AQ$1005,1,MATCH(COLUMNS($AB$1006:AD1006),$AB$1006:$AQ$1006,0))&gt;=100000), " ",IF(INDEX($AB$2:$AQ$1001,MATCH(ROWS($U$2:U910),$U$2:$U$1001,0),MATCH(COLUMNS($AB$1006:AD1006),$AB$1006:$AQ$1006,0)), HYPERLINK("#",""), HYPERLINK(CONCATENATE("#metadata!", ADDRESS(INDEX($W$2:$W$1001,MATCH(ROWS($U$2:U910),$U$2:$U$1001,0),0), INDEX($AB$1004:$AQ$1004,1,MATCH(COLUMNS($AB$1006:AD1006),$AB$1006:$AQ$1006,0)))),"Fix")))</f>
        <v>0</v>
      </c>
      <c r="E910" s="4">
        <f>IF(OR(INDEX($V$2:$V$1001,MATCH(ROWS($U$2:U910),$U$2:$U$1001,0),1)&gt;=100000,INDEX($AB$1005:$AQ$1005,1,MATCH(COLUMNS($AB$1006:AE1006),$AB$1006:$AQ$1006,0))&gt;=100000), " ",IF(INDEX($AB$2:$AQ$1001,MATCH(ROWS($U$2:U910),$U$2:$U$1001,0),MATCH(COLUMNS($AB$1006:AE1006),$AB$1006:$AQ$1006,0)), HYPERLINK("#",""), HYPERLINK(CONCATENATE("#metadata!", ADDRESS(INDEX($W$2:$W$1001,MATCH(ROWS($U$2:U910),$U$2:$U$1001,0),0), INDEX($AB$1004:$AQ$1004,1,MATCH(COLUMNS($AB$1006:AE1006),$AB$1006:$AQ$1006,0)))),"Fix")))</f>
        <v>0</v>
      </c>
      <c r="F910" s="4">
        <f>IF(OR(INDEX($V$2:$V$1001,MATCH(ROWS($U$2:U910),$U$2:$U$1001,0),1)&gt;=100000,INDEX($AB$1005:$AQ$1005,1,MATCH(COLUMNS($AB$1006:AF1006),$AB$1006:$AQ$1006,0))&gt;=100000), " ",IF(INDEX($AB$2:$AQ$1001,MATCH(ROWS($U$2:U910),$U$2:$U$1001,0),MATCH(COLUMNS($AB$1006:AF1006),$AB$1006:$AQ$1006,0)), HYPERLINK("#",""), HYPERLINK(CONCATENATE("#metadata!", ADDRESS(INDEX($W$2:$W$1001,MATCH(ROWS($U$2:U910),$U$2:$U$1001,0),0), INDEX($AB$1004:$AQ$1004,1,MATCH(COLUMNS($AB$1006:AF1006),$AB$1006:$AQ$1006,0)))),"Fix")))</f>
        <v>0</v>
      </c>
      <c r="G910" s="4">
        <f>IF(OR(INDEX($V$2:$V$1001,MATCH(ROWS($U$2:U910),$U$2:$U$1001,0),1)&gt;=100000,INDEX($AB$1005:$AQ$1005,1,MATCH(COLUMNS($AB$1006:AG1006),$AB$1006:$AQ$1006,0))&gt;=100000), " ",IF(INDEX($AB$2:$AQ$1001,MATCH(ROWS($U$2:U910),$U$2:$U$1001,0),MATCH(COLUMNS($AB$1006:AG1006),$AB$1006:$AQ$1006,0)), HYPERLINK("#",""), HYPERLINK(CONCATENATE("#metadata!", ADDRESS(INDEX($W$2:$W$1001,MATCH(ROWS($U$2:U910),$U$2:$U$1001,0),0), INDEX($AB$1004:$AQ$1004,1,MATCH(COLUMNS($AB$1006:AG1006),$AB$1006:$AQ$1006,0)))),"Fix")))</f>
        <v>0</v>
      </c>
      <c r="H910" s="4">
        <f>IF(OR(INDEX($V$2:$V$1001,MATCH(ROWS($U$2:U910),$U$2:$U$1001,0),1)&gt;=100000,INDEX($AB$1005:$AQ$1005,1,MATCH(COLUMNS($AB$1006:AH1006),$AB$1006:$AQ$1006,0))&gt;=100000), " ",IF(INDEX($AB$2:$AQ$1001,MATCH(ROWS($U$2:U910),$U$2:$U$1001,0),MATCH(COLUMNS($AB$1006:AH1006),$AB$1006:$AQ$1006,0)), HYPERLINK("#",""), HYPERLINK(CONCATENATE("#metadata!", ADDRESS(INDEX($W$2:$W$1001,MATCH(ROWS($U$2:U910),$U$2:$U$1001,0),0), INDEX($AB$1004:$AQ$1004,1,MATCH(COLUMNS($AB$1006:AH1006),$AB$1006:$AQ$1006,0)))),"Fix")))</f>
        <v>0</v>
      </c>
      <c r="I910" s="4">
        <f>IF(OR(INDEX($V$2:$V$1001,MATCH(ROWS($U$2:U910),$U$2:$U$1001,0),1)&gt;=100000,INDEX($AB$1005:$AQ$1005,1,MATCH(COLUMNS($AB$1006:AI1006),$AB$1006:$AQ$1006,0))&gt;=100000), " ",IF(INDEX($AB$2:$AQ$1001,MATCH(ROWS($U$2:U910),$U$2:$U$1001,0),MATCH(COLUMNS($AB$1006:AI1006),$AB$1006:$AQ$1006,0)), HYPERLINK("#",""), HYPERLINK(CONCATENATE("#metadata!", ADDRESS(INDEX($W$2:$W$1001,MATCH(ROWS($U$2:U910),$U$2:$U$1001,0),0), INDEX($AB$1004:$AQ$1004,1,MATCH(COLUMNS($AB$1006:AI1006),$AB$1006:$AQ$1006,0)))),"Fix")))</f>
        <v>0</v>
      </c>
      <c r="J910" s="4">
        <f>IF(OR(INDEX($V$2:$V$1001,MATCH(ROWS($U$2:U910),$U$2:$U$1001,0),1)&gt;=100000,INDEX($AB$1005:$AQ$1005,1,MATCH(COLUMNS($AB$1006:AJ1006),$AB$1006:$AQ$1006,0))&gt;=100000), " ",IF(INDEX($AB$2:$AQ$1001,MATCH(ROWS($U$2:U910),$U$2:$U$1001,0),MATCH(COLUMNS($AB$1006:AJ1006),$AB$1006:$AQ$1006,0)), HYPERLINK("#",""), HYPERLINK(CONCATENATE("#metadata!", ADDRESS(INDEX($W$2:$W$1001,MATCH(ROWS($U$2:U910),$U$2:$U$1001,0),0), INDEX($AB$1004:$AQ$1004,1,MATCH(COLUMNS($AB$1006:AJ1006),$AB$1006:$AQ$1006,0)))),"Fix")))</f>
        <v>0</v>
      </c>
      <c r="K910" s="4">
        <f>IF(OR(INDEX($V$2:$V$1001,MATCH(ROWS($U$2:U910),$U$2:$U$1001,0),1)&gt;=100000,INDEX($AB$1005:$AQ$1005,1,MATCH(COLUMNS($AB$1006:AK1006),$AB$1006:$AQ$1006,0))&gt;=100000), " ",IF(INDEX($AB$2:$AQ$1001,MATCH(ROWS($U$2:U910),$U$2:$U$1001,0),MATCH(COLUMNS($AB$1006:AK1006),$AB$1006:$AQ$1006,0)), HYPERLINK("#",""), HYPERLINK(CONCATENATE("#metadata!", ADDRESS(INDEX($W$2:$W$1001,MATCH(ROWS($U$2:U910),$U$2:$U$1001,0),0), INDEX($AB$1004:$AQ$1004,1,MATCH(COLUMNS($AB$1006:AK1006),$AB$1006:$AQ$1006,0)))),"Fix")))</f>
        <v>0</v>
      </c>
      <c r="L910" s="4">
        <f>IF(OR(INDEX($V$2:$V$1001,MATCH(ROWS($U$2:U910),$U$2:$U$1001,0),1)&gt;=100000,INDEX($AB$1005:$AQ$1005,1,MATCH(COLUMNS($AB$1006:AL1006),$AB$1006:$AQ$1006,0))&gt;=100000), " ",IF(INDEX($AB$2:$AQ$1001,MATCH(ROWS($U$2:U910),$U$2:$U$1001,0),MATCH(COLUMNS($AB$1006:AL1006),$AB$1006:$AQ$1006,0)), HYPERLINK("#",""), HYPERLINK(CONCATENATE("#metadata!", ADDRESS(INDEX($W$2:$W$1001,MATCH(ROWS($U$2:U910),$U$2:$U$1001,0),0), INDEX($AB$1004:$AQ$1004,1,MATCH(COLUMNS($AB$1006:AL1006),$AB$1006:$AQ$1006,0)))),"Fix")))</f>
        <v>0</v>
      </c>
      <c r="M910" s="4">
        <f>IF(OR(INDEX($V$2:$V$1001,MATCH(ROWS($U$2:U910),$U$2:$U$1001,0),1)&gt;=100000,INDEX($AB$1005:$AQ$1005,1,MATCH(COLUMNS($AB$1006:AM1006),$AB$1006:$AQ$1006,0))&gt;=100000), " ",IF(INDEX($AB$2:$AQ$1001,MATCH(ROWS($U$2:U910),$U$2:$U$1001,0),MATCH(COLUMNS($AB$1006:AM1006),$AB$1006:$AQ$1006,0)), HYPERLINK("#",""), HYPERLINK(CONCATENATE("#metadata!", ADDRESS(INDEX($W$2:$W$1001,MATCH(ROWS($U$2:U910),$U$2:$U$1001,0),0), INDEX($AB$1004:$AQ$1004,1,MATCH(COLUMNS($AB$1006:AM1006),$AB$1006:$AQ$1006,0)))),"Fix")))</f>
        <v>0</v>
      </c>
      <c r="N910" s="4">
        <f>IF(OR(INDEX($V$2:$V$1001,MATCH(ROWS($U$2:U910),$U$2:$U$1001,0),1)&gt;=100000,INDEX($AB$1005:$AQ$1005,1,MATCH(COLUMNS($AB$1006:AN1006),$AB$1006:$AQ$1006,0))&gt;=100000), " ",IF(INDEX($AB$2:$AQ$1001,MATCH(ROWS($U$2:U910),$U$2:$U$1001,0),MATCH(COLUMNS($AB$1006:AN1006),$AB$1006:$AQ$1006,0)), HYPERLINK("#",""), HYPERLINK(CONCATENATE("#metadata!", ADDRESS(INDEX($W$2:$W$1001,MATCH(ROWS($U$2:U910),$U$2:$U$1001,0),0), INDEX($AB$1004:$AQ$1004,1,MATCH(COLUMNS($AB$1006:AN1006),$AB$1006:$AQ$1006,0)))),"Fix")))</f>
        <v>0</v>
      </c>
      <c r="O910" s="4">
        <f>IF(OR(INDEX($V$2:$V$1001,MATCH(ROWS($U$2:U910),$U$2:$U$1001,0),1)&gt;=100000,INDEX($AB$1005:$AQ$1005,1,MATCH(COLUMNS($AB$1006:AO1006),$AB$1006:$AQ$1006,0))&gt;=100000), " ",IF(INDEX($AB$2:$AQ$1001,MATCH(ROWS($U$2:U910),$U$2:$U$1001,0),MATCH(COLUMNS($AB$1006:AO1006),$AB$1006:$AQ$1006,0)), HYPERLINK("#",""), HYPERLINK(CONCATENATE("#metadata!", ADDRESS(INDEX($W$2:$W$1001,MATCH(ROWS($U$2:U910),$U$2:$U$1001,0),0), INDEX($AB$1004:$AQ$1004,1,MATCH(COLUMNS($AB$1006:AO1006),$AB$1006:$AQ$1006,0)))),"Fix")))</f>
        <v>0</v>
      </c>
      <c r="P910" s="4">
        <f>IF(OR(INDEX($V$2:$V$1001,MATCH(ROWS($U$2:U910),$U$2:$U$1001,0),1)&gt;=100000,INDEX($AB$1005:$AQ$1005,1,MATCH(COLUMNS($AB$1006:AP1006),$AB$1006:$AQ$1006,0))&gt;=100000), " ",IF(INDEX($AB$2:$AQ$1001,MATCH(ROWS($U$2:U910),$U$2:$U$1001,0),MATCH(COLUMNS($AB$1006:AP1006),$AB$1006:$AQ$1006,0)), HYPERLINK("#",""), HYPERLINK(CONCATENATE("#metadata!", ADDRESS(INDEX($W$2:$W$1001,MATCH(ROWS($U$2:U910),$U$2:$U$1001,0),0), INDEX($AB$1004:$AQ$1004,1,MATCH(COLUMNS($AB$1006:AP1006),$AB$1006:$AQ$1006,0)))),"Fix")))</f>
        <v>0</v>
      </c>
      <c r="Q910" s="4">
        <f>IF(OR(INDEX($V$2:$V$1001,MATCH(ROWS($U$2:U910),$U$2:$U$1001,0),1)&gt;=100000,INDEX($AB$1005:$AQ$1005,1,MATCH(COLUMNS($AB$1006:AQ1006),$AB$1006:$AQ$1006,0))&gt;=100000), " ",IF(INDEX($AB$2:$AQ$1001,MATCH(ROWS($U$2:U910),$U$2:$U$1001,0),MATCH(COLUMNS($AB$1006:AQ1006),$AB$1006:$AQ$1006,0)), HYPERLINK("#",""), HYPERLINK(CONCATENATE("#metadata!", ADDRESS(INDEX($W$2:$W$1001,MATCH(ROWS($U$2:U910),$U$2:$U$1001,0),0), INDEX($AB$1004:$AQ$1004,1,MATCH(COLUMNS($AB$1006:AQ1006),$AB$1006:$AQ$1006,0)))),"Fix")))</f>
        <v>0</v>
      </c>
      <c r="U910">
        <v>0</v>
      </c>
      <c r="V910">
        <v>0</v>
      </c>
      <c r="W910">
        <v>0</v>
      </c>
      <c r="X910">
        <f>IF(Y910,TRUE,AND(AB910:AQ910))</f>
        <v>0</v>
      </c>
      <c r="Y910">
        <f>COUNTBLANK(metadata!B910:Q910)=COLUMNS(metadata!B910:Q910)</f>
        <v>0</v>
      </c>
      <c r="Z910">
        <v>0</v>
      </c>
      <c r="AB910">
        <f>AND(IF(metadata!B910="",FALSE,TRUE),COUNTIF(metadata!B:B, metadata!B910) = 1,NOT(ISERROR(SUMPRODUCT(SEARCH(MID(metadata!B910,ROW(INDIRECT("1:"&amp;LEN(metadata!B910))), 1),"0123456789abcdefghijklmnopqrstuvwxyzABCDEFGHIJKLMNOPQRSTUVWXYZ.")))))</f>
        <v>0</v>
      </c>
      <c r="AC910">
        <f>OR(AND(IF(metadata!C910="",FALSE,TRUE),OR(exact(metadata!C910,"missing: not collected"),exact(metadata!C910,"missing: not provided"),exact(metadata!C910,"missing: restricted access"))),AND(IF(metadata!C910="",FALSE,TRUE),AND(AND(IFERROR(INT(LEFT(metadata!C910,4))&gt;1900,FALSE),IFERROR(INT(LEFT(metadata!C910,4))&lt;=YEAR(NOW()),FALSE)), OR(MID(metadata!C910,5,1)="", AND(AND(MID(metadata!C910,5,1)="-",IFERROR(INT(MID(metadata!C910,6,1))&gt;=0,FALSE),IFERROR(INT(MID(metadata!C910,6,1))&lt;=1,FALSE),NOT(MID(metadata!C910,7,1)=""),IFERROR(INT(MID(metadata!C910,6,2))&gt;=1,FALSE),IFERROR(INT(MID(metadata!C910,6,2))&lt;=12,FALSE)), OR(MID(metadata!C910,8,1)="", AND(AND(MID(metadata!C910,8,1)="-",IFERROR(INT(MID(metadata!C910,9,1))&gt;=0,FALSE),IFERROR(INT(MID(metadata!C910,9,1))&lt;=3,FALSE),NOT(MID(metadata!C910,10,1)=""),IFERROR(INT(MID(metadata!C910,9,2))&gt;=1,FALSE),IFERROR(INT(MID(metadata!C910,9,2))&lt;=31,FALSE)), OR(MID(metadata!C910,11,1)="", AND(AND(MID(metadata!C910,11,1)=" ",IFERROR(INT(MID(metadata!C910,12,1))&gt;=0,FALSE),IFERROR(INT(MID(metadata!C910,12,1))&lt;=2,FALSE),NOT(MID(metadata!C910,13,1)=""),IFERROR(INT(MID(metadata!C910,12,2))&gt;=0,FALSE),IFERROR(INT(MID(metadata!C910,12,2))&lt;=23,FALSE)), OR(MID(metadata!C910,14,1)="", AND(AND(MID(metadata!C910,14,1)=":",IFERROR(INT(MID(metadata!C910,15,1))&gt;=0,FALSE),IFERROR(INT(MID(metadata!C910,15,1))&lt;=5,FALSE),NOT(MID(metadata!C910,16,1)=""),IFERROR(INT(MID(metadata!C910,15,2))&gt;=0,FALSE),IFERROR(INT(MID(metadata!C910,15,2))&lt;=59,FALSE)), OR(MID(metadata!C910,17,1)="", AND(AND(MID(metadata!C910,17,1)=":",IFERROR(INT(MID(metadata!C910,18,1))&gt;=0,FALSE),IFERROR(INT(MID(metadata!C910,18,1))&lt;=5,FALSE),NOT(MID(metadata!C910,19,1)=""),IFERROR(INT(MID(metadata!C910,18,2))&gt;=0,FALSE),IFERROR(INT(MID(metadata!C910,18,2))&lt;=59,FALSE)), LEN(metadata!C910)&lt;=19)))))))))))))</f>
        <v>0</v>
      </c>
      <c r="AD910">
        <f>IF(metadata!D910="",FALSE,TRUE)</f>
        <v>0</v>
      </c>
      <c r="AE910">
        <f>OR(AND(IF(metadata!E910="",FALSE,TRUE),OR(exact(metadata!E910,"missing: not collected"),exact(metadata!E910,"missing: not provided"))),AND(IF(metadata!E910="",FALSE,TRUE),OR(exact(metadata!E910,"TRUE"),exact(metadata!E910,"FALSE"))))</f>
        <v>0</v>
      </c>
      <c r="AF910">
        <f>IF(metadata!F910="",FALSE,TRUE)</f>
        <v>0</v>
      </c>
      <c r="AG910">
        <f>IF(metadata!G910="",FALSE,TRUE)</f>
        <v>0</v>
      </c>
      <c r="AH910">
        <f>IF(metadata!H910="",FALSE,TRUE)</f>
        <v>0</v>
      </c>
      <c r="AI910">
        <f>OR(AND(IF(metadata!I910="",FALSE,TRUE),OR(exact(metadata!I910,"missing: not collected"),exact(metadata!I910,"missing: not provided"),exact(metadata!I910,"missing: restricted access"))),AND(IF(metadata!I910="",FALSE,TRUE),OR(exact(metadata!I910,"air"),exact(metadata!I910,"built environment"),exact(metadata!I910,"host-associated"),exact(metadata!I910,"human-associated"),exact(metadata!I910,"human-skin"),exact(metadata!I910,"human-oral"),exact(metadata!I910,"human-gut"),exact(metadata!I910,"human-vaginal"),exact(metadata!I910,"microbial mat/biofilm"),exact(metadata!I910,"misc environment"),exact(metadata!I910,"plant-associated"),exact(metadata!I910,"sediment"),exact(metadata!I910,"soil"),exact(metadata!I910,"wastewater/sludge"),exact(metadata!I910,"water"))))</f>
        <v>0</v>
      </c>
      <c r="AJ910">
        <f>IF(metadata!J910="",FALSE,TRUE)</f>
        <v>0</v>
      </c>
      <c r="AK910">
        <f>OR(AND(IF(metadata!K910="",FALSE,TRUE),OR(exact(metadata!K910,"missing: not collected"),exact(metadata!K910,"missing: not provided"),exact(metadata!K910,"missing: restricted access"))),AND(IF(metadata!K910="",FALSE,ISNUMBER(VALUE(metadata!K910))),metadata!K910&gt;=-90.00,metadata!K910&lt;=90.00))</f>
        <v>0</v>
      </c>
      <c r="AL910">
        <f>OR(AND(IF(metadata!L910="",FALSE,TRUE),OR(exact(metadata!L910,"missing: not collected"),exact(metadata!L910,"missing: not provided"),exact(metadata!L910,"missing: restricted access"))),AND(IF(metadata!L910="",FALSE,ISNUMBER(VALUE(metadata!L910))),metadata!L910&gt;=-180.00,metadata!L910&lt;=180.00))</f>
        <v>0</v>
      </c>
      <c r="AM910">
        <f>IF(metadata!M910="",FALSE,TRUE)</f>
        <v>0</v>
      </c>
      <c r="AN910">
        <f>OR(AND(IF(metadata!N910="",FALSE,TRUE),OR(exact(metadata!N910,"missing: not collected"),exact(metadata!N910,"missing: not provided"),exact(metadata!N910,"missing: restricted access"))),AND(IF(metadata!N910="",FALSE,TRUE),OR(exact(metadata!N910,"TRUE"),exact(metadata!N910,"FALSE"))))</f>
        <v>0</v>
      </c>
      <c r="AO910">
        <f>IF(metadata!O910="",FALSE,TRUE)</f>
        <v>0</v>
      </c>
      <c r="AP910">
        <f>OR(AND(IF(metadata!P910="",FALSE,TRUE),OR(exact(metadata!P910,"missing: not collected"),exact(metadata!P910,"missing: not provided"))),AND(IF(metadata!P910="",FALSE,IF(ISERROR(INT(metadata!P910)),FALSE,INT(metadata!P910)=metadata!P910)),metadata!P910&gt;0))</f>
        <v>0</v>
      </c>
      <c r="AQ910">
        <f>IF(metadata!Q910="",FALSE,TRUE)</f>
        <v>0</v>
      </c>
    </row>
    <row r="911" spans="1:43">
      <c r="A911" s="5">
        <f>IF(B911=" "," ",HYPERLINK(CONCATENATE("#metadata!",ADDRESS(INDEX($W$2:$W$1001,MATCH(ROWS($U$2:U911),$U$2:$U$1001,0),0),1)),INDEX($Z$2:$Z$1001,MATCH(ROWS($U$2:U911),$U$2:$U$1001,0),0)))</f>
        <v>0</v>
      </c>
      <c r="B911" s="4">
        <f>IF(OR(INDEX($V$2:$V$1001,MATCH(ROWS($U$2:U911),$U$2:$U$1001,0),1)&gt;=100000,INDEX($AB$1005:$AQ$1005,1,MATCH(COLUMNS($AB$1006:AB1006),$AB$1006:$AQ$1006,0))&gt;=100000), " ",IF(INDEX($AB$2:$AQ$1001,MATCH(ROWS($U$2:U911),$U$2:$U$1001,0),MATCH(COLUMNS($AB$1006:AB1006),$AB$1006:$AQ$1006,0)), HYPERLINK("#",""), HYPERLINK(CONCATENATE("#metadata!", ADDRESS(INDEX($W$2:$W$1001,MATCH(ROWS($U$2:U911),$U$2:$U$1001,0),0), INDEX($AB$1004:$AQ$1004,1,MATCH(COLUMNS($AB$1006:AB1006),$AB$1006:$AQ$1006,0)))),"Fix")))</f>
        <v>0</v>
      </c>
      <c r="C911" s="4">
        <f>IF(OR(INDEX($V$2:$V$1001,MATCH(ROWS($U$2:U911),$U$2:$U$1001,0),1)&gt;=100000,INDEX($AB$1005:$AQ$1005,1,MATCH(COLUMNS($AB$1006:AC1006),$AB$1006:$AQ$1006,0))&gt;=100000), " ",IF(INDEX($AB$2:$AQ$1001,MATCH(ROWS($U$2:U911),$U$2:$U$1001,0),MATCH(COLUMNS($AB$1006:AC1006),$AB$1006:$AQ$1006,0)), HYPERLINK("#",""), HYPERLINK(CONCATENATE("#metadata!", ADDRESS(INDEX($W$2:$W$1001,MATCH(ROWS($U$2:U911),$U$2:$U$1001,0),0), INDEX($AB$1004:$AQ$1004,1,MATCH(COLUMNS($AB$1006:AC1006),$AB$1006:$AQ$1006,0)))),"Fix")))</f>
        <v>0</v>
      </c>
      <c r="D911" s="4">
        <f>IF(OR(INDEX($V$2:$V$1001,MATCH(ROWS($U$2:U911),$U$2:$U$1001,0),1)&gt;=100000,INDEX($AB$1005:$AQ$1005,1,MATCH(COLUMNS($AB$1006:AD1006),$AB$1006:$AQ$1006,0))&gt;=100000), " ",IF(INDEX($AB$2:$AQ$1001,MATCH(ROWS($U$2:U911),$U$2:$U$1001,0),MATCH(COLUMNS($AB$1006:AD1006),$AB$1006:$AQ$1006,0)), HYPERLINK("#",""), HYPERLINK(CONCATENATE("#metadata!", ADDRESS(INDEX($W$2:$W$1001,MATCH(ROWS($U$2:U911),$U$2:$U$1001,0),0), INDEX($AB$1004:$AQ$1004,1,MATCH(COLUMNS($AB$1006:AD1006),$AB$1006:$AQ$1006,0)))),"Fix")))</f>
        <v>0</v>
      </c>
      <c r="E911" s="4">
        <f>IF(OR(INDEX($V$2:$V$1001,MATCH(ROWS($U$2:U911),$U$2:$U$1001,0),1)&gt;=100000,INDEX($AB$1005:$AQ$1005,1,MATCH(COLUMNS($AB$1006:AE1006),$AB$1006:$AQ$1006,0))&gt;=100000), " ",IF(INDEX($AB$2:$AQ$1001,MATCH(ROWS($U$2:U911),$U$2:$U$1001,0),MATCH(COLUMNS($AB$1006:AE1006),$AB$1006:$AQ$1006,0)), HYPERLINK("#",""), HYPERLINK(CONCATENATE("#metadata!", ADDRESS(INDEX($W$2:$W$1001,MATCH(ROWS($U$2:U911),$U$2:$U$1001,0),0), INDEX($AB$1004:$AQ$1004,1,MATCH(COLUMNS($AB$1006:AE1006),$AB$1006:$AQ$1006,0)))),"Fix")))</f>
        <v>0</v>
      </c>
      <c r="F911" s="4">
        <f>IF(OR(INDEX($V$2:$V$1001,MATCH(ROWS($U$2:U911),$U$2:$U$1001,0),1)&gt;=100000,INDEX($AB$1005:$AQ$1005,1,MATCH(COLUMNS($AB$1006:AF1006),$AB$1006:$AQ$1006,0))&gt;=100000), " ",IF(INDEX($AB$2:$AQ$1001,MATCH(ROWS($U$2:U911),$U$2:$U$1001,0),MATCH(COLUMNS($AB$1006:AF1006),$AB$1006:$AQ$1006,0)), HYPERLINK("#",""), HYPERLINK(CONCATENATE("#metadata!", ADDRESS(INDEX($W$2:$W$1001,MATCH(ROWS($U$2:U911),$U$2:$U$1001,0),0), INDEX($AB$1004:$AQ$1004,1,MATCH(COLUMNS($AB$1006:AF1006),$AB$1006:$AQ$1006,0)))),"Fix")))</f>
        <v>0</v>
      </c>
      <c r="G911" s="4">
        <f>IF(OR(INDEX($V$2:$V$1001,MATCH(ROWS($U$2:U911),$U$2:$U$1001,0),1)&gt;=100000,INDEX($AB$1005:$AQ$1005,1,MATCH(COLUMNS($AB$1006:AG1006),$AB$1006:$AQ$1006,0))&gt;=100000), " ",IF(INDEX($AB$2:$AQ$1001,MATCH(ROWS($U$2:U911),$U$2:$U$1001,0),MATCH(COLUMNS($AB$1006:AG1006),$AB$1006:$AQ$1006,0)), HYPERLINK("#",""), HYPERLINK(CONCATENATE("#metadata!", ADDRESS(INDEX($W$2:$W$1001,MATCH(ROWS($U$2:U911),$U$2:$U$1001,0),0), INDEX($AB$1004:$AQ$1004,1,MATCH(COLUMNS($AB$1006:AG1006),$AB$1006:$AQ$1006,0)))),"Fix")))</f>
        <v>0</v>
      </c>
      <c r="H911" s="4">
        <f>IF(OR(INDEX($V$2:$V$1001,MATCH(ROWS($U$2:U911),$U$2:$U$1001,0),1)&gt;=100000,INDEX($AB$1005:$AQ$1005,1,MATCH(COLUMNS($AB$1006:AH1006),$AB$1006:$AQ$1006,0))&gt;=100000), " ",IF(INDEX($AB$2:$AQ$1001,MATCH(ROWS($U$2:U911),$U$2:$U$1001,0),MATCH(COLUMNS($AB$1006:AH1006),$AB$1006:$AQ$1006,0)), HYPERLINK("#",""), HYPERLINK(CONCATENATE("#metadata!", ADDRESS(INDEX($W$2:$W$1001,MATCH(ROWS($U$2:U911),$U$2:$U$1001,0),0), INDEX($AB$1004:$AQ$1004,1,MATCH(COLUMNS($AB$1006:AH1006),$AB$1006:$AQ$1006,0)))),"Fix")))</f>
        <v>0</v>
      </c>
      <c r="I911" s="4">
        <f>IF(OR(INDEX($V$2:$V$1001,MATCH(ROWS($U$2:U911),$U$2:$U$1001,0),1)&gt;=100000,INDEX($AB$1005:$AQ$1005,1,MATCH(COLUMNS($AB$1006:AI1006),$AB$1006:$AQ$1006,0))&gt;=100000), " ",IF(INDEX($AB$2:$AQ$1001,MATCH(ROWS($U$2:U911),$U$2:$U$1001,0),MATCH(COLUMNS($AB$1006:AI1006),$AB$1006:$AQ$1006,0)), HYPERLINK("#",""), HYPERLINK(CONCATENATE("#metadata!", ADDRESS(INDEX($W$2:$W$1001,MATCH(ROWS($U$2:U911),$U$2:$U$1001,0),0), INDEX($AB$1004:$AQ$1004,1,MATCH(COLUMNS($AB$1006:AI1006),$AB$1006:$AQ$1006,0)))),"Fix")))</f>
        <v>0</v>
      </c>
      <c r="J911" s="4">
        <f>IF(OR(INDEX($V$2:$V$1001,MATCH(ROWS($U$2:U911),$U$2:$U$1001,0),1)&gt;=100000,INDEX($AB$1005:$AQ$1005,1,MATCH(COLUMNS($AB$1006:AJ1006),$AB$1006:$AQ$1006,0))&gt;=100000), " ",IF(INDEX($AB$2:$AQ$1001,MATCH(ROWS($U$2:U911),$U$2:$U$1001,0),MATCH(COLUMNS($AB$1006:AJ1006),$AB$1006:$AQ$1006,0)), HYPERLINK("#",""), HYPERLINK(CONCATENATE("#metadata!", ADDRESS(INDEX($W$2:$W$1001,MATCH(ROWS($U$2:U911),$U$2:$U$1001,0),0), INDEX($AB$1004:$AQ$1004,1,MATCH(COLUMNS($AB$1006:AJ1006),$AB$1006:$AQ$1006,0)))),"Fix")))</f>
        <v>0</v>
      </c>
      <c r="K911" s="4">
        <f>IF(OR(INDEX($V$2:$V$1001,MATCH(ROWS($U$2:U911),$U$2:$U$1001,0),1)&gt;=100000,INDEX($AB$1005:$AQ$1005,1,MATCH(COLUMNS($AB$1006:AK1006),$AB$1006:$AQ$1006,0))&gt;=100000), " ",IF(INDEX($AB$2:$AQ$1001,MATCH(ROWS($U$2:U911),$U$2:$U$1001,0),MATCH(COLUMNS($AB$1006:AK1006),$AB$1006:$AQ$1006,0)), HYPERLINK("#",""), HYPERLINK(CONCATENATE("#metadata!", ADDRESS(INDEX($W$2:$W$1001,MATCH(ROWS($U$2:U911),$U$2:$U$1001,0),0), INDEX($AB$1004:$AQ$1004,1,MATCH(COLUMNS($AB$1006:AK1006),$AB$1006:$AQ$1006,0)))),"Fix")))</f>
        <v>0</v>
      </c>
      <c r="L911" s="4">
        <f>IF(OR(INDEX($V$2:$V$1001,MATCH(ROWS($U$2:U911),$U$2:$U$1001,0),1)&gt;=100000,INDEX($AB$1005:$AQ$1005,1,MATCH(COLUMNS($AB$1006:AL1006),$AB$1006:$AQ$1006,0))&gt;=100000), " ",IF(INDEX($AB$2:$AQ$1001,MATCH(ROWS($U$2:U911),$U$2:$U$1001,0),MATCH(COLUMNS($AB$1006:AL1006),$AB$1006:$AQ$1006,0)), HYPERLINK("#",""), HYPERLINK(CONCATENATE("#metadata!", ADDRESS(INDEX($W$2:$W$1001,MATCH(ROWS($U$2:U911),$U$2:$U$1001,0),0), INDEX($AB$1004:$AQ$1004,1,MATCH(COLUMNS($AB$1006:AL1006),$AB$1006:$AQ$1006,0)))),"Fix")))</f>
        <v>0</v>
      </c>
      <c r="M911" s="4">
        <f>IF(OR(INDEX($V$2:$V$1001,MATCH(ROWS($U$2:U911),$U$2:$U$1001,0),1)&gt;=100000,INDEX($AB$1005:$AQ$1005,1,MATCH(COLUMNS($AB$1006:AM1006),$AB$1006:$AQ$1006,0))&gt;=100000), " ",IF(INDEX($AB$2:$AQ$1001,MATCH(ROWS($U$2:U911),$U$2:$U$1001,0),MATCH(COLUMNS($AB$1006:AM1006),$AB$1006:$AQ$1006,0)), HYPERLINK("#",""), HYPERLINK(CONCATENATE("#metadata!", ADDRESS(INDEX($W$2:$W$1001,MATCH(ROWS($U$2:U911),$U$2:$U$1001,0),0), INDEX($AB$1004:$AQ$1004,1,MATCH(COLUMNS($AB$1006:AM1006),$AB$1006:$AQ$1006,0)))),"Fix")))</f>
        <v>0</v>
      </c>
      <c r="N911" s="4">
        <f>IF(OR(INDEX($V$2:$V$1001,MATCH(ROWS($U$2:U911),$U$2:$U$1001,0),1)&gt;=100000,INDEX($AB$1005:$AQ$1005,1,MATCH(COLUMNS($AB$1006:AN1006),$AB$1006:$AQ$1006,0))&gt;=100000), " ",IF(INDEX($AB$2:$AQ$1001,MATCH(ROWS($U$2:U911),$U$2:$U$1001,0),MATCH(COLUMNS($AB$1006:AN1006),$AB$1006:$AQ$1006,0)), HYPERLINK("#",""), HYPERLINK(CONCATENATE("#metadata!", ADDRESS(INDEX($W$2:$W$1001,MATCH(ROWS($U$2:U911),$U$2:$U$1001,0),0), INDEX($AB$1004:$AQ$1004,1,MATCH(COLUMNS($AB$1006:AN1006),$AB$1006:$AQ$1006,0)))),"Fix")))</f>
        <v>0</v>
      </c>
      <c r="O911" s="4">
        <f>IF(OR(INDEX($V$2:$V$1001,MATCH(ROWS($U$2:U911),$U$2:$U$1001,0),1)&gt;=100000,INDEX($AB$1005:$AQ$1005,1,MATCH(COLUMNS($AB$1006:AO1006),$AB$1006:$AQ$1006,0))&gt;=100000), " ",IF(INDEX($AB$2:$AQ$1001,MATCH(ROWS($U$2:U911),$U$2:$U$1001,0),MATCH(COLUMNS($AB$1006:AO1006),$AB$1006:$AQ$1006,0)), HYPERLINK("#",""), HYPERLINK(CONCATENATE("#metadata!", ADDRESS(INDEX($W$2:$W$1001,MATCH(ROWS($U$2:U911),$U$2:$U$1001,0),0), INDEX($AB$1004:$AQ$1004,1,MATCH(COLUMNS($AB$1006:AO1006),$AB$1006:$AQ$1006,0)))),"Fix")))</f>
        <v>0</v>
      </c>
      <c r="P911" s="4">
        <f>IF(OR(INDEX($V$2:$V$1001,MATCH(ROWS($U$2:U911),$U$2:$U$1001,0),1)&gt;=100000,INDEX($AB$1005:$AQ$1005,1,MATCH(COLUMNS($AB$1006:AP1006),$AB$1006:$AQ$1006,0))&gt;=100000), " ",IF(INDEX($AB$2:$AQ$1001,MATCH(ROWS($U$2:U911),$U$2:$U$1001,0),MATCH(COLUMNS($AB$1006:AP1006),$AB$1006:$AQ$1006,0)), HYPERLINK("#",""), HYPERLINK(CONCATENATE("#metadata!", ADDRESS(INDEX($W$2:$W$1001,MATCH(ROWS($U$2:U911),$U$2:$U$1001,0),0), INDEX($AB$1004:$AQ$1004,1,MATCH(COLUMNS($AB$1006:AP1006),$AB$1006:$AQ$1006,0)))),"Fix")))</f>
        <v>0</v>
      </c>
      <c r="Q911" s="4">
        <f>IF(OR(INDEX($V$2:$V$1001,MATCH(ROWS($U$2:U911),$U$2:$U$1001,0),1)&gt;=100000,INDEX($AB$1005:$AQ$1005,1,MATCH(COLUMNS($AB$1006:AQ1006),$AB$1006:$AQ$1006,0))&gt;=100000), " ",IF(INDEX($AB$2:$AQ$1001,MATCH(ROWS($U$2:U911),$U$2:$U$1001,0),MATCH(COLUMNS($AB$1006:AQ1006),$AB$1006:$AQ$1006,0)), HYPERLINK("#",""), HYPERLINK(CONCATENATE("#metadata!", ADDRESS(INDEX($W$2:$W$1001,MATCH(ROWS($U$2:U911),$U$2:$U$1001,0),0), INDEX($AB$1004:$AQ$1004,1,MATCH(COLUMNS($AB$1006:AQ1006),$AB$1006:$AQ$1006,0)))),"Fix")))</f>
        <v>0</v>
      </c>
      <c r="U911">
        <v>0</v>
      </c>
      <c r="V911">
        <v>0</v>
      </c>
      <c r="W911">
        <v>0</v>
      </c>
      <c r="X911">
        <f>IF(Y911,TRUE,AND(AB911:AQ911))</f>
        <v>0</v>
      </c>
      <c r="Y911">
        <f>COUNTBLANK(metadata!B911:Q911)=COLUMNS(metadata!B911:Q911)</f>
        <v>0</v>
      </c>
      <c r="Z911">
        <v>0</v>
      </c>
      <c r="AB911">
        <f>AND(IF(metadata!B911="",FALSE,TRUE),COUNTIF(metadata!B:B, metadata!B911) = 1,NOT(ISERROR(SUMPRODUCT(SEARCH(MID(metadata!B911,ROW(INDIRECT("1:"&amp;LEN(metadata!B911))), 1),"0123456789abcdefghijklmnopqrstuvwxyzABCDEFGHIJKLMNOPQRSTUVWXYZ.")))))</f>
        <v>0</v>
      </c>
      <c r="AC911">
        <f>OR(AND(IF(metadata!C911="",FALSE,TRUE),OR(exact(metadata!C911,"missing: not collected"),exact(metadata!C911,"missing: not provided"),exact(metadata!C911,"missing: restricted access"))),AND(IF(metadata!C911="",FALSE,TRUE),AND(AND(IFERROR(INT(LEFT(metadata!C911,4))&gt;1900,FALSE),IFERROR(INT(LEFT(metadata!C911,4))&lt;=YEAR(NOW()),FALSE)), OR(MID(metadata!C911,5,1)="", AND(AND(MID(metadata!C911,5,1)="-",IFERROR(INT(MID(metadata!C911,6,1))&gt;=0,FALSE),IFERROR(INT(MID(metadata!C911,6,1))&lt;=1,FALSE),NOT(MID(metadata!C911,7,1)=""),IFERROR(INT(MID(metadata!C911,6,2))&gt;=1,FALSE),IFERROR(INT(MID(metadata!C911,6,2))&lt;=12,FALSE)), OR(MID(metadata!C911,8,1)="", AND(AND(MID(metadata!C911,8,1)="-",IFERROR(INT(MID(metadata!C911,9,1))&gt;=0,FALSE),IFERROR(INT(MID(metadata!C911,9,1))&lt;=3,FALSE),NOT(MID(metadata!C911,10,1)=""),IFERROR(INT(MID(metadata!C911,9,2))&gt;=1,FALSE),IFERROR(INT(MID(metadata!C911,9,2))&lt;=31,FALSE)), OR(MID(metadata!C911,11,1)="", AND(AND(MID(metadata!C911,11,1)=" ",IFERROR(INT(MID(metadata!C911,12,1))&gt;=0,FALSE),IFERROR(INT(MID(metadata!C911,12,1))&lt;=2,FALSE),NOT(MID(metadata!C911,13,1)=""),IFERROR(INT(MID(metadata!C911,12,2))&gt;=0,FALSE),IFERROR(INT(MID(metadata!C911,12,2))&lt;=23,FALSE)), OR(MID(metadata!C911,14,1)="", AND(AND(MID(metadata!C911,14,1)=":",IFERROR(INT(MID(metadata!C911,15,1))&gt;=0,FALSE),IFERROR(INT(MID(metadata!C911,15,1))&lt;=5,FALSE),NOT(MID(metadata!C911,16,1)=""),IFERROR(INT(MID(metadata!C911,15,2))&gt;=0,FALSE),IFERROR(INT(MID(metadata!C911,15,2))&lt;=59,FALSE)), OR(MID(metadata!C911,17,1)="", AND(AND(MID(metadata!C911,17,1)=":",IFERROR(INT(MID(metadata!C911,18,1))&gt;=0,FALSE),IFERROR(INT(MID(metadata!C911,18,1))&lt;=5,FALSE),NOT(MID(metadata!C911,19,1)=""),IFERROR(INT(MID(metadata!C911,18,2))&gt;=0,FALSE),IFERROR(INT(MID(metadata!C911,18,2))&lt;=59,FALSE)), LEN(metadata!C911)&lt;=19)))))))))))))</f>
        <v>0</v>
      </c>
      <c r="AD911">
        <f>IF(metadata!D911="",FALSE,TRUE)</f>
        <v>0</v>
      </c>
      <c r="AE911">
        <f>OR(AND(IF(metadata!E911="",FALSE,TRUE),OR(exact(metadata!E911,"missing: not collected"),exact(metadata!E911,"missing: not provided"))),AND(IF(metadata!E911="",FALSE,TRUE),OR(exact(metadata!E911,"TRUE"),exact(metadata!E911,"FALSE"))))</f>
        <v>0</v>
      </c>
      <c r="AF911">
        <f>IF(metadata!F911="",FALSE,TRUE)</f>
        <v>0</v>
      </c>
      <c r="AG911">
        <f>IF(metadata!G911="",FALSE,TRUE)</f>
        <v>0</v>
      </c>
      <c r="AH911">
        <f>IF(metadata!H911="",FALSE,TRUE)</f>
        <v>0</v>
      </c>
      <c r="AI911">
        <f>OR(AND(IF(metadata!I911="",FALSE,TRUE),OR(exact(metadata!I911,"missing: not collected"),exact(metadata!I911,"missing: not provided"),exact(metadata!I911,"missing: restricted access"))),AND(IF(metadata!I911="",FALSE,TRUE),OR(exact(metadata!I911,"air"),exact(metadata!I911,"built environment"),exact(metadata!I911,"host-associated"),exact(metadata!I911,"human-associated"),exact(metadata!I911,"human-skin"),exact(metadata!I911,"human-oral"),exact(metadata!I911,"human-gut"),exact(metadata!I911,"human-vaginal"),exact(metadata!I911,"microbial mat/biofilm"),exact(metadata!I911,"misc environment"),exact(metadata!I911,"plant-associated"),exact(metadata!I911,"sediment"),exact(metadata!I911,"soil"),exact(metadata!I911,"wastewater/sludge"),exact(metadata!I911,"water"))))</f>
        <v>0</v>
      </c>
      <c r="AJ911">
        <f>IF(metadata!J911="",FALSE,TRUE)</f>
        <v>0</v>
      </c>
      <c r="AK911">
        <f>OR(AND(IF(metadata!K911="",FALSE,TRUE),OR(exact(metadata!K911,"missing: not collected"),exact(metadata!K911,"missing: not provided"),exact(metadata!K911,"missing: restricted access"))),AND(IF(metadata!K911="",FALSE,ISNUMBER(VALUE(metadata!K911))),metadata!K911&gt;=-90.00,metadata!K911&lt;=90.00))</f>
        <v>0</v>
      </c>
      <c r="AL911">
        <f>OR(AND(IF(metadata!L911="",FALSE,TRUE),OR(exact(metadata!L911,"missing: not collected"),exact(metadata!L911,"missing: not provided"),exact(metadata!L911,"missing: restricted access"))),AND(IF(metadata!L911="",FALSE,ISNUMBER(VALUE(metadata!L911))),metadata!L911&gt;=-180.00,metadata!L911&lt;=180.00))</f>
        <v>0</v>
      </c>
      <c r="AM911">
        <f>IF(metadata!M911="",FALSE,TRUE)</f>
        <v>0</v>
      </c>
      <c r="AN911">
        <f>OR(AND(IF(metadata!N911="",FALSE,TRUE),OR(exact(metadata!N911,"missing: not collected"),exact(metadata!N911,"missing: not provided"),exact(metadata!N911,"missing: restricted access"))),AND(IF(metadata!N911="",FALSE,TRUE),OR(exact(metadata!N911,"TRUE"),exact(metadata!N911,"FALSE"))))</f>
        <v>0</v>
      </c>
      <c r="AO911">
        <f>IF(metadata!O911="",FALSE,TRUE)</f>
        <v>0</v>
      </c>
      <c r="AP911">
        <f>OR(AND(IF(metadata!P911="",FALSE,TRUE),OR(exact(metadata!P911,"missing: not collected"),exact(metadata!P911,"missing: not provided"))),AND(IF(metadata!P911="",FALSE,IF(ISERROR(INT(metadata!P911)),FALSE,INT(metadata!P911)=metadata!P911)),metadata!P911&gt;0))</f>
        <v>0</v>
      </c>
      <c r="AQ911">
        <f>IF(metadata!Q911="",FALSE,TRUE)</f>
        <v>0</v>
      </c>
    </row>
    <row r="912" spans="1:43">
      <c r="A912" s="5">
        <f>IF(B912=" "," ",HYPERLINK(CONCATENATE("#metadata!",ADDRESS(INDEX($W$2:$W$1001,MATCH(ROWS($U$2:U912),$U$2:$U$1001,0),0),1)),INDEX($Z$2:$Z$1001,MATCH(ROWS($U$2:U912),$U$2:$U$1001,0),0)))</f>
        <v>0</v>
      </c>
      <c r="B912" s="4">
        <f>IF(OR(INDEX($V$2:$V$1001,MATCH(ROWS($U$2:U912),$U$2:$U$1001,0),1)&gt;=100000,INDEX($AB$1005:$AQ$1005,1,MATCH(COLUMNS($AB$1006:AB1006),$AB$1006:$AQ$1006,0))&gt;=100000), " ",IF(INDEX($AB$2:$AQ$1001,MATCH(ROWS($U$2:U912),$U$2:$U$1001,0),MATCH(COLUMNS($AB$1006:AB1006),$AB$1006:$AQ$1006,0)), HYPERLINK("#",""), HYPERLINK(CONCATENATE("#metadata!", ADDRESS(INDEX($W$2:$W$1001,MATCH(ROWS($U$2:U912),$U$2:$U$1001,0),0), INDEX($AB$1004:$AQ$1004,1,MATCH(COLUMNS($AB$1006:AB1006),$AB$1006:$AQ$1006,0)))),"Fix")))</f>
        <v>0</v>
      </c>
      <c r="C912" s="4">
        <f>IF(OR(INDEX($V$2:$V$1001,MATCH(ROWS($U$2:U912),$U$2:$U$1001,0),1)&gt;=100000,INDEX($AB$1005:$AQ$1005,1,MATCH(COLUMNS($AB$1006:AC1006),$AB$1006:$AQ$1006,0))&gt;=100000), " ",IF(INDEX($AB$2:$AQ$1001,MATCH(ROWS($U$2:U912),$U$2:$U$1001,0),MATCH(COLUMNS($AB$1006:AC1006),$AB$1006:$AQ$1006,0)), HYPERLINK("#",""), HYPERLINK(CONCATENATE("#metadata!", ADDRESS(INDEX($W$2:$W$1001,MATCH(ROWS($U$2:U912),$U$2:$U$1001,0),0), INDEX($AB$1004:$AQ$1004,1,MATCH(COLUMNS($AB$1006:AC1006),$AB$1006:$AQ$1006,0)))),"Fix")))</f>
        <v>0</v>
      </c>
      <c r="D912" s="4">
        <f>IF(OR(INDEX($V$2:$V$1001,MATCH(ROWS($U$2:U912),$U$2:$U$1001,0),1)&gt;=100000,INDEX($AB$1005:$AQ$1005,1,MATCH(COLUMNS($AB$1006:AD1006),$AB$1006:$AQ$1006,0))&gt;=100000), " ",IF(INDEX($AB$2:$AQ$1001,MATCH(ROWS($U$2:U912),$U$2:$U$1001,0),MATCH(COLUMNS($AB$1006:AD1006),$AB$1006:$AQ$1006,0)), HYPERLINK("#",""), HYPERLINK(CONCATENATE("#metadata!", ADDRESS(INDEX($W$2:$W$1001,MATCH(ROWS($U$2:U912),$U$2:$U$1001,0),0), INDEX($AB$1004:$AQ$1004,1,MATCH(COLUMNS($AB$1006:AD1006),$AB$1006:$AQ$1006,0)))),"Fix")))</f>
        <v>0</v>
      </c>
      <c r="E912" s="4">
        <f>IF(OR(INDEX($V$2:$V$1001,MATCH(ROWS($U$2:U912),$U$2:$U$1001,0),1)&gt;=100000,INDEX($AB$1005:$AQ$1005,1,MATCH(COLUMNS($AB$1006:AE1006),$AB$1006:$AQ$1006,0))&gt;=100000), " ",IF(INDEX($AB$2:$AQ$1001,MATCH(ROWS($U$2:U912),$U$2:$U$1001,0),MATCH(COLUMNS($AB$1006:AE1006),$AB$1006:$AQ$1006,0)), HYPERLINK("#",""), HYPERLINK(CONCATENATE("#metadata!", ADDRESS(INDEX($W$2:$W$1001,MATCH(ROWS($U$2:U912),$U$2:$U$1001,0),0), INDEX($AB$1004:$AQ$1004,1,MATCH(COLUMNS($AB$1006:AE1006),$AB$1006:$AQ$1006,0)))),"Fix")))</f>
        <v>0</v>
      </c>
      <c r="F912" s="4">
        <f>IF(OR(INDEX($V$2:$V$1001,MATCH(ROWS($U$2:U912),$U$2:$U$1001,0),1)&gt;=100000,INDEX($AB$1005:$AQ$1005,1,MATCH(COLUMNS($AB$1006:AF1006),$AB$1006:$AQ$1006,0))&gt;=100000), " ",IF(INDEX($AB$2:$AQ$1001,MATCH(ROWS($U$2:U912),$U$2:$U$1001,0),MATCH(COLUMNS($AB$1006:AF1006),$AB$1006:$AQ$1006,0)), HYPERLINK("#",""), HYPERLINK(CONCATENATE("#metadata!", ADDRESS(INDEX($W$2:$W$1001,MATCH(ROWS($U$2:U912),$U$2:$U$1001,0),0), INDEX($AB$1004:$AQ$1004,1,MATCH(COLUMNS($AB$1006:AF1006),$AB$1006:$AQ$1006,0)))),"Fix")))</f>
        <v>0</v>
      </c>
      <c r="G912" s="4">
        <f>IF(OR(INDEX($V$2:$V$1001,MATCH(ROWS($U$2:U912),$U$2:$U$1001,0),1)&gt;=100000,INDEX($AB$1005:$AQ$1005,1,MATCH(COLUMNS($AB$1006:AG1006),$AB$1006:$AQ$1006,0))&gt;=100000), " ",IF(INDEX($AB$2:$AQ$1001,MATCH(ROWS($U$2:U912),$U$2:$U$1001,0),MATCH(COLUMNS($AB$1006:AG1006),$AB$1006:$AQ$1006,0)), HYPERLINK("#",""), HYPERLINK(CONCATENATE("#metadata!", ADDRESS(INDEX($W$2:$W$1001,MATCH(ROWS($U$2:U912),$U$2:$U$1001,0),0), INDEX($AB$1004:$AQ$1004,1,MATCH(COLUMNS($AB$1006:AG1006),$AB$1006:$AQ$1006,0)))),"Fix")))</f>
        <v>0</v>
      </c>
      <c r="H912" s="4">
        <f>IF(OR(INDEX($V$2:$V$1001,MATCH(ROWS($U$2:U912),$U$2:$U$1001,0),1)&gt;=100000,INDEX($AB$1005:$AQ$1005,1,MATCH(COLUMNS($AB$1006:AH1006),$AB$1006:$AQ$1006,0))&gt;=100000), " ",IF(INDEX($AB$2:$AQ$1001,MATCH(ROWS($U$2:U912),$U$2:$U$1001,0),MATCH(COLUMNS($AB$1006:AH1006),$AB$1006:$AQ$1006,0)), HYPERLINK("#",""), HYPERLINK(CONCATENATE("#metadata!", ADDRESS(INDEX($W$2:$W$1001,MATCH(ROWS($U$2:U912),$U$2:$U$1001,0),0), INDEX($AB$1004:$AQ$1004,1,MATCH(COLUMNS($AB$1006:AH1006),$AB$1006:$AQ$1006,0)))),"Fix")))</f>
        <v>0</v>
      </c>
      <c r="I912" s="4">
        <f>IF(OR(INDEX($V$2:$V$1001,MATCH(ROWS($U$2:U912),$U$2:$U$1001,0),1)&gt;=100000,INDEX($AB$1005:$AQ$1005,1,MATCH(COLUMNS($AB$1006:AI1006),$AB$1006:$AQ$1006,0))&gt;=100000), " ",IF(INDEX($AB$2:$AQ$1001,MATCH(ROWS($U$2:U912),$U$2:$U$1001,0),MATCH(COLUMNS($AB$1006:AI1006),$AB$1006:$AQ$1006,0)), HYPERLINK("#",""), HYPERLINK(CONCATENATE("#metadata!", ADDRESS(INDEX($W$2:$W$1001,MATCH(ROWS($U$2:U912),$U$2:$U$1001,0),0), INDEX($AB$1004:$AQ$1004,1,MATCH(COLUMNS($AB$1006:AI1006),$AB$1006:$AQ$1006,0)))),"Fix")))</f>
        <v>0</v>
      </c>
      <c r="J912" s="4">
        <f>IF(OR(INDEX($V$2:$V$1001,MATCH(ROWS($U$2:U912),$U$2:$U$1001,0),1)&gt;=100000,INDEX($AB$1005:$AQ$1005,1,MATCH(COLUMNS($AB$1006:AJ1006),$AB$1006:$AQ$1006,0))&gt;=100000), " ",IF(INDEX($AB$2:$AQ$1001,MATCH(ROWS($U$2:U912),$U$2:$U$1001,0),MATCH(COLUMNS($AB$1006:AJ1006),$AB$1006:$AQ$1006,0)), HYPERLINK("#",""), HYPERLINK(CONCATENATE("#metadata!", ADDRESS(INDEX($W$2:$W$1001,MATCH(ROWS($U$2:U912),$U$2:$U$1001,0),0), INDEX($AB$1004:$AQ$1004,1,MATCH(COLUMNS($AB$1006:AJ1006),$AB$1006:$AQ$1006,0)))),"Fix")))</f>
        <v>0</v>
      </c>
      <c r="K912" s="4">
        <f>IF(OR(INDEX($V$2:$V$1001,MATCH(ROWS($U$2:U912),$U$2:$U$1001,0),1)&gt;=100000,INDEX($AB$1005:$AQ$1005,1,MATCH(COLUMNS($AB$1006:AK1006),$AB$1006:$AQ$1006,0))&gt;=100000), " ",IF(INDEX($AB$2:$AQ$1001,MATCH(ROWS($U$2:U912),$U$2:$U$1001,0),MATCH(COLUMNS($AB$1006:AK1006),$AB$1006:$AQ$1006,0)), HYPERLINK("#",""), HYPERLINK(CONCATENATE("#metadata!", ADDRESS(INDEX($W$2:$W$1001,MATCH(ROWS($U$2:U912),$U$2:$U$1001,0),0), INDEX($AB$1004:$AQ$1004,1,MATCH(COLUMNS($AB$1006:AK1006),$AB$1006:$AQ$1006,0)))),"Fix")))</f>
        <v>0</v>
      </c>
      <c r="L912" s="4">
        <f>IF(OR(INDEX($V$2:$V$1001,MATCH(ROWS($U$2:U912),$U$2:$U$1001,0),1)&gt;=100000,INDEX($AB$1005:$AQ$1005,1,MATCH(COLUMNS($AB$1006:AL1006),$AB$1006:$AQ$1006,0))&gt;=100000), " ",IF(INDEX($AB$2:$AQ$1001,MATCH(ROWS($U$2:U912),$U$2:$U$1001,0),MATCH(COLUMNS($AB$1006:AL1006),$AB$1006:$AQ$1006,0)), HYPERLINK("#",""), HYPERLINK(CONCATENATE("#metadata!", ADDRESS(INDEX($W$2:$W$1001,MATCH(ROWS($U$2:U912),$U$2:$U$1001,0),0), INDEX($AB$1004:$AQ$1004,1,MATCH(COLUMNS($AB$1006:AL1006),$AB$1006:$AQ$1006,0)))),"Fix")))</f>
        <v>0</v>
      </c>
      <c r="M912" s="4">
        <f>IF(OR(INDEX($V$2:$V$1001,MATCH(ROWS($U$2:U912),$U$2:$U$1001,0),1)&gt;=100000,INDEX($AB$1005:$AQ$1005,1,MATCH(COLUMNS($AB$1006:AM1006),$AB$1006:$AQ$1006,0))&gt;=100000), " ",IF(INDEX($AB$2:$AQ$1001,MATCH(ROWS($U$2:U912),$U$2:$U$1001,0),MATCH(COLUMNS($AB$1006:AM1006),$AB$1006:$AQ$1006,0)), HYPERLINK("#",""), HYPERLINK(CONCATENATE("#metadata!", ADDRESS(INDEX($W$2:$W$1001,MATCH(ROWS($U$2:U912),$U$2:$U$1001,0),0), INDEX($AB$1004:$AQ$1004,1,MATCH(COLUMNS($AB$1006:AM1006),$AB$1006:$AQ$1006,0)))),"Fix")))</f>
        <v>0</v>
      </c>
      <c r="N912" s="4">
        <f>IF(OR(INDEX($V$2:$V$1001,MATCH(ROWS($U$2:U912),$U$2:$U$1001,0),1)&gt;=100000,INDEX($AB$1005:$AQ$1005,1,MATCH(COLUMNS($AB$1006:AN1006),$AB$1006:$AQ$1006,0))&gt;=100000), " ",IF(INDEX($AB$2:$AQ$1001,MATCH(ROWS($U$2:U912),$U$2:$U$1001,0),MATCH(COLUMNS($AB$1006:AN1006),$AB$1006:$AQ$1006,0)), HYPERLINK("#",""), HYPERLINK(CONCATENATE("#metadata!", ADDRESS(INDEX($W$2:$W$1001,MATCH(ROWS($U$2:U912),$U$2:$U$1001,0),0), INDEX($AB$1004:$AQ$1004,1,MATCH(COLUMNS($AB$1006:AN1006),$AB$1006:$AQ$1006,0)))),"Fix")))</f>
        <v>0</v>
      </c>
      <c r="O912" s="4">
        <f>IF(OR(INDEX($V$2:$V$1001,MATCH(ROWS($U$2:U912),$U$2:$U$1001,0),1)&gt;=100000,INDEX($AB$1005:$AQ$1005,1,MATCH(COLUMNS($AB$1006:AO1006),$AB$1006:$AQ$1006,0))&gt;=100000), " ",IF(INDEX($AB$2:$AQ$1001,MATCH(ROWS($U$2:U912),$U$2:$U$1001,0),MATCH(COLUMNS($AB$1006:AO1006),$AB$1006:$AQ$1006,0)), HYPERLINK("#",""), HYPERLINK(CONCATENATE("#metadata!", ADDRESS(INDEX($W$2:$W$1001,MATCH(ROWS($U$2:U912),$U$2:$U$1001,0),0), INDEX($AB$1004:$AQ$1004,1,MATCH(COLUMNS($AB$1006:AO1006),$AB$1006:$AQ$1006,0)))),"Fix")))</f>
        <v>0</v>
      </c>
      <c r="P912" s="4">
        <f>IF(OR(INDEX($V$2:$V$1001,MATCH(ROWS($U$2:U912),$U$2:$U$1001,0),1)&gt;=100000,INDEX($AB$1005:$AQ$1005,1,MATCH(COLUMNS($AB$1006:AP1006),$AB$1006:$AQ$1006,0))&gt;=100000), " ",IF(INDEX($AB$2:$AQ$1001,MATCH(ROWS($U$2:U912),$U$2:$U$1001,0),MATCH(COLUMNS($AB$1006:AP1006),$AB$1006:$AQ$1006,0)), HYPERLINK("#",""), HYPERLINK(CONCATENATE("#metadata!", ADDRESS(INDEX($W$2:$W$1001,MATCH(ROWS($U$2:U912),$U$2:$U$1001,0),0), INDEX($AB$1004:$AQ$1004,1,MATCH(COLUMNS($AB$1006:AP1006),$AB$1006:$AQ$1006,0)))),"Fix")))</f>
        <v>0</v>
      </c>
      <c r="Q912" s="4">
        <f>IF(OR(INDEX($V$2:$V$1001,MATCH(ROWS($U$2:U912),$U$2:$U$1001,0),1)&gt;=100000,INDEX($AB$1005:$AQ$1005,1,MATCH(COLUMNS($AB$1006:AQ1006),$AB$1006:$AQ$1006,0))&gt;=100000), " ",IF(INDEX($AB$2:$AQ$1001,MATCH(ROWS($U$2:U912),$U$2:$U$1001,0),MATCH(COLUMNS($AB$1006:AQ1006),$AB$1006:$AQ$1006,0)), HYPERLINK("#",""), HYPERLINK(CONCATENATE("#metadata!", ADDRESS(INDEX($W$2:$W$1001,MATCH(ROWS($U$2:U912),$U$2:$U$1001,0),0), INDEX($AB$1004:$AQ$1004,1,MATCH(COLUMNS($AB$1006:AQ1006),$AB$1006:$AQ$1006,0)))),"Fix")))</f>
        <v>0</v>
      </c>
      <c r="U912">
        <v>0</v>
      </c>
      <c r="V912">
        <v>0</v>
      </c>
      <c r="W912">
        <v>0</v>
      </c>
      <c r="X912">
        <f>IF(Y912,TRUE,AND(AB912:AQ912))</f>
        <v>0</v>
      </c>
      <c r="Y912">
        <f>COUNTBLANK(metadata!B912:Q912)=COLUMNS(metadata!B912:Q912)</f>
        <v>0</v>
      </c>
      <c r="Z912">
        <v>0</v>
      </c>
      <c r="AB912">
        <f>AND(IF(metadata!B912="",FALSE,TRUE),COUNTIF(metadata!B:B, metadata!B912) = 1,NOT(ISERROR(SUMPRODUCT(SEARCH(MID(metadata!B912,ROW(INDIRECT("1:"&amp;LEN(metadata!B912))), 1),"0123456789abcdefghijklmnopqrstuvwxyzABCDEFGHIJKLMNOPQRSTUVWXYZ.")))))</f>
        <v>0</v>
      </c>
      <c r="AC912">
        <f>OR(AND(IF(metadata!C912="",FALSE,TRUE),OR(exact(metadata!C912,"missing: not collected"),exact(metadata!C912,"missing: not provided"),exact(metadata!C912,"missing: restricted access"))),AND(IF(metadata!C912="",FALSE,TRUE),AND(AND(IFERROR(INT(LEFT(metadata!C912,4))&gt;1900,FALSE),IFERROR(INT(LEFT(metadata!C912,4))&lt;=YEAR(NOW()),FALSE)), OR(MID(metadata!C912,5,1)="", AND(AND(MID(metadata!C912,5,1)="-",IFERROR(INT(MID(metadata!C912,6,1))&gt;=0,FALSE),IFERROR(INT(MID(metadata!C912,6,1))&lt;=1,FALSE),NOT(MID(metadata!C912,7,1)=""),IFERROR(INT(MID(metadata!C912,6,2))&gt;=1,FALSE),IFERROR(INT(MID(metadata!C912,6,2))&lt;=12,FALSE)), OR(MID(metadata!C912,8,1)="", AND(AND(MID(metadata!C912,8,1)="-",IFERROR(INT(MID(metadata!C912,9,1))&gt;=0,FALSE),IFERROR(INT(MID(metadata!C912,9,1))&lt;=3,FALSE),NOT(MID(metadata!C912,10,1)=""),IFERROR(INT(MID(metadata!C912,9,2))&gt;=1,FALSE),IFERROR(INT(MID(metadata!C912,9,2))&lt;=31,FALSE)), OR(MID(metadata!C912,11,1)="", AND(AND(MID(metadata!C912,11,1)=" ",IFERROR(INT(MID(metadata!C912,12,1))&gt;=0,FALSE),IFERROR(INT(MID(metadata!C912,12,1))&lt;=2,FALSE),NOT(MID(metadata!C912,13,1)=""),IFERROR(INT(MID(metadata!C912,12,2))&gt;=0,FALSE),IFERROR(INT(MID(metadata!C912,12,2))&lt;=23,FALSE)), OR(MID(metadata!C912,14,1)="", AND(AND(MID(metadata!C912,14,1)=":",IFERROR(INT(MID(metadata!C912,15,1))&gt;=0,FALSE),IFERROR(INT(MID(metadata!C912,15,1))&lt;=5,FALSE),NOT(MID(metadata!C912,16,1)=""),IFERROR(INT(MID(metadata!C912,15,2))&gt;=0,FALSE),IFERROR(INT(MID(metadata!C912,15,2))&lt;=59,FALSE)), OR(MID(metadata!C912,17,1)="", AND(AND(MID(metadata!C912,17,1)=":",IFERROR(INT(MID(metadata!C912,18,1))&gt;=0,FALSE),IFERROR(INT(MID(metadata!C912,18,1))&lt;=5,FALSE),NOT(MID(metadata!C912,19,1)=""),IFERROR(INT(MID(metadata!C912,18,2))&gt;=0,FALSE),IFERROR(INT(MID(metadata!C912,18,2))&lt;=59,FALSE)), LEN(metadata!C912)&lt;=19)))))))))))))</f>
        <v>0</v>
      </c>
      <c r="AD912">
        <f>IF(metadata!D912="",FALSE,TRUE)</f>
        <v>0</v>
      </c>
      <c r="AE912">
        <f>OR(AND(IF(metadata!E912="",FALSE,TRUE),OR(exact(metadata!E912,"missing: not collected"),exact(metadata!E912,"missing: not provided"))),AND(IF(metadata!E912="",FALSE,TRUE),OR(exact(metadata!E912,"TRUE"),exact(metadata!E912,"FALSE"))))</f>
        <v>0</v>
      </c>
      <c r="AF912">
        <f>IF(metadata!F912="",FALSE,TRUE)</f>
        <v>0</v>
      </c>
      <c r="AG912">
        <f>IF(metadata!G912="",FALSE,TRUE)</f>
        <v>0</v>
      </c>
      <c r="AH912">
        <f>IF(metadata!H912="",FALSE,TRUE)</f>
        <v>0</v>
      </c>
      <c r="AI912">
        <f>OR(AND(IF(metadata!I912="",FALSE,TRUE),OR(exact(metadata!I912,"missing: not collected"),exact(metadata!I912,"missing: not provided"),exact(metadata!I912,"missing: restricted access"))),AND(IF(metadata!I912="",FALSE,TRUE),OR(exact(metadata!I912,"air"),exact(metadata!I912,"built environment"),exact(metadata!I912,"host-associated"),exact(metadata!I912,"human-associated"),exact(metadata!I912,"human-skin"),exact(metadata!I912,"human-oral"),exact(metadata!I912,"human-gut"),exact(metadata!I912,"human-vaginal"),exact(metadata!I912,"microbial mat/biofilm"),exact(metadata!I912,"misc environment"),exact(metadata!I912,"plant-associated"),exact(metadata!I912,"sediment"),exact(metadata!I912,"soil"),exact(metadata!I912,"wastewater/sludge"),exact(metadata!I912,"water"))))</f>
        <v>0</v>
      </c>
      <c r="AJ912">
        <f>IF(metadata!J912="",FALSE,TRUE)</f>
        <v>0</v>
      </c>
      <c r="AK912">
        <f>OR(AND(IF(metadata!K912="",FALSE,TRUE),OR(exact(metadata!K912,"missing: not collected"),exact(metadata!K912,"missing: not provided"),exact(metadata!K912,"missing: restricted access"))),AND(IF(metadata!K912="",FALSE,ISNUMBER(VALUE(metadata!K912))),metadata!K912&gt;=-90.00,metadata!K912&lt;=90.00))</f>
        <v>0</v>
      </c>
      <c r="AL912">
        <f>OR(AND(IF(metadata!L912="",FALSE,TRUE),OR(exact(metadata!L912,"missing: not collected"),exact(metadata!L912,"missing: not provided"),exact(metadata!L912,"missing: restricted access"))),AND(IF(metadata!L912="",FALSE,ISNUMBER(VALUE(metadata!L912))),metadata!L912&gt;=-180.00,metadata!L912&lt;=180.00))</f>
        <v>0</v>
      </c>
      <c r="AM912">
        <f>IF(metadata!M912="",FALSE,TRUE)</f>
        <v>0</v>
      </c>
      <c r="AN912">
        <f>OR(AND(IF(metadata!N912="",FALSE,TRUE),OR(exact(metadata!N912,"missing: not collected"),exact(metadata!N912,"missing: not provided"),exact(metadata!N912,"missing: restricted access"))),AND(IF(metadata!N912="",FALSE,TRUE),OR(exact(metadata!N912,"TRUE"),exact(metadata!N912,"FALSE"))))</f>
        <v>0</v>
      </c>
      <c r="AO912">
        <f>IF(metadata!O912="",FALSE,TRUE)</f>
        <v>0</v>
      </c>
      <c r="AP912">
        <f>OR(AND(IF(metadata!P912="",FALSE,TRUE),OR(exact(metadata!P912,"missing: not collected"),exact(metadata!P912,"missing: not provided"))),AND(IF(metadata!P912="",FALSE,IF(ISERROR(INT(metadata!P912)),FALSE,INT(metadata!P912)=metadata!P912)),metadata!P912&gt;0))</f>
        <v>0</v>
      </c>
      <c r="AQ912">
        <f>IF(metadata!Q912="",FALSE,TRUE)</f>
        <v>0</v>
      </c>
    </row>
    <row r="913" spans="1:43">
      <c r="A913" s="5">
        <f>IF(B913=" "," ",HYPERLINK(CONCATENATE("#metadata!",ADDRESS(INDEX($W$2:$W$1001,MATCH(ROWS($U$2:U913),$U$2:$U$1001,0),0),1)),INDEX($Z$2:$Z$1001,MATCH(ROWS($U$2:U913),$U$2:$U$1001,0),0)))</f>
        <v>0</v>
      </c>
      <c r="B913" s="4">
        <f>IF(OR(INDEX($V$2:$V$1001,MATCH(ROWS($U$2:U913),$U$2:$U$1001,0),1)&gt;=100000,INDEX($AB$1005:$AQ$1005,1,MATCH(COLUMNS($AB$1006:AB1006),$AB$1006:$AQ$1006,0))&gt;=100000), " ",IF(INDEX($AB$2:$AQ$1001,MATCH(ROWS($U$2:U913),$U$2:$U$1001,0),MATCH(COLUMNS($AB$1006:AB1006),$AB$1006:$AQ$1006,0)), HYPERLINK("#",""), HYPERLINK(CONCATENATE("#metadata!", ADDRESS(INDEX($W$2:$W$1001,MATCH(ROWS($U$2:U913),$U$2:$U$1001,0),0), INDEX($AB$1004:$AQ$1004,1,MATCH(COLUMNS($AB$1006:AB1006),$AB$1006:$AQ$1006,0)))),"Fix")))</f>
        <v>0</v>
      </c>
      <c r="C913" s="4">
        <f>IF(OR(INDEX($V$2:$V$1001,MATCH(ROWS($U$2:U913),$U$2:$U$1001,0),1)&gt;=100000,INDEX($AB$1005:$AQ$1005,1,MATCH(COLUMNS($AB$1006:AC1006),$AB$1006:$AQ$1006,0))&gt;=100000), " ",IF(INDEX($AB$2:$AQ$1001,MATCH(ROWS($U$2:U913),$U$2:$U$1001,0),MATCH(COLUMNS($AB$1006:AC1006),$AB$1006:$AQ$1006,0)), HYPERLINK("#",""), HYPERLINK(CONCATENATE("#metadata!", ADDRESS(INDEX($W$2:$W$1001,MATCH(ROWS($U$2:U913),$U$2:$U$1001,0),0), INDEX($AB$1004:$AQ$1004,1,MATCH(COLUMNS($AB$1006:AC1006),$AB$1006:$AQ$1006,0)))),"Fix")))</f>
        <v>0</v>
      </c>
      <c r="D913" s="4">
        <f>IF(OR(INDEX($V$2:$V$1001,MATCH(ROWS($U$2:U913),$U$2:$U$1001,0),1)&gt;=100000,INDEX($AB$1005:$AQ$1005,1,MATCH(COLUMNS($AB$1006:AD1006),$AB$1006:$AQ$1006,0))&gt;=100000), " ",IF(INDEX($AB$2:$AQ$1001,MATCH(ROWS($U$2:U913),$U$2:$U$1001,0),MATCH(COLUMNS($AB$1006:AD1006),$AB$1006:$AQ$1006,0)), HYPERLINK("#",""), HYPERLINK(CONCATENATE("#metadata!", ADDRESS(INDEX($W$2:$W$1001,MATCH(ROWS($U$2:U913),$U$2:$U$1001,0),0), INDEX($AB$1004:$AQ$1004,1,MATCH(COLUMNS($AB$1006:AD1006),$AB$1006:$AQ$1006,0)))),"Fix")))</f>
        <v>0</v>
      </c>
      <c r="E913" s="4">
        <f>IF(OR(INDEX($V$2:$V$1001,MATCH(ROWS($U$2:U913),$U$2:$U$1001,0),1)&gt;=100000,INDEX($AB$1005:$AQ$1005,1,MATCH(COLUMNS($AB$1006:AE1006),$AB$1006:$AQ$1006,0))&gt;=100000), " ",IF(INDEX($AB$2:$AQ$1001,MATCH(ROWS($U$2:U913),$U$2:$U$1001,0),MATCH(COLUMNS($AB$1006:AE1006),$AB$1006:$AQ$1006,0)), HYPERLINK("#",""), HYPERLINK(CONCATENATE("#metadata!", ADDRESS(INDEX($W$2:$W$1001,MATCH(ROWS($U$2:U913),$U$2:$U$1001,0),0), INDEX($AB$1004:$AQ$1004,1,MATCH(COLUMNS($AB$1006:AE1006),$AB$1006:$AQ$1006,0)))),"Fix")))</f>
        <v>0</v>
      </c>
      <c r="F913" s="4">
        <f>IF(OR(INDEX($V$2:$V$1001,MATCH(ROWS($U$2:U913),$U$2:$U$1001,0),1)&gt;=100000,INDEX($AB$1005:$AQ$1005,1,MATCH(COLUMNS($AB$1006:AF1006),$AB$1006:$AQ$1006,0))&gt;=100000), " ",IF(INDEX($AB$2:$AQ$1001,MATCH(ROWS($U$2:U913),$U$2:$U$1001,0),MATCH(COLUMNS($AB$1006:AF1006),$AB$1006:$AQ$1006,0)), HYPERLINK("#",""), HYPERLINK(CONCATENATE("#metadata!", ADDRESS(INDEX($W$2:$W$1001,MATCH(ROWS($U$2:U913),$U$2:$U$1001,0),0), INDEX($AB$1004:$AQ$1004,1,MATCH(COLUMNS($AB$1006:AF1006),$AB$1006:$AQ$1006,0)))),"Fix")))</f>
        <v>0</v>
      </c>
      <c r="G913" s="4">
        <f>IF(OR(INDEX($V$2:$V$1001,MATCH(ROWS($U$2:U913),$U$2:$U$1001,0),1)&gt;=100000,INDEX($AB$1005:$AQ$1005,1,MATCH(COLUMNS($AB$1006:AG1006),$AB$1006:$AQ$1006,0))&gt;=100000), " ",IF(INDEX($AB$2:$AQ$1001,MATCH(ROWS($U$2:U913),$U$2:$U$1001,0),MATCH(COLUMNS($AB$1006:AG1006),$AB$1006:$AQ$1006,0)), HYPERLINK("#",""), HYPERLINK(CONCATENATE("#metadata!", ADDRESS(INDEX($W$2:$W$1001,MATCH(ROWS($U$2:U913),$U$2:$U$1001,0),0), INDEX($AB$1004:$AQ$1004,1,MATCH(COLUMNS($AB$1006:AG1006),$AB$1006:$AQ$1006,0)))),"Fix")))</f>
        <v>0</v>
      </c>
      <c r="H913" s="4">
        <f>IF(OR(INDEX($V$2:$V$1001,MATCH(ROWS($U$2:U913),$U$2:$U$1001,0),1)&gt;=100000,INDEX($AB$1005:$AQ$1005,1,MATCH(COLUMNS($AB$1006:AH1006),$AB$1006:$AQ$1006,0))&gt;=100000), " ",IF(INDEX($AB$2:$AQ$1001,MATCH(ROWS($U$2:U913),$U$2:$U$1001,0),MATCH(COLUMNS($AB$1006:AH1006),$AB$1006:$AQ$1006,0)), HYPERLINK("#",""), HYPERLINK(CONCATENATE("#metadata!", ADDRESS(INDEX($W$2:$W$1001,MATCH(ROWS($U$2:U913),$U$2:$U$1001,0),0), INDEX($AB$1004:$AQ$1004,1,MATCH(COLUMNS($AB$1006:AH1006),$AB$1006:$AQ$1006,0)))),"Fix")))</f>
        <v>0</v>
      </c>
      <c r="I913" s="4">
        <f>IF(OR(INDEX($V$2:$V$1001,MATCH(ROWS($U$2:U913),$U$2:$U$1001,0),1)&gt;=100000,INDEX($AB$1005:$AQ$1005,1,MATCH(COLUMNS($AB$1006:AI1006),$AB$1006:$AQ$1006,0))&gt;=100000), " ",IF(INDEX($AB$2:$AQ$1001,MATCH(ROWS($U$2:U913),$U$2:$U$1001,0),MATCH(COLUMNS($AB$1006:AI1006),$AB$1006:$AQ$1006,0)), HYPERLINK("#",""), HYPERLINK(CONCATENATE("#metadata!", ADDRESS(INDEX($W$2:$W$1001,MATCH(ROWS($U$2:U913),$U$2:$U$1001,0),0), INDEX($AB$1004:$AQ$1004,1,MATCH(COLUMNS($AB$1006:AI1006),$AB$1006:$AQ$1006,0)))),"Fix")))</f>
        <v>0</v>
      </c>
      <c r="J913" s="4">
        <f>IF(OR(INDEX($V$2:$V$1001,MATCH(ROWS($U$2:U913),$U$2:$U$1001,0),1)&gt;=100000,INDEX($AB$1005:$AQ$1005,1,MATCH(COLUMNS($AB$1006:AJ1006),$AB$1006:$AQ$1006,0))&gt;=100000), " ",IF(INDEX($AB$2:$AQ$1001,MATCH(ROWS($U$2:U913),$U$2:$U$1001,0),MATCH(COLUMNS($AB$1006:AJ1006),$AB$1006:$AQ$1006,0)), HYPERLINK("#",""), HYPERLINK(CONCATENATE("#metadata!", ADDRESS(INDEX($W$2:$W$1001,MATCH(ROWS($U$2:U913),$U$2:$U$1001,0),0), INDEX($AB$1004:$AQ$1004,1,MATCH(COLUMNS($AB$1006:AJ1006),$AB$1006:$AQ$1006,0)))),"Fix")))</f>
        <v>0</v>
      </c>
      <c r="K913" s="4">
        <f>IF(OR(INDEX($V$2:$V$1001,MATCH(ROWS($U$2:U913),$U$2:$U$1001,0),1)&gt;=100000,INDEX($AB$1005:$AQ$1005,1,MATCH(COLUMNS($AB$1006:AK1006),$AB$1006:$AQ$1006,0))&gt;=100000), " ",IF(INDEX($AB$2:$AQ$1001,MATCH(ROWS($U$2:U913),$U$2:$U$1001,0),MATCH(COLUMNS($AB$1006:AK1006),$AB$1006:$AQ$1006,0)), HYPERLINK("#",""), HYPERLINK(CONCATENATE("#metadata!", ADDRESS(INDEX($W$2:$W$1001,MATCH(ROWS($U$2:U913),$U$2:$U$1001,0),0), INDEX($AB$1004:$AQ$1004,1,MATCH(COLUMNS($AB$1006:AK1006),$AB$1006:$AQ$1006,0)))),"Fix")))</f>
        <v>0</v>
      </c>
      <c r="L913" s="4">
        <f>IF(OR(INDEX($V$2:$V$1001,MATCH(ROWS($U$2:U913),$U$2:$U$1001,0),1)&gt;=100000,INDEX($AB$1005:$AQ$1005,1,MATCH(COLUMNS($AB$1006:AL1006),$AB$1006:$AQ$1006,0))&gt;=100000), " ",IF(INDEX($AB$2:$AQ$1001,MATCH(ROWS($U$2:U913),$U$2:$U$1001,0),MATCH(COLUMNS($AB$1006:AL1006),$AB$1006:$AQ$1006,0)), HYPERLINK("#",""), HYPERLINK(CONCATENATE("#metadata!", ADDRESS(INDEX($W$2:$W$1001,MATCH(ROWS($U$2:U913),$U$2:$U$1001,0),0), INDEX($AB$1004:$AQ$1004,1,MATCH(COLUMNS($AB$1006:AL1006),$AB$1006:$AQ$1006,0)))),"Fix")))</f>
        <v>0</v>
      </c>
      <c r="M913" s="4">
        <f>IF(OR(INDEX($V$2:$V$1001,MATCH(ROWS($U$2:U913),$U$2:$U$1001,0),1)&gt;=100000,INDEX($AB$1005:$AQ$1005,1,MATCH(COLUMNS($AB$1006:AM1006),$AB$1006:$AQ$1006,0))&gt;=100000), " ",IF(INDEX($AB$2:$AQ$1001,MATCH(ROWS($U$2:U913),$U$2:$U$1001,0),MATCH(COLUMNS($AB$1006:AM1006),$AB$1006:$AQ$1006,0)), HYPERLINK("#",""), HYPERLINK(CONCATENATE("#metadata!", ADDRESS(INDEX($W$2:$W$1001,MATCH(ROWS($U$2:U913),$U$2:$U$1001,0),0), INDEX($AB$1004:$AQ$1004,1,MATCH(COLUMNS($AB$1006:AM1006),$AB$1006:$AQ$1006,0)))),"Fix")))</f>
        <v>0</v>
      </c>
      <c r="N913" s="4">
        <f>IF(OR(INDEX($V$2:$V$1001,MATCH(ROWS($U$2:U913),$U$2:$U$1001,0),1)&gt;=100000,INDEX($AB$1005:$AQ$1005,1,MATCH(COLUMNS($AB$1006:AN1006),$AB$1006:$AQ$1006,0))&gt;=100000), " ",IF(INDEX($AB$2:$AQ$1001,MATCH(ROWS($U$2:U913),$U$2:$U$1001,0),MATCH(COLUMNS($AB$1006:AN1006),$AB$1006:$AQ$1006,0)), HYPERLINK("#",""), HYPERLINK(CONCATENATE("#metadata!", ADDRESS(INDEX($W$2:$W$1001,MATCH(ROWS($U$2:U913),$U$2:$U$1001,0),0), INDEX($AB$1004:$AQ$1004,1,MATCH(COLUMNS($AB$1006:AN1006),$AB$1006:$AQ$1006,0)))),"Fix")))</f>
        <v>0</v>
      </c>
      <c r="O913" s="4">
        <f>IF(OR(INDEX($V$2:$V$1001,MATCH(ROWS($U$2:U913),$U$2:$U$1001,0),1)&gt;=100000,INDEX($AB$1005:$AQ$1005,1,MATCH(COLUMNS($AB$1006:AO1006),$AB$1006:$AQ$1006,0))&gt;=100000), " ",IF(INDEX($AB$2:$AQ$1001,MATCH(ROWS($U$2:U913),$U$2:$U$1001,0),MATCH(COLUMNS($AB$1006:AO1006),$AB$1006:$AQ$1006,0)), HYPERLINK("#",""), HYPERLINK(CONCATENATE("#metadata!", ADDRESS(INDEX($W$2:$W$1001,MATCH(ROWS($U$2:U913),$U$2:$U$1001,0),0), INDEX($AB$1004:$AQ$1004,1,MATCH(COLUMNS($AB$1006:AO1006),$AB$1006:$AQ$1006,0)))),"Fix")))</f>
        <v>0</v>
      </c>
      <c r="P913" s="4">
        <f>IF(OR(INDEX($V$2:$V$1001,MATCH(ROWS($U$2:U913),$U$2:$U$1001,0),1)&gt;=100000,INDEX($AB$1005:$AQ$1005,1,MATCH(COLUMNS($AB$1006:AP1006),$AB$1006:$AQ$1006,0))&gt;=100000), " ",IF(INDEX($AB$2:$AQ$1001,MATCH(ROWS($U$2:U913),$U$2:$U$1001,0),MATCH(COLUMNS($AB$1006:AP1006),$AB$1006:$AQ$1006,0)), HYPERLINK("#",""), HYPERLINK(CONCATENATE("#metadata!", ADDRESS(INDEX($W$2:$W$1001,MATCH(ROWS($U$2:U913),$U$2:$U$1001,0),0), INDEX($AB$1004:$AQ$1004,1,MATCH(COLUMNS($AB$1006:AP1006),$AB$1006:$AQ$1006,0)))),"Fix")))</f>
        <v>0</v>
      </c>
      <c r="Q913" s="4">
        <f>IF(OR(INDEX($V$2:$V$1001,MATCH(ROWS($U$2:U913),$U$2:$U$1001,0),1)&gt;=100000,INDEX($AB$1005:$AQ$1005,1,MATCH(COLUMNS($AB$1006:AQ1006),$AB$1006:$AQ$1006,0))&gt;=100000), " ",IF(INDEX($AB$2:$AQ$1001,MATCH(ROWS($U$2:U913),$U$2:$U$1001,0),MATCH(COLUMNS($AB$1006:AQ1006),$AB$1006:$AQ$1006,0)), HYPERLINK("#",""), HYPERLINK(CONCATENATE("#metadata!", ADDRESS(INDEX($W$2:$W$1001,MATCH(ROWS($U$2:U913),$U$2:$U$1001,0),0), INDEX($AB$1004:$AQ$1004,1,MATCH(COLUMNS($AB$1006:AQ1006),$AB$1006:$AQ$1006,0)))),"Fix")))</f>
        <v>0</v>
      </c>
      <c r="U913">
        <v>0</v>
      </c>
      <c r="V913">
        <v>0</v>
      </c>
      <c r="W913">
        <v>0</v>
      </c>
      <c r="X913">
        <f>IF(Y913,TRUE,AND(AB913:AQ913))</f>
        <v>0</v>
      </c>
      <c r="Y913">
        <f>COUNTBLANK(metadata!B913:Q913)=COLUMNS(metadata!B913:Q913)</f>
        <v>0</v>
      </c>
      <c r="Z913">
        <v>0</v>
      </c>
      <c r="AB913">
        <f>AND(IF(metadata!B913="",FALSE,TRUE),COUNTIF(metadata!B:B, metadata!B913) = 1,NOT(ISERROR(SUMPRODUCT(SEARCH(MID(metadata!B913,ROW(INDIRECT("1:"&amp;LEN(metadata!B913))), 1),"0123456789abcdefghijklmnopqrstuvwxyzABCDEFGHIJKLMNOPQRSTUVWXYZ.")))))</f>
        <v>0</v>
      </c>
      <c r="AC913">
        <f>OR(AND(IF(metadata!C913="",FALSE,TRUE),OR(exact(metadata!C913,"missing: not collected"),exact(metadata!C913,"missing: not provided"),exact(metadata!C913,"missing: restricted access"))),AND(IF(metadata!C913="",FALSE,TRUE),AND(AND(IFERROR(INT(LEFT(metadata!C913,4))&gt;1900,FALSE),IFERROR(INT(LEFT(metadata!C913,4))&lt;=YEAR(NOW()),FALSE)), OR(MID(metadata!C913,5,1)="", AND(AND(MID(metadata!C913,5,1)="-",IFERROR(INT(MID(metadata!C913,6,1))&gt;=0,FALSE),IFERROR(INT(MID(metadata!C913,6,1))&lt;=1,FALSE),NOT(MID(metadata!C913,7,1)=""),IFERROR(INT(MID(metadata!C913,6,2))&gt;=1,FALSE),IFERROR(INT(MID(metadata!C913,6,2))&lt;=12,FALSE)), OR(MID(metadata!C913,8,1)="", AND(AND(MID(metadata!C913,8,1)="-",IFERROR(INT(MID(metadata!C913,9,1))&gt;=0,FALSE),IFERROR(INT(MID(metadata!C913,9,1))&lt;=3,FALSE),NOT(MID(metadata!C913,10,1)=""),IFERROR(INT(MID(metadata!C913,9,2))&gt;=1,FALSE),IFERROR(INT(MID(metadata!C913,9,2))&lt;=31,FALSE)), OR(MID(metadata!C913,11,1)="", AND(AND(MID(metadata!C913,11,1)=" ",IFERROR(INT(MID(metadata!C913,12,1))&gt;=0,FALSE),IFERROR(INT(MID(metadata!C913,12,1))&lt;=2,FALSE),NOT(MID(metadata!C913,13,1)=""),IFERROR(INT(MID(metadata!C913,12,2))&gt;=0,FALSE),IFERROR(INT(MID(metadata!C913,12,2))&lt;=23,FALSE)), OR(MID(metadata!C913,14,1)="", AND(AND(MID(metadata!C913,14,1)=":",IFERROR(INT(MID(metadata!C913,15,1))&gt;=0,FALSE),IFERROR(INT(MID(metadata!C913,15,1))&lt;=5,FALSE),NOT(MID(metadata!C913,16,1)=""),IFERROR(INT(MID(metadata!C913,15,2))&gt;=0,FALSE),IFERROR(INT(MID(metadata!C913,15,2))&lt;=59,FALSE)), OR(MID(metadata!C913,17,1)="", AND(AND(MID(metadata!C913,17,1)=":",IFERROR(INT(MID(metadata!C913,18,1))&gt;=0,FALSE),IFERROR(INT(MID(metadata!C913,18,1))&lt;=5,FALSE),NOT(MID(metadata!C913,19,1)=""),IFERROR(INT(MID(metadata!C913,18,2))&gt;=0,FALSE),IFERROR(INT(MID(metadata!C913,18,2))&lt;=59,FALSE)), LEN(metadata!C913)&lt;=19)))))))))))))</f>
        <v>0</v>
      </c>
      <c r="AD913">
        <f>IF(metadata!D913="",FALSE,TRUE)</f>
        <v>0</v>
      </c>
      <c r="AE913">
        <f>OR(AND(IF(metadata!E913="",FALSE,TRUE),OR(exact(metadata!E913,"missing: not collected"),exact(metadata!E913,"missing: not provided"))),AND(IF(metadata!E913="",FALSE,TRUE),OR(exact(metadata!E913,"TRUE"),exact(metadata!E913,"FALSE"))))</f>
        <v>0</v>
      </c>
      <c r="AF913">
        <f>IF(metadata!F913="",FALSE,TRUE)</f>
        <v>0</v>
      </c>
      <c r="AG913">
        <f>IF(metadata!G913="",FALSE,TRUE)</f>
        <v>0</v>
      </c>
      <c r="AH913">
        <f>IF(metadata!H913="",FALSE,TRUE)</f>
        <v>0</v>
      </c>
      <c r="AI913">
        <f>OR(AND(IF(metadata!I913="",FALSE,TRUE),OR(exact(metadata!I913,"missing: not collected"),exact(metadata!I913,"missing: not provided"),exact(metadata!I913,"missing: restricted access"))),AND(IF(metadata!I913="",FALSE,TRUE),OR(exact(metadata!I913,"air"),exact(metadata!I913,"built environment"),exact(metadata!I913,"host-associated"),exact(metadata!I913,"human-associated"),exact(metadata!I913,"human-skin"),exact(metadata!I913,"human-oral"),exact(metadata!I913,"human-gut"),exact(metadata!I913,"human-vaginal"),exact(metadata!I913,"microbial mat/biofilm"),exact(metadata!I913,"misc environment"),exact(metadata!I913,"plant-associated"),exact(metadata!I913,"sediment"),exact(metadata!I913,"soil"),exact(metadata!I913,"wastewater/sludge"),exact(metadata!I913,"water"))))</f>
        <v>0</v>
      </c>
      <c r="AJ913">
        <f>IF(metadata!J913="",FALSE,TRUE)</f>
        <v>0</v>
      </c>
      <c r="AK913">
        <f>OR(AND(IF(metadata!K913="",FALSE,TRUE),OR(exact(metadata!K913,"missing: not collected"),exact(metadata!K913,"missing: not provided"),exact(metadata!K913,"missing: restricted access"))),AND(IF(metadata!K913="",FALSE,ISNUMBER(VALUE(metadata!K913))),metadata!K913&gt;=-90.00,metadata!K913&lt;=90.00))</f>
        <v>0</v>
      </c>
      <c r="AL913">
        <f>OR(AND(IF(metadata!L913="",FALSE,TRUE),OR(exact(metadata!L913,"missing: not collected"),exact(metadata!L913,"missing: not provided"),exact(metadata!L913,"missing: restricted access"))),AND(IF(metadata!L913="",FALSE,ISNUMBER(VALUE(metadata!L913))),metadata!L913&gt;=-180.00,metadata!L913&lt;=180.00))</f>
        <v>0</v>
      </c>
      <c r="AM913">
        <f>IF(metadata!M913="",FALSE,TRUE)</f>
        <v>0</v>
      </c>
      <c r="AN913">
        <f>OR(AND(IF(metadata!N913="",FALSE,TRUE),OR(exact(metadata!N913,"missing: not collected"),exact(metadata!N913,"missing: not provided"),exact(metadata!N913,"missing: restricted access"))),AND(IF(metadata!N913="",FALSE,TRUE),OR(exact(metadata!N913,"TRUE"),exact(metadata!N913,"FALSE"))))</f>
        <v>0</v>
      </c>
      <c r="AO913">
        <f>IF(metadata!O913="",FALSE,TRUE)</f>
        <v>0</v>
      </c>
      <c r="AP913">
        <f>OR(AND(IF(metadata!P913="",FALSE,TRUE),OR(exact(metadata!P913,"missing: not collected"),exact(metadata!P913,"missing: not provided"))),AND(IF(metadata!P913="",FALSE,IF(ISERROR(INT(metadata!P913)),FALSE,INT(metadata!P913)=metadata!P913)),metadata!P913&gt;0))</f>
        <v>0</v>
      </c>
      <c r="AQ913">
        <f>IF(metadata!Q913="",FALSE,TRUE)</f>
        <v>0</v>
      </c>
    </row>
    <row r="914" spans="1:43">
      <c r="A914" s="5">
        <f>IF(B914=" "," ",HYPERLINK(CONCATENATE("#metadata!",ADDRESS(INDEX($W$2:$W$1001,MATCH(ROWS($U$2:U914),$U$2:$U$1001,0),0),1)),INDEX($Z$2:$Z$1001,MATCH(ROWS($U$2:U914),$U$2:$U$1001,0),0)))</f>
        <v>0</v>
      </c>
      <c r="B914" s="4">
        <f>IF(OR(INDEX($V$2:$V$1001,MATCH(ROWS($U$2:U914),$U$2:$U$1001,0),1)&gt;=100000,INDEX($AB$1005:$AQ$1005,1,MATCH(COLUMNS($AB$1006:AB1006),$AB$1006:$AQ$1006,0))&gt;=100000), " ",IF(INDEX($AB$2:$AQ$1001,MATCH(ROWS($U$2:U914),$U$2:$U$1001,0),MATCH(COLUMNS($AB$1006:AB1006),$AB$1006:$AQ$1006,0)), HYPERLINK("#",""), HYPERLINK(CONCATENATE("#metadata!", ADDRESS(INDEX($W$2:$W$1001,MATCH(ROWS($U$2:U914),$U$2:$U$1001,0),0), INDEX($AB$1004:$AQ$1004,1,MATCH(COLUMNS($AB$1006:AB1006),$AB$1006:$AQ$1006,0)))),"Fix")))</f>
        <v>0</v>
      </c>
      <c r="C914" s="4">
        <f>IF(OR(INDEX($V$2:$V$1001,MATCH(ROWS($U$2:U914),$U$2:$U$1001,0),1)&gt;=100000,INDEX($AB$1005:$AQ$1005,1,MATCH(COLUMNS($AB$1006:AC1006),$AB$1006:$AQ$1006,0))&gt;=100000), " ",IF(INDEX($AB$2:$AQ$1001,MATCH(ROWS($U$2:U914),$U$2:$U$1001,0),MATCH(COLUMNS($AB$1006:AC1006),$AB$1006:$AQ$1006,0)), HYPERLINK("#",""), HYPERLINK(CONCATENATE("#metadata!", ADDRESS(INDEX($W$2:$W$1001,MATCH(ROWS($U$2:U914),$U$2:$U$1001,0),0), INDEX($AB$1004:$AQ$1004,1,MATCH(COLUMNS($AB$1006:AC1006),$AB$1006:$AQ$1006,0)))),"Fix")))</f>
        <v>0</v>
      </c>
      <c r="D914" s="4">
        <f>IF(OR(INDEX($V$2:$V$1001,MATCH(ROWS($U$2:U914),$U$2:$U$1001,0),1)&gt;=100000,INDEX($AB$1005:$AQ$1005,1,MATCH(COLUMNS($AB$1006:AD1006),$AB$1006:$AQ$1006,0))&gt;=100000), " ",IF(INDEX($AB$2:$AQ$1001,MATCH(ROWS($U$2:U914),$U$2:$U$1001,0),MATCH(COLUMNS($AB$1006:AD1006),$AB$1006:$AQ$1006,0)), HYPERLINK("#",""), HYPERLINK(CONCATENATE("#metadata!", ADDRESS(INDEX($W$2:$W$1001,MATCH(ROWS($U$2:U914),$U$2:$U$1001,0),0), INDEX($AB$1004:$AQ$1004,1,MATCH(COLUMNS($AB$1006:AD1006),$AB$1006:$AQ$1006,0)))),"Fix")))</f>
        <v>0</v>
      </c>
      <c r="E914" s="4">
        <f>IF(OR(INDEX($V$2:$V$1001,MATCH(ROWS($U$2:U914),$U$2:$U$1001,0),1)&gt;=100000,INDEX($AB$1005:$AQ$1005,1,MATCH(COLUMNS($AB$1006:AE1006),$AB$1006:$AQ$1006,0))&gt;=100000), " ",IF(INDEX($AB$2:$AQ$1001,MATCH(ROWS($U$2:U914),$U$2:$U$1001,0),MATCH(COLUMNS($AB$1006:AE1006),$AB$1006:$AQ$1006,0)), HYPERLINK("#",""), HYPERLINK(CONCATENATE("#metadata!", ADDRESS(INDEX($W$2:$W$1001,MATCH(ROWS($U$2:U914),$U$2:$U$1001,0),0), INDEX($AB$1004:$AQ$1004,1,MATCH(COLUMNS($AB$1006:AE1006),$AB$1006:$AQ$1006,0)))),"Fix")))</f>
        <v>0</v>
      </c>
      <c r="F914" s="4">
        <f>IF(OR(INDEX($V$2:$V$1001,MATCH(ROWS($U$2:U914),$U$2:$U$1001,0),1)&gt;=100000,INDEX($AB$1005:$AQ$1005,1,MATCH(COLUMNS($AB$1006:AF1006),$AB$1006:$AQ$1006,0))&gt;=100000), " ",IF(INDEX($AB$2:$AQ$1001,MATCH(ROWS($U$2:U914),$U$2:$U$1001,0),MATCH(COLUMNS($AB$1006:AF1006),$AB$1006:$AQ$1006,0)), HYPERLINK("#",""), HYPERLINK(CONCATENATE("#metadata!", ADDRESS(INDEX($W$2:$W$1001,MATCH(ROWS($U$2:U914),$U$2:$U$1001,0),0), INDEX($AB$1004:$AQ$1004,1,MATCH(COLUMNS($AB$1006:AF1006),$AB$1006:$AQ$1006,0)))),"Fix")))</f>
        <v>0</v>
      </c>
      <c r="G914" s="4">
        <f>IF(OR(INDEX($V$2:$V$1001,MATCH(ROWS($U$2:U914),$U$2:$U$1001,0),1)&gt;=100000,INDEX($AB$1005:$AQ$1005,1,MATCH(COLUMNS($AB$1006:AG1006),$AB$1006:$AQ$1006,0))&gt;=100000), " ",IF(INDEX($AB$2:$AQ$1001,MATCH(ROWS($U$2:U914),$U$2:$U$1001,0),MATCH(COLUMNS($AB$1006:AG1006),$AB$1006:$AQ$1006,0)), HYPERLINK("#",""), HYPERLINK(CONCATENATE("#metadata!", ADDRESS(INDEX($W$2:$W$1001,MATCH(ROWS($U$2:U914),$U$2:$U$1001,0),0), INDEX($AB$1004:$AQ$1004,1,MATCH(COLUMNS($AB$1006:AG1006),$AB$1006:$AQ$1006,0)))),"Fix")))</f>
        <v>0</v>
      </c>
      <c r="H914" s="4">
        <f>IF(OR(INDEX($V$2:$V$1001,MATCH(ROWS($U$2:U914),$U$2:$U$1001,0),1)&gt;=100000,INDEX($AB$1005:$AQ$1005,1,MATCH(COLUMNS($AB$1006:AH1006),$AB$1006:$AQ$1006,0))&gt;=100000), " ",IF(INDEX($AB$2:$AQ$1001,MATCH(ROWS($U$2:U914),$U$2:$U$1001,0),MATCH(COLUMNS($AB$1006:AH1006),$AB$1006:$AQ$1006,0)), HYPERLINK("#",""), HYPERLINK(CONCATENATE("#metadata!", ADDRESS(INDEX($W$2:$W$1001,MATCH(ROWS($U$2:U914),$U$2:$U$1001,0),0), INDEX($AB$1004:$AQ$1004,1,MATCH(COLUMNS($AB$1006:AH1006),$AB$1006:$AQ$1006,0)))),"Fix")))</f>
        <v>0</v>
      </c>
      <c r="I914" s="4">
        <f>IF(OR(INDEX($V$2:$V$1001,MATCH(ROWS($U$2:U914),$U$2:$U$1001,0),1)&gt;=100000,INDEX($AB$1005:$AQ$1005,1,MATCH(COLUMNS($AB$1006:AI1006),$AB$1006:$AQ$1006,0))&gt;=100000), " ",IF(INDEX($AB$2:$AQ$1001,MATCH(ROWS($U$2:U914),$U$2:$U$1001,0),MATCH(COLUMNS($AB$1006:AI1006),$AB$1006:$AQ$1006,0)), HYPERLINK("#",""), HYPERLINK(CONCATENATE("#metadata!", ADDRESS(INDEX($W$2:$W$1001,MATCH(ROWS($U$2:U914),$U$2:$U$1001,0),0), INDEX($AB$1004:$AQ$1004,1,MATCH(COLUMNS($AB$1006:AI1006),$AB$1006:$AQ$1006,0)))),"Fix")))</f>
        <v>0</v>
      </c>
      <c r="J914" s="4">
        <f>IF(OR(INDEX($V$2:$V$1001,MATCH(ROWS($U$2:U914),$U$2:$U$1001,0),1)&gt;=100000,INDEX($AB$1005:$AQ$1005,1,MATCH(COLUMNS($AB$1006:AJ1006),$AB$1006:$AQ$1006,0))&gt;=100000), " ",IF(INDEX($AB$2:$AQ$1001,MATCH(ROWS($U$2:U914),$U$2:$U$1001,0),MATCH(COLUMNS($AB$1006:AJ1006),$AB$1006:$AQ$1006,0)), HYPERLINK("#",""), HYPERLINK(CONCATENATE("#metadata!", ADDRESS(INDEX($W$2:$W$1001,MATCH(ROWS($U$2:U914),$U$2:$U$1001,0),0), INDEX($AB$1004:$AQ$1004,1,MATCH(COLUMNS($AB$1006:AJ1006),$AB$1006:$AQ$1006,0)))),"Fix")))</f>
        <v>0</v>
      </c>
      <c r="K914" s="4">
        <f>IF(OR(INDEX($V$2:$V$1001,MATCH(ROWS($U$2:U914),$U$2:$U$1001,0),1)&gt;=100000,INDEX($AB$1005:$AQ$1005,1,MATCH(COLUMNS($AB$1006:AK1006),$AB$1006:$AQ$1006,0))&gt;=100000), " ",IF(INDEX($AB$2:$AQ$1001,MATCH(ROWS($U$2:U914),$U$2:$U$1001,0),MATCH(COLUMNS($AB$1006:AK1006),$AB$1006:$AQ$1006,0)), HYPERLINK("#",""), HYPERLINK(CONCATENATE("#metadata!", ADDRESS(INDEX($W$2:$W$1001,MATCH(ROWS($U$2:U914),$U$2:$U$1001,0),0), INDEX($AB$1004:$AQ$1004,1,MATCH(COLUMNS($AB$1006:AK1006),$AB$1006:$AQ$1006,0)))),"Fix")))</f>
        <v>0</v>
      </c>
      <c r="L914" s="4">
        <f>IF(OR(INDEX($V$2:$V$1001,MATCH(ROWS($U$2:U914),$U$2:$U$1001,0),1)&gt;=100000,INDEX($AB$1005:$AQ$1005,1,MATCH(COLUMNS($AB$1006:AL1006),$AB$1006:$AQ$1006,0))&gt;=100000), " ",IF(INDEX($AB$2:$AQ$1001,MATCH(ROWS($U$2:U914),$U$2:$U$1001,0),MATCH(COLUMNS($AB$1006:AL1006),$AB$1006:$AQ$1006,0)), HYPERLINK("#",""), HYPERLINK(CONCATENATE("#metadata!", ADDRESS(INDEX($W$2:$W$1001,MATCH(ROWS($U$2:U914),$U$2:$U$1001,0),0), INDEX($AB$1004:$AQ$1004,1,MATCH(COLUMNS($AB$1006:AL1006),$AB$1006:$AQ$1006,0)))),"Fix")))</f>
        <v>0</v>
      </c>
      <c r="M914" s="4">
        <f>IF(OR(INDEX($V$2:$V$1001,MATCH(ROWS($U$2:U914),$U$2:$U$1001,0),1)&gt;=100000,INDEX($AB$1005:$AQ$1005,1,MATCH(COLUMNS($AB$1006:AM1006),$AB$1006:$AQ$1006,0))&gt;=100000), " ",IF(INDEX($AB$2:$AQ$1001,MATCH(ROWS($U$2:U914),$U$2:$U$1001,0),MATCH(COLUMNS($AB$1006:AM1006),$AB$1006:$AQ$1006,0)), HYPERLINK("#",""), HYPERLINK(CONCATENATE("#metadata!", ADDRESS(INDEX($W$2:$W$1001,MATCH(ROWS($U$2:U914),$U$2:$U$1001,0),0), INDEX($AB$1004:$AQ$1004,1,MATCH(COLUMNS($AB$1006:AM1006),$AB$1006:$AQ$1006,0)))),"Fix")))</f>
        <v>0</v>
      </c>
      <c r="N914" s="4">
        <f>IF(OR(INDEX($V$2:$V$1001,MATCH(ROWS($U$2:U914),$U$2:$U$1001,0),1)&gt;=100000,INDEX($AB$1005:$AQ$1005,1,MATCH(COLUMNS($AB$1006:AN1006),$AB$1006:$AQ$1006,0))&gt;=100000), " ",IF(INDEX($AB$2:$AQ$1001,MATCH(ROWS($U$2:U914),$U$2:$U$1001,0),MATCH(COLUMNS($AB$1006:AN1006),$AB$1006:$AQ$1006,0)), HYPERLINK("#",""), HYPERLINK(CONCATENATE("#metadata!", ADDRESS(INDEX($W$2:$W$1001,MATCH(ROWS($U$2:U914),$U$2:$U$1001,0),0), INDEX($AB$1004:$AQ$1004,1,MATCH(COLUMNS($AB$1006:AN1006),$AB$1006:$AQ$1006,0)))),"Fix")))</f>
        <v>0</v>
      </c>
      <c r="O914" s="4">
        <f>IF(OR(INDEX($V$2:$V$1001,MATCH(ROWS($U$2:U914),$U$2:$U$1001,0),1)&gt;=100000,INDEX($AB$1005:$AQ$1005,1,MATCH(COLUMNS($AB$1006:AO1006),$AB$1006:$AQ$1006,0))&gt;=100000), " ",IF(INDEX($AB$2:$AQ$1001,MATCH(ROWS($U$2:U914),$U$2:$U$1001,0),MATCH(COLUMNS($AB$1006:AO1006),$AB$1006:$AQ$1006,0)), HYPERLINK("#",""), HYPERLINK(CONCATENATE("#metadata!", ADDRESS(INDEX($W$2:$W$1001,MATCH(ROWS($U$2:U914),$U$2:$U$1001,0),0), INDEX($AB$1004:$AQ$1004,1,MATCH(COLUMNS($AB$1006:AO1006),$AB$1006:$AQ$1006,0)))),"Fix")))</f>
        <v>0</v>
      </c>
      <c r="P914" s="4">
        <f>IF(OR(INDEX($V$2:$V$1001,MATCH(ROWS($U$2:U914),$U$2:$U$1001,0),1)&gt;=100000,INDEX($AB$1005:$AQ$1005,1,MATCH(COLUMNS($AB$1006:AP1006),$AB$1006:$AQ$1006,0))&gt;=100000), " ",IF(INDEX($AB$2:$AQ$1001,MATCH(ROWS($U$2:U914),$U$2:$U$1001,0),MATCH(COLUMNS($AB$1006:AP1006),$AB$1006:$AQ$1006,0)), HYPERLINK("#",""), HYPERLINK(CONCATENATE("#metadata!", ADDRESS(INDEX($W$2:$W$1001,MATCH(ROWS($U$2:U914),$U$2:$U$1001,0),0), INDEX($AB$1004:$AQ$1004,1,MATCH(COLUMNS($AB$1006:AP1006),$AB$1006:$AQ$1006,0)))),"Fix")))</f>
        <v>0</v>
      </c>
      <c r="Q914" s="4">
        <f>IF(OR(INDEX($V$2:$V$1001,MATCH(ROWS($U$2:U914),$U$2:$U$1001,0),1)&gt;=100000,INDEX($AB$1005:$AQ$1005,1,MATCH(COLUMNS($AB$1006:AQ1006),$AB$1006:$AQ$1006,0))&gt;=100000), " ",IF(INDEX($AB$2:$AQ$1001,MATCH(ROWS($U$2:U914),$U$2:$U$1001,0),MATCH(COLUMNS($AB$1006:AQ1006),$AB$1006:$AQ$1006,0)), HYPERLINK("#",""), HYPERLINK(CONCATENATE("#metadata!", ADDRESS(INDEX($W$2:$W$1001,MATCH(ROWS($U$2:U914),$U$2:$U$1001,0),0), INDEX($AB$1004:$AQ$1004,1,MATCH(COLUMNS($AB$1006:AQ1006),$AB$1006:$AQ$1006,0)))),"Fix")))</f>
        <v>0</v>
      </c>
      <c r="U914">
        <v>0</v>
      </c>
      <c r="V914">
        <v>0</v>
      </c>
      <c r="W914">
        <v>0</v>
      </c>
      <c r="X914">
        <f>IF(Y914,TRUE,AND(AB914:AQ914))</f>
        <v>0</v>
      </c>
      <c r="Y914">
        <f>COUNTBLANK(metadata!B914:Q914)=COLUMNS(metadata!B914:Q914)</f>
        <v>0</v>
      </c>
      <c r="Z914">
        <v>0</v>
      </c>
      <c r="AB914">
        <f>AND(IF(metadata!B914="",FALSE,TRUE),COUNTIF(metadata!B:B, metadata!B914) = 1,NOT(ISERROR(SUMPRODUCT(SEARCH(MID(metadata!B914,ROW(INDIRECT("1:"&amp;LEN(metadata!B914))), 1),"0123456789abcdefghijklmnopqrstuvwxyzABCDEFGHIJKLMNOPQRSTUVWXYZ.")))))</f>
        <v>0</v>
      </c>
      <c r="AC914">
        <f>OR(AND(IF(metadata!C914="",FALSE,TRUE),OR(exact(metadata!C914,"missing: not collected"),exact(metadata!C914,"missing: not provided"),exact(metadata!C914,"missing: restricted access"))),AND(IF(metadata!C914="",FALSE,TRUE),AND(AND(IFERROR(INT(LEFT(metadata!C914,4))&gt;1900,FALSE),IFERROR(INT(LEFT(metadata!C914,4))&lt;=YEAR(NOW()),FALSE)), OR(MID(metadata!C914,5,1)="", AND(AND(MID(metadata!C914,5,1)="-",IFERROR(INT(MID(metadata!C914,6,1))&gt;=0,FALSE),IFERROR(INT(MID(metadata!C914,6,1))&lt;=1,FALSE),NOT(MID(metadata!C914,7,1)=""),IFERROR(INT(MID(metadata!C914,6,2))&gt;=1,FALSE),IFERROR(INT(MID(metadata!C914,6,2))&lt;=12,FALSE)), OR(MID(metadata!C914,8,1)="", AND(AND(MID(metadata!C914,8,1)="-",IFERROR(INT(MID(metadata!C914,9,1))&gt;=0,FALSE),IFERROR(INT(MID(metadata!C914,9,1))&lt;=3,FALSE),NOT(MID(metadata!C914,10,1)=""),IFERROR(INT(MID(metadata!C914,9,2))&gt;=1,FALSE),IFERROR(INT(MID(metadata!C914,9,2))&lt;=31,FALSE)), OR(MID(metadata!C914,11,1)="", AND(AND(MID(metadata!C914,11,1)=" ",IFERROR(INT(MID(metadata!C914,12,1))&gt;=0,FALSE),IFERROR(INT(MID(metadata!C914,12,1))&lt;=2,FALSE),NOT(MID(metadata!C914,13,1)=""),IFERROR(INT(MID(metadata!C914,12,2))&gt;=0,FALSE),IFERROR(INT(MID(metadata!C914,12,2))&lt;=23,FALSE)), OR(MID(metadata!C914,14,1)="", AND(AND(MID(metadata!C914,14,1)=":",IFERROR(INT(MID(metadata!C914,15,1))&gt;=0,FALSE),IFERROR(INT(MID(metadata!C914,15,1))&lt;=5,FALSE),NOT(MID(metadata!C914,16,1)=""),IFERROR(INT(MID(metadata!C914,15,2))&gt;=0,FALSE),IFERROR(INT(MID(metadata!C914,15,2))&lt;=59,FALSE)), OR(MID(metadata!C914,17,1)="", AND(AND(MID(metadata!C914,17,1)=":",IFERROR(INT(MID(metadata!C914,18,1))&gt;=0,FALSE),IFERROR(INT(MID(metadata!C914,18,1))&lt;=5,FALSE),NOT(MID(metadata!C914,19,1)=""),IFERROR(INT(MID(metadata!C914,18,2))&gt;=0,FALSE),IFERROR(INT(MID(metadata!C914,18,2))&lt;=59,FALSE)), LEN(metadata!C914)&lt;=19)))))))))))))</f>
        <v>0</v>
      </c>
      <c r="AD914">
        <f>IF(metadata!D914="",FALSE,TRUE)</f>
        <v>0</v>
      </c>
      <c r="AE914">
        <f>OR(AND(IF(metadata!E914="",FALSE,TRUE),OR(exact(metadata!E914,"missing: not collected"),exact(metadata!E914,"missing: not provided"))),AND(IF(metadata!E914="",FALSE,TRUE),OR(exact(metadata!E914,"TRUE"),exact(metadata!E914,"FALSE"))))</f>
        <v>0</v>
      </c>
      <c r="AF914">
        <f>IF(metadata!F914="",FALSE,TRUE)</f>
        <v>0</v>
      </c>
      <c r="AG914">
        <f>IF(metadata!G914="",FALSE,TRUE)</f>
        <v>0</v>
      </c>
      <c r="AH914">
        <f>IF(metadata!H914="",FALSE,TRUE)</f>
        <v>0</v>
      </c>
      <c r="AI914">
        <f>OR(AND(IF(metadata!I914="",FALSE,TRUE),OR(exact(metadata!I914,"missing: not collected"),exact(metadata!I914,"missing: not provided"),exact(metadata!I914,"missing: restricted access"))),AND(IF(metadata!I914="",FALSE,TRUE),OR(exact(metadata!I914,"air"),exact(metadata!I914,"built environment"),exact(metadata!I914,"host-associated"),exact(metadata!I914,"human-associated"),exact(metadata!I914,"human-skin"),exact(metadata!I914,"human-oral"),exact(metadata!I914,"human-gut"),exact(metadata!I914,"human-vaginal"),exact(metadata!I914,"microbial mat/biofilm"),exact(metadata!I914,"misc environment"),exact(metadata!I914,"plant-associated"),exact(metadata!I914,"sediment"),exact(metadata!I914,"soil"),exact(metadata!I914,"wastewater/sludge"),exact(metadata!I914,"water"))))</f>
        <v>0</v>
      </c>
      <c r="AJ914">
        <f>IF(metadata!J914="",FALSE,TRUE)</f>
        <v>0</v>
      </c>
      <c r="AK914">
        <f>OR(AND(IF(metadata!K914="",FALSE,TRUE),OR(exact(metadata!K914,"missing: not collected"),exact(metadata!K914,"missing: not provided"),exact(metadata!K914,"missing: restricted access"))),AND(IF(metadata!K914="",FALSE,ISNUMBER(VALUE(metadata!K914))),metadata!K914&gt;=-90.00,metadata!K914&lt;=90.00))</f>
        <v>0</v>
      </c>
      <c r="AL914">
        <f>OR(AND(IF(metadata!L914="",FALSE,TRUE),OR(exact(metadata!L914,"missing: not collected"),exact(metadata!L914,"missing: not provided"),exact(metadata!L914,"missing: restricted access"))),AND(IF(metadata!L914="",FALSE,ISNUMBER(VALUE(metadata!L914))),metadata!L914&gt;=-180.00,metadata!L914&lt;=180.00))</f>
        <v>0</v>
      </c>
      <c r="AM914">
        <f>IF(metadata!M914="",FALSE,TRUE)</f>
        <v>0</v>
      </c>
      <c r="AN914">
        <f>OR(AND(IF(metadata!N914="",FALSE,TRUE),OR(exact(metadata!N914,"missing: not collected"),exact(metadata!N914,"missing: not provided"),exact(metadata!N914,"missing: restricted access"))),AND(IF(metadata!N914="",FALSE,TRUE),OR(exact(metadata!N914,"TRUE"),exact(metadata!N914,"FALSE"))))</f>
        <v>0</v>
      </c>
      <c r="AO914">
        <f>IF(metadata!O914="",FALSE,TRUE)</f>
        <v>0</v>
      </c>
      <c r="AP914">
        <f>OR(AND(IF(metadata!P914="",FALSE,TRUE),OR(exact(metadata!P914,"missing: not collected"),exact(metadata!P914,"missing: not provided"))),AND(IF(metadata!P914="",FALSE,IF(ISERROR(INT(metadata!P914)),FALSE,INT(metadata!P914)=metadata!P914)),metadata!P914&gt;0))</f>
        <v>0</v>
      </c>
      <c r="AQ914">
        <f>IF(metadata!Q914="",FALSE,TRUE)</f>
        <v>0</v>
      </c>
    </row>
    <row r="915" spans="1:43">
      <c r="A915" s="5">
        <f>IF(B915=" "," ",HYPERLINK(CONCATENATE("#metadata!",ADDRESS(INDEX($W$2:$W$1001,MATCH(ROWS($U$2:U915),$U$2:$U$1001,0),0),1)),INDEX($Z$2:$Z$1001,MATCH(ROWS($U$2:U915),$U$2:$U$1001,0),0)))</f>
        <v>0</v>
      </c>
      <c r="B915" s="4">
        <f>IF(OR(INDEX($V$2:$V$1001,MATCH(ROWS($U$2:U915),$U$2:$U$1001,0),1)&gt;=100000,INDEX($AB$1005:$AQ$1005,1,MATCH(COLUMNS($AB$1006:AB1006),$AB$1006:$AQ$1006,0))&gt;=100000), " ",IF(INDEX($AB$2:$AQ$1001,MATCH(ROWS($U$2:U915),$U$2:$U$1001,0),MATCH(COLUMNS($AB$1006:AB1006),$AB$1006:$AQ$1006,0)), HYPERLINK("#",""), HYPERLINK(CONCATENATE("#metadata!", ADDRESS(INDEX($W$2:$W$1001,MATCH(ROWS($U$2:U915),$U$2:$U$1001,0),0), INDEX($AB$1004:$AQ$1004,1,MATCH(COLUMNS($AB$1006:AB1006),$AB$1006:$AQ$1006,0)))),"Fix")))</f>
        <v>0</v>
      </c>
      <c r="C915" s="4">
        <f>IF(OR(INDEX($V$2:$V$1001,MATCH(ROWS($U$2:U915),$U$2:$U$1001,0),1)&gt;=100000,INDEX($AB$1005:$AQ$1005,1,MATCH(COLUMNS($AB$1006:AC1006),$AB$1006:$AQ$1006,0))&gt;=100000), " ",IF(INDEX($AB$2:$AQ$1001,MATCH(ROWS($U$2:U915),$U$2:$U$1001,0),MATCH(COLUMNS($AB$1006:AC1006),$AB$1006:$AQ$1006,0)), HYPERLINK("#",""), HYPERLINK(CONCATENATE("#metadata!", ADDRESS(INDEX($W$2:$W$1001,MATCH(ROWS($U$2:U915),$U$2:$U$1001,0),0), INDEX($AB$1004:$AQ$1004,1,MATCH(COLUMNS($AB$1006:AC1006),$AB$1006:$AQ$1006,0)))),"Fix")))</f>
        <v>0</v>
      </c>
      <c r="D915" s="4">
        <f>IF(OR(INDEX($V$2:$V$1001,MATCH(ROWS($U$2:U915),$U$2:$U$1001,0),1)&gt;=100000,INDEX($AB$1005:$AQ$1005,1,MATCH(COLUMNS($AB$1006:AD1006),$AB$1006:$AQ$1006,0))&gt;=100000), " ",IF(INDEX($AB$2:$AQ$1001,MATCH(ROWS($U$2:U915),$U$2:$U$1001,0),MATCH(COLUMNS($AB$1006:AD1006),$AB$1006:$AQ$1006,0)), HYPERLINK("#",""), HYPERLINK(CONCATENATE("#metadata!", ADDRESS(INDEX($W$2:$W$1001,MATCH(ROWS($U$2:U915),$U$2:$U$1001,0),0), INDEX($AB$1004:$AQ$1004,1,MATCH(COLUMNS($AB$1006:AD1006),$AB$1006:$AQ$1006,0)))),"Fix")))</f>
        <v>0</v>
      </c>
      <c r="E915" s="4">
        <f>IF(OR(INDEX($V$2:$V$1001,MATCH(ROWS($U$2:U915),$U$2:$U$1001,0),1)&gt;=100000,INDEX($AB$1005:$AQ$1005,1,MATCH(COLUMNS($AB$1006:AE1006),$AB$1006:$AQ$1006,0))&gt;=100000), " ",IF(INDEX($AB$2:$AQ$1001,MATCH(ROWS($U$2:U915),$U$2:$U$1001,0),MATCH(COLUMNS($AB$1006:AE1006),$AB$1006:$AQ$1006,0)), HYPERLINK("#",""), HYPERLINK(CONCATENATE("#metadata!", ADDRESS(INDEX($W$2:$W$1001,MATCH(ROWS($U$2:U915),$U$2:$U$1001,0),0), INDEX($AB$1004:$AQ$1004,1,MATCH(COLUMNS($AB$1006:AE1006),$AB$1006:$AQ$1006,0)))),"Fix")))</f>
        <v>0</v>
      </c>
      <c r="F915" s="4">
        <f>IF(OR(INDEX($V$2:$V$1001,MATCH(ROWS($U$2:U915),$U$2:$U$1001,0),1)&gt;=100000,INDEX($AB$1005:$AQ$1005,1,MATCH(COLUMNS($AB$1006:AF1006),$AB$1006:$AQ$1006,0))&gt;=100000), " ",IF(INDEX($AB$2:$AQ$1001,MATCH(ROWS($U$2:U915),$U$2:$U$1001,0),MATCH(COLUMNS($AB$1006:AF1006),$AB$1006:$AQ$1006,0)), HYPERLINK("#",""), HYPERLINK(CONCATENATE("#metadata!", ADDRESS(INDEX($W$2:$W$1001,MATCH(ROWS($U$2:U915),$U$2:$U$1001,0),0), INDEX($AB$1004:$AQ$1004,1,MATCH(COLUMNS($AB$1006:AF1006),$AB$1006:$AQ$1006,0)))),"Fix")))</f>
        <v>0</v>
      </c>
      <c r="G915" s="4">
        <f>IF(OR(INDEX($V$2:$V$1001,MATCH(ROWS($U$2:U915),$U$2:$U$1001,0),1)&gt;=100000,INDEX($AB$1005:$AQ$1005,1,MATCH(COLUMNS($AB$1006:AG1006),$AB$1006:$AQ$1006,0))&gt;=100000), " ",IF(INDEX($AB$2:$AQ$1001,MATCH(ROWS($U$2:U915),$U$2:$U$1001,0),MATCH(COLUMNS($AB$1006:AG1006),$AB$1006:$AQ$1006,0)), HYPERLINK("#",""), HYPERLINK(CONCATENATE("#metadata!", ADDRESS(INDEX($W$2:$W$1001,MATCH(ROWS($U$2:U915),$U$2:$U$1001,0),0), INDEX($AB$1004:$AQ$1004,1,MATCH(COLUMNS($AB$1006:AG1006),$AB$1006:$AQ$1006,0)))),"Fix")))</f>
        <v>0</v>
      </c>
      <c r="H915" s="4">
        <f>IF(OR(INDEX($V$2:$V$1001,MATCH(ROWS($U$2:U915),$U$2:$U$1001,0),1)&gt;=100000,INDEX($AB$1005:$AQ$1005,1,MATCH(COLUMNS($AB$1006:AH1006),$AB$1006:$AQ$1006,0))&gt;=100000), " ",IF(INDEX($AB$2:$AQ$1001,MATCH(ROWS($U$2:U915),$U$2:$U$1001,0),MATCH(COLUMNS($AB$1006:AH1006),$AB$1006:$AQ$1006,0)), HYPERLINK("#",""), HYPERLINK(CONCATENATE("#metadata!", ADDRESS(INDEX($W$2:$W$1001,MATCH(ROWS($U$2:U915),$U$2:$U$1001,0),0), INDEX($AB$1004:$AQ$1004,1,MATCH(COLUMNS($AB$1006:AH1006),$AB$1006:$AQ$1006,0)))),"Fix")))</f>
        <v>0</v>
      </c>
      <c r="I915" s="4">
        <f>IF(OR(INDEX($V$2:$V$1001,MATCH(ROWS($U$2:U915),$U$2:$U$1001,0),1)&gt;=100000,INDEX($AB$1005:$AQ$1005,1,MATCH(COLUMNS($AB$1006:AI1006),$AB$1006:$AQ$1006,0))&gt;=100000), " ",IF(INDEX($AB$2:$AQ$1001,MATCH(ROWS($U$2:U915),$U$2:$U$1001,0),MATCH(COLUMNS($AB$1006:AI1006),$AB$1006:$AQ$1006,0)), HYPERLINK("#",""), HYPERLINK(CONCATENATE("#metadata!", ADDRESS(INDEX($W$2:$W$1001,MATCH(ROWS($U$2:U915),$U$2:$U$1001,0),0), INDEX($AB$1004:$AQ$1004,1,MATCH(COLUMNS($AB$1006:AI1006),$AB$1006:$AQ$1006,0)))),"Fix")))</f>
        <v>0</v>
      </c>
      <c r="J915" s="4">
        <f>IF(OR(INDEX($V$2:$V$1001,MATCH(ROWS($U$2:U915),$U$2:$U$1001,0),1)&gt;=100000,INDEX($AB$1005:$AQ$1005,1,MATCH(COLUMNS($AB$1006:AJ1006),$AB$1006:$AQ$1006,0))&gt;=100000), " ",IF(INDEX($AB$2:$AQ$1001,MATCH(ROWS($U$2:U915),$U$2:$U$1001,0),MATCH(COLUMNS($AB$1006:AJ1006),$AB$1006:$AQ$1006,0)), HYPERLINK("#",""), HYPERLINK(CONCATENATE("#metadata!", ADDRESS(INDEX($W$2:$W$1001,MATCH(ROWS($U$2:U915),$U$2:$U$1001,0),0), INDEX($AB$1004:$AQ$1004,1,MATCH(COLUMNS($AB$1006:AJ1006),$AB$1006:$AQ$1006,0)))),"Fix")))</f>
        <v>0</v>
      </c>
      <c r="K915" s="4">
        <f>IF(OR(INDEX($V$2:$V$1001,MATCH(ROWS($U$2:U915),$U$2:$U$1001,0),1)&gt;=100000,INDEX($AB$1005:$AQ$1005,1,MATCH(COLUMNS($AB$1006:AK1006),$AB$1006:$AQ$1006,0))&gt;=100000), " ",IF(INDEX($AB$2:$AQ$1001,MATCH(ROWS($U$2:U915),$U$2:$U$1001,0),MATCH(COLUMNS($AB$1006:AK1006),$AB$1006:$AQ$1006,0)), HYPERLINK("#",""), HYPERLINK(CONCATENATE("#metadata!", ADDRESS(INDEX($W$2:$W$1001,MATCH(ROWS($U$2:U915),$U$2:$U$1001,0),0), INDEX($AB$1004:$AQ$1004,1,MATCH(COLUMNS($AB$1006:AK1006),$AB$1006:$AQ$1006,0)))),"Fix")))</f>
        <v>0</v>
      </c>
      <c r="L915" s="4">
        <f>IF(OR(INDEX($V$2:$V$1001,MATCH(ROWS($U$2:U915),$U$2:$U$1001,0),1)&gt;=100000,INDEX($AB$1005:$AQ$1005,1,MATCH(COLUMNS($AB$1006:AL1006),$AB$1006:$AQ$1006,0))&gt;=100000), " ",IF(INDEX($AB$2:$AQ$1001,MATCH(ROWS($U$2:U915),$U$2:$U$1001,0),MATCH(COLUMNS($AB$1006:AL1006),$AB$1006:$AQ$1006,0)), HYPERLINK("#",""), HYPERLINK(CONCATENATE("#metadata!", ADDRESS(INDEX($W$2:$W$1001,MATCH(ROWS($U$2:U915),$U$2:$U$1001,0),0), INDEX($AB$1004:$AQ$1004,1,MATCH(COLUMNS($AB$1006:AL1006),$AB$1006:$AQ$1006,0)))),"Fix")))</f>
        <v>0</v>
      </c>
      <c r="M915" s="4">
        <f>IF(OR(INDEX($V$2:$V$1001,MATCH(ROWS($U$2:U915),$U$2:$U$1001,0),1)&gt;=100000,INDEX($AB$1005:$AQ$1005,1,MATCH(COLUMNS($AB$1006:AM1006),$AB$1006:$AQ$1006,0))&gt;=100000), " ",IF(INDEX($AB$2:$AQ$1001,MATCH(ROWS($U$2:U915),$U$2:$U$1001,0),MATCH(COLUMNS($AB$1006:AM1006),$AB$1006:$AQ$1006,0)), HYPERLINK("#",""), HYPERLINK(CONCATENATE("#metadata!", ADDRESS(INDEX($W$2:$W$1001,MATCH(ROWS($U$2:U915),$U$2:$U$1001,0),0), INDEX($AB$1004:$AQ$1004,1,MATCH(COLUMNS($AB$1006:AM1006),$AB$1006:$AQ$1006,0)))),"Fix")))</f>
        <v>0</v>
      </c>
      <c r="N915" s="4">
        <f>IF(OR(INDEX($V$2:$V$1001,MATCH(ROWS($U$2:U915),$U$2:$U$1001,0),1)&gt;=100000,INDEX($AB$1005:$AQ$1005,1,MATCH(COLUMNS($AB$1006:AN1006),$AB$1006:$AQ$1006,0))&gt;=100000), " ",IF(INDEX($AB$2:$AQ$1001,MATCH(ROWS($U$2:U915),$U$2:$U$1001,0),MATCH(COLUMNS($AB$1006:AN1006),$AB$1006:$AQ$1006,0)), HYPERLINK("#",""), HYPERLINK(CONCATENATE("#metadata!", ADDRESS(INDEX($W$2:$W$1001,MATCH(ROWS($U$2:U915),$U$2:$U$1001,0),0), INDEX($AB$1004:$AQ$1004,1,MATCH(COLUMNS($AB$1006:AN1006),$AB$1006:$AQ$1006,0)))),"Fix")))</f>
        <v>0</v>
      </c>
      <c r="O915" s="4">
        <f>IF(OR(INDEX($V$2:$V$1001,MATCH(ROWS($U$2:U915),$U$2:$U$1001,0),1)&gt;=100000,INDEX($AB$1005:$AQ$1005,1,MATCH(COLUMNS($AB$1006:AO1006),$AB$1006:$AQ$1006,0))&gt;=100000), " ",IF(INDEX($AB$2:$AQ$1001,MATCH(ROWS($U$2:U915),$U$2:$U$1001,0),MATCH(COLUMNS($AB$1006:AO1006),$AB$1006:$AQ$1006,0)), HYPERLINK("#",""), HYPERLINK(CONCATENATE("#metadata!", ADDRESS(INDEX($W$2:$W$1001,MATCH(ROWS($U$2:U915),$U$2:$U$1001,0),0), INDEX($AB$1004:$AQ$1004,1,MATCH(COLUMNS($AB$1006:AO1006),$AB$1006:$AQ$1006,0)))),"Fix")))</f>
        <v>0</v>
      </c>
      <c r="P915" s="4">
        <f>IF(OR(INDEX($V$2:$V$1001,MATCH(ROWS($U$2:U915),$U$2:$U$1001,0),1)&gt;=100000,INDEX($AB$1005:$AQ$1005,1,MATCH(COLUMNS($AB$1006:AP1006),$AB$1006:$AQ$1006,0))&gt;=100000), " ",IF(INDEX($AB$2:$AQ$1001,MATCH(ROWS($U$2:U915),$U$2:$U$1001,0),MATCH(COLUMNS($AB$1006:AP1006),$AB$1006:$AQ$1006,0)), HYPERLINK("#",""), HYPERLINK(CONCATENATE("#metadata!", ADDRESS(INDEX($W$2:$W$1001,MATCH(ROWS($U$2:U915),$U$2:$U$1001,0),0), INDEX($AB$1004:$AQ$1004,1,MATCH(COLUMNS($AB$1006:AP1006),$AB$1006:$AQ$1006,0)))),"Fix")))</f>
        <v>0</v>
      </c>
      <c r="Q915" s="4">
        <f>IF(OR(INDEX($V$2:$V$1001,MATCH(ROWS($U$2:U915),$U$2:$U$1001,0),1)&gt;=100000,INDEX($AB$1005:$AQ$1005,1,MATCH(COLUMNS($AB$1006:AQ1006),$AB$1006:$AQ$1006,0))&gt;=100000), " ",IF(INDEX($AB$2:$AQ$1001,MATCH(ROWS($U$2:U915),$U$2:$U$1001,0),MATCH(COLUMNS($AB$1006:AQ1006),$AB$1006:$AQ$1006,0)), HYPERLINK("#",""), HYPERLINK(CONCATENATE("#metadata!", ADDRESS(INDEX($W$2:$W$1001,MATCH(ROWS($U$2:U915),$U$2:$U$1001,0),0), INDEX($AB$1004:$AQ$1004,1,MATCH(COLUMNS($AB$1006:AQ1006),$AB$1006:$AQ$1006,0)))),"Fix")))</f>
        <v>0</v>
      </c>
      <c r="U915">
        <v>0</v>
      </c>
      <c r="V915">
        <v>0</v>
      </c>
      <c r="W915">
        <v>0</v>
      </c>
      <c r="X915">
        <f>IF(Y915,TRUE,AND(AB915:AQ915))</f>
        <v>0</v>
      </c>
      <c r="Y915">
        <f>COUNTBLANK(metadata!B915:Q915)=COLUMNS(metadata!B915:Q915)</f>
        <v>0</v>
      </c>
      <c r="Z915">
        <v>0</v>
      </c>
      <c r="AB915">
        <f>AND(IF(metadata!B915="",FALSE,TRUE),COUNTIF(metadata!B:B, metadata!B915) = 1,NOT(ISERROR(SUMPRODUCT(SEARCH(MID(metadata!B915,ROW(INDIRECT("1:"&amp;LEN(metadata!B915))), 1),"0123456789abcdefghijklmnopqrstuvwxyzABCDEFGHIJKLMNOPQRSTUVWXYZ.")))))</f>
        <v>0</v>
      </c>
      <c r="AC915">
        <f>OR(AND(IF(metadata!C915="",FALSE,TRUE),OR(exact(metadata!C915,"missing: not collected"),exact(metadata!C915,"missing: not provided"),exact(metadata!C915,"missing: restricted access"))),AND(IF(metadata!C915="",FALSE,TRUE),AND(AND(IFERROR(INT(LEFT(metadata!C915,4))&gt;1900,FALSE),IFERROR(INT(LEFT(metadata!C915,4))&lt;=YEAR(NOW()),FALSE)), OR(MID(metadata!C915,5,1)="", AND(AND(MID(metadata!C915,5,1)="-",IFERROR(INT(MID(metadata!C915,6,1))&gt;=0,FALSE),IFERROR(INT(MID(metadata!C915,6,1))&lt;=1,FALSE),NOT(MID(metadata!C915,7,1)=""),IFERROR(INT(MID(metadata!C915,6,2))&gt;=1,FALSE),IFERROR(INT(MID(metadata!C915,6,2))&lt;=12,FALSE)), OR(MID(metadata!C915,8,1)="", AND(AND(MID(metadata!C915,8,1)="-",IFERROR(INT(MID(metadata!C915,9,1))&gt;=0,FALSE),IFERROR(INT(MID(metadata!C915,9,1))&lt;=3,FALSE),NOT(MID(metadata!C915,10,1)=""),IFERROR(INT(MID(metadata!C915,9,2))&gt;=1,FALSE),IFERROR(INT(MID(metadata!C915,9,2))&lt;=31,FALSE)), OR(MID(metadata!C915,11,1)="", AND(AND(MID(metadata!C915,11,1)=" ",IFERROR(INT(MID(metadata!C915,12,1))&gt;=0,FALSE),IFERROR(INT(MID(metadata!C915,12,1))&lt;=2,FALSE),NOT(MID(metadata!C915,13,1)=""),IFERROR(INT(MID(metadata!C915,12,2))&gt;=0,FALSE),IFERROR(INT(MID(metadata!C915,12,2))&lt;=23,FALSE)), OR(MID(metadata!C915,14,1)="", AND(AND(MID(metadata!C915,14,1)=":",IFERROR(INT(MID(metadata!C915,15,1))&gt;=0,FALSE),IFERROR(INT(MID(metadata!C915,15,1))&lt;=5,FALSE),NOT(MID(metadata!C915,16,1)=""),IFERROR(INT(MID(metadata!C915,15,2))&gt;=0,FALSE),IFERROR(INT(MID(metadata!C915,15,2))&lt;=59,FALSE)), OR(MID(metadata!C915,17,1)="", AND(AND(MID(metadata!C915,17,1)=":",IFERROR(INT(MID(metadata!C915,18,1))&gt;=0,FALSE),IFERROR(INT(MID(metadata!C915,18,1))&lt;=5,FALSE),NOT(MID(metadata!C915,19,1)=""),IFERROR(INT(MID(metadata!C915,18,2))&gt;=0,FALSE),IFERROR(INT(MID(metadata!C915,18,2))&lt;=59,FALSE)), LEN(metadata!C915)&lt;=19)))))))))))))</f>
        <v>0</v>
      </c>
      <c r="AD915">
        <f>IF(metadata!D915="",FALSE,TRUE)</f>
        <v>0</v>
      </c>
      <c r="AE915">
        <f>OR(AND(IF(metadata!E915="",FALSE,TRUE),OR(exact(metadata!E915,"missing: not collected"),exact(metadata!E915,"missing: not provided"))),AND(IF(metadata!E915="",FALSE,TRUE),OR(exact(metadata!E915,"TRUE"),exact(metadata!E915,"FALSE"))))</f>
        <v>0</v>
      </c>
      <c r="AF915">
        <f>IF(metadata!F915="",FALSE,TRUE)</f>
        <v>0</v>
      </c>
      <c r="AG915">
        <f>IF(metadata!G915="",FALSE,TRUE)</f>
        <v>0</v>
      </c>
      <c r="AH915">
        <f>IF(metadata!H915="",FALSE,TRUE)</f>
        <v>0</v>
      </c>
      <c r="AI915">
        <f>OR(AND(IF(metadata!I915="",FALSE,TRUE),OR(exact(metadata!I915,"missing: not collected"),exact(metadata!I915,"missing: not provided"),exact(metadata!I915,"missing: restricted access"))),AND(IF(metadata!I915="",FALSE,TRUE),OR(exact(metadata!I915,"air"),exact(metadata!I915,"built environment"),exact(metadata!I915,"host-associated"),exact(metadata!I915,"human-associated"),exact(metadata!I915,"human-skin"),exact(metadata!I915,"human-oral"),exact(metadata!I915,"human-gut"),exact(metadata!I915,"human-vaginal"),exact(metadata!I915,"microbial mat/biofilm"),exact(metadata!I915,"misc environment"),exact(metadata!I915,"plant-associated"),exact(metadata!I915,"sediment"),exact(metadata!I915,"soil"),exact(metadata!I915,"wastewater/sludge"),exact(metadata!I915,"water"))))</f>
        <v>0</v>
      </c>
      <c r="AJ915">
        <f>IF(metadata!J915="",FALSE,TRUE)</f>
        <v>0</v>
      </c>
      <c r="AK915">
        <f>OR(AND(IF(metadata!K915="",FALSE,TRUE),OR(exact(metadata!K915,"missing: not collected"),exact(metadata!K915,"missing: not provided"),exact(metadata!K915,"missing: restricted access"))),AND(IF(metadata!K915="",FALSE,ISNUMBER(VALUE(metadata!K915))),metadata!K915&gt;=-90.00,metadata!K915&lt;=90.00))</f>
        <v>0</v>
      </c>
      <c r="AL915">
        <f>OR(AND(IF(metadata!L915="",FALSE,TRUE),OR(exact(metadata!L915,"missing: not collected"),exact(metadata!L915,"missing: not provided"),exact(metadata!L915,"missing: restricted access"))),AND(IF(metadata!L915="",FALSE,ISNUMBER(VALUE(metadata!L915))),metadata!L915&gt;=-180.00,metadata!L915&lt;=180.00))</f>
        <v>0</v>
      </c>
      <c r="AM915">
        <f>IF(metadata!M915="",FALSE,TRUE)</f>
        <v>0</v>
      </c>
      <c r="AN915">
        <f>OR(AND(IF(metadata!N915="",FALSE,TRUE),OR(exact(metadata!N915,"missing: not collected"),exact(metadata!N915,"missing: not provided"),exact(metadata!N915,"missing: restricted access"))),AND(IF(metadata!N915="",FALSE,TRUE),OR(exact(metadata!N915,"TRUE"),exact(metadata!N915,"FALSE"))))</f>
        <v>0</v>
      </c>
      <c r="AO915">
        <f>IF(metadata!O915="",FALSE,TRUE)</f>
        <v>0</v>
      </c>
      <c r="AP915">
        <f>OR(AND(IF(metadata!P915="",FALSE,TRUE),OR(exact(metadata!P915,"missing: not collected"),exact(metadata!P915,"missing: not provided"))),AND(IF(metadata!P915="",FALSE,IF(ISERROR(INT(metadata!P915)),FALSE,INT(metadata!P915)=metadata!P915)),metadata!P915&gt;0))</f>
        <v>0</v>
      </c>
      <c r="AQ915">
        <f>IF(metadata!Q915="",FALSE,TRUE)</f>
        <v>0</v>
      </c>
    </row>
    <row r="916" spans="1:43">
      <c r="A916" s="5">
        <f>IF(B916=" "," ",HYPERLINK(CONCATENATE("#metadata!",ADDRESS(INDEX($W$2:$W$1001,MATCH(ROWS($U$2:U916),$U$2:$U$1001,0),0),1)),INDEX($Z$2:$Z$1001,MATCH(ROWS($U$2:U916),$U$2:$U$1001,0),0)))</f>
        <v>0</v>
      </c>
      <c r="B916" s="4">
        <f>IF(OR(INDEX($V$2:$V$1001,MATCH(ROWS($U$2:U916),$U$2:$U$1001,0),1)&gt;=100000,INDEX($AB$1005:$AQ$1005,1,MATCH(COLUMNS($AB$1006:AB1006),$AB$1006:$AQ$1006,0))&gt;=100000), " ",IF(INDEX($AB$2:$AQ$1001,MATCH(ROWS($U$2:U916),$U$2:$U$1001,0),MATCH(COLUMNS($AB$1006:AB1006),$AB$1006:$AQ$1006,0)), HYPERLINK("#",""), HYPERLINK(CONCATENATE("#metadata!", ADDRESS(INDEX($W$2:$W$1001,MATCH(ROWS($U$2:U916),$U$2:$U$1001,0),0), INDEX($AB$1004:$AQ$1004,1,MATCH(COLUMNS($AB$1006:AB1006),$AB$1006:$AQ$1006,0)))),"Fix")))</f>
        <v>0</v>
      </c>
      <c r="C916" s="4">
        <f>IF(OR(INDEX($V$2:$V$1001,MATCH(ROWS($U$2:U916),$U$2:$U$1001,0),1)&gt;=100000,INDEX($AB$1005:$AQ$1005,1,MATCH(COLUMNS($AB$1006:AC1006),$AB$1006:$AQ$1006,0))&gt;=100000), " ",IF(INDEX($AB$2:$AQ$1001,MATCH(ROWS($U$2:U916),$U$2:$U$1001,0),MATCH(COLUMNS($AB$1006:AC1006),$AB$1006:$AQ$1006,0)), HYPERLINK("#",""), HYPERLINK(CONCATENATE("#metadata!", ADDRESS(INDEX($W$2:$W$1001,MATCH(ROWS($U$2:U916),$U$2:$U$1001,0),0), INDEX($AB$1004:$AQ$1004,1,MATCH(COLUMNS($AB$1006:AC1006),$AB$1006:$AQ$1006,0)))),"Fix")))</f>
        <v>0</v>
      </c>
      <c r="D916" s="4">
        <f>IF(OR(INDEX($V$2:$V$1001,MATCH(ROWS($U$2:U916),$U$2:$U$1001,0),1)&gt;=100000,INDEX($AB$1005:$AQ$1005,1,MATCH(COLUMNS($AB$1006:AD1006),$AB$1006:$AQ$1006,0))&gt;=100000), " ",IF(INDEX($AB$2:$AQ$1001,MATCH(ROWS($U$2:U916),$U$2:$U$1001,0),MATCH(COLUMNS($AB$1006:AD1006),$AB$1006:$AQ$1006,0)), HYPERLINK("#",""), HYPERLINK(CONCATENATE("#metadata!", ADDRESS(INDEX($W$2:$W$1001,MATCH(ROWS($U$2:U916),$U$2:$U$1001,0),0), INDEX($AB$1004:$AQ$1004,1,MATCH(COLUMNS($AB$1006:AD1006),$AB$1006:$AQ$1006,0)))),"Fix")))</f>
        <v>0</v>
      </c>
      <c r="E916" s="4">
        <f>IF(OR(INDEX($V$2:$V$1001,MATCH(ROWS($U$2:U916),$U$2:$U$1001,0),1)&gt;=100000,INDEX($AB$1005:$AQ$1005,1,MATCH(COLUMNS($AB$1006:AE1006),$AB$1006:$AQ$1006,0))&gt;=100000), " ",IF(INDEX($AB$2:$AQ$1001,MATCH(ROWS($U$2:U916),$U$2:$U$1001,0),MATCH(COLUMNS($AB$1006:AE1006),$AB$1006:$AQ$1006,0)), HYPERLINK("#",""), HYPERLINK(CONCATENATE("#metadata!", ADDRESS(INDEX($W$2:$W$1001,MATCH(ROWS($U$2:U916),$U$2:$U$1001,0),0), INDEX($AB$1004:$AQ$1004,1,MATCH(COLUMNS($AB$1006:AE1006),$AB$1006:$AQ$1006,0)))),"Fix")))</f>
        <v>0</v>
      </c>
      <c r="F916" s="4">
        <f>IF(OR(INDEX($V$2:$V$1001,MATCH(ROWS($U$2:U916),$U$2:$U$1001,0),1)&gt;=100000,INDEX($AB$1005:$AQ$1005,1,MATCH(COLUMNS($AB$1006:AF1006),$AB$1006:$AQ$1006,0))&gt;=100000), " ",IF(INDEX($AB$2:$AQ$1001,MATCH(ROWS($U$2:U916),$U$2:$U$1001,0),MATCH(COLUMNS($AB$1006:AF1006),$AB$1006:$AQ$1006,0)), HYPERLINK("#",""), HYPERLINK(CONCATENATE("#metadata!", ADDRESS(INDEX($W$2:$W$1001,MATCH(ROWS($U$2:U916),$U$2:$U$1001,0),0), INDEX($AB$1004:$AQ$1004,1,MATCH(COLUMNS($AB$1006:AF1006),$AB$1006:$AQ$1006,0)))),"Fix")))</f>
        <v>0</v>
      </c>
      <c r="G916" s="4">
        <f>IF(OR(INDEX($V$2:$V$1001,MATCH(ROWS($U$2:U916),$U$2:$U$1001,0),1)&gt;=100000,INDEX($AB$1005:$AQ$1005,1,MATCH(COLUMNS($AB$1006:AG1006),$AB$1006:$AQ$1006,0))&gt;=100000), " ",IF(INDEX($AB$2:$AQ$1001,MATCH(ROWS($U$2:U916),$U$2:$U$1001,0),MATCH(COLUMNS($AB$1006:AG1006),$AB$1006:$AQ$1006,0)), HYPERLINK("#",""), HYPERLINK(CONCATENATE("#metadata!", ADDRESS(INDEX($W$2:$W$1001,MATCH(ROWS($U$2:U916),$U$2:$U$1001,0),0), INDEX($AB$1004:$AQ$1004,1,MATCH(COLUMNS($AB$1006:AG1006),$AB$1006:$AQ$1006,0)))),"Fix")))</f>
        <v>0</v>
      </c>
      <c r="H916" s="4">
        <f>IF(OR(INDEX($V$2:$V$1001,MATCH(ROWS($U$2:U916),$U$2:$U$1001,0),1)&gt;=100000,INDEX($AB$1005:$AQ$1005,1,MATCH(COLUMNS($AB$1006:AH1006),$AB$1006:$AQ$1006,0))&gt;=100000), " ",IF(INDEX($AB$2:$AQ$1001,MATCH(ROWS($U$2:U916),$U$2:$U$1001,0),MATCH(COLUMNS($AB$1006:AH1006),$AB$1006:$AQ$1006,0)), HYPERLINK("#",""), HYPERLINK(CONCATENATE("#metadata!", ADDRESS(INDEX($W$2:$W$1001,MATCH(ROWS($U$2:U916),$U$2:$U$1001,0),0), INDEX($AB$1004:$AQ$1004,1,MATCH(COLUMNS($AB$1006:AH1006),$AB$1006:$AQ$1006,0)))),"Fix")))</f>
        <v>0</v>
      </c>
      <c r="I916" s="4">
        <f>IF(OR(INDEX($V$2:$V$1001,MATCH(ROWS($U$2:U916),$U$2:$U$1001,0),1)&gt;=100000,INDEX($AB$1005:$AQ$1005,1,MATCH(COLUMNS($AB$1006:AI1006),$AB$1006:$AQ$1006,0))&gt;=100000), " ",IF(INDEX($AB$2:$AQ$1001,MATCH(ROWS($U$2:U916),$U$2:$U$1001,0),MATCH(COLUMNS($AB$1006:AI1006),$AB$1006:$AQ$1006,0)), HYPERLINK("#",""), HYPERLINK(CONCATENATE("#metadata!", ADDRESS(INDEX($W$2:$W$1001,MATCH(ROWS($U$2:U916),$U$2:$U$1001,0),0), INDEX($AB$1004:$AQ$1004,1,MATCH(COLUMNS($AB$1006:AI1006),$AB$1006:$AQ$1006,0)))),"Fix")))</f>
        <v>0</v>
      </c>
      <c r="J916" s="4">
        <f>IF(OR(INDEX($V$2:$V$1001,MATCH(ROWS($U$2:U916),$U$2:$U$1001,0),1)&gt;=100000,INDEX($AB$1005:$AQ$1005,1,MATCH(COLUMNS($AB$1006:AJ1006),$AB$1006:$AQ$1006,0))&gt;=100000), " ",IF(INDEX($AB$2:$AQ$1001,MATCH(ROWS($U$2:U916),$U$2:$U$1001,0),MATCH(COLUMNS($AB$1006:AJ1006),$AB$1006:$AQ$1006,0)), HYPERLINK("#",""), HYPERLINK(CONCATENATE("#metadata!", ADDRESS(INDEX($W$2:$W$1001,MATCH(ROWS($U$2:U916),$U$2:$U$1001,0),0), INDEX($AB$1004:$AQ$1004,1,MATCH(COLUMNS($AB$1006:AJ1006),$AB$1006:$AQ$1006,0)))),"Fix")))</f>
        <v>0</v>
      </c>
      <c r="K916" s="4">
        <f>IF(OR(INDEX($V$2:$V$1001,MATCH(ROWS($U$2:U916),$U$2:$U$1001,0),1)&gt;=100000,INDEX($AB$1005:$AQ$1005,1,MATCH(COLUMNS($AB$1006:AK1006),$AB$1006:$AQ$1006,0))&gt;=100000), " ",IF(INDEX($AB$2:$AQ$1001,MATCH(ROWS($U$2:U916),$U$2:$U$1001,0),MATCH(COLUMNS($AB$1006:AK1006),$AB$1006:$AQ$1006,0)), HYPERLINK("#",""), HYPERLINK(CONCATENATE("#metadata!", ADDRESS(INDEX($W$2:$W$1001,MATCH(ROWS($U$2:U916),$U$2:$U$1001,0),0), INDEX($AB$1004:$AQ$1004,1,MATCH(COLUMNS($AB$1006:AK1006),$AB$1006:$AQ$1006,0)))),"Fix")))</f>
        <v>0</v>
      </c>
      <c r="L916" s="4">
        <f>IF(OR(INDEX($V$2:$V$1001,MATCH(ROWS($U$2:U916),$U$2:$U$1001,0),1)&gt;=100000,INDEX($AB$1005:$AQ$1005,1,MATCH(COLUMNS($AB$1006:AL1006),$AB$1006:$AQ$1006,0))&gt;=100000), " ",IF(INDEX($AB$2:$AQ$1001,MATCH(ROWS($U$2:U916),$U$2:$U$1001,0),MATCH(COLUMNS($AB$1006:AL1006),$AB$1006:$AQ$1006,0)), HYPERLINK("#",""), HYPERLINK(CONCATENATE("#metadata!", ADDRESS(INDEX($W$2:$W$1001,MATCH(ROWS($U$2:U916),$U$2:$U$1001,0),0), INDEX($AB$1004:$AQ$1004,1,MATCH(COLUMNS($AB$1006:AL1006),$AB$1006:$AQ$1006,0)))),"Fix")))</f>
        <v>0</v>
      </c>
      <c r="M916" s="4">
        <f>IF(OR(INDEX($V$2:$V$1001,MATCH(ROWS($U$2:U916),$U$2:$U$1001,0),1)&gt;=100000,INDEX($AB$1005:$AQ$1005,1,MATCH(COLUMNS($AB$1006:AM1006),$AB$1006:$AQ$1006,0))&gt;=100000), " ",IF(INDEX($AB$2:$AQ$1001,MATCH(ROWS($U$2:U916),$U$2:$U$1001,0),MATCH(COLUMNS($AB$1006:AM1006),$AB$1006:$AQ$1006,0)), HYPERLINK("#",""), HYPERLINK(CONCATENATE("#metadata!", ADDRESS(INDEX($W$2:$W$1001,MATCH(ROWS($U$2:U916),$U$2:$U$1001,0),0), INDEX($AB$1004:$AQ$1004,1,MATCH(COLUMNS($AB$1006:AM1006),$AB$1006:$AQ$1006,0)))),"Fix")))</f>
        <v>0</v>
      </c>
      <c r="N916" s="4">
        <f>IF(OR(INDEX($V$2:$V$1001,MATCH(ROWS($U$2:U916),$U$2:$U$1001,0),1)&gt;=100000,INDEX($AB$1005:$AQ$1005,1,MATCH(COLUMNS($AB$1006:AN1006),$AB$1006:$AQ$1006,0))&gt;=100000), " ",IF(INDEX($AB$2:$AQ$1001,MATCH(ROWS($U$2:U916),$U$2:$U$1001,0),MATCH(COLUMNS($AB$1006:AN1006),$AB$1006:$AQ$1006,0)), HYPERLINK("#",""), HYPERLINK(CONCATENATE("#metadata!", ADDRESS(INDEX($W$2:$W$1001,MATCH(ROWS($U$2:U916),$U$2:$U$1001,0),0), INDEX($AB$1004:$AQ$1004,1,MATCH(COLUMNS($AB$1006:AN1006),$AB$1006:$AQ$1006,0)))),"Fix")))</f>
        <v>0</v>
      </c>
      <c r="O916" s="4">
        <f>IF(OR(INDEX($V$2:$V$1001,MATCH(ROWS($U$2:U916),$U$2:$U$1001,0),1)&gt;=100000,INDEX($AB$1005:$AQ$1005,1,MATCH(COLUMNS($AB$1006:AO1006),$AB$1006:$AQ$1006,0))&gt;=100000), " ",IF(INDEX($AB$2:$AQ$1001,MATCH(ROWS($U$2:U916),$U$2:$U$1001,0),MATCH(COLUMNS($AB$1006:AO1006),$AB$1006:$AQ$1006,0)), HYPERLINK("#",""), HYPERLINK(CONCATENATE("#metadata!", ADDRESS(INDEX($W$2:$W$1001,MATCH(ROWS($U$2:U916),$U$2:$U$1001,0),0), INDEX($AB$1004:$AQ$1004,1,MATCH(COLUMNS($AB$1006:AO1006),$AB$1006:$AQ$1006,0)))),"Fix")))</f>
        <v>0</v>
      </c>
      <c r="P916" s="4">
        <f>IF(OR(INDEX($V$2:$V$1001,MATCH(ROWS($U$2:U916),$U$2:$U$1001,0),1)&gt;=100000,INDEX($AB$1005:$AQ$1005,1,MATCH(COLUMNS($AB$1006:AP1006),$AB$1006:$AQ$1006,0))&gt;=100000), " ",IF(INDEX($AB$2:$AQ$1001,MATCH(ROWS($U$2:U916),$U$2:$U$1001,0),MATCH(COLUMNS($AB$1006:AP1006),$AB$1006:$AQ$1006,0)), HYPERLINK("#",""), HYPERLINK(CONCATENATE("#metadata!", ADDRESS(INDEX($W$2:$W$1001,MATCH(ROWS($U$2:U916),$U$2:$U$1001,0),0), INDEX($AB$1004:$AQ$1004,1,MATCH(COLUMNS($AB$1006:AP1006),$AB$1006:$AQ$1006,0)))),"Fix")))</f>
        <v>0</v>
      </c>
      <c r="Q916" s="4">
        <f>IF(OR(INDEX($V$2:$V$1001,MATCH(ROWS($U$2:U916),$U$2:$U$1001,0),1)&gt;=100000,INDEX($AB$1005:$AQ$1005,1,MATCH(COLUMNS($AB$1006:AQ1006),$AB$1006:$AQ$1006,0))&gt;=100000), " ",IF(INDEX($AB$2:$AQ$1001,MATCH(ROWS($U$2:U916),$U$2:$U$1001,0),MATCH(COLUMNS($AB$1006:AQ1006),$AB$1006:$AQ$1006,0)), HYPERLINK("#",""), HYPERLINK(CONCATENATE("#metadata!", ADDRESS(INDEX($W$2:$W$1001,MATCH(ROWS($U$2:U916),$U$2:$U$1001,0),0), INDEX($AB$1004:$AQ$1004,1,MATCH(COLUMNS($AB$1006:AQ1006),$AB$1006:$AQ$1006,0)))),"Fix")))</f>
        <v>0</v>
      </c>
      <c r="U916">
        <v>0</v>
      </c>
      <c r="V916">
        <v>0</v>
      </c>
      <c r="W916">
        <v>0</v>
      </c>
      <c r="X916">
        <f>IF(Y916,TRUE,AND(AB916:AQ916))</f>
        <v>0</v>
      </c>
      <c r="Y916">
        <f>COUNTBLANK(metadata!B916:Q916)=COLUMNS(metadata!B916:Q916)</f>
        <v>0</v>
      </c>
      <c r="Z916">
        <v>0</v>
      </c>
      <c r="AB916">
        <f>AND(IF(metadata!B916="",FALSE,TRUE),COUNTIF(metadata!B:B, metadata!B916) = 1,NOT(ISERROR(SUMPRODUCT(SEARCH(MID(metadata!B916,ROW(INDIRECT("1:"&amp;LEN(metadata!B916))), 1),"0123456789abcdefghijklmnopqrstuvwxyzABCDEFGHIJKLMNOPQRSTUVWXYZ.")))))</f>
        <v>0</v>
      </c>
      <c r="AC916">
        <f>OR(AND(IF(metadata!C916="",FALSE,TRUE),OR(exact(metadata!C916,"missing: not collected"),exact(metadata!C916,"missing: not provided"),exact(metadata!C916,"missing: restricted access"))),AND(IF(metadata!C916="",FALSE,TRUE),AND(AND(IFERROR(INT(LEFT(metadata!C916,4))&gt;1900,FALSE),IFERROR(INT(LEFT(metadata!C916,4))&lt;=YEAR(NOW()),FALSE)), OR(MID(metadata!C916,5,1)="", AND(AND(MID(metadata!C916,5,1)="-",IFERROR(INT(MID(metadata!C916,6,1))&gt;=0,FALSE),IFERROR(INT(MID(metadata!C916,6,1))&lt;=1,FALSE),NOT(MID(metadata!C916,7,1)=""),IFERROR(INT(MID(metadata!C916,6,2))&gt;=1,FALSE),IFERROR(INT(MID(metadata!C916,6,2))&lt;=12,FALSE)), OR(MID(metadata!C916,8,1)="", AND(AND(MID(metadata!C916,8,1)="-",IFERROR(INT(MID(metadata!C916,9,1))&gt;=0,FALSE),IFERROR(INT(MID(metadata!C916,9,1))&lt;=3,FALSE),NOT(MID(metadata!C916,10,1)=""),IFERROR(INT(MID(metadata!C916,9,2))&gt;=1,FALSE),IFERROR(INT(MID(metadata!C916,9,2))&lt;=31,FALSE)), OR(MID(metadata!C916,11,1)="", AND(AND(MID(metadata!C916,11,1)=" ",IFERROR(INT(MID(metadata!C916,12,1))&gt;=0,FALSE),IFERROR(INT(MID(metadata!C916,12,1))&lt;=2,FALSE),NOT(MID(metadata!C916,13,1)=""),IFERROR(INT(MID(metadata!C916,12,2))&gt;=0,FALSE),IFERROR(INT(MID(metadata!C916,12,2))&lt;=23,FALSE)), OR(MID(metadata!C916,14,1)="", AND(AND(MID(metadata!C916,14,1)=":",IFERROR(INT(MID(metadata!C916,15,1))&gt;=0,FALSE),IFERROR(INT(MID(metadata!C916,15,1))&lt;=5,FALSE),NOT(MID(metadata!C916,16,1)=""),IFERROR(INT(MID(metadata!C916,15,2))&gt;=0,FALSE),IFERROR(INT(MID(metadata!C916,15,2))&lt;=59,FALSE)), OR(MID(metadata!C916,17,1)="", AND(AND(MID(metadata!C916,17,1)=":",IFERROR(INT(MID(metadata!C916,18,1))&gt;=0,FALSE),IFERROR(INT(MID(metadata!C916,18,1))&lt;=5,FALSE),NOT(MID(metadata!C916,19,1)=""),IFERROR(INT(MID(metadata!C916,18,2))&gt;=0,FALSE),IFERROR(INT(MID(metadata!C916,18,2))&lt;=59,FALSE)), LEN(metadata!C916)&lt;=19)))))))))))))</f>
        <v>0</v>
      </c>
      <c r="AD916">
        <f>IF(metadata!D916="",FALSE,TRUE)</f>
        <v>0</v>
      </c>
      <c r="AE916">
        <f>OR(AND(IF(metadata!E916="",FALSE,TRUE),OR(exact(metadata!E916,"missing: not collected"),exact(metadata!E916,"missing: not provided"))),AND(IF(metadata!E916="",FALSE,TRUE),OR(exact(metadata!E916,"TRUE"),exact(metadata!E916,"FALSE"))))</f>
        <v>0</v>
      </c>
      <c r="AF916">
        <f>IF(metadata!F916="",FALSE,TRUE)</f>
        <v>0</v>
      </c>
      <c r="AG916">
        <f>IF(metadata!G916="",FALSE,TRUE)</f>
        <v>0</v>
      </c>
      <c r="AH916">
        <f>IF(metadata!H916="",FALSE,TRUE)</f>
        <v>0</v>
      </c>
      <c r="AI916">
        <f>OR(AND(IF(metadata!I916="",FALSE,TRUE),OR(exact(metadata!I916,"missing: not collected"),exact(metadata!I916,"missing: not provided"),exact(metadata!I916,"missing: restricted access"))),AND(IF(metadata!I916="",FALSE,TRUE),OR(exact(metadata!I916,"air"),exact(metadata!I916,"built environment"),exact(metadata!I916,"host-associated"),exact(metadata!I916,"human-associated"),exact(metadata!I916,"human-skin"),exact(metadata!I916,"human-oral"),exact(metadata!I916,"human-gut"),exact(metadata!I916,"human-vaginal"),exact(metadata!I916,"microbial mat/biofilm"),exact(metadata!I916,"misc environment"),exact(metadata!I916,"plant-associated"),exact(metadata!I916,"sediment"),exact(metadata!I916,"soil"),exact(metadata!I916,"wastewater/sludge"),exact(metadata!I916,"water"))))</f>
        <v>0</v>
      </c>
      <c r="AJ916">
        <f>IF(metadata!J916="",FALSE,TRUE)</f>
        <v>0</v>
      </c>
      <c r="AK916">
        <f>OR(AND(IF(metadata!K916="",FALSE,TRUE),OR(exact(metadata!K916,"missing: not collected"),exact(metadata!K916,"missing: not provided"),exact(metadata!K916,"missing: restricted access"))),AND(IF(metadata!K916="",FALSE,ISNUMBER(VALUE(metadata!K916))),metadata!K916&gt;=-90.00,metadata!K916&lt;=90.00))</f>
        <v>0</v>
      </c>
      <c r="AL916">
        <f>OR(AND(IF(metadata!L916="",FALSE,TRUE),OR(exact(metadata!L916,"missing: not collected"),exact(metadata!L916,"missing: not provided"),exact(metadata!L916,"missing: restricted access"))),AND(IF(metadata!L916="",FALSE,ISNUMBER(VALUE(metadata!L916))),metadata!L916&gt;=-180.00,metadata!L916&lt;=180.00))</f>
        <v>0</v>
      </c>
      <c r="AM916">
        <f>IF(metadata!M916="",FALSE,TRUE)</f>
        <v>0</v>
      </c>
      <c r="AN916">
        <f>OR(AND(IF(metadata!N916="",FALSE,TRUE),OR(exact(metadata!N916,"missing: not collected"),exact(metadata!N916,"missing: not provided"),exact(metadata!N916,"missing: restricted access"))),AND(IF(metadata!N916="",FALSE,TRUE),OR(exact(metadata!N916,"TRUE"),exact(metadata!N916,"FALSE"))))</f>
        <v>0</v>
      </c>
      <c r="AO916">
        <f>IF(metadata!O916="",FALSE,TRUE)</f>
        <v>0</v>
      </c>
      <c r="AP916">
        <f>OR(AND(IF(metadata!P916="",FALSE,TRUE),OR(exact(metadata!P916,"missing: not collected"),exact(metadata!P916,"missing: not provided"))),AND(IF(metadata!P916="",FALSE,IF(ISERROR(INT(metadata!P916)),FALSE,INT(metadata!P916)=metadata!P916)),metadata!P916&gt;0))</f>
        <v>0</v>
      </c>
      <c r="AQ916">
        <f>IF(metadata!Q916="",FALSE,TRUE)</f>
        <v>0</v>
      </c>
    </row>
    <row r="917" spans="1:43">
      <c r="A917" s="5">
        <f>IF(B917=" "," ",HYPERLINK(CONCATENATE("#metadata!",ADDRESS(INDEX($W$2:$W$1001,MATCH(ROWS($U$2:U917),$U$2:$U$1001,0),0),1)),INDEX($Z$2:$Z$1001,MATCH(ROWS($U$2:U917),$U$2:$U$1001,0),0)))</f>
        <v>0</v>
      </c>
      <c r="B917" s="4">
        <f>IF(OR(INDEX($V$2:$V$1001,MATCH(ROWS($U$2:U917),$U$2:$U$1001,0),1)&gt;=100000,INDEX($AB$1005:$AQ$1005,1,MATCH(COLUMNS($AB$1006:AB1006),$AB$1006:$AQ$1006,0))&gt;=100000), " ",IF(INDEX($AB$2:$AQ$1001,MATCH(ROWS($U$2:U917),$U$2:$U$1001,0),MATCH(COLUMNS($AB$1006:AB1006),$AB$1006:$AQ$1006,0)), HYPERLINK("#",""), HYPERLINK(CONCATENATE("#metadata!", ADDRESS(INDEX($W$2:$W$1001,MATCH(ROWS($U$2:U917),$U$2:$U$1001,0),0), INDEX($AB$1004:$AQ$1004,1,MATCH(COLUMNS($AB$1006:AB1006),$AB$1006:$AQ$1006,0)))),"Fix")))</f>
        <v>0</v>
      </c>
      <c r="C917" s="4">
        <f>IF(OR(INDEX($V$2:$V$1001,MATCH(ROWS($U$2:U917),$U$2:$U$1001,0),1)&gt;=100000,INDEX($AB$1005:$AQ$1005,1,MATCH(COLUMNS($AB$1006:AC1006),$AB$1006:$AQ$1006,0))&gt;=100000), " ",IF(INDEX($AB$2:$AQ$1001,MATCH(ROWS($U$2:U917),$U$2:$U$1001,0),MATCH(COLUMNS($AB$1006:AC1006),$AB$1006:$AQ$1006,0)), HYPERLINK("#",""), HYPERLINK(CONCATENATE("#metadata!", ADDRESS(INDEX($W$2:$W$1001,MATCH(ROWS($U$2:U917),$U$2:$U$1001,0),0), INDEX($AB$1004:$AQ$1004,1,MATCH(COLUMNS($AB$1006:AC1006),$AB$1006:$AQ$1006,0)))),"Fix")))</f>
        <v>0</v>
      </c>
      <c r="D917" s="4">
        <f>IF(OR(INDEX($V$2:$V$1001,MATCH(ROWS($U$2:U917),$U$2:$U$1001,0),1)&gt;=100000,INDEX($AB$1005:$AQ$1005,1,MATCH(COLUMNS($AB$1006:AD1006),$AB$1006:$AQ$1006,0))&gt;=100000), " ",IF(INDEX($AB$2:$AQ$1001,MATCH(ROWS($U$2:U917),$U$2:$U$1001,0),MATCH(COLUMNS($AB$1006:AD1006),$AB$1006:$AQ$1006,0)), HYPERLINK("#",""), HYPERLINK(CONCATENATE("#metadata!", ADDRESS(INDEX($W$2:$W$1001,MATCH(ROWS($U$2:U917),$U$2:$U$1001,0),0), INDEX($AB$1004:$AQ$1004,1,MATCH(COLUMNS($AB$1006:AD1006),$AB$1006:$AQ$1006,0)))),"Fix")))</f>
        <v>0</v>
      </c>
      <c r="E917" s="4">
        <f>IF(OR(INDEX($V$2:$V$1001,MATCH(ROWS($U$2:U917),$U$2:$U$1001,0),1)&gt;=100000,INDEX($AB$1005:$AQ$1005,1,MATCH(COLUMNS($AB$1006:AE1006),$AB$1006:$AQ$1006,0))&gt;=100000), " ",IF(INDEX($AB$2:$AQ$1001,MATCH(ROWS($U$2:U917),$U$2:$U$1001,0),MATCH(COLUMNS($AB$1006:AE1006),$AB$1006:$AQ$1006,0)), HYPERLINK("#",""), HYPERLINK(CONCATENATE("#metadata!", ADDRESS(INDEX($W$2:$W$1001,MATCH(ROWS($U$2:U917),$U$2:$U$1001,0),0), INDEX($AB$1004:$AQ$1004,1,MATCH(COLUMNS($AB$1006:AE1006),$AB$1006:$AQ$1006,0)))),"Fix")))</f>
        <v>0</v>
      </c>
      <c r="F917" s="4">
        <f>IF(OR(INDEX($V$2:$V$1001,MATCH(ROWS($U$2:U917),$U$2:$U$1001,0),1)&gt;=100000,INDEX($AB$1005:$AQ$1005,1,MATCH(COLUMNS($AB$1006:AF1006),$AB$1006:$AQ$1006,0))&gt;=100000), " ",IF(INDEX($AB$2:$AQ$1001,MATCH(ROWS($U$2:U917),$U$2:$U$1001,0),MATCH(COLUMNS($AB$1006:AF1006),$AB$1006:$AQ$1006,0)), HYPERLINK("#",""), HYPERLINK(CONCATENATE("#metadata!", ADDRESS(INDEX($W$2:$W$1001,MATCH(ROWS($U$2:U917),$U$2:$U$1001,0),0), INDEX($AB$1004:$AQ$1004,1,MATCH(COLUMNS($AB$1006:AF1006),$AB$1006:$AQ$1006,0)))),"Fix")))</f>
        <v>0</v>
      </c>
      <c r="G917" s="4">
        <f>IF(OR(INDEX($V$2:$V$1001,MATCH(ROWS($U$2:U917),$U$2:$U$1001,0),1)&gt;=100000,INDEX($AB$1005:$AQ$1005,1,MATCH(COLUMNS($AB$1006:AG1006),$AB$1006:$AQ$1006,0))&gt;=100000), " ",IF(INDEX($AB$2:$AQ$1001,MATCH(ROWS($U$2:U917),$U$2:$U$1001,0),MATCH(COLUMNS($AB$1006:AG1006),$AB$1006:$AQ$1006,0)), HYPERLINK("#",""), HYPERLINK(CONCATENATE("#metadata!", ADDRESS(INDEX($W$2:$W$1001,MATCH(ROWS($U$2:U917),$U$2:$U$1001,0),0), INDEX($AB$1004:$AQ$1004,1,MATCH(COLUMNS($AB$1006:AG1006),$AB$1006:$AQ$1006,0)))),"Fix")))</f>
        <v>0</v>
      </c>
      <c r="H917" s="4">
        <f>IF(OR(INDEX($V$2:$V$1001,MATCH(ROWS($U$2:U917),$U$2:$U$1001,0),1)&gt;=100000,INDEX($AB$1005:$AQ$1005,1,MATCH(COLUMNS($AB$1006:AH1006),$AB$1006:$AQ$1006,0))&gt;=100000), " ",IF(INDEX($AB$2:$AQ$1001,MATCH(ROWS($U$2:U917),$U$2:$U$1001,0),MATCH(COLUMNS($AB$1006:AH1006),$AB$1006:$AQ$1006,0)), HYPERLINK("#",""), HYPERLINK(CONCATENATE("#metadata!", ADDRESS(INDEX($W$2:$W$1001,MATCH(ROWS($U$2:U917),$U$2:$U$1001,0),0), INDEX($AB$1004:$AQ$1004,1,MATCH(COLUMNS($AB$1006:AH1006),$AB$1006:$AQ$1006,0)))),"Fix")))</f>
        <v>0</v>
      </c>
      <c r="I917" s="4">
        <f>IF(OR(INDEX($V$2:$V$1001,MATCH(ROWS($U$2:U917),$U$2:$U$1001,0),1)&gt;=100000,INDEX($AB$1005:$AQ$1005,1,MATCH(COLUMNS($AB$1006:AI1006),$AB$1006:$AQ$1006,0))&gt;=100000), " ",IF(INDEX($AB$2:$AQ$1001,MATCH(ROWS($U$2:U917),$U$2:$U$1001,0),MATCH(COLUMNS($AB$1006:AI1006),$AB$1006:$AQ$1006,0)), HYPERLINK("#",""), HYPERLINK(CONCATENATE("#metadata!", ADDRESS(INDEX($W$2:$W$1001,MATCH(ROWS($U$2:U917),$U$2:$U$1001,0),0), INDEX($AB$1004:$AQ$1004,1,MATCH(COLUMNS($AB$1006:AI1006),$AB$1006:$AQ$1006,0)))),"Fix")))</f>
        <v>0</v>
      </c>
      <c r="J917" s="4">
        <f>IF(OR(INDEX($V$2:$V$1001,MATCH(ROWS($U$2:U917),$U$2:$U$1001,0),1)&gt;=100000,INDEX($AB$1005:$AQ$1005,1,MATCH(COLUMNS($AB$1006:AJ1006),$AB$1006:$AQ$1006,0))&gt;=100000), " ",IF(INDEX($AB$2:$AQ$1001,MATCH(ROWS($U$2:U917),$U$2:$U$1001,0),MATCH(COLUMNS($AB$1006:AJ1006),$AB$1006:$AQ$1006,0)), HYPERLINK("#",""), HYPERLINK(CONCATENATE("#metadata!", ADDRESS(INDEX($W$2:$W$1001,MATCH(ROWS($U$2:U917),$U$2:$U$1001,0),0), INDEX($AB$1004:$AQ$1004,1,MATCH(COLUMNS($AB$1006:AJ1006),$AB$1006:$AQ$1006,0)))),"Fix")))</f>
        <v>0</v>
      </c>
      <c r="K917" s="4">
        <f>IF(OR(INDEX($V$2:$V$1001,MATCH(ROWS($U$2:U917),$U$2:$U$1001,0),1)&gt;=100000,INDEX($AB$1005:$AQ$1005,1,MATCH(COLUMNS($AB$1006:AK1006),$AB$1006:$AQ$1006,0))&gt;=100000), " ",IF(INDEX($AB$2:$AQ$1001,MATCH(ROWS($U$2:U917),$U$2:$U$1001,0),MATCH(COLUMNS($AB$1006:AK1006),$AB$1006:$AQ$1006,0)), HYPERLINK("#",""), HYPERLINK(CONCATENATE("#metadata!", ADDRESS(INDEX($W$2:$W$1001,MATCH(ROWS($U$2:U917),$U$2:$U$1001,0),0), INDEX($AB$1004:$AQ$1004,1,MATCH(COLUMNS($AB$1006:AK1006),$AB$1006:$AQ$1006,0)))),"Fix")))</f>
        <v>0</v>
      </c>
      <c r="L917" s="4">
        <f>IF(OR(INDEX($V$2:$V$1001,MATCH(ROWS($U$2:U917),$U$2:$U$1001,0),1)&gt;=100000,INDEX($AB$1005:$AQ$1005,1,MATCH(COLUMNS($AB$1006:AL1006),$AB$1006:$AQ$1006,0))&gt;=100000), " ",IF(INDEX($AB$2:$AQ$1001,MATCH(ROWS($U$2:U917),$U$2:$U$1001,0),MATCH(COLUMNS($AB$1006:AL1006),$AB$1006:$AQ$1006,0)), HYPERLINK("#",""), HYPERLINK(CONCATENATE("#metadata!", ADDRESS(INDEX($W$2:$W$1001,MATCH(ROWS($U$2:U917),$U$2:$U$1001,0),0), INDEX($AB$1004:$AQ$1004,1,MATCH(COLUMNS($AB$1006:AL1006),$AB$1006:$AQ$1006,0)))),"Fix")))</f>
        <v>0</v>
      </c>
      <c r="M917" s="4">
        <f>IF(OR(INDEX($V$2:$V$1001,MATCH(ROWS($U$2:U917),$U$2:$U$1001,0),1)&gt;=100000,INDEX($AB$1005:$AQ$1005,1,MATCH(COLUMNS($AB$1006:AM1006),$AB$1006:$AQ$1006,0))&gt;=100000), " ",IF(INDEX($AB$2:$AQ$1001,MATCH(ROWS($U$2:U917),$U$2:$U$1001,0),MATCH(COLUMNS($AB$1006:AM1006),$AB$1006:$AQ$1006,0)), HYPERLINK("#",""), HYPERLINK(CONCATENATE("#metadata!", ADDRESS(INDEX($W$2:$W$1001,MATCH(ROWS($U$2:U917),$U$2:$U$1001,0),0), INDEX($AB$1004:$AQ$1004,1,MATCH(COLUMNS($AB$1006:AM1006),$AB$1006:$AQ$1006,0)))),"Fix")))</f>
        <v>0</v>
      </c>
      <c r="N917" s="4">
        <f>IF(OR(INDEX($V$2:$V$1001,MATCH(ROWS($U$2:U917),$U$2:$U$1001,0),1)&gt;=100000,INDEX($AB$1005:$AQ$1005,1,MATCH(COLUMNS($AB$1006:AN1006),$AB$1006:$AQ$1006,0))&gt;=100000), " ",IF(INDEX($AB$2:$AQ$1001,MATCH(ROWS($U$2:U917),$U$2:$U$1001,0),MATCH(COLUMNS($AB$1006:AN1006),$AB$1006:$AQ$1006,0)), HYPERLINK("#",""), HYPERLINK(CONCATENATE("#metadata!", ADDRESS(INDEX($W$2:$W$1001,MATCH(ROWS($U$2:U917),$U$2:$U$1001,0),0), INDEX($AB$1004:$AQ$1004,1,MATCH(COLUMNS($AB$1006:AN1006),$AB$1006:$AQ$1006,0)))),"Fix")))</f>
        <v>0</v>
      </c>
      <c r="O917" s="4">
        <f>IF(OR(INDEX($V$2:$V$1001,MATCH(ROWS($U$2:U917),$U$2:$U$1001,0),1)&gt;=100000,INDEX($AB$1005:$AQ$1005,1,MATCH(COLUMNS($AB$1006:AO1006),$AB$1006:$AQ$1006,0))&gt;=100000), " ",IF(INDEX($AB$2:$AQ$1001,MATCH(ROWS($U$2:U917),$U$2:$U$1001,0),MATCH(COLUMNS($AB$1006:AO1006),$AB$1006:$AQ$1006,0)), HYPERLINK("#",""), HYPERLINK(CONCATENATE("#metadata!", ADDRESS(INDEX($W$2:$W$1001,MATCH(ROWS($U$2:U917),$U$2:$U$1001,0),0), INDEX($AB$1004:$AQ$1004,1,MATCH(COLUMNS($AB$1006:AO1006),$AB$1006:$AQ$1006,0)))),"Fix")))</f>
        <v>0</v>
      </c>
      <c r="P917" s="4">
        <f>IF(OR(INDEX($V$2:$V$1001,MATCH(ROWS($U$2:U917),$U$2:$U$1001,0),1)&gt;=100000,INDEX($AB$1005:$AQ$1005,1,MATCH(COLUMNS($AB$1006:AP1006),$AB$1006:$AQ$1006,0))&gt;=100000), " ",IF(INDEX($AB$2:$AQ$1001,MATCH(ROWS($U$2:U917),$U$2:$U$1001,0),MATCH(COLUMNS($AB$1006:AP1006),$AB$1006:$AQ$1006,0)), HYPERLINK("#",""), HYPERLINK(CONCATENATE("#metadata!", ADDRESS(INDEX($W$2:$W$1001,MATCH(ROWS($U$2:U917),$U$2:$U$1001,0),0), INDEX($AB$1004:$AQ$1004,1,MATCH(COLUMNS($AB$1006:AP1006),$AB$1006:$AQ$1006,0)))),"Fix")))</f>
        <v>0</v>
      </c>
      <c r="Q917" s="4">
        <f>IF(OR(INDEX($V$2:$V$1001,MATCH(ROWS($U$2:U917),$U$2:$U$1001,0),1)&gt;=100000,INDEX($AB$1005:$AQ$1005,1,MATCH(COLUMNS($AB$1006:AQ1006),$AB$1006:$AQ$1006,0))&gt;=100000), " ",IF(INDEX($AB$2:$AQ$1001,MATCH(ROWS($U$2:U917),$U$2:$U$1001,0),MATCH(COLUMNS($AB$1006:AQ1006),$AB$1006:$AQ$1006,0)), HYPERLINK("#",""), HYPERLINK(CONCATENATE("#metadata!", ADDRESS(INDEX($W$2:$W$1001,MATCH(ROWS($U$2:U917),$U$2:$U$1001,0),0), INDEX($AB$1004:$AQ$1004,1,MATCH(COLUMNS($AB$1006:AQ1006),$AB$1006:$AQ$1006,0)))),"Fix")))</f>
        <v>0</v>
      </c>
      <c r="U917">
        <v>0</v>
      </c>
      <c r="V917">
        <v>0</v>
      </c>
      <c r="W917">
        <v>0</v>
      </c>
      <c r="X917">
        <f>IF(Y917,TRUE,AND(AB917:AQ917))</f>
        <v>0</v>
      </c>
      <c r="Y917">
        <f>COUNTBLANK(metadata!B917:Q917)=COLUMNS(metadata!B917:Q917)</f>
        <v>0</v>
      </c>
      <c r="Z917">
        <v>0</v>
      </c>
      <c r="AB917">
        <f>AND(IF(metadata!B917="",FALSE,TRUE),COUNTIF(metadata!B:B, metadata!B917) = 1,NOT(ISERROR(SUMPRODUCT(SEARCH(MID(metadata!B917,ROW(INDIRECT("1:"&amp;LEN(metadata!B917))), 1),"0123456789abcdefghijklmnopqrstuvwxyzABCDEFGHIJKLMNOPQRSTUVWXYZ.")))))</f>
        <v>0</v>
      </c>
      <c r="AC917">
        <f>OR(AND(IF(metadata!C917="",FALSE,TRUE),OR(exact(metadata!C917,"missing: not collected"),exact(metadata!C917,"missing: not provided"),exact(metadata!C917,"missing: restricted access"))),AND(IF(metadata!C917="",FALSE,TRUE),AND(AND(IFERROR(INT(LEFT(metadata!C917,4))&gt;1900,FALSE),IFERROR(INT(LEFT(metadata!C917,4))&lt;=YEAR(NOW()),FALSE)), OR(MID(metadata!C917,5,1)="", AND(AND(MID(metadata!C917,5,1)="-",IFERROR(INT(MID(metadata!C917,6,1))&gt;=0,FALSE),IFERROR(INT(MID(metadata!C917,6,1))&lt;=1,FALSE),NOT(MID(metadata!C917,7,1)=""),IFERROR(INT(MID(metadata!C917,6,2))&gt;=1,FALSE),IFERROR(INT(MID(metadata!C917,6,2))&lt;=12,FALSE)), OR(MID(metadata!C917,8,1)="", AND(AND(MID(metadata!C917,8,1)="-",IFERROR(INT(MID(metadata!C917,9,1))&gt;=0,FALSE),IFERROR(INT(MID(metadata!C917,9,1))&lt;=3,FALSE),NOT(MID(metadata!C917,10,1)=""),IFERROR(INT(MID(metadata!C917,9,2))&gt;=1,FALSE),IFERROR(INT(MID(metadata!C917,9,2))&lt;=31,FALSE)), OR(MID(metadata!C917,11,1)="", AND(AND(MID(metadata!C917,11,1)=" ",IFERROR(INT(MID(metadata!C917,12,1))&gt;=0,FALSE),IFERROR(INT(MID(metadata!C917,12,1))&lt;=2,FALSE),NOT(MID(metadata!C917,13,1)=""),IFERROR(INT(MID(metadata!C917,12,2))&gt;=0,FALSE),IFERROR(INT(MID(metadata!C917,12,2))&lt;=23,FALSE)), OR(MID(metadata!C917,14,1)="", AND(AND(MID(metadata!C917,14,1)=":",IFERROR(INT(MID(metadata!C917,15,1))&gt;=0,FALSE),IFERROR(INT(MID(metadata!C917,15,1))&lt;=5,FALSE),NOT(MID(metadata!C917,16,1)=""),IFERROR(INT(MID(metadata!C917,15,2))&gt;=0,FALSE),IFERROR(INT(MID(metadata!C917,15,2))&lt;=59,FALSE)), OR(MID(metadata!C917,17,1)="", AND(AND(MID(metadata!C917,17,1)=":",IFERROR(INT(MID(metadata!C917,18,1))&gt;=0,FALSE),IFERROR(INT(MID(metadata!C917,18,1))&lt;=5,FALSE),NOT(MID(metadata!C917,19,1)=""),IFERROR(INT(MID(metadata!C917,18,2))&gt;=0,FALSE),IFERROR(INT(MID(metadata!C917,18,2))&lt;=59,FALSE)), LEN(metadata!C917)&lt;=19)))))))))))))</f>
        <v>0</v>
      </c>
      <c r="AD917">
        <f>IF(metadata!D917="",FALSE,TRUE)</f>
        <v>0</v>
      </c>
      <c r="AE917">
        <f>OR(AND(IF(metadata!E917="",FALSE,TRUE),OR(exact(metadata!E917,"missing: not collected"),exact(metadata!E917,"missing: not provided"))),AND(IF(metadata!E917="",FALSE,TRUE),OR(exact(metadata!E917,"TRUE"),exact(metadata!E917,"FALSE"))))</f>
        <v>0</v>
      </c>
      <c r="AF917">
        <f>IF(metadata!F917="",FALSE,TRUE)</f>
        <v>0</v>
      </c>
      <c r="AG917">
        <f>IF(metadata!G917="",FALSE,TRUE)</f>
        <v>0</v>
      </c>
      <c r="AH917">
        <f>IF(metadata!H917="",FALSE,TRUE)</f>
        <v>0</v>
      </c>
      <c r="AI917">
        <f>OR(AND(IF(metadata!I917="",FALSE,TRUE),OR(exact(metadata!I917,"missing: not collected"),exact(metadata!I917,"missing: not provided"),exact(metadata!I917,"missing: restricted access"))),AND(IF(metadata!I917="",FALSE,TRUE),OR(exact(metadata!I917,"air"),exact(metadata!I917,"built environment"),exact(metadata!I917,"host-associated"),exact(metadata!I917,"human-associated"),exact(metadata!I917,"human-skin"),exact(metadata!I917,"human-oral"),exact(metadata!I917,"human-gut"),exact(metadata!I917,"human-vaginal"),exact(metadata!I917,"microbial mat/biofilm"),exact(metadata!I917,"misc environment"),exact(metadata!I917,"plant-associated"),exact(metadata!I917,"sediment"),exact(metadata!I917,"soil"),exact(metadata!I917,"wastewater/sludge"),exact(metadata!I917,"water"))))</f>
        <v>0</v>
      </c>
      <c r="AJ917">
        <f>IF(metadata!J917="",FALSE,TRUE)</f>
        <v>0</v>
      </c>
      <c r="AK917">
        <f>OR(AND(IF(metadata!K917="",FALSE,TRUE),OR(exact(metadata!K917,"missing: not collected"),exact(metadata!K917,"missing: not provided"),exact(metadata!K917,"missing: restricted access"))),AND(IF(metadata!K917="",FALSE,ISNUMBER(VALUE(metadata!K917))),metadata!K917&gt;=-90.00,metadata!K917&lt;=90.00))</f>
        <v>0</v>
      </c>
      <c r="AL917">
        <f>OR(AND(IF(metadata!L917="",FALSE,TRUE),OR(exact(metadata!L917,"missing: not collected"),exact(metadata!L917,"missing: not provided"),exact(metadata!L917,"missing: restricted access"))),AND(IF(metadata!L917="",FALSE,ISNUMBER(VALUE(metadata!L917))),metadata!L917&gt;=-180.00,metadata!L917&lt;=180.00))</f>
        <v>0</v>
      </c>
      <c r="AM917">
        <f>IF(metadata!M917="",FALSE,TRUE)</f>
        <v>0</v>
      </c>
      <c r="AN917">
        <f>OR(AND(IF(metadata!N917="",FALSE,TRUE),OR(exact(metadata!N917,"missing: not collected"),exact(metadata!N917,"missing: not provided"),exact(metadata!N917,"missing: restricted access"))),AND(IF(metadata!N917="",FALSE,TRUE),OR(exact(metadata!N917,"TRUE"),exact(metadata!N917,"FALSE"))))</f>
        <v>0</v>
      </c>
      <c r="AO917">
        <f>IF(metadata!O917="",FALSE,TRUE)</f>
        <v>0</v>
      </c>
      <c r="AP917">
        <f>OR(AND(IF(metadata!P917="",FALSE,TRUE),OR(exact(metadata!P917,"missing: not collected"),exact(metadata!P917,"missing: not provided"))),AND(IF(metadata!P917="",FALSE,IF(ISERROR(INT(metadata!P917)),FALSE,INT(metadata!P917)=metadata!P917)),metadata!P917&gt;0))</f>
        <v>0</v>
      </c>
      <c r="AQ917">
        <f>IF(metadata!Q917="",FALSE,TRUE)</f>
        <v>0</v>
      </c>
    </row>
    <row r="918" spans="1:43">
      <c r="A918" s="5">
        <f>IF(B918=" "," ",HYPERLINK(CONCATENATE("#metadata!",ADDRESS(INDEX($W$2:$W$1001,MATCH(ROWS($U$2:U918),$U$2:$U$1001,0),0),1)),INDEX($Z$2:$Z$1001,MATCH(ROWS($U$2:U918),$U$2:$U$1001,0),0)))</f>
        <v>0</v>
      </c>
      <c r="B918" s="4">
        <f>IF(OR(INDEX($V$2:$V$1001,MATCH(ROWS($U$2:U918),$U$2:$U$1001,0),1)&gt;=100000,INDEX($AB$1005:$AQ$1005,1,MATCH(COLUMNS($AB$1006:AB1006),$AB$1006:$AQ$1006,0))&gt;=100000), " ",IF(INDEX($AB$2:$AQ$1001,MATCH(ROWS($U$2:U918),$U$2:$U$1001,0),MATCH(COLUMNS($AB$1006:AB1006),$AB$1006:$AQ$1006,0)), HYPERLINK("#",""), HYPERLINK(CONCATENATE("#metadata!", ADDRESS(INDEX($W$2:$W$1001,MATCH(ROWS($U$2:U918),$U$2:$U$1001,0),0), INDEX($AB$1004:$AQ$1004,1,MATCH(COLUMNS($AB$1006:AB1006),$AB$1006:$AQ$1006,0)))),"Fix")))</f>
        <v>0</v>
      </c>
      <c r="C918" s="4">
        <f>IF(OR(INDEX($V$2:$V$1001,MATCH(ROWS($U$2:U918),$U$2:$U$1001,0),1)&gt;=100000,INDEX($AB$1005:$AQ$1005,1,MATCH(COLUMNS($AB$1006:AC1006),$AB$1006:$AQ$1006,0))&gt;=100000), " ",IF(INDEX($AB$2:$AQ$1001,MATCH(ROWS($U$2:U918),$U$2:$U$1001,0),MATCH(COLUMNS($AB$1006:AC1006),$AB$1006:$AQ$1006,0)), HYPERLINK("#",""), HYPERLINK(CONCATENATE("#metadata!", ADDRESS(INDEX($W$2:$W$1001,MATCH(ROWS($U$2:U918),$U$2:$U$1001,0),0), INDEX($AB$1004:$AQ$1004,1,MATCH(COLUMNS($AB$1006:AC1006),$AB$1006:$AQ$1006,0)))),"Fix")))</f>
        <v>0</v>
      </c>
      <c r="D918" s="4">
        <f>IF(OR(INDEX($V$2:$V$1001,MATCH(ROWS($U$2:U918),$U$2:$U$1001,0),1)&gt;=100000,INDEX($AB$1005:$AQ$1005,1,MATCH(COLUMNS($AB$1006:AD1006),$AB$1006:$AQ$1006,0))&gt;=100000), " ",IF(INDEX($AB$2:$AQ$1001,MATCH(ROWS($U$2:U918),$U$2:$U$1001,0),MATCH(COLUMNS($AB$1006:AD1006),$AB$1006:$AQ$1006,0)), HYPERLINK("#",""), HYPERLINK(CONCATENATE("#metadata!", ADDRESS(INDEX($W$2:$W$1001,MATCH(ROWS($U$2:U918),$U$2:$U$1001,0),0), INDEX($AB$1004:$AQ$1004,1,MATCH(COLUMNS($AB$1006:AD1006),$AB$1006:$AQ$1006,0)))),"Fix")))</f>
        <v>0</v>
      </c>
      <c r="E918" s="4">
        <f>IF(OR(INDEX($V$2:$V$1001,MATCH(ROWS($U$2:U918),$U$2:$U$1001,0),1)&gt;=100000,INDEX($AB$1005:$AQ$1005,1,MATCH(COLUMNS($AB$1006:AE1006),$AB$1006:$AQ$1006,0))&gt;=100000), " ",IF(INDEX($AB$2:$AQ$1001,MATCH(ROWS($U$2:U918),$U$2:$U$1001,0),MATCH(COLUMNS($AB$1006:AE1006),$AB$1006:$AQ$1006,0)), HYPERLINK("#",""), HYPERLINK(CONCATENATE("#metadata!", ADDRESS(INDEX($W$2:$W$1001,MATCH(ROWS($U$2:U918),$U$2:$U$1001,0),0), INDEX($AB$1004:$AQ$1004,1,MATCH(COLUMNS($AB$1006:AE1006),$AB$1006:$AQ$1006,0)))),"Fix")))</f>
        <v>0</v>
      </c>
      <c r="F918" s="4">
        <f>IF(OR(INDEX($V$2:$V$1001,MATCH(ROWS($U$2:U918),$U$2:$U$1001,0),1)&gt;=100000,INDEX($AB$1005:$AQ$1005,1,MATCH(COLUMNS($AB$1006:AF1006),$AB$1006:$AQ$1006,0))&gt;=100000), " ",IF(INDEX($AB$2:$AQ$1001,MATCH(ROWS($U$2:U918),$U$2:$U$1001,0),MATCH(COLUMNS($AB$1006:AF1006),$AB$1006:$AQ$1006,0)), HYPERLINK("#",""), HYPERLINK(CONCATENATE("#metadata!", ADDRESS(INDEX($W$2:$W$1001,MATCH(ROWS($U$2:U918),$U$2:$U$1001,0),0), INDEX($AB$1004:$AQ$1004,1,MATCH(COLUMNS($AB$1006:AF1006),$AB$1006:$AQ$1006,0)))),"Fix")))</f>
        <v>0</v>
      </c>
      <c r="G918" s="4">
        <f>IF(OR(INDEX($V$2:$V$1001,MATCH(ROWS($U$2:U918),$U$2:$U$1001,0),1)&gt;=100000,INDEX($AB$1005:$AQ$1005,1,MATCH(COLUMNS($AB$1006:AG1006),$AB$1006:$AQ$1006,0))&gt;=100000), " ",IF(INDEX($AB$2:$AQ$1001,MATCH(ROWS($U$2:U918),$U$2:$U$1001,0),MATCH(COLUMNS($AB$1006:AG1006),$AB$1006:$AQ$1006,0)), HYPERLINK("#",""), HYPERLINK(CONCATENATE("#metadata!", ADDRESS(INDEX($W$2:$W$1001,MATCH(ROWS($U$2:U918),$U$2:$U$1001,0),0), INDEX($AB$1004:$AQ$1004,1,MATCH(COLUMNS($AB$1006:AG1006),$AB$1006:$AQ$1006,0)))),"Fix")))</f>
        <v>0</v>
      </c>
      <c r="H918" s="4">
        <f>IF(OR(INDEX($V$2:$V$1001,MATCH(ROWS($U$2:U918),$U$2:$U$1001,0),1)&gt;=100000,INDEX($AB$1005:$AQ$1005,1,MATCH(COLUMNS($AB$1006:AH1006),$AB$1006:$AQ$1006,0))&gt;=100000), " ",IF(INDEX($AB$2:$AQ$1001,MATCH(ROWS($U$2:U918),$U$2:$U$1001,0),MATCH(COLUMNS($AB$1006:AH1006),$AB$1006:$AQ$1006,0)), HYPERLINK("#",""), HYPERLINK(CONCATENATE("#metadata!", ADDRESS(INDEX($W$2:$W$1001,MATCH(ROWS($U$2:U918),$U$2:$U$1001,0),0), INDEX($AB$1004:$AQ$1004,1,MATCH(COLUMNS($AB$1006:AH1006),$AB$1006:$AQ$1006,0)))),"Fix")))</f>
        <v>0</v>
      </c>
      <c r="I918" s="4">
        <f>IF(OR(INDEX($V$2:$V$1001,MATCH(ROWS($U$2:U918),$U$2:$U$1001,0),1)&gt;=100000,INDEX($AB$1005:$AQ$1005,1,MATCH(COLUMNS($AB$1006:AI1006),$AB$1006:$AQ$1006,0))&gt;=100000), " ",IF(INDEX($AB$2:$AQ$1001,MATCH(ROWS($U$2:U918),$U$2:$U$1001,0),MATCH(COLUMNS($AB$1006:AI1006),$AB$1006:$AQ$1006,0)), HYPERLINK("#",""), HYPERLINK(CONCATENATE("#metadata!", ADDRESS(INDEX($W$2:$W$1001,MATCH(ROWS($U$2:U918),$U$2:$U$1001,0),0), INDEX($AB$1004:$AQ$1004,1,MATCH(COLUMNS($AB$1006:AI1006),$AB$1006:$AQ$1006,0)))),"Fix")))</f>
        <v>0</v>
      </c>
      <c r="J918" s="4">
        <f>IF(OR(INDEX($V$2:$V$1001,MATCH(ROWS($U$2:U918),$U$2:$U$1001,0),1)&gt;=100000,INDEX($AB$1005:$AQ$1005,1,MATCH(COLUMNS($AB$1006:AJ1006),$AB$1006:$AQ$1006,0))&gt;=100000), " ",IF(INDEX($AB$2:$AQ$1001,MATCH(ROWS($U$2:U918),$U$2:$U$1001,0),MATCH(COLUMNS($AB$1006:AJ1006),$AB$1006:$AQ$1006,0)), HYPERLINK("#",""), HYPERLINK(CONCATENATE("#metadata!", ADDRESS(INDEX($W$2:$W$1001,MATCH(ROWS($U$2:U918),$U$2:$U$1001,0),0), INDEX($AB$1004:$AQ$1004,1,MATCH(COLUMNS($AB$1006:AJ1006),$AB$1006:$AQ$1006,0)))),"Fix")))</f>
        <v>0</v>
      </c>
      <c r="K918" s="4">
        <f>IF(OR(INDEX($V$2:$V$1001,MATCH(ROWS($U$2:U918),$U$2:$U$1001,0),1)&gt;=100000,INDEX($AB$1005:$AQ$1005,1,MATCH(COLUMNS($AB$1006:AK1006),$AB$1006:$AQ$1006,0))&gt;=100000), " ",IF(INDEX($AB$2:$AQ$1001,MATCH(ROWS($U$2:U918),$U$2:$U$1001,0),MATCH(COLUMNS($AB$1006:AK1006),$AB$1006:$AQ$1006,0)), HYPERLINK("#",""), HYPERLINK(CONCATENATE("#metadata!", ADDRESS(INDEX($W$2:$W$1001,MATCH(ROWS($U$2:U918),$U$2:$U$1001,0),0), INDEX($AB$1004:$AQ$1004,1,MATCH(COLUMNS($AB$1006:AK1006),$AB$1006:$AQ$1006,0)))),"Fix")))</f>
        <v>0</v>
      </c>
      <c r="L918" s="4">
        <f>IF(OR(INDEX($V$2:$V$1001,MATCH(ROWS($U$2:U918),$U$2:$U$1001,0),1)&gt;=100000,INDEX($AB$1005:$AQ$1005,1,MATCH(COLUMNS($AB$1006:AL1006),$AB$1006:$AQ$1006,0))&gt;=100000), " ",IF(INDEX($AB$2:$AQ$1001,MATCH(ROWS($U$2:U918),$U$2:$U$1001,0),MATCH(COLUMNS($AB$1006:AL1006),$AB$1006:$AQ$1006,0)), HYPERLINK("#",""), HYPERLINK(CONCATENATE("#metadata!", ADDRESS(INDEX($W$2:$W$1001,MATCH(ROWS($U$2:U918),$U$2:$U$1001,0),0), INDEX($AB$1004:$AQ$1004,1,MATCH(COLUMNS($AB$1006:AL1006),$AB$1006:$AQ$1006,0)))),"Fix")))</f>
        <v>0</v>
      </c>
      <c r="M918" s="4">
        <f>IF(OR(INDEX($V$2:$V$1001,MATCH(ROWS($U$2:U918),$U$2:$U$1001,0),1)&gt;=100000,INDEX($AB$1005:$AQ$1005,1,MATCH(COLUMNS($AB$1006:AM1006),$AB$1006:$AQ$1006,0))&gt;=100000), " ",IF(INDEX($AB$2:$AQ$1001,MATCH(ROWS($U$2:U918),$U$2:$U$1001,0),MATCH(COLUMNS($AB$1006:AM1006),$AB$1006:$AQ$1006,0)), HYPERLINK("#",""), HYPERLINK(CONCATENATE("#metadata!", ADDRESS(INDEX($W$2:$W$1001,MATCH(ROWS($U$2:U918),$U$2:$U$1001,0),0), INDEX($AB$1004:$AQ$1004,1,MATCH(COLUMNS($AB$1006:AM1006),$AB$1006:$AQ$1006,0)))),"Fix")))</f>
        <v>0</v>
      </c>
      <c r="N918" s="4">
        <f>IF(OR(INDEX($V$2:$V$1001,MATCH(ROWS($U$2:U918),$U$2:$U$1001,0),1)&gt;=100000,INDEX($AB$1005:$AQ$1005,1,MATCH(COLUMNS($AB$1006:AN1006),$AB$1006:$AQ$1006,0))&gt;=100000), " ",IF(INDEX($AB$2:$AQ$1001,MATCH(ROWS($U$2:U918),$U$2:$U$1001,0),MATCH(COLUMNS($AB$1006:AN1006),$AB$1006:$AQ$1006,0)), HYPERLINK("#",""), HYPERLINK(CONCATENATE("#metadata!", ADDRESS(INDEX($W$2:$W$1001,MATCH(ROWS($U$2:U918),$U$2:$U$1001,0),0), INDEX($AB$1004:$AQ$1004,1,MATCH(COLUMNS($AB$1006:AN1006),$AB$1006:$AQ$1006,0)))),"Fix")))</f>
        <v>0</v>
      </c>
      <c r="O918" s="4">
        <f>IF(OR(INDEX($V$2:$V$1001,MATCH(ROWS($U$2:U918),$U$2:$U$1001,0),1)&gt;=100000,INDEX($AB$1005:$AQ$1005,1,MATCH(COLUMNS($AB$1006:AO1006),$AB$1006:$AQ$1006,0))&gt;=100000), " ",IF(INDEX($AB$2:$AQ$1001,MATCH(ROWS($U$2:U918),$U$2:$U$1001,0),MATCH(COLUMNS($AB$1006:AO1006),$AB$1006:$AQ$1006,0)), HYPERLINK("#",""), HYPERLINK(CONCATENATE("#metadata!", ADDRESS(INDEX($W$2:$W$1001,MATCH(ROWS($U$2:U918),$U$2:$U$1001,0),0), INDEX($AB$1004:$AQ$1004,1,MATCH(COLUMNS($AB$1006:AO1006),$AB$1006:$AQ$1006,0)))),"Fix")))</f>
        <v>0</v>
      </c>
      <c r="P918" s="4">
        <f>IF(OR(INDEX($V$2:$V$1001,MATCH(ROWS($U$2:U918),$U$2:$U$1001,0),1)&gt;=100000,INDEX($AB$1005:$AQ$1005,1,MATCH(COLUMNS($AB$1006:AP1006),$AB$1006:$AQ$1006,0))&gt;=100000), " ",IF(INDEX($AB$2:$AQ$1001,MATCH(ROWS($U$2:U918),$U$2:$U$1001,0),MATCH(COLUMNS($AB$1006:AP1006),$AB$1006:$AQ$1006,0)), HYPERLINK("#",""), HYPERLINK(CONCATENATE("#metadata!", ADDRESS(INDEX($W$2:$W$1001,MATCH(ROWS($U$2:U918),$U$2:$U$1001,0),0), INDEX($AB$1004:$AQ$1004,1,MATCH(COLUMNS($AB$1006:AP1006),$AB$1006:$AQ$1006,0)))),"Fix")))</f>
        <v>0</v>
      </c>
      <c r="Q918" s="4">
        <f>IF(OR(INDEX($V$2:$V$1001,MATCH(ROWS($U$2:U918),$U$2:$U$1001,0),1)&gt;=100000,INDEX($AB$1005:$AQ$1005,1,MATCH(COLUMNS($AB$1006:AQ1006),$AB$1006:$AQ$1006,0))&gt;=100000), " ",IF(INDEX($AB$2:$AQ$1001,MATCH(ROWS($U$2:U918),$U$2:$U$1001,0),MATCH(COLUMNS($AB$1006:AQ1006),$AB$1006:$AQ$1006,0)), HYPERLINK("#",""), HYPERLINK(CONCATENATE("#metadata!", ADDRESS(INDEX($W$2:$W$1001,MATCH(ROWS($U$2:U918),$U$2:$U$1001,0),0), INDEX($AB$1004:$AQ$1004,1,MATCH(COLUMNS($AB$1006:AQ1006),$AB$1006:$AQ$1006,0)))),"Fix")))</f>
        <v>0</v>
      </c>
      <c r="U918">
        <v>0</v>
      </c>
      <c r="V918">
        <v>0</v>
      </c>
      <c r="W918">
        <v>0</v>
      </c>
      <c r="X918">
        <f>IF(Y918,TRUE,AND(AB918:AQ918))</f>
        <v>0</v>
      </c>
      <c r="Y918">
        <f>COUNTBLANK(metadata!B918:Q918)=COLUMNS(metadata!B918:Q918)</f>
        <v>0</v>
      </c>
      <c r="Z918">
        <v>0</v>
      </c>
      <c r="AB918">
        <f>AND(IF(metadata!B918="",FALSE,TRUE),COUNTIF(metadata!B:B, metadata!B918) = 1,NOT(ISERROR(SUMPRODUCT(SEARCH(MID(metadata!B918,ROW(INDIRECT("1:"&amp;LEN(metadata!B918))), 1),"0123456789abcdefghijklmnopqrstuvwxyzABCDEFGHIJKLMNOPQRSTUVWXYZ.")))))</f>
        <v>0</v>
      </c>
      <c r="AC918">
        <f>OR(AND(IF(metadata!C918="",FALSE,TRUE),OR(exact(metadata!C918,"missing: not collected"),exact(metadata!C918,"missing: not provided"),exact(metadata!C918,"missing: restricted access"))),AND(IF(metadata!C918="",FALSE,TRUE),AND(AND(IFERROR(INT(LEFT(metadata!C918,4))&gt;1900,FALSE),IFERROR(INT(LEFT(metadata!C918,4))&lt;=YEAR(NOW()),FALSE)), OR(MID(metadata!C918,5,1)="", AND(AND(MID(metadata!C918,5,1)="-",IFERROR(INT(MID(metadata!C918,6,1))&gt;=0,FALSE),IFERROR(INT(MID(metadata!C918,6,1))&lt;=1,FALSE),NOT(MID(metadata!C918,7,1)=""),IFERROR(INT(MID(metadata!C918,6,2))&gt;=1,FALSE),IFERROR(INT(MID(metadata!C918,6,2))&lt;=12,FALSE)), OR(MID(metadata!C918,8,1)="", AND(AND(MID(metadata!C918,8,1)="-",IFERROR(INT(MID(metadata!C918,9,1))&gt;=0,FALSE),IFERROR(INT(MID(metadata!C918,9,1))&lt;=3,FALSE),NOT(MID(metadata!C918,10,1)=""),IFERROR(INT(MID(metadata!C918,9,2))&gt;=1,FALSE),IFERROR(INT(MID(metadata!C918,9,2))&lt;=31,FALSE)), OR(MID(metadata!C918,11,1)="", AND(AND(MID(metadata!C918,11,1)=" ",IFERROR(INT(MID(metadata!C918,12,1))&gt;=0,FALSE),IFERROR(INT(MID(metadata!C918,12,1))&lt;=2,FALSE),NOT(MID(metadata!C918,13,1)=""),IFERROR(INT(MID(metadata!C918,12,2))&gt;=0,FALSE),IFERROR(INT(MID(metadata!C918,12,2))&lt;=23,FALSE)), OR(MID(metadata!C918,14,1)="", AND(AND(MID(metadata!C918,14,1)=":",IFERROR(INT(MID(metadata!C918,15,1))&gt;=0,FALSE),IFERROR(INT(MID(metadata!C918,15,1))&lt;=5,FALSE),NOT(MID(metadata!C918,16,1)=""),IFERROR(INT(MID(metadata!C918,15,2))&gt;=0,FALSE),IFERROR(INT(MID(metadata!C918,15,2))&lt;=59,FALSE)), OR(MID(metadata!C918,17,1)="", AND(AND(MID(metadata!C918,17,1)=":",IFERROR(INT(MID(metadata!C918,18,1))&gt;=0,FALSE),IFERROR(INT(MID(metadata!C918,18,1))&lt;=5,FALSE),NOT(MID(metadata!C918,19,1)=""),IFERROR(INT(MID(metadata!C918,18,2))&gt;=0,FALSE),IFERROR(INT(MID(metadata!C918,18,2))&lt;=59,FALSE)), LEN(metadata!C918)&lt;=19)))))))))))))</f>
        <v>0</v>
      </c>
      <c r="AD918">
        <f>IF(metadata!D918="",FALSE,TRUE)</f>
        <v>0</v>
      </c>
      <c r="AE918">
        <f>OR(AND(IF(metadata!E918="",FALSE,TRUE),OR(exact(metadata!E918,"missing: not collected"),exact(metadata!E918,"missing: not provided"))),AND(IF(metadata!E918="",FALSE,TRUE),OR(exact(metadata!E918,"TRUE"),exact(metadata!E918,"FALSE"))))</f>
        <v>0</v>
      </c>
      <c r="AF918">
        <f>IF(metadata!F918="",FALSE,TRUE)</f>
        <v>0</v>
      </c>
      <c r="AG918">
        <f>IF(metadata!G918="",FALSE,TRUE)</f>
        <v>0</v>
      </c>
      <c r="AH918">
        <f>IF(metadata!H918="",FALSE,TRUE)</f>
        <v>0</v>
      </c>
      <c r="AI918">
        <f>OR(AND(IF(metadata!I918="",FALSE,TRUE),OR(exact(metadata!I918,"missing: not collected"),exact(metadata!I918,"missing: not provided"),exact(metadata!I918,"missing: restricted access"))),AND(IF(metadata!I918="",FALSE,TRUE),OR(exact(metadata!I918,"air"),exact(metadata!I918,"built environment"),exact(metadata!I918,"host-associated"),exact(metadata!I918,"human-associated"),exact(metadata!I918,"human-skin"),exact(metadata!I918,"human-oral"),exact(metadata!I918,"human-gut"),exact(metadata!I918,"human-vaginal"),exact(metadata!I918,"microbial mat/biofilm"),exact(metadata!I918,"misc environment"),exact(metadata!I918,"plant-associated"),exact(metadata!I918,"sediment"),exact(metadata!I918,"soil"),exact(metadata!I918,"wastewater/sludge"),exact(metadata!I918,"water"))))</f>
        <v>0</v>
      </c>
      <c r="AJ918">
        <f>IF(metadata!J918="",FALSE,TRUE)</f>
        <v>0</v>
      </c>
      <c r="AK918">
        <f>OR(AND(IF(metadata!K918="",FALSE,TRUE),OR(exact(metadata!K918,"missing: not collected"),exact(metadata!K918,"missing: not provided"),exact(metadata!K918,"missing: restricted access"))),AND(IF(metadata!K918="",FALSE,ISNUMBER(VALUE(metadata!K918))),metadata!K918&gt;=-90.00,metadata!K918&lt;=90.00))</f>
        <v>0</v>
      </c>
      <c r="AL918">
        <f>OR(AND(IF(metadata!L918="",FALSE,TRUE),OR(exact(metadata!L918,"missing: not collected"),exact(metadata!L918,"missing: not provided"),exact(metadata!L918,"missing: restricted access"))),AND(IF(metadata!L918="",FALSE,ISNUMBER(VALUE(metadata!L918))),metadata!L918&gt;=-180.00,metadata!L918&lt;=180.00))</f>
        <v>0</v>
      </c>
      <c r="AM918">
        <f>IF(metadata!M918="",FALSE,TRUE)</f>
        <v>0</v>
      </c>
      <c r="AN918">
        <f>OR(AND(IF(metadata!N918="",FALSE,TRUE),OR(exact(metadata!N918,"missing: not collected"),exact(metadata!N918,"missing: not provided"),exact(metadata!N918,"missing: restricted access"))),AND(IF(metadata!N918="",FALSE,TRUE),OR(exact(metadata!N918,"TRUE"),exact(metadata!N918,"FALSE"))))</f>
        <v>0</v>
      </c>
      <c r="AO918">
        <f>IF(metadata!O918="",FALSE,TRUE)</f>
        <v>0</v>
      </c>
      <c r="AP918">
        <f>OR(AND(IF(metadata!P918="",FALSE,TRUE),OR(exact(metadata!P918,"missing: not collected"),exact(metadata!P918,"missing: not provided"))),AND(IF(metadata!P918="",FALSE,IF(ISERROR(INT(metadata!P918)),FALSE,INT(metadata!P918)=metadata!P918)),metadata!P918&gt;0))</f>
        <v>0</v>
      </c>
      <c r="AQ918">
        <f>IF(metadata!Q918="",FALSE,TRUE)</f>
        <v>0</v>
      </c>
    </row>
    <row r="919" spans="1:43">
      <c r="A919" s="5">
        <f>IF(B919=" "," ",HYPERLINK(CONCATENATE("#metadata!",ADDRESS(INDEX($W$2:$W$1001,MATCH(ROWS($U$2:U919),$U$2:$U$1001,0),0),1)),INDEX($Z$2:$Z$1001,MATCH(ROWS($U$2:U919),$U$2:$U$1001,0),0)))</f>
        <v>0</v>
      </c>
      <c r="B919" s="4">
        <f>IF(OR(INDEX($V$2:$V$1001,MATCH(ROWS($U$2:U919),$U$2:$U$1001,0),1)&gt;=100000,INDEX($AB$1005:$AQ$1005,1,MATCH(COLUMNS($AB$1006:AB1006),$AB$1006:$AQ$1006,0))&gt;=100000), " ",IF(INDEX($AB$2:$AQ$1001,MATCH(ROWS($U$2:U919),$U$2:$U$1001,0),MATCH(COLUMNS($AB$1006:AB1006),$AB$1006:$AQ$1006,0)), HYPERLINK("#",""), HYPERLINK(CONCATENATE("#metadata!", ADDRESS(INDEX($W$2:$W$1001,MATCH(ROWS($U$2:U919),$U$2:$U$1001,0),0), INDEX($AB$1004:$AQ$1004,1,MATCH(COLUMNS($AB$1006:AB1006),$AB$1006:$AQ$1006,0)))),"Fix")))</f>
        <v>0</v>
      </c>
      <c r="C919" s="4">
        <f>IF(OR(INDEX($V$2:$V$1001,MATCH(ROWS($U$2:U919),$U$2:$U$1001,0),1)&gt;=100000,INDEX($AB$1005:$AQ$1005,1,MATCH(COLUMNS($AB$1006:AC1006),$AB$1006:$AQ$1006,0))&gt;=100000), " ",IF(INDEX($AB$2:$AQ$1001,MATCH(ROWS($U$2:U919),$U$2:$U$1001,0),MATCH(COLUMNS($AB$1006:AC1006),$AB$1006:$AQ$1006,0)), HYPERLINK("#",""), HYPERLINK(CONCATENATE("#metadata!", ADDRESS(INDEX($W$2:$W$1001,MATCH(ROWS($U$2:U919),$U$2:$U$1001,0),0), INDEX($AB$1004:$AQ$1004,1,MATCH(COLUMNS($AB$1006:AC1006),$AB$1006:$AQ$1006,0)))),"Fix")))</f>
        <v>0</v>
      </c>
      <c r="D919" s="4">
        <f>IF(OR(INDEX($V$2:$V$1001,MATCH(ROWS($U$2:U919),$U$2:$U$1001,0),1)&gt;=100000,INDEX($AB$1005:$AQ$1005,1,MATCH(COLUMNS($AB$1006:AD1006),$AB$1006:$AQ$1006,0))&gt;=100000), " ",IF(INDEX($AB$2:$AQ$1001,MATCH(ROWS($U$2:U919),$U$2:$U$1001,0),MATCH(COLUMNS($AB$1006:AD1006),$AB$1006:$AQ$1006,0)), HYPERLINK("#",""), HYPERLINK(CONCATENATE("#metadata!", ADDRESS(INDEX($W$2:$W$1001,MATCH(ROWS($U$2:U919),$U$2:$U$1001,0),0), INDEX($AB$1004:$AQ$1004,1,MATCH(COLUMNS($AB$1006:AD1006),$AB$1006:$AQ$1006,0)))),"Fix")))</f>
        <v>0</v>
      </c>
      <c r="E919" s="4">
        <f>IF(OR(INDEX($V$2:$V$1001,MATCH(ROWS($U$2:U919),$U$2:$U$1001,0),1)&gt;=100000,INDEX($AB$1005:$AQ$1005,1,MATCH(COLUMNS($AB$1006:AE1006),$AB$1006:$AQ$1006,0))&gt;=100000), " ",IF(INDEX($AB$2:$AQ$1001,MATCH(ROWS($U$2:U919),$U$2:$U$1001,0),MATCH(COLUMNS($AB$1006:AE1006),$AB$1006:$AQ$1006,0)), HYPERLINK("#",""), HYPERLINK(CONCATENATE("#metadata!", ADDRESS(INDEX($W$2:$W$1001,MATCH(ROWS($U$2:U919),$U$2:$U$1001,0),0), INDEX($AB$1004:$AQ$1004,1,MATCH(COLUMNS($AB$1006:AE1006),$AB$1006:$AQ$1006,0)))),"Fix")))</f>
        <v>0</v>
      </c>
      <c r="F919" s="4">
        <f>IF(OR(INDEX($V$2:$V$1001,MATCH(ROWS($U$2:U919),$U$2:$U$1001,0),1)&gt;=100000,INDEX($AB$1005:$AQ$1005,1,MATCH(COLUMNS($AB$1006:AF1006),$AB$1006:$AQ$1006,0))&gt;=100000), " ",IF(INDEX($AB$2:$AQ$1001,MATCH(ROWS($U$2:U919),$U$2:$U$1001,0),MATCH(COLUMNS($AB$1006:AF1006),$AB$1006:$AQ$1006,0)), HYPERLINK("#",""), HYPERLINK(CONCATENATE("#metadata!", ADDRESS(INDEX($W$2:$W$1001,MATCH(ROWS($U$2:U919),$U$2:$U$1001,0),0), INDEX($AB$1004:$AQ$1004,1,MATCH(COLUMNS($AB$1006:AF1006),$AB$1006:$AQ$1006,0)))),"Fix")))</f>
        <v>0</v>
      </c>
      <c r="G919" s="4">
        <f>IF(OR(INDEX($V$2:$V$1001,MATCH(ROWS($U$2:U919),$U$2:$U$1001,0),1)&gt;=100000,INDEX($AB$1005:$AQ$1005,1,MATCH(COLUMNS($AB$1006:AG1006),$AB$1006:$AQ$1006,0))&gt;=100000), " ",IF(INDEX($AB$2:$AQ$1001,MATCH(ROWS($U$2:U919),$U$2:$U$1001,0),MATCH(COLUMNS($AB$1006:AG1006),$AB$1006:$AQ$1006,0)), HYPERLINK("#",""), HYPERLINK(CONCATENATE("#metadata!", ADDRESS(INDEX($W$2:$W$1001,MATCH(ROWS($U$2:U919),$U$2:$U$1001,0),0), INDEX($AB$1004:$AQ$1004,1,MATCH(COLUMNS($AB$1006:AG1006),$AB$1006:$AQ$1006,0)))),"Fix")))</f>
        <v>0</v>
      </c>
      <c r="H919" s="4">
        <f>IF(OR(INDEX($V$2:$V$1001,MATCH(ROWS($U$2:U919),$U$2:$U$1001,0),1)&gt;=100000,INDEX($AB$1005:$AQ$1005,1,MATCH(COLUMNS($AB$1006:AH1006),$AB$1006:$AQ$1006,0))&gt;=100000), " ",IF(INDEX($AB$2:$AQ$1001,MATCH(ROWS($U$2:U919),$U$2:$U$1001,0),MATCH(COLUMNS($AB$1006:AH1006),$AB$1006:$AQ$1006,0)), HYPERLINK("#",""), HYPERLINK(CONCATENATE("#metadata!", ADDRESS(INDEX($W$2:$W$1001,MATCH(ROWS($U$2:U919),$U$2:$U$1001,0),0), INDEX($AB$1004:$AQ$1004,1,MATCH(COLUMNS($AB$1006:AH1006),$AB$1006:$AQ$1006,0)))),"Fix")))</f>
        <v>0</v>
      </c>
      <c r="I919" s="4">
        <f>IF(OR(INDEX($V$2:$V$1001,MATCH(ROWS($U$2:U919),$U$2:$U$1001,0),1)&gt;=100000,INDEX($AB$1005:$AQ$1005,1,MATCH(COLUMNS($AB$1006:AI1006),$AB$1006:$AQ$1006,0))&gt;=100000), " ",IF(INDEX($AB$2:$AQ$1001,MATCH(ROWS($U$2:U919),$U$2:$U$1001,0),MATCH(COLUMNS($AB$1006:AI1006),$AB$1006:$AQ$1006,0)), HYPERLINK("#",""), HYPERLINK(CONCATENATE("#metadata!", ADDRESS(INDEX($W$2:$W$1001,MATCH(ROWS($U$2:U919),$U$2:$U$1001,0),0), INDEX($AB$1004:$AQ$1004,1,MATCH(COLUMNS($AB$1006:AI1006),$AB$1006:$AQ$1006,0)))),"Fix")))</f>
        <v>0</v>
      </c>
      <c r="J919" s="4">
        <f>IF(OR(INDEX($V$2:$V$1001,MATCH(ROWS($U$2:U919),$U$2:$U$1001,0),1)&gt;=100000,INDEX($AB$1005:$AQ$1005,1,MATCH(COLUMNS($AB$1006:AJ1006),$AB$1006:$AQ$1006,0))&gt;=100000), " ",IF(INDEX($AB$2:$AQ$1001,MATCH(ROWS($U$2:U919),$U$2:$U$1001,0),MATCH(COLUMNS($AB$1006:AJ1006),$AB$1006:$AQ$1006,0)), HYPERLINK("#",""), HYPERLINK(CONCATENATE("#metadata!", ADDRESS(INDEX($W$2:$W$1001,MATCH(ROWS($U$2:U919),$U$2:$U$1001,0),0), INDEX($AB$1004:$AQ$1004,1,MATCH(COLUMNS($AB$1006:AJ1006),$AB$1006:$AQ$1006,0)))),"Fix")))</f>
        <v>0</v>
      </c>
      <c r="K919" s="4">
        <f>IF(OR(INDEX($V$2:$V$1001,MATCH(ROWS($U$2:U919),$U$2:$U$1001,0),1)&gt;=100000,INDEX($AB$1005:$AQ$1005,1,MATCH(COLUMNS($AB$1006:AK1006),$AB$1006:$AQ$1006,0))&gt;=100000), " ",IF(INDEX($AB$2:$AQ$1001,MATCH(ROWS($U$2:U919),$U$2:$U$1001,0),MATCH(COLUMNS($AB$1006:AK1006),$AB$1006:$AQ$1006,0)), HYPERLINK("#",""), HYPERLINK(CONCATENATE("#metadata!", ADDRESS(INDEX($W$2:$W$1001,MATCH(ROWS($U$2:U919),$U$2:$U$1001,0),0), INDEX($AB$1004:$AQ$1004,1,MATCH(COLUMNS($AB$1006:AK1006),$AB$1006:$AQ$1006,0)))),"Fix")))</f>
        <v>0</v>
      </c>
      <c r="L919" s="4">
        <f>IF(OR(INDEX($V$2:$V$1001,MATCH(ROWS($U$2:U919),$U$2:$U$1001,0),1)&gt;=100000,INDEX($AB$1005:$AQ$1005,1,MATCH(COLUMNS($AB$1006:AL1006),$AB$1006:$AQ$1006,0))&gt;=100000), " ",IF(INDEX($AB$2:$AQ$1001,MATCH(ROWS($U$2:U919),$U$2:$U$1001,0),MATCH(COLUMNS($AB$1006:AL1006),$AB$1006:$AQ$1006,0)), HYPERLINK("#",""), HYPERLINK(CONCATENATE("#metadata!", ADDRESS(INDEX($W$2:$W$1001,MATCH(ROWS($U$2:U919),$U$2:$U$1001,0),0), INDEX($AB$1004:$AQ$1004,1,MATCH(COLUMNS($AB$1006:AL1006),$AB$1006:$AQ$1006,0)))),"Fix")))</f>
        <v>0</v>
      </c>
      <c r="M919" s="4">
        <f>IF(OR(INDEX($V$2:$V$1001,MATCH(ROWS($U$2:U919),$U$2:$U$1001,0),1)&gt;=100000,INDEX($AB$1005:$AQ$1005,1,MATCH(COLUMNS($AB$1006:AM1006),$AB$1006:$AQ$1006,0))&gt;=100000), " ",IF(INDEX($AB$2:$AQ$1001,MATCH(ROWS($U$2:U919),$U$2:$U$1001,0),MATCH(COLUMNS($AB$1006:AM1006),$AB$1006:$AQ$1006,0)), HYPERLINK("#",""), HYPERLINK(CONCATENATE("#metadata!", ADDRESS(INDEX($W$2:$W$1001,MATCH(ROWS($U$2:U919),$U$2:$U$1001,0),0), INDEX($AB$1004:$AQ$1004,1,MATCH(COLUMNS($AB$1006:AM1006),$AB$1006:$AQ$1006,0)))),"Fix")))</f>
        <v>0</v>
      </c>
      <c r="N919" s="4">
        <f>IF(OR(INDEX($V$2:$V$1001,MATCH(ROWS($U$2:U919),$U$2:$U$1001,0),1)&gt;=100000,INDEX($AB$1005:$AQ$1005,1,MATCH(COLUMNS($AB$1006:AN1006),$AB$1006:$AQ$1006,0))&gt;=100000), " ",IF(INDEX($AB$2:$AQ$1001,MATCH(ROWS($U$2:U919),$U$2:$U$1001,0),MATCH(COLUMNS($AB$1006:AN1006),$AB$1006:$AQ$1006,0)), HYPERLINK("#",""), HYPERLINK(CONCATENATE("#metadata!", ADDRESS(INDEX($W$2:$W$1001,MATCH(ROWS($U$2:U919),$U$2:$U$1001,0),0), INDEX($AB$1004:$AQ$1004,1,MATCH(COLUMNS($AB$1006:AN1006),$AB$1006:$AQ$1006,0)))),"Fix")))</f>
        <v>0</v>
      </c>
      <c r="O919" s="4">
        <f>IF(OR(INDEX($V$2:$V$1001,MATCH(ROWS($U$2:U919),$U$2:$U$1001,0),1)&gt;=100000,INDEX($AB$1005:$AQ$1005,1,MATCH(COLUMNS($AB$1006:AO1006),$AB$1006:$AQ$1006,0))&gt;=100000), " ",IF(INDEX($AB$2:$AQ$1001,MATCH(ROWS($U$2:U919),$U$2:$U$1001,0),MATCH(COLUMNS($AB$1006:AO1006),$AB$1006:$AQ$1006,0)), HYPERLINK("#",""), HYPERLINK(CONCATENATE("#metadata!", ADDRESS(INDEX($W$2:$W$1001,MATCH(ROWS($U$2:U919),$U$2:$U$1001,0),0), INDEX($AB$1004:$AQ$1004,1,MATCH(COLUMNS($AB$1006:AO1006),$AB$1006:$AQ$1006,0)))),"Fix")))</f>
        <v>0</v>
      </c>
      <c r="P919" s="4">
        <f>IF(OR(INDEX($V$2:$V$1001,MATCH(ROWS($U$2:U919),$U$2:$U$1001,0),1)&gt;=100000,INDEX($AB$1005:$AQ$1005,1,MATCH(COLUMNS($AB$1006:AP1006),$AB$1006:$AQ$1006,0))&gt;=100000), " ",IF(INDEX($AB$2:$AQ$1001,MATCH(ROWS($U$2:U919),$U$2:$U$1001,0),MATCH(COLUMNS($AB$1006:AP1006),$AB$1006:$AQ$1006,0)), HYPERLINK("#",""), HYPERLINK(CONCATENATE("#metadata!", ADDRESS(INDEX($W$2:$W$1001,MATCH(ROWS($U$2:U919),$U$2:$U$1001,0),0), INDEX($AB$1004:$AQ$1004,1,MATCH(COLUMNS($AB$1006:AP1006),$AB$1006:$AQ$1006,0)))),"Fix")))</f>
        <v>0</v>
      </c>
      <c r="Q919" s="4">
        <f>IF(OR(INDEX($V$2:$V$1001,MATCH(ROWS($U$2:U919),$U$2:$U$1001,0),1)&gt;=100000,INDEX($AB$1005:$AQ$1005,1,MATCH(COLUMNS($AB$1006:AQ1006),$AB$1006:$AQ$1006,0))&gt;=100000), " ",IF(INDEX($AB$2:$AQ$1001,MATCH(ROWS($U$2:U919),$U$2:$U$1001,0),MATCH(COLUMNS($AB$1006:AQ1006),$AB$1006:$AQ$1006,0)), HYPERLINK("#",""), HYPERLINK(CONCATENATE("#metadata!", ADDRESS(INDEX($W$2:$W$1001,MATCH(ROWS($U$2:U919),$U$2:$U$1001,0),0), INDEX($AB$1004:$AQ$1004,1,MATCH(COLUMNS($AB$1006:AQ1006),$AB$1006:$AQ$1006,0)))),"Fix")))</f>
        <v>0</v>
      </c>
      <c r="U919">
        <v>0</v>
      </c>
      <c r="V919">
        <v>0</v>
      </c>
      <c r="W919">
        <v>0</v>
      </c>
      <c r="X919">
        <f>IF(Y919,TRUE,AND(AB919:AQ919))</f>
        <v>0</v>
      </c>
      <c r="Y919">
        <f>COUNTBLANK(metadata!B919:Q919)=COLUMNS(metadata!B919:Q919)</f>
        <v>0</v>
      </c>
      <c r="Z919">
        <v>0</v>
      </c>
      <c r="AB919">
        <f>AND(IF(metadata!B919="",FALSE,TRUE),COUNTIF(metadata!B:B, metadata!B919) = 1,NOT(ISERROR(SUMPRODUCT(SEARCH(MID(metadata!B919,ROW(INDIRECT("1:"&amp;LEN(metadata!B919))), 1),"0123456789abcdefghijklmnopqrstuvwxyzABCDEFGHIJKLMNOPQRSTUVWXYZ.")))))</f>
        <v>0</v>
      </c>
      <c r="AC919">
        <f>OR(AND(IF(metadata!C919="",FALSE,TRUE),OR(exact(metadata!C919,"missing: not collected"),exact(metadata!C919,"missing: not provided"),exact(metadata!C919,"missing: restricted access"))),AND(IF(metadata!C919="",FALSE,TRUE),AND(AND(IFERROR(INT(LEFT(metadata!C919,4))&gt;1900,FALSE),IFERROR(INT(LEFT(metadata!C919,4))&lt;=YEAR(NOW()),FALSE)), OR(MID(metadata!C919,5,1)="", AND(AND(MID(metadata!C919,5,1)="-",IFERROR(INT(MID(metadata!C919,6,1))&gt;=0,FALSE),IFERROR(INT(MID(metadata!C919,6,1))&lt;=1,FALSE),NOT(MID(metadata!C919,7,1)=""),IFERROR(INT(MID(metadata!C919,6,2))&gt;=1,FALSE),IFERROR(INT(MID(metadata!C919,6,2))&lt;=12,FALSE)), OR(MID(metadata!C919,8,1)="", AND(AND(MID(metadata!C919,8,1)="-",IFERROR(INT(MID(metadata!C919,9,1))&gt;=0,FALSE),IFERROR(INT(MID(metadata!C919,9,1))&lt;=3,FALSE),NOT(MID(metadata!C919,10,1)=""),IFERROR(INT(MID(metadata!C919,9,2))&gt;=1,FALSE),IFERROR(INT(MID(metadata!C919,9,2))&lt;=31,FALSE)), OR(MID(metadata!C919,11,1)="", AND(AND(MID(metadata!C919,11,1)=" ",IFERROR(INT(MID(metadata!C919,12,1))&gt;=0,FALSE),IFERROR(INT(MID(metadata!C919,12,1))&lt;=2,FALSE),NOT(MID(metadata!C919,13,1)=""),IFERROR(INT(MID(metadata!C919,12,2))&gt;=0,FALSE),IFERROR(INT(MID(metadata!C919,12,2))&lt;=23,FALSE)), OR(MID(metadata!C919,14,1)="", AND(AND(MID(metadata!C919,14,1)=":",IFERROR(INT(MID(metadata!C919,15,1))&gt;=0,FALSE),IFERROR(INT(MID(metadata!C919,15,1))&lt;=5,FALSE),NOT(MID(metadata!C919,16,1)=""),IFERROR(INT(MID(metadata!C919,15,2))&gt;=0,FALSE),IFERROR(INT(MID(metadata!C919,15,2))&lt;=59,FALSE)), OR(MID(metadata!C919,17,1)="", AND(AND(MID(metadata!C919,17,1)=":",IFERROR(INT(MID(metadata!C919,18,1))&gt;=0,FALSE),IFERROR(INT(MID(metadata!C919,18,1))&lt;=5,FALSE),NOT(MID(metadata!C919,19,1)=""),IFERROR(INT(MID(metadata!C919,18,2))&gt;=0,FALSE),IFERROR(INT(MID(metadata!C919,18,2))&lt;=59,FALSE)), LEN(metadata!C919)&lt;=19)))))))))))))</f>
        <v>0</v>
      </c>
      <c r="AD919">
        <f>IF(metadata!D919="",FALSE,TRUE)</f>
        <v>0</v>
      </c>
      <c r="AE919">
        <f>OR(AND(IF(metadata!E919="",FALSE,TRUE),OR(exact(metadata!E919,"missing: not collected"),exact(metadata!E919,"missing: not provided"))),AND(IF(metadata!E919="",FALSE,TRUE),OR(exact(metadata!E919,"TRUE"),exact(metadata!E919,"FALSE"))))</f>
        <v>0</v>
      </c>
      <c r="AF919">
        <f>IF(metadata!F919="",FALSE,TRUE)</f>
        <v>0</v>
      </c>
      <c r="AG919">
        <f>IF(metadata!G919="",FALSE,TRUE)</f>
        <v>0</v>
      </c>
      <c r="AH919">
        <f>IF(metadata!H919="",FALSE,TRUE)</f>
        <v>0</v>
      </c>
      <c r="AI919">
        <f>OR(AND(IF(metadata!I919="",FALSE,TRUE),OR(exact(metadata!I919,"missing: not collected"),exact(metadata!I919,"missing: not provided"),exact(metadata!I919,"missing: restricted access"))),AND(IF(metadata!I919="",FALSE,TRUE),OR(exact(metadata!I919,"air"),exact(metadata!I919,"built environment"),exact(metadata!I919,"host-associated"),exact(metadata!I919,"human-associated"),exact(metadata!I919,"human-skin"),exact(metadata!I919,"human-oral"),exact(metadata!I919,"human-gut"),exact(metadata!I919,"human-vaginal"),exact(metadata!I919,"microbial mat/biofilm"),exact(metadata!I919,"misc environment"),exact(metadata!I919,"plant-associated"),exact(metadata!I919,"sediment"),exact(metadata!I919,"soil"),exact(metadata!I919,"wastewater/sludge"),exact(metadata!I919,"water"))))</f>
        <v>0</v>
      </c>
      <c r="AJ919">
        <f>IF(metadata!J919="",FALSE,TRUE)</f>
        <v>0</v>
      </c>
      <c r="AK919">
        <f>OR(AND(IF(metadata!K919="",FALSE,TRUE),OR(exact(metadata!K919,"missing: not collected"),exact(metadata!K919,"missing: not provided"),exact(metadata!K919,"missing: restricted access"))),AND(IF(metadata!K919="",FALSE,ISNUMBER(VALUE(metadata!K919))),metadata!K919&gt;=-90.00,metadata!K919&lt;=90.00))</f>
        <v>0</v>
      </c>
      <c r="AL919">
        <f>OR(AND(IF(metadata!L919="",FALSE,TRUE),OR(exact(metadata!L919,"missing: not collected"),exact(metadata!L919,"missing: not provided"),exact(metadata!L919,"missing: restricted access"))),AND(IF(metadata!L919="",FALSE,ISNUMBER(VALUE(metadata!L919))),metadata!L919&gt;=-180.00,metadata!L919&lt;=180.00))</f>
        <v>0</v>
      </c>
      <c r="AM919">
        <f>IF(metadata!M919="",FALSE,TRUE)</f>
        <v>0</v>
      </c>
      <c r="AN919">
        <f>OR(AND(IF(metadata!N919="",FALSE,TRUE),OR(exact(metadata!N919,"missing: not collected"),exact(metadata!N919,"missing: not provided"),exact(metadata!N919,"missing: restricted access"))),AND(IF(metadata!N919="",FALSE,TRUE),OR(exact(metadata!N919,"TRUE"),exact(metadata!N919,"FALSE"))))</f>
        <v>0</v>
      </c>
      <c r="AO919">
        <f>IF(metadata!O919="",FALSE,TRUE)</f>
        <v>0</v>
      </c>
      <c r="AP919">
        <f>OR(AND(IF(metadata!P919="",FALSE,TRUE),OR(exact(metadata!P919,"missing: not collected"),exact(metadata!P919,"missing: not provided"))),AND(IF(metadata!P919="",FALSE,IF(ISERROR(INT(metadata!P919)),FALSE,INT(metadata!P919)=metadata!P919)),metadata!P919&gt;0))</f>
        <v>0</v>
      </c>
      <c r="AQ919">
        <f>IF(metadata!Q919="",FALSE,TRUE)</f>
        <v>0</v>
      </c>
    </row>
    <row r="920" spans="1:43">
      <c r="A920" s="5">
        <f>IF(B920=" "," ",HYPERLINK(CONCATENATE("#metadata!",ADDRESS(INDEX($W$2:$W$1001,MATCH(ROWS($U$2:U920),$U$2:$U$1001,0),0),1)),INDEX($Z$2:$Z$1001,MATCH(ROWS($U$2:U920),$U$2:$U$1001,0),0)))</f>
        <v>0</v>
      </c>
      <c r="B920" s="4">
        <f>IF(OR(INDEX($V$2:$V$1001,MATCH(ROWS($U$2:U920),$U$2:$U$1001,0),1)&gt;=100000,INDEX($AB$1005:$AQ$1005,1,MATCH(COLUMNS($AB$1006:AB1006),$AB$1006:$AQ$1006,0))&gt;=100000), " ",IF(INDEX($AB$2:$AQ$1001,MATCH(ROWS($U$2:U920),$U$2:$U$1001,0),MATCH(COLUMNS($AB$1006:AB1006),$AB$1006:$AQ$1006,0)), HYPERLINK("#",""), HYPERLINK(CONCATENATE("#metadata!", ADDRESS(INDEX($W$2:$W$1001,MATCH(ROWS($U$2:U920),$U$2:$U$1001,0),0), INDEX($AB$1004:$AQ$1004,1,MATCH(COLUMNS($AB$1006:AB1006),$AB$1006:$AQ$1006,0)))),"Fix")))</f>
        <v>0</v>
      </c>
      <c r="C920" s="4">
        <f>IF(OR(INDEX($V$2:$V$1001,MATCH(ROWS($U$2:U920),$U$2:$U$1001,0),1)&gt;=100000,INDEX($AB$1005:$AQ$1005,1,MATCH(COLUMNS($AB$1006:AC1006),$AB$1006:$AQ$1006,0))&gt;=100000), " ",IF(INDEX($AB$2:$AQ$1001,MATCH(ROWS($U$2:U920),$U$2:$U$1001,0),MATCH(COLUMNS($AB$1006:AC1006),$AB$1006:$AQ$1006,0)), HYPERLINK("#",""), HYPERLINK(CONCATENATE("#metadata!", ADDRESS(INDEX($W$2:$W$1001,MATCH(ROWS($U$2:U920),$U$2:$U$1001,0),0), INDEX($AB$1004:$AQ$1004,1,MATCH(COLUMNS($AB$1006:AC1006),$AB$1006:$AQ$1006,0)))),"Fix")))</f>
        <v>0</v>
      </c>
      <c r="D920" s="4">
        <f>IF(OR(INDEX($V$2:$V$1001,MATCH(ROWS($U$2:U920),$U$2:$U$1001,0),1)&gt;=100000,INDEX($AB$1005:$AQ$1005,1,MATCH(COLUMNS($AB$1006:AD1006),$AB$1006:$AQ$1006,0))&gt;=100000), " ",IF(INDEX($AB$2:$AQ$1001,MATCH(ROWS($U$2:U920),$U$2:$U$1001,0),MATCH(COLUMNS($AB$1006:AD1006),$AB$1006:$AQ$1006,0)), HYPERLINK("#",""), HYPERLINK(CONCATENATE("#metadata!", ADDRESS(INDEX($W$2:$W$1001,MATCH(ROWS($U$2:U920),$U$2:$U$1001,0),0), INDEX($AB$1004:$AQ$1004,1,MATCH(COLUMNS($AB$1006:AD1006),$AB$1006:$AQ$1006,0)))),"Fix")))</f>
        <v>0</v>
      </c>
      <c r="E920" s="4">
        <f>IF(OR(INDEX($V$2:$V$1001,MATCH(ROWS($U$2:U920),$U$2:$U$1001,0),1)&gt;=100000,INDEX($AB$1005:$AQ$1005,1,MATCH(COLUMNS($AB$1006:AE1006),$AB$1006:$AQ$1006,0))&gt;=100000), " ",IF(INDEX($AB$2:$AQ$1001,MATCH(ROWS($U$2:U920),$U$2:$U$1001,0),MATCH(COLUMNS($AB$1006:AE1006),$AB$1006:$AQ$1006,0)), HYPERLINK("#",""), HYPERLINK(CONCATENATE("#metadata!", ADDRESS(INDEX($W$2:$W$1001,MATCH(ROWS($U$2:U920),$U$2:$U$1001,0),0), INDEX($AB$1004:$AQ$1004,1,MATCH(COLUMNS($AB$1006:AE1006),$AB$1006:$AQ$1006,0)))),"Fix")))</f>
        <v>0</v>
      </c>
      <c r="F920" s="4">
        <f>IF(OR(INDEX($V$2:$V$1001,MATCH(ROWS($U$2:U920),$U$2:$U$1001,0),1)&gt;=100000,INDEX($AB$1005:$AQ$1005,1,MATCH(COLUMNS($AB$1006:AF1006),$AB$1006:$AQ$1006,0))&gt;=100000), " ",IF(INDEX($AB$2:$AQ$1001,MATCH(ROWS($U$2:U920),$U$2:$U$1001,0),MATCH(COLUMNS($AB$1006:AF1006),$AB$1006:$AQ$1006,0)), HYPERLINK("#",""), HYPERLINK(CONCATENATE("#metadata!", ADDRESS(INDEX($W$2:$W$1001,MATCH(ROWS($U$2:U920),$U$2:$U$1001,0),0), INDEX($AB$1004:$AQ$1004,1,MATCH(COLUMNS($AB$1006:AF1006),$AB$1006:$AQ$1006,0)))),"Fix")))</f>
        <v>0</v>
      </c>
      <c r="G920" s="4">
        <f>IF(OR(INDEX($V$2:$V$1001,MATCH(ROWS($U$2:U920),$U$2:$U$1001,0),1)&gt;=100000,INDEX($AB$1005:$AQ$1005,1,MATCH(COLUMNS($AB$1006:AG1006),$AB$1006:$AQ$1006,0))&gt;=100000), " ",IF(INDEX($AB$2:$AQ$1001,MATCH(ROWS($U$2:U920),$U$2:$U$1001,0),MATCH(COLUMNS($AB$1006:AG1006),$AB$1006:$AQ$1006,0)), HYPERLINK("#",""), HYPERLINK(CONCATENATE("#metadata!", ADDRESS(INDEX($W$2:$W$1001,MATCH(ROWS($U$2:U920),$U$2:$U$1001,0),0), INDEX($AB$1004:$AQ$1004,1,MATCH(COLUMNS($AB$1006:AG1006),$AB$1006:$AQ$1006,0)))),"Fix")))</f>
        <v>0</v>
      </c>
      <c r="H920" s="4">
        <f>IF(OR(INDEX($V$2:$V$1001,MATCH(ROWS($U$2:U920),$U$2:$U$1001,0),1)&gt;=100000,INDEX($AB$1005:$AQ$1005,1,MATCH(COLUMNS($AB$1006:AH1006),$AB$1006:$AQ$1006,0))&gt;=100000), " ",IF(INDEX($AB$2:$AQ$1001,MATCH(ROWS($U$2:U920),$U$2:$U$1001,0),MATCH(COLUMNS($AB$1006:AH1006),$AB$1006:$AQ$1006,0)), HYPERLINK("#",""), HYPERLINK(CONCATENATE("#metadata!", ADDRESS(INDEX($W$2:$W$1001,MATCH(ROWS($U$2:U920),$U$2:$U$1001,0),0), INDEX($AB$1004:$AQ$1004,1,MATCH(COLUMNS($AB$1006:AH1006),$AB$1006:$AQ$1006,0)))),"Fix")))</f>
        <v>0</v>
      </c>
      <c r="I920" s="4">
        <f>IF(OR(INDEX($V$2:$V$1001,MATCH(ROWS($U$2:U920),$U$2:$U$1001,0),1)&gt;=100000,INDEX($AB$1005:$AQ$1005,1,MATCH(COLUMNS($AB$1006:AI1006),$AB$1006:$AQ$1006,0))&gt;=100000), " ",IF(INDEX($AB$2:$AQ$1001,MATCH(ROWS($U$2:U920),$U$2:$U$1001,0),MATCH(COLUMNS($AB$1006:AI1006),$AB$1006:$AQ$1006,0)), HYPERLINK("#",""), HYPERLINK(CONCATENATE("#metadata!", ADDRESS(INDEX($W$2:$W$1001,MATCH(ROWS($U$2:U920),$U$2:$U$1001,0),0), INDEX($AB$1004:$AQ$1004,1,MATCH(COLUMNS($AB$1006:AI1006),$AB$1006:$AQ$1006,0)))),"Fix")))</f>
        <v>0</v>
      </c>
      <c r="J920" s="4">
        <f>IF(OR(INDEX($V$2:$V$1001,MATCH(ROWS($U$2:U920),$U$2:$U$1001,0),1)&gt;=100000,INDEX($AB$1005:$AQ$1005,1,MATCH(COLUMNS($AB$1006:AJ1006),$AB$1006:$AQ$1006,0))&gt;=100000), " ",IF(INDEX($AB$2:$AQ$1001,MATCH(ROWS($U$2:U920),$U$2:$U$1001,0),MATCH(COLUMNS($AB$1006:AJ1006),$AB$1006:$AQ$1006,0)), HYPERLINK("#",""), HYPERLINK(CONCATENATE("#metadata!", ADDRESS(INDEX($W$2:$W$1001,MATCH(ROWS($U$2:U920),$U$2:$U$1001,0),0), INDEX($AB$1004:$AQ$1004,1,MATCH(COLUMNS($AB$1006:AJ1006),$AB$1006:$AQ$1006,0)))),"Fix")))</f>
        <v>0</v>
      </c>
      <c r="K920" s="4">
        <f>IF(OR(INDEX($V$2:$V$1001,MATCH(ROWS($U$2:U920),$U$2:$U$1001,0),1)&gt;=100000,INDEX($AB$1005:$AQ$1005,1,MATCH(COLUMNS($AB$1006:AK1006),$AB$1006:$AQ$1006,0))&gt;=100000), " ",IF(INDEX($AB$2:$AQ$1001,MATCH(ROWS($U$2:U920),$U$2:$U$1001,0),MATCH(COLUMNS($AB$1006:AK1006),$AB$1006:$AQ$1006,0)), HYPERLINK("#",""), HYPERLINK(CONCATENATE("#metadata!", ADDRESS(INDEX($W$2:$W$1001,MATCH(ROWS($U$2:U920),$U$2:$U$1001,0),0), INDEX($AB$1004:$AQ$1004,1,MATCH(COLUMNS($AB$1006:AK1006),$AB$1006:$AQ$1006,0)))),"Fix")))</f>
        <v>0</v>
      </c>
      <c r="L920" s="4">
        <f>IF(OR(INDEX($V$2:$V$1001,MATCH(ROWS($U$2:U920),$U$2:$U$1001,0),1)&gt;=100000,INDEX($AB$1005:$AQ$1005,1,MATCH(COLUMNS($AB$1006:AL1006),$AB$1006:$AQ$1006,0))&gt;=100000), " ",IF(INDEX($AB$2:$AQ$1001,MATCH(ROWS($U$2:U920),$U$2:$U$1001,0),MATCH(COLUMNS($AB$1006:AL1006),$AB$1006:$AQ$1006,0)), HYPERLINK("#",""), HYPERLINK(CONCATENATE("#metadata!", ADDRESS(INDEX($W$2:$W$1001,MATCH(ROWS($U$2:U920),$U$2:$U$1001,0),0), INDEX($AB$1004:$AQ$1004,1,MATCH(COLUMNS($AB$1006:AL1006),$AB$1006:$AQ$1006,0)))),"Fix")))</f>
        <v>0</v>
      </c>
      <c r="M920" s="4">
        <f>IF(OR(INDEX($V$2:$V$1001,MATCH(ROWS($U$2:U920),$U$2:$U$1001,0),1)&gt;=100000,INDEX($AB$1005:$AQ$1005,1,MATCH(COLUMNS($AB$1006:AM1006),$AB$1006:$AQ$1006,0))&gt;=100000), " ",IF(INDEX($AB$2:$AQ$1001,MATCH(ROWS($U$2:U920),$U$2:$U$1001,0),MATCH(COLUMNS($AB$1006:AM1006),$AB$1006:$AQ$1006,0)), HYPERLINK("#",""), HYPERLINK(CONCATENATE("#metadata!", ADDRESS(INDEX($W$2:$W$1001,MATCH(ROWS($U$2:U920),$U$2:$U$1001,0),0), INDEX($AB$1004:$AQ$1004,1,MATCH(COLUMNS($AB$1006:AM1006),$AB$1006:$AQ$1006,0)))),"Fix")))</f>
        <v>0</v>
      </c>
      <c r="N920" s="4">
        <f>IF(OR(INDEX($V$2:$V$1001,MATCH(ROWS($U$2:U920),$U$2:$U$1001,0),1)&gt;=100000,INDEX($AB$1005:$AQ$1005,1,MATCH(COLUMNS($AB$1006:AN1006),$AB$1006:$AQ$1006,0))&gt;=100000), " ",IF(INDEX($AB$2:$AQ$1001,MATCH(ROWS($U$2:U920),$U$2:$U$1001,0),MATCH(COLUMNS($AB$1006:AN1006),$AB$1006:$AQ$1006,0)), HYPERLINK("#",""), HYPERLINK(CONCATENATE("#metadata!", ADDRESS(INDEX($W$2:$W$1001,MATCH(ROWS($U$2:U920),$U$2:$U$1001,0),0), INDEX($AB$1004:$AQ$1004,1,MATCH(COLUMNS($AB$1006:AN1006),$AB$1006:$AQ$1006,0)))),"Fix")))</f>
        <v>0</v>
      </c>
      <c r="O920" s="4">
        <f>IF(OR(INDEX($V$2:$V$1001,MATCH(ROWS($U$2:U920),$U$2:$U$1001,0),1)&gt;=100000,INDEX($AB$1005:$AQ$1005,1,MATCH(COLUMNS($AB$1006:AO1006),$AB$1006:$AQ$1006,0))&gt;=100000), " ",IF(INDEX($AB$2:$AQ$1001,MATCH(ROWS($U$2:U920),$U$2:$U$1001,0),MATCH(COLUMNS($AB$1006:AO1006),$AB$1006:$AQ$1006,0)), HYPERLINK("#",""), HYPERLINK(CONCATENATE("#metadata!", ADDRESS(INDEX($W$2:$W$1001,MATCH(ROWS($U$2:U920),$U$2:$U$1001,0),0), INDEX($AB$1004:$AQ$1004,1,MATCH(COLUMNS($AB$1006:AO1006),$AB$1006:$AQ$1006,0)))),"Fix")))</f>
        <v>0</v>
      </c>
      <c r="P920" s="4">
        <f>IF(OR(INDEX($V$2:$V$1001,MATCH(ROWS($U$2:U920),$U$2:$U$1001,0),1)&gt;=100000,INDEX($AB$1005:$AQ$1005,1,MATCH(COLUMNS($AB$1006:AP1006),$AB$1006:$AQ$1006,0))&gt;=100000), " ",IF(INDEX($AB$2:$AQ$1001,MATCH(ROWS($U$2:U920),$U$2:$U$1001,0),MATCH(COLUMNS($AB$1006:AP1006),$AB$1006:$AQ$1006,0)), HYPERLINK("#",""), HYPERLINK(CONCATENATE("#metadata!", ADDRESS(INDEX($W$2:$W$1001,MATCH(ROWS($U$2:U920),$U$2:$U$1001,0),0), INDEX($AB$1004:$AQ$1004,1,MATCH(COLUMNS($AB$1006:AP1006),$AB$1006:$AQ$1006,0)))),"Fix")))</f>
        <v>0</v>
      </c>
      <c r="Q920" s="4">
        <f>IF(OR(INDEX($V$2:$V$1001,MATCH(ROWS($U$2:U920),$U$2:$U$1001,0),1)&gt;=100000,INDEX($AB$1005:$AQ$1005,1,MATCH(COLUMNS($AB$1006:AQ1006),$AB$1006:$AQ$1006,0))&gt;=100000), " ",IF(INDEX($AB$2:$AQ$1001,MATCH(ROWS($U$2:U920),$U$2:$U$1001,0),MATCH(COLUMNS($AB$1006:AQ1006),$AB$1006:$AQ$1006,0)), HYPERLINK("#",""), HYPERLINK(CONCATENATE("#metadata!", ADDRESS(INDEX($W$2:$W$1001,MATCH(ROWS($U$2:U920),$U$2:$U$1001,0),0), INDEX($AB$1004:$AQ$1004,1,MATCH(COLUMNS($AB$1006:AQ1006),$AB$1006:$AQ$1006,0)))),"Fix")))</f>
        <v>0</v>
      </c>
      <c r="U920">
        <v>0</v>
      </c>
      <c r="V920">
        <v>0</v>
      </c>
      <c r="W920">
        <v>0</v>
      </c>
      <c r="X920">
        <f>IF(Y920,TRUE,AND(AB920:AQ920))</f>
        <v>0</v>
      </c>
      <c r="Y920">
        <f>COUNTBLANK(metadata!B920:Q920)=COLUMNS(metadata!B920:Q920)</f>
        <v>0</v>
      </c>
      <c r="Z920">
        <v>0</v>
      </c>
      <c r="AB920">
        <f>AND(IF(metadata!B920="",FALSE,TRUE),COUNTIF(metadata!B:B, metadata!B920) = 1,NOT(ISERROR(SUMPRODUCT(SEARCH(MID(metadata!B920,ROW(INDIRECT("1:"&amp;LEN(metadata!B920))), 1),"0123456789abcdefghijklmnopqrstuvwxyzABCDEFGHIJKLMNOPQRSTUVWXYZ.")))))</f>
        <v>0</v>
      </c>
      <c r="AC920">
        <f>OR(AND(IF(metadata!C920="",FALSE,TRUE),OR(exact(metadata!C920,"missing: not collected"),exact(metadata!C920,"missing: not provided"),exact(metadata!C920,"missing: restricted access"))),AND(IF(metadata!C920="",FALSE,TRUE),AND(AND(IFERROR(INT(LEFT(metadata!C920,4))&gt;1900,FALSE),IFERROR(INT(LEFT(metadata!C920,4))&lt;=YEAR(NOW()),FALSE)), OR(MID(metadata!C920,5,1)="", AND(AND(MID(metadata!C920,5,1)="-",IFERROR(INT(MID(metadata!C920,6,1))&gt;=0,FALSE),IFERROR(INT(MID(metadata!C920,6,1))&lt;=1,FALSE),NOT(MID(metadata!C920,7,1)=""),IFERROR(INT(MID(metadata!C920,6,2))&gt;=1,FALSE),IFERROR(INT(MID(metadata!C920,6,2))&lt;=12,FALSE)), OR(MID(metadata!C920,8,1)="", AND(AND(MID(metadata!C920,8,1)="-",IFERROR(INT(MID(metadata!C920,9,1))&gt;=0,FALSE),IFERROR(INT(MID(metadata!C920,9,1))&lt;=3,FALSE),NOT(MID(metadata!C920,10,1)=""),IFERROR(INT(MID(metadata!C920,9,2))&gt;=1,FALSE),IFERROR(INT(MID(metadata!C920,9,2))&lt;=31,FALSE)), OR(MID(metadata!C920,11,1)="", AND(AND(MID(metadata!C920,11,1)=" ",IFERROR(INT(MID(metadata!C920,12,1))&gt;=0,FALSE),IFERROR(INT(MID(metadata!C920,12,1))&lt;=2,FALSE),NOT(MID(metadata!C920,13,1)=""),IFERROR(INT(MID(metadata!C920,12,2))&gt;=0,FALSE),IFERROR(INT(MID(metadata!C920,12,2))&lt;=23,FALSE)), OR(MID(metadata!C920,14,1)="", AND(AND(MID(metadata!C920,14,1)=":",IFERROR(INT(MID(metadata!C920,15,1))&gt;=0,FALSE),IFERROR(INT(MID(metadata!C920,15,1))&lt;=5,FALSE),NOT(MID(metadata!C920,16,1)=""),IFERROR(INT(MID(metadata!C920,15,2))&gt;=0,FALSE),IFERROR(INT(MID(metadata!C920,15,2))&lt;=59,FALSE)), OR(MID(metadata!C920,17,1)="", AND(AND(MID(metadata!C920,17,1)=":",IFERROR(INT(MID(metadata!C920,18,1))&gt;=0,FALSE),IFERROR(INT(MID(metadata!C920,18,1))&lt;=5,FALSE),NOT(MID(metadata!C920,19,1)=""),IFERROR(INT(MID(metadata!C920,18,2))&gt;=0,FALSE),IFERROR(INT(MID(metadata!C920,18,2))&lt;=59,FALSE)), LEN(metadata!C920)&lt;=19)))))))))))))</f>
        <v>0</v>
      </c>
      <c r="AD920">
        <f>IF(metadata!D920="",FALSE,TRUE)</f>
        <v>0</v>
      </c>
      <c r="AE920">
        <f>OR(AND(IF(metadata!E920="",FALSE,TRUE),OR(exact(metadata!E920,"missing: not collected"),exact(metadata!E920,"missing: not provided"))),AND(IF(metadata!E920="",FALSE,TRUE),OR(exact(metadata!E920,"TRUE"),exact(metadata!E920,"FALSE"))))</f>
        <v>0</v>
      </c>
      <c r="AF920">
        <f>IF(metadata!F920="",FALSE,TRUE)</f>
        <v>0</v>
      </c>
      <c r="AG920">
        <f>IF(metadata!G920="",FALSE,TRUE)</f>
        <v>0</v>
      </c>
      <c r="AH920">
        <f>IF(metadata!H920="",FALSE,TRUE)</f>
        <v>0</v>
      </c>
      <c r="AI920">
        <f>OR(AND(IF(metadata!I920="",FALSE,TRUE),OR(exact(metadata!I920,"missing: not collected"),exact(metadata!I920,"missing: not provided"),exact(metadata!I920,"missing: restricted access"))),AND(IF(metadata!I920="",FALSE,TRUE),OR(exact(metadata!I920,"air"),exact(metadata!I920,"built environment"),exact(metadata!I920,"host-associated"),exact(metadata!I920,"human-associated"),exact(metadata!I920,"human-skin"),exact(metadata!I920,"human-oral"),exact(metadata!I920,"human-gut"),exact(metadata!I920,"human-vaginal"),exact(metadata!I920,"microbial mat/biofilm"),exact(metadata!I920,"misc environment"),exact(metadata!I920,"plant-associated"),exact(metadata!I920,"sediment"),exact(metadata!I920,"soil"),exact(metadata!I920,"wastewater/sludge"),exact(metadata!I920,"water"))))</f>
        <v>0</v>
      </c>
      <c r="AJ920">
        <f>IF(metadata!J920="",FALSE,TRUE)</f>
        <v>0</v>
      </c>
      <c r="AK920">
        <f>OR(AND(IF(metadata!K920="",FALSE,TRUE),OR(exact(metadata!K920,"missing: not collected"),exact(metadata!K920,"missing: not provided"),exact(metadata!K920,"missing: restricted access"))),AND(IF(metadata!K920="",FALSE,ISNUMBER(VALUE(metadata!K920))),metadata!K920&gt;=-90.00,metadata!K920&lt;=90.00))</f>
        <v>0</v>
      </c>
      <c r="AL920">
        <f>OR(AND(IF(metadata!L920="",FALSE,TRUE),OR(exact(metadata!L920,"missing: not collected"),exact(metadata!L920,"missing: not provided"),exact(metadata!L920,"missing: restricted access"))),AND(IF(metadata!L920="",FALSE,ISNUMBER(VALUE(metadata!L920))),metadata!L920&gt;=-180.00,metadata!L920&lt;=180.00))</f>
        <v>0</v>
      </c>
      <c r="AM920">
        <f>IF(metadata!M920="",FALSE,TRUE)</f>
        <v>0</v>
      </c>
      <c r="AN920">
        <f>OR(AND(IF(metadata!N920="",FALSE,TRUE),OR(exact(metadata!N920,"missing: not collected"),exact(metadata!N920,"missing: not provided"),exact(metadata!N920,"missing: restricted access"))),AND(IF(metadata!N920="",FALSE,TRUE),OR(exact(metadata!N920,"TRUE"),exact(metadata!N920,"FALSE"))))</f>
        <v>0</v>
      </c>
      <c r="AO920">
        <f>IF(metadata!O920="",FALSE,TRUE)</f>
        <v>0</v>
      </c>
      <c r="AP920">
        <f>OR(AND(IF(metadata!P920="",FALSE,TRUE),OR(exact(metadata!P920,"missing: not collected"),exact(metadata!P920,"missing: not provided"))),AND(IF(metadata!P920="",FALSE,IF(ISERROR(INT(metadata!P920)),FALSE,INT(metadata!P920)=metadata!P920)),metadata!P920&gt;0))</f>
        <v>0</v>
      </c>
      <c r="AQ920">
        <f>IF(metadata!Q920="",FALSE,TRUE)</f>
        <v>0</v>
      </c>
    </row>
    <row r="921" spans="1:43">
      <c r="A921" s="5">
        <f>IF(B921=" "," ",HYPERLINK(CONCATENATE("#metadata!",ADDRESS(INDEX($W$2:$W$1001,MATCH(ROWS($U$2:U921),$U$2:$U$1001,0),0),1)),INDEX($Z$2:$Z$1001,MATCH(ROWS($U$2:U921),$U$2:$U$1001,0),0)))</f>
        <v>0</v>
      </c>
      <c r="B921" s="4">
        <f>IF(OR(INDEX($V$2:$V$1001,MATCH(ROWS($U$2:U921),$U$2:$U$1001,0),1)&gt;=100000,INDEX($AB$1005:$AQ$1005,1,MATCH(COLUMNS($AB$1006:AB1006),$AB$1006:$AQ$1006,0))&gt;=100000), " ",IF(INDEX($AB$2:$AQ$1001,MATCH(ROWS($U$2:U921),$U$2:$U$1001,0),MATCH(COLUMNS($AB$1006:AB1006),$AB$1006:$AQ$1006,0)), HYPERLINK("#",""), HYPERLINK(CONCATENATE("#metadata!", ADDRESS(INDEX($W$2:$W$1001,MATCH(ROWS($U$2:U921),$U$2:$U$1001,0),0), INDEX($AB$1004:$AQ$1004,1,MATCH(COLUMNS($AB$1006:AB1006),$AB$1006:$AQ$1006,0)))),"Fix")))</f>
        <v>0</v>
      </c>
      <c r="C921" s="4">
        <f>IF(OR(INDEX($V$2:$V$1001,MATCH(ROWS($U$2:U921),$U$2:$U$1001,0),1)&gt;=100000,INDEX($AB$1005:$AQ$1005,1,MATCH(COLUMNS($AB$1006:AC1006),$AB$1006:$AQ$1006,0))&gt;=100000), " ",IF(INDEX($AB$2:$AQ$1001,MATCH(ROWS($U$2:U921),$U$2:$U$1001,0),MATCH(COLUMNS($AB$1006:AC1006),$AB$1006:$AQ$1006,0)), HYPERLINK("#",""), HYPERLINK(CONCATENATE("#metadata!", ADDRESS(INDEX($W$2:$W$1001,MATCH(ROWS($U$2:U921),$U$2:$U$1001,0),0), INDEX($AB$1004:$AQ$1004,1,MATCH(COLUMNS($AB$1006:AC1006),$AB$1006:$AQ$1006,0)))),"Fix")))</f>
        <v>0</v>
      </c>
      <c r="D921" s="4">
        <f>IF(OR(INDEX($V$2:$V$1001,MATCH(ROWS($U$2:U921),$U$2:$U$1001,0),1)&gt;=100000,INDEX($AB$1005:$AQ$1005,1,MATCH(COLUMNS($AB$1006:AD1006),$AB$1006:$AQ$1006,0))&gt;=100000), " ",IF(INDEX($AB$2:$AQ$1001,MATCH(ROWS($U$2:U921),$U$2:$U$1001,0),MATCH(COLUMNS($AB$1006:AD1006),$AB$1006:$AQ$1006,0)), HYPERLINK("#",""), HYPERLINK(CONCATENATE("#metadata!", ADDRESS(INDEX($W$2:$W$1001,MATCH(ROWS($U$2:U921),$U$2:$U$1001,0),0), INDEX($AB$1004:$AQ$1004,1,MATCH(COLUMNS($AB$1006:AD1006),$AB$1006:$AQ$1006,0)))),"Fix")))</f>
        <v>0</v>
      </c>
      <c r="E921" s="4">
        <f>IF(OR(INDEX($V$2:$V$1001,MATCH(ROWS($U$2:U921),$U$2:$U$1001,0),1)&gt;=100000,INDEX($AB$1005:$AQ$1005,1,MATCH(COLUMNS($AB$1006:AE1006),$AB$1006:$AQ$1006,0))&gt;=100000), " ",IF(INDEX($AB$2:$AQ$1001,MATCH(ROWS($U$2:U921),$U$2:$U$1001,0),MATCH(COLUMNS($AB$1006:AE1006),$AB$1006:$AQ$1006,0)), HYPERLINK("#",""), HYPERLINK(CONCATENATE("#metadata!", ADDRESS(INDEX($W$2:$W$1001,MATCH(ROWS($U$2:U921),$U$2:$U$1001,0),0), INDEX($AB$1004:$AQ$1004,1,MATCH(COLUMNS($AB$1006:AE1006),$AB$1006:$AQ$1006,0)))),"Fix")))</f>
        <v>0</v>
      </c>
      <c r="F921" s="4">
        <f>IF(OR(INDEX($V$2:$V$1001,MATCH(ROWS($U$2:U921),$U$2:$U$1001,0),1)&gt;=100000,INDEX($AB$1005:$AQ$1005,1,MATCH(COLUMNS($AB$1006:AF1006),$AB$1006:$AQ$1006,0))&gt;=100000), " ",IF(INDEX($AB$2:$AQ$1001,MATCH(ROWS($U$2:U921),$U$2:$U$1001,0),MATCH(COLUMNS($AB$1006:AF1006),$AB$1006:$AQ$1006,0)), HYPERLINK("#",""), HYPERLINK(CONCATENATE("#metadata!", ADDRESS(INDEX($W$2:$W$1001,MATCH(ROWS($U$2:U921),$U$2:$U$1001,0),0), INDEX($AB$1004:$AQ$1004,1,MATCH(COLUMNS($AB$1006:AF1006),$AB$1006:$AQ$1006,0)))),"Fix")))</f>
        <v>0</v>
      </c>
      <c r="G921" s="4">
        <f>IF(OR(INDEX($V$2:$V$1001,MATCH(ROWS($U$2:U921),$U$2:$U$1001,0),1)&gt;=100000,INDEX($AB$1005:$AQ$1005,1,MATCH(COLUMNS($AB$1006:AG1006),$AB$1006:$AQ$1006,0))&gt;=100000), " ",IF(INDEX($AB$2:$AQ$1001,MATCH(ROWS($U$2:U921),$U$2:$U$1001,0),MATCH(COLUMNS($AB$1006:AG1006),$AB$1006:$AQ$1006,0)), HYPERLINK("#",""), HYPERLINK(CONCATENATE("#metadata!", ADDRESS(INDEX($W$2:$W$1001,MATCH(ROWS($U$2:U921),$U$2:$U$1001,0),0), INDEX($AB$1004:$AQ$1004,1,MATCH(COLUMNS($AB$1006:AG1006),$AB$1006:$AQ$1006,0)))),"Fix")))</f>
        <v>0</v>
      </c>
      <c r="H921" s="4">
        <f>IF(OR(INDEX($V$2:$V$1001,MATCH(ROWS($U$2:U921),$U$2:$U$1001,0),1)&gt;=100000,INDEX($AB$1005:$AQ$1005,1,MATCH(COLUMNS($AB$1006:AH1006),$AB$1006:$AQ$1006,0))&gt;=100000), " ",IF(INDEX($AB$2:$AQ$1001,MATCH(ROWS($U$2:U921),$U$2:$U$1001,0),MATCH(COLUMNS($AB$1006:AH1006),$AB$1006:$AQ$1006,0)), HYPERLINK("#",""), HYPERLINK(CONCATENATE("#metadata!", ADDRESS(INDEX($W$2:$W$1001,MATCH(ROWS($U$2:U921),$U$2:$U$1001,0),0), INDEX($AB$1004:$AQ$1004,1,MATCH(COLUMNS($AB$1006:AH1006),$AB$1006:$AQ$1006,0)))),"Fix")))</f>
        <v>0</v>
      </c>
      <c r="I921" s="4">
        <f>IF(OR(INDEX($V$2:$V$1001,MATCH(ROWS($U$2:U921),$U$2:$U$1001,0),1)&gt;=100000,INDEX($AB$1005:$AQ$1005,1,MATCH(COLUMNS($AB$1006:AI1006),$AB$1006:$AQ$1006,0))&gt;=100000), " ",IF(INDEX($AB$2:$AQ$1001,MATCH(ROWS($U$2:U921),$U$2:$U$1001,0),MATCH(COLUMNS($AB$1006:AI1006),$AB$1006:$AQ$1006,0)), HYPERLINK("#",""), HYPERLINK(CONCATENATE("#metadata!", ADDRESS(INDEX($W$2:$W$1001,MATCH(ROWS($U$2:U921),$U$2:$U$1001,0),0), INDEX($AB$1004:$AQ$1004,1,MATCH(COLUMNS($AB$1006:AI1006),$AB$1006:$AQ$1006,0)))),"Fix")))</f>
        <v>0</v>
      </c>
      <c r="J921" s="4">
        <f>IF(OR(INDEX($V$2:$V$1001,MATCH(ROWS($U$2:U921),$U$2:$U$1001,0),1)&gt;=100000,INDEX($AB$1005:$AQ$1005,1,MATCH(COLUMNS($AB$1006:AJ1006),$AB$1006:$AQ$1006,0))&gt;=100000), " ",IF(INDEX($AB$2:$AQ$1001,MATCH(ROWS($U$2:U921),$U$2:$U$1001,0),MATCH(COLUMNS($AB$1006:AJ1006),$AB$1006:$AQ$1006,0)), HYPERLINK("#",""), HYPERLINK(CONCATENATE("#metadata!", ADDRESS(INDEX($W$2:$W$1001,MATCH(ROWS($U$2:U921),$U$2:$U$1001,0),0), INDEX($AB$1004:$AQ$1004,1,MATCH(COLUMNS($AB$1006:AJ1006),$AB$1006:$AQ$1006,0)))),"Fix")))</f>
        <v>0</v>
      </c>
      <c r="K921" s="4">
        <f>IF(OR(INDEX($V$2:$V$1001,MATCH(ROWS($U$2:U921),$U$2:$U$1001,0),1)&gt;=100000,INDEX($AB$1005:$AQ$1005,1,MATCH(COLUMNS($AB$1006:AK1006),$AB$1006:$AQ$1006,0))&gt;=100000), " ",IF(INDEX($AB$2:$AQ$1001,MATCH(ROWS($U$2:U921),$U$2:$U$1001,0),MATCH(COLUMNS($AB$1006:AK1006),$AB$1006:$AQ$1006,0)), HYPERLINK("#",""), HYPERLINK(CONCATENATE("#metadata!", ADDRESS(INDEX($W$2:$W$1001,MATCH(ROWS($U$2:U921),$U$2:$U$1001,0),0), INDEX($AB$1004:$AQ$1004,1,MATCH(COLUMNS($AB$1006:AK1006),$AB$1006:$AQ$1006,0)))),"Fix")))</f>
        <v>0</v>
      </c>
      <c r="L921" s="4">
        <f>IF(OR(INDEX($V$2:$V$1001,MATCH(ROWS($U$2:U921),$U$2:$U$1001,0),1)&gt;=100000,INDEX($AB$1005:$AQ$1005,1,MATCH(COLUMNS($AB$1006:AL1006),$AB$1006:$AQ$1006,0))&gt;=100000), " ",IF(INDEX($AB$2:$AQ$1001,MATCH(ROWS($U$2:U921),$U$2:$U$1001,0),MATCH(COLUMNS($AB$1006:AL1006),$AB$1006:$AQ$1006,0)), HYPERLINK("#",""), HYPERLINK(CONCATENATE("#metadata!", ADDRESS(INDEX($W$2:$W$1001,MATCH(ROWS($U$2:U921),$U$2:$U$1001,0),0), INDEX($AB$1004:$AQ$1004,1,MATCH(COLUMNS($AB$1006:AL1006),$AB$1006:$AQ$1006,0)))),"Fix")))</f>
        <v>0</v>
      </c>
      <c r="M921" s="4">
        <f>IF(OR(INDEX($V$2:$V$1001,MATCH(ROWS($U$2:U921),$U$2:$U$1001,0),1)&gt;=100000,INDEX($AB$1005:$AQ$1005,1,MATCH(COLUMNS($AB$1006:AM1006),$AB$1006:$AQ$1006,0))&gt;=100000), " ",IF(INDEX($AB$2:$AQ$1001,MATCH(ROWS($U$2:U921),$U$2:$U$1001,0),MATCH(COLUMNS($AB$1006:AM1006),$AB$1006:$AQ$1006,0)), HYPERLINK("#",""), HYPERLINK(CONCATENATE("#metadata!", ADDRESS(INDEX($W$2:$W$1001,MATCH(ROWS($U$2:U921),$U$2:$U$1001,0),0), INDEX($AB$1004:$AQ$1004,1,MATCH(COLUMNS($AB$1006:AM1006),$AB$1006:$AQ$1006,0)))),"Fix")))</f>
        <v>0</v>
      </c>
      <c r="N921" s="4">
        <f>IF(OR(INDEX($V$2:$V$1001,MATCH(ROWS($U$2:U921),$U$2:$U$1001,0),1)&gt;=100000,INDEX($AB$1005:$AQ$1005,1,MATCH(COLUMNS($AB$1006:AN1006),$AB$1006:$AQ$1006,0))&gt;=100000), " ",IF(INDEX($AB$2:$AQ$1001,MATCH(ROWS($U$2:U921),$U$2:$U$1001,0),MATCH(COLUMNS($AB$1006:AN1006),$AB$1006:$AQ$1006,0)), HYPERLINK("#",""), HYPERLINK(CONCATENATE("#metadata!", ADDRESS(INDEX($W$2:$W$1001,MATCH(ROWS($U$2:U921),$U$2:$U$1001,0),0), INDEX($AB$1004:$AQ$1004,1,MATCH(COLUMNS($AB$1006:AN1006),$AB$1006:$AQ$1006,0)))),"Fix")))</f>
        <v>0</v>
      </c>
      <c r="O921" s="4">
        <f>IF(OR(INDEX($V$2:$V$1001,MATCH(ROWS($U$2:U921),$U$2:$U$1001,0),1)&gt;=100000,INDEX($AB$1005:$AQ$1005,1,MATCH(COLUMNS($AB$1006:AO1006),$AB$1006:$AQ$1006,0))&gt;=100000), " ",IF(INDEX($AB$2:$AQ$1001,MATCH(ROWS($U$2:U921),$U$2:$U$1001,0),MATCH(COLUMNS($AB$1006:AO1006),$AB$1006:$AQ$1006,0)), HYPERLINK("#",""), HYPERLINK(CONCATENATE("#metadata!", ADDRESS(INDEX($W$2:$W$1001,MATCH(ROWS($U$2:U921),$U$2:$U$1001,0),0), INDEX($AB$1004:$AQ$1004,1,MATCH(COLUMNS($AB$1006:AO1006),$AB$1006:$AQ$1006,0)))),"Fix")))</f>
        <v>0</v>
      </c>
      <c r="P921" s="4">
        <f>IF(OR(INDEX($V$2:$V$1001,MATCH(ROWS($U$2:U921),$U$2:$U$1001,0),1)&gt;=100000,INDEX($AB$1005:$AQ$1005,1,MATCH(COLUMNS($AB$1006:AP1006),$AB$1006:$AQ$1006,0))&gt;=100000), " ",IF(INDEX($AB$2:$AQ$1001,MATCH(ROWS($U$2:U921),$U$2:$U$1001,0),MATCH(COLUMNS($AB$1006:AP1006),$AB$1006:$AQ$1006,0)), HYPERLINK("#",""), HYPERLINK(CONCATENATE("#metadata!", ADDRESS(INDEX($W$2:$W$1001,MATCH(ROWS($U$2:U921),$U$2:$U$1001,0),0), INDEX($AB$1004:$AQ$1004,1,MATCH(COLUMNS($AB$1006:AP1006),$AB$1006:$AQ$1006,0)))),"Fix")))</f>
        <v>0</v>
      </c>
      <c r="Q921" s="4">
        <f>IF(OR(INDEX($V$2:$V$1001,MATCH(ROWS($U$2:U921),$U$2:$U$1001,0),1)&gt;=100000,INDEX($AB$1005:$AQ$1005,1,MATCH(COLUMNS($AB$1006:AQ1006),$AB$1006:$AQ$1006,0))&gt;=100000), " ",IF(INDEX($AB$2:$AQ$1001,MATCH(ROWS($U$2:U921),$U$2:$U$1001,0),MATCH(COLUMNS($AB$1006:AQ1006),$AB$1006:$AQ$1006,0)), HYPERLINK("#",""), HYPERLINK(CONCATENATE("#metadata!", ADDRESS(INDEX($W$2:$W$1001,MATCH(ROWS($U$2:U921),$U$2:$U$1001,0),0), INDEX($AB$1004:$AQ$1004,1,MATCH(COLUMNS($AB$1006:AQ1006),$AB$1006:$AQ$1006,0)))),"Fix")))</f>
        <v>0</v>
      </c>
      <c r="U921">
        <v>0</v>
      </c>
      <c r="V921">
        <v>0</v>
      </c>
      <c r="W921">
        <v>0</v>
      </c>
      <c r="X921">
        <f>IF(Y921,TRUE,AND(AB921:AQ921))</f>
        <v>0</v>
      </c>
      <c r="Y921">
        <f>COUNTBLANK(metadata!B921:Q921)=COLUMNS(metadata!B921:Q921)</f>
        <v>0</v>
      </c>
      <c r="Z921">
        <v>0</v>
      </c>
      <c r="AB921">
        <f>AND(IF(metadata!B921="",FALSE,TRUE),COUNTIF(metadata!B:B, metadata!B921) = 1,NOT(ISERROR(SUMPRODUCT(SEARCH(MID(metadata!B921,ROW(INDIRECT("1:"&amp;LEN(metadata!B921))), 1),"0123456789abcdefghijklmnopqrstuvwxyzABCDEFGHIJKLMNOPQRSTUVWXYZ.")))))</f>
        <v>0</v>
      </c>
      <c r="AC921">
        <f>OR(AND(IF(metadata!C921="",FALSE,TRUE),OR(exact(metadata!C921,"missing: not collected"),exact(metadata!C921,"missing: not provided"),exact(metadata!C921,"missing: restricted access"))),AND(IF(metadata!C921="",FALSE,TRUE),AND(AND(IFERROR(INT(LEFT(metadata!C921,4))&gt;1900,FALSE),IFERROR(INT(LEFT(metadata!C921,4))&lt;=YEAR(NOW()),FALSE)), OR(MID(metadata!C921,5,1)="", AND(AND(MID(metadata!C921,5,1)="-",IFERROR(INT(MID(metadata!C921,6,1))&gt;=0,FALSE),IFERROR(INT(MID(metadata!C921,6,1))&lt;=1,FALSE),NOT(MID(metadata!C921,7,1)=""),IFERROR(INT(MID(metadata!C921,6,2))&gt;=1,FALSE),IFERROR(INT(MID(metadata!C921,6,2))&lt;=12,FALSE)), OR(MID(metadata!C921,8,1)="", AND(AND(MID(metadata!C921,8,1)="-",IFERROR(INT(MID(metadata!C921,9,1))&gt;=0,FALSE),IFERROR(INT(MID(metadata!C921,9,1))&lt;=3,FALSE),NOT(MID(metadata!C921,10,1)=""),IFERROR(INT(MID(metadata!C921,9,2))&gt;=1,FALSE),IFERROR(INT(MID(metadata!C921,9,2))&lt;=31,FALSE)), OR(MID(metadata!C921,11,1)="", AND(AND(MID(metadata!C921,11,1)=" ",IFERROR(INT(MID(metadata!C921,12,1))&gt;=0,FALSE),IFERROR(INT(MID(metadata!C921,12,1))&lt;=2,FALSE),NOT(MID(metadata!C921,13,1)=""),IFERROR(INT(MID(metadata!C921,12,2))&gt;=0,FALSE),IFERROR(INT(MID(metadata!C921,12,2))&lt;=23,FALSE)), OR(MID(metadata!C921,14,1)="", AND(AND(MID(metadata!C921,14,1)=":",IFERROR(INT(MID(metadata!C921,15,1))&gt;=0,FALSE),IFERROR(INT(MID(metadata!C921,15,1))&lt;=5,FALSE),NOT(MID(metadata!C921,16,1)=""),IFERROR(INT(MID(metadata!C921,15,2))&gt;=0,FALSE),IFERROR(INT(MID(metadata!C921,15,2))&lt;=59,FALSE)), OR(MID(metadata!C921,17,1)="", AND(AND(MID(metadata!C921,17,1)=":",IFERROR(INT(MID(metadata!C921,18,1))&gt;=0,FALSE),IFERROR(INT(MID(metadata!C921,18,1))&lt;=5,FALSE),NOT(MID(metadata!C921,19,1)=""),IFERROR(INT(MID(metadata!C921,18,2))&gt;=0,FALSE),IFERROR(INT(MID(metadata!C921,18,2))&lt;=59,FALSE)), LEN(metadata!C921)&lt;=19)))))))))))))</f>
        <v>0</v>
      </c>
      <c r="AD921">
        <f>IF(metadata!D921="",FALSE,TRUE)</f>
        <v>0</v>
      </c>
      <c r="AE921">
        <f>OR(AND(IF(metadata!E921="",FALSE,TRUE),OR(exact(metadata!E921,"missing: not collected"),exact(metadata!E921,"missing: not provided"))),AND(IF(metadata!E921="",FALSE,TRUE),OR(exact(metadata!E921,"TRUE"),exact(metadata!E921,"FALSE"))))</f>
        <v>0</v>
      </c>
      <c r="AF921">
        <f>IF(metadata!F921="",FALSE,TRUE)</f>
        <v>0</v>
      </c>
      <c r="AG921">
        <f>IF(metadata!G921="",FALSE,TRUE)</f>
        <v>0</v>
      </c>
      <c r="AH921">
        <f>IF(metadata!H921="",FALSE,TRUE)</f>
        <v>0</v>
      </c>
      <c r="AI921">
        <f>OR(AND(IF(metadata!I921="",FALSE,TRUE),OR(exact(metadata!I921,"missing: not collected"),exact(metadata!I921,"missing: not provided"),exact(metadata!I921,"missing: restricted access"))),AND(IF(metadata!I921="",FALSE,TRUE),OR(exact(metadata!I921,"air"),exact(metadata!I921,"built environment"),exact(metadata!I921,"host-associated"),exact(metadata!I921,"human-associated"),exact(metadata!I921,"human-skin"),exact(metadata!I921,"human-oral"),exact(metadata!I921,"human-gut"),exact(metadata!I921,"human-vaginal"),exact(metadata!I921,"microbial mat/biofilm"),exact(metadata!I921,"misc environment"),exact(metadata!I921,"plant-associated"),exact(metadata!I921,"sediment"),exact(metadata!I921,"soil"),exact(metadata!I921,"wastewater/sludge"),exact(metadata!I921,"water"))))</f>
        <v>0</v>
      </c>
      <c r="AJ921">
        <f>IF(metadata!J921="",FALSE,TRUE)</f>
        <v>0</v>
      </c>
      <c r="AK921">
        <f>OR(AND(IF(metadata!K921="",FALSE,TRUE),OR(exact(metadata!K921,"missing: not collected"),exact(metadata!K921,"missing: not provided"),exact(metadata!K921,"missing: restricted access"))),AND(IF(metadata!K921="",FALSE,ISNUMBER(VALUE(metadata!K921))),metadata!K921&gt;=-90.00,metadata!K921&lt;=90.00))</f>
        <v>0</v>
      </c>
      <c r="AL921">
        <f>OR(AND(IF(metadata!L921="",FALSE,TRUE),OR(exact(metadata!L921,"missing: not collected"),exact(metadata!L921,"missing: not provided"),exact(metadata!L921,"missing: restricted access"))),AND(IF(metadata!L921="",FALSE,ISNUMBER(VALUE(metadata!L921))),metadata!L921&gt;=-180.00,metadata!L921&lt;=180.00))</f>
        <v>0</v>
      </c>
      <c r="AM921">
        <f>IF(metadata!M921="",FALSE,TRUE)</f>
        <v>0</v>
      </c>
      <c r="AN921">
        <f>OR(AND(IF(metadata!N921="",FALSE,TRUE),OR(exact(metadata!N921,"missing: not collected"),exact(metadata!N921,"missing: not provided"),exact(metadata!N921,"missing: restricted access"))),AND(IF(metadata!N921="",FALSE,TRUE),OR(exact(metadata!N921,"TRUE"),exact(metadata!N921,"FALSE"))))</f>
        <v>0</v>
      </c>
      <c r="AO921">
        <f>IF(metadata!O921="",FALSE,TRUE)</f>
        <v>0</v>
      </c>
      <c r="AP921">
        <f>OR(AND(IF(metadata!P921="",FALSE,TRUE),OR(exact(metadata!P921,"missing: not collected"),exact(metadata!P921,"missing: not provided"))),AND(IF(metadata!P921="",FALSE,IF(ISERROR(INT(metadata!P921)),FALSE,INT(metadata!P921)=metadata!P921)),metadata!P921&gt;0))</f>
        <v>0</v>
      </c>
      <c r="AQ921">
        <f>IF(metadata!Q921="",FALSE,TRUE)</f>
        <v>0</v>
      </c>
    </row>
    <row r="922" spans="1:43">
      <c r="A922" s="5">
        <f>IF(B922=" "," ",HYPERLINK(CONCATENATE("#metadata!",ADDRESS(INDEX($W$2:$W$1001,MATCH(ROWS($U$2:U922),$U$2:$U$1001,0),0),1)),INDEX($Z$2:$Z$1001,MATCH(ROWS($U$2:U922),$U$2:$U$1001,0),0)))</f>
        <v>0</v>
      </c>
      <c r="B922" s="4">
        <f>IF(OR(INDEX($V$2:$V$1001,MATCH(ROWS($U$2:U922),$U$2:$U$1001,0),1)&gt;=100000,INDEX($AB$1005:$AQ$1005,1,MATCH(COLUMNS($AB$1006:AB1006),$AB$1006:$AQ$1006,0))&gt;=100000), " ",IF(INDEX($AB$2:$AQ$1001,MATCH(ROWS($U$2:U922),$U$2:$U$1001,0),MATCH(COLUMNS($AB$1006:AB1006),$AB$1006:$AQ$1006,0)), HYPERLINK("#",""), HYPERLINK(CONCATENATE("#metadata!", ADDRESS(INDEX($W$2:$W$1001,MATCH(ROWS($U$2:U922),$U$2:$U$1001,0),0), INDEX($AB$1004:$AQ$1004,1,MATCH(COLUMNS($AB$1006:AB1006),$AB$1006:$AQ$1006,0)))),"Fix")))</f>
        <v>0</v>
      </c>
      <c r="C922" s="4">
        <f>IF(OR(INDEX($V$2:$V$1001,MATCH(ROWS($U$2:U922),$U$2:$U$1001,0),1)&gt;=100000,INDEX($AB$1005:$AQ$1005,1,MATCH(COLUMNS($AB$1006:AC1006),$AB$1006:$AQ$1006,0))&gt;=100000), " ",IF(INDEX($AB$2:$AQ$1001,MATCH(ROWS($U$2:U922),$U$2:$U$1001,0),MATCH(COLUMNS($AB$1006:AC1006),$AB$1006:$AQ$1006,0)), HYPERLINK("#",""), HYPERLINK(CONCATENATE("#metadata!", ADDRESS(INDEX($W$2:$W$1001,MATCH(ROWS($U$2:U922),$U$2:$U$1001,0),0), INDEX($AB$1004:$AQ$1004,1,MATCH(COLUMNS($AB$1006:AC1006),$AB$1006:$AQ$1006,0)))),"Fix")))</f>
        <v>0</v>
      </c>
      <c r="D922" s="4">
        <f>IF(OR(INDEX($V$2:$V$1001,MATCH(ROWS($U$2:U922),$U$2:$U$1001,0),1)&gt;=100000,INDEX($AB$1005:$AQ$1005,1,MATCH(COLUMNS($AB$1006:AD1006),$AB$1006:$AQ$1006,0))&gt;=100000), " ",IF(INDEX($AB$2:$AQ$1001,MATCH(ROWS($U$2:U922),$U$2:$U$1001,0),MATCH(COLUMNS($AB$1006:AD1006),$AB$1006:$AQ$1006,0)), HYPERLINK("#",""), HYPERLINK(CONCATENATE("#metadata!", ADDRESS(INDEX($W$2:$W$1001,MATCH(ROWS($U$2:U922),$U$2:$U$1001,0),0), INDEX($AB$1004:$AQ$1004,1,MATCH(COLUMNS($AB$1006:AD1006),$AB$1006:$AQ$1006,0)))),"Fix")))</f>
        <v>0</v>
      </c>
      <c r="E922" s="4">
        <f>IF(OR(INDEX($V$2:$V$1001,MATCH(ROWS($U$2:U922),$U$2:$U$1001,0),1)&gt;=100000,INDEX($AB$1005:$AQ$1005,1,MATCH(COLUMNS($AB$1006:AE1006),$AB$1006:$AQ$1006,0))&gt;=100000), " ",IF(INDEX($AB$2:$AQ$1001,MATCH(ROWS($U$2:U922),$U$2:$U$1001,0),MATCH(COLUMNS($AB$1006:AE1006),$AB$1006:$AQ$1006,0)), HYPERLINK("#",""), HYPERLINK(CONCATENATE("#metadata!", ADDRESS(INDEX($W$2:$W$1001,MATCH(ROWS($U$2:U922),$U$2:$U$1001,0),0), INDEX($AB$1004:$AQ$1004,1,MATCH(COLUMNS($AB$1006:AE1006),$AB$1006:$AQ$1006,0)))),"Fix")))</f>
        <v>0</v>
      </c>
      <c r="F922" s="4">
        <f>IF(OR(INDEX($V$2:$V$1001,MATCH(ROWS($U$2:U922),$U$2:$U$1001,0),1)&gt;=100000,INDEX($AB$1005:$AQ$1005,1,MATCH(COLUMNS($AB$1006:AF1006),$AB$1006:$AQ$1006,0))&gt;=100000), " ",IF(INDEX($AB$2:$AQ$1001,MATCH(ROWS($U$2:U922),$U$2:$U$1001,0),MATCH(COLUMNS($AB$1006:AF1006),$AB$1006:$AQ$1006,0)), HYPERLINK("#",""), HYPERLINK(CONCATENATE("#metadata!", ADDRESS(INDEX($W$2:$W$1001,MATCH(ROWS($U$2:U922),$U$2:$U$1001,0),0), INDEX($AB$1004:$AQ$1004,1,MATCH(COLUMNS($AB$1006:AF1006),$AB$1006:$AQ$1006,0)))),"Fix")))</f>
        <v>0</v>
      </c>
      <c r="G922" s="4">
        <f>IF(OR(INDEX($V$2:$V$1001,MATCH(ROWS($U$2:U922),$U$2:$U$1001,0),1)&gt;=100000,INDEX($AB$1005:$AQ$1005,1,MATCH(COLUMNS($AB$1006:AG1006),$AB$1006:$AQ$1006,0))&gt;=100000), " ",IF(INDEX($AB$2:$AQ$1001,MATCH(ROWS($U$2:U922),$U$2:$U$1001,0),MATCH(COLUMNS($AB$1006:AG1006),$AB$1006:$AQ$1006,0)), HYPERLINK("#",""), HYPERLINK(CONCATENATE("#metadata!", ADDRESS(INDEX($W$2:$W$1001,MATCH(ROWS($U$2:U922),$U$2:$U$1001,0),0), INDEX($AB$1004:$AQ$1004,1,MATCH(COLUMNS($AB$1006:AG1006),$AB$1006:$AQ$1006,0)))),"Fix")))</f>
        <v>0</v>
      </c>
      <c r="H922" s="4">
        <f>IF(OR(INDEX($V$2:$V$1001,MATCH(ROWS($U$2:U922),$U$2:$U$1001,0),1)&gt;=100000,INDEX($AB$1005:$AQ$1005,1,MATCH(COLUMNS($AB$1006:AH1006),$AB$1006:$AQ$1006,0))&gt;=100000), " ",IF(INDEX($AB$2:$AQ$1001,MATCH(ROWS($U$2:U922),$U$2:$U$1001,0),MATCH(COLUMNS($AB$1006:AH1006),$AB$1006:$AQ$1006,0)), HYPERLINK("#",""), HYPERLINK(CONCATENATE("#metadata!", ADDRESS(INDEX($W$2:$W$1001,MATCH(ROWS($U$2:U922),$U$2:$U$1001,0),0), INDEX($AB$1004:$AQ$1004,1,MATCH(COLUMNS($AB$1006:AH1006),$AB$1006:$AQ$1006,0)))),"Fix")))</f>
        <v>0</v>
      </c>
      <c r="I922" s="4">
        <f>IF(OR(INDEX($V$2:$V$1001,MATCH(ROWS($U$2:U922),$U$2:$U$1001,0),1)&gt;=100000,INDEX($AB$1005:$AQ$1005,1,MATCH(COLUMNS($AB$1006:AI1006),$AB$1006:$AQ$1006,0))&gt;=100000), " ",IF(INDEX($AB$2:$AQ$1001,MATCH(ROWS($U$2:U922),$U$2:$U$1001,0),MATCH(COLUMNS($AB$1006:AI1006),$AB$1006:$AQ$1006,0)), HYPERLINK("#",""), HYPERLINK(CONCATENATE("#metadata!", ADDRESS(INDEX($W$2:$W$1001,MATCH(ROWS($U$2:U922),$U$2:$U$1001,0),0), INDEX($AB$1004:$AQ$1004,1,MATCH(COLUMNS($AB$1006:AI1006),$AB$1006:$AQ$1006,0)))),"Fix")))</f>
        <v>0</v>
      </c>
      <c r="J922" s="4">
        <f>IF(OR(INDEX($V$2:$V$1001,MATCH(ROWS($U$2:U922),$U$2:$U$1001,0),1)&gt;=100000,INDEX($AB$1005:$AQ$1005,1,MATCH(COLUMNS($AB$1006:AJ1006),$AB$1006:$AQ$1006,0))&gt;=100000), " ",IF(INDEX($AB$2:$AQ$1001,MATCH(ROWS($U$2:U922),$U$2:$U$1001,0),MATCH(COLUMNS($AB$1006:AJ1006),$AB$1006:$AQ$1006,0)), HYPERLINK("#",""), HYPERLINK(CONCATENATE("#metadata!", ADDRESS(INDEX($W$2:$W$1001,MATCH(ROWS($U$2:U922),$U$2:$U$1001,0),0), INDEX($AB$1004:$AQ$1004,1,MATCH(COLUMNS($AB$1006:AJ1006),$AB$1006:$AQ$1006,0)))),"Fix")))</f>
        <v>0</v>
      </c>
      <c r="K922" s="4">
        <f>IF(OR(INDEX($V$2:$V$1001,MATCH(ROWS($U$2:U922),$U$2:$U$1001,0),1)&gt;=100000,INDEX($AB$1005:$AQ$1005,1,MATCH(COLUMNS($AB$1006:AK1006),$AB$1006:$AQ$1006,0))&gt;=100000), " ",IF(INDEX($AB$2:$AQ$1001,MATCH(ROWS($U$2:U922),$U$2:$U$1001,0),MATCH(COLUMNS($AB$1006:AK1006),$AB$1006:$AQ$1006,0)), HYPERLINK("#",""), HYPERLINK(CONCATENATE("#metadata!", ADDRESS(INDEX($W$2:$W$1001,MATCH(ROWS($U$2:U922),$U$2:$U$1001,0),0), INDEX($AB$1004:$AQ$1004,1,MATCH(COLUMNS($AB$1006:AK1006),$AB$1006:$AQ$1006,0)))),"Fix")))</f>
        <v>0</v>
      </c>
      <c r="L922" s="4">
        <f>IF(OR(INDEX($V$2:$V$1001,MATCH(ROWS($U$2:U922),$U$2:$U$1001,0),1)&gt;=100000,INDEX($AB$1005:$AQ$1005,1,MATCH(COLUMNS($AB$1006:AL1006),$AB$1006:$AQ$1006,0))&gt;=100000), " ",IF(INDEX($AB$2:$AQ$1001,MATCH(ROWS($U$2:U922),$U$2:$U$1001,0),MATCH(COLUMNS($AB$1006:AL1006),$AB$1006:$AQ$1006,0)), HYPERLINK("#",""), HYPERLINK(CONCATENATE("#metadata!", ADDRESS(INDEX($W$2:$W$1001,MATCH(ROWS($U$2:U922),$U$2:$U$1001,0),0), INDEX($AB$1004:$AQ$1004,1,MATCH(COLUMNS($AB$1006:AL1006),$AB$1006:$AQ$1006,0)))),"Fix")))</f>
        <v>0</v>
      </c>
      <c r="M922" s="4">
        <f>IF(OR(INDEX($V$2:$V$1001,MATCH(ROWS($U$2:U922),$U$2:$U$1001,0),1)&gt;=100000,INDEX($AB$1005:$AQ$1005,1,MATCH(COLUMNS($AB$1006:AM1006),$AB$1006:$AQ$1006,0))&gt;=100000), " ",IF(INDEX($AB$2:$AQ$1001,MATCH(ROWS($U$2:U922),$U$2:$U$1001,0),MATCH(COLUMNS($AB$1006:AM1006),$AB$1006:$AQ$1006,0)), HYPERLINK("#",""), HYPERLINK(CONCATENATE("#metadata!", ADDRESS(INDEX($W$2:$W$1001,MATCH(ROWS($U$2:U922),$U$2:$U$1001,0),0), INDEX($AB$1004:$AQ$1004,1,MATCH(COLUMNS($AB$1006:AM1006),$AB$1006:$AQ$1006,0)))),"Fix")))</f>
        <v>0</v>
      </c>
      <c r="N922" s="4">
        <f>IF(OR(INDEX($V$2:$V$1001,MATCH(ROWS($U$2:U922),$U$2:$U$1001,0),1)&gt;=100000,INDEX($AB$1005:$AQ$1005,1,MATCH(COLUMNS($AB$1006:AN1006),$AB$1006:$AQ$1006,0))&gt;=100000), " ",IF(INDEX($AB$2:$AQ$1001,MATCH(ROWS($U$2:U922),$U$2:$U$1001,0),MATCH(COLUMNS($AB$1006:AN1006),$AB$1006:$AQ$1006,0)), HYPERLINK("#",""), HYPERLINK(CONCATENATE("#metadata!", ADDRESS(INDEX($W$2:$W$1001,MATCH(ROWS($U$2:U922),$U$2:$U$1001,0),0), INDEX($AB$1004:$AQ$1004,1,MATCH(COLUMNS($AB$1006:AN1006),$AB$1006:$AQ$1006,0)))),"Fix")))</f>
        <v>0</v>
      </c>
      <c r="O922" s="4">
        <f>IF(OR(INDEX($V$2:$V$1001,MATCH(ROWS($U$2:U922),$U$2:$U$1001,0),1)&gt;=100000,INDEX($AB$1005:$AQ$1005,1,MATCH(COLUMNS($AB$1006:AO1006),$AB$1006:$AQ$1006,0))&gt;=100000), " ",IF(INDEX($AB$2:$AQ$1001,MATCH(ROWS($U$2:U922),$U$2:$U$1001,0),MATCH(COLUMNS($AB$1006:AO1006),$AB$1006:$AQ$1006,0)), HYPERLINK("#",""), HYPERLINK(CONCATENATE("#metadata!", ADDRESS(INDEX($W$2:$W$1001,MATCH(ROWS($U$2:U922),$U$2:$U$1001,0),0), INDEX($AB$1004:$AQ$1004,1,MATCH(COLUMNS($AB$1006:AO1006),$AB$1006:$AQ$1006,0)))),"Fix")))</f>
        <v>0</v>
      </c>
      <c r="P922" s="4">
        <f>IF(OR(INDEX($V$2:$V$1001,MATCH(ROWS($U$2:U922),$U$2:$U$1001,0),1)&gt;=100000,INDEX($AB$1005:$AQ$1005,1,MATCH(COLUMNS($AB$1006:AP1006),$AB$1006:$AQ$1006,0))&gt;=100000), " ",IF(INDEX($AB$2:$AQ$1001,MATCH(ROWS($U$2:U922),$U$2:$U$1001,0),MATCH(COLUMNS($AB$1006:AP1006),$AB$1006:$AQ$1006,0)), HYPERLINK("#",""), HYPERLINK(CONCATENATE("#metadata!", ADDRESS(INDEX($W$2:$W$1001,MATCH(ROWS($U$2:U922),$U$2:$U$1001,0),0), INDEX($AB$1004:$AQ$1004,1,MATCH(COLUMNS($AB$1006:AP1006),$AB$1006:$AQ$1006,0)))),"Fix")))</f>
        <v>0</v>
      </c>
      <c r="Q922" s="4">
        <f>IF(OR(INDEX($V$2:$V$1001,MATCH(ROWS($U$2:U922),$U$2:$U$1001,0),1)&gt;=100000,INDEX($AB$1005:$AQ$1005,1,MATCH(COLUMNS($AB$1006:AQ1006),$AB$1006:$AQ$1006,0))&gt;=100000), " ",IF(INDEX($AB$2:$AQ$1001,MATCH(ROWS($U$2:U922),$U$2:$U$1001,0),MATCH(COLUMNS($AB$1006:AQ1006),$AB$1006:$AQ$1006,0)), HYPERLINK("#",""), HYPERLINK(CONCATENATE("#metadata!", ADDRESS(INDEX($W$2:$W$1001,MATCH(ROWS($U$2:U922),$U$2:$U$1001,0),0), INDEX($AB$1004:$AQ$1004,1,MATCH(COLUMNS($AB$1006:AQ1006),$AB$1006:$AQ$1006,0)))),"Fix")))</f>
        <v>0</v>
      </c>
      <c r="U922">
        <v>0</v>
      </c>
      <c r="V922">
        <v>0</v>
      </c>
      <c r="W922">
        <v>0</v>
      </c>
      <c r="X922">
        <f>IF(Y922,TRUE,AND(AB922:AQ922))</f>
        <v>0</v>
      </c>
      <c r="Y922">
        <f>COUNTBLANK(metadata!B922:Q922)=COLUMNS(metadata!B922:Q922)</f>
        <v>0</v>
      </c>
      <c r="Z922">
        <v>0</v>
      </c>
      <c r="AB922">
        <f>AND(IF(metadata!B922="",FALSE,TRUE),COUNTIF(metadata!B:B, metadata!B922) = 1,NOT(ISERROR(SUMPRODUCT(SEARCH(MID(metadata!B922,ROW(INDIRECT("1:"&amp;LEN(metadata!B922))), 1),"0123456789abcdefghijklmnopqrstuvwxyzABCDEFGHIJKLMNOPQRSTUVWXYZ.")))))</f>
        <v>0</v>
      </c>
      <c r="AC922">
        <f>OR(AND(IF(metadata!C922="",FALSE,TRUE),OR(exact(metadata!C922,"missing: not collected"),exact(metadata!C922,"missing: not provided"),exact(metadata!C922,"missing: restricted access"))),AND(IF(metadata!C922="",FALSE,TRUE),AND(AND(IFERROR(INT(LEFT(metadata!C922,4))&gt;1900,FALSE),IFERROR(INT(LEFT(metadata!C922,4))&lt;=YEAR(NOW()),FALSE)), OR(MID(metadata!C922,5,1)="", AND(AND(MID(metadata!C922,5,1)="-",IFERROR(INT(MID(metadata!C922,6,1))&gt;=0,FALSE),IFERROR(INT(MID(metadata!C922,6,1))&lt;=1,FALSE),NOT(MID(metadata!C922,7,1)=""),IFERROR(INT(MID(metadata!C922,6,2))&gt;=1,FALSE),IFERROR(INT(MID(metadata!C922,6,2))&lt;=12,FALSE)), OR(MID(metadata!C922,8,1)="", AND(AND(MID(metadata!C922,8,1)="-",IFERROR(INT(MID(metadata!C922,9,1))&gt;=0,FALSE),IFERROR(INT(MID(metadata!C922,9,1))&lt;=3,FALSE),NOT(MID(metadata!C922,10,1)=""),IFERROR(INT(MID(metadata!C922,9,2))&gt;=1,FALSE),IFERROR(INT(MID(metadata!C922,9,2))&lt;=31,FALSE)), OR(MID(metadata!C922,11,1)="", AND(AND(MID(metadata!C922,11,1)=" ",IFERROR(INT(MID(metadata!C922,12,1))&gt;=0,FALSE),IFERROR(INT(MID(metadata!C922,12,1))&lt;=2,FALSE),NOT(MID(metadata!C922,13,1)=""),IFERROR(INT(MID(metadata!C922,12,2))&gt;=0,FALSE),IFERROR(INT(MID(metadata!C922,12,2))&lt;=23,FALSE)), OR(MID(metadata!C922,14,1)="", AND(AND(MID(metadata!C922,14,1)=":",IFERROR(INT(MID(metadata!C922,15,1))&gt;=0,FALSE),IFERROR(INT(MID(metadata!C922,15,1))&lt;=5,FALSE),NOT(MID(metadata!C922,16,1)=""),IFERROR(INT(MID(metadata!C922,15,2))&gt;=0,FALSE),IFERROR(INT(MID(metadata!C922,15,2))&lt;=59,FALSE)), OR(MID(metadata!C922,17,1)="", AND(AND(MID(metadata!C922,17,1)=":",IFERROR(INT(MID(metadata!C922,18,1))&gt;=0,FALSE),IFERROR(INT(MID(metadata!C922,18,1))&lt;=5,FALSE),NOT(MID(metadata!C922,19,1)=""),IFERROR(INT(MID(metadata!C922,18,2))&gt;=0,FALSE),IFERROR(INT(MID(metadata!C922,18,2))&lt;=59,FALSE)), LEN(metadata!C922)&lt;=19)))))))))))))</f>
        <v>0</v>
      </c>
      <c r="AD922">
        <f>IF(metadata!D922="",FALSE,TRUE)</f>
        <v>0</v>
      </c>
      <c r="AE922">
        <f>OR(AND(IF(metadata!E922="",FALSE,TRUE),OR(exact(metadata!E922,"missing: not collected"),exact(metadata!E922,"missing: not provided"))),AND(IF(metadata!E922="",FALSE,TRUE),OR(exact(metadata!E922,"TRUE"),exact(metadata!E922,"FALSE"))))</f>
        <v>0</v>
      </c>
      <c r="AF922">
        <f>IF(metadata!F922="",FALSE,TRUE)</f>
        <v>0</v>
      </c>
      <c r="AG922">
        <f>IF(metadata!G922="",FALSE,TRUE)</f>
        <v>0</v>
      </c>
      <c r="AH922">
        <f>IF(metadata!H922="",FALSE,TRUE)</f>
        <v>0</v>
      </c>
      <c r="AI922">
        <f>OR(AND(IF(metadata!I922="",FALSE,TRUE),OR(exact(metadata!I922,"missing: not collected"),exact(metadata!I922,"missing: not provided"),exact(metadata!I922,"missing: restricted access"))),AND(IF(metadata!I922="",FALSE,TRUE),OR(exact(metadata!I922,"air"),exact(metadata!I922,"built environment"),exact(metadata!I922,"host-associated"),exact(metadata!I922,"human-associated"),exact(metadata!I922,"human-skin"),exact(metadata!I922,"human-oral"),exact(metadata!I922,"human-gut"),exact(metadata!I922,"human-vaginal"),exact(metadata!I922,"microbial mat/biofilm"),exact(metadata!I922,"misc environment"),exact(metadata!I922,"plant-associated"),exact(metadata!I922,"sediment"),exact(metadata!I922,"soil"),exact(metadata!I922,"wastewater/sludge"),exact(metadata!I922,"water"))))</f>
        <v>0</v>
      </c>
      <c r="AJ922">
        <f>IF(metadata!J922="",FALSE,TRUE)</f>
        <v>0</v>
      </c>
      <c r="AK922">
        <f>OR(AND(IF(metadata!K922="",FALSE,TRUE),OR(exact(metadata!K922,"missing: not collected"),exact(metadata!K922,"missing: not provided"),exact(metadata!K922,"missing: restricted access"))),AND(IF(metadata!K922="",FALSE,ISNUMBER(VALUE(metadata!K922))),metadata!K922&gt;=-90.00,metadata!K922&lt;=90.00))</f>
        <v>0</v>
      </c>
      <c r="AL922">
        <f>OR(AND(IF(metadata!L922="",FALSE,TRUE),OR(exact(metadata!L922,"missing: not collected"),exact(metadata!L922,"missing: not provided"),exact(metadata!L922,"missing: restricted access"))),AND(IF(metadata!L922="",FALSE,ISNUMBER(VALUE(metadata!L922))),metadata!L922&gt;=-180.00,metadata!L922&lt;=180.00))</f>
        <v>0</v>
      </c>
      <c r="AM922">
        <f>IF(metadata!M922="",FALSE,TRUE)</f>
        <v>0</v>
      </c>
      <c r="AN922">
        <f>OR(AND(IF(metadata!N922="",FALSE,TRUE),OR(exact(metadata!N922,"missing: not collected"),exact(metadata!N922,"missing: not provided"),exact(metadata!N922,"missing: restricted access"))),AND(IF(metadata!N922="",FALSE,TRUE),OR(exact(metadata!N922,"TRUE"),exact(metadata!N922,"FALSE"))))</f>
        <v>0</v>
      </c>
      <c r="AO922">
        <f>IF(metadata!O922="",FALSE,TRUE)</f>
        <v>0</v>
      </c>
      <c r="AP922">
        <f>OR(AND(IF(metadata!P922="",FALSE,TRUE),OR(exact(metadata!P922,"missing: not collected"),exact(metadata!P922,"missing: not provided"))),AND(IF(metadata!P922="",FALSE,IF(ISERROR(INT(metadata!P922)),FALSE,INT(metadata!P922)=metadata!P922)),metadata!P922&gt;0))</f>
        <v>0</v>
      </c>
      <c r="AQ922">
        <f>IF(metadata!Q922="",FALSE,TRUE)</f>
        <v>0</v>
      </c>
    </row>
    <row r="923" spans="1:43">
      <c r="A923" s="5">
        <f>IF(B923=" "," ",HYPERLINK(CONCATENATE("#metadata!",ADDRESS(INDEX($W$2:$W$1001,MATCH(ROWS($U$2:U923),$U$2:$U$1001,0),0),1)),INDEX($Z$2:$Z$1001,MATCH(ROWS($U$2:U923),$U$2:$U$1001,0),0)))</f>
        <v>0</v>
      </c>
      <c r="B923" s="4">
        <f>IF(OR(INDEX($V$2:$V$1001,MATCH(ROWS($U$2:U923),$U$2:$U$1001,0),1)&gt;=100000,INDEX($AB$1005:$AQ$1005,1,MATCH(COLUMNS($AB$1006:AB1006),$AB$1006:$AQ$1006,0))&gt;=100000), " ",IF(INDEX($AB$2:$AQ$1001,MATCH(ROWS($U$2:U923),$U$2:$U$1001,0),MATCH(COLUMNS($AB$1006:AB1006),$AB$1006:$AQ$1006,0)), HYPERLINK("#",""), HYPERLINK(CONCATENATE("#metadata!", ADDRESS(INDEX($W$2:$W$1001,MATCH(ROWS($U$2:U923),$U$2:$U$1001,0),0), INDEX($AB$1004:$AQ$1004,1,MATCH(COLUMNS($AB$1006:AB1006),$AB$1006:$AQ$1006,0)))),"Fix")))</f>
        <v>0</v>
      </c>
      <c r="C923" s="4">
        <f>IF(OR(INDEX($V$2:$V$1001,MATCH(ROWS($U$2:U923),$U$2:$U$1001,0),1)&gt;=100000,INDEX($AB$1005:$AQ$1005,1,MATCH(COLUMNS($AB$1006:AC1006),$AB$1006:$AQ$1006,0))&gt;=100000), " ",IF(INDEX($AB$2:$AQ$1001,MATCH(ROWS($U$2:U923),$U$2:$U$1001,0),MATCH(COLUMNS($AB$1006:AC1006),$AB$1006:$AQ$1006,0)), HYPERLINK("#",""), HYPERLINK(CONCATENATE("#metadata!", ADDRESS(INDEX($W$2:$W$1001,MATCH(ROWS($U$2:U923),$U$2:$U$1001,0),0), INDEX($AB$1004:$AQ$1004,1,MATCH(COLUMNS($AB$1006:AC1006),$AB$1006:$AQ$1006,0)))),"Fix")))</f>
        <v>0</v>
      </c>
      <c r="D923" s="4">
        <f>IF(OR(INDEX($V$2:$V$1001,MATCH(ROWS($U$2:U923),$U$2:$U$1001,0),1)&gt;=100000,INDEX($AB$1005:$AQ$1005,1,MATCH(COLUMNS($AB$1006:AD1006),$AB$1006:$AQ$1006,0))&gt;=100000), " ",IF(INDEX($AB$2:$AQ$1001,MATCH(ROWS($U$2:U923),$U$2:$U$1001,0),MATCH(COLUMNS($AB$1006:AD1006),$AB$1006:$AQ$1006,0)), HYPERLINK("#",""), HYPERLINK(CONCATENATE("#metadata!", ADDRESS(INDEX($W$2:$W$1001,MATCH(ROWS($U$2:U923),$U$2:$U$1001,0),0), INDEX($AB$1004:$AQ$1004,1,MATCH(COLUMNS($AB$1006:AD1006),$AB$1006:$AQ$1006,0)))),"Fix")))</f>
        <v>0</v>
      </c>
      <c r="E923" s="4">
        <f>IF(OR(INDEX($V$2:$V$1001,MATCH(ROWS($U$2:U923),$U$2:$U$1001,0),1)&gt;=100000,INDEX($AB$1005:$AQ$1005,1,MATCH(COLUMNS($AB$1006:AE1006),$AB$1006:$AQ$1006,0))&gt;=100000), " ",IF(INDEX($AB$2:$AQ$1001,MATCH(ROWS($U$2:U923),$U$2:$U$1001,0),MATCH(COLUMNS($AB$1006:AE1006),$AB$1006:$AQ$1006,0)), HYPERLINK("#",""), HYPERLINK(CONCATENATE("#metadata!", ADDRESS(INDEX($W$2:$W$1001,MATCH(ROWS($U$2:U923),$U$2:$U$1001,0),0), INDEX($AB$1004:$AQ$1004,1,MATCH(COLUMNS($AB$1006:AE1006),$AB$1006:$AQ$1006,0)))),"Fix")))</f>
        <v>0</v>
      </c>
      <c r="F923" s="4">
        <f>IF(OR(INDEX($V$2:$V$1001,MATCH(ROWS($U$2:U923),$U$2:$U$1001,0),1)&gt;=100000,INDEX($AB$1005:$AQ$1005,1,MATCH(COLUMNS($AB$1006:AF1006),$AB$1006:$AQ$1006,0))&gt;=100000), " ",IF(INDEX($AB$2:$AQ$1001,MATCH(ROWS($U$2:U923),$U$2:$U$1001,0),MATCH(COLUMNS($AB$1006:AF1006),$AB$1006:$AQ$1006,0)), HYPERLINK("#",""), HYPERLINK(CONCATENATE("#metadata!", ADDRESS(INDEX($W$2:$W$1001,MATCH(ROWS($U$2:U923),$U$2:$U$1001,0),0), INDEX($AB$1004:$AQ$1004,1,MATCH(COLUMNS($AB$1006:AF1006),$AB$1006:$AQ$1006,0)))),"Fix")))</f>
        <v>0</v>
      </c>
      <c r="G923" s="4">
        <f>IF(OR(INDEX($V$2:$V$1001,MATCH(ROWS($U$2:U923),$U$2:$U$1001,0),1)&gt;=100000,INDEX($AB$1005:$AQ$1005,1,MATCH(COLUMNS($AB$1006:AG1006),$AB$1006:$AQ$1006,0))&gt;=100000), " ",IF(INDEX($AB$2:$AQ$1001,MATCH(ROWS($U$2:U923),$U$2:$U$1001,0),MATCH(COLUMNS($AB$1006:AG1006),$AB$1006:$AQ$1006,0)), HYPERLINK("#",""), HYPERLINK(CONCATENATE("#metadata!", ADDRESS(INDEX($W$2:$W$1001,MATCH(ROWS($U$2:U923),$U$2:$U$1001,0),0), INDEX($AB$1004:$AQ$1004,1,MATCH(COLUMNS($AB$1006:AG1006),$AB$1006:$AQ$1006,0)))),"Fix")))</f>
        <v>0</v>
      </c>
      <c r="H923" s="4">
        <f>IF(OR(INDEX($V$2:$V$1001,MATCH(ROWS($U$2:U923),$U$2:$U$1001,0),1)&gt;=100000,INDEX($AB$1005:$AQ$1005,1,MATCH(COLUMNS($AB$1006:AH1006),$AB$1006:$AQ$1006,0))&gt;=100000), " ",IF(INDEX($AB$2:$AQ$1001,MATCH(ROWS($U$2:U923),$U$2:$U$1001,0),MATCH(COLUMNS($AB$1006:AH1006),$AB$1006:$AQ$1006,0)), HYPERLINK("#",""), HYPERLINK(CONCATENATE("#metadata!", ADDRESS(INDEX($W$2:$W$1001,MATCH(ROWS($U$2:U923),$U$2:$U$1001,0),0), INDEX($AB$1004:$AQ$1004,1,MATCH(COLUMNS($AB$1006:AH1006),$AB$1006:$AQ$1006,0)))),"Fix")))</f>
        <v>0</v>
      </c>
      <c r="I923" s="4">
        <f>IF(OR(INDEX($V$2:$V$1001,MATCH(ROWS($U$2:U923),$U$2:$U$1001,0),1)&gt;=100000,INDEX($AB$1005:$AQ$1005,1,MATCH(COLUMNS($AB$1006:AI1006),$AB$1006:$AQ$1006,0))&gt;=100000), " ",IF(INDEX($AB$2:$AQ$1001,MATCH(ROWS($U$2:U923),$U$2:$U$1001,0),MATCH(COLUMNS($AB$1006:AI1006),$AB$1006:$AQ$1006,0)), HYPERLINK("#",""), HYPERLINK(CONCATENATE("#metadata!", ADDRESS(INDEX($W$2:$W$1001,MATCH(ROWS($U$2:U923),$U$2:$U$1001,0),0), INDEX($AB$1004:$AQ$1004,1,MATCH(COLUMNS($AB$1006:AI1006),$AB$1006:$AQ$1006,0)))),"Fix")))</f>
        <v>0</v>
      </c>
      <c r="J923" s="4">
        <f>IF(OR(INDEX($V$2:$V$1001,MATCH(ROWS($U$2:U923),$U$2:$U$1001,0),1)&gt;=100000,INDEX($AB$1005:$AQ$1005,1,MATCH(COLUMNS($AB$1006:AJ1006),$AB$1006:$AQ$1006,0))&gt;=100000), " ",IF(INDEX($AB$2:$AQ$1001,MATCH(ROWS($U$2:U923),$U$2:$U$1001,0),MATCH(COLUMNS($AB$1006:AJ1006),$AB$1006:$AQ$1006,0)), HYPERLINK("#",""), HYPERLINK(CONCATENATE("#metadata!", ADDRESS(INDEX($W$2:$W$1001,MATCH(ROWS($U$2:U923),$U$2:$U$1001,0),0), INDEX($AB$1004:$AQ$1004,1,MATCH(COLUMNS($AB$1006:AJ1006),$AB$1006:$AQ$1006,0)))),"Fix")))</f>
        <v>0</v>
      </c>
      <c r="K923" s="4">
        <f>IF(OR(INDEX($V$2:$V$1001,MATCH(ROWS($U$2:U923),$U$2:$U$1001,0),1)&gt;=100000,INDEX($AB$1005:$AQ$1005,1,MATCH(COLUMNS($AB$1006:AK1006),$AB$1006:$AQ$1006,0))&gt;=100000), " ",IF(INDEX($AB$2:$AQ$1001,MATCH(ROWS($U$2:U923),$U$2:$U$1001,0),MATCH(COLUMNS($AB$1006:AK1006),$AB$1006:$AQ$1006,0)), HYPERLINK("#",""), HYPERLINK(CONCATENATE("#metadata!", ADDRESS(INDEX($W$2:$W$1001,MATCH(ROWS($U$2:U923),$U$2:$U$1001,0),0), INDEX($AB$1004:$AQ$1004,1,MATCH(COLUMNS($AB$1006:AK1006),$AB$1006:$AQ$1006,0)))),"Fix")))</f>
        <v>0</v>
      </c>
      <c r="L923" s="4">
        <f>IF(OR(INDEX($V$2:$V$1001,MATCH(ROWS($U$2:U923),$U$2:$U$1001,0),1)&gt;=100000,INDEX($AB$1005:$AQ$1005,1,MATCH(COLUMNS($AB$1006:AL1006),$AB$1006:$AQ$1006,0))&gt;=100000), " ",IF(INDEX($AB$2:$AQ$1001,MATCH(ROWS($U$2:U923),$U$2:$U$1001,0),MATCH(COLUMNS($AB$1006:AL1006),$AB$1006:$AQ$1006,0)), HYPERLINK("#",""), HYPERLINK(CONCATENATE("#metadata!", ADDRESS(INDEX($W$2:$W$1001,MATCH(ROWS($U$2:U923),$U$2:$U$1001,0),0), INDEX($AB$1004:$AQ$1004,1,MATCH(COLUMNS($AB$1006:AL1006),$AB$1006:$AQ$1006,0)))),"Fix")))</f>
        <v>0</v>
      </c>
      <c r="M923" s="4">
        <f>IF(OR(INDEX($V$2:$V$1001,MATCH(ROWS($U$2:U923),$U$2:$U$1001,0),1)&gt;=100000,INDEX($AB$1005:$AQ$1005,1,MATCH(COLUMNS($AB$1006:AM1006),$AB$1006:$AQ$1006,0))&gt;=100000), " ",IF(INDEX($AB$2:$AQ$1001,MATCH(ROWS($U$2:U923),$U$2:$U$1001,0),MATCH(COLUMNS($AB$1006:AM1006),$AB$1006:$AQ$1006,0)), HYPERLINK("#",""), HYPERLINK(CONCATENATE("#metadata!", ADDRESS(INDEX($W$2:$W$1001,MATCH(ROWS($U$2:U923),$U$2:$U$1001,0),0), INDEX($AB$1004:$AQ$1004,1,MATCH(COLUMNS($AB$1006:AM1006),$AB$1006:$AQ$1006,0)))),"Fix")))</f>
        <v>0</v>
      </c>
      <c r="N923" s="4">
        <f>IF(OR(INDEX($V$2:$V$1001,MATCH(ROWS($U$2:U923),$U$2:$U$1001,0),1)&gt;=100000,INDEX($AB$1005:$AQ$1005,1,MATCH(COLUMNS($AB$1006:AN1006),$AB$1006:$AQ$1006,0))&gt;=100000), " ",IF(INDEX($AB$2:$AQ$1001,MATCH(ROWS($U$2:U923),$U$2:$U$1001,0),MATCH(COLUMNS($AB$1006:AN1006),$AB$1006:$AQ$1006,0)), HYPERLINK("#",""), HYPERLINK(CONCATENATE("#metadata!", ADDRESS(INDEX($W$2:$W$1001,MATCH(ROWS($U$2:U923),$U$2:$U$1001,0),0), INDEX($AB$1004:$AQ$1004,1,MATCH(COLUMNS($AB$1006:AN1006),$AB$1006:$AQ$1006,0)))),"Fix")))</f>
        <v>0</v>
      </c>
      <c r="O923" s="4">
        <f>IF(OR(INDEX($V$2:$V$1001,MATCH(ROWS($U$2:U923),$U$2:$U$1001,0),1)&gt;=100000,INDEX($AB$1005:$AQ$1005,1,MATCH(COLUMNS($AB$1006:AO1006),$AB$1006:$AQ$1006,0))&gt;=100000), " ",IF(INDEX($AB$2:$AQ$1001,MATCH(ROWS($U$2:U923),$U$2:$U$1001,0),MATCH(COLUMNS($AB$1006:AO1006),$AB$1006:$AQ$1006,0)), HYPERLINK("#",""), HYPERLINK(CONCATENATE("#metadata!", ADDRESS(INDEX($W$2:$W$1001,MATCH(ROWS($U$2:U923),$U$2:$U$1001,0),0), INDEX($AB$1004:$AQ$1004,1,MATCH(COLUMNS($AB$1006:AO1006),$AB$1006:$AQ$1006,0)))),"Fix")))</f>
        <v>0</v>
      </c>
      <c r="P923" s="4">
        <f>IF(OR(INDEX($V$2:$V$1001,MATCH(ROWS($U$2:U923),$U$2:$U$1001,0),1)&gt;=100000,INDEX($AB$1005:$AQ$1005,1,MATCH(COLUMNS($AB$1006:AP1006),$AB$1006:$AQ$1006,0))&gt;=100000), " ",IF(INDEX($AB$2:$AQ$1001,MATCH(ROWS($U$2:U923),$U$2:$U$1001,0),MATCH(COLUMNS($AB$1006:AP1006),$AB$1006:$AQ$1006,0)), HYPERLINK("#",""), HYPERLINK(CONCATENATE("#metadata!", ADDRESS(INDEX($W$2:$W$1001,MATCH(ROWS($U$2:U923),$U$2:$U$1001,0),0), INDEX($AB$1004:$AQ$1004,1,MATCH(COLUMNS($AB$1006:AP1006),$AB$1006:$AQ$1006,0)))),"Fix")))</f>
        <v>0</v>
      </c>
      <c r="Q923" s="4">
        <f>IF(OR(INDEX($V$2:$V$1001,MATCH(ROWS($U$2:U923),$U$2:$U$1001,0),1)&gt;=100000,INDEX($AB$1005:$AQ$1005,1,MATCH(COLUMNS($AB$1006:AQ1006),$AB$1006:$AQ$1006,0))&gt;=100000), " ",IF(INDEX($AB$2:$AQ$1001,MATCH(ROWS($U$2:U923),$U$2:$U$1001,0),MATCH(COLUMNS($AB$1006:AQ1006),$AB$1006:$AQ$1006,0)), HYPERLINK("#",""), HYPERLINK(CONCATENATE("#metadata!", ADDRESS(INDEX($W$2:$W$1001,MATCH(ROWS($U$2:U923),$U$2:$U$1001,0),0), INDEX($AB$1004:$AQ$1004,1,MATCH(COLUMNS($AB$1006:AQ1006),$AB$1006:$AQ$1006,0)))),"Fix")))</f>
        <v>0</v>
      </c>
      <c r="U923">
        <v>0</v>
      </c>
      <c r="V923">
        <v>0</v>
      </c>
      <c r="W923">
        <v>0</v>
      </c>
      <c r="X923">
        <f>IF(Y923,TRUE,AND(AB923:AQ923))</f>
        <v>0</v>
      </c>
      <c r="Y923">
        <f>COUNTBLANK(metadata!B923:Q923)=COLUMNS(metadata!B923:Q923)</f>
        <v>0</v>
      </c>
      <c r="Z923">
        <v>0</v>
      </c>
      <c r="AB923">
        <f>AND(IF(metadata!B923="",FALSE,TRUE),COUNTIF(metadata!B:B, metadata!B923) = 1,NOT(ISERROR(SUMPRODUCT(SEARCH(MID(metadata!B923,ROW(INDIRECT("1:"&amp;LEN(metadata!B923))), 1),"0123456789abcdefghijklmnopqrstuvwxyzABCDEFGHIJKLMNOPQRSTUVWXYZ.")))))</f>
        <v>0</v>
      </c>
      <c r="AC923">
        <f>OR(AND(IF(metadata!C923="",FALSE,TRUE),OR(exact(metadata!C923,"missing: not collected"),exact(metadata!C923,"missing: not provided"),exact(metadata!C923,"missing: restricted access"))),AND(IF(metadata!C923="",FALSE,TRUE),AND(AND(IFERROR(INT(LEFT(metadata!C923,4))&gt;1900,FALSE),IFERROR(INT(LEFT(metadata!C923,4))&lt;=YEAR(NOW()),FALSE)), OR(MID(metadata!C923,5,1)="", AND(AND(MID(metadata!C923,5,1)="-",IFERROR(INT(MID(metadata!C923,6,1))&gt;=0,FALSE),IFERROR(INT(MID(metadata!C923,6,1))&lt;=1,FALSE),NOT(MID(metadata!C923,7,1)=""),IFERROR(INT(MID(metadata!C923,6,2))&gt;=1,FALSE),IFERROR(INT(MID(metadata!C923,6,2))&lt;=12,FALSE)), OR(MID(metadata!C923,8,1)="", AND(AND(MID(metadata!C923,8,1)="-",IFERROR(INT(MID(metadata!C923,9,1))&gt;=0,FALSE),IFERROR(INT(MID(metadata!C923,9,1))&lt;=3,FALSE),NOT(MID(metadata!C923,10,1)=""),IFERROR(INT(MID(metadata!C923,9,2))&gt;=1,FALSE),IFERROR(INT(MID(metadata!C923,9,2))&lt;=31,FALSE)), OR(MID(metadata!C923,11,1)="", AND(AND(MID(metadata!C923,11,1)=" ",IFERROR(INT(MID(metadata!C923,12,1))&gt;=0,FALSE),IFERROR(INT(MID(metadata!C923,12,1))&lt;=2,FALSE),NOT(MID(metadata!C923,13,1)=""),IFERROR(INT(MID(metadata!C923,12,2))&gt;=0,FALSE),IFERROR(INT(MID(metadata!C923,12,2))&lt;=23,FALSE)), OR(MID(metadata!C923,14,1)="", AND(AND(MID(metadata!C923,14,1)=":",IFERROR(INT(MID(metadata!C923,15,1))&gt;=0,FALSE),IFERROR(INT(MID(metadata!C923,15,1))&lt;=5,FALSE),NOT(MID(metadata!C923,16,1)=""),IFERROR(INT(MID(metadata!C923,15,2))&gt;=0,FALSE),IFERROR(INT(MID(metadata!C923,15,2))&lt;=59,FALSE)), OR(MID(metadata!C923,17,1)="", AND(AND(MID(metadata!C923,17,1)=":",IFERROR(INT(MID(metadata!C923,18,1))&gt;=0,FALSE),IFERROR(INT(MID(metadata!C923,18,1))&lt;=5,FALSE),NOT(MID(metadata!C923,19,1)=""),IFERROR(INT(MID(metadata!C923,18,2))&gt;=0,FALSE),IFERROR(INT(MID(metadata!C923,18,2))&lt;=59,FALSE)), LEN(metadata!C923)&lt;=19)))))))))))))</f>
        <v>0</v>
      </c>
      <c r="AD923">
        <f>IF(metadata!D923="",FALSE,TRUE)</f>
        <v>0</v>
      </c>
      <c r="AE923">
        <f>OR(AND(IF(metadata!E923="",FALSE,TRUE),OR(exact(metadata!E923,"missing: not collected"),exact(metadata!E923,"missing: not provided"))),AND(IF(metadata!E923="",FALSE,TRUE),OR(exact(metadata!E923,"TRUE"),exact(metadata!E923,"FALSE"))))</f>
        <v>0</v>
      </c>
      <c r="AF923">
        <f>IF(metadata!F923="",FALSE,TRUE)</f>
        <v>0</v>
      </c>
      <c r="AG923">
        <f>IF(metadata!G923="",FALSE,TRUE)</f>
        <v>0</v>
      </c>
      <c r="AH923">
        <f>IF(metadata!H923="",FALSE,TRUE)</f>
        <v>0</v>
      </c>
      <c r="AI923">
        <f>OR(AND(IF(metadata!I923="",FALSE,TRUE),OR(exact(metadata!I923,"missing: not collected"),exact(metadata!I923,"missing: not provided"),exact(metadata!I923,"missing: restricted access"))),AND(IF(metadata!I923="",FALSE,TRUE),OR(exact(metadata!I923,"air"),exact(metadata!I923,"built environment"),exact(metadata!I923,"host-associated"),exact(metadata!I923,"human-associated"),exact(metadata!I923,"human-skin"),exact(metadata!I923,"human-oral"),exact(metadata!I923,"human-gut"),exact(metadata!I923,"human-vaginal"),exact(metadata!I923,"microbial mat/biofilm"),exact(metadata!I923,"misc environment"),exact(metadata!I923,"plant-associated"),exact(metadata!I923,"sediment"),exact(metadata!I923,"soil"),exact(metadata!I923,"wastewater/sludge"),exact(metadata!I923,"water"))))</f>
        <v>0</v>
      </c>
      <c r="AJ923">
        <f>IF(metadata!J923="",FALSE,TRUE)</f>
        <v>0</v>
      </c>
      <c r="AK923">
        <f>OR(AND(IF(metadata!K923="",FALSE,TRUE),OR(exact(metadata!K923,"missing: not collected"),exact(metadata!K923,"missing: not provided"),exact(metadata!K923,"missing: restricted access"))),AND(IF(metadata!K923="",FALSE,ISNUMBER(VALUE(metadata!K923))),metadata!K923&gt;=-90.00,metadata!K923&lt;=90.00))</f>
        <v>0</v>
      </c>
      <c r="AL923">
        <f>OR(AND(IF(metadata!L923="",FALSE,TRUE),OR(exact(metadata!L923,"missing: not collected"),exact(metadata!L923,"missing: not provided"),exact(metadata!L923,"missing: restricted access"))),AND(IF(metadata!L923="",FALSE,ISNUMBER(VALUE(metadata!L923))),metadata!L923&gt;=-180.00,metadata!L923&lt;=180.00))</f>
        <v>0</v>
      </c>
      <c r="AM923">
        <f>IF(metadata!M923="",FALSE,TRUE)</f>
        <v>0</v>
      </c>
      <c r="AN923">
        <f>OR(AND(IF(metadata!N923="",FALSE,TRUE),OR(exact(metadata!N923,"missing: not collected"),exact(metadata!N923,"missing: not provided"),exact(metadata!N923,"missing: restricted access"))),AND(IF(metadata!N923="",FALSE,TRUE),OR(exact(metadata!N923,"TRUE"),exact(metadata!N923,"FALSE"))))</f>
        <v>0</v>
      </c>
      <c r="AO923">
        <f>IF(metadata!O923="",FALSE,TRUE)</f>
        <v>0</v>
      </c>
      <c r="AP923">
        <f>OR(AND(IF(metadata!P923="",FALSE,TRUE),OR(exact(metadata!P923,"missing: not collected"),exact(metadata!P923,"missing: not provided"))),AND(IF(metadata!P923="",FALSE,IF(ISERROR(INT(metadata!P923)),FALSE,INT(metadata!P923)=metadata!P923)),metadata!P923&gt;0))</f>
        <v>0</v>
      </c>
      <c r="AQ923">
        <f>IF(metadata!Q923="",FALSE,TRUE)</f>
        <v>0</v>
      </c>
    </row>
    <row r="924" spans="1:43">
      <c r="A924" s="5">
        <f>IF(B924=" "," ",HYPERLINK(CONCATENATE("#metadata!",ADDRESS(INDEX($W$2:$W$1001,MATCH(ROWS($U$2:U924),$U$2:$U$1001,0),0),1)),INDEX($Z$2:$Z$1001,MATCH(ROWS($U$2:U924),$U$2:$U$1001,0),0)))</f>
        <v>0</v>
      </c>
      <c r="B924" s="4">
        <f>IF(OR(INDEX($V$2:$V$1001,MATCH(ROWS($U$2:U924),$U$2:$U$1001,0),1)&gt;=100000,INDEX($AB$1005:$AQ$1005,1,MATCH(COLUMNS($AB$1006:AB1006),$AB$1006:$AQ$1006,0))&gt;=100000), " ",IF(INDEX($AB$2:$AQ$1001,MATCH(ROWS($U$2:U924),$U$2:$U$1001,0),MATCH(COLUMNS($AB$1006:AB1006),$AB$1006:$AQ$1006,0)), HYPERLINK("#",""), HYPERLINK(CONCATENATE("#metadata!", ADDRESS(INDEX($W$2:$W$1001,MATCH(ROWS($U$2:U924),$U$2:$U$1001,0),0), INDEX($AB$1004:$AQ$1004,1,MATCH(COLUMNS($AB$1006:AB1006),$AB$1006:$AQ$1006,0)))),"Fix")))</f>
        <v>0</v>
      </c>
      <c r="C924" s="4">
        <f>IF(OR(INDEX($V$2:$V$1001,MATCH(ROWS($U$2:U924),$U$2:$U$1001,0),1)&gt;=100000,INDEX($AB$1005:$AQ$1005,1,MATCH(COLUMNS($AB$1006:AC1006),$AB$1006:$AQ$1006,0))&gt;=100000), " ",IF(INDEX($AB$2:$AQ$1001,MATCH(ROWS($U$2:U924),$U$2:$U$1001,0),MATCH(COLUMNS($AB$1006:AC1006),$AB$1006:$AQ$1006,0)), HYPERLINK("#",""), HYPERLINK(CONCATENATE("#metadata!", ADDRESS(INDEX($W$2:$W$1001,MATCH(ROWS($U$2:U924),$U$2:$U$1001,0),0), INDEX($AB$1004:$AQ$1004,1,MATCH(COLUMNS($AB$1006:AC1006),$AB$1006:$AQ$1006,0)))),"Fix")))</f>
        <v>0</v>
      </c>
      <c r="D924" s="4">
        <f>IF(OR(INDEX($V$2:$V$1001,MATCH(ROWS($U$2:U924),$U$2:$U$1001,0),1)&gt;=100000,INDEX($AB$1005:$AQ$1005,1,MATCH(COLUMNS($AB$1006:AD1006),$AB$1006:$AQ$1006,0))&gt;=100000), " ",IF(INDEX($AB$2:$AQ$1001,MATCH(ROWS($U$2:U924),$U$2:$U$1001,0),MATCH(COLUMNS($AB$1006:AD1006),$AB$1006:$AQ$1006,0)), HYPERLINK("#",""), HYPERLINK(CONCATENATE("#metadata!", ADDRESS(INDEX($W$2:$W$1001,MATCH(ROWS($U$2:U924),$U$2:$U$1001,0),0), INDEX($AB$1004:$AQ$1004,1,MATCH(COLUMNS($AB$1006:AD1006),$AB$1006:$AQ$1006,0)))),"Fix")))</f>
        <v>0</v>
      </c>
      <c r="E924" s="4">
        <f>IF(OR(INDEX($V$2:$V$1001,MATCH(ROWS($U$2:U924),$U$2:$U$1001,0),1)&gt;=100000,INDEX($AB$1005:$AQ$1005,1,MATCH(COLUMNS($AB$1006:AE1006),$AB$1006:$AQ$1006,0))&gt;=100000), " ",IF(INDEX($AB$2:$AQ$1001,MATCH(ROWS($U$2:U924),$U$2:$U$1001,0),MATCH(COLUMNS($AB$1006:AE1006),$AB$1006:$AQ$1006,0)), HYPERLINK("#",""), HYPERLINK(CONCATENATE("#metadata!", ADDRESS(INDEX($W$2:$W$1001,MATCH(ROWS($U$2:U924),$U$2:$U$1001,0),0), INDEX($AB$1004:$AQ$1004,1,MATCH(COLUMNS($AB$1006:AE1006),$AB$1006:$AQ$1006,0)))),"Fix")))</f>
        <v>0</v>
      </c>
      <c r="F924" s="4">
        <f>IF(OR(INDEX($V$2:$V$1001,MATCH(ROWS($U$2:U924),$U$2:$U$1001,0),1)&gt;=100000,INDEX($AB$1005:$AQ$1005,1,MATCH(COLUMNS($AB$1006:AF1006),$AB$1006:$AQ$1006,0))&gt;=100000), " ",IF(INDEX($AB$2:$AQ$1001,MATCH(ROWS($U$2:U924),$U$2:$U$1001,0),MATCH(COLUMNS($AB$1006:AF1006),$AB$1006:$AQ$1006,0)), HYPERLINK("#",""), HYPERLINK(CONCATENATE("#metadata!", ADDRESS(INDEX($W$2:$W$1001,MATCH(ROWS($U$2:U924),$U$2:$U$1001,0),0), INDEX($AB$1004:$AQ$1004,1,MATCH(COLUMNS($AB$1006:AF1006),$AB$1006:$AQ$1006,0)))),"Fix")))</f>
        <v>0</v>
      </c>
      <c r="G924" s="4">
        <f>IF(OR(INDEX($V$2:$V$1001,MATCH(ROWS($U$2:U924),$U$2:$U$1001,0),1)&gt;=100000,INDEX($AB$1005:$AQ$1005,1,MATCH(COLUMNS($AB$1006:AG1006),$AB$1006:$AQ$1006,0))&gt;=100000), " ",IF(INDEX($AB$2:$AQ$1001,MATCH(ROWS($U$2:U924),$U$2:$U$1001,0),MATCH(COLUMNS($AB$1006:AG1006),$AB$1006:$AQ$1006,0)), HYPERLINK("#",""), HYPERLINK(CONCATENATE("#metadata!", ADDRESS(INDEX($W$2:$W$1001,MATCH(ROWS($U$2:U924),$U$2:$U$1001,0),0), INDEX($AB$1004:$AQ$1004,1,MATCH(COLUMNS($AB$1006:AG1006),$AB$1006:$AQ$1006,0)))),"Fix")))</f>
        <v>0</v>
      </c>
      <c r="H924" s="4">
        <f>IF(OR(INDEX($V$2:$V$1001,MATCH(ROWS($U$2:U924),$U$2:$U$1001,0),1)&gt;=100000,INDEX($AB$1005:$AQ$1005,1,MATCH(COLUMNS($AB$1006:AH1006),$AB$1006:$AQ$1006,0))&gt;=100000), " ",IF(INDEX($AB$2:$AQ$1001,MATCH(ROWS($U$2:U924),$U$2:$U$1001,0),MATCH(COLUMNS($AB$1006:AH1006),$AB$1006:$AQ$1006,0)), HYPERLINK("#",""), HYPERLINK(CONCATENATE("#metadata!", ADDRESS(INDEX($W$2:$W$1001,MATCH(ROWS($U$2:U924),$U$2:$U$1001,0),0), INDEX($AB$1004:$AQ$1004,1,MATCH(COLUMNS($AB$1006:AH1006),$AB$1006:$AQ$1006,0)))),"Fix")))</f>
        <v>0</v>
      </c>
      <c r="I924" s="4">
        <f>IF(OR(INDEX($V$2:$V$1001,MATCH(ROWS($U$2:U924),$U$2:$U$1001,0),1)&gt;=100000,INDEX($AB$1005:$AQ$1005,1,MATCH(COLUMNS($AB$1006:AI1006),$AB$1006:$AQ$1006,0))&gt;=100000), " ",IF(INDEX($AB$2:$AQ$1001,MATCH(ROWS($U$2:U924),$U$2:$U$1001,0),MATCH(COLUMNS($AB$1006:AI1006),$AB$1006:$AQ$1006,0)), HYPERLINK("#",""), HYPERLINK(CONCATENATE("#metadata!", ADDRESS(INDEX($W$2:$W$1001,MATCH(ROWS($U$2:U924),$U$2:$U$1001,0),0), INDEX($AB$1004:$AQ$1004,1,MATCH(COLUMNS($AB$1006:AI1006),$AB$1006:$AQ$1006,0)))),"Fix")))</f>
        <v>0</v>
      </c>
      <c r="J924" s="4">
        <f>IF(OR(INDEX($V$2:$V$1001,MATCH(ROWS($U$2:U924),$U$2:$U$1001,0),1)&gt;=100000,INDEX($AB$1005:$AQ$1005,1,MATCH(COLUMNS($AB$1006:AJ1006),$AB$1006:$AQ$1006,0))&gt;=100000), " ",IF(INDEX($AB$2:$AQ$1001,MATCH(ROWS($U$2:U924),$U$2:$U$1001,0),MATCH(COLUMNS($AB$1006:AJ1006),$AB$1006:$AQ$1006,0)), HYPERLINK("#",""), HYPERLINK(CONCATENATE("#metadata!", ADDRESS(INDEX($W$2:$W$1001,MATCH(ROWS($U$2:U924),$U$2:$U$1001,0),0), INDEX($AB$1004:$AQ$1004,1,MATCH(COLUMNS($AB$1006:AJ1006),$AB$1006:$AQ$1006,0)))),"Fix")))</f>
        <v>0</v>
      </c>
      <c r="K924" s="4">
        <f>IF(OR(INDEX($V$2:$V$1001,MATCH(ROWS($U$2:U924),$U$2:$U$1001,0),1)&gt;=100000,INDEX($AB$1005:$AQ$1005,1,MATCH(COLUMNS($AB$1006:AK1006),$AB$1006:$AQ$1006,0))&gt;=100000), " ",IF(INDEX($AB$2:$AQ$1001,MATCH(ROWS($U$2:U924),$U$2:$U$1001,0),MATCH(COLUMNS($AB$1006:AK1006),$AB$1006:$AQ$1006,0)), HYPERLINK("#",""), HYPERLINK(CONCATENATE("#metadata!", ADDRESS(INDEX($W$2:$W$1001,MATCH(ROWS($U$2:U924),$U$2:$U$1001,0),0), INDEX($AB$1004:$AQ$1004,1,MATCH(COLUMNS($AB$1006:AK1006),$AB$1006:$AQ$1006,0)))),"Fix")))</f>
        <v>0</v>
      </c>
      <c r="L924" s="4">
        <f>IF(OR(INDEX($V$2:$V$1001,MATCH(ROWS($U$2:U924),$U$2:$U$1001,0),1)&gt;=100000,INDEX($AB$1005:$AQ$1005,1,MATCH(COLUMNS($AB$1006:AL1006),$AB$1006:$AQ$1006,0))&gt;=100000), " ",IF(INDEX($AB$2:$AQ$1001,MATCH(ROWS($U$2:U924),$U$2:$U$1001,0),MATCH(COLUMNS($AB$1006:AL1006),$AB$1006:$AQ$1006,0)), HYPERLINK("#",""), HYPERLINK(CONCATENATE("#metadata!", ADDRESS(INDEX($W$2:$W$1001,MATCH(ROWS($U$2:U924),$U$2:$U$1001,0),0), INDEX($AB$1004:$AQ$1004,1,MATCH(COLUMNS($AB$1006:AL1006),$AB$1006:$AQ$1006,0)))),"Fix")))</f>
        <v>0</v>
      </c>
      <c r="M924" s="4">
        <f>IF(OR(INDEX($V$2:$V$1001,MATCH(ROWS($U$2:U924),$U$2:$U$1001,0),1)&gt;=100000,INDEX($AB$1005:$AQ$1005,1,MATCH(COLUMNS($AB$1006:AM1006),$AB$1006:$AQ$1006,0))&gt;=100000), " ",IF(INDEX($AB$2:$AQ$1001,MATCH(ROWS($U$2:U924),$U$2:$U$1001,0),MATCH(COLUMNS($AB$1006:AM1006),$AB$1006:$AQ$1006,0)), HYPERLINK("#",""), HYPERLINK(CONCATENATE("#metadata!", ADDRESS(INDEX($W$2:$W$1001,MATCH(ROWS($U$2:U924),$U$2:$U$1001,0),0), INDEX($AB$1004:$AQ$1004,1,MATCH(COLUMNS($AB$1006:AM1006),$AB$1006:$AQ$1006,0)))),"Fix")))</f>
        <v>0</v>
      </c>
      <c r="N924" s="4">
        <f>IF(OR(INDEX($V$2:$V$1001,MATCH(ROWS($U$2:U924),$U$2:$U$1001,0),1)&gt;=100000,INDEX($AB$1005:$AQ$1005,1,MATCH(COLUMNS($AB$1006:AN1006),$AB$1006:$AQ$1006,0))&gt;=100000), " ",IF(INDEX($AB$2:$AQ$1001,MATCH(ROWS($U$2:U924),$U$2:$U$1001,0),MATCH(COLUMNS($AB$1006:AN1006),$AB$1006:$AQ$1006,0)), HYPERLINK("#",""), HYPERLINK(CONCATENATE("#metadata!", ADDRESS(INDEX($W$2:$W$1001,MATCH(ROWS($U$2:U924),$U$2:$U$1001,0),0), INDEX($AB$1004:$AQ$1004,1,MATCH(COLUMNS($AB$1006:AN1006),$AB$1006:$AQ$1006,0)))),"Fix")))</f>
        <v>0</v>
      </c>
      <c r="O924" s="4">
        <f>IF(OR(INDEX($V$2:$V$1001,MATCH(ROWS($U$2:U924),$U$2:$U$1001,0),1)&gt;=100000,INDEX($AB$1005:$AQ$1005,1,MATCH(COLUMNS($AB$1006:AO1006),$AB$1006:$AQ$1006,0))&gt;=100000), " ",IF(INDEX($AB$2:$AQ$1001,MATCH(ROWS($U$2:U924),$U$2:$U$1001,0),MATCH(COLUMNS($AB$1006:AO1006),$AB$1006:$AQ$1006,0)), HYPERLINK("#",""), HYPERLINK(CONCATENATE("#metadata!", ADDRESS(INDEX($W$2:$W$1001,MATCH(ROWS($U$2:U924),$U$2:$U$1001,0),0), INDEX($AB$1004:$AQ$1004,1,MATCH(COLUMNS($AB$1006:AO1006),$AB$1006:$AQ$1006,0)))),"Fix")))</f>
        <v>0</v>
      </c>
      <c r="P924" s="4">
        <f>IF(OR(INDEX($V$2:$V$1001,MATCH(ROWS($U$2:U924),$U$2:$U$1001,0),1)&gt;=100000,INDEX($AB$1005:$AQ$1005,1,MATCH(COLUMNS($AB$1006:AP1006),$AB$1006:$AQ$1006,0))&gt;=100000), " ",IF(INDEX($AB$2:$AQ$1001,MATCH(ROWS($U$2:U924),$U$2:$U$1001,0),MATCH(COLUMNS($AB$1006:AP1006),$AB$1006:$AQ$1006,0)), HYPERLINK("#",""), HYPERLINK(CONCATENATE("#metadata!", ADDRESS(INDEX($W$2:$W$1001,MATCH(ROWS($U$2:U924),$U$2:$U$1001,0),0), INDEX($AB$1004:$AQ$1004,1,MATCH(COLUMNS($AB$1006:AP1006),$AB$1006:$AQ$1006,0)))),"Fix")))</f>
        <v>0</v>
      </c>
      <c r="Q924" s="4">
        <f>IF(OR(INDEX($V$2:$V$1001,MATCH(ROWS($U$2:U924),$U$2:$U$1001,0),1)&gt;=100000,INDEX($AB$1005:$AQ$1005,1,MATCH(COLUMNS($AB$1006:AQ1006),$AB$1006:$AQ$1006,0))&gt;=100000), " ",IF(INDEX($AB$2:$AQ$1001,MATCH(ROWS($U$2:U924),$U$2:$U$1001,0),MATCH(COLUMNS($AB$1006:AQ1006),$AB$1006:$AQ$1006,0)), HYPERLINK("#",""), HYPERLINK(CONCATENATE("#metadata!", ADDRESS(INDEX($W$2:$W$1001,MATCH(ROWS($U$2:U924),$U$2:$U$1001,0),0), INDEX($AB$1004:$AQ$1004,1,MATCH(COLUMNS($AB$1006:AQ1006),$AB$1006:$AQ$1006,0)))),"Fix")))</f>
        <v>0</v>
      </c>
      <c r="U924">
        <v>0</v>
      </c>
      <c r="V924">
        <v>0</v>
      </c>
      <c r="W924">
        <v>0</v>
      </c>
      <c r="X924">
        <f>IF(Y924,TRUE,AND(AB924:AQ924))</f>
        <v>0</v>
      </c>
      <c r="Y924">
        <f>COUNTBLANK(metadata!B924:Q924)=COLUMNS(metadata!B924:Q924)</f>
        <v>0</v>
      </c>
      <c r="Z924">
        <v>0</v>
      </c>
      <c r="AB924">
        <f>AND(IF(metadata!B924="",FALSE,TRUE),COUNTIF(metadata!B:B, metadata!B924) = 1,NOT(ISERROR(SUMPRODUCT(SEARCH(MID(metadata!B924,ROW(INDIRECT("1:"&amp;LEN(metadata!B924))), 1),"0123456789abcdefghijklmnopqrstuvwxyzABCDEFGHIJKLMNOPQRSTUVWXYZ.")))))</f>
        <v>0</v>
      </c>
      <c r="AC924">
        <f>OR(AND(IF(metadata!C924="",FALSE,TRUE),OR(exact(metadata!C924,"missing: not collected"),exact(metadata!C924,"missing: not provided"),exact(metadata!C924,"missing: restricted access"))),AND(IF(metadata!C924="",FALSE,TRUE),AND(AND(IFERROR(INT(LEFT(metadata!C924,4))&gt;1900,FALSE),IFERROR(INT(LEFT(metadata!C924,4))&lt;=YEAR(NOW()),FALSE)), OR(MID(metadata!C924,5,1)="", AND(AND(MID(metadata!C924,5,1)="-",IFERROR(INT(MID(metadata!C924,6,1))&gt;=0,FALSE),IFERROR(INT(MID(metadata!C924,6,1))&lt;=1,FALSE),NOT(MID(metadata!C924,7,1)=""),IFERROR(INT(MID(metadata!C924,6,2))&gt;=1,FALSE),IFERROR(INT(MID(metadata!C924,6,2))&lt;=12,FALSE)), OR(MID(metadata!C924,8,1)="", AND(AND(MID(metadata!C924,8,1)="-",IFERROR(INT(MID(metadata!C924,9,1))&gt;=0,FALSE),IFERROR(INT(MID(metadata!C924,9,1))&lt;=3,FALSE),NOT(MID(metadata!C924,10,1)=""),IFERROR(INT(MID(metadata!C924,9,2))&gt;=1,FALSE),IFERROR(INT(MID(metadata!C924,9,2))&lt;=31,FALSE)), OR(MID(metadata!C924,11,1)="", AND(AND(MID(metadata!C924,11,1)=" ",IFERROR(INT(MID(metadata!C924,12,1))&gt;=0,FALSE),IFERROR(INT(MID(metadata!C924,12,1))&lt;=2,FALSE),NOT(MID(metadata!C924,13,1)=""),IFERROR(INT(MID(metadata!C924,12,2))&gt;=0,FALSE),IFERROR(INT(MID(metadata!C924,12,2))&lt;=23,FALSE)), OR(MID(metadata!C924,14,1)="", AND(AND(MID(metadata!C924,14,1)=":",IFERROR(INT(MID(metadata!C924,15,1))&gt;=0,FALSE),IFERROR(INT(MID(metadata!C924,15,1))&lt;=5,FALSE),NOT(MID(metadata!C924,16,1)=""),IFERROR(INT(MID(metadata!C924,15,2))&gt;=0,FALSE),IFERROR(INT(MID(metadata!C924,15,2))&lt;=59,FALSE)), OR(MID(metadata!C924,17,1)="", AND(AND(MID(metadata!C924,17,1)=":",IFERROR(INT(MID(metadata!C924,18,1))&gt;=0,FALSE),IFERROR(INT(MID(metadata!C924,18,1))&lt;=5,FALSE),NOT(MID(metadata!C924,19,1)=""),IFERROR(INT(MID(metadata!C924,18,2))&gt;=0,FALSE),IFERROR(INT(MID(metadata!C924,18,2))&lt;=59,FALSE)), LEN(metadata!C924)&lt;=19)))))))))))))</f>
        <v>0</v>
      </c>
      <c r="AD924">
        <f>IF(metadata!D924="",FALSE,TRUE)</f>
        <v>0</v>
      </c>
      <c r="AE924">
        <f>OR(AND(IF(metadata!E924="",FALSE,TRUE),OR(exact(metadata!E924,"missing: not collected"),exact(metadata!E924,"missing: not provided"))),AND(IF(metadata!E924="",FALSE,TRUE),OR(exact(metadata!E924,"TRUE"),exact(metadata!E924,"FALSE"))))</f>
        <v>0</v>
      </c>
      <c r="AF924">
        <f>IF(metadata!F924="",FALSE,TRUE)</f>
        <v>0</v>
      </c>
      <c r="AG924">
        <f>IF(metadata!G924="",FALSE,TRUE)</f>
        <v>0</v>
      </c>
      <c r="AH924">
        <f>IF(metadata!H924="",FALSE,TRUE)</f>
        <v>0</v>
      </c>
      <c r="AI924">
        <f>OR(AND(IF(metadata!I924="",FALSE,TRUE),OR(exact(metadata!I924,"missing: not collected"),exact(metadata!I924,"missing: not provided"),exact(metadata!I924,"missing: restricted access"))),AND(IF(metadata!I924="",FALSE,TRUE),OR(exact(metadata!I924,"air"),exact(metadata!I924,"built environment"),exact(metadata!I924,"host-associated"),exact(metadata!I924,"human-associated"),exact(metadata!I924,"human-skin"),exact(metadata!I924,"human-oral"),exact(metadata!I924,"human-gut"),exact(metadata!I924,"human-vaginal"),exact(metadata!I924,"microbial mat/biofilm"),exact(metadata!I924,"misc environment"),exact(metadata!I924,"plant-associated"),exact(metadata!I924,"sediment"),exact(metadata!I924,"soil"),exact(metadata!I924,"wastewater/sludge"),exact(metadata!I924,"water"))))</f>
        <v>0</v>
      </c>
      <c r="AJ924">
        <f>IF(metadata!J924="",FALSE,TRUE)</f>
        <v>0</v>
      </c>
      <c r="AK924">
        <f>OR(AND(IF(metadata!K924="",FALSE,TRUE),OR(exact(metadata!K924,"missing: not collected"),exact(metadata!K924,"missing: not provided"),exact(metadata!K924,"missing: restricted access"))),AND(IF(metadata!K924="",FALSE,ISNUMBER(VALUE(metadata!K924))),metadata!K924&gt;=-90.00,metadata!K924&lt;=90.00))</f>
        <v>0</v>
      </c>
      <c r="AL924">
        <f>OR(AND(IF(metadata!L924="",FALSE,TRUE),OR(exact(metadata!L924,"missing: not collected"),exact(metadata!L924,"missing: not provided"),exact(metadata!L924,"missing: restricted access"))),AND(IF(metadata!L924="",FALSE,ISNUMBER(VALUE(metadata!L924))),metadata!L924&gt;=-180.00,metadata!L924&lt;=180.00))</f>
        <v>0</v>
      </c>
      <c r="AM924">
        <f>IF(metadata!M924="",FALSE,TRUE)</f>
        <v>0</v>
      </c>
      <c r="AN924">
        <f>OR(AND(IF(metadata!N924="",FALSE,TRUE),OR(exact(metadata!N924,"missing: not collected"),exact(metadata!N924,"missing: not provided"),exact(metadata!N924,"missing: restricted access"))),AND(IF(metadata!N924="",FALSE,TRUE),OR(exact(metadata!N924,"TRUE"),exact(metadata!N924,"FALSE"))))</f>
        <v>0</v>
      </c>
      <c r="AO924">
        <f>IF(metadata!O924="",FALSE,TRUE)</f>
        <v>0</v>
      </c>
      <c r="AP924">
        <f>OR(AND(IF(metadata!P924="",FALSE,TRUE),OR(exact(metadata!P924,"missing: not collected"),exact(metadata!P924,"missing: not provided"))),AND(IF(metadata!P924="",FALSE,IF(ISERROR(INT(metadata!P924)),FALSE,INT(metadata!P924)=metadata!P924)),metadata!P924&gt;0))</f>
        <v>0</v>
      </c>
      <c r="AQ924">
        <f>IF(metadata!Q924="",FALSE,TRUE)</f>
        <v>0</v>
      </c>
    </row>
    <row r="925" spans="1:43">
      <c r="A925" s="5">
        <f>IF(B925=" "," ",HYPERLINK(CONCATENATE("#metadata!",ADDRESS(INDEX($W$2:$W$1001,MATCH(ROWS($U$2:U925),$U$2:$U$1001,0),0),1)),INDEX($Z$2:$Z$1001,MATCH(ROWS($U$2:U925),$U$2:$U$1001,0),0)))</f>
        <v>0</v>
      </c>
      <c r="B925" s="4">
        <f>IF(OR(INDEX($V$2:$V$1001,MATCH(ROWS($U$2:U925),$U$2:$U$1001,0),1)&gt;=100000,INDEX($AB$1005:$AQ$1005,1,MATCH(COLUMNS($AB$1006:AB1006),$AB$1006:$AQ$1006,0))&gt;=100000), " ",IF(INDEX($AB$2:$AQ$1001,MATCH(ROWS($U$2:U925),$U$2:$U$1001,0),MATCH(COLUMNS($AB$1006:AB1006),$AB$1006:$AQ$1006,0)), HYPERLINK("#",""), HYPERLINK(CONCATENATE("#metadata!", ADDRESS(INDEX($W$2:$W$1001,MATCH(ROWS($U$2:U925),$U$2:$U$1001,0),0), INDEX($AB$1004:$AQ$1004,1,MATCH(COLUMNS($AB$1006:AB1006),$AB$1006:$AQ$1006,0)))),"Fix")))</f>
        <v>0</v>
      </c>
      <c r="C925" s="4">
        <f>IF(OR(INDEX($V$2:$V$1001,MATCH(ROWS($U$2:U925),$U$2:$U$1001,0),1)&gt;=100000,INDEX($AB$1005:$AQ$1005,1,MATCH(COLUMNS($AB$1006:AC1006),$AB$1006:$AQ$1006,0))&gt;=100000), " ",IF(INDEX($AB$2:$AQ$1001,MATCH(ROWS($U$2:U925),$U$2:$U$1001,0),MATCH(COLUMNS($AB$1006:AC1006),$AB$1006:$AQ$1006,0)), HYPERLINK("#",""), HYPERLINK(CONCATENATE("#metadata!", ADDRESS(INDEX($W$2:$W$1001,MATCH(ROWS($U$2:U925),$U$2:$U$1001,0),0), INDEX($AB$1004:$AQ$1004,1,MATCH(COLUMNS($AB$1006:AC1006),$AB$1006:$AQ$1006,0)))),"Fix")))</f>
        <v>0</v>
      </c>
      <c r="D925" s="4">
        <f>IF(OR(INDEX($V$2:$V$1001,MATCH(ROWS($U$2:U925),$U$2:$U$1001,0),1)&gt;=100000,INDEX($AB$1005:$AQ$1005,1,MATCH(COLUMNS($AB$1006:AD1006),$AB$1006:$AQ$1006,0))&gt;=100000), " ",IF(INDEX($AB$2:$AQ$1001,MATCH(ROWS($U$2:U925),$U$2:$U$1001,0),MATCH(COLUMNS($AB$1006:AD1006),$AB$1006:$AQ$1006,0)), HYPERLINK("#",""), HYPERLINK(CONCATENATE("#metadata!", ADDRESS(INDEX($W$2:$W$1001,MATCH(ROWS($U$2:U925),$U$2:$U$1001,0),0), INDEX($AB$1004:$AQ$1004,1,MATCH(COLUMNS($AB$1006:AD1006),$AB$1006:$AQ$1006,0)))),"Fix")))</f>
        <v>0</v>
      </c>
      <c r="E925" s="4">
        <f>IF(OR(INDEX($V$2:$V$1001,MATCH(ROWS($U$2:U925),$U$2:$U$1001,0),1)&gt;=100000,INDEX($AB$1005:$AQ$1005,1,MATCH(COLUMNS($AB$1006:AE1006),$AB$1006:$AQ$1006,0))&gt;=100000), " ",IF(INDEX($AB$2:$AQ$1001,MATCH(ROWS($U$2:U925),$U$2:$U$1001,0),MATCH(COLUMNS($AB$1006:AE1006),$AB$1006:$AQ$1006,0)), HYPERLINK("#",""), HYPERLINK(CONCATENATE("#metadata!", ADDRESS(INDEX($W$2:$W$1001,MATCH(ROWS($U$2:U925),$U$2:$U$1001,0),0), INDEX($AB$1004:$AQ$1004,1,MATCH(COLUMNS($AB$1006:AE1006),$AB$1006:$AQ$1006,0)))),"Fix")))</f>
        <v>0</v>
      </c>
      <c r="F925" s="4">
        <f>IF(OR(INDEX($V$2:$V$1001,MATCH(ROWS($U$2:U925),$U$2:$U$1001,0),1)&gt;=100000,INDEX($AB$1005:$AQ$1005,1,MATCH(COLUMNS($AB$1006:AF1006),$AB$1006:$AQ$1006,0))&gt;=100000), " ",IF(INDEX($AB$2:$AQ$1001,MATCH(ROWS($U$2:U925),$U$2:$U$1001,0),MATCH(COLUMNS($AB$1006:AF1006),$AB$1006:$AQ$1006,0)), HYPERLINK("#",""), HYPERLINK(CONCATENATE("#metadata!", ADDRESS(INDEX($W$2:$W$1001,MATCH(ROWS($U$2:U925),$U$2:$U$1001,0),0), INDEX($AB$1004:$AQ$1004,1,MATCH(COLUMNS($AB$1006:AF1006),$AB$1006:$AQ$1006,0)))),"Fix")))</f>
        <v>0</v>
      </c>
      <c r="G925" s="4">
        <f>IF(OR(INDEX($V$2:$V$1001,MATCH(ROWS($U$2:U925),$U$2:$U$1001,0),1)&gt;=100000,INDEX($AB$1005:$AQ$1005,1,MATCH(COLUMNS($AB$1006:AG1006),$AB$1006:$AQ$1006,0))&gt;=100000), " ",IF(INDEX($AB$2:$AQ$1001,MATCH(ROWS($U$2:U925),$U$2:$U$1001,0),MATCH(COLUMNS($AB$1006:AG1006),$AB$1006:$AQ$1006,0)), HYPERLINK("#",""), HYPERLINK(CONCATENATE("#metadata!", ADDRESS(INDEX($W$2:$W$1001,MATCH(ROWS($U$2:U925),$U$2:$U$1001,0),0), INDEX($AB$1004:$AQ$1004,1,MATCH(COLUMNS($AB$1006:AG1006),$AB$1006:$AQ$1006,0)))),"Fix")))</f>
        <v>0</v>
      </c>
      <c r="H925" s="4">
        <f>IF(OR(INDEX($V$2:$V$1001,MATCH(ROWS($U$2:U925),$U$2:$U$1001,0),1)&gt;=100000,INDEX($AB$1005:$AQ$1005,1,MATCH(COLUMNS($AB$1006:AH1006),$AB$1006:$AQ$1006,0))&gt;=100000), " ",IF(INDEX($AB$2:$AQ$1001,MATCH(ROWS($U$2:U925),$U$2:$U$1001,0),MATCH(COLUMNS($AB$1006:AH1006),$AB$1006:$AQ$1006,0)), HYPERLINK("#",""), HYPERLINK(CONCATENATE("#metadata!", ADDRESS(INDEX($W$2:$W$1001,MATCH(ROWS($U$2:U925),$U$2:$U$1001,0),0), INDEX($AB$1004:$AQ$1004,1,MATCH(COLUMNS($AB$1006:AH1006),$AB$1006:$AQ$1006,0)))),"Fix")))</f>
        <v>0</v>
      </c>
      <c r="I925" s="4">
        <f>IF(OR(INDEX($V$2:$V$1001,MATCH(ROWS($U$2:U925),$U$2:$U$1001,0),1)&gt;=100000,INDEX($AB$1005:$AQ$1005,1,MATCH(COLUMNS($AB$1006:AI1006),$AB$1006:$AQ$1006,0))&gt;=100000), " ",IF(INDEX($AB$2:$AQ$1001,MATCH(ROWS($U$2:U925),$U$2:$U$1001,0),MATCH(COLUMNS($AB$1006:AI1006),$AB$1006:$AQ$1006,0)), HYPERLINK("#",""), HYPERLINK(CONCATENATE("#metadata!", ADDRESS(INDEX($W$2:$W$1001,MATCH(ROWS($U$2:U925),$U$2:$U$1001,0),0), INDEX($AB$1004:$AQ$1004,1,MATCH(COLUMNS($AB$1006:AI1006),$AB$1006:$AQ$1006,0)))),"Fix")))</f>
        <v>0</v>
      </c>
      <c r="J925" s="4">
        <f>IF(OR(INDEX($V$2:$V$1001,MATCH(ROWS($U$2:U925),$U$2:$U$1001,0),1)&gt;=100000,INDEX($AB$1005:$AQ$1005,1,MATCH(COLUMNS($AB$1006:AJ1006),$AB$1006:$AQ$1006,0))&gt;=100000), " ",IF(INDEX($AB$2:$AQ$1001,MATCH(ROWS($U$2:U925),$U$2:$U$1001,0),MATCH(COLUMNS($AB$1006:AJ1006),$AB$1006:$AQ$1006,0)), HYPERLINK("#",""), HYPERLINK(CONCATENATE("#metadata!", ADDRESS(INDEX($W$2:$W$1001,MATCH(ROWS($U$2:U925),$U$2:$U$1001,0),0), INDEX($AB$1004:$AQ$1004,1,MATCH(COLUMNS($AB$1006:AJ1006),$AB$1006:$AQ$1006,0)))),"Fix")))</f>
        <v>0</v>
      </c>
      <c r="K925" s="4">
        <f>IF(OR(INDEX($V$2:$V$1001,MATCH(ROWS($U$2:U925),$U$2:$U$1001,0),1)&gt;=100000,INDEX($AB$1005:$AQ$1005,1,MATCH(COLUMNS($AB$1006:AK1006),$AB$1006:$AQ$1006,0))&gt;=100000), " ",IF(INDEX($AB$2:$AQ$1001,MATCH(ROWS($U$2:U925),$U$2:$U$1001,0),MATCH(COLUMNS($AB$1006:AK1006),$AB$1006:$AQ$1006,0)), HYPERLINK("#",""), HYPERLINK(CONCATENATE("#metadata!", ADDRESS(INDEX($W$2:$W$1001,MATCH(ROWS($U$2:U925),$U$2:$U$1001,0),0), INDEX($AB$1004:$AQ$1004,1,MATCH(COLUMNS($AB$1006:AK1006),$AB$1006:$AQ$1006,0)))),"Fix")))</f>
        <v>0</v>
      </c>
      <c r="L925" s="4">
        <f>IF(OR(INDEX($V$2:$V$1001,MATCH(ROWS($U$2:U925),$U$2:$U$1001,0),1)&gt;=100000,INDEX($AB$1005:$AQ$1005,1,MATCH(COLUMNS($AB$1006:AL1006),$AB$1006:$AQ$1006,0))&gt;=100000), " ",IF(INDEX($AB$2:$AQ$1001,MATCH(ROWS($U$2:U925),$U$2:$U$1001,0),MATCH(COLUMNS($AB$1006:AL1006),$AB$1006:$AQ$1006,0)), HYPERLINK("#",""), HYPERLINK(CONCATENATE("#metadata!", ADDRESS(INDEX($W$2:$W$1001,MATCH(ROWS($U$2:U925),$U$2:$U$1001,0),0), INDEX($AB$1004:$AQ$1004,1,MATCH(COLUMNS($AB$1006:AL1006),$AB$1006:$AQ$1006,0)))),"Fix")))</f>
        <v>0</v>
      </c>
      <c r="M925" s="4">
        <f>IF(OR(INDEX($V$2:$V$1001,MATCH(ROWS($U$2:U925),$U$2:$U$1001,0),1)&gt;=100000,INDEX($AB$1005:$AQ$1005,1,MATCH(COLUMNS($AB$1006:AM1006),$AB$1006:$AQ$1006,0))&gt;=100000), " ",IF(INDEX($AB$2:$AQ$1001,MATCH(ROWS($U$2:U925),$U$2:$U$1001,0),MATCH(COLUMNS($AB$1006:AM1006),$AB$1006:$AQ$1006,0)), HYPERLINK("#",""), HYPERLINK(CONCATENATE("#metadata!", ADDRESS(INDEX($W$2:$W$1001,MATCH(ROWS($U$2:U925),$U$2:$U$1001,0),0), INDEX($AB$1004:$AQ$1004,1,MATCH(COLUMNS($AB$1006:AM1006),$AB$1006:$AQ$1006,0)))),"Fix")))</f>
        <v>0</v>
      </c>
      <c r="N925" s="4">
        <f>IF(OR(INDEX($V$2:$V$1001,MATCH(ROWS($U$2:U925),$U$2:$U$1001,0),1)&gt;=100000,INDEX($AB$1005:$AQ$1005,1,MATCH(COLUMNS($AB$1006:AN1006),$AB$1006:$AQ$1006,0))&gt;=100000), " ",IF(INDEX($AB$2:$AQ$1001,MATCH(ROWS($U$2:U925),$U$2:$U$1001,0),MATCH(COLUMNS($AB$1006:AN1006),$AB$1006:$AQ$1006,0)), HYPERLINK("#",""), HYPERLINK(CONCATENATE("#metadata!", ADDRESS(INDEX($W$2:$W$1001,MATCH(ROWS($U$2:U925),$U$2:$U$1001,0),0), INDEX($AB$1004:$AQ$1004,1,MATCH(COLUMNS($AB$1006:AN1006),$AB$1006:$AQ$1006,0)))),"Fix")))</f>
        <v>0</v>
      </c>
      <c r="O925" s="4">
        <f>IF(OR(INDEX($V$2:$V$1001,MATCH(ROWS($U$2:U925),$U$2:$U$1001,0),1)&gt;=100000,INDEX($AB$1005:$AQ$1005,1,MATCH(COLUMNS($AB$1006:AO1006),$AB$1006:$AQ$1006,0))&gt;=100000), " ",IF(INDEX($AB$2:$AQ$1001,MATCH(ROWS($U$2:U925),$U$2:$U$1001,0),MATCH(COLUMNS($AB$1006:AO1006),$AB$1006:$AQ$1006,0)), HYPERLINK("#",""), HYPERLINK(CONCATENATE("#metadata!", ADDRESS(INDEX($W$2:$W$1001,MATCH(ROWS($U$2:U925),$U$2:$U$1001,0),0), INDEX($AB$1004:$AQ$1004,1,MATCH(COLUMNS($AB$1006:AO1006),$AB$1006:$AQ$1006,0)))),"Fix")))</f>
        <v>0</v>
      </c>
      <c r="P925" s="4">
        <f>IF(OR(INDEX($V$2:$V$1001,MATCH(ROWS($U$2:U925),$U$2:$U$1001,0),1)&gt;=100000,INDEX($AB$1005:$AQ$1005,1,MATCH(COLUMNS($AB$1006:AP1006),$AB$1006:$AQ$1006,0))&gt;=100000), " ",IF(INDEX($AB$2:$AQ$1001,MATCH(ROWS($U$2:U925),$U$2:$U$1001,0),MATCH(COLUMNS($AB$1006:AP1006),$AB$1006:$AQ$1006,0)), HYPERLINK("#",""), HYPERLINK(CONCATENATE("#metadata!", ADDRESS(INDEX($W$2:$W$1001,MATCH(ROWS($U$2:U925),$U$2:$U$1001,0),0), INDEX($AB$1004:$AQ$1004,1,MATCH(COLUMNS($AB$1006:AP1006),$AB$1006:$AQ$1006,0)))),"Fix")))</f>
        <v>0</v>
      </c>
      <c r="Q925" s="4">
        <f>IF(OR(INDEX($V$2:$V$1001,MATCH(ROWS($U$2:U925),$U$2:$U$1001,0),1)&gt;=100000,INDEX($AB$1005:$AQ$1005,1,MATCH(COLUMNS($AB$1006:AQ1006),$AB$1006:$AQ$1006,0))&gt;=100000), " ",IF(INDEX($AB$2:$AQ$1001,MATCH(ROWS($U$2:U925),$U$2:$U$1001,0),MATCH(COLUMNS($AB$1006:AQ1006),$AB$1006:$AQ$1006,0)), HYPERLINK("#",""), HYPERLINK(CONCATENATE("#metadata!", ADDRESS(INDEX($W$2:$W$1001,MATCH(ROWS($U$2:U925),$U$2:$U$1001,0),0), INDEX($AB$1004:$AQ$1004,1,MATCH(COLUMNS($AB$1006:AQ1006),$AB$1006:$AQ$1006,0)))),"Fix")))</f>
        <v>0</v>
      </c>
      <c r="U925">
        <v>0</v>
      </c>
      <c r="V925">
        <v>0</v>
      </c>
      <c r="W925">
        <v>0</v>
      </c>
      <c r="X925">
        <f>IF(Y925,TRUE,AND(AB925:AQ925))</f>
        <v>0</v>
      </c>
      <c r="Y925">
        <f>COUNTBLANK(metadata!B925:Q925)=COLUMNS(metadata!B925:Q925)</f>
        <v>0</v>
      </c>
      <c r="Z925">
        <v>0</v>
      </c>
      <c r="AB925">
        <f>AND(IF(metadata!B925="",FALSE,TRUE),COUNTIF(metadata!B:B, metadata!B925) = 1,NOT(ISERROR(SUMPRODUCT(SEARCH(MID(metadata!B925,ROW(INDIRECT("1:"&amp;LEN(metadata!B925))), 1),"0123456789abcdefghijklmnopqrstuvwxyzABCDEFGHIJKLMNOPQRSTUVWXYZ.")))))</f>
        <v>0</v>
      </c>
      <c r="AC925">
        <f>OR(AND(IF(metadata!C925="",FALSE,TRUE),OR(exact(metadata!C925,"missing: not collected"),exact(metadata!C925,"missing: not provided"),exact(metadata!C925,"missing: restricted access"))),AND(IF(metadata!C925="",FALSE,TRUE),AND(AND(IFERROR(INT(LEFT(metadata!C925,4))&gt;1900,FALSE),IFERROR(INT(LEFT(metadata!C925,4))&lt;=YEAR(NOW()),FALSE)), OR(MID(metadata!C925,5,1)="", AND(AND(MID(metadata!C925,5,1)="-",IFERROR(INT(MID(metadata!C925,6,1))&gt;=0,FALSE),IFERROR(INT(MID(metadata!C925,6,1))&lt;=1,FALSE),NOT(MID(metadata!C925,7,1)=""),IFERROR(INT(MID(metadata!C925,6,2))&gt;=1,FALSE),IFERROR(INT(MID(metadata!C925,6,2))&lt;=12,FALSE)), OR(MID(metadata!C925,8,1)="", AND(AND(MID(metadata!C925,8,1)="-",IFERROR(INT(MID(metadata!C925,9,1))&gt;=0,FALSE),IFERROR(INT(MID(metadata!C925,9,1))&lt;=3,FALSE),NOT(MID(metadata!C925,10,1)=""),IFERROR(INT(MID(metadata!C925,9,2))&gt;=1,FALSE),IFERROR(INT(MID(metadata!C925,9,2))&lt;=31,FALSE)), OR(MID(metadata!C925,11,1)="", AND(AND(MID(metadata!C925,11,1)=" ",IFERROR(INT(MID(metadata!C925,12,1))&gt;=0,FALSE),IFERROR(INT(MID(metadata!C925,12,1))&lt;=2,FALSE),NOT(MID(metadata!C925,13,1)=""),IFERROR(INT(MID(metadata!C925,12,2))&gt;=0,FALSE),IFERROR(INT(MID(metadata!C925,12,2))&lt;=23,FALSE)), OR(MID(metadata!C925,14,1)="", AND(AND(MID(metadata!C925,14,1)=":",IFERROR(INT(MID(metadata!C925,15,1))&gt;=0,FALSE),IFERROR(INT(MID(metadata!C925,15,1))&lt;=5,FALSE),NOT(MID(metadata!C925,16,1)=""),IFERROR(INT(MID(metadata!C925,15,2))&gt;=0,FALSE),IFERROR(INT(MID(metadata!C925,15,2))&lt;=59,FALSE)), OR(MID(metadata!C925,17,1)="", AND(AND(MID(metadata!C925,17,1)=":",IFERROR(INT(MID(metadata!C925,18,1))&gt;=0,FALSE),IFERROR(INT(MID(metadata!C925,18,1))&lt;=5,FALSE),NOT(MID(metadata!C925,19,1)=""),IFERROR(INT(MID(metadata!C925,18,2))&gt;=0,FALSE),IFERROR(INT(MID(metadata!C925,18,2))&lt;=59,FALSE)), LEN(metadata!C925)&lt;=19)))))))))))))</f>
        <v>0</v>
      </c>
      <c r="AD925">
        <f>IF(metadata!D925="",FALSE,TRUE)</f>
        <v>0</v>
      </c>
      <c r="AE925">
        <f>OR(AND(IF(metadata!E925="",FALSE,TRUE),OR(exact(metadata!E925,"missing: not collected"),exact(metadata!E925,"missing: not provided"))),AND(IF(metadata!E925="",FALSE,TRUE),OR(exact(metadata!E925,"TRUE"),exact(metadata!E925,"FALSE"))))</f>
        <v>0</v>
      </c>
      <c r="AF925">
        <f>IF(metadata!F925="",FALSE,TRUE)</f>
        <v>0</v>
      </c>
      <c r="AG925">
        <f>IF(metadata!G925="",FALSE,TRUE)</f>
        <v>0</v>
      </c>
      <c r="AH925">
        <f>IF(metadata!H925="",FALSE,TRUE)</f>
        <v>0</v>
      </c>
      <c r="AI925">
        <f>OR(AND(IF(metadata!I925="",FALSE,TRUE),OR(exact(metadata!I925,"missing: not collected"),exact(metadata!I925,"missing: not provided"),exact(metadata!I925,"missing: restricted access"))),AND(IF(metadata!I925="",FALSE,TRUE),OR(exact(metadata!I925,"air"),exact(metadata!I925,"built environment"),exact(metadata!I925,"host-associated"),exact(metadata!I925,"human-associated"),exact(metadata!I925,"human-skin"),exact(metadata!I925,"human-oral"),exact(metadata!I925,"human-gut"),exact(metadata!I925,"human-vaginal"),exact(metadata!I925,"microbial mat/biofilm"),exact(metadata!I925,"misc environment"),exact(metadata!I925,"plant-associated"),exact(metadata!I925,"sediment"),exact(metadata!I925,"soil"),exact(metadata!I925,"wastewater/sludge"),exact(metadata!I925,"water"))))</f>
        <v>0</v>
      </c>
      <c r="AJ925">
        <f>IF(metadata!J925="",FALSE,TRUE)</f>
        <v>0</v>
      </c>
      <c r="AK925">
        <f>OR(AND(IF(metadata!K925="",FALSE,TRUE),OR(exact(metadata!K925,"missing: not collected"),exact(metadata!K925,"missing: not provided"),exact(metadata!K925,"missing: restricted access"))),AND(IF(metadata!K925="",FALSE,ISNUMBER(VALUE(metadata!K925))),metadata!K925&gt;=-90.00,metadata!K925&lt;=90.00))</f>
        <v>0</v>
      </c>
      <c r="AL925">
        <f>OR(AND(IF(metadata!L925="",FALSE,TRUE),OR(exact(metadata!L925,"missing: not collected"),exact(metadata!L925,"missing: not provided"),exact(metadata!L925,"missing: restricted access"))),AND(IF(metadata!L925="",FALSE,ISNUMBER(VALUE(metadata!L925))),metadata!L925&gt;=-180.00,metadata!L925&lt;=180.00))</f>
        <v>0</v>
      </c>
      <c r="AM925">
        <f>IF(metadata!M925="",FALSE,TRUE)</f>
        <v>0</v>
      </c>
      <c r="AN925">
        <f>OR(AND(IF(metadata!N925="",FALSE,TRUE),OR(exact(metadata!N925,"missing: not collected"),exact(metadata!N925,"missing: not provided"),exact(metadata!N925,"missing: restricted access"))),AND(IF(metadata!N925="",FALSE,TRUE),OR(exact(metadata!N925,"TRUE"),exact(metadata!N925,"FALSE"))))</f>
        <v>0</v>
      </c>
      <c r="AO925">
        <f>IF(metadata!O925="",FALSE,TRUE)</f>
        <v>0</v>
      </c>
      <c r="AP925">
        <f>OR(AND(IF(metadata!P925="",FALSE,TRUE),OR(exact(metadata!P925,"missing: not collected"),exact(metadata!P925,"missing: not provided"))),AND(IF(metadata!P925="",FALSE,IF(ISERROR(INT(metadata!P925)),FALSE,INT(metadata!P925)=metadata!P925)),metadata!P925&gt;0))</f>
        <v>0</v>
      </c>
      <c r="AQ925">
        <f>IF(metadata!Q925="",FALSE,TRUE)</f>
        <v>0</v>
      </c>
    </row>
    <row r="926" spans="1:43">
      <c r="A926" s="5">
        <f>IF(B926=" "," ",HYPERLINK(CONCATENATE("#metadata!",ADDRESS(INDEX($W$2:$W$1001,MATCH(ROWS($U$2:U926),$U$2:$U$1001,0),0),1)),INDEX($Z$2:$Z$1001,MATCH(ROWS($U$2:U926),$U$2:$U$1001,0),0)))</f>
        <v>0</v>
      </c>
      <c r="B926" s="4">
        <f>IF(OR(INDEX($V$2:$V$1001,MATCH(ROWS($U$2:U926),$U$2:$U$1001,0),1)&gt;=100000,INDEX($AB$1005:$AQ$1005,1,MATCH(COLUMNS($AB$1006:AB1006),$AB$1006:$AQ$1006,0))&gt;=100000), " ",IF(INDEX($AB$2:$AQ$1001,MATCH(ROWS($U$2:U926),$U$2:$U$1001,0),MATCH(COLUMNS($AB$1006:AB1006),$AB$1006:$AQ$1006,0)), HYPERLINK("#",""), HYPERLINK(CONCATENATE("#metadata!", ADDRESS(INDEX($W$2:$W$1001,MATCH(ROWS($U$2:U926),$U$2:$U$1001,0),0), INDEX($AB$1004:$AQ$1004,1,MATCH(COLUMNS($AB$1006:AB1006),$AB$1006:$AQ$1006,0)))),"Fix")))</f>
        <v>0</v>
      </c>
      <c r="C926" s="4">
        <f>IF(OR(INDEX($V$2:$V$1001,MATCH(ROWS($U$2:U926),$U$2:$U$1001,0),1)&gt;=100000,INDEX($AB$1005:$AQ$1005,1,MATCH(COLUMNS($AB$1006:AC1006),$AB$1006:$AQ$1006,0))&gt;=100000), " ",IF(INDEX($AB$2:$AQ$1001,MATCH(ROWS($U$2:U926),$U$2:$U$1001,0),MATCH(COLUMNS($AB$1006:AC1006),$AB$1006:$AQ$1006,0)), HYPERLINK("#",""), HYPERLINK(CONCATENATE("#metadata!", ADDRESS(INDEX($W$2:$W$1001,MATCH(ROWS($U$2:U926),$U$2:$U$1001,0),0), INDEX($AB$1004:$AQ$1004,1,MATCH(COLUMNS($AB$1006:AC1006),$AB$1006:$AQ$1006,0)))),"Fix")))</f>
        <v>0</v>
      </c>
      <c r="D926" s="4">
        <f>IF(OR(INDEX($V$2:$V$1001,MATCH(ROWS($U$2:U926),$U$2:$U$1001,0),1)&gt;=100000,INDEX($AB$1005:$AQ$1005,1,MATCH(COLUMNS($AB$1006:AD1006),$AB$1006:$AQ$1006,0))&gt;=100000), " ",IF(INDEX($AB$2:$AQ$1001,MATCH(ROWS($U$2:U926),$U$2:$U$1001,0),MATCH(COLUMNS($AB$1006:AD1006),$AB$1006:$AQ$1006,0)), HYPERLINK("#",""), HYPERLINK(CONCATENATE("#metadata!", ADDRESS(INDEX($W$2:$W$1001,MATCH(ROWS($U$2:U926),$U$2:$U$1001,0),0), INDEX($AB$1004:$AQ$1004,1,MATCH(COLUMNS($AB$1006:AD1006),$AB$1006:$AQ$1006,0)))),"Fix")))</f>
        <v>0</v>
      </c>
      <c r="E926" s="4">
        <f>IF(OR(INDEX($V$2:$V$1001,MATCH(ROWS($U$2:U926),$U$2:$U$1001,0),1)&gt;=100000,INDEX($AB$1005:$AQ$1005,1,MATCH(COLUMNS($AB$1006:AE1006),$AB$1006:$AQ$1006,0))&gt;=100000), " ",IF(INDEX($AB$2:$AQ$1001,MATCH(ROWS($U$2:U926),$U$2:$U$1001,0),MATCH(COLUMNS($AB$1006:AE1006),$AB$1006:$AQ$1006,0)), HYPERLINK("#",""), HYPERLINK(CONCATENATE("#metadata!", ADDRESS(INDEX($W$2:$W$1001,MATCH(ROWS($U$2:U926),$U$2:$U$1001,0),0), INDEX($AB$1004:$AQ$1004,1,MATCH(COLUMNS($AB$1006:AE1006),$AB$1006:$AQ$1006,0)))),"Fix")))</f>
        <v>0</v>
      </c>
      <c r="F926" s="4">
        <f>IF(OR(INDEX($V$2:$V$1001,MATCH(ROWS($U$2:U926),$U$2:$U$1001,0),1)&gt;=100000,INDEX($AB$1005:$AQ$1005,1,MATCH(COLUMNS($AB$1006:AF1006),$AB$1006:$AQ$1006,0))&gt;=100000), " ",IF(INDEX($AB$2:$AQ$1001,MATCH(ROWS($U$2:U926),$U$2:$U$1001,0),MATCH(COLUMNS($AB$1006:AF1006),$AB$1006:$AQ$1006,0)), HYPERLINK("#",""), HYPERLINK(CONCATENATE("#metadata!", ADDRESS(INDEX($W$2:$W$1001,MATCH(ROWS($U$2:U926),$U$2:$U$1001,0),0), INDEX($AB$1004:$AQ$1004,1,MATCH(COLUMNS($AB$1006:AF1006),$AB$1006:$AQ$1006,0)))),"Fix")))</f>
        <v>0</v>
      </c>
      <c r="G926" s="4">
        <f>IF(OR(INDEX($V$2:$V$1001,MATCH(ROWS($U$2:U926),$U$2:$U$1001,0),1)&gt;=100000,INDEX($AB$1005:$AQ$1005,1,MATCH(COLUMNS($AB$1006:AG1006),$AB$1006:$AQ$1006,0))&gt;=100000), " ",IF(INDEX($AB$2:$AQ$1001,MATCH(ROWS($U$2:U926),$U$2:$U$1001,0),MATCH(COLUMNS($AB$1006:AG1006),$AB$1006:$AQ$1006,0)), HYPERLINK("#",""), HYPERLINK(CONCATENATE("#metadata!", ADDRESS(INDEX($W$2:$W$1001,MATCH(ROWS($U$2:U926),$U$2:$U$1001,0),0), INDEX($AB$1004:$AQ$1004,1,MATCH(COLUMNS($AB$1006:AG1006),$AB$1006:$AQ$1006,0)))),"Fix")))</f>
        <v>0</v>
      </c>
      <c r="H926" s="4">
        <f>IF(OR(INDEX($V$2:$V$1001,MATCH(ROWS($U$2:U926),$U$2:$U$1001,0),1)&gt;=100000,INDEX($AB$1005:$AQ$1005,1,MATCH(COLUMNS($AB$1006:AH1006),$AB$1006:$AQ$1006,0))&gt;=100000), " ",IF(INDEX($AB$2:$AQ$1001,MATCH(ROWS($U$2:U926),$U$2:$U$1001,0),MATCH(COLUMNS($AB$1006:AH1006),$AB$1006:$AQ$1006,0)), HYPERLINK("#",""), HYPERLINK(CONCATENATE("#metadata!", ADDRESS(INDEX($W$2:$W$1001,MATCH(ROWS($U$2:U926),$U$2:$U$1001,0),0), INDEX($AB$1004:$AQ$1004,1,MATCH(COLUMNS($AB$1006:AH1006),$AB$1006:$AQ$1006,0)))),"Fix")))</f>
        <v>0</v>
      </c>
      <c r="I926" s="4">
        <f>IF(OR(INDEX($V$2:$V$1001,MATCH(ROWS($U$2:U926),$U$2:$U$1001,0),1)&gt;=100000,INDEX($AB$1005:$AQ$1005,1,MATCH(COLUMNS($AB$1006:AI1006),$AB$1006:$AQ$1006,0))&gt;=100000), " ",IF(INDEX($AB$2:$AQ$1001,MATCH(ROWS($U$2:U926),$U$2:$U$1001,0),MATCH(COLUMNS($AB$1006:AI1006),$AB$1006:$AQ$1006,0)), HYPERLINK("#",""), HYPERLINK(CONCATENATE("#metadata!", ADDRESS(INDEX($W$2:$W$1001,MATCH(ROWS($U$2:U926),$U$2:$U$1001,0),0), INDEX($AB$1004:$AQ$1004,1,MATCH(COLUMNS($AB$1006:AI1006),$AB$1006:$AQ$1006,0)))),"Fix")))</f>
        <v>0</v>
      </c>
      <c r="J926" s="4">
        <f>IF(OR(INDEX($V$2:$V$1001,MATCH(ROWS($U$2:U926),$U$2:$U$1001,0),1)&gt;=100000,INDEX($AB$1005:$AQ$1005,1,MATCH(COLUMNS($AB$1006:AJ1006),$AB$1006:$AQ$1006,0))&gt;=100000), " ",IF(INDEX($AB$2:$AQ$1001,MATCH(ROWS($U$2:U926),$U$2:$U$1001,0),MATCH(COLUMNS($AB$1006:AJ1006),$AB$1006:$AQ$1006,0)), HYPERLINK("#",""), HYPERLINK(CONCATENATE("#metadata!", ADDRESS(INDEX($W$2:$W$1001,MATCH(ROWS($U$2:U926),$U$2:$U$1001,0),0), INDEX($AB$1004:$AQ$1004,1,MATCH(COLUMNS($AB$1006:AJ1006),$AB$1006:$AQ$1006,0)))),"Fix")))</f>
        <v>0</v>
      </c>
      <c r="K926" s="4">
        <f>IF(OR(INDEX($V$2:$V$1001,MATCH(ROWS($U$2:U926),$U$2:$U$1001,0),1)&gt;=100000,INDEX($AB$1005:$AQ$1005,1,MATCH(COLUMNS($AB$1006:AK1006),$AB$1006:$AQ$1006,0))&gt;=100000), " ",IF(INDEX($AB$2:$AQ$1001,MATCH(ROWS($U$2:U926),$U$2:$U$1001,0),MATCH(COLUMNS($AB$1006:AK1006),$AB$1006:$AQ$1006,0)), HYPERLINK("#",""), HYPERLINK(CONCATENATE("#metadata!", ADDRESS(INDEX($W$2:$W$1001,MATCH(ROWS($U$2:U926),$U$2:$U$1001,0),0), INDEX($AB$1004:$AQ$1004,1,MATCH(COLUMNS($AB$1006:AK1006),$AB$1006:$AQ$1006,0)))),"Fix")))</f>
        <v>0</v>
      </c>
      <c r="L926" s="4">
        <f>IF(OR(INDEX($V$2:$V$1001,MATCH(ROWS($U$2:U926),$U$2:$U$1001,0),1)&gt;=100000,INDEX($AB$1005:$AQ$1005,1,MATCH(COLUMNS($AB$1006:AL1006),$AB$1006:$AQ$1006,0))&gt;=100000), " ",IF(INDEX($AB$2:$AQ$1001,MATCH(ROWS($U$2:U926),$U$2:$U$1001,0),MATCH(COLUMNS($AB$1006:AL1006),$AB$1006:$AQ$1006,0)), HYPERLINK("#",""), HYPERLINK(CONCATENATE("#metadata!", ADDRESS(INDEX($W$2:$W$1001,MATCH(ROWS($U$2:U926),$U$2:$U$1001,0),0), INDEX($AB$1004:$AQ$1004,1,MATCH(COLUMNS($AB$1006:AL1006),$AB$1006:$AQ$1006,0)))),"Fix")))</f>
        <v>0</v>
      </c>
      <c r="M926" s="4">
        <f>IF(OR(INDEX($V$2:$V$1001,MATCH(ROWS($U$2:U926),$U$2:$U$1001,0),1)&gt;=100000,INDEX($AB$1005:$AQ$1005,1,MATCH(COLUMNS($AB$1006:AM1006),$AB$1006:$AQ$1006,0))&gt;=100000), " ",IF(INDEX($AB$2:$AQ$1001,MATCH(ROWS($U$2:U926),$U$2:$U$1001,0),MATCH(COLUMNS($AB$1006:AM1006),$AB$1006:$AQ$1006,0)), HYPERLINK("#",""), HYPERLINK(CONCATENATE("#metadata!", ADDRESS(INDEX($W$2:$W$1001,MATCH(ROWS($U$2:U926),$U$2:$U$1001,0),0), INDEX($AB$1004:$AQ$1004,1,MATCH(COLUMNS($AB$1006:AM1006),$AB$1006:$AQ$1006,0)))),"Fix")))</f>
        <v>0</v>
      </c>
      <c r="N926" s="4">
        <f>IF(OR(INDEX($V$2:$V$1001,MATCH(ROWS($U$2:U926),$U$2:$U$1001,0),1)&gt;=100000,INDEX($AB$1005:$AQ$1005,1,MATCH(COLUMNS($AB$1006:AN1006),$AB$1006:$AQ$1006,0))&gt;=100000), " ",IF(INDEX($AB$2:$AQ$1001,MATCH(ROWS($U$2:U926),$U$2:$U$1001,0),MATCH(COLUMNS($AB$1006:AN1006),$AB$1006:$AQ$1006,0)), HYPERLINK("#",""), HYPERLINK(CONCATENATE("#metadata!", ADDRESS(INDEX($W$2:$W$1001,MATCH(ROWS($U$2:U926),$U$2:$U$1001,0),0), INDEX($AB$1004:$AQ$1004,1,MATCH(COLUMNS($AB$1006:AN1006),$AB$1006:$AQ$1006,0)))),"Fix")))</f>
        <v>0</v>
      </c>
      <c r="O926" s="4">
        <f>IF(OR(INDEX($V$2:$V$1001,MATCH(ROWS($U$2:U926),$U$2:$U$1001,0),1)&gt;=100000,INDEX($AB$1005:$AQ$1005,1,MATCH(COLUMNS($AB$1006:AO1006),$AB$1006:$AQ$1006,0))&gt;=100000), " ",IF(INDEX($AB$2:$AQ$1001,MATCH(ROWS($U$2:U926),$U$2:$U$1001,0),MATCH(COLUMNS($AB$1006:AO1006),$AB$1006:$AQ$1006,0)), HYPERLINK("#",""), HYPERLINK(CONCATENATE("#metadata!", ADDRESS(INDEX($W$2:$W$1001,MATCH(ROWS($U$2:U926),$U$2:$U$1001,0),0), INDEX($AB$1004:$AQ$1004,1,MATCH(COLUMNS($AB$1006:AO1006),$AB$1006:$AQ$1006,0)))),"Fix")))</f>
        <v>0</v>
      </c>
      <c r="P926" s="4">
        <f>IF(OR(INDEX($V$2:$V$1001,MATCH(ROWS($U$2:U926),$U$2:$U$1001,0),1)&gt;=100000,INDEX($AB$1005:$AQ$1005,1,MATCH(COLUMNS($AB$1006:AP1006),$AB$1006:$AQ$1006,0))&gt;=100000), " ",IF(INDEX($AB$2:$AQ$1001,MATCH(ROWS($U$2:U926),$U$2:$U$1001,0),MATCH(COLUMNS($AB$1006:AP1006),$AB$1006:$AQ$1006,0)), HYPERLINK("#",""), HYPERLINK(CONCATENATE("#metadata!", ADDRESS(INDEX($W$2:$W$1001,MATCH(ROWS($U$2:U926),$U$2:$U$1001,0),0), INDEX($AB$1004:$AQ$1004,1,MATCH(COLUMNS($AB$1006:AP1006),$AB$1006:$AQ$1006,0)))),"Fix")))</f>
        <v>0</v>
      </c>
      <c r="Q926" s="4">
        <f>IF(OR(INDEX($V$2:$V$1001,MATCH(ROWS($U$2:U926),$U$2:$U$1001,0),1)&gt;=100000,INDEX($AB$1005:$AQ$1005,1,MATCH(COLUMNS($AB$1006:AQ1006),$AB$1006:$AQ$1006,0))&gt;=100000), " ",IF(INDEX($AB$2:$AQ$1001,MATCH(ROWS($U$2:U926),$U$2:$U$1001,0),MATCH(COLUMNS($AB$1006:AQ1006),$AB$1006:$AQ$1006,0)), HYPERLINK("#",""), HYPERLINK(CONCATENATE("#metadata!", ADDRESS(INDEX($W$2:$W$1001,MATCH(ROWS($U$2:U926),$U$2:$U$1001,0),0), INDEX($AB$1004:$AQ$1004,1,MATCH(COLUMNS($AB$1006:AQ1006),$AB$1006:$AQ$1006,0)))),"Fix")))</f>
        <v>0</v>
      </c>
      <c r="U926">
        <v>0</v>
      </c>
      <c r="V926">
        <v>0</v>
      </c>
      <c r="W926">
        <v>0</v>
      </c>
      <c r="X926">
        <f>IF(Y926,TRUE,AND(AB926:AQ926))</f>
        <v>0</v>
      </c>
      <c r="Y926">
        <f>COUNTBLANK(metadata!B926:Q926)=COLUMNS(metadata!B926:Q926)</f>
        <v>0</v>
      </c>
      <c r="Z926">
        <v>0</v>
      </c>
      <c r="AB926">
        <f>AND(IF(metadata!B926="",FALSE,TRUE),COUNTIF(metadata!B:B, metadata!B926) = 1,NOT(ISERROR(SUMPRODUCT(SEARCH(MID(metadata!B926,ROW(INDIRECT("1:"&amp;LEN(metadata!B926))), 1),"0123456789abcdefghijklmnopqrstuvwxyzABCDEFGHIJKLMNOPQRSTUVWXYZ.")))))</f>
        <v>0</v>
      </c>
      <c r="AC926">
        <f>OR(AND(IF(metadata!C926="",FALSE,TRUE),OR(exact(metadata!C926,"missing: not collected"),exact(metadata!C926,"missing: not provided"),exact(metadata!C926,"missing: restricted access"))),AND(IF(metadata!C926="",FALSE,TRUE),AND(AND(IFERROR(INT(LEFT(metadata!C926,4))&gt;1900,FALSE),IFERROR(INT(LEFT(metadata!C926,4))&lt;=YEAR(NOW()),FALSE)), OR(MID(metadata!C926,5,1)="", AND(AND(MID(metadata!C926,5,1)="-",IFERROR(INT(MID(metadata!C926,6,1))&gt;=0,FALSE),IFERROR(INT(MID(metadata!C926,6,1))&lt;=1,FALSE),NOT(MID(metadata!C926,7,1)=""),IFERROR(INT(MID(metadata!C926,6,2))&gt;=1,FALSE),IFERROR(INT(MID(metadata!C926,6,2))&lt;=12,FALSE)), OR(MID(metadata!C926,8,1)="", AND(AND(MID(metadata!C926,8,1)="-",IFERROR(INT(MID(metadata!C926,9,1))&gt;=0,FALSE),IFERROR(INT(MID(metadata!C926,9,1))&lt;=3,FALSE),NOT(MID(metadata!C926,10,1)=""),IFERROR(INT(MID(metadata!C926,9,2))&gt;=1,FALSE),IFERROR(INT(MID(metadata!C926,9,2))&lt;=31,FALSE)), OR(MID(metadata!C926,11,1)="", AND(AND(MID(metadata!C926,11,1)=" ",IFERROR(INT(MID(metadata!C926,12,1))&gt;=0,FALSE),IFERROR(INT(MID(metadata!C926,12,1))&lt;=2,FALSE),NOT(MID(metadata!C926,13,1)=""),IFERROR(INT(MID(metadata!C926,12,2))&gt;=0,FALSE),IFERROR(INT(MID(metadata!C926,12,2))&lt;=23,FALSE)), OR(MID(metadata!C926,14,1)="", AND(AND(MID(metadata!C926,14,1)=":",IFERROR(INT(MID(metadata!C926,15,1))&gt;=0,FALSE),IFERROR(INT(MID(metadata!C926,15,1))&lt;=5,FALSE),NOT(MID(metadata!C926,16,1)=""),IFERROR(INT(MID(metadata!C926,15,2))&gt;=0,FALSE),IFERROR(INT(MID(metadata!C926,15,2))&lt;=59,FALSE)), OR(MID(metadata!C926,17,1)="", AND(AND(MID(metadata!C926,17,1)=":",IFERROR(INT(MID(metadata!C926,18,1))&gt;=0,FALSE),IFERROR(INT(MID(metadata!C926,18,1))&lt;=5,FALSE),NOT(MID(metadata!C926,19,1)=""),IFERROR(INT(MID(metadata!C926,18,2))&gt;=0,FALSE),IFERROR(INT(MID(metadata!C926,18,2))&lt;=59,FALSE)), LEN(metadata!C926)&lt;=19)))))))))))))</f>
        <v>0</v>
      </c>
      <c r="AD926">
        <f>IF(metadata!D926="",FALSE,TRUE)</f>
        <v>0</v>
      </c>
      <c r="AE926">
        <f>OR(AND(IF(metadata!E926="",FALSE,TRUE),OR(exact(metadata!E926,"missing: not collected"),exact(metadata!E926,"missing: not provided"))),AND(IF(metadata!E926="",FALSE,TRUE),OR(exact(metadata!E926,"TRUE"),exact(metadata!E926,"FALSE"))))</f>
        <v>0</v>
      </c>
      <c r="AF926">
        <f>IF(metadata!F926="",FALSE,TRUE)</f>
        <v>0</v>
      </c>
      <c r="AG926">
        <f>IF(metadata!G926="",FALSE,TRUE)</f>
        <v>0</v>
      </c>
      <c r="AH926">
        <f>IF(metadata!H926="",FALSE,TRUE)</f>
        <v>0</v>
      </c>
      <c r="AI926">
        <f>OR(AND(IF(metadata!I926="",FALSE,TRUE),OR(exact(metadata!I926,"missing: not collected"),exact(metadata!I926,"missing: not provided"),exact(metadata!I926,"missing: restricted access"))),AND(IF(metadata!I926="",FALSE,TRUE),OR(exact(metadata!I926,"air"),exact(metadata!I926,"built environment"),exact(metadata!I926,"host-associated"),exact(metadata!I926,"human-associated"),exact(metadata!I926,"human-skin"),exact(metadata!I926,"human-oral"),exact(metadata!I926,"human-gut"),exact(metadata!I926,"human-vaginal"),exact(metadata!I926,"microbial mat/biofilm"),exact(metadata!I926,"misc environment"),exact(metadata!I926,"plant-associated"),exact(metadata!I926,"sediment"),exact(metadata!I926,"soil"),exact(metadata!I926,"wastewater/sludge"),exact(metadata!I926,"water"))))</f>
        <v>0</v>
      </c>
      <c r="AJ926">
        <f>IF(metadata!J926="",FALSE,TRUE)</f>
        <v>0</v>
      </c>
      <c r="AK926">
        <f>OR(AND(IF(metadata!K926="",FALSE,TRUE),OR(exact(metadata!K926,"missing: not collected"),exact(metadata!K926,"missing: not provided"),exact(metadata!K926,"missing: restricted access"))),AND(IF(metadata!K926="",FALSE,ISNUMBER(VALUE(metadata!K926))),metadata!K926&gt;=-90.00,metadata!K926&lt;=90.00))</f>
        <v>0</v>
      </c>
      <c r="AL926">
        <f>OR(AND(IF(metadata!L926="",FALSE,TRUE),OR(exact(metadata!L926,"missing: not collected"),exact(metadata!L926,"missing: not provided"),exact(metadata!L926,"missing: restricted access"))),AND(IF(metadata!L926="",FALSE,ISNUMBER(VALUE(metadata!L926))),metadata!L926&gt;=-180.00,metadata!L926&lt;=180.00))</f>
        <v>0</v>
      </c>
      <c r="AM926">
        <f>IF(metadata!M926="",FALSE,TRUE)</f>
        <v>0</v>
      </c>
      <c r="AN926">
        <f>OR(AND(IF(metadata!N926="",FALSE,TRUE),OR(exact(metadata!N926,"missing: not collected"),exact(metadata!N926,"missing: not provided"),exact(metadata!N926,"missing: restricted access"))),AND(IF(metadata!N926="",FALSE,TRUE),OR(exact(metadata!N926,"TRUE"),exact(metadata!N926,"FALSE"))))</f>
        <v>0</v>
      </c>
      <c r="AO926">
        <f>IF(metadata!O926="",FALSE,TRUE)</f>
        <v>0</v>
      </c>
      <c r="AP926">
        <f>OR(AND(IF(metadata!P926="",FALSE,TRUE),OR(exact(metadata!P926,"missing: not collected"),exact(metadata!P926,"missing: not provided"))),AND(IF(metadata!P926="",FALSE,IF(ISERROR(INT(metadata!P926)),FALSE,INT(metadata!P926)=metadata!P926)),metadata!P926&gt;0))</f>
        <v>0</v>
      </c>
      <c r="AQ926">
        <f>IF(metadata!Q926="",FALSE,TRUE)</f>
        <v>0</v>
      </c>
    </row>
    <row r="927" spans="1:43">
      <c r="A927" s="5">
        <f>IF(B927=" "," ",HYPERLINK(CONCATENATE("#metadata!",ADDRESS(INDEX($W$2:$W$1001,MATCH(ROWS($U$2:U927),$U$2:$U$1001,0),0),1)),INDEX($Z$2:$Z$1001,MATCH(ROWS($U$2:U927),$U$2:$U$1001,0),0)))</f>
        <v>0</v>
      </c>
      <c r="B927" s="4">
        <f>IF(OR(INDEX($V$2:$V$1001,MATCH(ROWS($U$2:U927),$U$2:$U$1001,0),1)&gt;=100000,INDEX($AB$1005:$AQ$1005,1,MATCH(COLUMNS($AB$1006:AB1006),$AB$1006:$AQ$1006,0))&gt;=100000), " ",IF(INDEX($AB$2:$AQ$1001,MATCH(ROWS($U$2:U927),$U$2:$U$1001,0),MATCH(COLUMNS($AB$1006:AB1006),$AB$1006:$AQ$1006,0)), HYPERLINK("#",""), HYPERLINK(CONCATENATE("#metadata!", ADDRESS(INDEX($W$2:$W$1001,MATCH(ROWS($U$2:U927),$U$2:$U$1001,0),0), INDEX($AB$1004:$AQ$1004,1,MATCH(COLUMNS($AB$1006:AB1006),$AB$1006:$AQ$1006,0)))),"Fix")))</f>
        <v>0</v>
      </c>
      <c r="C927" s="4">
        <f>IF(OR(INDEX($V$2:$V$1001,MATCH(ROWS($U$2:U927),$U$2:$U$1001,0),1)&gt;=100000,INDEX($AB$1005:$AQ$1005,1,MATCH(COLUMNS($AB$1006:AC1006),$AB$1006:$AQ$1006,0))&gt;=100000), " ",IF(INDEX($AB$2:$AQ$1001,MATCH(ROWS($U$2:U927),$U$2:$U$1001,0),MATCH(COLUMNS($AB$1006:AC1006),$AB$1006:$AQ$1006,0)), HYPERLINK("#",""), HYPERLINK(CONCATENATE("#metadata!", ADDRESS(INDEX($W$2:$W$1001,MATCH(ROWS($U$2:U927),$U$2:$U$1001,0),0), INDEX($AB$1004:$AQ$1004,1,MATCH(COLUMNS($AB$1006:AC1006),$AB$1006:$AQ$1006,0)))),"Fix")))</f>
        <v>0</v>
      </c>
      <c r="D927" s="4">
        <f>IF(OR(INDEX($V$2:$V$1001,MATCH(ROWS($U$2:U927),$U$2:$U$1001,0),1)&gt;=100000,INDEX($AB$1005:$AQ$1005,1,MATCH(COLUMNS($AB$1006:AD1006),$AB$1006:$AQ$1006,0))&gt;=100000), " ",IF(INDEX($AB$2:$AQ$1001,MATCH(ROWS($U$2:U927),$U$2:$U$1001,0),MATCH(COLUMNS($AB$1006:AD1006),$AB$1006:$AQ$1006,0)), HYPERLINK("#",""), HYPERLINK(CONCATENATE("#metadata!", ADDRESS(INDEX($W$2:$W$1001,MATCH(ROWS($U$2:U927),$U$2:$U$1001,0),0), INDEX($AB$1004:$AQ$1004,1,MATCH(COLUMNS($AB$1006:AD1006),$AB$1006:$AQ$1006,0)))),"Fix")))</f>
        <v>0</v>
      </c>
      <c r="E927" s="4">
        <f>IF(OR(INDEX($V$2:$V$1001,MATCH(ROWS($U$2:U927),$U$2:$U$1001,0),1)&gt;=100000,INDEX($AB$1005:$AQ$1005,1,MATCH(COLUMNS($AB$1006:AE1006),$AB$1006:$AQ$1006,0))&gt;=100000), " ",IF(INDEX($AB$2:$AQ$1001,MATCH(ROWS($U$2:U927),$U$2:$U$1001,0),MATCH(COLUMNS($AB$1006:AE1006),$AB$1006:$AQ$1006,0)), HYPERLINK("#",""), HYPERLINK(CONCATENATE("#metadata!", ADDRESS(INDEX($W$2:$W$1001,MATCH(ROWS($U$2:U927),$U$2:$U$1001,0),0), INDEX($AB$1004:$AQ$1004,1,MATCH(COLUMNS($AB$1006:AE1006),$AB$1006:$AQ$1006,0)))),"Fix")))</f>
        <v>0</v>
      </c>
      <c r="F927" s="4">
        <f>IF(OR(INDEX($V$2:$V$1001,MATCH(ROWS($U$2:U927),$U$2:$U$1001,0),1)&gt;=100000,INDEX($AB$1005:$AQ$1005,1,MATCH(COLUMNS($AB$1006:AF1006),$AB$1006:$AQ$1006,0))&gt;=100000), " ",IF(INDEX($AB$2:$AQ$1001,MATCH(ROWS($U$2:U927),$U$2:$U$1001,0),MATCH(COLUMNS($AB$1006:AF1006),$AB$1006:$AQ$1006,0)), HYPERLINK("#",""), HYPERLINK(CONCATENATE("#metadata!", ADDRESS(INDEX($W$2:$W$1001,MATCH(ROWS($U$2:U927),$U$2:$U$1001,0),0), INDEX($AB$1004:$AQ$1004,1,MATCH(COLUMNS($AB$1006:AF1006),$AB$1006:$AQ$1006,0)))),"Fix")))</f>
        <v>0</v>
      </c>
      <c r="G927" s="4">
        <f>IF(OR(INDEX($V$2:$V$1001,MATCH(ROWS($U$2:U927),$U$2:$U$1001,0),1)&gt;=100000,INDEX($AB$1005:$AQ$1005,1,MATCH(COLUMNS($AB$1006:AG1006),$AB$1006:$AQ$1006,0))&gt;=100000), " ",IF(INDEX($AB$2:$AQ$1001,MATCH(ROWS($U$2:U927),$U$2:$U$1001,0),MATCH(COLUMNS($AB$1006:AG1006),$AB$1006:$AQ$1006,0)), HYPERLINK("#",""), HYPERLINK(CONCATENATE("#metadata!", ADDRESS(INDEX($W$2:$W$1001,MATCH(ROWS($U$2:U927),$U$2:$U$1001,0),0), INDEX($AB$1004:$AQ$1004,1,MATCH(COLUMNS($AB$1006:AG1006),$AB$1006:$AQ$1006,0)))),"Fix")))</f>
        <v>0</v>
      </c>
      <c r="H927" s="4">
        <f>IF(OR(INDEX($V$2:$V$1001,MATCH(ROWS($U$2:U927),$U$2:$U$1001,0),1)&gt;=100000,INDEX($AB$1005:$AQ$1005,1,MATCH(COLUMNS($AB$1006:AH1006),$AB$1006:$AQ$1006,0))&gt;=100000), " ",IF(INDEX($AB$2:$AQ$1001,MATCH(ROWS($U$2:U927),$U$2:$U$1001,0),MATCH(COLUMNS($AB$1006:AH1006),$AB$1006:$AQ$1006,0)), HYPERLINK("#",""), HYPERLINK(CONCATENATE("#metadata!", ADDRESS(INDEX($W$2:$W$1001,MATCH(ROWS($U$2:U927),$U$2:$U$1001,0),0), INDEX($AB$1004:$AQ$1004,1,MATCH(COLUMNS($AB$1006:AH1006),$AB$1006:$AQ$1006,0)))),"Fix")))</f>
        <v>0</v>
      </c>
      <c r="I927" s="4">
        <f>IF(OR(INDEX($V$2:$V$1001,MATCH(ROWS($U$2:U927),$U$2:$U$1001,0),1)&gt;=100000,INDEX($AB$1005:$AQ$1005,1,MATCH(COLUMNS($AB$1006:AI1006),$AB$1006:$AQ$1006,0))&gt;=100000), " ",IF(INDEX($AB$2:$AQ$1001,MATCH(ROWS($U$2:U927),$U$2:$U$1001,0),MATCH(COLUMNS($AB$1006:AI1006),$AB$1006:$AQ$1006,0)), HYPERLINK("#",""), HYPERLINK(CONCATENATE("#metadata!", ADDRESS(INDEX($W$2:$W$1001,MATCH(ROWS($U$2:U927),$U$2:$U$1001,0),0), INDEX($AB$1004:$AQ$1004,1,MATCH(COLUMNS($AB$1006:AI1006),$AB$1006:$AQ$1006,0)))),"Fix")))</f>
        <v>0</v>
      </c>
      <c r="J927" s="4">
        <f>IF(OR(INDEX($V$2:$V$1001,MATCH(ROWS($U$2:U927),$U$2:$U$1001,0),1)&gt;=100000,INDEX($AB$1005:$AQ$1005,1,MATCH(COLUMNS($AB$1006:AJ1006),$AB$1006:$AQ$1006,0))&gt;=100000), " ",IF(INDEX($AB$2:$AQ$1001,MATCH(ROWS($U$2:U927),$U$2:$U$1001,0),MATCH(COLUMNS($AB$1006:AJ1006),$AB$1006:$AQ$1006,0)), HYPERLINK("#",""), HYPERLINK(CONCATENATE("#metadata!", ADDRESS(INDEX($W$2:$W$1001,MATCH(ROWS($U$2:U927),$U$2:$U$1001,0),0), INDEX($AB$1004:$AQ$1004,1,MATCH(COLUMNS($AB$1006:AJ1006),$AB$1006:$AQ$1006,0)))),"Fix")))</f>
        <v>0</v>
      </c>
      <c r="K927" s="4">
        <f>IF(OR(INDEX($V$2:$V$1001,MATCH(ROWS($U$2:U927),$U$2:$U$1001,0),1)&gt;=100000,INDEX($AB$1005:$AQ$1005,1,MATCH(COLUMNS($AB$1006:AK1006),$AB$1006:$AQ$1006,0))&gt;=100000), " ",IF(INDEX($AB$2:$AQ$1001,MATCH(ROWS($U$2:U927),$U$2:$U$1001,0),MATCH(COLUMNS($AB$1006:AK1006),$AB$1006:$AQ$1006,0)), HYPERLINK("#",""), HYPERLINK(CONCATENATE("#metadata!", ADDRESS(INDEX($W$2:$W$1001,MATCH(ROWS($U$2:U927),$U$2:$U$1001,0),0), INDEX($AB$1004:$AQ$1004,1,MATCH(COLUMNS($AB$1006:AK1006),$AB$1006:$AQ$1006,0)))),"Fix")))</f>
        <v>0</v>
      </c>
      <c r="L927" s="4">
        <f>IF(OR(INDEX($V$2:$V$1001,MATCH(ROWS($U$2:U927),$U$2:$U$1001,0),1)&gt;=100000,INDEX($AB$1005:$AQ$1005,1,MATCH(COLUMNS($AB$1006:AL1006),$AB$1006:$AQ$1006,0))&gt;=100000), " ",IF(INDEX($AB$2:$AQ$1001,MATCH(ROWS($U$2:U927),$U$2:$U$1001,0),MATCH(COLUMNS($AB$1006:AL1006),$AB$1006:$AQ$1006,0)), HYPERLINK("#",""), HYPERLINK(CONCATENATE("#metadata!", ADDRESS(INDEX($W$2:$W$1001,MATCH(ROWS($U$2:U927),$U$2:$U$1001,0),0), INDEX($AB$1004:$AQ$1004,1,MATCH(COLUMNS($AB$1006:AL1006),$AB$1006:$AQ$1006,0)))),"Fix")))</f>
        <v>0</v>
      </c>
      <c r="M927" s="4">
        <f>IF(OR(INDEX($V$2:$V$1001,MATCH(ROWS($U$2:U927),$U$2:$U$1001,0),1)&gt;=100000,INDEX($AB$1005:$AQ$1005,1,MATCH(COLUMNS($AB$1006:AM1006),$AB$1006:$AQ$1006,0))&gt;=100000), " ",IF(INDEX($AB$2:$AQ$1001,MATCH(ROWS($U$2:U927),$U$2:$U$1001,0),MATCH(COLUMNS($AB$1006:AM1006),$AB$1006:$AQ$1006,0)), HYPERLINK("#",""), HYPERLINK(CONCATENATE("#metadata!", ADDRESS(INDEX($W$2:$W$1001,MATCH(ROWS($U$2:U927),$U$2:$U$1001,0),0), INDEX($AB$1004:$AQ$1004,1,MATCH(COLUMNS($AB$1006:AM1006),$AB$1006:$AQ$1006,0)))),"Fix")))</f>
        <v>0</v>
      </c>
      <c r="N927" s="4">
        <f>IF(OR(INDEX($V$2:$V$1001,MATCH(ROWS($U$2:U927),$U$2:$U$1001,0),1)&gt;=100000,INDEX($AB$1005:$AQ$1005,1,MATCH(COLUMNS($AB$1006:AN1006),$AB$1006:$AQ$1006,0))&gt;=100000), " ",IF(INDEX($AB$2:$AQ$1001,MATCH(ROWS($U$2:U927),$U$2:$U$1001,0),MATCH(COLUMNS($AB$1006:AN1006),$AB$1006:$AQ$1006,0)), HYPERLINK("#",""), HYPERLINK(CONCATENATE("#metadata!", ADDRESS(INDEX($W$2:$W$1001,MATCH(ROWS($U$2:U927),$U$2:$U$1001,0),0), INDEX($AB$1004:$AQ$1004,1,MATCH(COLUMNS($AB$1006:AN1006),$AB$1006:$AQ$1006,0)))),"Fix")))</f>
        <v>0</v>
      </c>
      <c r="O927" s="4">
        <f>IF(OR(INDEX($V$2:$V$1001,MATCH(ROWS($U$2:U927),$U$2:$U$1001,0),1)&gt;=100000,INDEX($AB$1005:$AQ$1005,1,MATCH(COLUMNS($AB$1006:AO1006),$AB$1006:$AQ$1006,0))&gt;=100000), " ",IF(INDEX($AB$2:$AQ$1001,MATCH(ROWS($U$2:U927),$U$2:$U$1001,0),MATCH(COLUMNS($AB$1006:AO1006),$AB$1006:$AQ$1006,0)), HYPERLINK("#",""), HYPERLINK(CONCATENATE("#metadata!", ADDRESS(INDEX($W$2:$W$1001,MATCH(ROWS($U$2:U927),$U$2:$U$1001,0),0), INDEX($AB$1004:$AQ$1004,1,MATCH(COLUMNS($AB$1006:AO1006),$AB$1006:$AQ$1006,0)))),"Fix")))</f>
        <v>0</v>
      </c>
      <c r="P927" s="4">
        <f>IF(OR(INDEX($V$2:$V$1001,MATCH(ROWS($U$2:U927),$U$2:$U$1001,0),1)&gt;=100000,INDEX($AB$1005:$AQ$1005,1,MATCH(COLUMNS($AB$1006:AP1006),$AB$1006:$AQ$1006,0))&gt;=100000), " ",IF(INDEX($AB$2:$AQ$1001,MATCH(ROWS($U$2:U927),$U$2:$U$1001,0),MATCH(COLUMNS($AB$1006:AP1006),$AB$1006:$AQ$1006,0)), HYPERLINK("#",""), HYPERLINK(CONCATENATE("#metadata!", ADDRESS(INDEX($W$2:$W$1001,MATCH(ROWS($U$2:U927),$U$2:$U$1001,0),0), INDEX($AB$1004:$AQ$1004,1,MATCH(COLUMNS($AB$1006:AP1006),$AB$1006:$AQ$1006,0)))),"Fix")))</f>
        <v>0</v>
      </c>
      <c r="Q927" s="4">
        <f>IF(OR(INDEX($V$2:$V$1001,MATCH(ROWS($U$2:U927),$U$2:$U$1001,0),1)&gt;=100000,INDEX($AB$1005:$AQ$1005,1,MATCH(COLUMNS($AB$1006:AQ1006),$AB$1006:$AQ$1006,0))&gt;=100000), " ",IF(INDEX($AB$2:$AQ$1001,MATCH(ROWS($U$2:U927),$U$2:$U$1001,0),MATCH(COLUMNS($AB$1006:AQ1006),$AB$1006:$AQ$1006,0)), HYPERLINK("#",""), HYPERLINK(CONCATENATE("#metadata!", ADDRESS(INDEX($W$2:$W$1001,MATCH(ROWS($U$2:U927),$U$2:$U$1001,0),0), INDEX($AB$1004:$AQ$1004,1,MATCH(COLUMNS($AB$1006:AQ1006),$AB$1006:$AQ$1006,0)))),"Fix")))</f>
        <v>0</v>
      </c>
      <c r="U927">
        <v>0</v>
      </c>
      <c r="V927">
        <v>0</v>
      </c>
      <c r="W927">
        <v>0</v>
      </c>
      <c r="X927">
        <f>IF(Y927,TRUE,AND(AB927:AQ927))</f>
        <v>0</v>
      </c>
      <c r="Y927">
        <f>COUNTBLANK(metadata!B927:Q927)=COLUMNS(metadata!B927:Q927)</f>
        <v>0</v>
      </c>
      <c r="Z927">
        <v>0</v>
      </c>
      <c r="AB927">
        <f>AND(IF(metadata!B927="",FALSE,TRUE),COUNTIF(metadata!B:B, metadata!B927) = 1,NOT(ISERROR(SUMPRODUCT(SEARCH(MID(metadata!B927,ROW(INDIRECT("1:"&amp;LEN(metadata!B927))), 1),"0123456789abcdefghijklmnopqrstuvwxyzABCDEFGHIJKLMNOPQRSTUVWXYZ.")))))</f>
        <v>0</v>
      </c>
      <c r="AC927">
        <f>OR(AND(IF(metadata!C927="",FALSE,TRUE),OR(exact(metadata!C927,"missing: not collected"),exact(metadata!C927,"missing: not provided"),exact(metadata!C927,"missing: restricted access"))),AND(IF(metadata!C927="",FALSE,TRUE),AND(AND(IFERROR(INT(LEFT(metadata!C927,4))&gt;1900,FALSE),IFERROR(INT(LEFT(metadata!C927,4))&lt;=YEAR(NOW()),FALSE)), OR(MID(metadata!C927,5,1)="", AND(AND(MID(metadata!C927,5,1)="-",IFERROR(INT(MID(metadata!C927,6,1))&gt;=0,FALSE),IFERROR(INT(MID(metadata!C927,6,1))&lt;=1,FALSE),NOT(MID(metadata!C927,7,1)=""),IFERROR(INT(MID(metadata!C927,6,2))&gt;=1,FALSE),IFERROR(INT(MID(metadata!C927,6,2))&lt;=12,FALSE)), OR(MID(metadata!C927,8,1)="", AND(AND(MID(metadata!C927,8,1)="-",IFERROR(INT(MID(metadata!C927,9,1))&gt;=0,FALSE),IFERROR(INT(MID(metadata!C927,9,1))&lt;=3,FALSE),NOT(MID(metadata!C927,10,1)=""),IFERROR(INT(MID(metadata!C927,9,2))&gt;=1,FALSE),IFERROR(INT(MID(metadata!C927,9,2))&lt;=31,FALSE)), OR(MID(metadata!C927,11,1)="", AND(AND(MID(metadata!C927,11,1)=" ",IFERROR(INT(MID(metadata!C927,12,1))&gt;=0,FALSE),IFERROR(INT(MID(metadata!C927,12,1))&lt;=2,FALSE),NOT(MID(metadata!C927,13,1)=""),IFERROR(INT(MID(metadata!C927,12,2))&gt;=0,FALSE),IFERROR(INT(MID(metadata!C927,12,2))&lt;=23,FALSE)), OR(MID(metadata!C927,14,1)="", AND(AND(MID(metadata!C927,14,1)=":",IFERROR(INT(MID(metadata!C927,15,1))&gt;=0,FALSE),IFERROR(INT(MID(metadata!C927,15,1))&lt;=5,FALSE),NOT(MID(metadata!C927,16,1)=""),IFERROR(INT(MID(metadata!C927,15,2))&gt;=0,FALSE),IFERROR(INT(MID(metadata!C927,15,2))&lt;=59,FALSE)), OR(MID(metadata!C927,17,1)="", AND(AND(MID(metadata!C927,17,1)=":",IFERROR(INT(MID(metadata!C927,18,1))&gt;=0,FALSE),IFERROR(INT(MID(metadata!C927,18,1))&lt;=5,FALSE),NOT(MID(metadata!C927,19,1)=""),IFERROR(INT(MID(metadata!C927,18,2))&gt;=0,FALSE),IFERROR(INT(MID(metadata!C927,18,2))&lt;=59,FALSE)), LEN(metadata!C927)&lt;=19)))))))))))))</f>
        <v>0</v>
      </c>
      <c r="AD927">
        <f>IF(metadata!D927="",FALSE,TRUE)</f>
        <v>0</v>
      </c>
      <c r="AE927">
        <f>OR(AND(IF(metadata!E927="",FALSE,TRUE),OR(exact(metadata!E927,"missing: not collected"),exact(metadata!E927,"missing: not provided"))),AND(IF(metadata!E927="",FALSE,TRUE),OR(exact(metadata!E927,"TRUE"),exact(metadata!E927,"FALSE"))))</f>
        <v>0</v>
      </c>
      <c r="AF927">
        <f>IF(metadata!F927="",FALSE,TRUE)</f>
        <v>0</v>
      </c>
      <c r="AG927">
        <f>IF(metadata!G927="",FALSE,TRUE)</f>
        <v>0</v>
      </c>
      <c r="AH927">
        <f>IF(metadata!H927="",FALSE,TRUE)</f>
        <v>0</v>
      </c>
      <c r="AI927">
        <f>OR(AND(IF(metadata!I927="",FALSE,TRUE),OR(exact(metadata!I927,"missing: not collected"),exact(metadata!I927,"missing: not provided"),exact(metadata!I927,"missing: restricted access"))),AND(IF(metadata!I927="",FALSE,TRUE),OR(exact(metadata!I927,"air"),exact(metadata!I927,"built environment"),exact(metadata!I927,"host-associated"),exact(metadata!I927,"human-associated"),exact(metadata!I927,"human-skin"),exact(metadata!I927,"human-oral"),exact(metadata!I927,"human-gut"),exact(metadata!I927,"human-vaginal"),exact(metadata!I927,"microbial mat/biofilm"),exact(metadata!I927,"misc environment"),exact(metadata!I927,"plant-associated"),exact(metadata!I927,"sediment"),exact(metadata!I927,"soil"),exact(metadata!I927,"wastewater/sludge"),exact(metadata!I927,"water"))))</f>
        <v>0</v>
      </c>
      <c r="AJ927">
        <f>IF(metadata!J927="",FALSE,TRUE)</f>
        <v>0</v>
      </c>
      <c r="AK927">
        <f>OR(AND(IF(metadata!K927="",FALSE,TRUE),OR(exact(metadata!K927,"missing: not collected"),exact(metadata!K927,"missing: not provided"),exact(metadata!K927,"missing: restricted access"))),AND(IF(metadata!K927="",FALSE,ISNUMBER(VALUE(metadata!K927))),metadata!K927&gt;=-90.00,metadata!K927&lt;=90.00))</f>
        <v>0</v>
      </c>
      <c r="AL927">
        <f>OR(AND(IF(metadata!L927="",FALSE,TRUE),OR(exact(metadata!L927,"missing: not collected"),exact(metadata!L927,"missing: not provided"),exact(metadata!L927,"missing: restricted access"))),AND(IF(metadata!L927="",FALSE,ISNUMBER(VALUE(metadata!L927))),metadata!L927&gt;=-180.00,metadata!L927&lt;=180.00))</f>
        <v>0</v>
      </c>
      <c r="AM927">
        <f>IF(metadata!M927="",FALSE,TRUE)</f>
        <v>0</v>
      </c>
      <c r="AN927">
        <f>OR(AND(IF(metadata!N927="",FALSE,TRUE),OR(exact(metadata!N927,"missing: not collected"),exact(metadata!N927,"missing: not provided"),exact(metadata!N927,"missing: restricted access"))),AND(IF(metadata!N927="",FALSE,TRUE),OR(exact(metadata!N927,"TRUE"),exact(metadata!N927,"FALSE"))))</f>
        <v>0</v>
      </c>
      <c r="AO927">
        <f>IF(metadata!O927="",FALSE,TRUE)</f>
        <v>0</v>
      </c>
      <c r="AP927">
        <f>OR(AND(IF(metadata!P927="",FALSE,TRUE),OR(exact(metadata!P927,"missing: not collected"),exact(metadata!P927,"missing: not provided"))),AND(IF(metadata!P927="",FALSE,IF(ISERROR(INT(metadata!P927)),FALSE,INT(metadata!P927)=metadata!P927)),metadata!P927&gt;0))</f>
        <v>0</v>
      </c>
      <c r="AQ927">
        <f>IF(metadata!Q927="",FALSE,TRUE)</f>
        <v>0</v>
      </c>
    </row>
    <row r="928" spans="1:43">
      <c r="A928" s="5">
        <f>IF(B928=" "," ",HYPERLINK(CONCATENATE("#metadata!",ADDRESS(INDEX($W$2:$W$1001,MATCH(ROWS($U$2:U928),$U$2:$U$1001,0),0),1)),INDEX($Z$2:$Z$1001,MATCH(ROWS($U$2:U928),$U$2:$U$1001,0),0)))</f>
        <v>0</v>
      </c>
      <c r="B928" s="4">
        <f>IF(OR(INDEX($V$2:$V$1001,MATCH(ROWS($U$2:U928),$U$2:$U$1001,0),1)&gt;=100000,INDEX($AB$1005:$AQ$1005,1,MATCH(COLUMNS($AB$1006:AB1006),$AB$1006:$AQ$1006,0))&gt;=100000), " ",IF(INDEX($AB$2:$AQ$1001,MATCH(ROWS($U$2:U928),$U$2:$U$1001,0),MATCH(COLUMNS($AB$1006:AB1006),$AB$1006:$AQ$1006,0)), HYPERLINK("#",""), HYPERLINK(CONCATENATE("#metadata!", ADDRESS(INDEX($W$2:$W$1001,MATCH(ROWS($U$2:U928),$U$2:$U$1001,0),0), INDEX($AB$1004:$AQ$1004,1,MATCH(COLUMNS($AB$1006:AB1006),$AB$1006:$AQ$1006,0)))),"Fix")))</f>
        <v>0</v>
      </c>
      <c r="C928" s="4">
        <f>IF(OR(INDEX($V$2:$V$1001,MATCH(ROWS($U$2:U928),$U$2:$U$1001,0),1)&gt;=100000,INDEX($AB$1005:$AQ$1005,1,MATCH(COLUMNS($AB$1006:AC1006),$AB$1006:$AQ$1006,0))&gt;=100000), " ",IF(INDEX($AB$2:$AQ$1001,MATCH(ROWS($U$2:U928),$U$2:$U$1001,0),MATCH(COLUMNS($AB$1006:AC1006),$AB$1006:$AQ$1006,0)), HYPERLINK("#",""), HYPERLINK(CONCATENATE("#metadata!", ADDRESS(INDEX($W$2:$W$1001,MATCH(ROWS($U$2:U928),$U$2:$U$1001,0),0), INDEX($AB$1004:$AQ$1004,1,MATCH(COLUMNS($AB$1006:AC1006),$AB$1006:$AQ$1006,0)))),"Fix")))</f>
        <v>0</v>
      </c>
      <c r="D928" s="4">
        <f>IF(OR(INDEX($V$2:$V$1001,MATCH(ROWS($U$2:U928),$U$2:$U$1001,0),1)&gt;=100000,INDEX($AB$1005:$AQ$1005,1,MATCH(COLUMNS($AB$1006:AD1006),$AB$1006:$AQ$1006,0))&gt;=100000), " ",IF(INDEX($AB$2:$AQ$1001,MATCH(ROWS($U$2:U928),$U$2:$U$1001,0),MATCH(COLUMNS($AB$1006:AD1006),$AB$1006:$AQ$1006,0)), HYPERLINK("#",""), HYPERLINK(CONCATENATE("#metadata!", ADDRESS(INDEX($W$2:$W$1001,MATCH(ROWS($U$2:U928),$U$2:$U$1001,0),0), INDEX($AB$1004:$AQ$1004,1,MATCH(COLUMNS($AB$1006:AD1006),$AB$1006:$AQ$1006,0)))),"Fix")))</f>
        <v>0</v>
      </c>
      <c r="E928" s="4">
        <f>IF(OR(INDEX($V$2:$V$1001,MATCH(ROWS($U$2:U928),$U$2:$U$1001,0),1)&gt;=100000,INDEX($AB$1005:$AQ$1005,1,MATCH(COLUMNS($AB$1006:AE1006),$AB$1006:$AQ$1006,0))&gt;=100000), " ",IF(INDEX($AB$2:$AQ$1001,MATCH(ROWS($U$2:U928),$U$2:$U$1001,0),MATCH(COLUMNS($AB$1006:AE1006),$AB$1006:$AQ$1006,0)), HYPERLINK("#",""), HYPERLINK(CONCATENATE("#metadata!", ADDRESS(INDEX($W$2:$W$1001,MATCH(ROWS($U$2:U928),$U$2:$U$1001,0),0), INDEX($AB$1004:$AQ$1004,1,MATCH(COLUMNS($AB$1006:AE1006),$AB$1006:$AQ$1006,0)))),"Fix")))</f>
        <v>0</v>
      </c>
      <c r="F928" s="4">
        <f>IF(OR(INDEX($V$2:$V$1001,MATCH(ROWS($U$2:U928),$U$2:$U$1001,0),1)&gt;=100000,INDEX($AB$1005:$AQ$1005,1,MATCH(COLUMNS($AB$1006:AF1006),$AB$1006:$AQ$1006,0))&gt;=100000), " ",IF(INDEX($AB$2:$AQ$1001,MATCH(ROWS($U$2:U928),$U$2:$U$1001,0),MATCH(COLUMNS($AB$1006:AF1006),$AB$1006:$AQ$1006,0)), HYPERLINK("#",""), HYPERLINK(CONCATENATE("#metadata!", ADDRESS(INDEX($W$2:$W$1001,MATCH(ROWS($U$2:U928),$U$2:$U$1001,0),0), INDEX($AB$1004:$AQ$1004,1,MATCH(COLUMNS($AB$1006:AF1006),$AB$1006:$AQ$1006,0)))),"Fix")))</f>
        <v>0</v>
      </c>
      <c r="G928" s="4">
        <f>IF(OR(INDEX($V$2:$V$1001,MATCH(ROWS($U$2:U928),$U$2:$U$1001,0),1)&gt;=100000,INDEX($AB$1005:$AQ$1005,1,MATCH(COLUMNS($AB$1006:AG1006),$AB$1006:$AQ$1006,0))&gt;=100000), " ",IF(INDEX($AB$2:$AQ$1001,MATCH(ROWS($U$2:U928),$U$2:$U$1001,0),MATCH(COLUMNS($AB$1006:AG1006),$AB$1006:$AQ$1006,0)), HYPERLINK("#",""), HYPERLINK(CONCATENATE("#metadata!", ADDRESS(INDEX($W$2:$W$1001,MATCH(ROWS($U$2:U928),$U$2:$U$1001,0),0), INDEX($AB$1004:$AQ$1004,1,MATCH(COLUMNS($AB$1006:AG1006),$AB$1006:$AQ$1006,0)))),"Fix")))</f>
        <v>0</v>
      </c>
      <c r="H928" s="4">
        <f>IF(OR(INDEX($V$2:$V$1001,MATCH(ROWS($U$2:U928),$U$2:$U$1001,0),1)&gt;=100000,INDEX($AB$1005:$AQ$1005,1,MATCH(COLUMNS($AB$1006:AH1006),$AB$1006:$AQ$1006,0))&gt;=100000), " ",IF(INDEX($AB$2:$AQ$1001,MATCH(ROWS($U$2:U928),$U$2:$U$1001,0),MATCH(COLUMNS($AB$1006:AH1006),$AB$1006:$AQ$1006,0)), HYPERLINK("#",""), HYPERLINK(CONCATENATE("#metadata!", ADDRESS(INDEX($W$2:$W$1001,MATCH(ROWS($U$2:U928),$U$2:$U$1001,0),0), INDEX($AB$1004:$AQ$1004,1,MATCH(COLUMNS($AB$1006:AH1006),$AB$1006:$AQ$1006,0)))),"Fix")))</f>
        <v>0</v>
      </c>
      <c r="I928" s="4">
        <f>IF(OR(INDEX($V$2:$V$1001,MATCH(ROWS($U$2:U928),$U$2:$U$1001,0),1)&gt;=100000,INDEX($AB$1005:$AQ$1005,1,MATCH(COLUMNS($AB$1006:AI1006),$AB$1006:$AQ$1006,0))&gt;=100000), " ",IF(INDEX($AB$2:$AQ$1001,MATCH(ROWS($U$2:U928),$U$2:$U$1001,0),MATCH(COLUMNS($AB$1006:AI1006),$AB$1006:$AQ$1006,0)), HYPERLINK("#",""), HYPERLINK(CONCATENATE("#metadata!", ADDRESS(INDEX($W$2:$W$1001,MATCH(ROWS($U$2:U928),$U$2:$U$1001,0),0), INDEX($AB$1004:$AQ$1004,1,MATCH(COLUMNS($AB$1006:AI1006),$AB$1006:$AQ$1006,0)))),"Fix")))</f>
        <v>0</v>
      </c>
      <c r="J928" s="4">
        <f>IF(OR(INDEX($V$2:$V$1001,MATCH(ROWS($U$2:U928),$U$2:$U$1001,0),1)&gt;=100000,INDEX($AB$1005:$AQ$1005,1,MATCH(COLUMNS($AB$1006:AJ1006),$AB$1006:$AQ$1006,0))&gt;=100000), " ",IF(INDEX($AB$2:$AQ$1001,MATCH(ROWS($U$2:U928),$U$2:$U$1001,0),MATCH(COLUMNS($AB$1006:AJ1006),$AB$1006:$AQ$1006,0)), HYPERLINK("#",""), HYPERLINK(CONCATENATE("#metadata!", ADDRESS(INDEX($W$2:$W$1001,MATCH(ROWS($U$2:U928),$U$2:$U$1001,0),0), INDEX($AB$1004:$AQ$1004,1,MATCH(COLUMNS($AB$1006:AJ1006),$AB$1006:$AQ$1006,0)))),"Fix")))</f>
        <v>0</v>
      </c>
      <c r="K928" s="4">
        <f>IF(OR(INDEX($V$2:$V$1001,MATCH(ROWS($U$2:U928),$U$2:$U$1001,0),1)&gt;=100000,INDEX($AB$1005:$AQ$1005,1,MATCH(COLUMNS($AB$1006:AK1006),$AB$1006:$AQ$1006,0))&gt;=100000), " ",IF(INDEX($AB$2:$AQ$1001,MATCH(ROWS($U$2:U928),$U$2:$U$1001,0),MATCH(COLUMNS($AB$1006:AK1006),$AB$1006:$AQ$1006,0)), HYPERLINK("#",""), HYPERLINK(CONCATENATE("#metadata!", ADDRESS(INDEX($W$2:$W$1001,MATCH(ROWS($U$2:U928),$U$2:$U$1001,0),0), INDEX($AB$1004:$AQ$1004,1,MATCH(COLUMNS($AB$1006:AK1006),$AB$1006:$AQ$1006,0)))),"Fix")))</f>
        <v>0</v>
      </c>
      <c r="L928" s="4">
        <f>IF(OR(INDEX($V$2:$V$1001,MATCH(ROWS($U$2:U928),$U$2:$U$1001,0),1)&gt;=100000,INDEX($AB$1005:$AQ$1005,1,MATCH(COLUMNS($AB$1006:AL1006),$AB$1006:$AQ$1006,0))&gt;=100000), " ",IF(INDEX($AB$2:$AQ$1001,MATCH(ROWS($U$2:U928),$U$2:$U$1001,0),MATCH(COLUMNS($AB$1006:AL1006),$AB$1006:$AQ$1006,0)), HYPERLINK("#",""), HYPERLINK(CONCATENATE("#metadata!", ADDRESS(INDEX($W$2:$W$1001,MATCH(ROWS($U$2:U928),$U$2:$U$1001,0),0), INDEX($AB$1004:$AQ$1004,1,MATCH(COLUMNS($AB$1006:AL1006),$AB$1006:$AQ$1006,0)))),"Fix")))</f>
        <v>0</v>
      </c>
      <c r="M928" s="4">
        <f>IF(OR(INDEX($V$2:$V$1001,MATCH(ROWS($U$2:U928),$U$2:$U$1001,0),1)&gt;=100000,INDEX($AB$1005:$AQ$1005,1,MATCH(COLUMNS($AB$1006:AM1006),$AB$1006:$AQ$1006,0))&gt;=100000), " ",IF(INDEX($AB$2:$AQ$1001,MATCH(ROWS($U$2:U928),$U$2:$U$1001,0),MATCH(COLUMNS($AB$1006:AM1006),$AB$1006:$AQ$1006,0)), HYPERLINK("#",""), HYPERLINK(CONCATENATE("#metadata!", ADDRESS(INDEX($W$2:$W$1001,MATCH(ROWS($U$2:U928),$U$2:$U$1001,0),0), INDEX($AB$1004:$AQ$1004,1,MATCH(COLUMNS($AB$1006:AM1006),$AB$1006:$AQ$1006,0)))),"Fix")))</f>
        <v>0</v>
      </c>
      <c r="N928" s="4">
        <f>IF(OR(INDEX($V$2:$V$1001,MATCH(ROWS($U$2:U928),$U$2:$U$1001,0),1)&gt;=100000,INDEX($AB$1005:$AQ$1005,1,MATCH(COLUMNS($AB$1006:AN1006),$AB$1006:$AQ$1006,0))&gt;=100000), " ",IF(INDEX($AB$2:$AQ$1001,MATCH(ROWS($U$2:U928),$U$2:$U$1001,0),MATCH(COLUMNS($AB$1006:AN1006),$AB$1006:$AQ$1006,0)), HYPERLINK("#",""), HYPERLINK(CONCATENATE("#metadata!", ADDRESS(INDEX($W$2:$W$1001,MATCH(ROWS($U$2:U928),$U$2:$U$1001,0),0), INDEX($AB$1004:$AQ$1004,1,MATCH(COLUMNS($AB$1006:AN1006),$AB$1006:$AQ$1006,0)))),"Fix")))</f>
        <v>0</v>
      </c>
      <c r="O928" s="4">
        <f>IF(OR(INDEX($V$2:$V$1001,MATCH(ROWS($U$2:U928),$U$2:$U$1001,0),1)&gt;=100000,INDEX($AB$1005:$AQ$1005,1,MATCH(COLUMNS($AB$1006:AO1006),$AB$1006:$AQ$1006,0))&gt;=100000), " ",IF(INDEX($AB$2:$AQ$1001,MATCH(ROWS($U$2:U928),$U$2:$U$1001,0),MATCH(COLUMNS($AB$1006:AO1006),$AB$1006:$AQ$1006,0)), HYPERLINK("#",""), HYPERLINK(CONCATENATE("#metadata!", ADDRESS(INDEX($W$2:$W$1001,MATCH(ROWS($U$2:U928),$U$2:$U$1001,0),0), INDEX($AB$1004:$AQ$1004,1,MATCH(COLUMNS($AB$1006:AO1006),$AB$1006:$AQ$1006,0)))),"Fix")))</f>
        <v>0</v>
      </c>
      <c r="P928" s="4">
        <f>IF(OR(INDEX($V$2:$V$1001,MATCH(ROWS($U$2:U928),$U$2:$U$1001,0),1)&gt;=100000,INDEX($AB$1005:$AQ$1005,1,MATCH(COLUMNS($AB$1006:AP1006),$AB$1006:$AQ$1006,0))&gt;=100000), " ",IF(INDEX($AB$2:$AQ$1001,MATCH(ROWS($U$2:U928),$U$2:$U$1001,0),MATCH(COLUMNS($AB$1006:AP1006),$AB$1006:$AQ$1006,0)), HYPERLINK("#",""), HYPERLINK(CONCATENATE("#metadata!", ADDRESS(INDEX($W$2:$W$1001,MATCH(ROWS($U$2:U928),$U$2:$U$1001,0),0), INDEX($AB$1004:$AQ$1004,1,MATCH(COLUMNS($AB$1006:AP1006),$AB$1006:$AQ$1006,0)))),"Fix")))</f>
        <v>0</v>
      </c>
      <c r="Q928" s="4">
        <f>IF(OR(INDEX($V$2:$V$1001,MATCH(ROWS($U$2:U928),$U$2:$U$1001,0),1)&gt;=100000,INDEX($AB$1005:$AQ$1005,1,MATCH(COLUMNS($AB$1006:AQ1006),$AB$1006:$AQ$1006,0))&gt;=100000), " ",IF(INDEX($AB$2:$AQ$1001,MATCH(ROWS($U$2:U928),$U$2:$U$1001,0),MATCH(COLUMNS($AB$1006:AQ1006),$AB$1006:$AQ$1006,0)), HYPERLINK("#",""), HYPERLINK(CONCATENATE("#metadata!", ADDRESS(INDEX($W$2:$W$1001,MATCH(ROWS($U$2:U928),$U$2:$U$1001,0),0), INDEX($AB$1004:$AQ$1004,1,MATCH(COLUMNS($AB$1006:AQ1006),$AB$1006:$AQ$1006,0)))),"Fix")))</f>
        <v>0</v>
      </c>
      <c r="U928">
        <v>0</v>
      </c>
      <c r="V928">
        <v>0</v>
      </c>
      <c r="W928">
        <v>0</v>
      </c>
      <c r="X928">
        <f>IF(Y928,TRUE,AND(AB928:AQ928))</f>
        <v>0</v>
      </c>
      <c r="Y928">
        <f>COUNTBLANK(metadata!B928:Q928)=COLUMNS(metadata!B928:Q928)</f>
        <v>0</v>
      </c>
      <c r="Z928">
        <v>0</v>
      </c>
      <c r="AB928">
        <f>AND(IF(metadata!B928="",FALSE,TRUE),COUNTIF(metadata!B:B, metadata!B928) = 1,NOT(ISERROR(SUMPRODUCT(SEARCH(MID(metadata!B928,ROW(INDIRECT("1:"&amp;LEN(metadata!B928))), 1),"0123456789abcdefghijklmnopqrstuvwxyzABCDEFGHIJKLMNOPQRSTUVWXYZ.")))))</f>
        <v>0</v>
      </c>
      <c r="AC928">
        <f>OR(AND(IF(metadata!C928="",FALSE,TRUE),OR(exact(metadata!C928,"missing: not collected"),exact(metadata!C928,"missing: not provided"),exact(metadata!C928,"missing: restricted access"))),AND(IF(metadata!C928="",FALSE,TRUE),AND(AND(IFERROR(INT(LEFT(metadata!C928,4))&gt;1900,FALSE),IFERROR(INT(LEFT(metadata!C928,4))&lt;=YEAR(NOW()),FALSE)), OR(MID(metadata!C928,5,1)="", AND(AND(MID(metadata!C928,5,1)="-",IFERROR(INT(MID(metadata!C928,6,1))&gt;=0,FALSE),IFERROR(INT(MID(metadata!C928,6,1))&lt;=1,FALSE),NOT(MID(metadata!C928,7,1)=""),IFERROR(INT(MID(metadata!C928,6,2))&gt;=1,FALSE),IFERROR(INT(MID(metadata!C928,6,2))&lt;=12,FALSE)), OR(MID(metadata!C928,8,1)="", AND(AND(MID(metadata!C928,8,1)="-",IFERROR(INT(MID(metadata!C928,9,1))&gt;=0,FALSE),IFERROR(INT(MID(metadata!C928,9,1))&lt;=3,FALSE),NOT(MID(metadata!C928,10,1)=""),IFERROR(INT(MID(metadata!C928,9,2))&gt;=1,FALSE),IFERROR(INT(MID(metadata!C928,9,2))&lt;=31,FALSE)), OR(MID(metadata!C928,11,1)="", AND(AND(MID(metadata!C928,11,1)=" ",IFERROR(INT(MID(metadata!C928,12,1))&gt;=0,FALSE),IFERROR(INT(MID(metadata!C928,12,1))&lt;=2,FALSE),NOT(MID(metadata!C928,13,1)=""),IFERROR(INT(MID(metadata!C928,12,2))&gt;=0,FALSE),IFERROR(INT(MID(metadata!C928,12,2))&lt;=23,FALSE)), OR(MID(metadata!C928,14,1)="", AND(AND(MID(metadata!C928,14,1)=":",IFERROR(INT(MID(metadata!C928,15,1))&gt;=0,FALSE),IFERROR(INT(MID(metadata!C928,15,1))&lt;=5,FALSE),NOT(MID(metadata!C928,16,1)=""),IFERROR(INT(MID(metadata!C928,15,2))&gt;=0,FALSE),IFERROR(INT(MID(metadata!C928,15,2))&lt;=59,FALSE)), OR(MID(metadata!C928,17,1)="", AND(AND(MID(metadata!C928,17,1)=":",IFERROR(INT(MID(metadata!C928,18,1))&gt;=0,FALSE),IFERROR(INT(MID(metadata!C928,18,1))&lt;=5,FALSE),NOT(MID(metadata!C928,19,1)=""),IFERROR(INT(MID(metadata!C928,18,2))&gt;=0,FALSE),IFERROR(INT(MID(metadata!C928,18,2))&lt;=59,FALSE)), LEN(metadata!C928)&lt;=19)))))))))))))</f>
        <v>0</v>
      </c>
      <c r="AD928">
        <f>IF(metadata!D928="",FALSE,TRUE)</f>
        <v>0</v>
      </c>
      <c r="AE928">
        <f>OR(AND(IF(metadata!E928="",FALSE,TRUE),OR(exact(metadata!E928,"missing: not collected"),exact(metadata!E928,"missing: not provided"))),AND(IF(metadata!E928="",FALSE,TRUE),OR(exact(metadata!E928,"TRUE"),exact(metadata!E928,"FALSE"))))</f>
        <v>0</v>
      </c>
      <c r="AF928">
        <f>IF(metadata!F928="",FALSE,TRUE)</f>
        <v>0</v>
      </c>
      <c r="AG928">
        <f>IF(metadata!G928="",FALSE,TRUE)</f>
        <v>0</v>
      </c>
      <c r="AH928">
        <f>IF(metadata!H928="",FALSE,TRUE)</f>
        <v>0</v>
      </c>
      <c r="AI928">
        <f>OR(AND(IF(metadata!I928="",FALSE,TRUE),OR(exact(metadata!I928,"missing: not collected"),exact(metadata!I928,"missing: not provided"),exact(metadata!I928,"missing: restricted access"))),AND(IF(metadata!I928="",FALSE,TRUE),OR(exact(metadata!I928,"air"),exact(metadata!I928,"built environment"),exact(metadata!I928,"host-associated"),exact(metadata!I928,"human-associated"),exact(metadata!I928,"human-skin"),exact(metadata!I928,"human-oral"),exact(metadata!I928,"human-gut"),exact(metadata!I928,"human-vaginal"),exact(metadata!I928,"microbial mat/biofilm"),exact(metadata!I928,"misc environment"),exact(metadata!I928,"plant-associated"),exact(metadata!I928,"sediment"),exact(metadata!I928,"soil"),exact(metadata!I928,"wastewater/sludge"),exact(metadata!I928,"water"))))</f>
        <v>0</v>
      </c>
      <c r="AJ928">
        <f>IF(metadata!J928="",FALSE,TRUE)</f>
        <v>0</v>
      </c>
      <c r="AK928">
        <f>OR(AND(IF(metadata!K928="",FALSE,TRUE),OR(exact(metadata!K928,"missing: not collected"),exact(metadata!K928,"missing: not provided"),exact(metadata!K928,"missing: restricted access"))),AND(IF(metadata!K928="",FALSE,ISNUMBER(VALUE(metadata!K928))),metadata!K928&gt;=-90.00,metadata!K928&lt;=90.00))</f>
        <v>0</v>
      </c>
      <c r="AL928">
        <f>OR(AND(IF(metadata!L928="",FALSE,TRUE),OR(exact(metadata!L928,"missing: not collected"),exact(metadata!L928,"missing: not provided"),exact(metadata!L928,"missing: restricted access"))),AND(IF(metadata!L928="",FALSE,ISNUMBER(VALUE(metadata!L928))),metadata!L928&gt;=-180.00,metadata!L928&lt;=180.00))</f>
        <v>0</v>
      </c>
      <c r="AM928">
        <f>IF(metadata!M928="",FALSE,TRUE)</f>
        <v>0</v>
      </c>
      <c r="AN928">
        <f>OR(AND(IF(metadata!N928="",FALSE,TRUE),OR(exact(metadata!N928,"missing: not collected"),exact(metadata!N928,"missing: not provided"),exact(metadata!N928,"missing: restricted access"))),AND(IF(metadata!N928="",FALSE,TRUE),OR(exact(metadata!N928,"TRUE"),exact(metadata!N928,"FALSE"))))</f>
        <v>0</v>
      </c>
      <c r="AO928">
        <f>IF(metadata!O928="",FALSE,TRUE)</f>
        <v>0</v>
      </c>
      <c r="AP928">
        <f>OR(AND(IF(metadata!P928="",FALSE,TRUE),OR(exact(metadata!P928,"missing: not collected"),exact(metadata!P928,"missing: not provided"))),AND(IF(metadata!P928="",FALSE,IF(ISERROR(INT(metadata!P928)),FALSE,INT(metadata!P928)=metadata!P928)),metadata!P928&gt;0))</f>
        <v>0</v>
      </c>
      <c r="AQ928">
        <f>IF(metadata!Q928="",FALSE,TRUE)</f>
        <v>0</v>
      </c>
    </row>
    <row r="929" spans="1:43">
      <c r="A929" s="5">
        <f>IF(B929=" "," ",HYPERLINK(CONCATENATE("#metadata!",ADDRESS(INDEX($W$2:$W$1001,MATCH(ROWS($U$2:U929),$U$2:$U$1001,0),0),1)),INDEX($Z$2:$Z$1001,MATCH(ROWS($U$2:U929),$U$2:$U$1001,0),0)))</f>
        <v>0</v>
      </c>
      <c r="B929" s="4">
        <f>IF(OR(INDEX($V$2:$V$1001,MATCH(ROWS($U$2:U929),$U$2:$U$1001,0),1)&gt;=100000,INDEX($AB$1005:$AQ$1005,1,MATCH(COLUMNS($AB$1006:AB1006),$AB$1006:$AQ$1006,0))&gt;=100000), " ",IF(INDEX($AB$2:$AQ$1001,MATCH(ROWS($U$2:U929),$U$2:$U$1001,0),MATCH(COLUMNS($AB$1006:AB1006),$AB$1006:$AQ$1006,0)), HYPERLINK("#",""), HYPERLINK(CONCATENATE("#metadata!", ADDRESS(INDEX($W$2:$W$1001,MATCH(ROWS($U$2:U929),$U$2:$U$1001,0),0), INDEX($AB$1004:$AQ$1004,1,MATCH(COLUMNS($AB$1006:AB1006),$AB$1006:$AQ$1006,0)))),"Fix")))</f>
        <v>0</v>
      </c>
      <c r="C929" s="4">
        <f>IF(OR(INDEX($V$2:$V$1001,MATCH(ROWS($U$2:U929),$U$2:$U$1001,0),1)&gt;=100000,INDEX($AB$1005:$AQ$1005,1,MATCH(COLUMNS($AB$1006:AC1006),$AB$1006:$AQ$1006,0))&gt;=100000), " ",IF(INDEX($AB$2:$AQ$1001,MATCH(ROWS($U$2:U929),$U$2:$U$1001,0),MATCH(COLUMNS($AB$1006:AC1006),$AB$1006:$AQ$1006,0)), HYPERLINK("#",""), HYPERLINK(CONCATENATE("#metadata!", ADDRESS(INDEX($W$2:$W$1001,MATCH(ROWS($U$2:U929),$U$2:$U$1001,0),0), INDEX($AB$1004:$AQ$1004,1,MATCH(COLUMNS($AB$1006:AC1006),$AB$1006:$AQ$1006,0)))),"Fix")))</f>
        <v>0</v>
      </c>
      <c r="D929" s="4">
        <f>IF(OR(INDEX($V$2:$V$1001,MATCH(ROWS($U$2:U929),$U$2:$U$1001,0),1)&gt;=100000,INDEX($AB$1005:$AQ$1005,1,MATCH(COLUMNS($AB$1006:AD1006),$AB$1006:$AQ$1006,0))&gt;=100000), " ",IF(INDEX($AB$2:$AQ$1001,MATCH(ROWS($U$2:U929),$U$2:$U$1001,0),MATCH(COLUMNS($AB$1006:AD1006),$AB$1006:$AQ$1006,0)), HYPERLINK("#",""), HYPERLINK(CONCATENATE("#metadata!", ADDRESS(INDEX($W$2:$W$1001,MATCH(ROWS($U$2:U929),$U$2:$U$1001,0),0), INDEX($AB$1004:$AQ$1004,1,MATCH(COLUMNS($AB$1006:AD1006),$AB$1006:$AQ$1006,0)))),"Fix")))</f>
        <v>0</v>
      </c>
      <c r="E929" s="4">
        <f>IF(OR(INDEX($V$2:$V$1001,MATCH(ROWS($U$2:U929),$U$2:$U$1001,0),1)&gt;=100000,INDEX($AB$1005:$AQ$1005,1,MATCH(COLUMNS($AB$1006:AE1006),$AB$1006:$AQ$1006,0))&gt;=100000), " ",IF(INDEX($AB$2:$AQ$1001,MATCH(ROWS($U$2:U929),$U$2:$U$1001,0),MATCH(COLUMNS($AB$1006:AE1006),$AB$1006:$AQ$1006,0)), HYPERLINK("#",""), HYPERLINK(CONCATENATE("#metadata!", ADDRESS(INDEX($W$2:$W$1001,MATCH(ROWS($U$2:U929),$U$2:$U$1001,0),0), INDEX($AB$1004:$AQ$1004,1,MATCH(COLUMNS($AB$1006:AE1006),$AB$1006:$AQ$1006,0)))),"Fix")))</f>
        <v>0</v>
      </c>
      <c r="F929" s="4">
        <f>IF(OR(INDEX($V$2:$V$1001,MATCH(ROWS($U$2:U929),$U$2:$U$1001,0),1)&gt;=100000,INDEX($AB$1005:$AQ$1005,1,MATCH(COLUMNS($AB$1006:AF1006),$AB$1006:$AQ$1006,0))&gt;=100000), " ",IF(INDEX($AB$2:$AQ$1001,MATCH(ROWS($U$2:U929),$U$2:$U$1001,0),MATCH(COLUMNS($AB$1006:AF1006),$AB$1006:$AQ$1006,0)), HYPERLINK("#",""), HYPERLINK(CONCATENATE("#metadata!", ADDRESS(INDEX($W$2:$W$1001,MATCH(ROWS($U$2:U929),$U$2:$U$1001,0),0), INDEX($AB$1004:$AQ$1004,1,MATCH(COLUMNS($AB$1006:AF1006),$AB$1006:$AQ$1006,0)))),"Fix")))</f>
        <v>0</v>
      </c>
      <c r="G929" s="4">
        <f>IF(OR(INDEX($V$2:$V$1001,MATCH(ROWS($U$2:U929),$U$2:$U$1001,0),1)&gt;=100000,INDEX($AB$1005:$AQ$1005,1,MATCH(COLUMNS($AB$1006:AG1006),$AB$1006:$AQ$1006,0))&gt;=100000), " ",IF(INDEX($AB$2:$AQ$1001,MATCH(ROWS($U$2:U929),$U$2:$U$1001,0),MATCH(COLUMNS($AB$1006:AG1006),$AB$1006:$AQ$1006,0)), HYPERLINK("#",""), HYPERLINK(CONCATENATE("#metadata!", ADDRESS(INDEX($W$2:$W$1001,MATCH(ROWS($U$2:U929),$U$2:$U$1001,0),0), INDEX($AB$1004:$AQ$1004,1,MATCH(COLUMNS($AB$1006:AG1006),$AB$1006:$AQ$1006,0)))),"Fix")))</f>
        <v>0</v>
      </c>
      <c r="H929" s="4">
        <f>IF(OR(INDEX($V$2:$V$1001,MATCH(ROWS($U$2:U929),$U$2:$U$1001,0),1)&gt;=100000,INDEX($AB$1005:$AQ$1005,1,MATCH(COLUMNS($AB$1006:AH1006),$AB$1006:$AQ$1006,0))&gt;=100000), " ",IF(INDEX($AB$2:$AQ$1001,MATCH(ROWS($U$2:U929),$U$2:$U$1001,0),MATCH(COLUMNS($AB$1006:AH1006),$AB$1006:$AQ$1006,0)), HYPERLINK("#",""), HYPERLINK(CONCATENATE("#metadata!", ADDRESS(INDEX($W$2:$W$1001,MATCH(ROWS($U$2:U929),$U$2:$U$1001,0),0), INDEX($AB$1004:$AQ$1004,1,MATCH(COLUMNS($AB$1006:AH1006),$AB$1006:$AQ$1006,0)))),"Fix")))</f>
        <v>0</v>
      </c>
      <c r="I929" s="4">
        <f>IF(OR(INDEX($V$2:$V$1001,MATCH(ROWS($U$2:U929),$U$2:$U$1001,0),1)&gt;=100000,INDEX($AB$1005:$AQ$1005,1,MATCH(COLUMNS($AB$1006:AI1006),$AB$1006:$AQ$1006,0))&gt;=100000), " ",IF(INDEX($AB$2:$AQ$1001,MATCH(ROWS($U$2:U929),$U$2:$U$1001,0),MATCH(COLUMNS($AB$1006:AI1006),$AB$1006:$AQ$1006,0)), HYPERLINK("#",""), HYPERLINK(CONCATENATE("#metadata!", ADDRESS(INDEX($W$2:$W$1001,MATCH(ROWS($U$2:U929),$U$2:$U$1001,0),0), INDEX($AB$1004:$AQ$1004,1,MATCH(COLUMNS($AB$1006:AI1006),$AB$1006:$AQ$1006,0)))),"Fix")))</f>
        <v>0</v>
      </c>
      <c r="J929" s="4">
        <f>IF(OR(INDEX($V$2:$V$1001,MATCH(ROWS($U$2:U929),$U$2:$U$1001,0),1)&gt;=100000,INDEX($AB$1005:$AQ$1005,1,MATCH(COLUMNS($AB$1006:AJ1006),$AB$1006:$AQ$1006,0))&gt;=100000), " ",IF(INDEX($AB$2:$AQ$1001,MATCH(ROWS($U$2:U929),$U$2:$U$1001,0),MATCH(COLUMNS($AB$1006:AJ1006),$AB$1006:$AQ$1006,0)), HYPERLINK("#",""), HYPERLINK(CONCATENATE("#metadata!", ADDRESS(INDEX($W$2:$W$1001,MATCH(ROWS($U$2:U929),$U$2:$U$1001,0),0), INDEX($AB$1004:$AQ$1004,1,MATCH(COLUMNS($AB$1006:AJ1006),$AB$1006:$AQ$1006,0)))),"Fix")))</f>
        <v>0</v>
      </c>
      <c r="K929" s="4">
        <f>IF(OR(INDEX($V$2:$V$1001,MATCH(ROWS($U$2:U929),$U$2:$U$1001,0),1)&gt;=100000,INDEX($AB$1005:$AQ$1005,1,MATCH(COLUMNS($AB$1006:AK1006),$AB$1006:$AQ$1006,0))&gt;=100000), " ",IF(INDEX($AB$2:$AQ$1001,MATCH(ROWS($U$2:U929),$U$2:$U$1001,0),MATCH(COLUMNS($AB$1006:AK1006),$AB$1006:$AQ$1006,0)), HYPERLINK("#",""), HYPERLINK(CONCATENATE("#metadata!", ADDRESS(INDEX($W$2:$W$1001,MATCH(ROWS($U$2:U929),$U$2:$U$1001,0),0), INDEX($AB$1004:$AQ$1004,1,MATCH(COLUMNS($AB$1006:AK1006),$AB$1006:$AQ$1006,0)))),"Fix")))</f>
        <v>0</v>
      </c>
      <c r="L929" s="4">
        <f>IF(OR(INDEX($V$2:$V$1001,MATCH(ROWS($U$2:U929),$U$2:$U$1001,0),1)&gt;=100000,INDEX($AB$1005:$AQ$1005,1,MATCH(COLUMNS($AB$1006:AL1006),$AB$1006:$AQ$1006,0))&gt;=100000), " ",IF(INDEX($AB$2:$AQ$1001,MATCH(ROWS($U$2:U929),$U$2:$U$1001,0),MATCH(COLUMNS($AB$1006:AL1006),$AB$1006:$AQ$1006,0)), HYPERLINK("#",""), HYPERLINK(CONCATENATE("#metadata!", ADDRESS(INDEX($W$2:$W$1001,MATCH(ROWS($U$2:U929),$U$2:$U$1001,0),0), INDEX($AB$1004:$AQ$1004,1,MATCH(COLUMNS($AB$1006:AL1006),$AB$1006:$AQ$1006,0)))),"Fix")))</f>
        <v>0</v>
      </c>
      <c r="M929" s="4">
        <f>IF(OR(INDEX($V$2:$V$1001,MATCH(ROWS($U$2:U929),$U$2:$U$1001,0),1)&gt;=100000,INDEX($AB$1005:$AQ$1005,1,MATCH(COLUMNS($AB$1006:AM1006),$AB$1006:$AQ$1006,0))&gt;=100000), " ",IF(INDEX($AB$2:$AQ$1001,MATCH(ROWS($U$2:U929),$U$2:$U$1001,0),MATCH(COLUMNS($AB$1006:AM1006),$AB$1006:$AQ$1006,0)), HYPERLINK("#",""), HYPERLINK(CONCATENATE("#metadata!", ADDRESS(INDEX($W$2:$W$1001,MATCH(ROWS($U$2:U929),$U$2:$U$1001,0),0), INDEX($AB$1004:$AQ$1004,1,MATCH(COLUMNS($AB$1006:AM1006),$AB$1006:$AQ$1006,0)))),"Fix")))</f>
        <v>0</v>
      </c>
      <c r="N929" s="4">
        <f>IF(OR(INDEX($V$2:$V$1001,MATCH(ROWS($U$2:U929),$U$2:$U$1001,0),1)&gt;=100000,INDEX($AB$1005:$AQ$1005,1,MATCH(COLUMNS($AB$1006:AN1006),$AB$1006:$AQ$1006,0))&gt;=100000), " ",IF(INDEX($AB$2:$AQ$1001,MATCH(ROWS($U$2:U929),$U$2:$U$1001,0),MATCH(COLUMNS($AB$1006:AN1006),$AB$1006:$AQ$1006,0)), HYPERLINK("#",""), HYPERLINK(CONCATENATE("#metadata!", ADDRESS(INDEX($W$2:$W$1001,MATCH(ROWS($U$2:U929),$U$2:$U$1001,0),0), INDEX($AB$1004:$AQ$1004,1,MATCH(COLUMNS($AB$1006:AN1006),$AB$1006:$AQ$1006,0)))),"Fix")))</f>
        <v>0</v>
      </c>
      <c r="O929" s="4">
        <f>IF(OR(INDEX($V$2:$V$1001,MATCH(ROWS($U$2:U929),$U$2:$U$1001,0),1)&gt;=100000,INDEX($AB$1005:$AQ$1005,1,MATCH(COLUMNS($AB$1006:AO1006),$AB$1006:$AQ$1006,0))&gt;=100000), " ",IF(INDEX($AB$2:$AQ$1001,MATCH(ROWS($U$2:U929),$U$2:$U$1001,0),MATCH(COLUMNS($AB$1006:AO1006),$AB$1006:$AQ$1006,0)), HYPERLINK("#",""), HYPERLINK(CONCATENATE("#metadata!", ADDRESS(INDEX($W$2:$W$1001,MATCH(ROWS($U$2:U929),$U$2:$U$1001,0),0), INDEX($AB$1004:$AQ$1004,1,MATCH(COLUMNS($AB$1006:AO1006),$AB$1006:$AQ$1006,0)))),"Fix")))</f>
        <v>0</v>
      </c>
      <c r="P929" s="4">
        <f>IF(OR(INDEX($V$2:$V$1001,MATCH(ROWS($U$2:U929),$U$2:$U$1001,0),1)&gt;=100000,INDEX($AB$1005:$AQ$1005,1,MATCH(COLUMNS($AB$1006:AP1006),$AB$1006:$AQ$1006,0))&gt;=100000), " ",IF(INDEX($AB$2:$AQ$1001,MATCH(ROWS($U$2:U929),$U$2:$U$1001,0),MATCH(COLUMNS($AB$1006:AP1006),$AB$1006:$AQ$1006,0)), HYPERLINK("#",""), HYPERLINK(CONCATENATE("#metadata!", ADDRESS(INDEX($W$2:$W$1001,MATCH(ROWS($U$2:U929),$U$2:$U$1001,0),0), INDEX($AB$1004:$AQ$1004,1,MATCH(COLUMNS($AB$1006:AP1006),$AB$1006:$AQ$1006,0)))),"Fix")))</f>
        <v>0</v>
      </c>
      <c r="Q929" s="4">
        <f>IF(OR(INDEX($V$2:$V$1001,MATCH(ROWS($U$2:U929),$U$2:$U$1001,0),1)&gt;=100000,INDEX($AB$1005:$AQ$1005,1,MATCH(COLUMNS($AB$1006:AQ1006),$AB$1006:$AQ$1006,0))&gt;=100000), " ",IF(INDEX($AB$2:$AQ$1001,MATCH(ROWS($U$2:U929),$U$2:$U$1001,0),MATCH(COLUMNS($AB$1006:AQ1006),$AB$1006:$AQ$1006,0)), HYPERLINK("#",""), HYPERLINK(CONCATENATE("#metadata!", ADDRESS(INDEX($W$2:$W$1001,MATCH(ROWS($U$2:U929),$U$2:$U$1001,0),0), INDEX($AB$1004:$AQ$1004,1,MATCH(COLUMNS($AB$1006:AQ1006),$AB$1006:$AQ$1006,0)))),"Fix")))</f>
        <v>0</v>
      </c>
      <c r="U929">
        <v>0</v>
      </c>
      <c r="V929">
        <v>0</v>
      </c>
      <c r="W929">
        <v>0</v>
      </c>
      <c r="X929">
        <f>IF(Y929,TRUE,AND(AB929:AQ929))</f>
        <v>0</v>
      </c>
      <c r="Y929">
        <f>COUNTBLANK(metadata!B929:Q929)=COLUMNS(metadata!B929:Q929)</f>
        <v>0</v>
      </c>
      <c r="Z929">
        <v>0</v>
      </c>
      <c r="AB929">
        <f>AND(IF(metadata!B929="",FALSE,TRUE),COUNTIF(metadata!B:B, metadata!B929) = 1,NOT(ISERROR(SUMPRODUCT(SEARCH(MID(metadata!B929,ROW(INDIRECT("1:"&amp;LEN(metadata!B929))), 1),"0123456789abcdefghijklmnopqrstuvwxyzABCDEFGHIJKLMNOPQRSTUVWXYZ.")))))</f>
        <v>0</v>
      </c>
      <c r="AC929">
        <f>OR(AND(IF(metadata!C929="",FALSE,TRUE),OR(exact(metadata!C929,"missing: not collected"),exact(metadata!C929,"missing: not provided"),exact(metadata!C929,"missing: restricted access"))),AND(IF(metadata!C929="",FALSE,TRUE),AND(AND(IFERROR(INT(LEFT(metadata!C929,4))&gt;1900,FALSE),IFERROR(INT(LEFT(metadata!C929,4))&lt;=YEAR(NOW()),FALSE)), OR(MID(metadata!C929,5,1)="", AND(AND(MID(metadata!C929,5,1)="-",IFERROR(INT(MID(metadata!C929,6,1))&gt;=0,FALSE),IFERROR(INT(MID(metadata!C929,6,1))&lt;=1,FALSE),NOT(MID(metadata!C929,7,1)=""),IFERROR(INT(MID(metadata!C929,6,2))&gt;=1,FALSE),IFERROR(INT(MID(metadata!C929,6,2))&lt;=12,FALSE)), OR(MID(metadata!C929,8,1)="", AND(AND(MID(metadata!C929,8,1)="-",IFERROR(INT(MID(metadata!C929,9,1))&gt;=0,FALSE),IFERROR(INT(MID(metadata!C929,9,1))&lt;=3,FALSE),NOT(MID(metadata!C929,10,1)=""),IFERROR(INT(MID(metadata!C929,9,2))&gt;=1,FALSE),IFERROR(INT(MID(metadata!C929,9,2))&lt;=31,FALSE)), OR(MID(metadata!C929,11,1)="", AND(AND(MID(metadata!C929,11,1)=" ",IFERROR(INT(MID(metadata!C929,12,1))&gt;=0,FALSE),IFERROR(INT(MID(metadata!C929,12,1))&lt;=2,FALSE),NOT(MID(metadata!C929,13,1)=""),IFERROR(INT(MID(metadata!C929,12,2))&gt;=0,FALSE),IFERROR(INT(MID(metadata!C929,12,2))&lt;=23,FALSE)), OR(MID(metadata!C929,14,1)="", AND(AND(MID(metadata!C929,14,1)=":",IFERROR(INT(MID(metadata!C929,15,1))&gt;=0,FALSE),IFERROR(INT(MID(metadata!C929,15,1))&lt;=5,FALSE),NOT(MID(metadata!C929,16,1)=""),IFERROR(INT(MID(metadata!C929,15,2))&gt;=0,FALSE),IFERROR(INT(MID(metadata!C929,15,2))&lt;=59,FALSE)), OR(MID(metadata!C929,17,1)="", AND(AND(MID(metadata!C929,17,1)=":",IFERROR(INT(MID(metadata!C929,18,1))&gt;=0,FALSE),IFERROR(INT(MID(metadata!C929,18,1))&lt;=5,FALSE),NOT(MID(metadata!C929,19,1)=""),IFERROR(INT(MID(metadata!C929,18,2))&gt;=0,FALSE),IFERROR(INT(MID(metadata!C929,18,2))&lt;=59,FALSE)), LEN(metadata!C929)&lt;=19)))))))))))))</f>
        <v>0</v>
      </c>
      <c r="AD929">
        <f>IF(metadata!D929="",FALSE,TRUE)</f>
        <v>0</v>
      </c>
      <c r="AE929">
        <f>OR(AND(IF(metadata!E929="",FALSE,TRUE),OR(exact(metadata!E929,"missing: not collected"),exact(metadata!E929,"missing: not provided"))),AND(IF(metadata!E929="",FALSE,TRUE),OR(exact(metadata!E929,"TRUE"),exact(metadata!E929,"FALSE"))))</f>
        <v>0</v>
      </c>
      <c r="AF929">
        <f>IF(metadata!F929="",FALSE,TRUE)</f>
        <v>0</v>
      </c>
      <c r="AG929">
        <f>IF(metadata!G929="",FALSE,TRUE)</f>
        <v>0</v>
      </c>
      <c r="AH929">
        <f>IF(metadata!H929="",FALSE,TRUE)</f>
        <v>0</v>
      </c>
      <c r="AI929">
        <f>OR(AND(IF(metadata!I929="",FALSE,TRUE),OR(exact(metadata!I929,"missing: not collected"),exact(metadata!I929,"missing: not provided"),exact(metadata!I929,"missing: restricted access"))),AND(IF(metadata!I929="",FALSE,TRUE),OR(exact(metadata!I929,"air"),exact(metadata!I929,"built environment"),exact(metadata!I929,"host-associated"),exact(metadata!I929,"human-associated"),exact(metadata!I929,"human-skin"),exact(metadata!I929,"human-oral"),exact(metadata!I929,"human-gut"),exact(metadata!I929,"human-vaginal"),exact(metadata!I929,"microbial mat/biofilm"),exact(metadata!I929,"misc environment"),exact(metadata!I929,"plant-associated"),exact(metadata!I929,"sediment"),exact(metadata!I929,"soil"),exact(metadata!I929,"wastewater/sludge"),exact(metadata!I929,"water"))))</f>
        <v>0</v>
      </c>
      <c r="AJ929">
        <f>IF(metadata!J929="",FALSE,TRUE)</f>
        <v>0</v>
      </c>
      <c r="AK929">
        <f>OR(AND(IF(metadata!K929="",FALSE,TRUE),OR(exact(metadata!K929,"missing: not collected"),exact(metadata!K929,"missing: not provided"),exact(metadata!K929,"missing: restricted access"))),AND(IF(metadata!K929="",FALSE,ISNUMBER(VALUE(metadata!K929))),metadata!K929&gt;=-90.00,metadata!K929&lt;=90.00))</f>
        <v>0</v>
      </c>
      <c r="AL929">
        <f>OR(AND(IF(metadata!L929="",FALSE,TRUE),OR(exact(metadata!L929,"missing: not collected"),exact(metadata!L929,"missing: not provided"),exact(metadata!L929,"missing: restricted access"))),AND(IF(metadata!L929="",FALSE,ISNUMBER(VALUE(metadata!L929))),metadata!L929&gt;=-180.00,metadata!L929&lt;=180.00))</f>
        <v>0</v>
      </c>
      <c r="AM929">
        <f>IF(metadata!M929="",FALSE,TRUE)</f>
        <v>0</v>
      </c>
      <c r="AN929">
        <f>OR(AND(IF(metadata!N929="",FALSE,TRUE),OR(exact(metadata!N929,"missing: not collected"),exact(metadata!N929,"missing: not provided"),exact(metadata!N929,"missing: restricted access"))),AND(IF(metadata!N929="",FALSE,TRUE),OR(exact(metadata!N929,"TRUE"),exact(metadata!N929,"FALSE"))))</f>
        <v>0</v>
      </c>
      <c r="AO929">
        <f>IF(metadata!O929="",FALSE,TRUE)</f>
        <v>0</v>
      </c>
      <c r="AP929">
        <f>OR(AND(IF(metadata!P929="",FALSE,TRUE),OR(exact(metadata!P929,"missing: not collected"),exact(metadata!P929,"missing: not provided"))),AND(IF(metadata!P929="",FALSE,IF(ISERROR(INT(metadata!P929)),FALSE,INT(metadata!P929)=metadata!P929)),metadata!P929&gt;0))</f>
        <v>0</v>
      </c>
      <c r="AQ929">
        <f>IF(metadata!Q929="",FALSE,TRUE)</f>
        <v>0</v>
      </c>
    </row>
    <row r="930" spans="1:43">
      <c r="A930" s="5">
        <f>IF(B930=" "," ",HYPERLINK(CONCATENATE("#metadata!",ADDRESS(INDEX($W$2:$W$1001,MATCH(ROWS($U$2:U930),$U$2:$U$1001,0),0),1)),INDEX($Z$2:$Z$1001,MATCH(ROWS($U$2:U930),$U$2:$U$1001,0),0)))</f>
        <v>0</v>
      </c>
      <c r="B930" s="4">
        <f>IF(OR(INDEX($V$2:$V$1001,MATCH(ROWS($U$2:U930),$U$2:$U$1001,0),1)&gt;=100000,INDEX($AB$1005:$AQ$1005,1,MATCH(COLUMNS($AB$1006:AB1006),$AB$1006:$AQ$1006,0))&gt;=100000), " ",IF(INDEX($AB$2:$AQ$1001,MATCH(ROWS($U$2:U930),$U$2:$U$1001,0),MATCH(COLUMNS($AB$1006:AB1006),$AB$1006:$AQ$1006,0)), HYPERLINK("#",""), HYPERLINK(CONCATENATE("#metadata!", ADDRESS(INDEX($W$2:$W$1001,MATCH(ROWS($U$2:U930),$U$2:$U$1001,0),0), INDEX($AB$1004:$AQ$1004,1,MATCH(COLUMNS($AB$1006:AB1006),$AB$1006:$AQ$1006,0)))),"Fix")))</f>
        <v>0</v>
      </c>
      <c r="C930" s="4">
        <f>IF(OR(INDEX($V$2:$V$1001,MATCH(ROWS($U$2:U930),$U$2:$U$1001,0),1)&gt;=100000,INDEX($AB$1005:$AQ$1005,1,MATCH(COLUMNS($AB$1006:AC1006),$AB$1006:$AQ$1006,0))&gt;=100000), " ",IF(INDEX($AB$2:$AQ$1001,MATCH(ROWS($U$2:U930),$U$2:$U$1001,0),MATCH(COLUMNS($AB$1006:AC1006),$AB$1006:$AQ$1006,0)), HYPERLINK("#",""), HYPERLINK(CONCATENATE("#metadata!", ADDRESS(INDEX($W$2:$W$1001,MATCH(ROWS($U$2:U930),$U$2:$U$1001,0),0), INDEX($AB$1004:$AQ$1004,1,MATCH(COLUMNS($AB$1006:AC1006),$AB$1006:$AQ$1006,0)))),"Fix")))</f>
        <v>0</v>
      </c>
      <c r="D930" s="4">
        <f>IF(OR(INDEX($V$2:$V$1001,MATCH(ROWS($U$2:U930),$U$2:$U$1001,0),1)&gt;=100000,INDEX($AB$1005:$AQ$1005,1,MATCH(COLUMNS($AB$1006:AD1006),$AB$1006:$AQ$1006,0))&gt;=100000), " ",IF(INDEX($AB$2:$AQ$1001,MATCH(ROWS($U$2:U930),$U$2:$U$1001,0),MATCH(COLUMNS($AB$1006:AD1006),$AB$1006:$AQ$1006,0)), HYPERLINK("#",""), HYPERLINK(CONCATENATE("#metadata!", ADDRESS(INDEX($W$2:$W$1001,MATCH(ROWS($U$2:U930),$U$2:$U$1001,0),0), INDEX($AB$1004:$AQ$1004,1,MATCH(COLUMNS($AB$1006:AD1006),$AB$1006:$AQ$1006,0)))),"Fix")))</f>
        <v>0</v>
      </c>
      <c r="E930" s="4">
        <f>IF(OR(INDEX($V$2:$V$1001,MATCH(ROWS($U$2:U930),$U$2:$U$1001,0),1)&gt;=100000,INDEX($AB$1005:$AQ$1005,1,MATCH(COLUMNS($AB$1006:AE1006),$AB$1006:$AQ$1006,0))&gt;=100000), " ",IF(INDEX($AB$2:$AQ$1001,MATCH(ROWS($U$2:U930),$U$2:$U$1001,0),MATCH(COLUMNS($AB$1006:AE1006),$AB$1006:$AQ$1006,0)), HYPERLINK("#",""), HYPERLINK(CONCATENATE("#metadata!", ADDRESS(INDEX($W$2:$W$1001,MATCH(ROWS($U$2:U930),$U$2:$U$1001,0),0), INDEX($AB$1004:$AQ$1004,1,MATCH(COLUMNS($AB$1006:AE1006),$AB$1006:$AQ$1006,0)))),"Fix")))</f>
        <v>0</v>
      </c>
      <c r="F930" s="4">
        <f>IF(OR(INDEX($V$2:$V$1001,MATCH(ROWS($U$2:U930),$U$2:$U$1001,0),1)&gt;=100000,INDEX($AB$1005:$AQ$1005,1,MATCH(COLUMNS($AB$1006:AF1006),$AB$1006:$AQ$1006,0))&gt;=100000), " ",IF(INDEX($AB$2:$AQ$1001,MATCH(ROWS($U$2:U930),$U$2:$U$1001,0),MATCH(COLUMNS($AB$1006:AF1006),$AB$1006:$AQ$1006,0)), HYPERLINK("#",""), HYPERLINK(CONCATENATE("#metadata!", ADDRESS(INDEX($W$2:$W$1001,MATCH(ROWS($U$2:U930),$U$2:$U$1001,0),0), INDEX($AB$1004:$AQ$1004,1,MATCH(COLUMNS($AB$1006:AF1006),$AB$1006:$AQ$1006,0)))),"Fix")))</f>
        <v>0</v>
      </c>
      <c r="G930" s="4">
        <f>IF(OR(INDEX($V$2:$V$1001,MATCH(ROWS($U$2:U930),$U$2:$U$1001,0),1)&gt;=100000,INDEX($AB$1005:$AQ$1005,1,MATCH(COLUMNS($AB$1006:AG1006),$AB$1006:$AQ$1006,0))&gt;=100000), " ",IF(INDEX($AB$2:$AQ$1001,MATCH(ROWS($U$2:U930),$U$2:$U$1001,0),MATCH(COLUMNS($AB$1006:AG1006),$AB$1006:$AQ$1006,0)), HYPERLINK("#",""), HYPERLINK(CONCATENATE("#metadata!", ADDRESS(INDEX($W$2:$W$1001,MATCH(ROWS($U$2:U930),$U$2:$U$1001,0),0), INDEX($AB$1004:$AQ$1004,1,MATCH(COLUMNS($AB$1006:AG1006),$AB$1006:$AQ$1006,0)))),"Fix")))</f>
        <v>0</v>
      </c>
      <c r="H930" s="4">
        <f>IF(OR(INDEX($V$2:$V$1001,MATCH(ROWS($U$2:U930),$U$2:$U$1001,0),1)&gt;=100000,INDEX($AB$1005:$AQ$1005,1,MATCH(COLUMNS($AB$1006:AH1006),$AB$1006:$AQ$1006,0))&gt;=100000), " ",IF(INDEX($AB$2:$AQ$1001,MATCH(ROWS($U$2:U930),$U$2:$U$1001,0),MATCH(COLUMNS($AB$1006:AH1006),$AB$1006:$AQ$1006,0)), HYPERLINK("#",""), HYPERLINK(CONCATENATE("#metadata!", ADDRESS(INDEX($W$2:$W$1001,MATCH(ROWS($U$2:U930),$U$2:$U$1001,0),0), INDEX($AB$1004:$AQ$1004,1,MATCH(COLUMNS($AB$1006:AH1006),$AB$1006:$AQ$1006,0)))),"Fix")))</f>
        <v>0</v>
      </c>
      <c r="I930" s="4">
        <f>IF(OR(INDEX($V$2:$V$1001,MATCH(ROWS($U$2:U930),$U$2:$U$1001,0),1)&gt;=100000,INDEX($AB$1005:$AQ$1005,1,MATCH(COLUMNS($AB$1006:AI1006),$AB$1006:$AQ$1006,0))&gt;=100000), " ",IF(INDEX($AB$2:$AQ$1001,MATCH(ROWS($U$2:U930),$U$2:$U$1001,0),MATCH(COLUMNS($AB$1006:AI1006),$AB$1006:$AQ$1006,0)), HYPERLINK("#",""), HYPERLINK(CONCATENATE("#metadata!", ADDRESS(INDEX($W$2:$W$1001,MATCH(ROWS($U$2:U930),$U$2:$U$1001,0),0), INDEX($AB$1004:$AQ$1004,1,MATCH(COLUMNS($AB$1006:AI1006),$AB$1006:$AQ$1006,0)))),"Fix")))</f>
        <v>0</v>
      </c>
      <c r="J930" s="4">
        <f>IF(OR(INDEX($V$2:$V$1001,MATCH(ROWS($U$2:U930),$U$2:$U$1001,0),1)&gt;=100000,INDEX($AB$1005:$AQ$1005,1,MATCH(COLUMNS($AB$1006:AJ1006),$AB$1006:$AQ$1006,0))&gt;=100000), " ",IF(INDEX($AB$2:$AQ$1001,MATCH(ROWS($U$2:U930),$U$2:$U$1001,0),MATCH(COLUMNS($AB$1006:AJ1006),$AB$1006:$AQ$1006,0)), HYPERLINK("#",""), HYPERLINK(CONCATENATE("#metadata!", ADDRESS(INDEX($W$2:$W$1001,MATCH(ROWS($U$2:U930),$U$2:$U$1001,0),0), INDEX($AB$1004:$AQ$1004,1,MATCH(COLUMNS($AB$1006:AJ1006),$AB$1006:$AQ$1006,0)))),"Fix")))</f>
        <v>0</v>
      </c>
      <c r="K930" s="4">
        <f>IF(OR(INDEX($V$2:$V$1001,MATCH(ROWS($U$2:U930),$U$2:$U$1001,0),1)&gt;=100000,INDEX($AB$1005:$AQ$1005,1,MATCH(COLUMNS($AB$1006:AK1006),$AB$1006:$AQ$1006,0))&gt;=100000), " ",IF(INDEX($AB$2:$AQ$1001,MATCH(ROWS($U$2:U930),$U$2:$U$1001,0),MATCH(COLUMNS($AB$1006:AK1006),$AB$1006:$AQ$1006,0)), HYPERLINK("#",""), HYPERLINK(CONCATENATE("#metadata!", ADDRESS(INDEX($W$2:$W$1001,MATCH(ROWS($U$2:U930),$U$2:$U$1001,0),0), INDEX($AB$1004:$AQ$1004,1,MATCH(COLUMNS($AB$1006:AK1006),$AB$1006:$AQ$1006,0)))),"Fix")))</f>
        <v>0</v>
      </c>
      <c r="L930" s="4">
        <f>IF(OR(INDEX($V$2:$V$1001,MATCH(ROWS($U$2:U930),$U$2:$U$1001,0),1)&gt;=100000,INDEX($AB$1005:$AQ$1005,1,MATCH(COLUMNS($AB$1006:AL1006),$AB$1006:$AQ$1006,0))&gt;=100000), " ",IF(INDEX($AB$2:$AQ$1001,MATCH(ROWS($U$2:U930),$U$2:$U$1001,0),MATCH(COLUMNS($AB$1006:AL1006),$AB$1006:$AQ$1006,0)), HYPERLINK("#",""), HYPERLINK(CONCATENATE("#metadata!", ADDRESS(INDEX($W$2:$W$1001,MATCH(ROWS($U$2:U930),$U$2:$U$1001,0),0), INDEX($AB$1004:$AQ$1004,1,MATCH(COLUMNS($AB$1006:AL1006),$AB$1006:$AQ$1006,0)))),"Fix")))</f>
        <v>0</v>
      </c>
      <c r="M930" s="4">
        <f>IF(OR(INDEX($V$2:$V$1001,MATCH(ROWS($U$2:U930),$U$2:$U$1001,0),1)&gt;=100000,INDEX($AB$1005:$AQ$1005,1,MATCH(COLUMNS($AB$1006:AM1006),$AB$1006:$AQ$1006,0))&gt;=100000), " ",IF(INDEX($AB$2:$AQ$1001,MATCH(ROWS($U$2:U930),$U$2:$U$1001,0),MATCH(COLUMNS($AB$1006:AM1006),$AB$1006:$AQ$1006,0)), HYPERLINK("#",""), HYPERLINK(CONCATENATE("#metadata!", ADDRESS(INDEX($W$2:$W$1001,MATCH(ROWS($U$2:U930),$U$2:$U$1001,0),0), INDEX($AB$1004:$AQ$1004,1,MATCH(COLUMNS($AB$1006:AM1006),$AB$1006:$AQ$1006,0)))),"Fix")))</f>
        <v>0</v>
      </c>
      <c r="N930" s="4">
        <f>IF(OR(INDEX($V$2:$V$1001,MATCH(ROWS($U$2:U930),$U$2:$U$1001,0),1)&gt;=100000,INDEX($AB$1005:$AQ$1005,1,MATCH(COLUMNS($AB$1006:AN1006),$AB$1006:$AQ$1006,0))&gt;=100000), " ",IF(INDEX($AB$2:$AQ$1001,MATCH(ROWS($U$2:U930),$U$2:$U$1001,0),MATCH(COLUMNS($AB$1006:AN1006),$AB$1006:$AQ$1006,0)), HYPERLINK("#",""), HYPERLINK(CONCATENATE("#metadata!", ADDRESS(INDEX($W$2:$W$1001,MATCH(ROWS($U$2:U930),$U$2:$U$1001,0),0), INDEX($AB$1004:$AQ$1004,1,MATCH(COLUMNS($AB$1006:AN1006),$AB$1006:$AQ$1006,0)))),"Fix")))</f>
        <v>0</v>
      </c>
      <c r="O930" s="4">
        <f>IF(OR(INDEX($V$2:$V$1001,MATCH(ROWS($U$2:U930),$U$2:$U$1001,0),1)&gt;=100000,INDEX($AB$1005:$AQ$1005,1,MATCH(COLUMNS($AB$1006:AO1006),$AB$1006:$AQ$1006,0))&gt;=100000), " ",IF(INDEX($AB$2:$AQ$1001,MATCH(ROWS($U$2:U930),$U$2:$U$1001,0),MATCH(COLUMNS($AB$1006:AO1006),$AB$1006:$AQ$1006,0)), HYPERLINK("#",""), HYPERLINK(CONCATENATE("#metadata!", ADDRESS(INDEX($W$2:$W$1001,MATCH(ROWS($U$2:U930),$U$2:$U$1001,0),0), INDEX($AB$1004:$AQ$1004,1,MATCH(COLUMNS($AB$1006:AO1006),$AB$1006:$AQ$1006,0)))),"Fix")))</f>
        <v>0</v>
      </c>
      <c r="P930" s="4">
        <f>IF(OR(INDEX($V$2:$V$1001,MATCH(ROWS($U$2:U930),$U$2:$U$1001,0),1)&gt;=100000,INDEX($AB$1005:$AQ$1005,1,MATCH(COLUMNS($AB$1006:AP1006),$AB$1006:$AQ$1006,0))&gt;=100000), " ",IF(INDEX($AB$2:$AQ$1001,MATCH(ROWS($U$2:U930),$U$2:$U$1001,0),MATCH(COLUMNS($AB$1006:AP1006),$AB$1006:$AQ$1006,0)), HYPERLINK("#",""), HYPERLINK(CONCATENATE("#metadata!", ADDRESS(INDEX($W$2:$W$1001,MATCH(ROWS($U$2:U930),$U$2:$U$1001,0),0), INDEX($AB$1004:$AQ$1004,1,MATCH(COLUMNS($AB$1006:AP1006),$AB$1006:$AQ$1006,0)))),"Fix")))</f>
        <v>0</v>
      </c>
      <c r="Q930" s="4">
        <f>IF(OR(INDEX($V$2:$V$1001,MATCH(ROWS($U$2:U930),$U$2:$U$1001,0),1)&gt;=100000,INDEX($AB$1005:$AQ$1005,1,MATCH(COLUMNS($AB$1006:AQ1006),$AB$1006:$AQ$1006,0))&gt;=100000), " ",IF(INDEX($AB$2:$AQ$1001,MATCH(ROWS($U$2:U930),$U$2:$U$1001,0),MATCH(COLUMNS($AB$1006:AQ1006),$AB$1006:$AQ$1006,0)), HYPERLINK("#",""), HYPERLINK(CONCATENATE("#metadata!", ADDRESS(INDEX($W$2:$W$1001,MATCH(ROWS($U$2:U930),$U$2:$U$1001,0),0), INDEX($AB$1004:$AQ$1004,1,MATCH(COLUMNS($AB$1006:AQ1006),$AB$1006:$AQ$1006,0)))),"Fix")))</f>
        <v>0</v>
      </c>
      <c r="U930">
        <v>0</v>
      </c>
      <c r="V930">
        <v>0</v>
      </c>
      <c r="W930">
        <v>0</v>
      </c>
      <c r="X930">
        <f>IF(Y930,TRUE,AND(AB930:AQ930))</f>
        <v>0</v>
      </c>
      <c r="Y930">
        <f>COUNTBLANK(metadata!B930:Q930)=COLUMNS(metadata!B930:Q930)</f>
        <v>0</v>
      </c>
      <c r="Z930">
        <v>0</v>
      </c>
      <c r="AB930">
        <f>AND(IF(metadata!B930="",FALSE,TRUE),COUNTIF(metadata!B:B, metadata!B930) = 1,NOT(ISERROR(SUMPRODUCT(SEARCH(MID(metadata!B930,ROW(INDIRECT("1:"&amp;LEN(metadata!B930))), 1),"0123456789abcdefghijklmnopqrstuvwxyzABCDEFGHIJKLMNOPQRSTUVWXYZ.")))))</f>
        <v>0</v>
      </c>
      <c r="AC930">
        <f>OR(AND(IF(metadata!C930="",FALSE,TRUE),OR(exact(metadata!C930,"missing: not collected"),exact(metadata!C930,"missing: not provided"),exact(metadata!C930,"missing: restricted access"))),AND(IF(metadata!C930="",FALSE,TRUE),AND(AND(IFERROR(INT(LEFT(metadata!C930,4))&gt;1900,FALSE),IFERROR(INT(LEFT(metadata!C930,4))&lt;=YEAR(NOW()),FALSE)), OR(MID(metadata!C930,5,1)="", AND(AND(MID(metadata!C930,5,1)="-",IFERROR(INT(MID(metadata!C930,6,1))&gt;=0,FALSE),IFERROR(INT(MID(metadata!C930,6,1))&lt;=1,FALSE),NOT(MID(metadata!C930,7,1)=""),IFERROR(INT(MID(metadata!C930,6,2))&gt;=1,FALSE),IFERROR(INT(MID(metadata!C930,6,2))&lt;=12,FALSE)), OR(MID(metadata!C930,8,1)="", AND(AND(MID(metadata!C930,8,1)="-",IFERROR(INT(MID(metadata!C930,9,1))&gt;=0,FALSE),IFERROR(INT(MID(metadata!C930,9,1))&lt;=3,FALSE),NOT(MID(metadata!C930,10,1)=""),IFERROR(INT(MID(metadata!C930,9,2))&gt;=1,FALSE),IFERROR(INT(MID(metadata!C930,9,2))&lt;=31,FALSE)), OR(MID(metadata!C930,11,1)="", AND(AND(MID(metadata!C930,11,1)=" ",IFERROR(INT(MID(metadata!C930,12,1))&gt;=0,FALSE),IFERROR(INT(MID(metadata!C930,12,1))&lt;=2,FALSE),NOT(MID(metadata!C930,13,1)=""),IFERROR(INT(MID(metadata!C930,12,2))&gt;=0,FALSE),IFERROR(INT(MID(metadata!C930,12,2))&lt;=23,FALSE)), OR(MID(metadata!C930,14,1)="", AND(AND(MID(metadata!C930,14,1)=":",IFERROR(INT(MID(metadata!C930,15,1))&gt;=0,FALSE),IFERROR(INT(MID(metadata!C930,15,1))&lt;=5,FALSE),NOT(MID(metadata!C930,16,1)=""),IFERROR(INT(MID(metadata!C930,15,2))&gt;=0,FALSE),IFERROR(INT(MID(metadata!C930,15,2))&lt;=59,FALSE)), OR(MID(metadata!C930,17,1)="", AND(AND(MID(metadata!C930,17,1)=":",IFERROR(INT(MID(metadata!C930,18,1))&gt;=0,FALSE),IFERROR(INT(MID(metadata!C930,18,1))&lt;=5,FALSE),NOT(MID(metadata!C930,19,1)=""),IFERROR(INT(MID(metadata!C930,18,2))&gt;=0,FALSE),IFERROR(INT(MID(metadata!C930,18,2))&lt;=59,FALSE)), LEN(metadata!C930)&lt;=19)))))))))))))</f>
        <v>0</v>
      </c>
      <c r="AD930">
        <f>IF(metadata!D930="",FALSE,TRUE)</f>
        <v>0</v>
      </c>
      <c r="AE930">
        <f>OR(AND(IF(metadata!E930="",FALSE,TRUE),OR(exact(metadata!E930,"missing: not collected"),exact(metadata!E930,"missing: not provided"))),AND(IF(metadata!E930="",FALSE,TRUE),OR(exact(metadata!E930,"TRUE"),exact(metadata!E930,"FALSE"))))</f>
        <v>0</v>
      </c>
      <c r="AF930">
        <f>IF(metadata!F930="",FALSE,TRUE)</f>
        <v>0</v>
      </c>
      <c r="AG930">
        <f>IF(metadata!G930="",FALSE,TRUE)</f>
        <v>0</v>
      </c>
      <c r="AH930">
        <f>IF(metadata!H930="",FALSE,TRUE)</f>
        <v>0</v>
      </c>
      <c r="AI930">
        <f>OR(AND(IF(metadata!I930="",FALSE,TRUE),OR(exact(metadata!I930,"missing: not collected"),exact(metadata!I930,"missing: not provided"),exact(metadata!I930,"missing: restricted access"))),AND(IF(metadata!I930="",FALSE,TRUE),OR(exact(metadata!I930,"air"),exact(metadata!I930,"built environment"),exact(metadata!I930,"host-associated"),exact(metadata!I930,"human-associated"),exact(metadata!I930,"human-skin"),exact(metadata!I930,"human-oral"),exact(metadata!I930,"human-gut"),exact(metadata!I930,"human-vaginal"),exact(metadata!I930,"microbial mat/biofilm"),exact(metadata!I930,"misc environment"),exact(metadata!I930,"plant-associated"),exact(metadata!I930,"sediment"),exact(metadata!I930,"soil"),exact(metadata!I930,"wastewater/sludge"),exact(metadata!I930,"water"))))</f>
        <v>0</v>
      </c>
      <c r="AJ930">
        <f>IF(metadata!J930="",FALSE,TRUE)</f>
        <v>0</v>
      </c>
      <c r="AK930">
        <f>OR(AND(IF(metadata!K930="",FALSE,TRUE),OR(exact(metadata!K930,"missing: not collected"),exact(metadata!K930,"missing: not provided"),exact(metadata!K930,"missing: restricted access"))),AND(IF(metadata!K930="",FALSE,ISNUMBER(VALUE(metadata!K930))),metadata!K930&gt;=-90.00,metadata!K930&lt;=90.00))</f>
        <v>0</v>
      </c>
      <c r="AL930">
        <f>OR(AND(IF(metadata!L930="",FALSE,TRUE),OR(exact(metadata!L930,"missing: not collected"),exact(metadata!L930,"missing: not provided"),exact(metadata!L930,"missing: restricted access"))),AND(IF(metadata!L930="",FALSE,ISNUMBER(VALUE(metadata!L930))),metadata!L930&gt;=-180.00,metadata!L930&lt;=180.00))</f>
        <v>0</v>
      </c>
      <c r="AM930">
        <f>IF(metadata!M930="",FALSE,TRUE)</f>
        <v>0</v>
      </c>
      <c r="AN930">
        <f>OR(AND(IF(metadata!N930="",FALSE,TRUE),OR(exact(metadata!N930,"missing: not collected"),exact(metadata!N930,"missing: not provided"),exact(metadata!N930,"missing: restricted access"))),AND(IF(metadata!N930="",FALSE,TRUE),OR(exact(metadata!N930,"TRUE"),exact(metadata!N930,"FALSE"))))</f>
        <v>0</v>
      </c>
      <c r="AO930">
        <f>IF(metadata!O930="",FALSE,TRUE)</f>
        <v>0</v>
      </c>
      <c r="AP930">
        <f>OR(AND(IF(metadata!P930="",FALSE,TRUE),OR(exact(metadata!P930,"missing: not collected"),exact(metadata!P930,"missing: not provided"))),AND(IF(metadata!P930="",FALSE,IF(ISERROR(INT(metadata!P930)),FALSE,INT(metadata!P930)=metadata!P930)),metadata!P930&gt;0))</f>
        <v>0</v>
      </c>
      <c r="AQ930">
        <f>IF(metadata!Q930="",FALSE,TRUE)</f>
        <v>0</v>
      </c>
    </row>
    <row r="931" spans="1:43">
      <c r="A931" s="5">
        <f>IF(B931=" "," ",HYPERLINK(CONCATENATE("#metadata!",ADDRESS(INDEX($W$2:$W$1001,MATCH(ROWS($U$2:U931),$U$2:$U$1001,0),0),1)),INDEX($Z$2:$Z$1001,MATCH(ROWS($U$2:U931),$U$2:$U$1001,0),0)))</f>
        <v>0</v>
      </c>
      <c r="B931" s="4">
        <f>IF(OR(INDEX($V$2:$V$1001,MATCH(ROWS($U$2:U931),$U$2:$U$1001,0),1)&gt;=100000,INDEX($AB$1005:$AQ$1005,1,MATCH(COLUMNS($AB$1006:AB1006),$AB$1006:$AQ$1006,0))&gt;=100000), " ",IF(INDEX($AB$2:$AQ$1001,MATCH(ROWS($U$2:U931),$U$2:$U$1001,0),MATCH(COLUMNS($AB$1006:AB1006),$AB$1006:$AQ$1006,0)), HYPERLINK("#",""), HYPERLINK(CONCATENATE("#metadata!", ADDRESS(INDEX($W$2:$W$1001,MATCH(ROWS($U$2:U931),$U$2:$U$1001,0),0), INDEX($AB$1004:$AQ$1004,1,MATCH(COLUMNS($AB$1006:AB1006),$AB$1006:$AQ$1006,0)))),"Fix")))</f>
        <v>0</v>
      </c>
      <c r="C931" s="4">
        <f>IF(OR(INDEX($V$2:$V$1001,MATCH(ROWS($U$2:U931),$U$2:$U$1001,0),1)&gt;=100000,INDEX($AB$1005:$AQ$1005,1,MATCH(COLUMNS($AB$1006:AC1006),$AB$1006:$AQ$1006,0))&gt;=100000), " ",IF(INDEX($AB$2:$AQ$1001,MATCH(ROWS($U$2:U931),$U$2:$U$1001,0),MATCH(COLUMNS($AB$1006:AC1006),$AB$1006:$AQ$1006,0)), HYPERLINK("#",""), HYPERLINK(CONCATENATE("#metadata!", ADDRESS(INDEX($W$2:$W$1001,MATCH(ROWS($U$2:U931),$U$2:$U$1001,0),0), INDEX($AB$1004:$AQ$1004,1,MATCH(COLUMNS($AB$1006:AC1006),$AB$1006:$AQ$1006,0)))),"Fix")))</f>
        <v>0</v>
      </c>
      <c r="D931" s="4">
        <f>IF(OR(INDEX($V$2:$V$1001,MATCH(ROWS($U$2:U931),$U$2:$U$1001,0),1)&gt;=100000,INDEX($AB$1005:$AQ$1005,1,MATCH(COLUMNS($AB$1006:AD1006),$AB$1006:$AQ$1006,0))&gt;=100000), " ",IF(INDEX($AB$2:$AQ$1001,MATCH(ROWS($U$2:U931),$U$2:$U$1001,0),MATCH(COLUMNS($AB$1006:AD1006),$AB$1006:$AQ$1006,0)), HYPERLINK("#",""), HYPERLINK(CONCATENATE("#metadata!", ADDRESS(INDEX($W$2:$W$1001,MATCH(ROWS($U$2:U931),$U$2:$U$1001,0),0), INDEX($AB$1004:$AQ$1004,1,MATCH(COLUMNS($AB$1006:AD1006),$AB$1006:$AQ$1006,0)))),"Fix")))</f>
        <v>0</v>
      </c>
      <c r="E931" s="4">
        <f>IF(OR(INDEX($V$2:$V$1001,MATCH(ROWS($U$2:U931),$U$2:$U$1001,0),1)&gt;=100000,INDEX($AB$1005:$AQ$1005,1,MATCH(COLUMNS($AB$1006:AE1006),$AB$1006:$AQ$1006,0))&gt;=100000), " ",IF(INDEX($AB$2:$AQ$1001,MATCH(ROWS($U$2:U931),$U$2:$U$1001,0),MATCH(COLUMNS($AB$1006:AE1006),$AB$1006:$AQ$1006,0)), HYPERLINK("#",""), HYPERLINK(CONCATENATE("#metadata!", ADDRESS(INDEX($W$2:$W$1001,MATCH(ROWS($U$2:U931),$U$2:$U$1001,0),0), INDEX($AB$1004:$AQ$1004,1,MATCH(COLUMNS($AB$1006:AE1006),$AB$1006:$AQ$1006,0)))),"Fix")))</f>
        <v>0</v>
      </c>
      <c r="F931" s="4">
        <f>IF(OR(INDEX($V$2:$V$1001,MATCH(ROWS($U$2:U931),$U$2:$U$1001,0),1)&gt;=100000,INDEX($AB$1005:$AQ$1005,1,MATCH(COLUMNS($AB$1006:AF1006),$AB$1006:$AQ$1006,0))&gt;=100000), " ",IF(INDEX($AB$2:$AQ$1001,MATCH(ROWS($U$2:U931),$U$2:$U$1001,0),MATCH(COLUMNS($AB$1006:AF1006),$AB$1006:$AQ$1006,0)), HYPERLINK("#",""), HYPERLINK(CONCATENATE("#metadata!", ADDRESS(INDEX($W$2:$W$1001,MATCH(ROWS($U$2:U931),$U$2:$U$1001,0),0), INDEX($AB$1004:$AQ$1004,1,MATCH(COLUMNS($AB$1006:AF1006),$AB$1006:$AQ$1006,0)))),"Fix")))</f>
        <v>0</v>
      </c>
      <c r="G931" s="4">
        <f>IF(OR(INDEX($V$2:$V$1001,MATCH(ROWS($U$2:U931),$U$2:$U$1001,0),1)&gt;=100000,INDEX($AB$1005:$AQ$1005,1,MATCH(COLUMNS($AB$1006:AG1006),$AB$1006:$AQ$1006,0))&gt;=100000), " ",IF(INDEX($AB$2:$AQ$1001,MATCH(ROWS($U$2:U931),$U$2:$U$1001,0),MATCH(COLUMNS($AB$1006:AG1006),$AB$1006:$AQ$1006,0)), HYPERLINK("#",""), HYPERLINK(CONCATENATE("#metadata!", ADDRESS(INDEX($W$2:$W$1001,MATCH(ROWS($U$2:U931),$U$2:$U$1001,0),0), INDEX($AB$1004:$AQ$1004,1,MATCH(COLUMNS($AB$1006:AG1006),$AB$1006:$AQ$1006,0)))),"Fix")))</f>
        <v>0</v>
      </c>
      <c r="H931" s="4">
        <f>IF(OR(INDEX($V$2:$V$1001,MATCH(ROWS($U$2:U931),$U$2:$U$1001,0),1)&gt;=100000,INDEX($AB$1005:$AQ$1005,1,MATCH(COLUMNS($AB$1006:AH1006),$AB$1006:$AQ$1006,0))&gt;=100000), " ",IF(INDEX($AB$2:$AQ$1001,MATCH(ROWS($U$2:U931),$U$2:$U$1001,0),MATCH(COLUMNS($AB$1006:AH1006),$AB$1006:$AQ$1006,0)), HYPERLINK("#",""), HYPERLINK(CONCATENATE("#metadata!", ADDRESS(INDEX($W$2:$W$1001,MATCH(ROWS($U$2:U931),$U$2:$U$1001,0),0), INDEX($AB$1004:$AQ$1004,1,MATCH(COLUMNS($AB$1006:AH1006),$AB$1006:$AQ$1006,0)))),"Fix")))</f>
        <v>0</v>
      </c>
      <c r="I931" s="4">
        <f>IF(OR(INDEX($V$2:$V$1001,MATCH(ROWS($U$2:U931),$U$2:$U$1001,0),1)&gt;=100000,INDEX($AB$1005:$AQ$1005,1,MATCH(COLUMNS($AB$1006:AI1006),$AB$1006:$AQ$1006,0))&gt;=100000), " ",IF(INDEX($AB$2:$AQ$1001,MATCH(ROWS($U$2:U931),$U$2:$U$1001,0),MATCH(COLUMNS($AB$1006:AI1006),$AB$1006:$AQ$1006,0)), HYPERLINK("#",""), HYPERLINK(CONCATENATE("#metadata!", ADDRESS(INDEX($W$2:$W$1001,MATCH(ROWS($U$2:U931),$U$2:$U$1001,0),0), INDEX($AB$1004:$AQ$1004,1,MATCH(COLUMNS($AB$1006:AI1006),$AB$1006:$AQ$1006,0)))),"Fix")))</f>
        <v>0</v>
      </c>
      <c r="J931" s="4">
        <f>IF(OR(INDEX($V$2:$V$1001,MATCH(ROWS($U$2:U931),$U$2:$U$1001,0),1)&gt;=100000,INDEX($AB$1005:$AQ$1005,1,MATCH(COLUMNS($AB$1006:AJ1006),$AB$1006:$AQ$1006,0))&gt;=100000), " ",IF(INDEX($AB$2:$AQ$1001,MATCH(ROWS($U$2:U931),$U$2:$U$1001,0),MATCH(COLUMNS($AB$1006:AJ1006),$AB$1006:$AQ$1006,0)), HYPERLINK("#",""), HYPERLINK(CONCATENATE("#metadata!", ADDRESS(INDEX($W$2:$W$1001,MATCH(ROWS($U$2:U931),$U$2:$U$1001,0),0), INDEX($AB$1004:$AQ$1004,1,MATCH(COLUMNS($AB$1006:AJ1006),$AB$1006:$AQ$1006,0)))),"Fix")))</f>
        <v>0</v>
      </c>
      <c r="K931" s="4">
        <f>IF(OR(INDEX($V$2:$V$1001,MATCH(ROWS($U$2:U931),$U$2:$U$1001,0),1)&gt;=100000,INDEX($AB$1005:$AQ$1005,1,MATCH(COLUMNS($AB$1006:AK1006),$AB$1006:$AQ$1006,0))&gt;=100000), " ",IF(INDEX($AB$2:$AQ$1001,MATCH(ROWS($U$2:U931),$U$2:$U$1001,0),MATCH(COLUMNS($AB$1006:AK1006),$AB$1006:$AQ$1006,0)), HYPERLINK("#",""), HYPERLINK(CONCATENATE("#metadata!", ADDRESS(INDEX($W$2:$W$1001,MATCH(ROWS($U$2:U931),$U$2:$U$1001,0),0), INDEX($AB$1004:$AQ$1004,1,MATCH(COLUMNS($AB$1006:AK1006),$AB$1006:$AQ$1006,0)))),"Fix")))</f>
        <v>0</v>
      </c>
      <c r="L931" s="4">
        <f>IF(OR(INDEX($V$2:$V$1001,MATCH(ROWS($U$2:U931),$U$2:$U$1001,0),1)&gt;=100000,INDEX($AB$1005:$AQ$1005,1,MATCH(COLUMNS($AB$1006:AL1006),$AB$1006:$AQ$1006,0))&gt;=100000), " ",IF(INDEX($AB$2:$AQ$1001,MATCH(ROWS($U$2:U931),$U$2:$U$1001,0),MATCH(COLUMNS($AB$1006:AL1006),$AB$1006:$AQ$1006,0)), HYPERLINK("#",""), HYPERLINK(CONCATENATE("#metadata!", ADDRESS(INDEX($W$2:$W$1001,MATCH(ROWS($U$2:U931),$U$2:$U$1001,0),0), INDEX($AB$1004:$AQ$1004,1,MATCH(COLUMNS($AB$1006:AL1006),$AB$1006:$AQ$1006,0)))),"Fix")))</f>
        <v>0</v>
      </c>
      <c r="M931" s="4">
        <f>IF(OR(INDEX($V$2:$V$1001,MATCH(ROWS($U$2:U931),$U$2:$U$1001,0),1)&gt;=100000,INDEX($AB$1005:$AQ$1005,1,MATCH(COLUMNS($AB$1006:AM1006),$AB$1006:$AQ$1006,0))&gt;=100000), " ",IF(INDEX($AB$2:$AQ$1001,MATCH(ROWS($U$2:U931),$U$2:$U$1001,0),MATCH(COLUMNS($AB$1006:AM1006),$AB$1006:$AQ$1006,0)), HYPERLINK("#",""), HYPERLINK(CONCATENATE("#metadata!", ADDRESS(INDEX($W$2:$W$1001,MATCH(ROWS($U$2:U931),$U$2:$U$1001,0),0), INDEX($AB$1004:$AQ$1004,1,MATCH(COLUMNS($AB$1006:AM1006),$AB$1006:$AQ$1006,0)))),"Fix")))</f>
        <v>0</v>
      </c>
      <c r="N931" s="4">
        <f>IF(OR(INDEX($V$2:$V$1001,MATCH(ROWS($U$2:U931),$U$2:$U$1001,0),1)&gt;=100000,INDEX($AB$1005:$AQ$1005,1,MATCH(COLUMNS($AB$1006:AN1006),$AB$1006:$AQ$1006,0))&gt;=100000), " ",IF(INDEX($AB$2:$AQ$1001,MATCH(ROWS($U$2:U931),$U$2:$U$1001,0),MATCH(COLUMNS($AB$1006:AN1006),$AB$1006:$AQ$1006,0)), HYPERLINK("#",""), HYPERLINK(CONCATENATE("#metadata!", ADDRESS(INDEX($W$2:$W$1001,MATCH(ROWS($U$2:U931),$U$2:$U$1001,0),0), INDEX($AB$1004:$AQ$1004,1,MATCH(COLUMNS($AB$1006:AN1006),$AB$1006:$AQ$1006,0)))),"Fix")))</f>
        <v>0</v>
      </c>
      <c r="O931" s="4">
        <f>IF(OR(INDEX($V$2:$V$1001,MATCH(ROWS($U$2:U931),$U$2:$U$1001,0),1)&gt;=100000,INDEX($AB$1005:$AQ$1005,1,MATCH(COLUMNS($AB$1006:AO1006),$AB$1006:$AQ$1006,0))&gt;=100000), " ",IF(INDEX($AB$2:$AQ$1001,MATCH(ROWS($U$2:U931),$U$2:$U$1001,0),MATCH(COLUMNS($AB$1006:AO1006),$AB$1006:$AQ$1006,0)), HYPERLINK("#",""), HYPERLINK(CONCATENATE("#metadata!", ADDRESS(INDEX($W$2:$W$1001,MATCH(ROWS($U$2:U931),$U$2:$U$1001,0),0), INDEX($AB$1004:$AQ$1004,1,MATCH(COLUMNS($AB$1006:AO1006),$AB$1006:$AQ$1006,0)))),"Fix")))</f>
        <v>0</v>
      </c>
      <c r="P931" s="4">
        <f>IF(OR(INDEX($V$2:$V$1001,MATCH(ROWS($U$2:U931),$U$2:$U$1001,0),1)&gt;=100000,INDEX($AB$1005:$AQ$1005,1,MATCH(COLUMNS($AB$1006:AP1006),$AB$1006:$AQ$1006,0))&gt;=100000), " ",IF(INDEX($AB$2:$AQ$1001,MATCH(ROWS($U$2:U931),$U$2:$U$1001,0),MATCH(COLUMNS($AB$1006:AP1006),$AB$1006:$AQ$1006,0)), HYPERLINK("#",""), HYPERLINK(CONCATENATE("#metadata!", ADDRESS(INDEX($W$2:$W$1001,MATCH(ROWS($U$2:U931),$U$2:$U$1001,0),0), INDEX($AB$1004:$AQ$1004,1,MATCH(COLUMNS($AB$1006:AP1006),$AB$1006:$AQ$1006,0)))),"Fix")))</f>
        <v>0</v>
      </c>
      <c r="Q931" s="4">
        <f>IF(OR(INDEX($V$2:$V$1001,MATCH(ROWS($U$2:U931),$U$2:$U$1001,0),1)&gt;=100000,INDEX($AB$1005:$AQ$1005,1,MATCH(COLUMNS($AB$1006:AQ1006),$AB$1006:$AQ$1006,0))&gt;=100000), " ",IF(INDEX($AB$2:$AQ$1001,MATCH(ROWS($U$2:U931),$U$2:$U$1001,0),MATCH(COLUMNS($AB$1006:AQ1006),$AB$1006:$AQ$1006,0)), HYPERLINK("#",""), HYPERLINK(CONCATENATE("#metadata!", ADDRESS(INDEX($W$2:$W$1001,MATCH(ROWS($U$2:U931),$U$2:$U$1001,0),0), INDEX($AB$1004:$AQ$1004,1,MATCH(COLUMNS($AB$1006:AQ1006),$AB$1006:$AQ$1006,0)))),"Fix")))</f>
        <v>0</v>
      </c>
      <c r="U931">
        <v>0</v>
      </c>
      <c r="V931">
        <v>0</v>
      </c>
      <c r="W931">
        <v>0</v>
      </c>
      <c r="X931">
        <f>IF(Y931,TRUE,AND(AB931:AQ931))</f>
        <v>0</v>
      </c>
      <c r="Y931">
        <f>COUNTBLANK(metadata!B931:Q931)=COLUMNS(metadata!B931:Q931)</f>
        <v>0</v>
      </c>
      <c r="Z931">
        <v>0</v>
      </c>
      <c r="AB931">
        <f>AND(IF(metadata!B931="",FALSE,TRUE),COUNTIF(metadata!B:B, metadata!B931) = 1,NOT(ISERROR(SUMPRODUCT(SEARCH(MID(metadata!B931,ROW(INDIRECT("1:"&amp;LEN(metadata!B931))), 1),"0123456789abcdefghijklmnopqrstuvwxyzABCDEFGHIJKLMNOPQRSTUVWXYZ.")))))</f>
        <v>0</v>
      </c>
      <c r="AC931">
        <f>OR(AND(IF(metadata!C931="",FALSE,TRUE),OR(exact(metadata!C931,"missing: not collected"),exact(metadata!C931,"missing: not provided"),exact(metadata!C931,"missing: restricted access"))),AND(IF(metadata!C931="",FALSE,TRUE),AND(AND(IFERROR(INT(LEFT(metadata!C931,4))&gt;1900,FALSE),IFERROR(INT(LEFT(metadata!C931,4))&lt;=YEAR(NOW()),FALSE)), OR(MID(metadata!C931,5,1)="", AND(AND(MID(metadata!C931,5,1)="-",IFERROR(INT(MID(metadata!C931,6,1))&gt;=0,FALSE),IFERROR(INT(MID(metadata!C931,6,1))&lt;=1,FALSE),NOT(MID(metadata!C931,7,1)=""),IFERROR(INT(MID(metadata!C931,6,2))&gt;=1,FALSE),IFERROR(INT(MID(metadata!C931,6,2))&lt;=12,FALSE)), OR(MID(metadata!C931,8,1)="", AND(AND(MID(metadata!C931,8,1)="-",IFERROR(INT(MID(metadata!C931,9,1))&gt;=0,FALSE),IFERROR(INT(MID(metadata!C931,9,1))&lt;=3,FALSE),NOT(MID(metadata!C931,10,1)=""),IFERROR(INT(MID(metadata!C931,9,2))&gt;=1,FALSE),IFERROR(INT(MID(metadata!C931,9,2))&lt;=31,FALSE)), OR(MID(metadata!C931,11,1)="", AND(AND(MID(metadata!C931,11,1)=" ",IFERROR(INT(MID(metadata!C931,12,1))&gt;=0,FALSE),IFERROR(INT(MID(metadata!C931,12,1))&lt;=2,FALSE),NOT(MID(metadata!C931,13,1)=""),IFERROR(INT(MID(metadata!C931,12,2))&gt;=0,FALSE),IFERROR(INT(MID(metadata!C931,12,2))&lt;=23,FALSE)), OR(MID(metadata!C931,14,1)="", AND(AND(MID(metadata!C931,14,1)=":",IFERROR(INT(MID(metadata!C931,15,1))&gt;=0,FALSE),IFERROR(INT(MID(metadata!C931,15,1))&lt;=5,FALSE),NOT(MID(metadata!C931,16,1)=""),IFERROR(INT(MID(metadata!C931,15,2))&gt;=0,FALSE),IFERROR(INT(MID(metadata!C931,15,2))&lt;=59,FALSE)), OR(MID(metadata!C931,17,1)="", AND(AND(MID(metadata!C931,17,1)=":",IFERROR(INT(MID(metadata!C931,18,1))&gt;=0,FALSE),IFERROR(INT(MID(metadata!C931,18,1))&lt;=5,FALSE),NOT(MID(metadata!C931,19,1)=""),IFERROR(INT(MID(metadata!C931,18,2))&gt;=0,FALSE),IFERROR(INT(MID(metadata!C931,18,2))&lt;=59,FALSE)), LEN(metadata!C931)&lt;=19)))))))))))))</f>
        <v>0</v>
      </c>
      <c r="AD931">
        <f>IF(metadata!D931="",FALSE,TRUE)</f>
        <v>0</v>
      </c>
      <c r="AE931">
        <f>OR(AND(IF(metadata!E931="",FALSE,TRUE),OR(exact(metadata!E931,"missing: not collected"),exact(metadata!E931,"missing: not provided"))),AND(IF(metadata!E931="",FALSE,TRUE),OR(exact(metadata!E931,"TRUE"),exact(metadata!E931,"FALSE"))))</f>
        <v>0</v>
      </c>
      <c r="AF931">
        <f>IF(metadata!F931="",FALSE,TRUE)</f>
        <v>0</v>
      </c>
      <c r="AG931">
        <f>IF(metadata!G931="",FALSE,TRUE)</f>
        <v>0</v>
      </c>
      <c r="AH931">
        <f>IF(metadata!H931="",FALSE,TRUE)</f>
        <v>0</v>
      </c>
      <c r="AI931">
        <f>OR(AND(IF(metadata!I931="",FALSE,TRUE),OR(exact(metadata!I931,"missing: not collected"),exact(metadata!I931,"missing: not provided"),exact(metadata!I931,"missing: restricted access"))),AND(IF(metadata!I931="",FALSE,TRUE),OR(exact(metadata!I931,"air"),exact(metadata!I931,"built environment"),exact(metadata!I931,"host-associated"),exact(metadata!I931,"human-associated"),exact(metadata!I931,"human-skin"),exact(metadata!I931,"human-oral"),exact(metadata!I931,"human-gut"),exact(metadata!I931,"human-vaginal"),exact(metadata!I931,"microbial mat/biofilm"),exact(metadata!I931,"misc environment"),exact(metadata!I931,"plant-associated"),exact(metadata!I931,"sediment"),exact(metadata!I931,"soil"),exact(metadata!I931,"wastewater/sludge"),exact(metadata!I931,"water"))))</f>
        <v>0</v>
      </c>
      <c r="AJ931">
        <f>IF(metadata!J931="",FALSE,TRUE)</f>
        <v>0</v>
      </c>
      <c r="AK931">
        <f>OR(AND(IF(metadata!K931="",FALSE,TRUE),OR(exact(metadata!K931,"missing: not collected"),exact(metadata!K931,"missing: not provided"),exact(metadata!K931,"missing: restricted access"))),AND(IF(metadata!K931="",FALSE,ISNUMBER(VALUE(metadata!K931))),metadata!K931&gt;=-90.00,metadata!K931&lt;=90.00))</f>
        <v>0</v>
      </c>
      <c r="AL931">
        <f>OR(AND(IF(metadata!L931="",FALSE,TRUE),OR(exact(metadata!L931,"missing: not collected"),exact(metadata!L931,"missing: not provided"),exact(metadata!L931,"missing: restricted access"))),AND(IF(metadata!L931="",FALSE,ISNUMBER(VALUE(metadata!L931))),metadata!L931&gt;=-180.00,metadata!L931&lt;=180.00))</f>
        <v>0</v>
      </c>
      <c r="AM931">
        <f>IF(metadata!M931="",FALSE,TRUE)</f>
        <v>0</v>
      </c>
      <c r="AN931">
        <f>OR(AND(IF(metadata!N931="",FALSE,TRUE),OR(exact(metadata!N931,"missing: not collected"),exact(metadata!N931,"missing: not provided"),exact(metadata!N931,"missing: restricted access"))),AND(IF(metadata!N931="",FALSE,TRUE),OR(exact(metadata!N931,"TRUE"),exact(metadata!N931,"FALSE"))))</f>
        <v>0</v>
      </c>
      <c r="AO931">
        <f>IF(metadata!O931="",FALSE,TRUE)</f>
        <v>0</v>
      </c>
      <c r="AP931">
        <f>OR(AND(IF(metadata!P931="",FALSE,TRUE),OR(exact(metadata!P931,"missing: not collected"),exact(metadata!P931,"missing: not provided"))),AND(IF(metadata!P931="",FALSE,IF(ISERROR(INT(metadata!P931)),FALSE,INT(metadata!P931)=metadata!P931)),metadata!P931&gt;0))</f>
        <v>0</v>
      </c>
      <c r="AQ931">
        <f>IF(metadata!Q931="",FALSE,TRUE)</f>
        <v>0</v>
      </c>
    </row>
    <row r="932" spans="1:43">
      <c r="A932" s="5">
        <f>IF(B932=" "," ",HYPERLINK(CONCATENATE("#metadata!",ADDRESS(INDEX($W$2:$W$1001,MATCH(ROWS($U$2:U932),$U$2:$U$1001,0),0),1)),INDEX($Z$2:$Z$1001,MATCH(ROWS($U$2:U932),$U$2:$U$1001,0),0)))</f>
        <v>0</v>
      </c>
      <c r="B932" s="4">
        <f>IF(OR(INDEX($V$2:$V$1001,MATCH(ROWS($U$2:U932),$U$2:$U$1001,0),1)&gt;=100000,INDEX($AB$1005:$AQ$1005,1,MATCH(COLUMNS($AB$1006:AB1006),$AB$1006:$AQ$1006,0))&gt;=100000), " ",IF(INDEX($AB$2:$AQ$1001,MATCH(ROWS($U$2:U932),$U$2:$U$1001,0),MATCH(COLUMNS($AB$1006:AB1006),$AB$1006:$AQ$1006,0)), HYPERLINK("#",""), HYPERLINK(CONCATENATE("#metadata!", ADDRESS(INDEX($W$2:$W$1001,MATCH(ROWS($U$2:U932),$U$2:$U$1001,0),0), INDEX($AB$1004:$AQ$1004,1,MATCH(COLUMNS($AB$1006:AB1006),$AB$1006:$AQ$1006,0)))),"Fix")))</f>
        <v>0</v>
      </c>
      <c r="C932" s="4">
        <f>IF(OR(INDEX($V$2:$V$1001,MATCH(ROWS($U$2:U932),$U$2:$U$1001,0),1)&gt;=100000,INDEX($AB$1005:$AQ$1005,1,MATCH(COLUMNS($AB$1006:AC1006),$AB$1006:$AQ$1006,0))&gt;=100000), " ",IF(INDEX($AB$2:$AQ$1001,MATCH(ROWS($U$2:U932),$U$2:$U$1001,0),MATCH(COLUMNS($AB$1006:AC1006),$AB$1006:$AQ$1006,0)), HYPERLINK("#",""), HYPERLINK(CONCATENATE("#metadata!", ADDRESS(INDEX($W$2:$W$1001,MATCH(ROWS($U$2:U932),$U$2:$U$1001,0),0), INDEX($AB$1004:$AQ$1004,1,MATCH(COLUMNS($AB$1006:AC1006),$AB$1006:$AQ$1006,0)))),"Fix")))</f>
        <v>0</v>
      </c>
      <c r="D932" s="4">
        <f>IF(OR(INDEX($V$2:$V$1001,MATCH(ROWS($U$2:U932),$U$2:$U$1001,0),1)&gt;=100000,INDEX($AB$1005:$AQ$1005,1,MATCH(COLUMNS($AB$1006:AD1006),$AB$1006:$AQ$1006,0))&gt;=100000), " ",IF(INDEX($AB$2:$AQ$1001,MATCH(ROWS($U$2:U932),$U$2:$U$1001,0),MATCH(COLUMNS($AB$1006:AD1006),$AB$1006:$AQ$1006,0)), HYPERLINK("#",""), HYPERLINK(CONCATENATE("#metadata!", ADDRESS(INDEX($W$2:$W$1001,MATCH(ROWS($U$2:U932),$U$2:$U$1001,0),0), INDEX($AB$1004:$AQ$1004,1,MATCH(COLUMNS($AB$1006:AD1006),$AB$1006:$AQ$1006,0)))),"Fix")))</f>
        <v>0</v>
      </c>
      <c r="E932" s="4">
        <f>IF(OR(INDEX($V$2:$V$1001,MATCH(ROWS($U$2:U932),$U$2:$U$1001,0),1)&gt;=100000,INDEX($AB$1005:$AQ$1005,1,MATCH(COLUMNS($AB$1006:AE1006),$AB$1006:$AQ$1006,0))&gt;=100000), " ",IF(INDEX($AB$2:$AQ$1001,MATCH(ROWS($U$2:U932),$U$2:$U$1001,0),MATCH(COLUMNS($AB$1006:AE1006),$AB$1006:$AQ$1006,0)), HYPERLINK("#",""), HYPERLINK(CONCATENATE("#metadata!", ADDRESS(INDEX($W$2:$W$1001,MATCH(ROWS($U$2:U932),$U$2:$U$1001,0),0), INDEX($AB$1004:$AQ$1004,1,MATCH(COLUMNS($AB$1006:AE1006),$AB$1006:$AQ$1006,0)))),"Fix")))</f>
        <v>0</v>
      </c>
      <c r="F932" s="4">
        <f>IF(OR(INDEX($V$2:$V$1001,MATCH(ROWS($U$2:U932),$U$2:$U$1001,0),1)&gt;=100000,INDEX($AB$1005:$AQ$1005,1,MATCH(COLUMNS($AB$1006:AF1006),$AB$1006:$AQ$1006,0))&gt;=100000), " ",IF(INDEX($AB$2:$AQ$1001,MATCH(ROWS($U$2:U932),$U$2:$U$1001,0),MATCH(COLUMNS($AB$1006:AF1006),$AB$1006:$AQ$1006,0)), HYPERLINK("#",""), HYPERLINK(CONCATENATE("#metadata!", ADDRESS(INDEX($W$2:$W$1001,MATCH(ROWS($U$2:U932),$U$2:$U$1001,0),0), INDEX($AB$1004:$AQ$1004,1,MATCH(COLUMNS($AB$1006:AF1006),$AB$1006:$AQ$1006,0)))),"Fix")))</f>
        <v>0</v>
      </c>
      <c r="G932" s="4">
        <f>IF(OR(INDEX($V$2:$V$1001,MATCH(ROWS($U$2:U932),$U$2:$U$1001,0),1)&gt;=100000,INDEX($AB$1005:$AQ$1005,1,MATCH(COLUMNS($AB$1006:AG1006),$AB$1006:$AQ$1006,0))&gt;=100000), " ",IF(INDEX($AB$2:$AQ$1001,MATCH(ROWS($U$2:U932),$U$2:$U$1001,0),MATCH(COLUMNS($AB$1006:AG1006),$AB$1006:$AQ$1006,0)), HYPERLINK("#",""), HYPERLINK(CONCATENATE("#metadata!", ADDRESS(INDEX($W$2:$W$1001,MATCH(ROWS($U$2:U932),$U$2:$U$1001,0),0), INDEX($AB$1004:$AQ$1004,1,MATCH(COLUMNS($AB$1006:AG1006),$AB$1006:$AQ$1006,0)))),"Fix")))</f>
        <v>0</v>
      </c>
      <c r="H932" s="4">
        <f>IF(OR(INDEX($V$2:$V$1001,MATCH(ROWS($U$2:U932),$U$2:$U$1001,0),1)&gt;=100000,INDEX($AB$1005:$AQ$1005,1,MATCH(COLUMNS($AB$1006:AH1006),$AB$1006:$AQ$1006,0))&gt;=100000), " ",IF(INDEX($AB$2:$AQ$1001,MATCH(ROWS($U$2:U932),$U$2:$U$1001,0),MATCH(COLUMNS($AB$1006:AH1006),$AB$1006:$AQ$1006,0)), HYPERLINK("#",""), HYPERLINK(CONCATENATE("#metadata!", ADDRESS(INDEX($W$2:$W$1001,MATCH(ROWS($U$2:U932),$U$2:$U$1001,0),0), INDEX($AB$1004:$AQ$1004,1,MATCH(COLUMNS($AB$1006:AH1006),$AB$1006:$AQ$1006,0)))),"Fix")))</f>
        <v>0</v>
      </c>
      <c r="I932" s="4">
        <f>IF(OR(INDEX($V$2:$V$1001,MATCH(ROWS($U$2:U932),$U$2:$U$1001,0),1)&gt;=100000,INDEX($AB$1005:$AQ$1005,1,MATCH(COLUMNS($AB$1006:AI1006),$AB$1006:$AQ$1006,0))&gt;=100000), " ",IF(INDEX($AB$2:$AQ$1001,MATCH(ROWS($U$2:U932),$U$2:$U$1001,0),MATCH(COLUMNS($AB$1006:AI1006),$AB$1006:$AQ$1006,0)), HYPERLINK("#",""), HYPERLINK(CONCATENATE("#metadata!", ADDRESS(INDEX($W$2:$W$1001,MATCH(ROWS($U$2:U932),$U$2:$U$1001,0),0), INDEX($AB$1004:$AQ$1004,1,MATCH(COLUMNS($AB$1006:AI1006),$AB$1006:$AQ$1006,0)))),"Fix")))</f>
        <v>0</v>
      </c>
      <c r="J932" s="4">
        <f>IF(OR(INDEX($V$2:$V$1001,MATCH(ROWS($U$2:U932),$U$2:$U$1001,0),1)&gt;=100000,INDEX($AB$1005:$AQ$1005,1,MATCH(COLUMNS($AB$1006:AJ1006),$AB$1006:$AQ$1006,0))&gt;=100000), " ",IF(INDEX($AB$2:$AQ$1001,MATCH(ROWS($U$2:U932),$U$2:$U$1001,0),MATCH(COLUMNS($AB$1006:AJ1006),$AB$1006:$AQ$1006,0)), HYPERLINK("#",""), HYPERLINK(CONCATENATE("#metadata!", ADDRESS(INDEX($W$2:$W$1001,MATCH(ROWS($U$2:U932),$U$2:$U$1001,0),0), INDEX($AB$1004:$AQ$1004,1,MATCH(COLUMNS($AB$1006:AJ1006),$AB$1006:$AQ$1006,0)))),"Fix")))</f>
        <v>0</v>
      </c>
      <c r="K932" s="4">
        <f>IF(OR(INDEX($V$2:$V$1001,MATCH(ROWS($U$2:U932),$U$2:$U$1001,0),1)&gt;=100000,INDEX($AB$1005:$AQ$1005,1,MATCH(COLUMNS($AB$1006:AK1006),$AB$1006:$AQ$1006,0))&gt;=100000), " ",IF(INDEX($AB$2:$AQ$1001,MATCH(ROWS($U$2:U932),$U$2:$U$1001,0),MATCH(COLUMNS($AB$1006:AK1006),$AB$1006:$AQ$1006,0)), HYPERLINK("#",""), HYPERLINK(CONCATENATE("#metadata!", ADDRESS(INDEX($W$2:$W$1001,MATCH(ROWS($U$2:U932),$U$2:$U$1001,0),0), INDEX($AB$1004:$AQ$1004,1,MATCH(COLUMNS($AB$1006:AK1006),$AB$1006:$AQ$1006,0)))),"Fix")))</f>
        <v>0</v>
      </c>
      <c r="L932" s="4">
        <f>IF(OR(INDEX($V$2:$V$1001,MATCH(ROWS($U$2:U932),$U$2:$U$1001,0),1)&gt;=100000,INDEX($AB$1005:$AQ$1005,1,MATCH(COLUMNS($AB$1006:AL1006),$AB$1006:$AQ$1006,0))&gt;=100000), " ",IF(INDEX($AB$2:$AQ$1001,MATCH(ROWS($U$2:U932),$U$2:$U$1001,0),MATCH(COLUMNS($AB$1006:AL1006),$AB$1006:$AQ$1006,0)), HYPERLINK("#",""), HYPERLINK(CONCATENATE("#metadata!", ADDRESS(INDEX($W$2:$W$1001,MATCH(ROWS($U$2:U932),$U$2:$U$1001,0),0), INDEX($AB$1004:$AQ$1004,1,MATCH(COLUMNS($AB$1006:AL1006),$AB$1006:$AQ$1006,0)))),"Fix")))</f>
        <v>0</v>
      </c>
      <c r="M932" s="4">
        <f>IF(OR(INDEX($V$2:$V$1001,MATCH(ROWS($U$2:U932),$U$2:$U$1001,0),1)&gt;=100000,INDEX($AB$1005:$AQ$1005,1,MATCH(COLUMNS($AB$1006:AM1006),$AB$1006:$AQ$1006,0))&gt;=100000), " ",IF(INDEX($AB$2:$AQ$1001,MATCH(ROWS($U$2:U932),$U$2:$U$1001,0),MATCH(COLUMNS($AB$1006:AM1006),$AB$1006:$AQ$1006,0)), HYPERLINK("#",""), HYPERLINK(CONCATENATE("#metadata!", ADDRESS(INDEX($W$2:$W$1001,MATCH(ROWS($U$2:U932),$U$2:$U$1001,0),0), INDEX($AB$1004:$AQ$1004,1,MATCH(COLUMNS($AB$1006:AM1006),$AB$1006:$AQ$1006,0)))),"Fix")))</f>
        <v>0</v>
      </c>
      <c r="N932" s="4">
        <f>IF(OR(INDEX($V$2:$V$1001,MATCH(ROWS($U$2:U932),$U$2:$U$1001,0),1)&gt;=100000,INDEX($AB$1005:$AQ$1005,1,MATCH(COLUMNS($AB$1006:AN1006),$AB$1006:$AQ$1006,0))&gt;=100000), " ",IF(INDEX($AB$2:$AQ$1001,MATCH(ROWS($U$2:U932),$U$2:$U$1001,0),MATCH(COLUMNS($AB$1006:AN1006),$AB$1006:$AQ$1006,0)), HYPERLINK("#",""), HYPERLINK(CONCATENATE("#metadata!", ADDRESS(INDEX($W$2:$W$1001,MATCH(ROWS($U$2:U932),$U$2:$U$1001,0),0), INDEX($AB$1004:$AQ$1004,1,MATCH(COLUMNS($AB$1006:AN1006),$AB$1006:$AQ$1006,0)))),"Fix")))</f>
        <v>0</v>
      </c>
      <c r="O932" s="4">
        <f>IF(OR(INDEX($V$2:$V$1001,MATCH(ROWS($U$2:U932),$U$2:$U$1001,0),1)&gt;=100000,INDEX($AB$1005:$AQ$1005,1,MATCH(COLUMNS($AB$1006:AO1006),$AB$1006:$AQ$1006,0))&gt;=100000), " ",IF(INDEX($AB$2:$AQ$1001,MATCH(ROWS($U$2:U932),$U$2:$U$1001,0),MATCH(COLUMNS($AB$1006:AO1006),$AB$1006:$AQ$1006,0)), HYPERLINK("#",""), HYPERLINK(CONCATENATE("#metadata!", ADDRESS(INDEX($W$2:$W$1001,MATCH(ROWS($U$2:U932),$U$2:$U$1001,0),0), INDEX($AB$1004:$AQ$1004,1,MATCH(COLUMNS($AB$1006:AO1006),$AB$1006:$AQ$1006,0)))),"Fix")))</f>
        <v>0</v>
      </c>
      <c r="P932" s="4">
        <f>IF(OR(INDEX($V$2:$V$1001,MATCH(ROWS($U$2:U932),$U$2:$U$1001,0),1)&gt;=100000,INDEX($AB$1005:$AQ$1005,1,MATCH(COLUMNS($AB$1006:AP1006),$AB$1006:$AQ$1006,0))&gt;=100000), " ",IF(INDEX($AB$2:$AQ$1001,MATCH(ROWS($U$2:U932),$U$2:$U$1001,0),MATCH(COLUMNS($AB$1006:AP1006),$AB$1006:$AQ$1006,0)), HYPERLINK("#",""), HYPERLINK(CONCATENATE("#metadata!", ADDRESS(INDEX($W$2:$W$1001,MATCH(ROWS($U$2:U932),$U$2:$U$1001,0),0), INDEX($AB$1004:$AQ$1004,1,MATCH(COLUMNS($AB$1006:AP1006),$AB$1006:$AQ$1006,0)))),"Fix")))</f>
        <v>0</v>
      </c>
      <c r="Q932" s="4">
        <f>IF(OR(INDEX($V$2:$V$1001,MATCH(ROWS($U$2:U932),$U$2:$U$1001,0),1)&gt;=100000,INDEX($AB$1005:$AQ$1005,1,MATCH(COLUMNS($AB$1006:AQ1006),$AB$1006:$AQ$1006,0))&gt;=100000), " ",IF(INDEX($AB$2:$AQ$1001,MATCH(ROWS($U$2:U932),$U$2:$U$1001,0),MATCH(COLUMNS($AB$1006:AQ1006),$AB$1006:$AQ$1006,0)), HYPERLINK("#",""), HYPERLINK(CONCATENATE("#metadata!", ADDRESS(INDEX($W$2:$W$1001,MATCH(ROWS($U$2:U932),$U$2:$U$1001,0),0), INDEX($AB$1004:$AQ$1004,1,MATCH(COLUMNS($AB$1006:AQ1006),$AB$1006:$AQ$1006,0)))),"Fix")))</f>
        <v>0</v>
      </c>
      <c r="U932">
        <v>0</v>
      </c>
      <c r="V932">
        <v>0</v>
      </c>
      <c r="W932">
        <v>0</v>
      </c>
      <c r="X932">
        <f>IF(Y932,TRUE,AND(AB932:AQ932))</f>
        <v>0</v>
      </c>
      <c r="Y932">
        <f>COUNTBLANK(metadata!B932:Q932)=COLUMNS(metadata!B932:Q932)</f>
        <v>0</v>
      </c>
      <c r="Z932">
        <v>0</v>
      </c>
      <c r="AB932">
        <f>AND(IF(metadata!B932="",FALSE,TRUE),COUNTIF(metadata!B:B, metadata!B932) = 1,NOT(ISERROR(SUMPRODUCT(SEARCH(MID(metadata!B932,ROW(INDIRECT("1:"&amp;LEN(metadata!B932))), 1),"0123456789abcdefghijklmnopqrstuvwxyzABCDEFGHIJKLMNOPQRSTUVWXYZ.")))))</f>
        <v>0</v>
      </c>
      <c r="AC932">
        <f>OR(AND(IF(metadata!C932="",FALSE,TRUE),OR(exact(metadata!C932,"missing: not collected"),exact(metadata!C932,"missing: not provided"),exact(metadata!C932,"missing: restricted access"))),AND(IF(metadata!C932="",FALSE,TRUE),AND(AND(IFERROR(INT(LEFT(metadata!C932,4))&gt;1900,FALSE),IFERROR(INT(LEFT(metadata!C932,4))&lt;=YEAR(NOW()),FALSE)), OR(MID(metadata!C932,5,1)="", AND(AND(MID(metadata!C932,5,1)="-",IFERROR(INT(MID(metadata!C932,6,1))&gt;=0,FALSE),IFERROR(INT(MID(metadata!C932,6,1))&lt;=1,FALSE),NOT(MID(metadata!C932,7,1)=""),IFERROR(INT(MID(metadata!C932,6,2))&gt;=1,FALSE),IFERROR(INT(MID(metadata!C932,6,2))&lt;=12,FALSE)), OR(MID(metadata!C932,8,1)="", AND(AND(MID(metadata!C932,8,1)="-",IFERROR(INT(MID(metadata!C932,9,1))&gt;=0,FALSE),IFERROR(INT(MID(metadata!C932,9,1))&lt;=3,FALSE),NOT(MID(metadata!C932,10,1)=""),IFERROR(INT(MID(metadata!C932,9,2))&gt;=1,FALSE),IFERROR(INT(MID(metadata!C932,9,2))&lt;=31,FALSE)), OR(MID(metadata!C932,11,1)="", AND(AND(MID(metadata!C932,11,1)=" ",IFERROR(INT(MID(metadata!C932,12,1))&gt;=0,FALSE),IFERROR(INT(MID(metadata!C932,12,1))&lt;=2,FALSE),NOT(MID(metadata!C932,13,1)=""),IFERROR(INT(MID(metadata!C932,12,2))&gt;=0,FALSE),IFERROR(INT(MID(metadata!C932,12,2))&lt;=23,FALSE)), OR(MID(metadata!C932,14,1)="", AND(AND(MID(metadata!C932,14,1)=":",IFERROR(INT(MID(metadata!C932,15,1))&gt;=0,FALSE),IFERROR(INT(MID(metadata!C932,15,1))&lt;=5,FALSE),NOT(MID(metadata!C932,16,1)=""),IFERROR(INT(MID(metadata!C932,15,2))&gt;=0,FALSE),IFERROR(INT(MID(metadata!C932,15,2))&lt;=59,FALSE)), OR(MID(metadata!C932,17,1)="", AND(AND(MID(metadata!C932,17,1)=":",IFERROR(INT(MID(metadata!C932,18,1))&gt;=0,FALSE),IFERROR(INT(MID(metadata!C932,18,1))&lt;=5,FALSE),NOT(MID(metadata!C932,19,1)=""),IFERROR(INT(MID(metadata!C932,18,2))&gt;=0,FALSE),IFERROR(INT(MID(metadata!C932,18,2))&lt;=59,FALSE)), LEN(metadata!C932)&lt;=19)))))))))))))</f>
        <v>0</v>
      </c>
      <c r="AD932">
        <f>IF(metadata!D932="",FALSE,TRUE)</f>
        <v>0</v>
      </c>
      <c r="AE932">
        <f>OR(AND(IF(metadata!E932="",FALSE,TRUE),OR(exact(metadata!E932,"missing: not collected"),exact(metadata!E932,"missing: not provided"))),AND(IF(metadata!E932="",FALSE,TRUE),OR(exact(metadata!E932,"TRUE"),exact(metadata!E932,"FALSE"))))</f>
        <v>0</v>
      </c>
      <c r="AF932">
        <f>IF(metadata!F932="",FALSE,TRUE)</f>
        <v>0</v>
      </c>
      <c r="AG932">
        <f>IF(metadata!G932="",FALSE,TRUE)</f>
        <v>0</v>
      </c>
      <c r="AH932">
        <f>IF(metadata!H932="",FALSE,TRUE)</f>
        <v>0</v>
      </c>
      <c r="AI932">
        <f>OR(AND(IF(metadata!I932="",FALSE,TRUE),OR(exact(metadata!I932,"missing: not collected"),exact(metadata!I932,"missing: not provided"),exact(metadata!I932,"missing: restricted access"))),AND(IF(metadata!I932="",FALSE,TRUE),OR(exact(metadata!I932,"air"),exact(metadata!I932,"built environment"),exact(metadata!I932,"host-associated"),exact(metadata!I932,"human-associated"),exact(metadata!I932,"human-skin"),exact(metadata!I932,"human-oral"),exact(metadata!I932,"human-gut"),exact(metadata!I932,"human-vaginal"),exact(metadata!I932,"microbial mat/biofilm"),exact(metadata!I932,"misc environment"),exact(metadata!I932,"plant-associated"),exact(metadata!I932,"sediment"),exact(metadata!I932,"soil"),exact(metadata!I932,"wastewater/sludge"),exact(metadata!I932,"water"))))</f>
        <v>0</v>
      </c>
      <c r="AJ932">
        <f>IF(metadata!J932="",FALSE,TRUE)</f>
        <v>0</v>
      </c>
      <c r="AK932">
        <f>OR(AND(IF(metadata!K932="",FALSE,TRUE),OR(exact(metadata!K932,"missing: not collected"),exact(metadata!K932,"missing: not provided"),exact(metadata!K932,"missing: restricted access"))),AND(IF(metadata!K932="",FALSE,ISNUMBER(VALUE(metadata!K932))),metadata!K932&gt;=-90.00,metadata!K932&lt;=90.00))</f>
        <v>0</v>
      </c>
      <c r="AL932">
        <f>OR(AND(IF(metadata!L932="",FALSE,TRUE),OR(exact(metadata!L932,"missing: not collected"),exact(metadata!L932,"missing: not provided"),exact(metadata!L932,"missing: restricted access"))),AND(IF(metadata!L932="",FALSE,ISNUMBER(VALUE(metadata!L932))),metadata!L932&gt;=-180.00,metadata!L932&lt;=180.00))</f>
        <v>0</v>
      </c>
      <c r="AM932">
        <f>IF(metadata!M932="",FALSE,TRUE)</f>
        <v>0</v>
      </c>
      <c r="AN932">
        <f>OR(AND(IF(metadata!N932="",FALSE,TRUE),OR(exact(metadata!N932,"missing: not collected"),exact(metadata!N932,"missing: not provided"),exact(metadata!N932,"missing: restricted access"))),AND(IF(metadata!N932="",FALSE,TRUE),OR(exact(metadata!N932,"TRUE"),exact(metadata!N932,"FALSE"))))</f>
        <v>0</v>
      </c>
      <c r="AO932">
        <f>IF(metadata!O932="",FALSE,TRUE)</f>
        <v>0</v>
      </c>
      <c r="AP932">
        <f>OR(AND(IF(metadata!P932="",FALSE,TRUE),OR(exact(metadata!P932,"missing: not collected"),exact(metadata!P932,"missing: not provided"))),AND(IF(metadata!P932="",FALSE,IF(ISERROR(INT(metadata!P932)),FALSE,INT(metadata!P932)=metadata!P932)),metadata!P932&gt;0))</f>
        <v>0</v>
      </c>
      <c r="AQ932">
        <f>IF(metadata!Q932="",FALSE,TRUE)</f>
        <v>0</v>
      </c>
    </row>
    <row r="933" spans="1:43">
      <c r="A933" s="5">
        <f>IF(B933=" "," ",HYPERLINK(CONCATENATE("#metadata!",ADDRESS(INDEX($W$2:$W$1001,MATCH(ROWS($U$2:U933),$U$2:$U$1001,0),0),1)),INDEX($Z$2:$Z$1001,MATCH(ROWS($U$2:U933),$U$2:$U$1001,0),0)))</f>
        <v>0</v>
      </c>
      <c r="B933" s="4">
        <f>IF(OR(INDEX($V$2:$V$1001,MATCH(ROWS($U$2:U933),$U$2:$U$1001,0),1)&gt;=100000,INDEX($AB$1005:$AQ$1005,1,MATCH(COLUMNS($AB$1006:AB1006),$AB$1006:$AQ$1006,0))&gt;=100000), " ",IF(INDEX($AB$2:$AQ$1001,MATCH(ROWS($U$2:U933),$U$2:$U$1001,0),MATCH(COLUMNS($AB$1006:AB1006),$AB$1006:$AQ$1006,0)), HYPERLINK("#",""), HYPERLINK(CONCATENATE("#metadata!", ADDRESS(INDEX($W$2:$W$1001,MATCH(ROWS($U$2:U933),$U$2:$U$1001,0),0), INDEX($AB$1004:$AQ$1004,1,MATCH(COLUMNS($AB$1006:AB1006),$AB$1006:$AQ$1006,0)))),"Fix")))</f>
        <v>0</v>
      </c>
      <c r="C933" s="4">
        <f>IF(OR(INDEX($V$2:$V$1001,MATCH(ROWS($U$2:U933),$U$2:$U$1001,0),1)&gt;=100000,INDEX($AB$1005:$AQ$1005,1,MATCH(COLUMNS($AB$1006:AC1006),$AB$1006:$AQ$1006,0))&gt;=100000), " ",IF(INDEX($AB$2:$AQ$1001,MATCH(ROWS($U$2:U933),$U$2:$U$1001,0),MATCH(COLUMNS($AB$1006:AC1006),$AB$1006:$AQ$1006,0)), HYPERLINK("#",""), HYPERLINK(CONCATENATE("#metadata!", ADDRESS(INDEX($W$2:$W$1001,MATCH(ROWS($U$2:U933),$U$2:$U$1001,0),0), INDEX($AB$1004:$AQ$1004,1,MATCH(COLUMNS($AB$1006:AC1006),$AB$1006:$AQ$1006,0)))),"Fix")))</f>
        <v>0</v>
      </c>
      <c r="D933" s="4">
        <f>IF(OR(INDEX($V$2:$V$1001,MATCH(ROWS($U$2:U933),$U$2:$U$1001,0),1)&gt;=100000,INDEX($AB$1005:$AQ$1005,1,MATCH(COLUMNS($AB$1006:AD1006),$AB$1006:$AQ$1006,0))&gt;=100000), " ",IF(INDEX($AB$2:$AQ$1001,MATCH(ROWS($U$2:U933),$U$2:$U$1001,0),MATCH(COLUMNS($AB$1006:AD1006),$AB$1006:$AQ$1006,0)), HYPERLINK("#",""), HYPERLINK(CONCATENATE("#metadata!", ADDRESS(INDEX($W$2:$W$1001,MATCH(ROWS($U$2:U933),$U$2:$U$1001,0),0), INDEX($AB$1004:$AQ$1004,1,MATCH(COLUMNS($AB$1006:AD1006),$AB$1006:$AQ$1006,0)))),"Fix")))</f>
        <v>0</v>
      </c>
      <c r="E933" s="4">
        <f>IF(OR(INDEX($V$2:$V$1001,MATCH(ROWS($U$2:U933),$U$2:$U$1001,0),1)&gt;=100000,INDEX($AB$1005:$AQ$1005,1,MATCH(COLUMNS($AB$1006:AE1006),$AB$1006:$AQ$1006,0))&gt;=100000), " ",IF(INDEX($AB$2:$AQ$1001,MATCH(ROWS($U$2:U933),$U$2:$U$1001,0),MATCH(COLUMNS($AB$1006:AE1006),$AB$1006:$AQ$1006,0)), HYPERLINK("#",""), HYPERLINK(CONCATENATE("#metadata!", ADDRESS(INDEX($W$2:$W$1001,MATCH(ROWS($U$2:U933),$U$2:$U$1001,0),0), INDEX($AB$1004:$AQ$1004,1,MATCH(COLUMNS($AB$1006:AE1006),$AB$1006:$AQ$1006,0)))),"Fix")))</f>
        <v>0</v>
      </c>
      <c r="F933" s="4">
        <f>IF(OR(INDEX($V$2:$V$1001,MATCH(ROWS($U$2:U933),$U$2:$U$1001,0),1)&gt;=100000,INDEX($AB$1005:$AQ$1005,1,MATCH(COLUMNS($AB$1006:AF1006),$AB$1006:$AQ$1006,0))&gt;=100000), " ",IF(INDEX($AB$2:$AQ$1001,MATCH(ROWS($U$2:U933),$U$2:$U$1001,0),MATCH(COLUMNS($AB$1006:AF1006),$AB$1006:$AQ$1006,0)), HYPERLINK("#",""), HYPERLINK(CONCATENATE("#metadata!", ADDRESS(INDEX($W$2:$W$1001,MATCH(ROWS($U$2:U933),$U$2:$U$1001,0),0), INDEX($AB$1004:$AQ$1004,1,MATCH(COLUMNS($AB$1006:AF1006),$AB$1006:$AQ$1006,0)))),"Fix")))</f>
        <v>0</v>
      </c>
      <c r="G933" s="4">
        <f>IF(OR(INDEX($V$2:$V$1001,MATCH(ROWS($U$2:U933),$U$2:$U$1001,0),1)&gt;=100000,INDEX($AB$1005:$AQ$1005,1,MATCH(COLUMNS($AB$1006:AG1006),$AB$1006:$AQ$1006,0))&gt;=100000), " ",IF(INDEX($AB$2:$AQ$1001,MATCH(ROWS($U$2:U933),$U$2:$U$1001,0),MATCH(COLUMNS($AB$1006:AG1006),$AB$1006:$AQ$1006,0)), HYPERLINK("#",""), HYPERLINK(CONCATENATE("#metadata!", ADDRESS(INDEX($W$2:$W$1001,MATCH(ROWS($U$2:U933),$U$2:$U$1001,0),0), INDEX($AB$1004:$AQ$1004,1,MATCH(COLUMNS($AB$1006:AG1006),$AB$1006:$AQ$1006,0)))),"Fix")))</f>
        <v>0</v>
      </c>
      <c r="H933" s="4">
        <f>IF(OR(INDEX($V$2:$V$1001,MATCH(ROWS($U$2:U933),$U$2:$U$1001,0),1)&gt;=100000,INDEX($AB$1005:$AQ$1005,1,MATCH(COLUMNS($AB$1006:AH1006),$AB$1006:$AQ$1006,0))&gt;=100000), " ",IF(INDEX($AB$2:$AQ$1001,MATCH(ROWS($U$2:U933),$U$2:$U$1001,0),MATCH(COLUMNS($AB$1006:AH1006),$AB$1006:$AQ$1006,0)), HYPERLINK("#",""), HYPERLINK(CONCATENATE("#metadata!", ADDRESS(INDEX($W$2:$W$1001,MATCH(ROWS($U$2:U933),$U$2:$U$1001,0),0), INDEX($AB$1004:$AQ$1004,1,MATCH(COLUMNS($AB$1006:AH1006),$AB$1006:$AQ$1006,0)))),"Fix")))</f>
        <v>0</v>
      </c>
      <c r="I933" s="4">
        <f>IF(OR(INDEX($V$2:$V$1001,MATCH(ROWS($U$2:U933),$U$2:$U$1001,0),1)&gt;=100000,INDEX($AB$1005:$AQ$1005,1,MATCH(COLUMNS($AB$1006:AI1006),$AB$1006:$AQ$1006,0))&gt;=100000), " ",IF(INDEX($AB$2:$AQ$1001,MATCH(ROWS($U$2:U933),$U$2:$U$1001,0),MATCH(COLUMNS($AB$1006:AI1006),$AB$1006:$AQ$1006,0)), HYPERLINK("#",""), HYPERLINK(CONCATENATE("#metadata!", ADDRESS(INDEX($W$2:$W$1001,MATCH(ROWS($U$2:U933),$U$2:$U$1001,0),0), INDEX($AB$1004:$AQ$1004,1,MATCH(COLUMNS($AB$1006:AI1006),$AB$1006:$AQ$1006,0)))),"Fix")))</f>
        <v>0</v>
      </c>
      <c r="J933" s="4">
        <f>IF(OR(INDEX($V$2:$V$1001,MATCH(ROWS($U$2:U933),$U$2:$U$1001,0),1)&gt;=100000,INDEX($AB$1005:$AQ$1005,1,MATCH(COLUMNS($AB$1006:AJ1006),$AB$1006:$AQ$1006,0))&gt;=100000), " ",IF(INDEX($AB$2:$AQ$1001,MATCH(ROWS($U$2:U933),$U$2:$U$1001,0),MATCH(COLUMNS($AB$1006:AJ1006),$AB$1006:$AQ$1006,0)), HYPERLINK("#",""), HYPERLINK(CONCATENATE("#metadata!", ADDRESS(INDEX($W$2:$W$1001,MATCH(ROWS($U$2:U933),$U$2:$U$1001,0),0), INDEX($AB$1004:$AQ$1004,1,MATCH(COLUMNS($AB$1006:AJ1006),$AB$1006:$AQ$1006,0)))),"Fix")))</f>
        <v>0</v>
      </c>
      <c r="K933" s="4">
        <f>IF(OR(INDEX($V$2:$V$1001,MATCH(ROWS($U$2:U933),$U$2:$U$1001,0),1)&gt;=100000,INDEX($AB$1005:$AQ$1005,1,MATCH(COLUMNS($AB$1006:AK1006),$AB$1006:$AQ$1006,0))&gt;=100000), " ",IF(INDEX($AB$2:$AQ$1001,MATCH(ROWS($U$2:U933),$U$2:$U$1001,0),MATCH(COLUMNS($AB$1006:AK1006),$AB$1006:$AQ$1006,0)), HYPERLINK("#",""), HYPERLINK(CONCATENATE("#metadata!", ADDRESS(INDEX($W$2:$W$1001,MATCH(ROWS($U$2:U933),$U$2:$U$1001,0),0), INDEX($AB$1004:$AQ$1004,1,MATCH(COLUMNS($AB$1006:AK1006),$AB$1006:$AQ$1006,0)))),"Fix")))</f>
        <v>0</v>
      </c>
      <c r="L933" s="4">
        <f>IF(OR(INDEX($V$2:$V$1001,MATCH(ROWS($U$2:U933),$U$2:$U$1001,0),1)&gt;=100000,INDEX($AB$1005:$AQ$1005,1,MATCH(COLUMNS($AB$1006:AL1006),$AB$1006:$AQ$1006,0))&gt;=100000), " ",IF(INDEX($AB$2:$AQ$1001,MATCH(ROWS($U$2:U933),$U$2:$U$1001,0),MATCH(COLUMNS($AB$1006:AL1006),$AB$1006:$AQ$1006,0)), HYPERLINK("#",""), HYPERLINK(CONCATENATE("#metadata!", ADDRESS(INDEX($W$2:$W$1001,MATCH(ROWS($U$2:U933),$U$2:$U$1001,0),0), INDEX($AB$1004:$AQ$1004,1,MATCH(COLUMNS($AB$1006:AL1006),$AB$1006:$AQ$1006,0)))),"Fix")))</f>
        <v>0</v>
      </c>
      <c r="M933" s="4">
        <f>IF(OR(INDEX($V$2:$V$1001,MATCH(ROWS($U$2:U933),$U$2:$U$1001,0),1)&gt;=100000,INDEX($AB$1005:$AQ$1005,1,MATCH(COLUMNS($AB$1006:AM1006),$AB$1006:$AQ$1006,0))&gt;=100000), " ",IF(INDEX($AB$2:$AQ$1001,MATCH(ROWS($U$2:U933),$U$2:$U$1001,0),MATCH(COLUMNS($AB$1006:AM1006),$AB$1006:$AQ$1006,0)), HYPERLINK("#",""), HYPERLINK(CONCATENATE("#metadata!", ADDRESS(INDEX($W$2:$W$1001,MATCH(ROWS($U$2:U933),$U$2:$U$1001,0),0), INDEX($AB$1004:$AQ$1004,1,MATCH(COLUMNS($AB$1006:AM1006),$AB$1006:$AQ$1006,0)))),"Fix")))</f>
        <v>0</v>
      </c>
      <c r="N933" s="4">
        <f>IF(OR(INDEX($V$2:$V$1001,MATCH(ROWS($U$2:U933),$U$2:$U$1001,0),1)&gt;=100000,INDEX($AB$1005:$AQ$1005,1,MATCH(COLUMNS($AB$1006:AN1006),$AB$1006:$AQ$1006,0))&gt;=100000), " ",IF(INDEX($AB$2:$AQ$1001,MATCH(ROWS($U$2:U933),$U$2:$U$1001,0),MATCH(COLUMNS($AB$1006:AN1006),$AB$1006:$AQ$1006,0)), HYPERLINK("#",""), HYPERLINK(CONCATENATE("#metadata!", ADDRESS(INDEX($W$2:$W$1001,MATCH(ROWS($U$2:U933),$U$2:$U$1001,0),0), INDEX($AB$1004:$AQ$1004,1,MATCH(COLUMNS($AB$1006:AN1006),$AB$1006:$AQ$1006,0)))),"Fix")))</f>
        <v>0</v>
      </c>
      <c r="O933" s="4">
        <f>IF(OR(INDEX($V$2:$V$1001,MATCH(ROWS($U$2:U933),$U$2:$U$1001,0),1)&gt;=100000,INDEX($AB$1005:$AQ$1005,1,MATCH(COLUMNS($AB$1006:AO1006),$AB$1006:$AQ$1006,0))&gt;=100000), " ",IF(INDEX($AB$2:$AQ$1001,MATCH(ROWS($U$2:U933),$U$2:$U$1001,0),MATCH(COLUMNS($AB$1006:AO1006),$AB$1006:$AQ$1006,0)), HYPERLINK("#",""), HYPERLINK(CONCATENATE("#metadata!", ADDRESS(INDEX($W$2:$W$1001,MATCH(ROWS($U$2:U933),$U$2:$U$1001,0),0), INDEX($AB$1004:$AQ$1004,1,MATCH(COLUMNS($AB$1006:AO1006),$AB$1006:$AQ$1006,0)))),"Fix")))</f>
        <v>0</v>
      </c>
      <c r="P933" s="4">
        <f>IF(OR(INDEX($V$2:$V$1001,MATCH(ROWS($U$2:U933),$U$2:$U$1001,0),1)&gt;=100000,INDEX($AB$1005:$AQ$1005,1,MATCH(COLUMNS($AB$1006:AP1006),$AB$1006:$AQ$1006,0))&gt;=100000), " ",IF(INDEX($AB$2:$AQ$1001,MATCH(ROWS($U$2:U933),$U$2:$U$1001,0),MATCH(COLUMNS($AB$1006:AP1006),$AB$1006:$AQ$1006,0)), HYPERLINK("#",""), HYPERLINK(CONCATENATE("#metadata!", ADDRESS(INDEX($W$2:$W$1001,MATCH(ROWS($U$2:U933),$U$2:$U$1001,0),0), INDEX($AB$1004:$AQ$1004,1,MATCH(COLUMNS($AB$1006:AP1006),$AB$1006:$AQ$1006,0)))),"Fix")))</f>
        <v>0</v>
      </c>
      <c r="Q933" s="4">
        <f>IF(OR(INDEX($V$2:$V$1001,MATCH(ROWS($U$2:U933),$U$2:$U$1001,0),1)&gt;=100000,INDEX($AB$1005:$AQ$1005,1,MATCH(COLUMNS($AB$1006:AQ1006),$AB$1006:$AQ$1006,0))&gt;=100000), " ",IF(INDEX($AB$2:$AQ$1001,MATCH(ROWS($U$2:U933),$U$2:$U$1001,0),MATCH(COLUMNS($AB$1006:AQ1006),$AB$1006:$AQ$1006,0)), HYPERLINK("#",""), HYPERLINK(CONCATENATE("#metadata!", ADDRESS(INDEX($W$2:$W$1001,MATCH(ROWS($U$2:U933),$U$2:$U$1001,0),0), INDEX($AB$1004:$AQ$1004,1,MATCH(COLUMNS($AB$1006:AQ1006),$AB$1006:$AQ$1006,0)))),"Fix")))</f>
        <v>0</v>
      </c>
      <c r="U933">
        <v>0</v>
      </c>
      <c r="V933">
        <v>0</v>
      </c>
      <c r="W933">
        <v>0</v>
      </c>
      <c r="X933">
        <f>IF(Y933,TRUE,AND(AB933:AQ933))</f>
        <v>0</v>
      </c>
      <c r="Y933">
        <f>COUNTBLANK(metadata!B933:Q933)=COLUMNS(metadata!B933:Q933)</f>
        <v>0</v>
      </c>
      <c r="Z933">
        <v>0</v>
      </c>
      <c r="AB933">
        <f>AND(IF(metadata!B933="",FALSE,TRUE),COUNTIF(metadata!B:B, metadata!B933) = 1,NOT(ISERROR(SUMPRODUCT(SEARCH(MID(metadata!B933,ROW(INDIRECT("1:"&amp;LEN(metadata!B933))), 1),"0123456789abcdefghijklmnopqrstuvwxyzABCDEFGHIJKLMNOPQRSTUVWXYZ.")))))</f>
        <v>0</v>
      </c>
      <c r="AC933">
        <f>OR(AND(IF(metadata!C933="",FALSE,TRUE),OR(exact(metadata!C933,"missing: not collected"),exact(metadata!C933,"missing: not provided"),exact(metadata!C933,"missing: restricted access"))),AND(IF(metadata!C933="",FALSE,TRUE),AND(AND(IFERROR(INT(LEFT(metadata!C933,4))&gt;1900,FALSE),IFERROR(INT(LEFT(metadata!C933,4))&lt;=YEAR(NOW()),FALSE)), OR(MID(metadata!C933,5,1)="", AND(AND(MID(metadata!C933,5,1)="-",IFERROR(INT(MID(metadata!C933,6,1))&gt;=0,FALSE),IFERROR(INT(MID(metadata!C933,6,1))&lt;=1,FALSE),NOT(MID(metadata!C933,7,1)=""),IFERROR(INT(MID(metadata!C933,6,2))&gt;=1,FALSE),IFERROR(INT(MID(metadata!C933,6,2))&lt;=12,FALSE)), OR(MID(metadata!C933,8,1)="", AND(AND(MID(metadata!C933,8,1)="-",IFERROR(INT(MID(metadata!C933,9,1))&gt;=0,FALSE),IFERROR(INT(MID(metadata!C933,9,1))&lt;=3,FALSE),NOT(MID(metadata!C933,10,1)=""),IFERROR(INT(MID(metadata!C933,9,2))&gt;=1,FALSE),IFERROR(INT(MID(metadata!C933,9,2))&lt;=31,FALSE)), OR(MID(metadata!C933,11,1)="", AND(AND(MID(metadata!C933,11,1)=" ",IFERROR(INT(MID(metadata!C933,12,1))&gt;=0,FALSE),IFERROR(INT(MID(metadata!C933,12,1))&lt;=2,FALSE),NOT(MID(metadata!C933,13,1)=""),IFERROR(INT(MID(metadata!C933,12,2))&gt;=0,FALSE),IFERROR(INT(MID(metadata!C933,12,2))&lt;=23,FALSE)), OR(MID(metadata!C933,14,1)="", AND(AND(MID(metadata!C933,14,1)=":",IFERROR(INT(MID(metadata!C933,15,1))&gt;=0,FALSE),IFERROR(INT(MID(metadata!C933,15,1))&lt;=5,FALSE),NOT(MID(metadata!C933,16,1)=""),IFERROR(INT(MID(metadata!C933,15,2))&gt;=0,FALSE),IFERROR(INT(MID(metadata!C933,15,2))&lt;=59,FALSE)), OR(MID(metadata!C933,17,1)="", AND(AND(MID(metadata!C933,17,1)=":",IFERROR(INT(MID(metadata!C933,18,1))&gt;=0,FALSE),IFERROR(INT(MID(metadata!C933,18,1))&lt;=5,FALSE),NOT(MID(metadata!C933,19,1)=""),IFERROR(INT(MID(metadata!C933,18,2))&gt;=0,FALSE),IFERROR(INT(MID(metadata!C933,18,2))&lt;=59,FALSE)), LEN(metadata!C933)&lt;=19)))))))))))))</f>
        <v>0</v>
      </c>
      <c r="AD933">
        <f>IF(metadata!D933="",FALSE,TRUE)</f>
        <v>0</v>
      </c>
      <c r="AE933">
        <f>OR(AND(IF(metadata!E933="",FALSE,TRUE),OR(exact(metadata!E933,"missing: not collected"),exact(metadata!E933,"missing: not provided"))),AND(IF(metadata!E933="",FALSE,TRUE),OR(exact(metadata!E933,"TRUE"),exact(metadata!E933,"FALSE"))))</f>
        <v>0</v>
      </c>
      <c r="AF933">
        <f>IF(metadata!F933="",FALSE,TRUE)</f>
        <v>0</v>
      </c>
      <c r="AG933">
        <f>IF(metadata!G933="",FALSE,TRUE)</f>
        <v>0</v>
      </c>
      <c r="AH933">
        <f>IF(metadata!H933="",FALSE,TRUE)</f>
        <v>0</v>
      </c>
      <c r="AI933">
        <f>OR(AND(IF(metadata!I933="",FALSE,TRUE),OR(exact(metadata!I933,"missing: not collected"),exact(metadata!I933,"missing: not provided"),exact(metadata!I933,"missing: restricted access"))),AND(IF(metadata!I933="",FALSE,TRUE),OR(exact(metadata!I933,"air"),exact(metadata!I933,"built environment"),exact(metadata!I933,"host-associated"),exact(metadata!I933,"human-associated"),exact(metadata!I933,"human-skin"),exact(metadata!I933,"human-oral"),exact(metadata!I933,"human-gut"),exact(metadata!I933,"human-vaginal"),exact(metadata!I933,"microbial mat/biofilm"),exact(metadata!I933,"misc environment"),exact(metadata!I933,"plant-associated"),exact(metadata!I933,"sediment"),exact(metadata!I933,"soil"),exact(metadata!I933,"wastewater/sludge"),exact(metadata!I933,"water"))))</f>
        <v>0</v>
      </c>
      <c r="AJ933">
        <f>IF(metadata!J933="",FALSE,TRUE)</f>
        <v>0</v>
      </c>
      <c r="AK933">
        <f>OR(AND(IF(metadata!K933="",FALSE,TRUE),OR(exact(metadata!K933,"missing: not collected"),exact(metadata!K933,"missing: not provided"),exact(metadata!K933,"missing: restricted access"))),AND(IF(metadata!K933="",FALSE,ISNUMBER(VALUE(metadata!K933))),metadata!K933&gt;=-90.00,metadata!K933&lt;=90.00))</f>
        <v>0</v>
      </c>
      <c r="AL933">
        <f>OR(AND(IF(metadata!L933="",FALSE,TRUE),OR(exact(metadata!L933,"missing: not collected"),exact(metadata!L933,"missing: not provided"),exact(metadata!L933,"missing: restricted access"))),AND(IF(metadata!L933="",FALSE,ISNUMBER(VALUE(metadata!L933))),metadata!L933&gt;=-180.00,metadata!L933&lt;=180.00))</f>
        <v>0</v>
      </c>
      <c r="AM933">
        <f>IF(metadata!M933="",FALSE,TRUE)</f>
        <v>0</v>
      </c>
      <c r="AN933">
        <f>OR(AND(IF(metadata!N933="",FALSE,TRUE),OR(exact(metadata!N933,"missing: not collected"),exact(metadata!N933,"missing: not provided"),exact(metadata!N933,"missing: restricted access"))),AND(IF(metadata!N933="",FALSE,TRUE),OR(exact(metadata!N933,"TRUE"),exact(metadata!N933,"FALSE"))))</f>
        <v>0</v>
      </c>
      <c r="AO933">
        <f>IF(metadata!O933="",FALSE,TRUE)</f>
        <v>0</v>
      </c>
      <c r="AP933">
        <f>OR(AND(IF(metadata!P933="",FALSE,TRUE),OR(exact(metadata!P933,"missing: not collected"),exact(metadata!P933,"missing: not provided"))),AND(IF(metadata!P933="",FALSE,IF(ISERROR(INT(metadata!P933)),FALSE,INT(metadata!P933)=metadata!P933)),metadata!P933&gt;0))</f>
        <v>0</v>
      </c>
      <c r="AQ933">
        <f>IF(metadata!Q933="",FALSE,TRUE)</f>
        <v>0</v>
      </c>
    </row>
    <row r="934" spans="1:43">
      <c r="A934" s="5">
        <f>IF(B934=" "," ",HYPERLINK(CONCATENATE("#metadata!",ADDRESS(INDEX($W$2:$W$1001,MATCH(ROWS($U$2:U934),$U$2:$U$1001,0),0),1)),INDEX($Z$2:$Z$1001,MATCH(ROWS($U$2:U934),$U$2:$U$1001,0),0)))</f>
        <v>0</v>
      </c>
      <c r="B934" s="4">
        <f>IF(OR(INDEX($V$2:$V$1001,MATCH(ROWS($U$2:U934),$U$2:$U$1001,0),1)&gt;=100000,INDEX($AB$1005:$AQ$1005,1,MATCH(COLUMNS($AB$1006:AB1006),$AB$1006:$AQ$1006,0))&gt;=100000), " ",IF(INDEX($AB$2:$AQ$1001,MATCH(ROWS($U$2:U934),$U$2:$U$1001,0),MATCH(COLUMNS($AB$1006:AB1006),$AB$1006:$AQ$1006,0)), HYPERLINK("#",""), HYPERLINK(CONCATENATE("#metadata!", ADDRESS(INDEX($W$2:$W$1001,MATCH(ROWS($U$2:U934),$U$2:$U$1001,0),0), INDEX($AB$1004:$AQ$1004,1,MATCH(COLUMNS($AB$1006:AB1006),$AB$1006:$AQ$1006,0)))),"Fix")))</f>
        <v>0</v>
      </c>
      <c r="C934" s="4">
        <f>IF(OR(INDEX($V$2:$V$1001,MATCH(ROWS($U$2:U934),$U$2:$U$1001,0),1)&gt;=100000,INDEX($AB$1005:$AQ$1005,1,MATCH(COLUMNS($AB$1006:AC1006),$AB$1006:$AQ$1006,0))&gt;=100000), " ",IF(INDEX($AB$2:$AQ$1001,MATCH(ROWS($U$2:U934),$U$2:$U$1001,0),MATCH(COLUMNS($AB$1006:AC1006),$AB$1006:$AQ$1006,0)), HYPERLINK("#",""), HYPERLINK(CONCATENATE("#metadata!", ADDRESS(INDEX($W$2:$W$1001,MATCH(ROWS($U$2:U934),$U$2:$U$1001,0),0), INDEX($AB$1004:$AQ$1004,1,MATCH(COLUMNS($AB$1006:AC1006),$AB$1006:$AQ$1006,0)))),"Fix")))</f>
        <v>0</v>
      </c>
      <c r="D934" s="4">
        <f>IF(OR(INDEX($V$2:$V$1001,MATCH(ROWS($U$2:U934),$U$2:$U$1001,0),1)&gt;=100000,INDEX($AB$1005:$AQ$1005,1,MATCH(COLUMNS($AB$1006:AD1006),$AB$1006:$AQ$1006,0))&gt;=100000), " ",IF(INDEX($AB$2:$AQ$1001,MATCH(ROWS($U$2:U934),$U$2:$U$1001,0),MATCH(COLUMNS($AB$1006:AD1006),$AB$1006:$AQ$1006,0)), HYPERLINK("#",""), HYPERLINK(CONCATENATE("#metadata!", ADDRESS(INDEX($W$2:$W$1001,MATCH(ROWS($U$2:U934),$U$2:$U$1001,0),0), INDEX($AB$1004:$AQ$1004,1,MATCH(COLUMNS($AB$1006:AD1006),$AB$1006:$AQ$1006,0)))),"Fix")))</f>
        <v>0</v>
      </c>
      <c r="E934" s="4">
        <f>IF(OR(INDEX($V$2:$V$1001,MATCH(ROWS($U$2:U934),$U$2:$U$1001,0),1)&gt;=100000,INDEX($AB$1005:$AQ$1005,1,MATCH(COLUMNS($AB$1006:AE1006),$AB$1006:$AQ$1006,0))&gt;=100000), " ",IF(INDEX($AB$2:$AQ$1001,MATCH(ROWS($U$2:U934),$U$2:$U$1001,0),MATCH(COLUMNS($AB$1006:AE1006),$AB$1006:$AQ$1006,0)), HYPERLINK("#",""), HYPERLINK(CONCATENATE("#metadata!", ADDRESS(INDEX($W$2:$W$1001,MATCH(ROWS($U$2:U934),$U$2:$U$1001,0),0), INDEX($AB$1004:$AQ$1004,1,MATCH(COLUMNS($AB$1006:AE1006),$AB$1006:$AQ$1006,0)))),"Fix")))</f>
        <v>0</v>
      </c>
      <c r="F934" s="4">
        <f>IF(OR(INDEX($V$2:$V$1001,MATCH(ROWS($U$2:U934),$U$2:$U$1001,0),1)&gt;=100000,INDEX($AB$1005:$AQ$1005,1,MATCH(COLUMNS($AB$1006:AF1006),$AB$1006:$AQ$1006,0))&gt;=100000), " ",IF(INDEX($AB$2:$AQ$1001,MATCH(ROWS($U$2:U934),$U$2:$U$1001,0),MATCH(COLUMNS($AB$1006:AF1006),$AB$1006:$AQ$1006,0)), HYPERLINK("#",""), HYPERLINK(CONCATENATE("#metadata!", ADDRESS(INDEX($W$2:$W$1001,MATCH(ROWS($U$2:U934),$U$2:$U$1001,0),0), INDEX($AB$1004:$AQ$1004,1,MATCH(COLUMNS($AB$1006:AF1006),$AB$1006:$AQ$1006,0)))),"Fix")))</f>
        <v>0</v>
      </c>
      <c r="G934" s="4">
        <f>IF(OR(INDEX($V$2:$V$1001,MATCH(ROWS($U$2:U934),$U$2:$U$1001,0),1)&gt;=100000,INDEX($AB$1005:$AQ$1005,1,MATCH(COLUMNS($AB$1006:AG1006),$AB$1006:$AQ$1006,0))&gt;=100000), " ",IF(INDEX($AB$2:$AQ$1001,MATCH(ROWS($U$2:U934),$U$2:$U$1001,0),MATCH(COLUMNS($AB$1006:AG1006),$AB$1006:$AQ$1006,0)), HYPERLINK("#",""), HYPERLINK(CONCATENATE("#metadata!", ADDRESS(INDEX($W$2:$W$1001,MATCH(ROWS($U$2:U934),$U$2:$U$1001,0),0), INDEX($AB$1004:$AQ$1004,1,MATCH(COLUMNS($AB$1006:AG1006),$AB$1006:$AQ$1006,0)))),"Fix")))</f>
        <v>0</v>
      </c>
      <c r="H934" s="4">
        <f>IF(OR(INDEX($V$2:$V$1001,MATCH(ROWS($U$2:U934),$U$2:$U$1001,0),1)&gt;=100000,INDEX($AB$1005:$AQ$1005,1,MATCH(COLUMNS($AB$1006:AH1006),$AB$1006:$AQ$1006,0))&gt;=100000), " ",IF(INDEX($AB$2:$AQ$1001,MATCH(ROWS($U$2:U934),$U$2:$U$1001,0),MATCH(COLUMNS($AB$1006:AH1006),$AB$1006:$AQ$1006,0)), HYPERLINK("#",""), HYPERLINK(CONCATENATE("#metadata!", ADDRESS(INDEX($W$2:$W$1001,MATCH(ROWS($U$2:U934),$U$2:$U$1001,0),0), INDEX($AB$1004:$AQ$1004,1,MATCH(COLUMNS($AB$1006:AH1006),$AB$1006:$AQ$1006,0)))),"Fix")))</f>
        <v>0</v>
      </c>
      <c r="I934" s="4">
        <f>IF(OR(INDEX($V$2:$V$1001,MATCH(ROWS($U$2:U934),$U$2:$U$1001,0),1)&gt;=100000,INDEX($AB$1005:$AQ$1005,1,MATCH(COLUMNS($AB$1006:AI1006),$AB$1006:$AQ$1006,0))&gt;=100000), " ",IF(INDEX($AB$2:$AQ$1001,MATCH(ROWS($U$2:U934),$U$2:$U$1001,0),MATCH(COLUMNS($AB$1006:AI1006),$AB$1006:$AQ$1006,0)), HYPERLINK("#",""), HYPERLINK(CONCATENATE("#metadata!", ADDRESS(INDEX($W$2:$W$1001,MATCH(ROWS($U$2:U934),$U$2:$U$1001,0),0), INDEX($AB$1004:$AQ$1004,1,MATCH(COLUMNS($AB$1006:AI1006),$AB$1006:$AQ$1006,0)))),"Fix")))</f>
        <v>0</v>
      </c>
      <c r="J934" s="4">
        <f>IF(OR(INDEX($V$2:$V$1001,MATCH(ROWS($U$2:U934),$U$2:$U$1001,0),1)&gt;=100000,INDEX($AB$1005:$AQ$1005,1,MATCH(COLUMNS($AB$1006:AJ1006),$AB$1006:$AQ$1006,0))&gt;=100000), " ",IF(INDEX($AB$2:$AQ$1001,MATCH(ROWS($U$2:U934),$U$2:$U$1001,0),MATCH(COLUMNS($AB$1006:AJ1006),$AB$1006:$AQ$1006,0)), HYPERLINK("#",""), HYPERLINK(CONCATENATE("#metadata!", ADDRESS(INDEX($W$2:$W$1001,MATCH(ROWS($U$2:U934),$U$2:$U$1001,0),0), INDEX($AB$1004:$AQ$1004,1,MATCH(COLUMNS($AB$1006:AJ1006),$AB$1006:$AQ$1006,0)))),"Fix")))</f>
        <v>0</v>
      </c>
      <c r="K934" s="4">
        <f>IF(OR(INDEX($V$2:$V$1001,MATCH(ROWS($U$2:U934),$U$2:$U$1001,0),1)&gt;=100000,INDEX($AB$1005:$AQ$1005,1,MATCH(COLUMNS($AB$1006:AK1006),$AB$1006:$AQ$1006,0))&gt;=100000), " ",IF(INDEX($AB$2:$AQ$1001,MATCH(ROWS($U$2:U934),$U$2:$U$1001,0),MATCH(COLUMNS($AB$1006:AK1006),$AB$1006:$AQ$1006,0)), HYPERLINK("#",""), HYPERLINK(CONCATENATE("#metadata!", ADDRESS(INDEX($W$2:$W$1001,MATCH(ROWS($U$2:U934),$U$2:$U$1001,0),0), INDEX($AB$1004:$AQ$1004,1,MATCH(COLUMNS($AB$1006:AK1006),$AB$1006:$AQ$1006,0)))),"Fix")))</f>
        <v>0</v>
      </c>
      <c r="L934" s="4">
        <f>IF(OR(INDEX($V$2:$V$1001,MATCH(ROWS($U$2:U934),$U$2:$U$1001,0),1)&gt;=100000,INDEX($AB$1005:$AQ$1005,1,MATCH(COLUMNS($AB$1006:AL1006),$AB$1006:$AQ$1006,0))&gt;=100000), " ",IF(INDEX($AB$2:$AQ$1001,MATCH(ROWS($U$2:U934),$U$2:$U$1001,0),MATCH(COLUMNS($AB$1006:AL1006),$AB$1006:$AQ$1006,0)), HYPERLINK("#",""), HYPERLINK(CONCATENATE("#metadata!", ADDRESS(INDEX($W$2:$W$1001,MATCH(ROWS($U$2:U934),$U$2:$U$1001,0),0), INDEX($AB$1004:$AQ$1004,1,MATCH(COLUMNS($AB$1006:AL1006),$AB$1006:$AQ$1006,0)))),"Fix")))</f>
        <v>0</v>
      </c>
      <c r="M934" s="4">
        <f>IF(OR(INDEX($V$2:$V$1001,MATCH(ROWS($U$2:U934),$U$2:$U$1001,0),1)&gt;=100000,INDEX($AB$1005:$AQ$1005,1,MATCH(COLUMNS($AB$1006:AM1006),$AB$1006:$AQ$1006,0))&gt;=100000), " ",IF(INDEX($AB$2:$AQ$1001,MATCH(ROWS($U$2:U934),$U$2:$U$1001,0),MATCH(COLUMNS($AB$1006:AM1006),$AB$1006:$AQ$1006,0)), HYPERLINK("#",""), HYPERLINK(CONCATENATE("#metadata!", ADDRESS(INDEX($W$2:$W$1001,MATCH(ROWS($U$2:U934),$U$2:$U$1001,0),0), INDEX($AB$1004:$AQ$1004,1,MATCH(COLUMNS($AB$1006:AM1006),$AB$1006:$AQ$1006,0)))),"Fix")))</f>
        <v>0</v>
      </c>
      <c r="N934" s="4">
        <f>IF(OR(INDEX($V$2:$V$1001,MATCH(ROWS($U$2:U934),$U$2:$U$1001,0),1)&gt;=100000,INDEX($AB$1005:$AQ$1005,1,MATCH(COLUMNS($AB$1006:AN1006),$AB$1006:$AQ$1006,0))&gt;=100000), " ",IF(INDEX($AB$2:$AQ$1001,MATCH(ROWS($U$2:U934),$U$2:$U$1001,0),MATCH(COLUMNS($AB$1006:AN1006),$AB$1006:$AQ$1006,0)), HYPERLINK("#",""), HYPERLINK(CONCATENATE("#metadata!", ADDRESS(INDEX($W$2:$W$1001,MATCH(ROWS($U$2:U934),$U$2:$U$1001,0),0), INDEX($AB$1004:$AQ$1004,1,MATCH(COLUMNS($AB$1006:AN1006),$AB$1006:$AQ$1006,0)))),"Fix")))</f>
        <v>0</v>
      </c>
      <c r="O934" s="4">
        <f>IF(OR(INDEX($V$2:$V$1001,MATCH(ROWS($U$2:U934),$U$2:$U$1001,0),1)&gt;=100000,INDEX($AB$1005:$AQ$1005,1,MATCH(COLUMNS($AB$1006:AO1006),$AB$1006:$AQ$1006,0))&gt;=100000), " ",IF(INDEX($AB$2:$AQ$1001,MATCH(ROWS($U$2:U934),$U$2:$U$1001,0),MATCH(COLUMNS($AB$1006:AO1006),$AB$1006:$AQ$1006,0)), HYPERLINK("#",""), HYPERLINK(CONCATENATE("#metadata!", ADDRESS(INDEX($W$2:$W$1001,MATCH(ROWS($U$2:U934),$U$2:$U$1001,0),0), INDEX($AB$1004:$AQ$1004,1,MATCH(COLUMNS($AB$1006:AO1006),$AB$1006:$AQ$1006,0)))),"Fix")))</f>
        <v>0</v>
      </c>
      <c r="P934" s="4">
        <f>IF(OR(INDEX($V$2:$V$1001,MATCH(ROWS($U$2:U934),$U$2:$U$1001,0),1)&gt;=100000,INDEX($AB$1005:$AQ$1005,1,MATCH(COLUMNS($AB$1006:AP1006),$AB$1006:$AQ$1006,0))&gt;=100000), " ",IF(INDEX($AB$2:$AQ$1001,MATCH(ROWS($U$2:U934),$U$2:$U$1001,0),MATCH(COLUMNS($AB$1006:AP1006),$AB$1006:$AQ$1006,0)), HYPERLINK("#",""), HYPERLINK(CONCATENATE("#metadata!", ADDRESS(INDEX($W$2:$W$1001,MATCH(ROWS($U$2:U934),$U$2:$U$1001,0),0), INDEX($AB$1004:$AQ$1004,1,MATCH(COLUMNS($AB$1006:AP1006),$AB$1006:$AQ$1006,0)))),"Fix")))</f>
        <v>0</v>
      </c>
      <c r="Q934" s="4">
        <f>IF(OR(INDEX($V$2:$V$1001,MATCH(ROWS($U$2:U934),$U$2:$U$1001,0),1)&gt;=100000,INDEX($AB$1005:$AQ$1005,1,MATCH(COLUMNS($AB$1006:AQ1006),$AB$1006:$AQ$1006,0))&gt;=100000), " ",IF(INDEX($AB$2:$AQ$1001,MATCH(ROWS($U$2:U934),$U$2:$U$1001,0),MATCH(COLUMNS($AB$1006:AQ1006),$AB$1006:$AQ$1006,0)), HYPERLINK("#",""), HYPERLINK(CONCATENATE("#metadata!", ADDRESS(INDEX($W$2:$W$1001,MATCH(ROWS($U$2:U934),$U$2:$U$1001,0),0), INDEX($AB$1004:$AQ$1004,1,MATCH(COLUMNS($AB$1006:AQ1006),$AB$1006:$AQ$1006,0)))),"Fix")))</f>
        <v>0</v>
      </c>
      <c r="U934">
        <v>0</v>
      </c>
      <c r="V934">
        <v>0</v>
      </c>
      <c r="W934">
        <v>0</v>
      </c>
      <c r="X934">
        <f>IF(Y934,TRUE,AND(AB934:AQ934))</f>
        <v>0</v>
      </c>
      <c r="Y934">
        <f>COUNTBLANK(metadata!B934:Q934)=COLUMNS(metadata!B934:Q934)</f>
        <v>0</v>
      </c>
      <c r="Z934">
        <v>0</v>
      </c>
      <c r="AB934">
        <f>AND(IF(metadata!B934="",FALSE,TRUE),COUNTIF(metadata!B:B, metadata!B934) = 1,NOT(ISERROR(SUMPRODUCT(SEARCH(MID(metadata!B934,ROW(INDIRECT("1:"&amp;LEN(metadata!B934))), 1),"0123456789abcdefghijklmnopqrstuvwxyzABCDEFGHIJKLMNOPQRSTUVWXYZ.")))))</f>
        <v>0</v>
      </c>
      <c r="AC934">
        <f>OR(AND(IF(metadata!C934="",FALSE,TRUE),OR(exact(metadata!C934,"missing: not collected"),exact(metadata!C934,"missing: not provided"),exact(metadata!C934,"missing: restricted access"))),AND(IF(metadata!C934="",FALSE,TRUE),AND(AND(IFERROR(INT(LEFT(metadata!C934,4))&gt;1900,FALSE),IFERROR(INT(LEFT(metadata!C934,4))&lt;=YEAR(NOW()),FALSE)), OR(MID(metadata!C934,5,1)="", AND(AND(MID(metadata!C934,5,1)="-",IFERROR(INT(MID(metadata!C934,6,1))&gt;=0,FALSE),IFERROR(INT(MID(metadata!C934,6,1))&lt;=1,FALSE),NOT(MID(metadata!C934,7,1)=""),IFERROR(INT(MID(metadata!C934,6,2))&gt;=1,FALSE),IFERROR(INT(MID(metadata!C934,6,2))&lt;=12,FALSE)), OR(MID(metadata!C934,8,1)="", AND(AND(MID(metadata!C934,8,1)="-",IFERROR(INT(MID(metadata!C934,9,1))&gt;=0,FALSE),IFERROR(INT(MID(metadata!C934,9,1))&lt;=3,FALSE),NOT(MID(metadata!C934,10,1)=""),IFERROR(INT(MID(metadata!C934,9,2))&gt;=1,FALSE),IFERROR(INT(MID(metadata!C934,9,2))&lt;=31,FALSE)), OR(MID(metadata!C934,11,1)="", AND(AND(MID(metadata!C934,11,1)=" ",IFERROR(INT(MID(metadata!C934,12,1))&gt;=0,FALSE),IFERROR(INT(MID(metadata!C934,12,1))&lt;=2,FALSE),NOT(MID(metadata!C934,13,1)=""),IFERROR(INT(MID(metadata!C934,12,2))&gt;=0,FALSE),IFERROR(INT(MID(metadata!C934,12,2))&lt;=23,FALSE)), OR(MID(metadata!C934,14,1)="", AND(AND(MID(metadata!C934,14,1)=":",IFERROR(INT(MID(metadata!C934,15,1))&gt;=0,FALSE),IFERROR(INT(MID(metadata!C934,15,1))&lt;=5,FALSE),NOT(MID(metadata!C934,16,1)=""),IFERROR(INT(MID(metadata!C934,15,2))&gt;=0,FALSE),IFERROR(INT(MID(metadata!C934,15,2))&lt;=59,FALSE)), OR(MID(metadata!C934,17,1)="", AND(AND(MID(metadata!C934,17,1)=":",IFERROR(INT(MID(metadata!C934,18,1))&gt;=0,FALSE),IFERROR(INT(MID(metadata!C934,18,1))&lt;=5,FALSE),NOT(MID(metadata!C934,19,1)=""),IFERROR(INT(MID(metadata!C934,18,2))&gt;=0,FALSE),IFERROR(INT(MID(metadata!C934,18,2))&lt;=59,FALSE)), LEN(metadata!C934)&lt;=19)))))))))))))</f>
        <v>0</v>
      </c>
      <c r="AD934">
        <f>IF(metadata!D934="",FALSE,TRUE)</f>
        <v>0</v>
      </c>
      <c r="AE934">
        <f>OR(AND(IF(metadata!E934="",FALSE,TRUE),OR(exact(metadata!E934,"missing: not collected"),exact(metadata!E934,"missing: not provided"))),AND(IF(metadata!E934="",FALSE,TRUE),OR(exact(metadata!E934,"TRUE"),exact(metadata!E934,"FALSE"))))</f>
        <v>0</v>
      </c>
      <c r="AF934">
        <f>IF(metadata!F934="",FALSE,TRUE)</f>
        <v>0</v>
      </c>
      <c r="AG934">
        <f>IF(metadata!G934="",FALSE,TRUE)</f>
        <v>0</v>
      </c>
      <c r="AH934">
        <f>IF(metadata!H934="",FALSE,TRUE)</f>
        <v>0</v>
      </c>
      <c r="AI934">
        <f>OR(AND(IF(metadata!I934="",FALSE,TRUE),OR(exact(metadata!I934,"missing: not collected"),exact(metadata!I934,"missing: not provided"),exact(metadata!I934,"missing: restricted access"))),AND(IF(metadata!I934="",FALSE,TRUE),OR(exact(metadata!I934,"air"),exact(metadata!I934,"built environment"),exact(metadata!I934,"host-associated"),exact(metadata!I934,"human-associated"),exact(metadata!I934,"human-skin"),exact(metadata!I934,"human-oral"),exact(metadata!I934,"human-gut"),exact(metadata!I934,"human-vaginal"),exact(metadata!I934,"microbial mat/biofilm"),exact(metadata!I934,"misc environment"),exact(metadata!I934,"plant-associated"),exact(metadata!I934,"sediment"),exact(metadata!I934,"soil"),exact(metadata!I934,"wastewater/sludge"),exact(metadata!I934,"water"))))</f>
        <v>0</v>
      </c>
      <c r="AJ934">
        <f>IF(metadata!J934="",FALSE,TRUE)</f>
        <v>0</v>
      </c>
      <c r="AK934">
        <f>OR(AND(IF(metadata!K934="",FALSE,TRUE),OR(exact(metadata!K934,"missing: not collected"),exact(metadata!K934,"missing: not provided"),exact(metadata!K934,"missing: restricted access"))),AND(IF(metadata!K934="",FALSE,ISNUMBER(VALUE(metadata!K934))),metadata!K934&gt;=-90.00,metadata!K934&lt;=90.00))</f>
        <v>0</v>
      </c>
      <c r="AL934">
        <f>OR(AND(IF(metadata!L934="",FALSE,TRUE),OR(exact(metadata!L934,"missing: not collected"),exact(metadata!L934,"missing: not provided"),exact(metadata!L934,"missing: restricted access"))),AND(IF(metadata!L934="",FALSE,ISNUMBER(VALUE(metadata!L934))),metadata!L934&gt;=-180.00,metadata!L934&lt;=180.00))</f>
        <v>0</v>
      </c>
      <c r="AM934">
        <f>IF(metadata!M934="",FALSE,TRUE)</f>
        <v>0</v>
      </c>
      <c r="AN934">
        <f>OR(AND(IF(metadata!N934="",FALSE,TRUE),OR(exact(metadata!N934,"missing: not collected"),exact(metadata!N934,"missing: not provided"),exact(metadata!N934,"missing: restricted access"))),AND(IF(metadata!N934="",FALSE,TRUE),OR(exact(metadata!N934,"TRUE"),exact(metadata!N934,"FALSE"))))</f>
        <v>0</v>
      </c>
      <c r="AO934">
        <f>IF(metadata!O934="",FALSE,TRUE)</f>
        <v>0</v>
      </c>
      <c r="AP934">
        <f>OR(AND(IF(metadata!P934="",FALSE,TRUE),OR(exact(metadata!P934,"missing: not collected"),exact(metadata!P934,"missing: not provided"))),AND(IF(metadata!P934="",FALSE,IF(ISERROR(INT(metadata!P934)),FALSE,INT(metadata!P934)=metadata!P934)),metadata!P934&gt;0))</f>
        <v>0</v>
      </c>
      <c r="AQ934">
        <f>IF(metadata!Q934="",FALSE,TRUE)</f>
        <v>0</v>
      </c>
    </row>
    <row r="935" spans="1:43">
      <c r="A935" s="5">
        <f>IF(B935=" "," ",HYPERLINK(CONCATENATE("#metadata!",ADDRESS(INDEX($W$2:$W$1001,MATCH(ROWS($U$2:U935),$U$2:$U$1001,0),0),1)),INDEX($Z$2:$Z$1001,MATCH(ROWS($U$2:U935),$U$2:$U$1001,0),0)))</f>
        <v>0</v>
      </c>
      <c r="B935" s="4">
        <f>IF(OR(INDEX($V$2:$V$1001,MATCH(ROWS($U$2:U935),$U$2:$U$1001,0),1)&gt;=100000,INDEX($AB$1005:$AQ$1005,1,MATCH(COLUMNS($AB$1006:AB1006),$AB$1006:$AQ$1006,0))&gt;=100000), " ",IF(INDEX($AB$2:$AQ$1001,MATCH(ROWS($U$2:U935),$U$2:$U$1001,0),MATCH(COLUMNS($AB$1006:AB1006),$AB$1006:$AQ$1006,0)), HYPERLINK("#",""), HYPERLINK(CONCATENATE("#metadata!", ADDRESS(INDEX($W$2:$W$1001,MATCH(ROWS($U$2:U935),$U$2:$U$1001,0),0), INDEX($AB$1004:$AQ$1004,1,MATCH(COLUMNS($AB$1006:AB1006),$AB$1006:$AQ$1006,0)))),"Fix")))</f>
        <v>0</v>
      </c>
      <c r="C935" s="4">
        <f>IF(OR(INDEX($V$2:$V$1001,MATCH(ROWS($U$2:U935),$U$2:$U$1001,0),1)&gt;=100000,INDEX($AB$1005:$AQ$1005,1,MATCH(COLUMNS($AB$1006:AC1006),$AB$1006:$AQ$1006,0))&gt;=100000), " ",IF(INDEX($AB$2:$AQ$1001,MATCH(ROWS($U$2:U935),$U$2:$U$1001,0),MATCH(COLUMNS($AB$1006:AC1006),$AB$1006:$AQ$1006,0)), HYPERLINK("#",""), HYPERLINK(CONCATENATE("#metadata!", ADDRESS(INDEX($W$2:$W$1001,MATCH(ROWS($U$2:U935),$U$2:$U$1001,0),0), INDEX($AB$1004:$AQ$1004,1,MATCH(COLUMNS($AB$1006:AC1006),$AB$1006:$AQ$1006,0)))),"Fix")))</f>
        <v>0</v>
      </c>
      <c r="D935" s="4">
        <f>IF(OR(INDEX($V$2:$V$1001,MATCH(ROWS($U$2:U935),$U$2:$U$1001,0),1)&gt;=100000,INDEX($AB$1005:$AQ$1005,1,MATCH(COLUMNS($AB$1006:AD1006),$AB$1006:$AQ$1006,0))&gt;=100000), " ",IF(INDEX($AB$2:$AQ$1001,MATCH(ROWS($U$2:U935),$U$2:$U$1001,0),MATCH(COLUMNS($AB$1006:AD1006),$AB$1006:$AQ$1006,0)), HYPERLINK("#",""), HYPERLINK(CONCATENATE("#metadata!", ADDRESS(INDEX($W$2:$W$1001,MATCH(ROWS($U$2:U935),$U$2:$U$1001,0),0), INDEX($AB$1004:$AQ$1004,1,MATCH(COLUMNS($AB$1006:AD1006),$AB$1006:$AQ$1006,0)))),"Fix")))</f>
        <v>0</v>
      </c>
      <c r="E935" s="4">
        <f>IF(OR(INDEX($V$2:$V$1001,MATCH(ROWS($U$2:U935),$U$2:$U$1001,0),1)&gt;=100000,INDEX($AB$1005:$AQ$1005,1,MATCH(COLUMNS($AB$1006:AE1006),$AB$1006:$AQ$1006,0))&gt;=100000), " ",IF(INDEX($AB$2:$AQ$1001,MATCH(ROWS($U$2:U935),$U$2:$U$1001,0),MATCH(COLUMNS($AB$1006:AE1006),$AB$1006:$AQ$1006,0)), HYPERLINK("#",""), HYPERLINK(CONCATENATE("#metadata!", ADDRESS(INDEX($W$2:$W$1001,MATCH(ROWS($U$2:U935),$U$2:$U$1001,0),0), INDEX($AB$1004:$AQ$1004,1,MATCH(COLUMNS($AB$1006:AE1006),$AB$1006:$AQ$1006,0)))),"Fix")))</f>
        <v>0</v>
      </c>
      <c r="F935" s="4">
        <f>IF(OR(INDEX($V$2:$V$1001,MATCH(ROWS($U$2:U935),$U$2:$U$1001,0),1)&gt;=100000,INDEX($AB$1005:$AQ$1005,1,MATCH(COLUMNS($AB$1006:AF1006),$AB$1006:$AQ$1006,0))&gt;=100000), " ",IF(INDEX($AB$2:$AQ$1001,MATCH(ROWS($U$2:U935),$U$2:$U$1001,0),MATCH(COLUMNS($AB$1006:AF1006),$AB$1006:$AQ$1006,0)), HYPERLINK("#",""), HYPERLINK(CONCATENATE("#metadata!", ADDRESS(INDEX($W$2:$W$1001,MATCH(ROWS($U$2:U935),$U$2:$U$1001,0),0), INDEX($AB$1004:$AQ$1004,1,MATCH(COLUMNS($AB$1006:AF1006),$AB$1006:$AQ$1006,0)))),"Fix")))</f>
        <v>0</v>
      </c>
      <c r="G935" s="4">
        <f>IF(OR(INDEX($V$2:$V$1001,MATCH(ROWS($U$2:U935),$U$2:$U$1001,0),1)&gt;=100000,INDEX($AB$1005:$AQ$1005,1,MATCH(COLUMNS($AB$1006:AG1006),$AB$1006:$AQ$1006,0))&gt;=100000), " ",IF(INDEX($AB$2:$AQ$1001,MATCH(ROWS($U$2:U935),$U$2:$U$1001,0),MATCH(COLUMNS($AB$1006:AG1006),$AB$1006:$AQ$1006,0)), HYPERLINK("#",""), HYPERLINK(CONCATENATE("#metadata!", ADDRESS(INDEX($W$2:$W$1001,MATCH(ROWS($U$2:U935),$U$2:$U$1001,0),0), INDEX($AB$1004:$AQ$1004,1,MATCH(COLUMNS($AB$1006:AG1006),$AB$1006:$AQ$1006,0)))),"Fix")))</f>
        <v>0</v>
      </c>
      <c r="H935" s="4">
        <f>IF(OR(INDEX($V$2:$V$1001,MATCH(ROWS($U$2:U935),$U$2:$U$1001,0),1)&gt;=100000,INDEX($AB$1005:$AQ$1005,1,MATCH(COLUMNS($AB$1006:AH1006),$AB$1006:$AQ$1006,0))&gt;=100000), " ",IF(INDEX($AB$2:$AQ$1001,MATCH(ROWS($U$2:U935),$U$2:$U$1001,0),MATCH(COLUMNS($AB$1006:AH1006),$AB$1006:$AQ$1006,0)), HYPERLINK("#",""), HYPERLINK(CONCATENATE("#metadata!", ADDRESS(INDEX($W$2:$W$1001,MATCH(ROWS($U$2:U935),$U$2:$U$1001,0),0), INDEX($AB$1004:$AQ$1004,1,MATCH(COLUMNS($AB$1006:AH1006),$AB$1006:$AQ$1006,0)))),"Fix")))</f>
        <v>0</v>
      </c>
      <c r="I935" s="4">
        <f>IF(OR(INDEX($V$2:$V$1001,MATCH(ROWS($U$2:U935),$U$2:$U$1001,0),1)&gt;=100000,INDEX($AB$1005:$AQ$1005,1,MATCH(COLUMNS($AB$1006:AI1006),$AB$1006:$AQ$1006,0))&gt;=100000), " ",IF(INDEX($AB$2:$AQ$1001,MATCH(ROWS($U$2:U935),$U$2:$U$1001,0),MATCH(COLUMNS($AB$1006:AI1006),$AB$1006:$AQ$1006,0)), HYPERLINK("#",""), HYPERLINK(CONCATENATE("#metadata!", ADDRESS(INDEX($W$2:$W$1001,MATCH(ROWS($U$2:U935),$U$2:$U$1001,0),0), INDEX($AB$1004:$AQ$1004,1,MATCH(COLUMNS($AB$1006:AI1006),$AB$1006:$AQ$1006,0)))),"Fix")))</f>
        <v>0</v>
      </c>
      <c r="J935" s="4">
        <f>IF(OR(INDEX($V$2:$V$1001,MATCH(ROWS($U$2:U935),$U$2:$U$1001,0),1)&gt;=100000,INDEX($AB$1005:$AQ$1005,1,MATCH(COLUMNS($AB$1006:AJ1006),$AB$1006:$AQ$1006,0))&gt;=100000), " ",IF(INDEX($AB$2:$AQ$1001,MATCH(ROWS($U$2:U935),$U$2:$U$1001,0),MATCH(COLUMNS($AB$1006:AJ1006),$AB$1006:$AQ$1006,0)), HYPERLINK("#",""), HYPERLINK(CONCATENATE("#metadata!", ADDRESS(INDEX($W$2:$W$1001,MATCH(ROWS($U$2:U935),$U$2:$U$1001,0),0), INDEX($AB$1004:$AQ$1004,1,MATCH(COLUMNS($AB$1006:AJ1006),$AB$1006:$AQ$1006,0)))),"Fix")))</f>
        <v>0</v>
      </c>
      <c r="K935" s="4">
        <f>IF(OR(INDEX($V$2:$V$1001,MATCH(ROWS($U$2:U935),$U$2:$U$1001,0),1)&gt;=100000,INDEX($AB$1005:$AQ$1005,1,MATCH(COLUMNS($AB$1006:AK1006),$AB$1006:$AQ$1006,0))&gt;=100000), " ",IF(INDEX($AB$2:$AQ$1001,MATCH(ROWS($U$2:U935),$U$2:$U$1001,0),MATCH(COLUMNS($AB$1006:AK1006),$AB$1006:$AQ$1006,0)), HYPERLINK("#",""), HYPERLINK(CONCATENATE("#metadata!", ADDRESS(INDEX($W$2:$W$1001,MATCH(ROWS($U$2:U935),$U$2:$U$1001,0),0), INDEX($AB$1004:$AQ$1004,1,MATCH(COLUMNS($AB$1006:AK1006),$AB$1006:$AQ$1006,0)))),"Fix")))</f>
        <v>0</v>
      </c>
      <c r="L935" s="4">
        <f>IF(OR(INDEX($V$2:$V$1001,MATCH(ROWS($U$2:U935),$U$2:$U$1001,0),1)&gt;=100000,INDEX($AB$1005:$AQ$1005,1,MATCH(COLUMNS($AB$1006:AL1006),$AB$1006:$AQ$1006,0))&gt;=100000), " ",IF(INDEX($AB$2:$AQ$1001,MATCH(ROWS($U$2:U935),$U$2:$U$1001,0),MATCH(COLUMNS($AB$1006:AL1006),$AB$1006:$AQ$1006,0)), HYPERLINK("#",""), HYPERLINK(CONCATENATE("#metadata!", ADDRESS(INDEX($W$2:$W$1001,MATCH(ROWS($U$2:U935),$U$2:$U$1001,0),0), INDEX($AB$1004:$AQ$1004,1,MATCH(COLUMNS($AB$1006:AL1006),$AB$1006:$AQ$1006,0)))),"Fix")))</f>
        <v>0</v>
      </c>
      <c r="M935" s="4">
        <f>IF(OR(INDEX($V$2:$V$1001,MATCH(ROWS($U$2:U935),$U$2:$U$1001,0),1)&gt;=100000,INDEX($AB$1005:$AQ$1005,1,MATCH(COLUMNS($AB$1006:AM1006),$AB$1006:$AQ$1006,0))&gt;=100000), " ",IF(INDEX($AB$2:$AQ$1001,MATCH(ROWS($U$2:U935),$U$2:$U$1001,0),MATCH(COLUMNS($AB$1006:AM1006),$AB$1006:$AQ$1006,0)), HYPERLINK("#",""), HYPERLINK(CONCATENATE("#metadata!", ADDRESS(INDEX($W$2:$W$1001,MATCH(ROWS($U$2:U935),$U$2:$U$1001,0),0), INDEX($AB$1004:$AQ$1004,1,MATCH(COLUMNS($AB$1006:AM1006),$AB$1006:$AQ$1006,0)))),"Fix")))</f>
        <v>0</v>
      </c>
      <c r="N935" s="4">
        <f>IF(OR(INDEX($V$2:$V$1001,MATCH(ROWS($U$2:U935),$U$2:$U$1001,0),1)&gt;=100000,INDEX($AB$1005:$AQ$1005,1,MATCH(COLUMNS($AB$1006:AN1006),$AB$1006:$AQ$1006,0))&gt;=100000), " ",IF(INDEX($AB$2:$AQ$1001,MATCH(ROWS($U$2:U935),$U$2:$U$1001,0),MATCH(COLUMNS($AB$1006:AN1006),$AB$1006:$AQ$1006,0)), HYPERLINK("#",""), HYPERLINK(CONCATENATE("#metadata!", ADDRESS(INDEX($W$2:$W$1001,MATCH(ROWS($U$2:U935),$U$2:$U$1001,0),0), INDEX($AB$1004:$AQ$1004,1,MATCH(COLUMNS($AB$1006:AN1006),$AB$1006:$AQ$1006,0)))),"Fix")))</f>
        <v>0</v>
      </c>
      <c r="O935" s="4">
        <f>IF(OR(INDEX($V$2:$V$1001,MATCH(ROWS($U$2:U935),$U$2:$U$1001,0),1)&gt;=100000,INDEX($AB$1005:$AQ$1005,1,MATCH(COLUMNS($AB$1006:AO1006),$AB$1006:$AQ$1006,0))&gt;=100000), " ",IF(INDEX($AB$2:$AQ$1001,MATCH(ROWS($U$2:U935),$U$2:$U$1001,0),MATCH(COLUMNS($AB$1006:AO1006),$AB$1006:$AQ$1006,0)), HYPERLINK("#",""), HYPERLINK(CONCATENATE("#metadata!", ADDRESS(INDEX($W$2:$W$1001,MATCH(ROWS($U$2:U935),$U$2:$U$1001,0),0), INDEX($AB$1004:$AQ$1004,1,MATCH(COLUMNS($AB$1006:AO1006),$AB$1006:$AQ$1006,0)))),"Fix")))</f>
        <v>0</v>
      </c>
      <c r="P935" s="4">
        <f>IF(OR(INDEX($V$2:$V$1001,MATCH(ROWS($U$2:U935),$U$2:$U$1001,0),1)&gt;=100000,INDEX($AB$1005:$AQ$1005,1,MATCH(COLUMNS($AB$1006:AP1006),$AB$1006:$AQ$1006,0))&gt;=100000), " ",IF(INDEX($AB$2:$AQ$1001,MATCH(ROWS($U$2:U935),$U$2:$U$1001,0),MATCH(COLUMNS($AB$1006:AP1006),$AB$1006:$AQ$1006,0)), HYPERLINK("#",""), HYPERLINK(CONCATENATE("#metadata!", ADDRESS(INDEX($W$2:$W$1001,MATCH(ROWS($U$2:U935),$U$2:$U$1001,0),0), INDEX($AB$1004:$AQ$1004,1,MATCH(COLUMNS($AB$1006:AP1006),$AB$1006:$AQ$1006,0)))),"Fix")))</f>
        <v>0</v>
      </c>
      <c r="Q935" s="4">
        <f>IF(OR(INDEX($V$2:$V$1001,MATCH(ROWS($U$2:U935),$U$2:$U$1001,0),1)&gt;=100000,INDEX($AB$1005:$AQ$1005,1,MATCH(COLUMNS($AB$1006:AQ1006),$AB$1006:$AQ$1006,0))&gt;=100000), " ",IF(INDEX($AB$2:$AQ$1001,MATCH(ROWS($U$2:U935),$U$2:$U$1001,0),MATCH(COLUMNS($AB$1006:AQ1006),$AB$1006:$AQ$1006,0)), HYPERLINK("#",""), HYPERLINK(CONCATENATE("#metadata!", ADDRESS(INDEX($W$2:$W$1001,MATCH(ROWS($U$2:U935),$U$2:$U$1001,0),0), INDEX($AB$1004:$AQ$1004,1,MATCH(COLUMNS($AB$1006:AQ1006),$AB$1006:$AQ$1006,0)))),"Fix")))</f>
        <v>0</v>
      </c>
      <c r="U935">
        <v>0</v>
      </c>
      <c r="V935">
        <v>0</v>
      </c>
      <c r="W935">
        <v>0</v>
      </c>
      <c r="X935">
        <f>IF(Y935,TRUE,AND(AB935:AQ935))</f>
        <v>0</v>
      </c>
      <c r="Y935">
        <f>COUNTBLANK(metadata!B935:Q935)=COLUMNS(metadata!B935:Q935)</f>
        <v>0</v>
      </c>
      <c r="Z935">
        <v>0</v>
      </c>
      <c r="AB935">
        <f>AND(IF(metadata!B935="",FALSE,TRUE),COUNTIF(metadata!B:B, metadata!B935) = 1,NOT(ISERROR(SUMPRODUCT(SEARCH(MID(metadata!B935,ROW(INDIRECT("1:"&amp;LEN(metadata!B935))), 1),"0123456789abcdefghijklmnopqrstuvwxyzABCDEFGHIJKLMNOPQRSTUVWXYZ.")))))</f>
        <v>0</v>
      </c>
      <c r="AC935">
        <f>OR(AND(IF(metadata!C935="",FALSE,TRUE),OR(exact(metadata!C935,"missing: not collected"),exact(metadata!C935,"missing: not provided"),exact(metadata!C935,"missing: restricted access"))),AND(IF(metadata!C935="",FALSE,TRUE),AND(AND(IFERROR(INT(LEFT(metadata!C935,4))&gt;1900,FALSE),IFERROR(INT(LEFT(metadata!C935,4))&lt;=YEAR(NOW()),FALSE)), OR(MID(metadata!C935,5,1)="", AND(AND(MID(metadata!C935,5,1)="-",IFERROR(INT(MID(metadata!C935,6,1))&gt;=0,FALSE),IFERROR(INT(MID(metadata!C935,6,1))&lt;=1,FALSE),NOT(MID(metadata!C935,7,1)=""),IFERROR(INT(MID(metadata!C935,6,2))&gt;=1,FALSE),IFERROR(INT(MID(metadata!C935,6,2))&lt;=12,FALSE)), OR(MID(metadata!C935,8,1)="", AND(AND(MID(metadata!C935,8,1)="-",IFERROR(INT(MID(metadata!C935,9,1))&gt;=0,FALSE),IFERROR(INT(MID(metadata!C935,9,1))&lt;=3,FALSE),NOT(MID(metadata!C935,10,1)=""),IFERROR(INT(MID(metadata!C935,9,2))&gt;=1,FALSE),IFERROR(INT(MID(metadata!C935,9,2))&lt;=31,FALSE)), OR(MID(metadata!C935,11,1)="", AND(AND(MID(metadata!C935,11,1)=" ",IFERROR(INT(MID(metadata!C935,12,1))&gt;=0,FALSE),IFERROR(INT(MID(metadata!C935,12,1))&lt;=2,FALSE),NOT(MID(metadata!C935,13,1)=""),IFERROR(INT(MID(metadata!C935,12,2))&gt;=0,FALSE),IFERROR(INT(MID(metadata!C935,12,2))&lt;=23,FALSE)), OR(MID(metadata!C935,14,1)="", AND(AND(MID(metadata!C935,14,1)=":",IFERROR(INT(MID(metadata!C935,15,1))&gt;=0,FALSE),IFERROR(INT(MID(metadata!C935,15,1))&lt;=5,FALSE),NOT(MID(metadata!C935,16,1)=""),IFERROR(INT(MID(metadata!C935,15,2))&gt;=0,FALSE),IFERROR(INT(MID(metadata!C935,15,2))&lt;=59,FALSE)), OR(MID(metadata!C935,17,1)="", AND(AND(MID(metadata!C935,17,1)=":",IFERROR(INT(MID(metadata!C935,18,1))&gt;=0,FALSE),IFERROR(INT(MID(metadata!C935,18,1))&lt;=5,FALSE),NOT(MID(metadata!C935,19,1)=""),IFERROR(INT(MID(metadata!C935,18,2))&gt;=0,FALSE),IFERROR(INT(MID(metadata!C935,18,2))&lt;=59,FALSE)), LEN(metadata!C935)&lt;=19)))))))))))))</f>
        <v>0</v>
      </c>
      <c r="AD935">
        <f>IF(metadata!D935="",FALSE,TRUE)</f>
        <v>0</v>
      </c>
      <c r="AE935">
        <f>OR(AND(IF(metadata!E935="",FALSE,TRUE),OR(exact(metadata!E935,"missing: not collected"),exact(metadata!E935,"missing: not provided"))),AND(IF(metadata!E935="",FALSE,TRUE),OR(exact(metadata!E935,"TRUE"),exact(metadata!E935,"FALSE"))))</f>
        <v>0</v>
      </c>
      <c r="AF935">
        <f>IF(metadata!F935="",FALSE,TRUE)</f>
        <v>0</v>
      </c>
      <c r="AG935">
        <f>IF(metadata!G935="",FALSE,TRUE)</f>
        <v>0</v>
      </c>
      <c r="AH935">
        <f>IF(metadata!H935="",FALSE,TRUE)</f>
        <v>0</v>
      </c>
      <c r="AI935">
        <f>OR(AND(IF(metadata!I935="",FALSE,TRUE),OR(exact(metadata!I935,"missing: not collected"),exact(metadata!I935,"missing: not provided"),exact(metadata!I935,"missing: restricted access"))),AND(IF(metadata!I935="",FALSE,TRUE),OR(exact(metadata!I935,"air"),exact(metadata!I935,"built environment"),exact(metadata!I935,"host-associated"),exact(metadata!I935,"human-associated"),exact(metadata!I935,"human-skin"),exact(metadata!I935,"human-oral"),exact(metadata!I935,"human-gut"),exact(metadata!I935,"human-vaginal"),exact(metadata!I935,"microbial mat/biofilm"),exact(metadata!I935,"misc environment"),exact(metadata!I935,"plant-associated"),exact(metadata!I935,"sediment"),exact(metadata!I935,"soil"),exact(metadata!I935,"wastewater/sludge"),exact(metadata!I935,"water"))))</f>
        <v>0</v>
      </c>
      <c r="AJ935">
        <f>IF(metadata!J935="",FALSE,TRUE)</f>
        <v>0</v>
      </c>
      <c r="AK935">
        <f>OR(AND(IF(metadata!K935="",FALSE,TRUE),OR(exact(metadata!K935,"missing: not collected"),exact(metadata!K935,"missing: not provided"),exact(metadata!K935,"missing: restricted access"))),AND(IF(metadata!K935="",FALSE,ISNUMBER(VALUE(metadata!K935))),metadata!K935&gt;=-90.00,metadata!K935&lt;=90.00))</f>
        <v>0</v>
      </c>
      <c r="AL935">
        <f>OR(AND(IF(metadata!L935="",FALSE,TRUE),OR(exact(metadata!L935,"missing: not collected"),exact(metadata!L935,"missing: not provided"),exact(metadata!L935,"missing: restricted access"))),AND(IF(metadata!L935="",FALSE,ISNUMBER(VALUE(metadata!L935))),metadata!L935&gt;=-180.00,metadata!L935&lt;=180.00))</f>
        <v>0</v>
      </c>
      <c r="AM935">
        <f>IF(metadata!M935="",FALSE,TRUE)</f>
        <v>0</v>
      </c>
      <c r="AN935">
        <f>OR(AND(IF(metadata!N935="",FALSE,TRUE),OR(exact(metadata!N935,"missing: not collected"),exact(metadata!N935,"missing: not provided"),exact(metadata!N935,"missing: restricted access"))),AND(IF(metadata!N935="",FALSE,TRUE),OR(exact(metadata!N935,"TRUE"),exact(metadata!N935,"FALSE"))))</f>
        <v>0</v>
      </c>
      <c r="AO935">
        <f>IF(metadata!O935="",FALSE,TRUE)</f>
        <v>0</v>
      </c>
      <c r="AP935">
        <f>OR(AND(IF(metadata!P935="",FALSE,TRUE),OR(exact(metadata!P935,"missing: not collected"),exact(metadata!P935,"missing: not provided"))),AND(IF(metadata!P935="",FALSE,IF(ISERROR(INT(metadata!P935)),FALSE,INT(metadata!P935)=metadata!P935)),metadata!P935&gt;0))</f>
        <v>0</v>
      </c>
      <c r="AQ935">
        <f>IF(metadata!Q935="",FALSE,TRUE)</f>
        <v>0</v>
      </c>
    </row>
    <row r="936" spans="1:43">
      <c r="A936" s="5">
        <f>IF(B936=" "," ",HYPERLINK(CONCATENATE("#metadata!",ADDRESS(INDEX($W$2:$W$1001,MATCH(ROWS($U$2:U936),$U$2:$U$1001,0),0),1)),INDEX($Z$2:$Z$1001,MATCH(ROWS($U$2:U936),$U$2:$U$1001,0),0)))</f>
        <v>0</v>
      </c>
      <c r="B936" s="4">
        <f>IF(OR(INDEX($V$2:$V$1001,MATCH(ROWS($U$2:U936),$U$2:$U$1001,0),1)&gt;=100000,INDEX($AB$1005:$AQ$1005,1,MATCH(COLUMNS($AB$1006:AB1006),$AB$1006:$AQ$1006,0))&gt;=100000), " ",IF(INDEX($AB$2:$AQ$1001,MATCH(ROWS($U$2:U936),$U$2:$U$1001,0),MATCH(COLUMNS($AB$1006:AB1006),$AB$1006:$AQ$1006,0)), HYPERLINK("#",""), HYPERLINK(CONCATENATE("#metadata!", ADDRESS(INDEX($W$2:$W$1001,MATCH(ROWS($U$2:U936),$U$2:$U$1001,0),0), INDEX($AB$1004:$AQ$1004,1,MATCH(COLUMNS($AB$1006:AB1006),$AB$1006:$AQ$1006,0)))),"Fix")))</f>
        <v>0</v>
      </c>
      <c r="C936" s="4">
        <f>IF(OR(INDEX($V$2:$V$1001,MATCH(ROWS($U$2:U936),$U$2:$U$1001,0),1)&gt;=100000,INDEX($AB$1005:$AQ$1005,1,MATCH(COLUMNS($AB$1006:AC1006),$AB$1006:$AQ$1006,0))&gt;=100000), " ",IF(INDEX($AB$2:$AQ$1001,MATCH(ROWS($U$2:U936),$U$2:$U$1001,0),MATCH(COLUMNS($AB$1006:AC1006),$AB$1006:$AQ$1006,0)), HYPERLINK("#",""), HYPERLINK(CONCATENATE("#metadata!", ADDRESS(INDEX($W$2:$W$1001,MATCH(ROWS($U$2:U936),$U$2:$U$1001,0),0), INDEX($AB$1004:$AQ$1004,1,MATCH(COLUMNS($AB$1006:AC1006),$AB$1006:$AQ$1006,0)))),"Fix")))</f>
        <v>0</v>
      </c>
      <c r="D936" s="4">
        <f>IF(OR(INDEX($V$2:$V$1001,MATCH(ROWS($U$2:U936),$U$2:$U$1001,0),1)&gt;=100000,INDEX($AB$1005:$AQ$1005,1,MATCH(COLUMNS($AB$1006:AD1006),$AB$1006:$AQ$1006,0))&gt;=100000), " ",IF(INDEX($AB$2:$AQ$1001,MATCH(ROWS($U$2:U936),$U$2:$U$1001,0),MATCH(COLUMNS($AB$1006:AD1006),$AB$1006:$AQ$1006,0)), HYPERLINK("#",""), HYPERLINK(CONCATENATE("#metadata!", ADDRESS(INDEX($W$2:$W$1001,MATCH(ROWS($U$2:U936),$U$2:$U$1001,0),0), INDEX($AB$1004:$AQ$1004,1,MATCH(COLUMNS($AB$1006:AD1006),$AB$1006:$AQ$1006,0)))),"Fix")))</f>
        <v>0</v>
      </c>
      <c r="E936" s="4">
        <f>IF(OR(INDEX($V$2:$V$1001,MATCH(ROWS($U$2:U936),$U$2:$U$1001,0),1)&gt;=100000,INDEX($AB$1005:$AQ$1005,1,MATCH(COLUMNS($AB$1006:AE1006),$AB$1006:$AQ$1006,0))&gt;=100000), " ",IF(INDEX($AB$2:$AQ$1001,MATCH(ROWS($U$2:U936),$U$2:$U$1001,0),MATCH(COLUMNS($AB$1006:AE1006),$AB$1006:$AQ$1006,0)), HYPERLINK("#",""), HYPERLINK(CONCATENATE("#metadata!", ADDRESS(INDEX($W$2:$W$1001,MATCH(ROWS($U$2:U936),$U$2:$U$1001,0),0), INDEX($AB$1004:$AQ$1004,1,MATCH(COLUMNS($AB$1006:AE1006),$AB$1006:$AQ$1006,0)))),"Fix")))</f>
        <v>0</v>
      </c>
      <c r="F936" s="4">
        <f>IF(OR(INDEX($V$2:$V$1001,MATCH(ROWS($U$2:U936),$U$2:$U$1001,0),1)&gt;=100000,INDEX($AB$1005:$AQ$1005,1,MATCH(COLUMNS($AB$1006:AF1006),$AB$1006:$AQ$1006,0))&gt;=100000), " ",IF(INDEX($AB$2:$AQ$1001,MATCH(ROWS($U$2:U936),$U$2:$U$1001,0),MATCH(COLUMNS($AB$1006:AF1006),$AB$1006:$AQ$1006,0)), HYPERLINK("#",""), HYPERLINK(CONCATENATE("#metadata!", ADDRESS(INDEX($W$2:$W$1001,MATCH(ROWS($U$2:U936),$U$2:$U$1001,0),0), INDEX($AB$1004:$AQ$1004,1,MATCH(COLUMNS($AB$1006:AF1006),$AB$1006:$AQ$1006,0)))),"Fix")))</f>
        <v>0</v>
      </c>
      <c r="G936" s="4">
        <f>IF(OR(INDEX($V$2:$V$1001,MATCH(ROWS($U$2:U936),$U$2:$U$1001,0),1)&gt;=100000,INDEX($AB$1005:$AQ$1005,1,MATCH(COLUMNS($AB$1006:AG1006),$AB$1006:$AQ$1006,0))&gt;=100000), " ",IF(INDEX($AB$2:$AQ$1001,MATCH(ROWS($U$2:U936),$U$2:$U$1001,0),MATCH(COLUMNS($AB$1006:AG1006),$AB$1006:$AQ$1006,0)), HYPERLINK("#",""), HYPERLINK(CONCATENATE("#metadata!", ADDRESS(INDEX($W$2:$W$1001,MATCH(ROWS($U$2:U936),$U$2:$U$1001,0),0), INDEX($AB$1004:$AQ$1004,1,MATCH(COLUMNS($AB$1006:AG1006),$AB$1006:$AQ$1006,0)))),"Fix")))</f>
        <v>0</v>
      </c>
      <c r="H936" s="4">
        <f>IF(OR(INDEX($V$2:$V$1001,MATCH(ROWS($U$2:U936),$U$2:$U$1001,0),1)&gt;=100000,INDEX($AB$1005:$AQ$1005,1,MATCH(COLUMNS($AB$1006:AH1006),$AB$1006:$AQ$1006,0))&gt;=100000), " ",IF(INDEX($AB$2:$AQ$1001,MATCH(ROWS($U$2:U936),$U$2:$U$1001,0),MATCH(COLUMNS($AB$1006:AH1006),$AB$1006:$AQ$1006,0)), HYPERLINK("#",""), HYPERLINK(CONCATENATE("#metadata!", ADDRESS(INDEX($W$2:$W$1001,MATCH(ROWS($U$2:U936),$U$2:$U$1001,0),0), INDEX($AB$1004:$AQ$1004,1,MATCH(COLUMNS($AB$1006:AH1006),$AB$1006:$AQ$1006,0)))),"Fix")))</f>
        <v>0</v>
      </c>
      <c r="I936" s="4">
        <f>IF(OR(INDEX($V$2:$V$1001,MATCH(ROWS($U$2:U936),$U$2:$U$1001,0),1)&gt;=100000,INDEX($AB$1005:$AQ$1005,1,MATCH(COLUMNS($AB$1006:AI1006),$AB$1006:$AQ$1006,0))&gt;=100000), " ",IF(INDEX($AB$2:$AQ$1001,MATCH(ROWS($U$2:U936),$U$2:$U$1001,0),MATCH(COLUMNS($AB$1006:AI1006),$AB$1006:$AQ$1006,0)), HYPERLINK("#",""), HYPERLINK(CONCATENATE("#metadata!", ADDRESS(INDEX($W$2:$W$1001,MATCH(ROWS($U$2:U936),$U$2:$U$1001,0),0), INDEX($AB$1004:$AQ$1004,1,MATCH(COLUMNS($AB$1006:AI1006),$AB$1006:$AQ$1006,0)))),"Fix")))</f>
        <v>0</v>
      </c>
      <c r="J936" s="4">
        <f>IF(OR(INDEX($V$2:$V$1001,MATCH(ROWS($U$2:U936),$U$2:$U$1001,0),1)&gt;=100000,INDEX($AB$1005:$AQ$1005,1,MATCH(COLUMNS($AB$1006:AJ1006),$AB$1006:$AQ$1006,0))&gt;=100000), " ",IF(INDEX($AB$2:$AQ$1001,MATCH(ROWS($U$2:U936),$U$2:$U$1001,0),MATCH(COLUMNS($AB$1006:AJ1006),$AB$1006:$AQ$1006,0)), HYPERLINK("#",""), HYPERLINK(CONCATENATE("#metadata!", ADDRESS(INDEX($W$2:$W$1001,MATCH(ROWS($U$2:U936),$U$2:$U$1001,0),0), INDEX($AB$1004:$AQ$1004,1,MATCH(COLUMNS($AB$1006:AJ1006),$AB$1006:$AQ$1006,0)))),"Fix")))</f>
        <v>0</v>
      </c>
      <c r="K936" s="4">
        <f>IF(OR(INDEX($V$2:$V$1001,MATCH(ROWS($U$2:U936),$U$2:$U$1001,0),1)&gt;=100000,INDEX($AB$1005:$AQ$1005,1,MATCH(COLUMNS($AB$1006:AK1006),$AB$1006:$AQ$1006,0))&gt;=100000), " ",IF(INDEX($AB$2:$AQ$1001,MATCH(ROWS($U$2:U936),$U$2:$U$1001,0),MATCH(COLUMNS($AB$1006:AK1006),$AB$1006:$AQ$1006,0)), HYPERLINK("#",""), HYPERLINK(CONCATENATE("#metadata!", ADDRESS(INDEX($W$2:$W$1001,MATCH(ROWS($U$2:U936),$U$2:$U$1001,0),0), INDEX($AB$1004:$AQ$1004,1,MATCH(COLUMNS($AB$1006:AK1006),$AB$1006:$AQ$1006,0)))),"Fix")))</f>
        <v>0</v>
      </c>
      <c r="L936" s="4">
        <f>IF(OR(INDEX($V$2:$V$1001,MATCH(ROWS($U$2:U936),$U$2:$U$1001,0),1)&gt;=100000,INDEX($AB$1005:$AQ$1005,1,MATCH(COLUMNS($AB$1006:AL1006),$AB$1006:$AQ$1006,0))&gt;=100000), " ",IF(INDEX($AB$2:$AQ$1001,MATCH(ROWS($U$2:U936),$U$2:$U$1001,0),MATCH(COLUMNS($AB$1006:AL1006),$AB$1006:$AQ$1006,0)), HYPERLINK("#",""), HYPERLINK(CONCATENATE("#metadata!", ADDRESS(INDEX($W$2:$W$1001,MATCH(ROWS($U$2:U936),$U$2:$U$1001,0),0), INDEX($AB$1004:$AQ$1004,1,MATCH(COLUMNS($AB$1006:AL1006),$AB$1006:$AQ$1006,0)))),"Fix")))</f>
        <v>0</v>
      </c>
      <c r="M936" s="4">
        <f>IF(OR(INDEX($V$2:$V$1001,MATCH(ROWS($U$2:U936),$U$2:$U$1001,0),1)&gt;=100000,INDEX($AB$1005:$AQ$1005,1,MATCH(COLUMNS($AB$1006:AM1006),$AB$1006:$AQ$1006,0))&gt;=100000), " ",IF(INDEX($AB$2:$AQ$1001,MATCH(ROWS($U$2:U936),$U$2:$U$1001,0),MATCH(COLUMNS($AB$1006:AM1006),$AB$1006:$AQ$1006,0)), HYPERLINK("#",""), HYPERLINK(CONCATENATE("#metadata!", ADDRESS(INDEX($W$2:$W$1001,MATCH(ROWS($U$2:U936),$U$2:$U$1001,0),0), INDEX($AB$1004:$AQ$1004,1,MATCH(COLUMNS($AB$1006:AM1006),$AB$1006:$AQ$1006,0)))),"Fix")))</f>
        <v>0</v>
      </c>
      <c r="N936" s="4">
        <f>IF(OR(INDEX($V$2:$V$1001,MATCH(ROWS($U$2:U936),$U$2:$U$1001,0),1)&gt;=100000,INDEX($AB$1005:$AQ$1005,1,MATCH(COLUMNS($AB$1006:AN1006),$AB$1006:$AQ$1006,0))&gt;=100000), " ",IF(INDEX($AB$2:$AQ$1001,MATCH(ROWS($U$2:U936),$U$2:$U$1001,0),MATCH(COLUMNS($AB$1006:AN1006),$AB$1006:$AQ$1006,0)), HYPERLINK("#",""), HYPERLINK(CONCATENATE("#metadata!", ADDRESS(INDEX($W$2:$W$1001,MATCH(ROWS($U$2:U936),$U$2:$U$1001,0),0), INDEX($AB$1004:$AQ$1004,1,MATCH(COLUMNS($AB$1006:AN1006),$AB$1006:$AQ$1006,0)))),"Fix")))</f>
        <v>0</v>
      </c>
      <c r="O936" s="4">
        <f>IF(OR(INDEX($V$2:$V$1001,MATCH(ROWS($U$2:U936),$U$2:$U$1001,0),1)&gt;=100000,INDEX($AB$1005:$AQ$1005,1,MATCH(COLUMNS($AB$1006:AO1006),$AB$1006:$AQ$1006,0))&gt;=100000), " ",IF(INDEX($AB$2:$AQ$1001,MATCH(ROWS($U$2:U936),$U$2:$U$1001,0),MATCH(COLUMNS($AB$1006:AO1006),$AB$1006:$AQ$1006,0)), HYPERLINK("#",""), HYPERLINK(CONCATENATE("#metadata!", ADDRESS(INDEX($W$2:$W$1001,MATCH(ROWS($U$2:U936),$U$2:$U$1001,0),0), INDEX($AB$1004:$AQ$1004,1,MATCH(COLUMNS($AB$1006:AO1006),$AB$1006:$AQ$1006,0)))),"Fix")))</f>
        <v>0</v>
      </c>
      <c r="P936" s="4">
        <f>IF(OR(INDEX($V$2:$V$1001,MATCH(ROWS($U$2:U936),$U$2:$U$1001,0),1)&gt;=100000,INDEX($AB$1005:$AQ$1005,1,MATCH(COLUMNS($AB$1006:AP1006),$AB$1006:$AQ$1006,0))&gt;=100000), " ",IF(INDEX($AB$2:$AQ$1001,MATCH(ROWS($U$2:U936),$U$2:$U$1001,0),MATCH(COLUMNS($AB$1006:AP1006),$AB$1006:$AQ$1006,0)), HYPERLINK("#",""), HYPERLINK(CONCATENATE("#metadata!", ADDRESS(INDEX($W$2:$W$1001,MATCH(ROWS($U$2:U936),$U$2:$U$1001,0),0), INDEX($AB$1004:$AQ$1004,1,MATCH(COLUMNS($AB$1006:AP1006),$AB$1006:$AQ$1006,0)))),"Fix")))</f>
        <v>0</v>
      </c>
      <c r="Q936" s="4">
        <f>IF(OR(INDEX($V$2:$V$1001,MATCH(ROWS($U$2:U936),$U$2:$U$1001,0),1)&gt;=100000,INDEX($AB$1005:$AQ$1005,1,MATCH(COLUMNS($AB$1006:AQ1006),$AB$1006:$AQ$1006,0))&gt;=100000), " ",IF(INDEX($AB$2:$AQ$1001,MATCH(ROWS($U$2:U936),$U$2:$U$1001,0),MATCH(COLUMNS($AB$1006:AQ1006),$AB$1006:$AQ$1006,0)), HYPERLINK("#",""), HYPERLINK(CONCATENATE("#metadata!", ADDRESS(INDEX($W$2:$W$1001,MATCH(ROWS($U$2:U936),$U$2:$U$1001,0),0), INDEX($AB$1004:$AQ$1004,1,MATCH(COLUMNS($AB$1006:AQ1006),$AB$1006:$AQ$1006,0)))),"Fix")))</f>
        <v>0</v>
      </c>
      <c r="U936">
        <v>0</v>
      </c>
      <c r="V936">
        <v>0</v>
      </c>
      <c r="W936">
        <v>0</v>
      </c>
      <c r="X936">
        <f>IF(Y936,TRUE,AND(AB936:AQ936))</f>
        <v>0</v>
      </c>
      <c r="Y936">
        <f>COUNTBLANK(metadata!B936:Q936)=COLUMNS(metadata!B936:Q936)</f>
        <v>0</v>
      </c>
      <c r="Z936">
        <v>0</v>
      </c>
      <c r="AB936">
        <f>AND(IF(metadata!B936="",FALSE,TRUE),COUNTIF(metadata!B:B, metadata!B936) = 1,NOT(ISERROR(SUMPRODUCT(SEARCH(MID(metadata!B936,ROW(INDIRECT("1:"&amp;LEN(metadata!B936))), 1),"0123456789abcdefghijklmnopqrstuvwxyzABCDEFGHIJKLMNOPQRSTUVWXYZ.")))))</f>
        <v>0</v>
      </c>
      <c r="AC936">
        <f>OR(AND(IF(metadata!C936="",FALSE,TRUE),OR(exact(metadata!C936,"missing: not collected"),exact(metadata!C936,"missing: not provided"),exact(metadata!C936,"missing: restricted access"))),AND(IF(metadata!C936="",FALSE,TRUE),AND(AND(IFERROR(INT(LEFT(metadata!C936,4))&gt;1900,FALSE),IFERROR(INT(LEFT(metadata!C936,4))&lt;=YEAR(NOW()),FALSE)), OR(MID(metadata!C936,5,1)="", AND(AND(MID(metadata!C936,5,1)="-",IFERROR(INT(MID(metadata!C936,6,1))&gt;=0,FALSE),IFERROR(INT(MID(metadata!C936,6,1))&lt;=1,FALSE),NOT(MID(metadata!C936,7,1)=""),IFERROR(INT(MID(metadata!C936,6,2))&gt;=1,FALSE),IFERROR(INT(MID(metadata!C936,6,2))&lt;=12,FALSE)), OR(MID(metadata!C936,8,1)="", AND(AND(MID(metadata!C936,8,1)="-",IFERROR(INT(MID(metadata!C936,9,1))&gt;=0,FALSE),IFERROR(INT(MID(metadata!C936,9,1))&lt;=3,FALSE),NOT(MID(metadata!C936,10,1)=""),IFERROR(INT(MID(metadata!C936,9,2))&gt;=1,FALSE),IFERROR(INT(MID(metadata!C936,9,2))&lt;=31,FALSE)), OR(MID(metadata!C936,11,1)="", AND(AND(MID(metadata!C936,11,1)=" ",IFERROR(INT(MID(metadata!C936,12,1))&gt;=0,FALSE),IFERROR(INT(MID(metadata!C936,12,1))&lt;=2,FALSE),NOT(MID(metadata!C936,13,1)=""),IFERROR(INT(MID(metadata!C936,12,2))&gt;=0,FALSE),IFERROR(INT(MID(metadata!C936,12,2))&lt;=23,FALSE)), OR(MID(metadata!C936,14,1)="", AND(AND(MID(metadata!C936,14,1)=":",IFERROR(INT(MID(metadata!C936,15,1))&gt;=0,FALSE),IFERROR(INT(MID(metadata!C936,15,1))&lt;=5,FALSE),NOT(MID(metadata!C936,16,1)=""),IFERROR(INT(MID(metadata!C936,15,2))&gt;=0,FALSE),IFERROR(INT(MID(metadata!C936,15,2))&lt;=59,FALSE)), OR(MID(metadata!C936,17,1)="", AND(AND(MID(metadata!C936,17,1)=":",IFERROR(INT(MID(metadata!C936,18,1))&gt;=0,FALSE),IFERROR(INT(MID(metadata!C936,18,1))&lt;=5,FALSE),NOT(MID(metadata!C936,19,1)=""),IFERROR(INT(MID(metadata!C936,18,2))&gt;=0,FALSE),IFERROR(INT(MID(metadata!C936,18,2))&lt;=59,FALSE)), LEN(metadata!C936)&lt;=19)))))))))))))</f>
        <v>0</v>
      </c>
      <c r="AD936">
        <f>IF(metadata!D936="",FALSE,TRUE)</f>
        <v>0</v>
      </c>
      <c r="AE936">
        <f>OR(AND(IF(metadata!E936="",FALSE,TRUE),OR(exact(metadata!E936,"missing: not collected"),exact(metadata!E936,"missing: not provided"))),AND(IF(metadata!E936="",FALSE,TRUE),OR(exact(metadata!E936,"TRUE"),exact(metadata!E936,"FALSE"))))</f>
        <v>0</v>
      </c>
      <c r="AF936">
        <f>IF(metadata!F936="",FALSE,TRUE)</f>
        <v>0</v>
      </c>
      <c r="AG936">
        <f>IF(metadata!G936="",FALSE,TRUE)</f>
        <v>0</v>
      </c>
      <c r="AH936">
        <f>IF(metadata!H936="",FALSE,TRUE)</f>
        <v>0</v>
      </c>
      <c r="AI936">
        <f>OR(AND(IF(metadata!I936="",FALSE,TRUE),OR(exact(metadata!I936,"missing: not collected"),exact(metadata!I936,"missing: not provided"),exact(metadata!I936,"missing: restricted access"))),AND(IF(metadata!I936="",FALSE,TRUE),OR(exact(metadata!I936,"air"),exact(metadata!I936,"built environment"),exact(metadata!I936,"host-associated"),exact(metadata!I936,"human-associated"),exact(metadata!I936,"human-skin"),exact(metadata!I936,"human-oral"),exact(metadata!I936,"human-gut"),exact(metadata!I936,"human-vaginal"),exact(metadata!I936,"microbial mat/biofilm"),exact(metadata!I936,"misc environment"),exact(metadata!I936,"plant-associated"),exact(metadata!I936,"sediment"),exact(metadata!I936,"soil"),exact(metadata!I936,"wastewater/sludge"),exact(metadata!I936,"water"))))</f>
        <v>0</v>
      </c>
      <c r="AJ936">
        <f>IF(metadata!J936="",FALSE,TRUE)</f>
        <v>0</v>
      </c>
      <c r="AK936">
        <f>OR(AND(IF(metadata!K936="",FALSE,TRUE),OR(exact(metadata!K936,"missing: not collected"),exact(metadata!K936,"missing: not provided"),exact(metadata!K936,"missing: restricted access"))),AND(IF(metadata!K936="",FALSE,ISNUMBER(VALUE(metadata!K936))),metadata!K936&gt;=-90.00,metadata!K936&lt;=90.00))</f>
        <v>0</v>
      </c>
      <c r="AL936">
        <f>OR(AND(IF(metadata!L936="",FALSE,TRUE),OR(exact(metadata!L936,"missing: not collected"),exact(metadata!L936,"missing: not provided"),exact(metadata!L936,"missing: restricted access"))),AND(IF(metadata!L936="",FALSE,ISNUMBER(VALUE(metadata!L936))),metadata!L936&gt;=-180.00,metadata!L936&lt;=180.00))</f>
        <v>0</v>
      </c>
      <c r="AM936">
        <f>IF(metadata!M936="",FALSE,TRUE)</f>
        <v>0</v>
      </c>
      <c r="AN936">
        <f>OR(AND(IF(metadata!N936="",FALSE,TRUE),OR(exact(metadata!N936,"missing: not collected"),exact(metadata!N936,"missing: not provided"),exact(metadata!N936,"missing: restricted access"))),AND(IF(metadata!N936="",FALSE,TRUE),OR(exact(metadata!N936,"TRUE"),exact(metadata!N936,"FALSE"))))</f>
        <v>0</v>
      </c>
      <c r="AO936">
        <f>IF(metadata!O936="",FALSE,TRUE)</f>
        <v>0</v>
      </c>
      <c r="AP936">
        <f>OR(AND(IF(metadata!P936="",FALSE,TRUE),OR(exact(metadata!P936,"missing: not collected"),exact(metadata!P936,"missing: not provided"))),AND(IF(metadata!P936="",FALSE,IF(ISERROR(INT(metadata!P936)),FALSE,INT(metadata!P936)=metadata!P936)),metadata!P936&gt;0))</f>
        <v>0</v>
      </c>
      <c r="AQ936">
        <f>IF(metadata!Q936="",FALSE,TRUE)</f>
        <v>0</v>
      </c>
    </row>
    <row r="937" spans="1:43">
      <c r="A937" s="5">
        <f>IF(B937=" "," ",HYPERLINK(CONCATENATE("#metadata!",ADDRESS(INDEX($W$2:$W$1001,MATCH(ROWS($U$2:U937),$U$2:$U$1001,0),0),1)),INDEX($Z$2:$Z$1001,MATCH(ROWS($U$2:U937),$U$2:$U$1001,0),0)))</f>
        <v>0</v>
      </c>
      <c r="B937" s="4">
        <f>IF(OR(INDEX($V$2:$V$1001,MATCH(ROWS($U$2:U937),$U$2:$U$1001,0),1)&gt;=100000,INDEX($AB$1005:$AQ$1005,1,MATCH(COLUMNS($AB$1006:AB1006),$AB$1006:$AQ$1006,0))&gt;=100000), " ",IF(INDEX($AB$2:$AQ$1001,MATCH(ROWS($U$2:U937),$U$2:$U$1001,0),MATCH(COLUMNS($AB$1006:AB1006),$AB$1006:$AQ$1006,0)), HYPERLINK("#",""), HYPERLINK(CONCATENATE("#metadata!", ADDRESS(INDEX($W$2:$W$1001,MATCH(ROWS($U$2:U937),$U$2:$U$1001,0),0), INDEX($AB$1004:$AQ$1004,1,MATCH(COLUMNS($AB$1006:AB1006),$AB$1006:$AQ$1006,0)))),"Fix")))</f>
        <v>0</v>
      </c>
      <c r="C937" s="4">
        <f>IF(OR(INDEX($V$2:$V$1001,MATCH(ROWS($U$2:U937),$U$2:$U$1001,0),1)&gt;=100000,INDEX($AB$1005:$AQ$1005,1,MATCH(COLUMNS($AB$1006:AC1006),$AB$1006:$AQ$1006,0))&gt;=100000), " ",IF(INDEX($AB$2:$AQ$1001,MATCH(ROWS($U$2:U937),$U$2:$U$1001,0),MATCH(COLUMNS($AB$1006:AC1006),$AB$1006:$AQ$1006,0)), HYPERLINK("#",""), HYPERLINK(CONCATENATE("#metadata!", ADDRESS(INDEX($W$2:$W$1001,MATCH(ROWS($U$2:U937),$U$2:$U$1001,0),0), INDEX($AB$1004:$AQ$1004,1,MATCH(COLUMNS($AB$1006:AC1006),$AB$1006:$AQ$1006,0)))),"Fix")))</f>
        <v>0</v>
      </c>
      <c r="D937" s="4">
        <f>IF(OR(INDEX($V$2:$V$1001,MATCH(ROWS($U$2:U937),$U$2:$U$1001,0),1)&gt;=100000,INDEX($AB$1005:$AQ$1005,1,MATCH(COLUMNS($AB$1006:AD1006),$AB$1006:$AQ$1006,0))&gt;=100000), " ",IF(INDEX($AB$2:$AQ$1001,MATCH(ROWS($U$2:U937),$U$2:$U$1001,0),MATCH(COLUMNS($AB$1006:AD1006),$AB$1006:$AQ$1006,0)), HYPERLINK("#",""), HYPERLINK(CONCATENATE("#metadata!", ADDRESS(INDEX($W$2:$W$1001,MATCH(ROWS($U$2:U937),$U$2:$U$1001,0),0), INDEX($AB$1004:$AQ$1004,1,MATCH(COLUMNS($AB$1006:AD1006),$AB$1006:$AQ$1006,0)))),"Fix")))</f>
        <v>0</v>
      </c>
      <c r="E937" s="4">
        <f>IF(OR(INDEX($V$2:$V$1001,MATCH(ROWS($U$2:U937),$U$2:$U$1001,0),1)&gt;=100000,INDEX($AB$1005:$AQ$1005,1,MATCH(COLUMNS($AB$1006:AE1006),$AB$1006:$AQ$1006,0))&gt;=100000), " ",IF(INDEX($AB$2:$AQ$1001,MATCH(ROWS($U$2:U937),$U$2:$U$1001,0),MATCH(COLUMNS($AB$1006:AE1006),$AB$1006:$AQ$1006,0)), HYPERLINK("#",""), HYPERLINK(CONCATENATE("#metadata!", ADDRESS(INDEX($W$2:$W$1001,MATCH(ROWS($U$2:U937),$U$2:$U$1001,0),0), INDEX($AB$1004:$AQ$1004,1,MATCH(COLUMNS($AB$1006:AE1006),$AB$1006:$AQ$1006,0)))),"Fix")))</f>
        <v>0</v>
      </c>
      <c r="F937" s="4">
        <f>IF(OR(INDEX($V$2:$V$1001,MATCH(ROWS($U$2:U937),$U$2:$U$1001,0),1)&gt;=100000,INDEX($AB$1005:$AQ$1005,1,MATCH(COLUMNS($AB$1006:AF1006),$AB$1006:$AQ$1006,0))&gt;=100000), " ",IF(INDEX($AB$2:$AQ$1001,MATCH(ROWS($U$2:U937),$U$2:$U$1001,0),MATCH(COLUMNS($AB$1006:AF1006),$AB$1006:$AQ$1006,0)), HYPERLINK("#",""), HYPERLINK(CONCATENATE("#metadata!", ADDRESS(INDEX($W$2:$W$1001,MATCH(ROWS($U$2:U937),$U$2:$U$1001,0),0), INDEX($AB$1004:$AQ$1004,1,MATCH(COLUMNS($AB$1006:AF1006),$AB$1006:$AQ$1006,0)))),"Fix")))</f>
        <v>0</v>
      </c>
      <c r="G937" s="4">
        <f>IF(OR(INDEX($V$2:$V$1001,MATCH(ROWS($U$2:U937),$U$2:$U$1001,0),1)&gt;=100000,INDEX($AB$1005:$AQ$1005,1,MATCH(COLUMNS($AB$1006:AG1006),$AB$1006:$AQ$1006,0))&gt;=100000), " ",IF(INDEX($AB$2:$AQ$1001,MATCH(ROWS($U$2:U937),$U$2:$U$1001,0),MATCH(COLUMNS($AB$1006:AG1006),$AB$1006:$AQ$1006,0)), HYPERLINK("#",""), HYPERLINK(CONCATENATE("#metadata!", ADDRESS(INDEX($W$2:$W$1001,MATCH(ROWS($U$2:U937),$U$2:$U$1001,0),0), INDEX($AB$1004:$AQ$1004,1,MATCH(COLUMNS($AB$1006:AG1006),$AB$1006:$AQ$1006,0)))),"Fix")))</f>
        <v>0</v>
      </c>
      <c r="H937" s="4">
        <f>IF(OR(INDEX($V$2:$V$1001,MATCH(ROWS($U$2:U937),$U$2:$U$1001,0),1)&gt;=100000,INDEX($AB$1005:$AQ$1005,1,MATCH(COLUMNS($AB$1006:AH1006),$AB$1006:$AQ$1006,0))&gt;=100000), " ",IF(INDEX($AB$2:$AQ$1001,MATCH(ROWS($U$2:U937),$U$2:$U$1001,0),MATCH(COLUMNS($AB$1006:AH1006),$AB$1006:$AQ$1006,0)), HYPERLINK("#",""), HYPERLINK(CONCATENATE("#metadata!", ADDRESS(INDEX($W$2:$W$1001,MATCH(ROWS($U$2:U937),$U$2:$U$1001,0),0), INDEX($AB$1004:$AQ$1004,1,MATCH(COLUMNS($AB$1006:AH1006),$AB$1006:$AQ$1006,0)))),"Fix")))</f>
        <v>0</v>
      </c>
      <c r="I937" s="4">
        <f>IF(OR(INDEX($V$2:$V$1001,MATCH(ROWS($U$2:U937),$U$2:$U$1001,0),1)&gt;=100000,INDEX($AB$1005:$AQ$1005,1,MATCH(COLUMNS($AB$1006:AI1006),$AB$1006:$AQ$1006,0))&gt;=100000), " ",IF(INDEX($AB$2:$AQ$1001,MATCH(ROWS($U$2:U937),$U$2:$U$1001,0),MATCH(COLUMNS($AB$1006:AI1006),$AB$1006:$AQ$1006,0)), HYPERLINK("#",""), HYPERLINK(CONCATENATE("#metadata!", ADDRESS(INDEX($W$2:$W$1001,MATCH(ROWS($U$2:U937),$U$2:$U$1001,0),0), INDEX($AB$1004:$AQ$1004,1,MATCH(COLUMNS($AB$1006:AI1006),$AB$1006:$AQ$1006,0)))),"Fix")))</f>
        <v>0</v>
      </c>
      <c r="J937" s="4">
        <f>IF(OR(INDEX($V$2:$V$1001,MATCH(ROWS($U$2:U937),$U$2:$U$1001,0),1)&gt;=100000,INDEX($AB$1005:$AQ$1005,1,MATCH(COLUMNS($AB$1006:AJ1006),$AB$1006:$AQ$1006,0))&gt;=100000), " ",IF(INDEX($AB$2:$AQ$1001,MATCH(ROWS($U$2:U937),$U$2:$U$1001,0),MATCH(COLUMNS($AB$1006:AJ1006),$AB$1006:$AQ$1006,0)), HYPERLINK("#",""), HYPERLINK(CONCATENATE("#metadata!", ADDRESS(INDEX($W$2:$W$1001,MATCH(ROWS($U$2:U937),$U$2:$U$1001,0),0), INDEX($AB$1004:$AQ$1004,1,MATCH(COLUMNS($AB$1006:AJ1006),$AB$1006:$AQ$1006,0)))),"Fix")))</f>
        <v>0</v>
      </c>
      <c r="K937" s="4">
        <f>IF(OR(INDEX($V$2:$V$1001,MATCH(ROWS($U$2:U937),$U$2:$U$1001,0),1)&gt;=100000,INDEX($AB$1005:$AQ$1005,1,MATCH(COLUMNS($AB$1006:AK1006),$AB$1006:$AQ$1006,0))&gt;=100000), " ",IF(INDEX($AB$2:$AQ$1001,MATCH(ROWS($U$2:U937),$U$2:$U$1001,0),MATCH(COLUMNS($AB$1006:AK1006),$AB$1006:$AQ$1006,0)), HYPERLINK("#",""), HYPERLINK(CONCATENATE("#metadata!", ADDRESS(INDEX($W$2:$W$1001,MATCH(ROWS($U$2:U937),$U$2:$U$1001,0),0), INDEX($AB$1004:$AQ$1004,1,MATCH(COLUMNS($AB$1006:AK1006),$AB$1006:$AQ$1006,0)))),"Fix")))</f>
        <v>0</v>
      </c>
      <c r="L937" s="4">
        <f>IF(OR(INDEX($V$2:$V$1001,MATCH(ROWS($U$2:U937),$U$2:$U$1001,0),1)&gt;=100000,INDEX($AB$1005:$AQ$1005,1,MATCH(COLUMNS($AB$1006:AL1006),$AB$1006:$AQ$1006,0))&gt;=100000), " ",IF(INDEX($AB$2:$AQ$1001,MATCH(ROWS($U$2:U937),$U$2:$U$1001,0),MATCH(COLUMNS($AB$1006:AL1006),$AB$1006:$AQ$1006,0)), HYPERLINK("#",""), HYPERLINK(CONCATENATE("#metadata!", ADDRESS(INDEX($W$2:$W$1001,MATCH(ROWS($U$2:U937),$U$2:$U$1001,0),0), INDEX($AB$1004:$AQ$1004,1,MATCH(COLUMNS($AB$1006:AL1006),$AB$1006:$AQ$1006,0)))),"Fix")))</f>
        <v>0</v>
      </c>
      <c r="M937" s="4">
        <f>IF(OR(INDEX($V$2:$V$1001,MATCH(ROWS($U$2:U937),$U$2:$U$1001,0),1)&gt;=100000,INDEX($AB$1005:$AQ$1005,1,MATCH(COLUMNS($AB$1006:AM1006),$AB$1006:$AQ$1006,0))&gt;=100000), " ",IF(INDEX($AB$2:$AQ$1001,MATCH(ROWS($U$2:U937),$U$2:$U$1001,0),MATCH(COLUMNS($AB$1006:AM1006),$AB$1006:$AQ$1006,0)), HYPERLINK("#",""), HYPERLINK(CONCATENATE("#metadata!", ADDRESS(INDEX($W$2:$W$1001,MATCH(ROWS($U$2:U937),$U$2:$U$1001,0),0), INDEX($AB$1004:$AQ$1004,1,MATCH(COLUMNS($AB$1006:AM1006),$AB$1006:$AQ$1006,0)))),"Fix")))</f>
        <v>0</v>
      </c>
      <c r="N937" s="4">
        <f>IF(OR(INDEX($V$2:$V$1001,MATCH(ROWS($U$2:U937),$U$2:$U$1001,0),1)&gt;=100000,INDEX($AB$1005:$AQ$1005,1,MATCH(COLUMNS($AB$1006:AN1006),$AB$1006:$AQ$1006,0))&gt;=100000), " ",IF(INDEX($AB$2:$AQ$1001,MATCH(ROWS($U$2:U937),$U$2:$U$1001,0),MATCH(COLUMNS($AB$1006:AN1006),$AB$1006:$AQ$1006,0)), HYPERLINK("#",""), HYPERLINK(CONCATENATE("#metadata!", ADDRESS(INDEX($W$2:$W$1001,MATCH(ROWS($U$2:U937),$U$2:$U$1001,0),0), INDEX($AB$1004:$AQ$1004,1,MATCH(COLUMNS($AB$1006:AN1006),$AB$1006:$AQ$1006,0)))),"Fix")))</f>
        <v>0</v>
      </c>
      <c r="O937" s="4">
        <f>IF(OR(INDEX($V$2:$V$1001,MATCH(ROWS($U$2:U937),$U$2:$U$1001,0),1)&gt;=100000,INDEX($AB$1005:$AQ$1005,1,MATCH(COLUMNS($AB$1006:AO1006),$AB$1006:$AQ$1006,0))&gt;=100000), " ",IF(INDEX($AB$2:$AQ$1001,MATCH(ROWS($U$2:U937),$U$2:$U$1001,0),MATCH(COLUMNS($AB$1006:AO1006),$AB$1006:$AQ$1006,0)), HYPERLINK("#",""), HYPERLINK(CONCATENATE("#metadata!", ADDRESS(INDEX($W$2:$W$1001,MATCH(ROWS($U$2:U937),$U$2:$U$1001,0),0), INDEX($AB$1004:$AQ$1004,1,MATCH(COLUMNS($AB$1006:AO1006),$AB$1006:$AQ$1006,0)))),"Fix")))</f>
        <v>0</v>
      </c>
      <c r="P937" s="4">
        <f>IF(OR(INDEX($V$2:$V$1001,MATCH(ROWS($U$2:U937),$U$2:$U$1001,0),1)&gt;=100000,INDEX($AB$1005:$AQ$1005,1,MATCH(COLUMNS($AB$1006:AP1006),$AB$1006:$AQ$1006,0))&gt;=100000), " ",IF(INDEX($AB$2:$AQ$1001,MATCH(ROWS($U$2:U937),$U$2:$U$1001,0),MATCH(COLUMNS($AB$1006:AP1006),$AB$1006:$AQ$1006,0)), HYPERLINK("#",""), HYPERLINK(CONCATENATE("#metadata!", ADDRESS(INDEX($W$2:$W$1001,MATCH(ROWS($U$2:U937),$U$2:$U$1001,0),0), INDEX($AB$1004:$AQ$1004,1,MATCH(COLUMNS($AB$1006:AP1006),$AB$1006:$AQ$1006,0)))),"Fix")))</f>
        <v>0</v>
      </c>
      <c r="Q937" s="4">
        <f>IF(OR(INDEX($V$2:$V$1001,MATCH(ROWS($U$2:U937),$U$2:$U$1001,0),1)&gt;=100000,INDEX($AB$1005:$AQ$1005,1,MATCH(COLUMNS($AB$1006:AQ1006),$AB$1006:$AQ$1006,0))&gt;=100000), " ",IF(INDEX($AB$2:$AQ$1001,MATCH(ROWS($U$2:U937),$U$2:$U$1001,0),MATCH(COLUMNS($AB$1006:AQ1006),$AB$1006:$AQ$1006,0)), HYPERLINK("#",""), HYPERLINK(CONCATENATE("#metadata!", ADDRESS(INDEX($W$2:$W$1001,MATCH(ROWS($U$2:U937),$U$2:$U$1001,0),0), INDEX($AB$1004:$AQ$1004,1,MATCH(COLUMNS($AB$1006:AQ1006),$AB$1006:$AQ$1006,0)))),"Fix")))</f>
        <v>0</v>
      </c>
      <c r="U937">
        <v>0</v>
      </c>
      <c r="V937">
        <v>0</v>
      </c>
      <c r="W937">
        <v>0</v>
      </c>
      <c r="X937">
        <f>IF(Y937,TRUE,AND(AB937:AQ937))</f>
        <v>0</v>
      </c>
      <c r="Y937">
        <f>COUNTBLANK(metadata!B937:Q937)=COLUMNS(metadata!B937:Q937)</f>
        <v>0</v>
      </c>
      <c r="Z937">
        <v>0</v>
      </c>
      <c r="AB937">
        <f>AND(IF(metadata!B937="",FALSE,TRUE),COUNTIF(metadata!B:B, metadata!B937) = 1,NOT(ISERROR(SUMPRODUCT(SEARCH(MID(metadata!B937,ROW(INDIRECT("1:"&amp;LEN(metadata!B937))), 1),"0123456789abcdefghijklmnopqrstuvwxyzABCDEFGHIJKLMNOPQRSTUVWXYZ.")))))</f>
        <v>0</v>
      </c>
      <c r="AC937">
        <f>OR(AND(IF(metadata!C937="",FALSE,TRUE),OR(exact(metadata!C937,"missing: not collected"),exact(metadata!C937,"missing: not provided"),exact(metadata!C937,"missing: restricted access"))),AND(IF(metadata!C937="",FALSE,TRUE),AND(AND(IFERROR(INT(LEFT(metadata!C937,4))&gt;1900,FALSE),IFERROR(INT(LEFT(metadata!C937,4))&lt;=YEAR(NOW()),FALSE)), OR(MID(metadata!C937,5,1)="", AND(AND(MID(metadata!C937,5,1)="-",IFERROR(INT(MID(metadata!C937,6,1))&gt;=0,FALSE),IFERROR(INT(MID(metadata!C937,6,1))&lt;=1,FALSE),NOT(MID(metadata!C937,7,1)=""),IFERROR(INT(MID(metadata!C937,6,2))&gt;=1,FALSE),IFERROR(INT(MID(metadata!C937,6,2))&lt;=12,FALSE)), OR(MID(metadata!C937,8,1)="", AND(AND(MID(metadata!C937,8,1)="-",IFERROR(INT(MID(metadata!C937,9,1))&gt;=0,FALSE),IFERROR(INT(MID(metadata!C937,9,1))&lt;=3,FALSE),NOT(MID(metadata!C937,10,1)=""),IFERROR(INT(MID(metadata!C937,9,2))&gt;=1,FALSE),IFERROR(INT(MID(metadata!C937,9,2))&lt;=31,FALSE)), OR(MID(metadata!C937,11,1)="", AND(AND(MID(metadata!C937,11,1)=" ",IFERROR(INT(MID(metadata!C937,12,1))&gt;=0,FALSE),IFERROR(INT(MID(metadata!C937,12,1))&lt;=2,FALSE),NOT(MID(metadata!C937,13,1)=""),IFERROR(INT(MID(metadata!C937,12,2))&gt;=0,FALSE),IFERROR(INT(MID(metadata!C937,12,2))&lt;=23,FALSE)), OR(MID(metadata!C937,14,1)="", AND(AND(MID(metadata!C937,14,1)=":",IFERROR(INT(MID(metadata!C937,15,1))&gt;=0,FALSE),IFERROR(INT(MID(metadata!C937,15,1))&lt;=5,FALSE),NOT(MID(metadata!C937,16,1)=""),IFERROR(INT(MID(metadata!C937,15,2))&gt;=0,FALSE),IFERROR(INT(MID(metadata!C937,15,2))&lt;=59,FALSE)), OR(MID(metadata!C937,17,1)="", AND(AND(MID(metadata!C937,17,1)=":",IFERROR(INT(MID(metadata!C937,18,1))&gt;=0,FALSE),IFERROR(INT(MID(metadata!C937,18,1))&lt;=5,FALSE),NOT(MID(metadata!C937,19,1)=""),IFERROR(INT(MID(metadata!C937,18,2))&gt;=0,FALSE),IFERROR(INT(MID(metadata!C937,18,2))&lt;=59,FALSE)), LEN(metadata!C937)&lt;=19)))))))))))))</f>
        <v>0</v>
      </c>
      <c r="AD937">
        <f>IF(metadata!D937="",FALSE,TRUE)</f>
        <v>0</v>
      </c>
      <c r="AE937">
        <f>OR(AND(IF(metadata!E937="",FALSE,TRUE),OR(exact(metadata!E937,"missing: not collected"),exact(metadata!E937,"missing: not provided"))),AND(IF(metadata!E937="",FALSE,TRUE),OR(exact(metadata!E937,"TRUE"),exact(metadata!E937,"FALSE"))))</f>
        <v>0</v>
      </c>
      <c r="AF937">
        <f>IF(metadata!F937="",FALSE,TRUE)</f>
        <v>0</v>
      </c>
      <c r="AG937">
        <f>IF(metadata!G937="",FALSE,TRUE)</f>
        <v>0</v>
      </c>
      <c r="AH937">
        <f>IF(metadata!H937="",FALSE,TRUE)</f>
        <v>0</v>
      </c>
      <c r="AI937">
        <f>OR(AND(IF(metadata!I937="",FALSE,TRUE),OR(exact(metadata!I937,"missing: not collected"),exact(metadata!I937,"missing: not provided"),exact(metadata!I937,"missing: restricted access"))),AND(IF(metadata!I937="",FALSE,TRUE),OR(exact(metadata!I937,"air"),exact(metadata!I937,"built environment"),exact(metadata!I937,"host-associated"),exact(metadata!I937,"human-associated"),exact(metadata!I937,"human-skin"),exact(metadata!I937,"human-oral"),exact(metadata!I937,"human-gut"),exact(metadata!I937,"human-vaginal"),exact(metadata!I937,"microbial mat/biofilm"),exact(metadata!I937,"misc environment"),exact(metadata!I937,"plant-associated"),exact(metadata!I937,"sediment"),exact(metadata!I937,"soil"),exact(metadata!I937,"wastewater/sludge"),exact(metadata!I937,"water"))))</f>
        <v>0</v>
      </c>
      <c r="AJ937">
        <f>IF(metadata!J937="",FALSE,TRUE)</f>
        <v>0</v>
      </c>
      <c r="AK937">
        <f>OR(AND(IF(metadata!K937="",FALSE,TRUE),OR(exact(metadata!K937,"missing: not collected"),exact(metadata!K937,"missing: not provided"),exact(metadata!K937,"missing: restricted access"))),AND(IF(metadata!K937="",FALSE,ISNUMBER(VALUE(metadata!K937))),metadata!K937&gt;=-90.00,metadata!K937&lt;=90.00))</f>
        <v>0</v>
      </c>
      <c r="AL937">
        <f>OR(AND(IF(metadata!L937="",FALSE,TRUE),OR(exact(metadata!L937,"missing: not collected"),exact(metadata!L937,"missing: not provided"),exact(metadata!L937,"missing: restricted access"))),AND(IF(metadata!L937="",FALSE,ISNUMBER(VALUE(metadata!L937))),metadata!L937&gt;=-180.00,metadata!L937&lt;=180.00))</f>
        <v>0</v>
      </c>
      <c r="AM937">
        <f>IF(metadata!M937="",FALSE,TRUE)</f>
        <v>0</v>
      </c>
      <c r="AN937">
        <f>OR(AND(IF(metadata!N937="",FALSE,TRUE),OR(exact(metadata!N937,"missing: not collected"),exact(metadata!N937,"missing: not provided"),exact(metadata!N937,"missing: restricted access"))),AND(IF(metadata!N937="",FALSE,TRUE),OR(exact(metadata!N937,"TRUE"),exact(metadata!N937,"FALSE"))))</f>
        <v>0</v>
      </c>
      <c r="AO937">
        <f>IF(metadata!O937="",FALSE,TRUE)</f>
        <v>0</v>
      </c>
      <c r="AP937">
        <f>OR(AND(IF(metadata!P937="",FALSE,TRUE),OR(exact(metadata!P937,"missing: not collected"),exact(metadata!P937,"missing: not provided"))),AND(IF(metadata!P937="",FALSE,IF(ISERROR(INT(metadata!P937)),FALSE,INT(metadata!P937)=metadata!P937)),metadata!P937&gt;0))</f>
        <v>0</v>
      </c>
      <c r="AQ937">
        <f>IF(metadata!Q937="",FALSE,TRUE)</f>
        <v>0</v>
      </c>
    </row>
    <row r="938" spans="1:43">
      <c r="A938" s="5">
        <f>IF(B938=" "," ",HYPERLINK(CONCATENATE("#metadata!",ADDRESS(INDEX($W$2:$W$1001,MATCH(ROWS($U$2:U938),$U$2:$U$1001,0),0),1)),INDEX($Z$2:$Z$1001,MATCH(ROWS($U$2:U938),$U$2:$U$1001,0),0)))</f>
        <v>0</v>
      </c>
      <c r="B938" s="4">
        <f>IF(OR(INDEX($V$2:$V$1001,MATCH(ROWS($U$2:U938),$U$2:$U$1001,0),1)&gt;=100000,INDEX($AB$1005:$AQ$1005,1,MATCH(COLUMNS($AB$1006:AB1006),$AB$1006:$AQ$1006,0))&gt;=100000), " ",IF(INDEX($AB$2:$AQ$1001,MATCH(ROWS($U$2:U938),$U$2:$U$1001,0),MATCH(COLUMNS($AB$1006:AB1006),$AB$1006:$AQ$1006,0)), HYPERLINK("#",""), HYPERLINK(CONCATENATE("#metadata!", ADDRESS(INDEX($W$2:$W$1001,MATCH(ROWS($U$2:U938),$U$2:$U$1001,0),0), INDEX($AB$1004:$AQ$1004,1,MATCH(COLUMNS($AB$1006:AB1006),$AB$1006:$AQ$1006,0)))),"Fix")))</f>
        <v>0</v>
      </c>
      <c r="C938" s="4">
        <f>IF(OR(INDEX($V$2:$V$1001,MATCH(ROWS($U$2:U938),$U$2:$U$1001,0),1)&gt;=100000,INDEX($AB$1005:$AQ$1005,1,MATCH(COLUMNS($AB$1006:AC1006),$AB$1006:$AQ$1006,0))&gt;=100000), " ",IF(INDEX($AB$2:$AQ$1001,MATCH(ROWS($U$2:U938),$U$2:$U$1001,0),MATCH(COLUMNS($AB$1006:AC1006),$AB$1006:$AQ$1006,0)), HYPERLINK("#",""), HYPERLINK(CONCATENATE("#metadata!", ADDRESS(INDEX($W$2:$W$1001,MATCH(ROWS($U$2:U938),$U$2:$U$1001,0),0), INDEX($AB$1004:$AQ$1004,1,MATCH(COLUMNS($AB$1006:AC1006),$AB$1006:$AQ$1006,0)))),"Fix")))</f>
        <v>0</v>
      </c>
      <c r="D938" s="4">
        <f>IF(OR(INDEX($V$2:$V$1001,MATCH(ROWS($U$2:U938),$U$2:$U$1001,0),1)&gt;=100000,INDEX($AB$1005:$AQ$1005,1,MATCH(COLUMNS($AB$1006:AD1006),$AB$1006:$AQ$1006,0))&gt;=100000), " ",IF(INDEX($AB$2:$AQ$1001,MATCH(ROWS($U$2:U938),$U$2:$U$1001,0),MATCH(COLUMNS($AB$1006:AD1006),$AB$1006:$AQ$1006,0)), HYPERLINK("#",""), HYPERLINK(CONCATENATE("#metadata!", ADDRESS(INDEX($W$2:$W$1001,MATCH(ROWS($U$2:U938),$U$2:$U$1001,0),0), INDEX($AB$1004:$AQ$1004,1,MATCH(COLUMNS($AB$1006:AD1006),$AB$1006:$AQ$1006,0)))),"Fix")))</f>
        <v>0</v>
      </c>
      <c r="E938" s="4">
        <f>IF(OR(INDEX($V$2:$V$1001,MATCH(ROWS($U$2:U938),$U$2:$U$1001,0),1)&gt;=100000,INDEX($AB$1005:$AQ$1005,1,MATCH(COLUMNS($AB$1006:AE1006),$AB$1006:$AQ$1006,0))&gt;=100000), " ",IF(INDEX($AB$2:$AQ$1001,MATCH(ROWS($U$2:U938),$U$2:$U$1001,0),MATCH(COLUMNS($AB$1006:AE1006),$AB$1006:$AQ$1006,0)), HYPERLINK("#",""), HYPERLINK(CONCATENATE("#metadata!", ADDRESS(INDEX($W$2:$W$1001,MATCH(ROWS($U$2:U938),$U$2:$U$1001,0),0), INDEX($AB$1004:$AQ$1004,1,MATCH(COLUMNS($AB$1006:AE1006),$AB$1006:$AQ$1006,0)))),"Fix")))</f>
        <v>0</v>
      </c>
      <c r="F938" s="4">
        <f>IF(OR(INDEX($V$2:$V$1001,MATCH(ROWS($U$2:U938),$U$2:$U$1001,0),1)&gt;=100000,INDEX($AB$1005:$AQ$1005,1,MATCH(COLUMNS($AB$1006:AF1006),$AB$1006:$AQ$1006,0))&gt;=100000), " ",IF(INDEX($AB$2:$AQ$1001,MATCH(ROWS($U$2:U938),$U$2:$U$1001,0),MATCH(COLUMNS($AB$1006:AF1006),$AB$1006:$AQ$1006,0)), HYPERLINK("#",""), HYPERLINK(CONCATENATE("#metadata!", ADDRESS(INDEX($W$2:$W$1001,MATCH(ROWS($U$2:U938),$U$2:$U$1001,0),0), INDEX($AB$1004:$AQ$1004,1,MATCH(COLUMNS($AB$1006:AF1006),$AB$1006:$AQ$1006,0)))),"Fix")))</f>
        <v>0</v>
      </c>
      <c r="G938" s="4">
        <f>IF(OR(INDEX($V$2:$V$1001,MATCH(ROWS($U$2:U938),$U$2:$U$1001,0),1)&gt;=100000,INDEX($AB$1005:$AQ$1005,1,MATCH(COLUMNS($AB$1006:AG1006),$AB$1006:$AQ$1006,0))&gt;=100000), " ",IF(INDEX($AB$2:$AQ$1001,MATCH(ROWS($U$2:U938),$U$2:$U$1001,0),MATCH(COLUMNS($AB$1006:AG1006),$AB$1006:$AQ$1006,0)), HYPERLINK("#",""), HYPERLINK(CONCATENATE("#metadata!", ADDRESS(INDEX($W$2:$W$1001,MATCH(ROWS($U$2:U938),$U$2:$U$1001,0),0), INDEX($AB$1004:$AQ$1004,1,MATCH(COLUMNS($AB$1006:AG1006),$AB$1006:$AQ$1006,0)))),"Fix")))</f>
        <v>0</v>
      </c>
      <c r="H938" s="4">
        <f>IF(OR(INDEX($V$2:$V$1001,MATCH(ROWS($U$2:U938),$U$2:$U$1001,0),1)&gt;=100000,INDEX($AB$1005:$AQ$1005,1,MATCH(COLUMNS($AB$1006:AH1006),$AB$1006:$AQ$1006,0))&gt;=100000), " ",IF(INDEX($AB$2:$AQ$1001,MATCH(ROWS($U$2:U938),$U$2:$U$1001,0),MATCH(COLUMNS($AB$1006:AH1006),$AB$1006:$AQ$1006,0)), HYPERLINK("#",""), HYPERLINK(CONCATENATE("#metadata!", ADDRESS(INDEX($W$2:$W$1001,MATCH(ROWS($U$2:U938),$U$2:$U$1001,0),0), INDEX($AB$1004:$AQ$1004,1,MATCH(COLUMNS($AB$1006:AH1006),$AB$1006:$AQ$1006,0)))),"Fix")))</f>
        <v>0</v>
      </c>
      <c r="I938" s="4">
        <f>IF(OR(INDEX($V$2:$V$1001,MATCH(ROWS($U$2:U938),$U$2:$U$1001,0),1)&gt;=100000,INDEX($AB$1005:$AQ$1005,1,MATCH(COLUMNS($AB$1006:AI1006),$AB$1006:$AQ$1006,0))&gt;=100000), " ",IF(INDEX($AB$2:$AQ$1001,MATCH(ROWS($U$2:U938),$U$2:$U$1001,0),MATCH(COLUMNS($AB$1006:AI1006),$AB$1006:$AQ$1006,0)), HYPERLINK("#",""), HYPERLINK(CONCATENATE("#metadata!", ADDRESS(INDEX($W$2:$W$1001,MATCH(ROWS($U$2:U938),$U$2:$U$1001,0),0), INDEX($AB$1004:$AQ$1004,1,MATCH(COLUMNS($AB$1006:AI1006),$AB$1006:$AQ$1006,0)))),"Fix")))</f>
        <v>0</v>
      </c>
      <c r="J938" s="4">
        <f>IF(OR(INDEX($V$2:$V$1001,MATCH(ROWS($U$2:U938),$U$2:$U$1001,0),1)&gt;=100000,INDEX($AB$1005:$AQ$1005,1,MATCH(COLUMNS($AB$1006:AJ1006),$AB$1006:$AQ$1006,0))&gt;=100000), " ",IF(INDEX($AB$2:$AQ$1001,MATCH(ROWS($U$2:U938),$U$2:$U$1001,0),MATCH(COLUMNS($AB$1006:AJ1006),$AB$1006:$AQ$1006,0)), HYPERLINK("#",""), HYPERLINK(CONCATENATE("#metadata!", ADDRESS(INDEX($W$2:$W$1001,MATCH(ROWS($U$2:U938),$U$2:$U$1001,0),0), INDEX($AB$1004:$AQ$1004,1,MATCH(COLUMNS($AB$1006:AJ1006),$AB$1006:$AQ$1006,0)))),"Fix")))</f>
        <v>0</v>
      </c>
      <c r="K938" s="4">
        <f>IF(OR(INDEX($V$2:$V$1001,MATCH(ROWS($U$2:U938),$U$2:$U$1001,0),1)&gt;=100000,INDEX($AB$1005:$AQ$1005,1,MATCH(COLUMNS($AB$1006:AK1006),$AB$1006:$AQ$1006,0))&gt;=100000), " ",IF(INDEX($AB$2:$AQ$1001,MATCH(ROWS($U$2:U938),$U$2:$U$1001,0),MATCH(COLUMNS($AB$1006:AK1006),$AB$1006:$AQ$1006,0)), HYPERLINK("#",""), HYPERLINK(CONCATENATE("#metadata!", ADDRESS(INDEX($W$2:$W$1001,MATCH(ROWS($U$2:U938),$U$2:$U$1001,0),0), INDEX($AB$1004:$AQ$1004,1,MATCH(COLUMNS($AB$1006:AK1006),$AB$1006:$AQ$1006,0)))),"Fix")))</f>
        <v>0</v>
      </c>
      <c r="L938" s="4">
        <f>IF(OR(INDEX($V$2:$V$1001,MATCH(ROWS($U$2:U938),$U$2:$U$1001,0),1)&gt;=100000,INDEX($AB$1005:$AQ$1005,1,MATCH(COLUMNS($AB$1006:AL1006),$AB$1006:$AQ$1006,0))&gt;=100000), " ",IF(INDEX($AB$2:$AQ$1001,MATCH(ROWS($U$2:U938),$U$2:$U$1001,0),MATCH(COLUMNS($AB$1006:AL1006),$AB$1006:$AQ$1006,0)), HYPERLINK("#",""), HYPERLINK(CONCATENATE("#metadata!", ADDRESS(INDEX($W$2:$W$1001,MATCH(ROWS($U$2:U938),$U$2:$U$1001,0),0), INDEX($AB$1004:$AQ$1004,1,MATCH(COLUMNS($AB$1006:AL1006),$AB$1006:$AQ$1006,0)))),"Fix")))</f>
        <v>0</v>
      </c>
      <c r="M938" s="4">
        <f>IF(OR(INDEX($V$2:$V$1001,MATCH(ROWS($U$2:U938),$U$2:$U$1001,0),1)&gt;=100000,INDEX($AB$1005:$AQ$1005,1,MATCH(COLUMNS($AB$1006:AM1006),$AB$1006:$AQ$1006,0))&gt;=100000), " ",IF(INDEX($AB$2:$AQ$1001,MATCH(ROWS($U$2:U938),$U$2:$U$1001,0),MATCH(COLUMNS($AB$1006:AM1006),$AB$1006:$AQ$1006,0)), HYPERLINK("#",""), HYPERLINK(CONCATENATE("#metadata!", ADDRESS(INDEX($W$2:$W$1001,MATCH(ROWS($U$2:U938),$U$2:$U$1001,0),0), INDEX($AB$1004:$AQ$1004,1,MATCH(COLUMNS($AB$1006:AM1006),$AB$1006:$AQ$1006,0)))),"Fix")))</f>
        <v>0</v>
      </c>
      <c r="N938" s="4">
        <f>IF(OR(INDEX($V$2:$V$1001,MATCH(ROWS($U$2:U938),$U$2:$U$1001,0),1)&gt;=100000,INDEX($AB$1005:$AQ$1005,1,MATCH(COLUMNS($AB$1006:AN1006),$AB$1006:$AQ$1006,0))&gt;=100000), " ",IF(INDEX($AB$2:$AQ$1001,MATCH(ROWS($U$2:U938),$U$2:$U$1001,0),MATCH(COLUMNS($AB$1006:AN1006),$AB$1006:$AQ$1006,0)), HYPERLINK("#",""), HYPERLINK(CONCATENATE("#metadata!", ADDRESS(INDEX($W$2:$W$1001,MATCH(ROWS($U$2:U938),$U$2:$U$1001,0),0), INDEX($AB$1004:$AQ$1004,1,MATCH(COLUMNS($AB$1006:AN1006),$AB$1006:$AQ$1006,0)))),"Fix")))</f>
        <v>0</v>
      </c>
      <c r="O938" s="4">
        <f>IF(OR(INDEX($V$2:$V$1001,MATCH(ROWS($U$2:U938),$U$2:$U$1001,0),1)&gt;=100000,INDEX($AB$1005:$AQ$1005,1,MATCH(COLUMNS($AB$1006:AO1006),$AB$1006:$AQ$1006,0))&gt;=100000), " ",IF(INDEX($AB$2:$AQ$1001,MATCH(ROWS($U$2:U938),$U$2:$U$1001,0),MATCH(COLUMNS($AB$1006:AO1006),$AB$1006:$AQ$1006,0)), HYPERLINK("#",""), HYPERLINK(CONCATENATE("#metadata!", ADDRESS(INDEX($W$2:$W$1001,MATCH(ROWS($U$2:U938),$U$2:$U$1001,0),0), INDEX($AB$1004:$AQ$1004,1,MATCH(COLUMNS($AB$1006:AO1006),$AB$1006:$AQ$1006,0)))),"Fix")))</f>
        <v>0</v>
      </c>
      <c r="P938" s="4">
        <f>IF(OR(INDEX($V$2:$V$1001,MATCH(ROWS($U$2:U938),$U$2:$U$1001,0),1)&gt;=100000,INDEX($AB$1005:$AQ$1005,1,MATCH(COLUMNS($AB$1006:AP1006),$AB$1006:$AQ$1006,0))&gt;=100000), " ",IF(INDEX($AB$2:$AQ$1001,MATCH(ROWS($U$2:U938),$U$2:$U$1001,0),MATCH(COLUMNS($AB$1006:AP1006),$AB$1006:$AQ$1006,0)), HYPERLINK("#",""), HYPERLINK(CONCATENATE("#metadata!", ADDRESS(INDEX($W$2:$W$1001,MATCH(ROWS($U$2:U938),$U$2:$U$1001,0),0), INDEX($AB$1004:$AQ$1004,1,MATCH(COLUMNS($AB$1006:AP1006),$AB$1006:$AQ$1006,0)))),"Fix")))</f>
        <v>0</v>
      </c>
      <c r="Q938" s="4">
        <f>IF(OR(INDEX($V$2:$V$1001,MATCH(ROWS($U$2:U938),$U$2:$U$1001,0),1)&gt;=100000,INDEX($AB$1005:$AQ$1005,1,MATCH(COLUMNS($AB$1006:AQ1006),$AB$1006:$AQ$1006,0))&gt;=100000), " ",IF(INDEX($AB$2:$AQ$1001,MATCH(ROWS($U$2:U938),$U$2:$U$1001,0),MATCH(COLUMNS($AB$1006:AQ1006),$AB$1006:$AQ$1006,0)), HYPERLINK("#",""), HYPERLINK(CONCATENATE("#metadata!", ADDRESS(INDEX($W$2:$W$1001,MATCH(ROWS($U$2:U938),$U$2:$U$1001,0),0), INDEX($AB$1004:$AQ$1004,1,MATCH(COLUMNS($AB$1006:AQ1006),$AB$1006:$AQ$1006,0)))),"Fix")))</f>
        <v>0</v>
      </c>
      <c r="U938">
        <v>0</v>
      </c>
      <c r="V938">
        <v>0</v>
      </c>
      <c r="W938">
        <v>0</v>
      </c>
      <c r="X938">
        <f>IF(Y938,TRUE,AND(AB938:AQ938))</f>
        <v>0</v>
      </c>
      <c r="Y938">
        <f>COUNTBLANK(metadata!B938:Q938)=COLUMNS(metadata!B938:Q938)</f>
        <v>0</v>
      </c>
      <c r="Z938">
        <v>0</v>
      </c>
      <c r="AB938">
        <f>AND(IF(metadata!B938="",FALSE,TRUE),COUNTIF(metadata!B:B, metadata!B938) = 1,NOT(ISERROR(SUMPRODUCT(SEARCH(MID(metadata!B938,ROW(INDIRECT("1:"&amp;LEN(metadata!B938))), 1),"0123456789abcdefghijklmnopqrstuvwxyzABCDEFGHIJKLMNOPQRSTUVWXYZ.")))))</f>
        <v>0</v>
      </c>
      <c r="AC938">
        <f>OR(AND(IF(metadata!C938="",FALSE,TRUE),OR(exact(metadata!C938,"missing: not collected"),exact(metadata!C938,"missing: not provided"),exact(metadata!C938,"missing: restricted access"))),AND(IF(metadata!C938="",FALSE,TRUE),AND(AND(IFERROR(INT(LEFT(metadata!C938,4))&gt;1900,FALSE),IFERROR(INT(LEFT(metadata!C938,4))&lt;=YEAR(NOW()),FALSE)), OR(MID(metadata!C938,5,1)="", AND(AND(MID(metadata!C938,5,1)="-",IFERROR(INT(MID(metadata!C938,6,1))&gt;=0,FALSE),IFERROR(INT(MID(metadata!C938,6,1))&lt;=1,FALSE),NOT(MID(metadata!C938,7,1)=""),IFERROR(INT(MID(metadata!C938,6,2))&gt;=1,FALSE),IFERROR(INT(MID(metadata!C938,6,2))&lt;=12,FALSE)), OR(MID(metadata!C938,8,1)="", AND(AND(MID(metadata!C938,8,1)="-",IFERROR(INT(MID(metadata!C938,9,1))&gt;=0,FALSE),IFERROR(INT(MID(metadata!C938,9,1))&lt;=3,FALSE),NOT(MID(metadata!C938,10,1)=""),IFERROR(INT(MID(metadata!C938,9,2))&gt;=1,FALSE),IFERROR(INT(MID(metadata!C938,9,2))&lt;=31,FALSE)), OR(MID(metadata!C938,11,1)="", AND(AND(MID(metadata!C938,11,1)=" ",IFERROR(INT(MID(metadata!C938,12,1))&gt;=0,FALSE),IFERROR(INT(MID(metadata!C938,12,1))&lt;=2,FALSE),NOT(MID(metadata!C938,13,1)=""),IFERROR(INT(MID(metadata!C938,12,2))&gt;=0,FALSE),IFERROR(INT(MID(metadata!C938,12,2))&lt;=23,FALSE)), OR(MID(metadata!C938,14,1)="", AND(AND(MID(metadata!C938,14,1)=":",IFERROR(INT(MID(metadata!C938,15,1))&gt;=0,FALSE),IFERROR(INT(MID(metadata!C938,15,1))&lt;=5,FALSE),NOT(MID(metadata!C938,16,1)=""),IFERROR(INT(MID(metadata!C938,15,2))&gt;=0,FALSE),IFERROR(INT(MID(metadata!C938,15,2))&lt;=59,FALSE)), OR(MID(metadata!C938,17,1)="", AND(AND(MID(metadata!C938,17,1)=":",IFERROR(INT(MID(metadata!C938,18,1))&gt;=0,FALSE),IFERROR(INT(MID(metadata!C938,18,1))&lt;=5,FALSE),NOT(MID(metadata!C938,19,1)=""),IFERROR(INT(MID(metadata!C938,18,2))&gt;=0,FALSE),IFERROR(INT(MID(metadata!C938,18,2))&lt;=59,FALSE)), LEN(metadata!C938)&lt;=19)))))))))))))</f>
        <v>0</v>
      </c>
      <c r="AD938">
        <f>IF(metadata!D938="",FALSE,TRUE)</f>
        <v>0</v>
      </c>
      <c r="AE938">
        <f>OR(AND(IF(metadata!E938="",FALSE,TRUE),OR(exact(metadata!E938,"missing: not collected"),exact(metadata!E938,"missing: not provided"))),AND(IF(metadata!E938="",FALSE,TRUE),OR(exact(metadata!E938,"TRUE"),exact(metadata!E938,"FALSE"))))</f>
        <v>0</v>
      </c>
      <c r="AF938">
        <f>IF(metadata!F938="",FALSE,TRUE)</f>
        <v>0</v>
      </c>
      <c r="AG938">
        <f>IF(metadata!G938="",FALSE,TRUE)</f>
        <v>0</v>
      </c>
      <c r="AH938">
        <f>IF(metadata!H938="",FALSE,TRUE)</f>
        <v>0</v>
      </c>
      <c r="AI938">
        <f>OR(AND(IF(metadata!I938="",FALSE,TRUE),OR(exact(metadata!I938,"missing: not collected"),exact(metadata!I938,"missing: not provided"),exact(metadata!I938,"missing: restricted access"))),AND(IF(metadata!I938="",FALSE,TRUE),OR(exact(metadata!I938,"air"),exact(metadata!I938,"built environment"),exact(metadata!I938,"host-associated"),exact(metadata!I938,"human-associated"),exact(metadata!I938,"human-skin"),exact(metadata!I938,"human-oral"),exact(metadata!I938,"human-gut"),exact(metadata!I938,"human-vaginal"),exact(metadata!I938,"microbial mat/biofilm"),exact(metadata!I938,"misc environment"),exact(metadata!I938,"plant-associated"),exact(metadata!I938,"sediment"),exact(metadata!I938,"soil"),exact(metadata!I938,"wastewater/sludge"),exact(metadata!I938,"water"))))</f>
        <v>0</v>
      </c>
      <c r="AJ938">
        <f>IF(metadata!J938="",FALSE,TRUE)</f>
        <v>0</v>
      </c>
      <c r="AK938">
        <f>OR(AND(IF(metadata!K938="",FALSE,TRUE),OR(exact(metadata!K938,"missing: not collected"),exact(metadata!K938,"missing: not provided"),exact(metadata!K938,"missing: restricted access"))),AND(IF(metadata!K938="",FALSE,ISNUMBER(VALUE(metadata!K938))),metadata!K938&gt;=-90.00,metadata!K938&lt;=90.00))</f>
        <v>0</v>
      </c>
      <c r="AL938">
        <f>OR(AND(IF(metadata!L938="",FALSE,TRUE),OR(exact(metadata!L938,"missing: not collected"),exact(metadata!L938,"missing: not provided"),exact(metadata!L938,"missing: restricted access"))),AND(IF(metadata!L938="",FALSE,ISNUMBER(VALUE(metadata!L938))),metadata!L938&gt;=-180.00,metadata!L938&lt;=180.00))</f>
        <v>0</v>
      </c>
      <c r="AM938">
        <f>IF(metadata!M938="",FALSE,TRUE)</f>
        <v>0</v>
      </c>
      <c r="AN938">
        <f>OR(AND(IF(metadata!N938="",FALSE,TRUE),OR(exact(metadata!N938,"missing: not collected"),exact(metadata!N938,"missing: not provided"),exact(metadata!N938,"missing: restricted access"))),AND(IF(metadata!N938="",FALSE,TRUE),OR(exact(metadata!N938,"TRUE"),exact(metadata!N938,"FALSE"))))</f>
        <v>0</v>
      </c>
      <c r="AO938">
        <f>IF(metadata!O938="",FALSE,TRUE)</f>
        <v>0</v>
      </c>
      <c r="AP938">
        <f>OR(AND(IF(metadata!P938="",FALSE,TRUE),OR(exact(metadata!P938,"missing: not collected"),exact(metadata!P938,"missing: not provided"))),AND(IF(metadata!P938="",FALSE,IF(ISERROR(INT(metadata!P938)),FALSE,INT(metadata!P938)=metadata!P938)),metadata!P938&gt;0))</f>
        <v>0</v>
      </c>
      <c r="AQ938">
        <f>IF(metadata!Q938="",FALSE,TRUE)</f>
        <v>0</v>
      </c>
    </row>
    <row r="939" spans="1:43">
      <c r="A939" s="5">
        <f>IF(B939=" "," ",HYPERLINK(CONCATENATE("#metadata!",ADDRESS(INDEX($W$2:$W$1001,MATCH(ROWS($U$2:U939),$U$2:$U$1001,0),0),1)),INDEX($Z$2:$Z$1001,MATCH(ROWS($U$2:U939),$U$2:$U$1001,0),0)))</f>
        <v>0</v>
      </c>
      <c r="B939" s="4">
        <f>IF(OR(INDEX($V$2:$V$1001,MATCH(ROWS($U$2:U939),$U$2:$U$1001,0),1)&gt;=100000,INDEX($AB$1005:$AQ$1005,1,MATCH(COLUMNS($AB$1006:AB1006),$AB$1006:$AQ$1006,0))&gt;=100000), " ",IF(INDEX($AB$2:$AQ$1001,MATCH(ROWS($U$2:U939),$U$2:$U$1001,0),MATCH(COLUMNS($AB$1006:AB1006),$AB$1006:$AQ$1006,0)), HYPERLINK("#",""), HYPERLINK(CONCATENATE("#metadata!", ADDRESS(INDEX($W$2:$W$1001,MATCH(ROWS($U$2:U939),$U$2:$U$1001,0),0), INDEX($AB$1004:$AQ$1004,1,MATCH(COLUMNS($AB$1006:AB1006),$AB$1006:$AQ$1006,0)))),"Fix")))</f>
        <v>0</v>
      </c>
      <c r="C939" s="4">
        <f>IF(OR(INDEX($V$2:$V$1001,MATCH(ROWS($U$2:U939),$U$2:$U$1001,0),1)&gt;=100000,INDEX($AB$1005:$AQ$1005,1,MATCH(COLUMNS($AB$1006:AC1006),$AB$1006:$AQ$1006,0))&gt;=100000), " ",IF(INDEX($AB$2:$AQ$1001,MATCH(ROWS($U$2:U939),$U$2:$U$1001,0),MATCH(COLUMNS($AB$1006:AC1006),$AB$1006:$AQ$1006,0)), HYPERLINK("#",""), HYPERLINK(CONCATENATE("#metadata!", ADDRESS(INDEX($W$2:$W$1001,MATCH(ROWS($U$2:U939),$U$2:$U$1001,0),0), INDEX($AB$1004:$AQ$1004,1,MATCH(COLUMNS($AB$1006:AC1006),$AB$1006:$AQ$1006,0)))),"Fix")))</f>
        <v>0</v>
      </c>
      <c r="D939" s="4">
        <f>IF(OR(INDEX($V$2:$V$1001,MATCH(ROWS($U$2:U939),$U$2:$U$1001,0),1)&gt;=100000,INDEX($AB$1005:$AQ$1005,1,MATCH(COLUMNS($AB$1006:AD1006),$AB$1006:$AQ$1006,0))&gt;=100000), " ",IF(INDEX($AB$2:$AQ$1001,MATCH(ROWS($U$2:U939),$U$2:$U$1001,0),MATCH(COLUMNS($AB$1006:AD1006),$AB$1006:$AQ$1006,0)), HYPERLINK("#",""), HYPERLINK(CONCATENATE("#metadata!", ADDRESS(INDEX($W$2:$W$1001,MATCH(ROWS($U$2:U939),$U$2:$U$1001,0),0), INDEX($AB$1004:$AQ$1004,1,MATCH(COLUMNS($AB$1006:AD1006),$AB$1006:$AQ$1006,0)))),"Fix")))</f>
        <v>0</v>
      </c>
      <c r="E939" s="4">
        <f>IF(OR(INDEX($V$2:$V$1001,MATCH(ROWS($U$2:U939),$U$2:$U$1001,0),1)&gt;=100000,INDEX($AB$1005:$AQ$1005,1,MATCH(COLUMNS($AB$1006:AE1006),$AB$1006:$AQ$1006,0))&gt;=100000), " ",IF(INDEX($AB$2:$AQ$1001,MATCH(ROWS($U$2:U939),$U$2:$U$1001,0),MATCH(COLUMNS($AB$1006:AE1006),$AB$1006:$AQ$1006,0)), HYPERLINK("#",""), HYPERLINK(CONCATENATE("#metadata!", ADDRESS(INDEX($W$2:$W$1001,MATCH(ROWS($U$2:U939),$U$2:$U$1001,0),0), INDEX($AB$1004:$AQ$1004,1,MATCH(COLUMNS($AB$1006:AE1006),$AB$1006:$AQ$1006,0)))),"Fix")))</f>
        <v>0</v>
      </c>
      <c r="F939" s="4">
        <f>IF(OR(INDEX($V$2:$V$1001,MATCH(ROWS($U$2:U939),$U$2:$U$1001,0),1)&gt;=100000,INDEX($AB$1005:$AQ$1005,1,MATCH(COLUMNS($AB$1006:AF1006),$AB$1006:$AQ$1006,0))&gt;=100000), " ",IF(INDEX($AB$2:$AQ$1001,MATCH(ROWS($U$2:U939),$U$2:$U$1001,0),MATCH(COLUMNS($AB$1006:AF1006),$AB$1006:$AQ$1006,0)), HYPERLINK("#",""), HYPERLINK(CONCATENATE("#metadata!", ADDRESS(INDEX($W$2:$W$1001,MATCH(ROWS($U$2:U939),$U$2:$U$1001,0),0), INDEX($AB$1004:$AQ$1004,1,MATCH(COLUMNS($AB$1006:AF1006),$AB$1006:$AQ$1006,0)))),"Fix")))</f>
        <v>0</v>
      </c>
      <c r="G939" s="4">
        <f>IF(OR(INDEX($V$2:$V$1001,MATCH(ROWS($U$2:U939),$U$2:$U$1001,0),1)&gt;=100000,INDEX($AB$1005:$AQ$1005,1,MATCH(COLUMNS($AB$1006:AG1006),$AB$1006:$AQ$1006,0))&gt;=100000), " ",IF(INDEX($AB$2:$AQ$1001,MATCH(ROWS($U$2:U939),$U$2:$U$1001,0),MATCH(COLUMNS($AB$1006:AG1006),$AB$1006:$AQ$1006,0)), HYPERLINK("#",""), HYPERLINK(CONCATENATE("#metadata!", ADDRESS(INDEX($W$2:$W$1001,MATCH(ROWS($U$2:U939),$U$2:$U$1001,0),0), INDEX($AB$1004:$AQ$1004,1,MATCH(COLUMNS($AB$1006:AG1006),$AB$1006:$AQ$1006,0)))),"Fix")))</f>
        <v>0</v>
      </c>
      <c r="H939" s="4">
        <f>IF(OR(INDEX($V$2:$V$1001,MATCH(ROWS($U$2:U939),$U$2:$U$1001,0),1)&gt;=100000,INDEX($AB$1005:$AQ$1005,1,MATCH(COLUMNS($AB$1006:AH1006),$AB$1006:$AQ$1006,0))&gt;=100000), " ",IF(INDEX($AB$2:$AQ$1001,MATCH(ROWS($U$2:U939),$U$2:$U$1001,0),MATCH(COLUMNS($AB$1006:AH1006),$AB$1006:$AQ$1006,0)), HYPERLINK("#",""), HYPERLINK(CONCATENATE("#metadata!", ADDRESS(INDEX($W$2:$W$1001,MATCH(ROWS($U$2:U939),$U$2:$U$1001,0),0), INDEX($AB$1004:$AQ$1004,1,MATCH(COLUMNS($AB$1006:AH1006),$AB$1006:$AQ$1006,0)))),"Fix")))</f>
        <v>0</v>
      </c>
      <c r="I939" s="4">
        <f>IF(OR(INDEX($V$2:$V$1001,MATCH(ROWS($U$2:U939),$U$2:$U$1001,0),1)&gt;=100000,INDEX($AB$1005:$AQ$1005,1,MATCH(COLUMNS($AB$1006:AI1006),$AB$1006:$AQ$1006,0))&gt;=100000), " ",IF(INDEX($AB$2:$AQ$1001,MATCH(ROWS($U$2:U939),$U$2:$U$1001,0),MATCH(COLUMNS($AB$1006:AI1006),$AB$1006:$AQ$1006,0)), HYPERLINK("#",""), HYPERLINK(CONCATENATE("#metadata!", ADDRESS(INDEX($W$2:$W$1001,MATCH(ROWS($U$2:U939),$U$2:$U$1001,0),0), INDEX($AB$1004:$AQ$1004,1,MATCH(COLUMNS($AB$1006:AI1006),$AB$1006:$AQ$1006,0)))),"Fix")))</f>
        <v>0</v>
      </c>
      <c r="J939" s="4">
        <f>IF(OR(INDEX($V$2:$V$1001,MATCH(ROWS($U$2:U939),$U$2:$U$1001,0),1)&gt;=100000,INDEX($AB$1005:$AQ$1005,1,MATCH(COLUMNS($AB$1006:AJ1006),$AB$1006:$AQ$1006,0))&gt;=100000), " ",IF(INDEX($AB$2:$AQ$1001,MATCH(ROWS($U$2:U939),$U$2:$U$1001,0),MATCH(COLUMNS($AB$1006:AJ1006),$AB$1006:$AQ$1006,0)), HYPERLINK("#",""), HYPERLINK(CONCATENATE("#metadata!", ADDRESS(INDEX($W$2:$W$1001,MATCH(ROWS($U$2:U939),$U$2:$U$1001,0),0), INDEX($AB$1004:$AQ$1004,1,MATCH(COLUMNS($AB$1006:AJ1006),$AB$1006:$AQ$1006,0)))),"Fix")))</f>
        <v>0</v>
      </c>
      <c r="K939" s="4">
        <f>IF(OR(INDEX($V$2:$V$1001,MATCH(ROWS($U$2:U939),$U$2:$U$1001,0),1)&gt;=100000,INDEX($AB$1005:$AQ$1005,1,MATCH(COLUMNS($AB$1006:AK1006),$AB$1006:$AQ$1006,0))&gt;=100000), " ",IF(INDEX($AB$2:$AQ$1001,MATCH(ROWS($U$2:U939),$U$2:$U$1001,0),MATCH(COLUMNS($AB$1006:AK1006),$AB$1006:$AQ$1006,0)), HYPERLINK("#",""), HYPERLINK(CONCATENATE("#metadata!", ADDRESS(INDEX($W$2:$W$1001,MATCH(ROWS($U$2:U939),$U$2:$U$1001,0),0), INDEX($AB$1004:$AQ$1004,1,MATCH(COLUMNS($AB$1006:AK1006),$AB$1006:$AQ$1006,0)))),"Fix")))</f>
        <v>0</v>
      </c>
      <c r="L939" s="4">
        <f>IF(OR(INDEX($V$2:$V$1001,MATCH(ROWS($U$2:U939),$U$2:$U$1001,0),1)&gt;=100000,INDEX($AB$1005:$AQ$1005,1,MATCH(COLUMNS($AB$1006:AL1006),$AB$1006:$AQ$1006,0))&gt;=100000), " ",IF(INDEX($AB$2:$AQ$1001,MATCH(ROWS($U$2:U939),$U$2:$U$1001,0),MATCH(COLUMNS($AB$1006:AL1006),$AB$1006:$AQ$1006,0)), HYPERLINK("#",""), HYPERLINK(CONCATENATE("#metadata!", ADDRESS(INDEX($W$2:$W$1001,MATCH(ROWS($U$2:U939),$U$2:$U$1001,0),0), INDEX($AB$1004:$AQ$1004,1,MATCH(COLUMNS($AB$1006:AL1006),$AB$1006:$AQ$1006,0)))),"Fix")))</f>
        <v>0</v>
      </c>
      <c r="M939" s="4">
        <f>IF(OR(INDEX($V$2:$V$1001,MATCH(ROWS($U$2:U939),$U$2:$U$1001,0),1)&gt;=100000,INDEX($AB$1005:$AQ$1005,1,MATCH(COLUMNS($AB$1006:AM1006),$AB$1006:$AQ$1006,0))&gt;=100000), " ",IF(INDEX($AB$2:$AQ$1001,MATCH(ROWS($U$2:U939),$U$2:$U$1001,0),MATCH(COLUMNS($AB$1006:AM1006),$AB$1006:$AQ$1006,0)), HYPERLINK("#",""), HYPERLINK(CONCATENATE("#metadata!", ADDRESS(INDEX($W$2:$W$1001,MATCH(ROWS($U$2:U939),$U$2:$U$1001,0),0), INDEX($AB$1004:$AQ$1004,1,MATCH(COLUMNS($AB$1006:AM1006),$AB$1006:$AQ$1006,0)))),"Fix")))</f>
        <v>0</v>
      </c>
      <c r="N939" s="4">
        <f>IF(OR(INDEX($V$2:$V$1001,MATCH(ROWS($U$2:U939),$U$2:$U$1001,0),1)&gt;=100000,INDEX($AB$1005:$AQ$1005,1,MATCH(COLUMNS($AB$1006:AN1006),$AB$1006:$AQ$1006,0))&gt;=100000), " ",IF(INDEX($AB$2:$AQ$1001,MATCH(ROWS($U$2:U939),$U$2:$U$1001,0),MATCH(COLUMNS($AB$1006:AN1006),$AB$1006:$AQ$1006,0)), HYPERLINK("#",""), HYPERLINK(CONCATENATE("#metadata!", ADDRESS(INDEX($W$2:$W$1001,MATCH(ROWS($U$2:U939),$U$2:$U$1001,0),0), INDEX($AB$1004:$AQ$1004,1,MATCH(COLUMNS($AB$1006:AN1006),$AB$1006:$AQ$1006,0)))),"Fix")))</f>
        <v>0</v>
      </c>
      <c r="O939" s="4">
        <f>IF(OR(INDEX($V$2:$V$1001,MATCH(ROWS($U$2:U939),$U$2:$U$1001,0),1)&gt;=100000,INDEX($AB$1005:$AQ$1005,1,MATCH(COLUMNS($AB$1006:AO1006),$AB$1006:$AQ$1006,0))&gt;=100000), " ",IF(INDEX($AB$2:$AQ$1001,MATCH(ROWS($U$2:U939),$U$2:$U$1001,0),MATCH(COLUMNS($AB$1006:AO1006),$AB$1006:$AQ$1006,0)), HYPERLINK("#",""), HYPERLINK(CONCATENATE("#metadata!", ADDRESS(INDEX($W$2:$W$1001,MATCH(ROWS($U$2:U939),$U$2:$U$1001,0),0), INDEX($AB$1004:$AQ$1004,1,MATCH(COLUMNS($AB$1006:AO1006),$AB$1006:$AQ$1006,0)))),"Fix")))</f>
        <v>0</v>
      </c>
      <c r="P939" s="4">
        <f>IF(OR(INDEX($V$2:$V$1001,MATCH(ROWS($U$2:U939),$U$2:$U$1001,0),1)&gt;=100000,INDEX($AB$1005:$AQ$1005,1,MATCH(COLUMNS($AB$1006:AP1006),$AB$1006:$AQ$1006,0))&gt;=100000), " ",IF(INDEX($AB$2:$AQ$1001,MATCH(ROWS($U$2:U939),$U$2:$U$1001,0),MATCH(COLUMNS($AB$1006:AP1006),$AB$1006:$AQ$1006,0)), HYPERLINK("#",""), HYPERLINK(CONCATENATE("#metadata!", ADDRESS(INDEX($W$2:$W$1001,MATCH(ROWS($U$2:U939),$U$2:$U$1001,0),0), INDEX($AB$1004:$AQ$1004,1,MATCH(COLUMNS($AB$1006:AP1006),$AB$1006:$AQ$1006,0)))),"Fix")))</f>
        <v>0</v>
      </c>
      <c r="Q939" s="4">
        <f>IF(OR(INDEX($V$2:$V$1001,MATCH(ROWS($U$2:U939),$U$2:$U$1001,0),1)&gt;=100000,INDEX($AB$1005:$AQ$1005,1,MATCH(COLUMNS($AB$1006:AQ1006),$AB$1006:$AQ$1006,0))&gt;=100000), " ",IF(INDEX($AB$2:$AQ$1001,MATCH(ROWS($U$2:U939),$U$2:$U$1001,0),MATCH(COLUMNS($AB$1006:AQ1006),$AB$1006:$AQ$1006,0)), HYPERLINK("#",""), HYPERLINK(CONCATENATE("#metadata!", ADDRESS(INDEX($W$2:$W$1001,MATCH(ROWS($U$2:U939),$U$2:$U$1001,0),0), INDEX($AB$1004:$AQ$1004,1,MATCH(COLUMNS($AB$1006:AQ1006),$AB$1006:$AQ$1006,0)))),"Fix")))</f>
        <v>0</v>
      </c>
      <c r="U939">
        <v>0</v>
      </c>
      <c r="V939">
        <v>0</v>
      </c>
      <c r="W939">
        <v>0</v>
      </c>
      <c r="X939">
        <f>IF(Y939,TRUE,AND(AB939:AQ939))</f>
        <v>0</v>
      </c>
      <c r="Y939">
        <f>COUNTBLANK(metadata!B939:Q939)=COLUMNS(metadata!B939:Q939)</f>
        <v>0</v>
      </c>
      <c r="Z939">
        <v>0</v>
      </c>
      <c r="AB939">
        <f>AND(IF(metadata!B939="",FALSE,TRUE),COUNTIF(metadata!B:B, metadata!B939) = 1,NOT(ISERROR(SUMPRODUCT(SEARCH(MID(metadata!B939,ROW(INDIRECT("1:"&amp;LEN(metadata!B939))), 1),"0123456789abcdefghijklmnopqrstuvwxyzABCDEFGHIJKLMNOPQRSTUVWXYZ.")))))</f>
        <v>0</v>
      </c>
      <c r="AC939">
        <f>OR(AND(IF(metadata!C939="",FALSE,TRUE),OR(exact(metadata!C939,"missing: not collected"),exact(metadata!C939,"missing: not provided"),exact(metadata!C939,"missing: restricted access"))),AND(IF(metadata!C939="",FALSE,TRUE),AND(AND(IFERROR(INT(LEFT(metadata!C939,4))&gt;1900,FALSE),IFERROR(INT(LEFT(metadata!C939,4))&lt;=YEAR(NOW()),FALSE)), OR(MID(metadata!C939,5,1)="", AND(AND(MID(metadata!C939,5,1)="-",IFERROR(INT(MID(metadata!C939,6,1))&gt;=0,FALSE),IFERROR(INT(MID(metadata!C939,6,1))&lt;=1,FALSE),NOT(MID(metadata!C939,7,1)=""),IFERROR(INT(MID(metadata!C939,6,2))&gt;=1,FALSE),IFERROR(INT(MID(metadata!C939,6,2))&lt;=12,FALSE)), OR(MID(metadata!C939,8,1)="", AND(AND(MID(metadata!C939,8,1)="-",IFERROR(INT(MID(metadata!C939,9,1))&gt;=0,FALSE),IFERROR(INT(MID(metadata!C939,9,1))&lt;=3,FALSE),NOT(MID(metadata!C939,10,1)=""),IFERROR(INT(MID(metadata!C939,9,2))&gt;=1,FALSE),IFERROR(INT(MID(metadata!C939,9,2))&lt;=31,FALSE)), OR(MID(metadata!C939,11,1)="", AND(AND(MID(metadata!C939,11,1)=" ",IFERROR(INT(MID(metadata!C939,12,1))&gt;=0,FALSE),IFERROR(INT(MID(metadata!C939,12,1))&lt;=2,FALSE),NOT(MID(metadata!C939,13,1)=""),IFERROR(INT(MID(metadata!C939,12,2))&gt;=0,FALSE),IFERROR(INT(MID(metadata!C939,12,2))&lt;=23,FALSE)), OR(MID(metadata!C939,14,1)="", AND(AND(MID(metadata!C939,14,1)=":",IFERROR(INT(MID(metadata!C939,15,1))&gt;=0,FALSE),IFERROR(INT(MID(metadata!C939,15,1))&lt;=5,FALSE),NOT(MID(metadata!C939,16,1)=""),IFERROR(INT(MID(metadata!C939,15,2))&gt;=0,FALSE),IFERROR(INT(MID(metadata!C939,15,2))&lt;=59,FALSE)), OR(MID(metadata!C939,17,1)="", AND(AND(MID(metadata!C939,17,1)=":",IFERROR(INT(MID(metadata!C939,18,1))&gt;=0,FALSE),IFERROR(INT(MID(metadata!C939,18,1))&lt;=5,FALSE),NOT(MID(metadata!C939,19,1)=""),IFERROR(INT(MID(metadata!C939,18,2))&gt;=0,FALSE),IFERROR(INT(MID(metadata!C939,18,2))&lt;=59,FALSE)), LEN(metadata!C939)&lt;=19)))))))))))))</f>
        <v>0</v>
      </c>
      <c r="AD939">
        <f>IF(metadata!D939="",FALSE,TRUE)</f>
        <v>0</v>
      </c>
      <c r="AE939">
        <f>OR(AND(IF(metadata!E939="",FALSE,TRUE),OR(exact(metadata!E939,"missing: not collected"),exact(metadata!E939,"missing: not provided"))),AND(IF(metadata!E939="",FALSE,TRUE),OR(exact(metadata!E939,"TRUE"),exact(metadata!E939,"FALSE"))))</f>
        <v>0</v>
      </c>
      <c r="AF939">
        <f>IF(metadata!F939="",FALSE,TRUE)</f>
        <v>0</v>
      </c>
      <c r="AG939">
        <f>IF(metadata!G939="",FALSE,TRUE)</f>
        <v>0</v>
      </c>
      <c r="AH939">
        <f>IF(metadata!H939="",FALSE,TRUE)</f>
        <v>0</v>
      </c>
      <c r="AI939">
        <f>OR(AND(IF(metadata!I939="",FALSE,TRUE),OR(exact(metadata!I939,"missing: not collected"),exact(metadata!I939,"missing: not provided"),exact(metadata!I939,"missing: restricted access"))),AND(IF(metadata!I939="",FALSE,TRUE),OR(exact(metadata!I939,"air"),exact(metadata!I939,"built environment"),exact(metadata!I939,"host-associated"),exact(metadata!I939,"human-associated"),exact(metadata!I939,"human-skin"),exact(metadata!I939,"human-oral"),exact(metadata!I939,"human-gut"),exact(metadata!I939,"human-vaginal"),exact(metadata!I939,"microbial mat/biofilm"),exact(metadata!I939,"misc environment"),exact(metadata!I939,"plant-associated"),exact(metadata!I939,"sediment"),exact(metadata!I939,"soil"),exact(metadata!I939,"wastewater/sludge"),exact(metadata!I939,"water"))))</f>
        <v>0</v>
      </c>
      <c r="AJ939">
        <f>IF(metadata!J939="",FALSE,TRUE)</f>
        <v>0</v>
      </c>
      <c r="AK939">
        <f>OR(AND(IF(metadata!K939="",FALSE,TRUE),OR(exact(metadata!K939,"missing: not collected"),exact(metadata!K939,"missing: not provided"),exact(metadata!K939,"missing: restricted access"))),AND(IF(metadata!K939="",FALSE,ISNUMBER(VALUE(metadata!K939))),metadata!K939&gt;=-90.00,metadata!K939&lt;=90.00))</f>
        <v>0</v>
      </c>
      <c r="AL939">
        <f>OR(AND(IF(metadata!L939="",FALSE,TRUE),OR(exact(metadata!L939,"missing: not collected"),exact(metadata!L939,"missing: not provided"),exact(metadata!L939,"missing: restricted access"))),AND(IF(metadata!L939="",FALSE,ISNUMBER(VALUE(metadata!L939))),metadata!L939&gt;=-180.00,metadata!L939&lt;=180.00))</f>
        <v>0</v>
      </c>
      <c r="AM939">
        <f>IF(metadata!M939="",FALSE,TRUE)</f>
        <v>0</v>
      </c>
      <c r="AN939">
        <f>OR(AND(IF(metadata!N939="",FALSE,TRUE),OR(exact(metadata!N939,"missing: not collected"),exact(metadata!N939,"missing: not provided"),exact(metadata!N939,"missing: restricted access"))),AND(IF(metadata!N939="",FALSE,TRUE),OR(exact(metadata!N939,"TRUE"),exact(metadata!N939,"FALSE"))))</f>
        <v>0</v>
      </c>
      <c r="AO939">
        <f>IF(metadata!O939="",FALSE,TRUE)</f>
        <v>0</v>
      </c>
      <c r="AP939">
        <f>OR(AND(IF(metadata!P939="",FALSE,TRUE),OR(exact(metadata!P939,"missing: not collected"),exact(metadata!P939,"missing: not provided"))),AND(IF(metadata!P939="",FALSE,IF(ISERROR(INT(metadata!P939)),FALSE,INT(metadata!P939)=metadata!P939)),metadata!P939&gt;0))</f>
        <v>0</v>
      </c>
      <c r="AQ939">
        <f>IF(metadata!Q939="",FALSE,TRUE)</f>
        <v>0</v>
      </c>
    </row>
    <row r="940" spans="1:43">
      <c r="A940" s="5">
        <f>IF(B940=" "," ",HYPERLINK(CONCATENATE("#metadata!",ADDRESS(INDEX($W$2:$W$1001,MATCH(ROWS($U$2:U940),$U$2:$U$1001,0),0),1)),INDEX($Z$2:$Z$1001,MATCH(ROWS($U$2:U940),$U$2:$U$1001,0),0)))</f>
        <v>0</v>
      </c>
      <c r="B940" s="4">
        <f>IF(OR(INDEX($V$2:$V$1001,MATCH(ROWS($U$2:U940),$U$2:$U$1001,0),1)&gt;=100000,INDEX($AB$1005:$AQ$1005,1,MATCH(COLUMNS($AB$1006:AB1006),$AB$1006:$AQ$1006,0))&gt;=100000), " ",IF(INDEX($AB$2:$AQ$1001,MATCH(ROWS($U$2:U940),$U$2:$U$1001,0),MATCH(COLUMNS($AB$1006:AB1006),$AB$1006:$AQ$1006,0)), HYPERLINK("#",""), HYPERLINK(CONCATENATE("#metadata!", ADDRESS(INDEX($W$2:$W$1001,MATCH(ROWS($U$2:U940),$U$2:$U$1001,0),0), INDEX($AB$1004:$AQ$1004,1,MATCH(COLUMNS($AB$1006:AB1006),$AB$1006:$AQ$1006,0)))),"Fix")))</f>
        <v>0</v>
      </c>
      <c r="C940" s="4">
        <f>IF(OR(INDEX($V$2:$V$1001,MATCH(ROWS($U$2:U940),$U$2:$U$1001,0),1)&gt;=100000,INDEX($AB$1005:$AQ$1005,1,MATCH(COLUMNS($AB$1006:AC1006),$AB$1006:$AQ$1006,0))&gt;=100000), " ",IF(INDEX($AB$2:$AQ$1001,MATCH(ROWS($U$2:U940),$U$2:$U$1001,0),MATCH(COLUMNS($AB$1006:AC1006),$AB$1006:$AQ$1006,0)), HYPERLINK("#",""), HYPERLINK(CONCATENATE("#metadata!", ADDRESS(INDEX($W$2:$W$1001,MATCH(ROWS($U$2:U940),$U$2:$U$1001,0),0), INDEX($AB$1004:$AQ$1004,1,MATCH(COLUMNS($AB$1006:AC1006),$AB$1006:$AQ$1006,0)))),"Fix")))</f>
        <v>0</v>
      </c>
      <c r="D940" s="4">
        <f>IF(OR(INDEX($V$2:$V$1001,MATCH(ROWS($U$2:U940),$U$2:$U$1001,0),1)&gt;=100000,INDEX($AB$1005:$AQ$1005,1,MATCH(COLUMNS($AB$1006:AD1006),$AB$1006:$AQ$1006,0))&gt;=100000), " ",IF(INDEX($AB$2:$AQ$1001,MATCH(ROWS($U$2:U940),$U$2:$U$1001,0),MATCH(COLUMNS($AB$1006:AD1006),$AB$1006:$AQ$1006,0)), HYPERLINK("#",""), HYPERLINK(CONCATENATE("#metadata!", ADDRESS(INDEX($W$2:$W$1001,MATCH(ROWS($U$2:U940),$U$2:$U$1001,0),0), INDEX($AB$1004:$AQ$1004,1,MATCH(COLUMNS($AB$1006:AD1006),$AB$1006:$AQ$1006,0)))),"Fix")))</f>
        <v>0</v>
      </c>
      <c r="E940" s="4">
        <f>IF(OR(INDEX($V$2:$V$1001,MATCH(ROWS($U$2:U940),$U$2:$U$1001,0),1)&gt;=100000,INDEX($AB$1005:$AQ$1005,1,MATCH(COLUMNS($AB$1006:AE1006),$AB$1006:$AQ$1006,0))&gt;=100000), " ",IF(INDEX($AB$2:$AQ$1001,MATCH(ROWS($U$2:U940),$U$2:$U$1001,0),MATCH(COLUMNS($AB$1006:AE1006),$AB$1006:$AQ$1006,0)), HYPERLINK("#",""), HYPERLINK(CONCATENATE("#metadata!", ADDRESS(INDEX($W$2:$W$1001,MATCH(ROWS($U$2:U940),$U$2:$U$1001,0),0), INDEX($AB$1004:$AQ$1004,1,MATCH(COLUMNS($AB$1006:AE1006),$AB$1006:$AQ$1006,0)))),"Fix")))</f>
        <v>0</v>
      </c>
      <c r="F940" s="4">
        <f>IF(OR(INDEX($V$2:$V$1001,MATCH(ROWS($U$2:U940),$U$2:$U$1001,0),1)&gt;=100000,INDEX($AB$1005:$AQ$1005,1,MATCH(COLUMNS($AB$1006:AF1006),$AB$1006:$AQ$1006,0))&gt;=100000), " ",IF(INDEX($AB$2:$AQ$1001,MATCH(ROWS($U$2:U940),$U$2:$U$1001,0),MATCH(COLUMNS($AB$1006:AF1006),$AB$1006:$AQ$1006,0)), HYPERLINK("#",""), HYPERLINK(CONCATENATE("#metadata!", ADDRESS(INDEX($W$2:$W$1001,MATCH(ROWS($U$2:U940),$U$2:$U$1001,0),0), INDEX($AB$1004:$AQ$1004,1,MATCH(COLUMNS($AB$1006:AF1006),$AB$1006:$AQ$1006,0)))),"Fix")))</f>
        <v>0</v>
      </c>
      <c r="G940" s="4">
        <f>IF(OR(INDEX($V$2:$V$1001,MATCH(ROWS($U$2:U940),$U$2:$U$1001,0),1)&gt;=100000,INDEX($AB$1005:$AQ$1005,1,MATCH(COLUMNS($AB$1006:AG1006),$AB$1006:$AQ$1006,0))&gt;=100000), " ",IF(INDEX($AB$2:$AQ$1001,MATCH(ROWS($U$2:U940),$U$2:$U$1001,0),MATCH(COLUMNS($AB$1006:AG1006),$AB$1006:$AQ$1006,0)), HYPERLINK("#",""), HYPERLINK(CONCATENATE("#metadata!", ADDRESS(INDEX($W$2:$W$1001,MATCH(ROWS($U$2:U940),$U$2:$U$1001,0),0), INDEX($AB$1004:$AQ$1004,1,MATCH(COLUMNS($AB$1006:AG1006),$AB$1006:$AQ$1006,0)))),"Fix")))</f>
        <v>0</v>
      </c>
      <c r="H940" s="4">
        <f>IF(OR(INDEX($V$2:$V$1001,MATCH(ROWS($U$2:U940),$U$2:$U$1001,0),1)&gt;=100000,INDEX($AB$1005:$AQ$1005,1,MATCH(COLUMNS($AB$1006:AH1006),$AB$1006:$AQ$1006,0))&gt;=100000), " ",IF(INDEX($AB$2:$AQ$1001,MATCH(ROWS($U$2:U940),$U$2:$U$1001,0),MATCH(COLUMNS($AB$1006:AH1006),$AB$1006:$AQ$1006,0)), HYPERLINK("#",""), HYPERLINK(CONCATENATE("#metadata!", ADDRESS(INDEX($W$2:$W$1001,MATCH(ROWS($U$2:U940),$U$2:$U$1001,0),0), INDEX($AB$1004:$AQ$1004,1,MATCH(COLUMNS($AB$1006:AH1006),$AB$1006:$AQ$1006,0)))),"Fix")))</f>
        <v>0</v>
      </c>
      <c r="I940" s="4">
        <f>IF(OR(INDEX($V$2:$V$1001,MATCH(ROWS($U$2:U940),$U$2:$U$1001,0),1)&gt;=100000,INDEX($AB$1005:$AQ$1005,1,MATCH(COLUMNS($AB$1006:AI1006),$AB$1006:$AQ$1006,0))&gt;=100000), " ",IF(INDEX($AB$2:$AQ$1001,MATCH(ROWS($U$2:U940),$U$2:$U$1001,0),MATCH(COLUMNS($AB$1006:AI1006),$AB$1006:$AQ$1006,0)), HYPERLINK("#",""), HYPERLINK(CONCATENATE("#metadata!", ADDRESS(INDEX($W$2:$W$1001,MATCH(ROWS($U$2:U940),$U$2:$U$1001,0),0), INDEX($AB$1004:$AQ$1004,1,MATCH(COLUMNS($AB$1006:AI1006),$AB$1006:$AQ$1006,0)))),"Fix")))</f>
        <v>0</v>
      </c>
      <c r="J940" s="4">
        <f>IF(OR(INDEX($V$2:$V$1001,MATCH(ROWS($U$2:U940),$U$2:$U$1001,0),1)&gt;=100000,INDEX($AB$1005:$AQ$1005,1,MATCH(COLUMNS($AB$1006:AJ1006),$AB$1006:$AQ$1006,0))&gt;=100000), " ",IF(INDEX($AB$2:$AQ$1001,MATCH(ROWS($U$2:U940),$U$2:$U$1001,0),MATCH(COLUMNS($AB$1006:AJ1006),$AB$1006:$AQ$1006,0)), HYPERLINK("#",""), HYPERLINK(CONCATENATE("#metadata!", ADDRESS(INDEX($W$2:$W$1001,MATCH(ROWS($U$2:U940),$U$2:$U$1001,0),0), INDEX($AB$1004:$AQ$1004,1,MATCH(COLUMNS($AB$1006:AJ1006),$AB$1006:$AQ$1006,0)))),"Fix")))</f>
        <v>0</v>
      </c>
      <c r="K940" s="4">
        <f>IF(OR(INDEX($V$2:$V$1001,MATCH(ROWS($U$2:U940),$U$2:$U$1001,0),1)&gt;=100000,INDEX($AB$1005:$AQ$1005,1,MATCH(COLUMNS($AB$1006:AK1006),$AB$1006:$AQ$1006,0))&gt;=100000), " ",IF(INDEX($AB$2:$AQ$1001,MATCH(ROWS($U$2:U940),$U$2:$U$1001,0),MATCH(COLUMNS($AB$1006:AK1006),$AB$1006:$AQ$1006,0)), HYPERLINK("#",""), HYPERLINK(CONCATENATE("#metadata!", ADDRESS(INDEX($W$2:$W$1001,MATCH(ROWS($U$2:U940),$U$2:$U$1001,0),0), INDEX($AB$1004:$AQ$1004,1,MATCH(COLUMNS($AB$1006:AK1006),$AB$1006:$AQ$1006,0)))),"Fix")))</f>
        <v>0</v>
      </c>
      <c r="L940" s="4">
        <f>IF(OR(INDEX($V$2:$V$1001,MATCH(ROWS($U$2:U940),$U$2:$U$1001,0),1)&gt;=100000,INDEX($AB$1005:$AQ$1005,1,MATCH(COLUMNS($AB$1006:AL1006),$AB$1006:$AQ$1006,0))&gt;=100000), " ",IF(INDEX($AB$2:$AQ$1001,MATCH(ROWS($U$2:U940),$U$2:$U$1001,0),MATCH(COLUMNS($AB$1006:AL1006),$AB$1006:$AQ$1006,0)), HYPERLINK("#",""), HYPERLINK(CONCATENATE("#metadata!", ADDRESS(INDEX($W$2:$W$1001,MATCH(ROWS($U$2:U940),$U$2:$U$1001,0),0), INDEX($AB$1004:$AQ$1004,1,MATCH(COLUMNS($AB$1006:AL1006),$AB$1006:$AQ$1006,0)))),"Fix")))</f>
        <v>0</v>
      </c>
      <c r="M940" s="4">
        <f>IF(OR(INDEX($V$2:$V$1001,MATCH(ROWS($U$2:U940),$U$2:$U$1001,0),1)&gt;=100000,INDEX($AB$1005:$AQ$1005,1,MATCH(COLUMNS($AB$1006:AM1006),$AB$1006:$AQ$1006,0))&gt;=100000), " ",IF(INDEX($AB$2:$AQ$1001,MATCH(ROWS($U$2:U940),$U$2:$U$1001,0),MATCH(COLUMNS($AB$1006:AM1006),$AB$1006:$AQ$1006,0)), HYPERLINK("#",""), HYPERLINK(CONCATENATE("#metadata!", ADDRESS(INDEX($W$2:$W$1001,MATCH(ROWS($U$2:U940),$U$2:$U$1001,0),0), INDEX($AB$1004:$AQ$1004,1,MATCH(COLUMNS($AB$1006:AM1006),$AB$1006:$AQ$1006,0)))),"Fix")))</f>
        <v>0</v>
      </c>
      <c r="N940" s="4">
        <f>IF(OR(INDEX($V$2:$V$1001,MATCH(ROWS($U$2:U940),$U$2:$U$1001,0),1)&gt;=100000,INDEX($AB$1005:$AQ$1005,1,MATCH(COLUMNS($AB$1006:AN1006),$AB$1006:$AQ$1006,0))&gt;=100000), " ",IF(INDEX($AB$2:$AQ$1001,MATCH(ROWS($U$2:U940),$U$2:$U$1001,0),MATCH(COLUMNS($AB$1006:AN1006),$AB$1006:$AQ$1006,0)), HYPERLINK("#",""), HYPERLINK(CONCATENATE("#metadata!", ADDRESS(INDEX($W$2:$W$1001,MATCH(ROWS($U$2:U940),$U$2:$U$1001,0),0), INDEX($AB$1004:$AQ$1004,1,MATCH(COLUMNS($AB$1006:AN1006),$AB$1006:$AQ$1006,0)))),"Fix")))</f>
        <v>0</v>
      </c>
      <c r="O940" s="4">
        <f>IF(OR(INDEX($V$2:$V$1001,MATCH(ROWS($U$2:U940),$U$2:$U$1001,0),1)&gt;=100000,INDEX($AB$1005:$AQ$1005,1,MATCH(COLUMNS($AB$1006:AO1006),$AB$1006:$AQ$1006,0))&gt;=100000), " ",IF(INDEX($AB$2:$AQ$1001,MATCH(ROWS($U$2:U940),$U$2:$U$1001,0),MATCH(COLUMNS($AB$1006:AO1006),$AB$1006:$AQ$1006,0)), HYPERLINK("#",""), HYPERLINK(CONCATENATE("#metadata!", ADDRESS(INDEX($W$2:$W$1001,MATCH(ROWS($U$2:U940),$U$2:$U$1001,0),0), INDEX($AB$1004:$AQ$1004,1,MATCH(COLUMNS($AB$1006:AO1006),$AB$1006:$AQ$1006,0)))),"Fix")))</f>
        <v>0</v>
      </c>
      <c r="P940" s="4">
        <f>IF(OR(INDEX($V$2:$V$1001,MATCH(ROWS($U$2:U940),$U$2:$U$1001,0),1)&gt;=100000,INDEX($AB$1005:$AQ$1005,1,MATCH(COLUMNS($AB$1006:AP1006),$AB$1006:$AQ$1006,0))&gt;=100000), " ",IF(INDEX($AB$2:$AQ$1001,MATCH(ROWS($U$2:U940),$U$2:$U$1001,0),MATCH(COLUMNS($AB$1006:AP1006),$AB$1006:$AQ$1006,0)), HYPERLINK("#",""), HYPERLINK(CONCATENATE("#metadata!", ADDRESS(INDEX($W$2:$W$1001,MATCH(ROWS($U$2:U940),$U$2:$U$1001,0),0), INDEX($AB$1004:$AQ$1004,1,MATCH(COLUMNS($AB$1006:AP1006),$AB$1006:$AQ$1006,0)))),"Fix")))</f>
        <v>0</v>
      </c>
      <c r="Q940" s="4">
        <f>IF(OR(INDEX($V$2:$V$1001,MATCH(ROWS($U$2:U940),$U$2:$U$1001,0),1)&gt;=100000,INDEX($AB$1005:$AQ$1005,1,MATCH(COLUMNS($AB$1006:AQ1006),$AB$1006:$AQ$1006,0))&gt;=100000), " ",IF(INDEX($AB$2:$AQ$1001,MATCH(ROWS($U$2:U940),$U$2:$U$1001,0),MATCH(COLUMNS($AB$1006:AQ1006),$AB$1006:$AQ$1006,0)), HYPERLINK("#",""), HYPERLINK(CONCATENATE("#metadata!", ADDRESS(INDEX($W$2:$W$1001,MATCH(ROWS($U$2:U940),$U$2:$U$1001,0),0), INDEX($AB$1004:$AQ$1004,1,MATCH(COLUMNS($AB$1006:AQ1006),$AB$1006:$AQ$1006,0)))),"Fix")))</f>
        <v>0</v>
      </c>
      <c r="U940">
        <v>0</v>
      </c>
      <c r="V940">
        <v>0</v>
      </c>
      <c r="W940">
        <v>0</v>
      </c>
      <c r="X940">
        <f>IF(Y940,TRUE,AND(AB940:AQ940))</f>
        <v>0</v>
      </c>
      <c r="Y940">
        <f>COUNTBLANK(metadata!B940:Q940)=COLUMNS(metadata!B940:Q940)</f>
        <v>0</v>
      </c>
      <c r="Z940">
        <v>0</v>
      </c>
      <c r="AB940">
        <f>AND(IF(metadata!B940="",FALSE,TRUE),COUNTIF(metadata!B:B, metadata!B940) = 1,NOT(ISERROR(SUMPRODUCT(SEARCH(MID(metadata!B940,ROW(INDIRECT("1:"&amp;LEN(metadata!B940))), 1),"0123456789abcdefghijklmnopqrstuvwxyzABCDEFGHIJKLMNOPQRSTUVWXYZ.")))))</f>
        <v>0</v>
      </c>
      <c r="AC940">
        <f>OR(AND(IF(metadata!C940="",FALSE,TRUE),OR(exact(metadata!C940,"missing: not collected"),exact(metadata!C940,"missing: not provided"),exact(metadata!C940,"missing: restricted access"))),AND(IF(metadata!C940="",FALSE,TRUE),AND(AND(IFERROR(INT(LEFT(metadata!C940,4))&gt;1900,FALSE),IFERROR(INT(LEFT(metadata!C940,4))&lt;=YEAR(NOW()),FALSE)), OR(MID(metadata!C940,5,1)="", AND(AND(MID(metadata!C940,5,1)="-",IFERROR(INT(MID(metadata!C940,6,1))&gt;=0,FALSE),IFERROR(INT(MID(metadata!C940,6,1))&lt;=1,FALSE),NOT(MID(metadata!C940,7,1)=""),IFERROR(INT(MID(metadata!C940,6,2))&gt;=1,FALSE),IFERROR(INT(MID(metadata!C940,6,2))&lt;=12,FALSE)), OR(MID(metadata!C940,8,1)="", AND(AND(MID(metadata!C940,8,1)="-",IFERROR(INT(MID(metadata!C940,9,1))&gt;=0,FALSE),IFERROR(INT(MID(metadata!C940,9,1))&lt;=3,FALSE),NOT(MID(metadata!C940,10,1)=""),IFERROR(INT(MID(metadata!C940,9,2))&gt;=1,FALSE),IFERROR(INT(MID(metadata!C940,9,2))&lt;=31,FALSE)), OR(MID(metadata!C940,11,1)="", AND(AND(MID(metadata!C940,11,1)=" ",IFERROR(INT(MID(metadata!C940,12,1))&gt;=0,FALSE),IFERROR(INT(MID(metadata!C940,12,1))&lt;=2,FALSE),NOT(MID(metadata!C940,13,1)=""),IFERROR(INT(MID(metadata!C940,12,2))&gt;=0,FALSE),IFERROR(INT(MID(metadata!C940,12,2))&lt;=23,FALSE)), OR(MID(metadata!C940,14,1)="", AND(AND(MID(metadata!C940,14,1)=":",IFERROR(INT(MID(metadata!C940,15,1))&gt;=0,FALSE),IFERROR(INT(MID(metadata!C940,15,1))&lt;=5,FALSE),NOT(MID(metadata!C940,16,1)=""),IFERROR(INT(MID(metadata!C940,15,2))&gt;=0,FALSE),IFERROR(INT(MID(metadata!C940,15,2))&lt;=59,FALSE)), OR(MID(metadata!C940,17,1)="", AND(AND(MID(metadata!C940,17,1)=":",IFERROR(INT(MID(metadata!C940,18,1))&gt;=0,FALSE),IFERROR(INT(MID(metadata!C940,18,1))&lt;=5,FALSE),NOT(MID(metadata!C940,19,1)=""),IFERROR(INT(MID(metadata!C940,18,2))&gt;=0,FALSE),IFERROR(INT(MID(metadata!C940,18,2))&lt;=59,FALSE)), LEN(metadata!C940)&lt;=19)))))))))))))</f>
        <v>0</v>
      </c>
      <c r="AD940">
        <f>IF(metadata!D940="",FALSE,TRUE)</f>
        <v>0</v>
      </c>
      <c r="AE940">
        <f>OR(AND(IF(metadata!E940="",FALSE,TRUE),OR(exact(metadata!E940,"missing: not collected"),exact(metadata!E940,"missing: not provided"))),AND(IF(metadata!E940="",FALSE,TRUE),OR(exact(metadata!E940,"TRUE"),exact(metadata!E940,"FALSE"))))</f>
        <v>0</v>
      </c>
      <c r="AF940">
        <f>IF(metadata!F940="",FALSE,TRUE)</f>
        <v>0</v>
      </c>
      <c r="AG940">
        <f>IF(metadata!G940="",FALSE,TRUE)</f>
        <v>0</v>
      </c>
      <c r="AH940">
        <f>IF(metadata!H940="",FALSE,TRUE)</f>
        <v>0</v>
      </c>
      <c r="AI940">
        <f>OR(AND(IF(metadata!I940="",FALSE,TRUE),OR(exact(metadata!I940,"missing: not collected"),exact(metadata!I940,"missing: not provided"),exact(metadata!I940,"missing: restricted access"))),AND(IF(metadata!I940="",FALSE,TRUE),OR(exact(metadata!I940,"air"),exact(metadata!I940,"built environment"),exact(metadata!I940,"host-associated"),exact(metadata!I940,"human-associated"),exact(metadata!I940,"human-skin"),exact(metadata!I940,"human-oral"),exact(metadata!I940,"human-gut"),exact(metadata!I940,"human-vaginal"),exact(metadata!I940,"microbial mat/biofilm"),exact(metadata!I940,"misc environment"),exact(metadata!I940,"plant-associated"),exact(metadata!I940,"sediment"),exact(metadata!I940,"soil"),exact(metadata!I940,"wastewater/sludge"),exact(metadata!I940,"water"))))</f>
        <v>0</v>
      </c>
      <c r="AJ940">
        <f>IF(metadata!J940="",FALSE,TRUE)</f>
        <v>0</v>
      </c>
      <c r="AK940">
        <f>OR(AND(IF(metadata!K940="",FALSE,TRUE),OR(exact(metadata!K940,"missing: not collected"),exact(metadata!K940,"missing: not provided"),exact(metadata!K940,"missing: restricted access"))),AND(IF(metadata!K940="",FALSE,ISNUMBER(VALUE(metadata!K940))),metadata!K940&gt;=-90.00,metadata!K940&lt;=90.00))</f>
        <v>0</v>
      </c>
      <c r="AL940">
        <f>OR(AND(IF(metadata!L940="",FALSE,TRUE),OR(exact(metadata!L940,"missing: not collected"),exact(metadata!L940,"missing: not provided"),exact(metadata!L940,"missing: restricted access"))),AND(IF(metadata!L940="",FALSE,ISNUMBER(VALUE(metadata!L940))),metadata!L940&gt;=-180.00,metadata!L940&lt;=180.00))</f>
        <v>0</v>
      </c>
      <c r="AM940">
        <f>IF(metadata!M940="",FALSE,TRUE)</f>
        <v>0</v>
      </c>
      <c r="AN940">
        <f>OR(AND(IF(metadata!N940="",FALSE,TRUE),OR(exact(metadata!N940,"missing: not collected"),exact(metadata!N940,"missing: not provided"),exact(metadata!N940,"missing: restricted access"))),AND(IF(metadata!N940="",FALSE,TRUE),OR(exact(metadata!N940,"TRUE"),exact(metadata!N940,"FALSE"))))</f>
        <v>0</v>
      </c>
      <c r="AO940">
        <f>IF(metadata!O940="",FALSE,TRUE)</f>
        <v>0</v>
      </c>
      <c r="AP940">
        <f>OR(AND(IF(metadata!P940="",FALSE,TRUE),OR(exact(metadata!P940,"missing: not collected"),exact(metadata!P940,"missing: not provided"))),AND(IF(metadata!P940="",FALSE,IF(ISERROR(INT(metadata!P940)),FALSE,INT(metadata!P940)=metadata!P940)),metadata!P940&gt;0))</f>
        <v>0</v>
      </c>
      <c r="AQ940">
        <f>IF(metadata!Q940="",FALSE,TRUE)</f>
        <v>0</v>
      </c>
    </row>
    <row r="941" spans="1:43">
      <c r="A941" s="5">
        <f>IF(B941=" "," ",HYPERLINK(CONCATENATE("#metadata!",ADDRESS(INDEX($W$2:$W$1001,MATCH(ROWS($U$2:U941),$U$2:$U$1001,0),0),1)),INDEX($Z$2:$Z$1001,MATCH(ROWS($U$2:U941),$U$2:$U$1001,0),0)))</f>
        <v>0</v>
      </c>
      <c r="B941" s="4">
        <f>IF(OR(INDEX($V$2:$V$1001,MATCH(ROWS($U$2:U941),$U$2:$U$1001,0),1)&gt;=100000,INDEX($AB$1005:$AQ$1005,1,MATCH(COLUMNS($AB$1006:AB1006),$AB$1006:$AQ$1006,0))&gt;=100000), " ",IF(INDEX($AB$2:$AQ$1001,MATCH(ROWS($U$2:U941),$U$2:$U$1001,0),MATCH(COLUMNS($AB$1006:AB1006),$AB$1006:$AQ$1006,0)), HYPERLINK("#",""), HYPERLINK(CONCATENATE("#metadata!", ADDRESS(INDEX($W$2:$W$1001,MATCH(ROWS($U$2:U941),$U$2:$U$1001,0),0), INDEX($AB$1004:$AQ$1004,1,MATCH(COLUMNS($AB$1006:AB1006),$AB$1006:$AQ$1006,0)))),"Fix")))</f>
        <v>0</v>
      </c>
      <c r="C941" s="4">
        <f>IF(OR(INDEX($V$2:$V$1001,MATCH(ROWS($U$2:U941),$U$2:$U$1001,0),1)&gt;=100000,INDEX($AB$1005:$AQ$1005,1,MATCH(COLUMNS($AB$1006:AC1006),$AB$1006:$AQ$1006,0))&gt;=100000), " ",IF(INDEX($AB$2:$AQ$1001,MATCH(ROWS($U$2:U941),$U$2:$U$1001,0),MATCH(COLUMNS($AB$1006:AC1006),$AB$1006:$AQ$1006,0)), HYPERLINK("#",""), HYPERLINK(CONCATENATE("#metadata!", ADDRESS(INDEX($W$2:$W$1001,MATCH(ROWS($U$2:U941),$U$2:$U$1001,0),0), INDEX($AB$1004:$AQ$1004,1,MATCH(COLUMNS($AB$1006:AC1006),$AB$1006:$AQ$1006,0)))),"Fix")))</f>
        <v>0</v>
      </c>
      <c r="D941" s="4">
        <f>IF(OR(INDEX($V$2:$V$1001,MATCH(ROWS($U$2:U941),$U$2:$U$1001,0),1)&gt;=100000,INDEX($AB$1005:$AQ$1005,1,MATCH(COLUMNS($AB$1006:AD1006),$AB$1006:$AQ$1006,0))&gt;=100000), " ",IF(INDEX($AB$2:$AQ$1001,MATCH(ROWS($U$2:U941),$U$2:$U$1001,0),MATCH(COLUMNS($AB$1006:AD1006),$AB$1006:$AQ$1006,0)), HYPERLINK("#",""), HYPERLINK(CONCATENATE("#metadata!", ADDRESS(INDEX($W$2:$W$1001,MATCH(ROWS($U$2:U941),$U$2:$U$1001,0),0), INDEX($AB$1004:$AQ$1004,1,MATCH(COLUMNS($AB$1006:AD1006),$AB$1006:$AQ$1006,0)))),"Fix")))</f>
        <v>0</v>
      </c>
      <c r="E941" s="4">
        <f>IF(OR(INDEX($V$2:$V$1001,MATCH(ROWS($U$2:U941),$U$2:$U$1001,0),1)&gt;=100000,INDEX($AB$1005:$AQ$1005,1,MATCH(COLUMNS($AB$1006:AE1006),$AB$1006:$AQ$1006,0))&gt;=100000), " ",IF(INDEX($AB$2:$AQ$1001,MATCH(ROWS($U$2:U941),$U$2:$U$1001,0),MATCH(COLUMNS($AB$1006:AE1006),$AB$1006:$AQ$1006,0)), HYPERLINK("#",""), HYPERLINK(CONCATENATE("#metadata!", ADDRESS(INDEX($W$2:$W$1001,MATCH(ROWS($U$2:U941),$U$2:$U$1001,0),0), INDEX($AB$1004:$AQ$1004,1,MATCH(COLUMNS($AB$1006:AE1006),$AB$1006:$AQ$1006,0)))),"Fix")))</f>
        <v>0</v>
      </c>
      <c r="F941" s="4">
        <f>IF(OR(INDEX($V$2:$V$1001,MATCH(ROWS($U$2:U941),$U$2:$U$1001,0),1)&gt;=100000,INDEX($AB$1005:$AQ$1005,1,MATCH(COLUMNS($AB$1006:AF1006),$AB$1006:$AQ$1006,0))&gt;=100000), " ",IF(INDEX($AB$2:$AQ$1001,MATCH(ROWS($U$2:U941),$U$2:$U$1001,0),MATCH(COLUMNS($AB$1006:AF1006),$AB$1006:$AQ$1006,0)), HYPERLINK("#",""), HYPERLINK(CONCATENATE("#metadata!", ADDRESS(INDEX($W$2:$W$1001,MATCH(ROWS($U$2:U941),$U$2:$U$1001,0),0), INDEX($AB$1004:$AQ$1004,1,MATCH(COLUMNS($AB$1006:AF1006),$AB$1006:$AQ$1006,0)))),"Fix")))</f>
        <v>0</v>
      </c>
      <c r="G941" s="4">
        <f>IF(OR(INDEX($V$2:$V$1001,MATCH(ROWS($U$2:U941),$U$2:$U$1001,0),1)&gt;=100000,INDEX($AB$1005:$AQ$1005,1,MATCH(COLUMNS($AB$1006:AG1006),$AB$1006:$AQ$1006,0))&gt;=100000), " ",IF(INDEX($AB$2:$AQ$1001,MATCH(ROWS($U$2:U941),$U$2:$U$1001,0),MATCH(COLUMNS($AB$1006:AG1006),$AB$1006:$AQ$1006,0)), HYPERLINK("#",""), HYPERLINK(CONCATENATE("#metadata!", ADDRESS(INDEX($W$2:$W$1001,MATCH(ROWS($U$2:U941),$U$2:$U$1001,0),0), INDEX($AB$1004:$AQ$1004,1,MATCH(COLUMNS($AB$1006:AG1006),$AB$1006:$AQ$1006,0)))),"Fix")))</f>
        <v>0</v>
      </c>
      <c r="H941" s="4">
        <f>IF(OR(INDEX($V$2:$V$1001,MATCH(ROWS($U$2:U941),$U$2:$U$1001,0),1)&gt;=100000,INDEX($AB$1005:$AQ$1005,1,MATCH(COLUMNS($AB$1006:AH1006),$AB$1006:$AQ$1006,0))&gt;=100000), " ",IF(INDEX($AB$2:$AQ$1001,MATCH(ROWS($U$2:U941),$U$2:$U$1001,0),MATCH(COLUMNS($AB$1006:AH1006),$AB$1006:$AQ$1006,0)), HYPERLINK("#",""), HYPERLINK(CONCATENATE("#metadata!", ADDRESS(INDEX($W$2:$W$1001,MATCH(ROWS($U$2:U941),$U$2:$U$1001,0),0), INDEX($AB$1004:$AQ$1004,1,MATCH(COLUMNS($AB$1006:AH1006),$AB$1006:$AQ$1006,0)))),"Fix")))</f>
        <v>0</v>
      </c>
      <c r="I941" s="4">
        <f>IF(OR(INDEX($V$2:$V$1001,MATCH(ROWS($U$2:U941),$U$2:$U$1001,0),1)&gt;=100000,INDEX($AB$1005:$AQ$1005,1,MATCH(COLUMNS($AB$1006:AI1006),$AB$1006:$AQ$1006,0))&gt;=100000), " ",IF(INDEX($AB$2:$AQ$1001,MATCH(ROWS($U$2:U941),$U$2:$U$1001,0),MATCH(COLUMNS($AB$1006:AI1006),$AB$1006:$AQ$1006,0)), HYPERLINK("#",""), HYPERLINK(CONCATENATE("#metadata!", ADDRESS(INDEX($W$2:$W$1001,MATCH(ROWS($U$2:U941),$U$2:$U$1001,0),0), INDEX($AB$1004:$AQ$1004,1,MATCH(COLUMNS($AB$1006:AI1006),$AB$1006:$AQ$1006,0)))),"Fix")))</f>
        <v>0</v>
      </c>
      <c r="J941" s="4">
        <f>IF(OR(INDEX($V$2:$V$1001,MATCH(ROWS($U$2:U941),$U$2:$U$1001,0),1)&gt;=100000,INDEX($AB$1005:$AQ$1005,1,MATCH(COLUMNS($AB$1006:AJ1006),$AB$1006:$AQ$1006,0))&gt;=100000), " ",IF(INDEX($AB$2:$AQ$1001,MATCH(ROWS($U$2:U941),$U$2:$U$1001,0),MATCH(COLUMNS($AB$1006:AJ1006),$AB$1006:$AQ$1006,0)), HYPERLINK("#",""), HYPERLINK(CONCATENATE("#metadata!", ADDRESS(INDEX($W$2:$W$1001,MATCH(ROWS($U$2:U941),$U$2:$U$1001,0),0), INDEX($AB$1004:$AQ$1004,1,MATCH(COLUMNS($AB$1006:AJ1006),$AB$1006:$AQ$1006,0)))),"Fix")))</f>
        <v>0</v>
      </c>
      <c r="K941" s="4">
        <f>IF(OR(INDEX($V$2:$V$1001,MATCH(ROWS($U$2:U941),$U$2:$U$1001,0),1)&gt;=100000,INDEX($AB$1005:$AQ$1005,1,MATCH(COLUMNS($AB$1006:AK1006),$AB$1006:$AQ$1006,0))&gt;=100000), " ",IF(INDEX($AB$2:$AQ$1001,MATCH(ROWS($U$2:U941),$U$2:$U$1001,0),MATCH(COLUMNS($AB$1006:AK1006),$AB$1006:$AQ$1006,0)), HYPERLINK("#",""), HYPERLINK(CONCATENATE("#metadata!", ADDRESS(INDEX($W$2:$W$1001,MATCH(ROWS($U$2:U941),$U$2:$U$1001,0),0), INDEX($AB$1004:$AQ$1004,1,MATCH(COLUMNS($AB$1006:AK1006),$AB$1006:$AQ$1006,0)))),"Fix")))</f>
        <v>0</v>
      </c>
      <c r="L941" s="4">
        <f>IF(OR(INDEX($V$2:$V$1001,MATCH(ROWS($U$2:U941),$U$2:$U$1001,0),1)&gt;=100000,INDEX($AB$1005:$AQ$1005,1,MATCH(COLUMNS($AB$1006:AL1006),$AB$1006:$AQ$1006,0))&gt;=100000), " ",IF(INDEX($AB$2:$AQ$1001,MATCH(ROWS($U$2:U941),$U$2:$U$1001,0),MATCH(COLUMNS($AB$1006:AL1006),$AB$1006:$AQ$1006,0)), HYPERLINK("#",""), HYPERLINK(CONCATENATE("#metadata!", ADDRESS(INDEX($W$2:$W$1001,MATCH(ROWS($U$2:U941),$U$2:$U$1001,0),0), INDEX($AB$1004:$AQ$1004,1,MATCH(COLUMNS($AB$1006:AL1006),$AB$1006:$AQ$1006,0)))),"Fix")))</f>
        <v>0</v>
      </c>
      <c r="M941" s="4">
        <f>IF(OR(INDEX($V$2:$V$1001,MATCH(ROWS($U$2:U941),$U$2:$U$1001,0),1)&gt;=100000,INDEX($AB$1005:$AQ$1005,1,MATCH(COLUMNS($AB$1006:AM1006),$AB$1006:$AQ$1006,0))&gt;=100000), " ",IF(INDEX($AB$2:$AQ$1001,MATCH(ROWS($U$2:U941),$U$2:$U$1001,0),MATCH(COLUMNS($AB$1006:AM1006),$AB$1006:$AQ$1006,0)), HYPERLINK("#",""), HYPERLINK(CONCATENATE("#metadata!", ADDRESS(INDEX($W$2:$W$1001,MATCH(ROWS($U$2:U941),$U$2:$U$1001,0),0), INDEX($AB$1004:$AQ$1004,1,MATCH(COLUMNS($AB$1006:AM1006),$AB$1006:$AQ$1006,0)))),"Fix")))</f>
        <v>0</v>
      </c>
      <c r="N941" s="4">
        <f>IF(OR(INDEX($V$2:$V$1001,MATCH(ROWS($U$2:U941),$U$2:$U$1001,0),1)&gt;=100000,INDEX($AB$1005:$AQ$1005,1,MATCH(COLUMNS($AB$1006:AN1006),$AB$1006:$AQ$1006,0))&gt;=100000), " ",IF(INDEX($AB$2:$AQ$1001,MATCH(ROWS($U$2:U941),$U$2:$U$1001,0),MATCH(COLUMNS($AB$1006:AN1006),$AB$1006:$AQ$1006,0)), HYPERLINK("#",""), HYPERLINK(CONCATENATE("#metadata!", ADDRESS(INDEX($W$2:$W$1001,MATCH(ROWS($U$2:U941),$U$2:$U$1001,0),0), INDEX($AB$1004:$AQ$1004,1,MATCH(COLUMNS($AB$1006:AN1006),$AB$1006:$AQ$1006,0)))),"Fix")))</f>
        <v>0</v>
      </c>
      <c r="O941" s="4">
        <f>IF(OR(INDEX($V$2:$V$1001,MATCH(ROWS($U$2:U941),$U$2:$U$1001,0),1)&gt;=100000,INDEX($AB$1005:$AQ$1005,1,MATCH(COLUMNS($AB$1006:AO1006),$AB$1006:$AQ$1006,0))&gt;=100000), " ",IF(INDEX($AB$2:$AQ$1001,MATCH(ROWS($U$2:U941),$U$2:$U$1001,0),MATCH(COLUMNS($AB$1006:AO1006),$AB$1006:$AQ$1006,0)), HYPERLINK("#",""), HYPERLINK(CONCATENATE("#metadata!", ADDRESS(INDEX($W$2:$W$1001,MATCH(ROWS($U$2:U941),$U$2:$U$1001,0),0), INDEX($AB$1004:$AQ$1004,1,MATCH(COLUMNS($AB$1006:AO1006),$AB$1006:$AQ$1006,0)))),"Fix")))</f>
        <v>0</v>
      </c>
      <c r="P941" s="4">
        <f>IF(OR(INDEX($V$2:$V$1001,MATCH(ROWS($U$2:U941),$U$2:$U$1001,0),1)&gt;=100000,INDEX($AB$1005:$AQ$1005,1,MATCH(COLUMNS($AB$1006:AP1006),$AB$1006:$AQ$1006,0))&gt;=100000), " ",IF(INDEX($AB$2:$AQ$1001,MATCH(ROWS($U$2:U941),$U$2:$U$1001,0),MATCH(COLUMNS($AB$1006:AP1006),$AB$1006:$AQ$1006,0)), HYPERLINK("#",""), HYPERLINK(CONCATENATE("#metadata!", ADDRESS(INDEX($W$2:$W$1001,MATCH(ROWS($U$2:U941),$U$2:$U$1001,0),0), INDEX($AB$1004:$AQ$1004,1,MATCH(COLUMNS($AB$1006:AP1006),$AB$1006:$AQ$1006,0)))),"Fix")))</f>
        <v>0</v>
      </c>
      <c r="Q941" s="4">
        <f>IF(OR(INDEX($V$2:$V$1001,MATCH(ROWS($U$2:U941),$U$2:$U$1001,0),1)&gt;=100000,INDEX($AB$1005:$AQ$1005,1,MATCH(COLUMNS($AB$1006:AQ1006),$AB$1006:$AQ$1006,0))&gt;=100000), " ",IF(INDEX($AB$2:$AQ$1001,MATCH(ROWS($U$2:U941),$U$2:$U$1001,0),MATCH(COLUMNS($AB$1006:AQ1006),$AB$1006:$AQ$1006,0)), HYPERLINK("#",""), HYPERLINK(CONCATENATE("#metadata!", ADDRESS(INDEX($W$2:$W$1001,MATCH(ROWS($U$2:U941),$U$2:$U$1001,0),0), INDEX($AB$1004:$AQ$1004,1,MATCH(COLUMNS($AB$1006:AQ1006),$AB$1006:$AQ$1006,0)))),"Fix")))</f>
        <v>0</v>
      </c>
      <c r="U941">
        <v>0</v>
      </c>
      <c r="V941">
        <v>0</v>
      </c>
      <c r="W941">
        <v>0</v>
      </c>
      <c r="X941">
        <f>IF(Y941,TRUE,AND(AB941:AQ941))</f>
        <v>0</v>
      </c>
      <c r="Y941">
        <f>COUNTBLANK(metadata!B941:Q941)=COLUMNS(metadata!B941:Q941)</f>
        <v>0</v>
      </c>
      <c r="Z941">
        <v>0</v>
      </c>
      <c r="AB941">
        <f>AND(IF(metadata!B941="",FALSE,TRUE),COUNTIF(metadata!B:B, metadata!B941) = 1,NOT(ISERROR(SUMPRODUCT(SEARCH(MID(metadata!B941,ROW(INDIRECT("1:"&amp;LEN(metadata!B941))), 1),"0123456789abcdefghijklmnopqrstuvwxyzABCDEFGHIJKLMNOPQRSTUVWXYZ.")))))</f>
        <v>0</v>
      </c>
      <c r="AC941">
        <f>OR(AND(IF(metadata!C941="",FALSE,TRUE),OR(exact(metadata!C941,"missing: not collected"),exact(metadata!C941,"missing: not provided"),exact(metadata!C941,"missing: restricted access"))),AND(IF(metadata!C941="",FALSE,TRUE),AND(AND(IFERROR(INT(LEFT(metadata!C941,4))&gt;1900,FALSE),IFERROR(INT(LEFT(metadata!C941,4))&lt;=YEAR(NOW()),FALSE)), OR(MID(metadata!C941,5,1)="", AND(AND(MID(metadata!C941,5,1)="-",IFERROR(INT(MID(metadata!C941,6,1))&gt;=0,FALSE),IFERROR(INT(MID(metadata!C941,6,1))&lt;=1,FALSE),NOT(MID(metadata!C941,7,1)=""),IFERROR(INT(MID(metadata!C941,6,2))&gt;=1,FALSE),IFERROR(INT(MID(metadata!C941,6,2))&lt;=12,FALSE)), OR(MID(metadata!C941,8,1)="", AND(AND(MID(metadata!C941,8,1)="-",IFERROR(INT(MID(metadata!C941,9,1))&gt;=0,FALSE),IFERROR(INT(MID(metadata!C941,9,1))&lt;=3,FALSE),NOT(MID(metadata!C941,10,1)=""),IFERROR(INT(MID(metadata!C941,9,2))&gt;=1,FALSE),IFERROR(INT(MID(metadata!C941,9,2))&lt;=31,FALSE)), OR(MID(metadata!C941,11,1)="", AND(AND(MID(metadata!C941,11,1)=" ",IFERROR(INT(MID(metadata!C941,12,1))&gt;=0,FALSE),IFERROR(INT(MID(metadata!C941,12,1))&lt;=2,FALSE),NOT(MID(metadata!C941,13,1)=""),IFERROR(INT(MID(metadata!C941,12,2))&gt;=0,FALSE),IFERROR(INT(MID(metadata!C941,12,2))&lt;=23,FALSE)), OR(MID(metadata!C941,14,1)="", AND(AND(MID(metadata!C941,14,1)=":",IFERROR(INT(MID(metadata!C941,15,1))&gt;=0,FALSE),IFERROR(INT(MID(metadata!C941,15,1))&lt;=5,FALSE),NOT(MID(metadata!C941,16,1)=""),IFERROR(INT(MID(metadata!C941,15,2))&gt;=0,FALSE),IFERROR(INT(MID(metadata!C941,15,2))&lt;=59,FALSE)), OR(MID(metadata!C941,17,1)="", AND(AND(MID(metadata!C941,17,1)=":",IFERROR(INT(MID(metadata!C941,18,1))&gt;=0,FALSE),IFERROR(INT(MID(metadata!C941,18,1))&lt;=5,FALSE),NOT(MID(metadata!C941,19,1)=""),IFERROR(INT(MID(metadata!C941,18,2))&gt;=0,FALSE),IFERROR(INT(MID(metadata!C941,18,2))&lt;=59,FALSE)), LEN(metadata!C941)&lt;=19)))))))))))))</f>
        <v>0</v>
      </c>
      <c r="AD941">
        <f>IF(metadata!D941="",FALSE,TRUE)</f>
        <v>0</v>
      </c>
      <c r="AE941">
        <f>OR(AND(IF(metadata!E941="",FALSE,TRUE),OR(exact(metadata!E941,"missing: not collected"),exact(metadata!E941,"missing: not provided"))),AND(IF(metadata!E941="",FALSE,TRUE),OR(exact(metadata!E941,"TRUE"),exact(metadata!E941,"FALSE"))))</f>
        <v>0</v>
      </c>
      <c r="AF941">
        <f>IF(metadata!F941="",FALSE,TRUE)</f>
        <v>0</v>
      </c>
      <c r="AG941">
        <f>IF(metadata!G941="",FALSE,TRUE)</f>
        <v>0</v>
      </c>
      <c r="AH941">
        <f>IF(metadata!H941="",FALSE,TRUE)</f>
        <v>0</v>
      </c>
      <c r="AI941">
        <f>OR(AND(IF(metadata!I941="",FALSE,TRUE),OR(exact(metadata!I941,"missing: not collected"),exact(metadata!I941,"missing: not provided"),exact(metadata!I941,"missing: restricted access"))),AND(IF(metadata!I941="",FALSE,TRUE),OR(exact(metadata!I941,"air"),exact(metadata!I941,"built environment"),exact(metadata!I941,"host-associated"),exact(metadata!I941,"human-associated"),exact(metadata!I941,"human-skin"),exact(metadata!I941,"human-oral"),exact(metadata!I941,"human-gut"),exact(metadata!I941,"human-vaginal"),exact(metadata!I941,"microbial mat/biofilm"),exact(metadata!I941,"misc environment"),exact(metadata!I941,"plant-associated"),exact(metadata!I941,"sediment"),exact(metadata!I941,"soil"),exact(metadata!I941,"wastewater/sludge"),exact(metadata!I941,"water"))))</f>
        <v>0</v>
      </c>
      <c r="AJ941">
        <f>IF(metadata!J941="",FALSE,TRUE)</f>
        <v>0</v>
      </c>
      <c r="AK941">
        <f>OR(AND(IF(metadata!K941="",FALSE,TRUE),OR(exact(metadata!K941,"missing: not collected"),exact(metadata!K941,"missing: not provided"),exact(metadata!K941,"missing: restricted access"))),AND(IF(metadata!K941="",FALSE,ISNUMBER(VALUE(metadata!K941))),metadata!K941&gt;=-90.00,metadata!K941&lt;=90.00))</f>
        <v>0</v>
      </c>
      <c r="AL941">
        <f>OR(AND(IF(metadata!L941="",FALSE,TRUE),OR(exact(metadata!L941,"missing: not collected"),exact(metadata!L941,"missing: not provided"),exact(metadata!L941,"missing: restricted access"))),AND(IF(metadata!L941="",FALSE,ISNUMBER(VALUE(metadata!L941))),metadata!L941&gt;=-180.00,metadata!L941&lt;=180.00))</f>
        <v>0</v>
      </c>
      <c r="AM941">
        <f>IF(metadata!M941="",FALSE,TRUE)</f>
        <v>0</v>
      </c>
      <c r="AN941">
        <f>OR(AND(IF(metadata!N941="",FALSE,TRUE),OR(exact(metadata!N941,"missing: not collected"),exact(metadata!N941,"missing: not provided"),exact(metadata!N941,"missing: restricted access"))),AND(IF(metadata!N941="",FALSE,TRUE),OR(exact(metadata!N941,"TRUE"),exact(metadata!N941,"FALSE"))))</f>
        <v>0</v>
      </c>
      <c r="AO941">
        <f>IF(metadata!O941="",FALSE,TRUE)</f>
        <v>0</v>
      </c>
      <c r="AP941">
        <f>OR(AND(IF(metadata!P941="",FALSE,TRUE),OR(exact(metadata!P941,"missing: not collected"),exact(metadata!P941,"missing: not provided"))),AND(IF(metadata!P941="",FALSE,IF(ISERROR(INT(metadata!P941)),FALSE,INT(metadata!P941)=metadata!P941)),metadata!P941&gt;0))</f>
        <v>0</v>
      </c>
      <c r="AQ941">
        <f>IF(metadata!Q941="",FALSE,TRUE)</f>
        <v>0</v>
      </c>
    </row>
    <row r="942" spans="1:43">
      <c r="A942" s="5">
        <f>IF(B942=" "," ",HYPERLINK(CONCATENATE("#metadata!",ADDRESS(INDEX($W$2:$W$1001,MATCH(ROWS($U$2:U942),$U$2:$U$1001,0),0),1)),INDEX($Z$2:$Z$1001,MATCH(ROWS($U$2:U942),$U$2:$U$1001,0),0)))</f>
        <v>0</v>
      </c>
      <c r="B942" s="4">
        <f>IF(OR(INDEX($V$2:$V$1001,MATCH(ROWS($U$2:U942),$U$2:$U$1001,0),1)&gt;=100000,INDEX($AB$1005:$AQ$1005,1,MATCH(COLUMNS($AB$1006:AB1006),$AB$1006:$AQ$1006,0))&gt;=100000), " ",IF(INDEX($AB$2:$AQ$1001,MATCH(ROWS($U$2:U942),$U$2:$U$1001,0),MATCH(COLUMNS($AB$1006:AB1006),$AB$1006:$AQ$1006,0)), HYPERLINK("#",""), HYPERLINK(CONCATENATE("#metadata!", ADDRESS(INDEX($W$2:$W$1001,MATCH(ROWS($U$2:U942),$U$2:$U$1001,0),0), INDEX($AB$1004:$AQ$1004,1,MATCH(COLUMNS($AB$1006:AB1006),$AB$1006:$AQ$1006,0)))),"Fix")))</f>
        <v>0</v>
      </c>
      <c r="C942" s="4">
        <f>IF(OR(INDEX($V$2:$V$1001,MATCH(ROWS($U$2:U942),$U$2:$U$1001,0),1)&gt;=100000,INDEX($AB$1005:$AQ$1005,1,MATCH(COLUMNS($AB$1006:AC1006),$AB$1006:$AQ$1006,0))&gt;=100000), " ",IF(INDEX($AB$2:$AQ$1001,MATCH(ROWS($U$2:U942),$U$2:$U$1001,0),MATCH(COLUMNS($AB$1006:AC1006),$AB$1006:$AQ$1006,0)), HYPERLINK("#",""), HYPERLINK(CONCATENATE("#metadata!", ADDRESS(INDEX($W$2:$W$1001,MATCH(ROWS($U$2:U942),$U$2:$U$1001,0),0), INDEX($AB$1004:$AQ$1004,1,MATCH(COLUMNS($AB$1006:AC1006),$AB$1006:$AQ$1006,0)))),"Fix")))</f>
        <v>0</v>
      </c>
      <c r="D942" s="4">
        <f>IF(OR(INDEX($V$2:$V$1001,MATCH(ROWS($U$2:U942),$U$2:$U$1001,0),1)&gt;=100000,INDEX($AB$1005:$AQ$1005,1,MATCH(COLUMNS($AB$1006:AD1006),$AB$1006:$AQ$1006,0))&gt;=100000), " ",IF(INDEX($AB$2:$AQ$1001,MATCH(ROWS($U$2:U942),$U$2:$U$1001,0),MATCH(COLUMNS($AB$1006:AD1006),$AB$1006:$AQ$1006,0)), HYPERLINK("#",""), HYPERLINK(CONCATENATE("#metadata!", ADDRESS(INDEX($W$2:$W$1001,MATCH(ROWS($U$2:U942),$U$2:$U$1001,0),0), INDEX($AB$1004:$AQ$1004,1,MATCH(COLUMNS($AB$1006:AD1006),$AB$1006:$AQ$1006,0)))),"Fix")))</f>
        <v>0</v>
      </c>
      <c r="E942" s="4">
        <f>IF(OR(INDEX($V$2:$V$1001,MATCH(ROWS($U$2:U942),$U$2:$U$1001,0),1)&gt;=100000,INDEX($AB$1005:$AQ$1005,1,MATCH(COLUMNS($AB$1006:AE1006),$AB$1006:$AQ$1006,0))&gt;=100000), " ",IF(INDEX($AB$2:$AQ$1001,MATCH(ROWS($U$2:U942),$U$2:$U$1001,0),MATCH(COLUMNS($AB$1006:AE1006),$AB$1006:$AQ$1006,0)), HYPERLINK("#",""), HYPERLINK(CONCATENATE("#metadata!", ADDRESS(INDEX($W$2:$W$1001,MATCH(ROWS($U$2:U942),$U$2:$U$1001,0),0), INDEX($AB$1004:$AQ$1004,1,MATCH(COLUMNS($AB$1006:AE1006),$AB$1006:$AQ$1006,0)))),"Fix")))</f>
        <v>0</v>
      </c>
      <c r="F942" s="4">
        <f>IF(OR(INDEX($V$2:$V$1001,MATCH(ROWS($U$2:U942),$U$2:$U$1001,0),1)&gt;=100000,INDEX($AB$1005:$AQ$1005,1,MATCH(COLUMNS($AB$1006:AF1006),$AB$1006:$AQ$1006,0))&gt;=100000), " ",IF(INDEX($AB$2:$AQ$1001,MATCH(ROWS($U$2:U942),$U$2:$U$1001,0),MATCH(COLUMNS($AB$1006:AF1006),$AB$1006:$AQ$1006,0)), HYPERLINK("#",""), HYPERLINK(CONCATENATE("#metadata!", ADDRESS(INDEX($W$2:$W$1001,MATCH(ROWS($U$2:U942),$U$2:$U$1001,0),0), INDEX($AB$1004:$AQ$1004,1,MATCH(COLUMNS($AB$1006:AF1006),$AB$1006:$AQ$1006,0)))),"Fix")))</f>
        <v>0</v>
      </c>
      <c r="G942" s="4">
        <f>IF(OR(INDEX($V$2:$V$1001,MATCH(ROWS($U$2:U942),$U$2:$U$1001,0),1)&gt;=100000,INDEX($AB$1005:$AQ$1005,1,MATCH(COLUMNS($AB$1006:AG1006),$AB$1006:$AQ$1006,0))&gt;=100000), " ",IF(INDEX($AB$2:$AQ$1001,MATCH(ROWS($U$2:U942),$U$2:$U$1001,0),MATCH(COLUMNS($AB$1006:AG1006),$AB$1006:$AQ$1006,0)), HYPERLINK("#",""), HYPERLINK(CONCATENATE("#metadata!", ADDRESS(INDEX($W$2:$W$1001,MATCH(ROWS($U$2:U942),$U$2:$U$1001,0),0), INDEX($AB$1004:$AQ$1004,1,MATCH(COLUMNS($AB$1006:AG1006),$AB$1006:$AQ$1006,0)))),"Fix")))</f>
        <v>0</v>
      </c>
      <c r="H942" s="4">
        <f>IF(OR(INDEX($V$2:$V$1001,MATCH(ROWS($U$2:U942),$U$2:$U$1001,0),1)&gt;=100000,INDEX($AB$1005:$AQ$1005,1,MATCH(COLUMNS($AB$1006:AH1006),$AB$1006:$AQ$1006,0))&gt;=100000), " ",IF(INDEX($AB$2:$AQ$1001,MATCH(ROWS($U$2:U942),$U$2:$U$1001,0),MATCH(COLUMNS($AB$1006:AH1006),$AB$1006:$AQ$1006,0)), HYPERLINK("#",""), HYPERLINK(CONCATENATE("#metadata!", ADDRESS(INDEX($W$2:$W$1001,MATCH(ROWS($U$2:U942),$U$2:$U$1001,0),0), INDEX($AB$1004:$AQ$1004,1,MATCH(COLUMNS($AB$1006:AH1006),$AB$1006:$AQ$1006,0)))),"Fix")))</f>
        <v>0</v>
      </c>
      <c r="I942" s="4">
        <f>IF(OR(INDEX($V$2:$V$1001,MATCH(ROWS($U$2:U942),$U$2:$U$1001,0),1)&gt;=100000,INDEX($AB$1005:$AQ$1005,1,MATCH(COLUMNS($AB$1006:AI1006),$AB$1006:$AQ$1006,0))&gt;=100000), " ",IF(INDEX($AB$2:$AQ$1001,MATCH(ROWS($U$2:U942),$U$2:$U$1001,0),MATCH(COLUMNS($AB$1006:AI1006),$AB$1006:$AQ$1006,0)), HYPERLINK("#",""), HYPERLINK(CONCATENATE("#metadata!", ADDRESS(INDEX($W$2:$W$1001,MATCH(ROWS($U$2:U942),$U$2:$U$1001,0),0), INDEX($AB$1004:$AQ$1004,1,MATCH(COLUMNS($AB$1006:AI1006),$AB$1006:$AQ$1006,0)))),"Fix")))</f>
        <v>0</v>
      </c>
      <c r="J942" s="4">
        <f>IF(OR(INDEX($V$2:$V$1001,MATCH(ROWS($U$2:U942),$U$2:$U$1001,0),1)&gt;=100000,INDEX($AB$1005:$AQ$1005,1,MATCH(COLUMNS($AB$1006:AJ1006),$AB$1006:$AQ$1006,0))&gt;=100000), " ",IF(INDEX($AB$2:$AQ$1001,MATCH(ROWS($U$2:U942),$U$2:$U$1001,0),MATCH(COLUMNS($AB$1006:AJ1006),$AB$1006:$AQ$1006,0)), HYPERLINK("#",""), HYPERLINK(CONCATENATE("#metadata!", ADDRESS(INDEX($W$2:$W$1001,MATCH(ROWS($U$2:U942),$U$2:$U$1001,0),0), INDEX($AB$1004:$AQ$1004,1,MATCH(COLUMNS($AB$1006:AJ1006),$AB$1006:$AQ$1006,0)))),"Fix")))</f>
        <v>0</v>
      </c>
      <c r="K942" s="4">
        <f>IF(OR(INDEX($V$2:$V$1001,MATCH(ROWS($U$2:U942),$U$2:$U$1001,0),1)&gt;=100000,INDEX($AB$1005:$AQ$1005,1,MATCH(COLUMNS($AB$1006:AK1006),$AB$1006:$AQ$1006,0))&gt;=100000), " ",IF(INDEX($AB$2:$AQ$1001,MATCH(ROWS($U$2:U942),$U$2:$U$1001,0),MATCH(COLUMNS($AB$1006:AK1006),$AB$1006:$AQ$1006,0)), HYPERLINK("#",""), HYPERLINK(CONCATENATE("#metadata!", ADDRESS(INDEX($W$2:$W$1001,MATCH(ROWS($U$2:U942),$U$2:$U$1001,0),0), INDEX($AB$1004:$AQ$1004,1,MATCH(COLUMNS($AB$1006:AK1006),$AB$1006:$AQ$1006,0)))),"Fix")))</f>
        <v>0</v>
      </c>
      <c r="L942" s="4">
        <f>IF(OR(INDEX($V$2:$V$1001,MATCH(ROWS($U$2:U942),$U$2:$U$1001,0),1)&gt;=100000,INDEX($AB$1005:$AQ$1005,1,MATCH(COLUMNS($AB$1006:AL1006),$AB$1006:$AQ$1006,0))&gt;=100000), " ",IF(INDEX($AB$2:$AQ$1001,MATCH(ROWS($U$2:U942),$U$2:$U$1001,0),MATCH(COLUMNS($AB$1006:AL1006),$AB$1006:$AQ$1006,0)), HYPERLINK("#",""), HYPERLINK(CONCATENATE("#metadata!", ADDRESS(INDEX($W$2:$W$1001,MATCH(ROWS($U$2:U942),$U$2:$U$1001,0),0), INDEX($AB$1004:$AQ$1004,1,MATCH(COLUMNS($AB$1006:AL1006),$AB$1006:$AQ$1006,0)))),"Fix")))</f>
        <v>0</v>
      </c>
      <c r="M942" s="4">
        <f>IF(OR(INDEX($V$2:$V$1001,MATCH(ROWS($U$2:U942),$U$2:$U$1001,0),1)&gt;=100000,INDEX($AB$1005:$AQ$1005,1,MATCH(COLUMNS($AB$1006:AM1006),$AB$1006:$AQ$1006,0))&gt;=100000), " ",IF(INDEX($AB$2:$AQ$1001,MATCH(ROWS($U$2:U942),$U$2:$U$1001,0),MATCH(COLUMNS($AB$1006:AM1006),$AB$1006:$AQ$1006,0)), HYPERLINK("#",""), HYPERLINK(CONCATENATE("#metadata!", ADDRESS(INDEX($W$2:$W$1001,MATCH(ROWS($U$2:U942),$U$2:$U$1001,0),0), INDEX($AB$1004:$AQ$1004,1,MATCH(COLUMNS($AB$1006:AM1006),$AB$1006:$AQ$1006,0)))),"Fix")))</f>
        <v>0</v>
      </c>
      <c r="N942" s="4">
        <f>IF(OR(INDEX($V$2:$V$1001,MATCH(ROWS($U$2:U942),$U$2:$U$1001,0),1)&gt;=100000,INDEX($AB$1005:$AQ$1005,1,MATCH(COLUMNS($AB$1006:AN1006),$AB$1006:$AQ$1006,0))&gt;=100000), " ",IF(INDEX($AB$2:$AQ$1001,MATCH(ROWS($U$2:U942),$U$2:$U$1001,0),MATCH(COLUMNS($AB$1006:AN1006),$AB$1006:$AQ$1006,0)), HYPERLINK("#",""), HYPERLINK(CONCATENATE("#metadata!", ADDRESS(INDEX($W$2:$W$1001,MATCH(ROWS($U$2:U942),$U$2:$U$1001,0),0), INDEX($AB$1004:$AQ$1004,1,MATCH(COLUMNS($AB$1006:AN1006),$AB$1006:$AQ$1006,0)))),"Fix")))</f>
        <v>0</v>
      </c>
      <c r="O942" s="4">
        <f>IF(OR(INDEX($V$2:$V$1001,MATCH(ROWS($U$2:U942),$U$2:$U$1001,0),1)&gt;=100000,INDEX($AB$1005:$AQ$1005,1,MATCH(COLUMNS($AB$1006:AO1006),$AB$1006:$AQ$1006,0))&gt;=100000), " ",IF(INDEX($AB$2:$AQ$1001,MATCH(ROWS($U$2:U942),$U$2:$U$1001,0),MATCH(COLUMNS($AB$1006:AO1006),$AB$1006:$AQ$1006,0)), HYPERLINK("#",""), HYPERLINK(CONCATENATE("#metadata!", ADDRESS(INDEX($W$2:$W$1001,MATCH(ROWS($U$2:U942),$U$2:$U$1001,0),0), INDEX($AB$1004:$AQ$1004,1,MATCH(COLUMNS($AB$1006:AO1006),$AB$1006:$AQ$1006,0)))),"Fix")))</f>
        <v>0</v>
      </c>
      <c r="P942" s="4">
        <f>IF(OR(INDEX($V$2:$V$1001,MATCH(ROWS($U$2:U942),$U$2:$U$1001,0),1)&gt;=100000,INDEX($AB$1005:$AQ$1005,1,MATCH(COLUMNS($AB$1006:AP1006),$AB$1006:$AQ$1006,0))&gt;=100000), " ",IF(INDEX($AB$2:$AQ$1001,MATCH(ROWS($U$2:U942),$U$2:$U$1001,0),MATCH(COLUMNS($AB$1006:AP1006),$AB$1006:$AQ$1006,0)), HYPERLINK("#",""), HYPERLINK(CONCATENATE("#metadata!", ADDRESS(INDEX($W$2:$W$1001,MATCH(ROWS($U$2:U942),$U$2:$U$1001,0),0), INDEX($AB$1004:$AQ$1004,1,MATCH(COLUMNS($AB$1006:AP1006),$AB$1006:$AQ$1006,0)))),"Fix")))</f>
        <v>0</v>
      </c>
      <c r="Q942" s="4">
        <f>IF(OR(INDEX($V$2:$V$1001,MATCH(ROWS($U$2:U942),$U$2:$U$1001,0),1)&gt;=100000,INDEX($AB$1005:$AQ$1005,1,MATCH(COLUMNS($AB$1006:AQ1006),$AB$1006:$AQ$1006,0))&gt;=100000), " ",IF(INDEX($AB$2:$AQ$1001,MATCH(ROWS($U$2:U942),$U$2:$U$1001,0),MATCH(COLUMNS($AB$1006:AQ1006),$AB$1006:$AQ$1006,0)), HYPERLINK("#",""), HYPERLINK(CONCATENATE("#metadata!", ADDRESS(INDEX($W$2:$W$1001,MATCH(ROWS($U$2:U942),$U$2:$U$1001,0),0), INDEX($AB$1004:$AQ$1004,1,MATCH(COLUMNS($AB$1006:AQ1006),$AB$1006:$AQ$1006,0)))),"Fix")))</f>
        <v>0</v>
      </c>
      <c r="U942">
        <v>0</v>
      </c>
      <c r="V942">
        <v>0</v>
      </c>
      <c r="W942">
        <v>0</v>
      </c>
      <c r="X942">
        <f>IF(Y942,TRUE,AND(AB942:AQ942))</f>
        <v>0</v>
      </c>
      <c r="Y942">
        <f>COUNTBLANK(metadata!B942:Q942)=COLUMNS(metadata!B942:Q942)</f>
        <v>0</v>
      </c>
      <c r="Z942">
        <v>0</v>
      </c>
      <c r="AB942">
        <f>AND(IF(metadata!B942="",FALSE,TRUE),COUNTIF(metadata!B:B, metadata!B942) = 1,NOT(ISERROR(SUMPRODUCT(SEARCH(MID(metadata!B942,ROW(INDIRECT("1:"&amp;LEN(metadata!B942))), 1),"0123456789abcdefghijklmnopqrstuvwxyzABCDEFGHIJKLMNOPQRSTUVWXYZ.")))))</f>
        <v>0</v>
      </c>
      <c r="AC942">
        <f>OR(AND(IF(metadata!C942="",FALSE,TRUE),OR(exact(metadata!C942,"missing: not collected"),exact(metadata!C942,"missing: not provided"),exact(metadata!C942,"missing: restricted access"))),AND(IF(metadata!C942="",FALSE,TRUE),AND(AND(IFERROR(INT(LEFT(metadata!C942,4))&gt;1900,FALSE),IFERROR(INT(LEFT(metadata!C942,4))&lt;=YEAR(NOW()),FALSE)), OR(MID(metadata!C942,5,1)="", AND(AND(MID(metadata!C942,5,1)="-",IFERROR(INT(MID(metadata!C942,6,1))&gt;=0,FALSE),IFERROR(INT(MID(metadata!C942,6,1))&lt;=1,FALSE),NOT(MID(metadata!C942,7,1)=""),IFERROR(INT(MID(metadata!C942,6,2))&gt;=1,FALSE),IFERROR(INT(MID(metadata!C942,6,2))&lt;=12,FALSE)), OR(MID(metadata!C942,8,1)="", AND(AND(MID(metadata!C942,8,1)="-",IFERROR(INT(MID(metadata!C942,9,1))&gt;=0,FALSE),IFERROR(INT(MID(metadata!C942,9,1))&lt;=3,FALSE),NOT(MID(metadata!C942,10,1)=""),IFERROR(INT(MID(metadata!C942,9,2))&gt;=1,FALSE),IFERROR(INT(MID(metadata!C942,9,2))&lt;=31,FALSE)), OR(MID(metadata!C942,11,1)="", AND(AND(MID(metadata!C942,11,1)=" ",IFERROR(INT(MID(metadata!C942,12,1))&gt;=0,FALSE),IFERROR(INT(MID(metadata!C942,12,1))&lt;=2,FALSE),NOT(MID(metadata!C942,13,1)=""),IFERROR(INT(MID(metadata!C942,12,2))&gt;=0,FALSE),IFERROR(INT(MID(metadata!C942,12,2))&lt;=23,FALSE)), OR(MID(metadata!C942,14,1)="", AND(AND(MID(metadata!C942,14,1)=":",IFERROR(INT(MID(metadata!C942,15,1))&gt;=0,FALSE),IFERROR(INT(MID(metadata!C942,15,1))&lt;=5,FALSE),NOT(MID(metadata!C942,16,1)=""),IFERROR(INT(MID(metadata!C942,15,2))&gt;=0,FALSE),IFERROR(INT(MID(metadata!C942,15,2))&lt;=59,FALSE)), OR(MID(metadata!C942,17,1)="", AND(AND(MID(metadata!C942,17,1)=":",IFERROR(INT(MID(metadata!C942,18,1))&gt;=0,FALSE),IFERROR(INT(MID(metadata!C942,18,1))&lt;=5,FALSE),NOT(MID(metadata!C942,19,1)=""),IFERROR(INT(MID(metadata!C942,18,2))&gt;=0,FALSE),IFERROR(INT(MID(metadata!C942,18,2))&lt;=59,FALSE)), LEN(metadata!C942)&lt;=19)))))))))))))</f>
        <v>0</v>
      </c>
      <c r="AD942">
        <f>IF(metadata!D942="",FALSE,TRUE)</f>
        <v>0</v>
      </c>
      <c r="AE942">
        <f>OR(AND(IF(metadata!E942="",FALSE,TRUE),OR(exact(metadata!E942,"missing: not collected"),exact(metadata!E942,"missing: not provided"))),AND(IF(metadata!E942="",FALSE,TRUE),OR(exact(metadata!E942,"TRUE"),exact(metadata!E942,"FALSE"))))</f>
        <v>0</v>
      </c>
      <c r="AF942">
        <f>IF(metadata!F942="",FALSE,TRUE)</f>
        <v>0</v>
      </c>
      <c r="AG942">
        <f>IF(metadata!G942="",FALSE,TRUE)</f>
        <v>0</v>
      </c>
      <c r="AH942">
        <f>IF(metadata!H942="",FALSE,TRUE)</f>
        <v>0</v>
      </c>
      <c r="AI942">
        <f>OR(AND(IF(metadata!I942="",FALSE,TRUE),OR(exact(metadata!I942,"missing: not collected"),exact(metadata!I942,"missing: not provided"),exact(metadata!I942,"missing: restricted access"))),AND(IF(metadata!I942="",FALSE,TRUE),OR(exact(metadata!I942,"air"),exact(metadata!I942,"built environment"),exact(metadata!I942,"host-associated"),exact(metadata!I942,"human-associated"),exact(metadata!I942,"human-skin"),exact(metadata!I942,"human-oral"),exact(metadata!I942,"human-gut"),exact(metadata!I942,"human-vaginal"),exact(metadata!I942,"microbial mat/biofilm"),exact(metadata!I942,"misc environment"),exact(metadata!I942,"plant-associated"),exact(metadata!I942,"sediment"),exact(metadata!I942,"soil"),exact(metadata!I942,"wastewater/sludge"),exact(metadata!I942,"water"))))</f>
        <v>0</v>
      </c>
      <c r="AJ942">
        <f>IF(metadata!J942="",FALSE,TRUE)</f>
        <v>0</v>
      </c>
      <c r="AK942">
        <f>OR(AND(IF(metadata!K942="",FALSE,TRUE),OR(exact(metadata!K942,"missing: not collected"),exact(metadata!K942,"missing: not provided"),exact(metadata!K942,"missing: restricted access"))),AND(IF(metadata!K942="",FALSE,ISNUMBER(VALUE(metadata!K942))),metadata!K942&gt;=-90.00,metadata!K942&lt;=90.00))</f>
        <v>0</v>
      </c>
      <c r="AL942">
        <f>OR(AND(IF(metadata!L942="",FALSE,TRUE),OR(exact(metadata!L942,"missing: not collected"),exact(metadata!L942,"missing: not provided"),exact(metadata!L942,"missing: restricted access"))),AND(IF(metadata!L942="",FALSE,ISNUMBER(VALUE(metadata!L942))),metadata!L942&gt;=-180.00,metadata!L942&lt;=180.00))</f>
        <v>0</v>
      </c>
      <c r="AM942">
        <f>IF(metadata!M942="",FALSE,TRUE)</f>
        <v>0</v>
      </c>
      <c r="AN942">
        <f>OR(AND(IF(metadata!N942="",FALSE,TRUE),OR(exact(metadata!N942,"missing: not collected"),exact(metadata!N942,"missing: not provided"),exact(metadata!N942,"missing: restricted access"))),AND(IF(metadata!N942="",FALSE,TRUE),OR(exact(metadata!N942,"TRUE"),exact(metadata!N942,"FALSE"))))</f>
        <v>0</v>
      </c>
      <c r="AO942">
        <f>IF(metadata!O942="",FALSE,TRUE)</f>
        <v>0</v>
      </c>
      <c r="AP942">
        <f>OR(AND(IF(metadata!P942="",FALSE,TRUE),OR(exact(metadata!P942,"missing: not collected"),exact(metadata!P942,"missing: not provided"))),AND(IF(metadata!P942="",FALSE,IF(ISERROR(INT(metadata!P942)),FALSE,INT(metadata!P942)=metadata!P942)),metadata!P942&gt;0))</f>
        <v>0</v>
      </c>
      <c r="AQ942">
        <f>IF(metadata!Q942="",FALSE,TRUE)</f>
        <v>0</v>
      </c>
    </row>
    <row r="943" spans="1:43">
      <c r="A943" s="5">
        <f>IF(B943=" "," ",HYPERLINK(CONCATENATE("#metadata!",ADDRESS(INDEX($W$2:$W$1001,MATCH(ROWS($U$2:U943),$U$2:$U$1001,0),0),1)),INDEX($Z$2:$Z$1001,MATCH(ROWS($U$2:U943),$U$2:$U$1001,0),0)))</f>
        <v>0</v>
      </c>
      <c r="B943" s="4">
        <f>IF(OR(INDEX($V$2:$V$1001,MATCH(ROWS($U$2:U943),$U$2:$U$1001,0),1)&gt;=100000,INDEX($AB$1005:$AQ$1005,1,MATCH(COLUMNS($AB$1006:AB1006),$AB$1006:$AQ$1006,0))&gt;=100000), " ",IF(INDEX($AB$2:$AQ$1001,MATCH(ROWS($U$2:U943),$U$2:$U$1001,0),MATCH(COLUMNS($AB$1006:AB1006),$AB$1006:$AQ$1006,0)), HYPERLINK("#",""), HYPERLINK(CONCATENATE("#metadata!", ADDRESS(INDEX($W$2:$W$1001,MATCH(ROWS($U$2:U943),$U$2:$U$1001,0),0), INDEX($AB$1004:$AQ$1004,1,MATCH(COLUMNS($AB$1006:AB1006),$AB$1006:$AQ$1006,0)))),"Fix")))</f>
        <v>0</v>
      </c>
      <c r="C943" s="4">
        <f>IF(OR(INDEX($V$2:$V$1001,MATCH(ROWS($U$2:U943),$U$2:$U$1001,0),1)&gt;=100000,INDEX($AB$1005:$AQ$1005,1,MATCH(COLUMNS($AB$1006:AC1006),$AB$1006:$AQ$1006,0))&gt;=100000), " ",IF(INDEX($AB$2:$AQ$1001,MATCH(ROWS($U$2:U943),$U$2:$U$1001,0),MATCH(COLUMNS($AB$1006:AC1006),$AB$1006:$AQ$1006,0)), HYPERLINK("#",""), HYPERLINK(CONCATENATE("#metadata!", ADDRESS(INDEX($W$2:$W$1001,MATCH(ROWS($U$2:U943),$U$2:$U$1001,0),0), INDEX($AB$1004:$AQ$1004,1,MATCH(COLUMNS($AB$1006:AC1006),$AB$1006:$AQ$1006,0)))),"Fix")))</f>
        <v>0</v>
      </c>
      <c r="D943" s="4">
        <f>IF(OR(INDEX($V$2:$V$1001,MATCH(ROWS($U$2:U943),$U$2:$U$1001,0),1)&gt;=100000,INDEX($AB$1005:$AQ$1005,1,MATCH(COLUMNS($AB$1006:AD1006),$AB$1006:$AQ$1006,0))&gt;=100000), " ",IF(INDEX($AB$2:$AQ$1001,MATCH(ROWS($U$2:U943),$U$2:$U$1001,0),MATCH(COLUMNS($AB$1006:AD1006),$AB$1006:$AQ$1006,0)), HYPERLINK("#",""), HYPERLINK(CONCATENATE("#metadata!", ADDRESS(INDEX($W$2:$W$1001,MATCH(ROWS($U$2:U943),$U$2:$U$1001,0),0), INDEX($AB$1004:$AQ$1004,1,MATCH(COLUMNS($AB$1006:AD1006),$AB$1006:$AQ$1006,0)))),"Fix")))</f>
        <v>0</v>
      </c>
      <c r="E943" s="4">
        <f>IF(OR(INDEX($V$2:$V$1001,MATCH(ROWS($U$2:U943),$U$2:$U$1001,0),1)&gt;=100000,INDEX($AB$1005:$AQ$1005,1,MATCH(COLUMNS($AB$1006:AE1006),$AB$1006:$AQ$1006,0))&gt;=100000), " ",IF(INDEX($AB$2:$AQ$1001,MATCH(ROWS($U$2:U943),$U$2:$U$1001,0),MATCH(COLUMNS($AB$1006:AE1006),$AB$1006:$AQ$1006,0)), HYPERLINK("#",""), HYPERLINK(CONCATENATE("#metadata!", ADDRESS(INDEX($W$2:$W$1001,MATCH(ROWS($U$2:U943),$U$2:$U$1001,0),0), INDEX($AB$1004:$AQ$1004,1,MATCH(COLUMNS($AB$1006:AE1006),$AB$1006:$AQ$1006,0)))),"Fix")))</f>
        <v>0</v>
      </c>
      <c r="F943" s="4">
        <f>IF(OR(INDEX($V$2:$V$1001,MATCH(ROWS($U$2:U943),$U$2:$U$1001,0),1)&gt;=100000,INDEX($AB$1005:$AQ$1005,1,MATCH(COLUMNS($AB$1006:AF1006),$AB$1006:$AQ$1006,0))&gt;=100000), " ",IF(INDEX($AB$2:$AQ$1001,MATCH(ROWS($U$2:U943),$U$2:$U$1001,0),MATCH(COLUMNS($AB$1006:AF1006),$AB$1006:$AQ$1006,0)), HYPERLINK("#",""), HYPERLINK(CONCATENATE("#metadata!", ADDRESS(INDEX($W$2:$W$1001,MATCH(ROWS($U$2:U943),$U$2:$U$1001,0),0), INDEX($AB$1004:$AQ$1004,1,MATCH(COLUMNS($AB$1006:AF1006),$AB$1006:$AQ$1006,0)))),"Fix")))</f>
        <v>0</v>
      </c>
      <c r="G943" s="4">
        <f>IF(OR(INDEX($V$2:$V$1001,MATCH(ROWS($U$2:U943),$U$2:$U$1001,0),1)&gt;=100000,INDEX($AB$1005:$AQ$1005,1,MATCH(COLUMNS($AB$1006:AG1006),$AB$1006:$AQ$1006,0))&gt;=100000), " ",IF(INDEX($AB$2:$AQ$1001,MATCH(ROWS($U$2:U943),$U$2:$U$1001,0),MATCH(COLUMNS($AB$1006:AG1006),$AB$1006:$AQ$1006,0)), HYPERLINK("#",""), HYPERLINK(CONCATENATE("#metadata!", ADDRESS(INDEX($W$2:$W$1001,MATCH(ROWS($U$2:U943),$U$2:$U$1001,0),0), INDEX($AB$1004:$AQ$1004,1,MATCH(COLUMNS($AB$1006:AG1006),$AB$1006:$AQ$1006,0)))),"Fix")))</f>
        <v>0</v>
      </c>
      <c r="H943" s="4">
        <f>IF(OR(INDEX($V$2:$V$1001,MATCH(ROWS($U$2:U943),$U$2:$U$1001,0),1)&gt;=100000,INDEX($AB$1005:$AQ$1005,1,MATCH(COLUMNS($AB$1006:AH1006),$AB$1006:$AQ$1006,0))&gt;=100000), " ",IF(INDEX($AB$2:$AQ$1001,MATCH(ROWS($U$2:U943),$U$2:$U$1001,0),MATCH(COLUMNS($AB$1006:AH1006),$AB$1006:$AQ$1006,0)), HYPERLINK("#",""), HYPERLINK(CONCATENATE("#metadata!", ADDRESS(INDEX($W$2:$W$1001,MATCH(ROWS($U$2:U943),$U$2:$U$1001,0),0), INDEX($AB$1004:$AQ$1004,1,MATCH(COLUMNS($AB$1006:AH1006),$AB$1006:$AQ$1006,0)))),"Fix")))</f>
        <v>0</v>
      </c>
      <c r="I943" s="4">
        <f>IF(OR(INDEX($V$2:$V$1001,MATCH(ROWS($U$2:U943),$U$2:$U$1001,0),1)&gt;=100000,INDEX($AB$1005:$AQ$1005,1,MATCH(COLUMNS($AB$1006:AI1006),$AB$1006:$AQ$1006,0))&gt;=100000), " ",IF(INDEX($AB$2:$AQ$1001,MATCH(ROWS($U$2:U943),$U$2:$U$1001,0),MATCH(COLUMNS($AB$1006:AI1006),$AB$1006:$AQ$1006,0)), HYPERLINK("#",""), HYPERLINK(CONCATENATE("#metadata!", ADDRESS(INDEX($W$2:$W$1001,MATCH(ROWS($U$2:U943),$U$2:$U$1001,0),0), INDEX($AB$1004:$AQ$1004,1,MATCH(COLUMNS($AB$1006:AI1006),$AB$1006:$AQ$1006,0)))),"Fix")))</f>
        <v>0</v>
      </c>
      <c r="J943" s="4">
        <f>IF(OR(INDEX($V$2:$V$1001,MATCH(ROWS($U$2:U943),$U$2:$U$1001,0),1)&gt;=100000,INDEX($AB$1005:$AQ$1005,1,MATCH(COLUMNS($AB$1006:AJ1006),$AB$1006:$AQ$1006,0))&gt;=100000), " ",IF(INDEX($AB$2:$AQ$1001,MATCH(ROWS($U$2:U943),$U$2:$U$1001,0),MATCH(COLUMNS($AB$1006:AJ1006),$AB$1006:$AQ$1006,0)), HYPERLINK("#",""), HYPERLINK(CONCATENATE("#metadata!", ADDRESS(INDEX($W$2:$W$1001,MATCH(ROWS($U$2:U943),$U$2:$U$1001,0),0), INDEX($AB$1004:$AQ$1004,1,MATCH(COLUMNS($AB$1006:AJ1006),$AB$1006:$AQ$1006,0)))),"Fix")))</f>
        <v>0</v>
      </c>
      <c r="K943" s="4">
        <f>IF(OR(INDEX($V$2:$V$1001,MATCH(ROWS($U$2:U943),$U$2:$U$1001,0),1)&gt;=100000,INDEX($AB$1005:$AQ$1005,1,MATCH(COLUMNS($AB$1006:AK1006),$AB$1006:$AQ$1006,0))&gt;=100000), " ",IF(INDEX($AB$2:$AQ$1001,MATCH(ROWS($U$2:U943),$U$2:$U$1001,0),MATCH(COLUMNS($AB$1006:AK1006),$AB$1006:$AQ$1006,0)), HYPERLINK("#",""), HYPERLINK(CONCATENATE("#metadata!", ADDRESS(INDEX($W$2:$W$1001,MATCH(ROWS($U$2:U943),$U$2:$U$1001,0),0), INDEX($AB$1004:$AQ$1004,1,MATCH(COLUMNS($AB$1006:AK1006),$AB$1006:$AQ$1006,0)))),"Fix")))</f>
        <v>0</v>
      </c>
      <c r="L943" s="4">
        <f>IF(OR(INDEX($V$2:$V$1001,MATCH(ROWS($U$2:U943),$U$2:$U$1001,0),1)&gt;=100000,INDEX($AB$1005:$AQ$1005,1,MATCH(COLUMNS($AB$1006:AL1006),$AB$1006:$AQ$1006,0))&gt;=100000), " ",IF(INDEX($AB$2:$AQ$1001,MATCH(ROWS($U$2:U943),$U$2:$U$1001,0),MATCH(COLUMNS($AB$1006:AL1006),$AB$1006:$AQ$1006,0)), HYPERLINK("#",""), HYPERLINK(CONCATENATE("#metadata!", ADDRESS(INDEX($W$2:$W$1001,MATCH(ROWS($U$2:U943),$U$2:$U$1001,0),0), INDEX($AB$1004:$AQ$1004,1,MATCH(COLUMNS($AB$1006:AL1006),$AB$1006:$AQ$1006,0)))),"Fix")))</f>
        <v>0</v>
      </c>
      <c r="M943" s="4">
        <f>IF(OR(INDEX($V$2:$V$1001,MATCH(ROWS($U$2:U943),$U$2:$U$1001,0),1)&gt;=100000,INDEX($AB$1005:$AQ$1005,1,MATCH(COLUMNS($AB$1006:AM1006),$AB$1006:$AQ$1006,0))&gt;=100000), " ",IF(INDEX($AB$2:$AQ$1001,MATCH(ROWS($U$2:U943),$U$2:$U$1001,0),MATCH(COLUMNS($AB$1006:AM1006),$AB$1006:$AQ$1006,0)), HYPERLINK("#",""), HYPERLINK(CONCATENATE("#metadata!", ADDRESS(INDEX($W$2:$W$1001,MATCH(ROWS($U$2:U943),$U$2:$U$1001,0),0), INDEX($AB$1004:$AQ$1004,1,MATCH(COLUMNS($AB$1006:AM1006),$AB$1006:$AQ$1006,0)))),"Fix")))</f>
        <v>0</v>
      </c>
      <c r="N943" s="4">
        <f>IF(OR(INDEX($V$2:$V$1001,MATCH(ROWS($U$2:U943),$U$2:$U$1001,0),1)&gt;=100000,INDEX($AB$1005:$AQ$1005,1,MATCH(COLUMNS($AB$1006:AN1006),$AB$1006:$AQ$1006,0))&gt;=100000), " ",IF(INDEX($AB$2:$AQ$1001,MATCH(ROWS($U$2:U943),$U$2:$U$1001,0),MATCH(COLUMNS($AB$1006:AN1006),$AB$1006:$AQ$1006,0)), HYPERLINK("#",""), HYPERLINK(CONCATENATE("#metadata!", ADDRESS(INDEX($W$2:$W$1001,MATCH(ROWS($U$2:U943),$U$2:$U$1001,0),0), INDEX($AB$1004:$AQ$1004,1,MATCH(COLUMNS($AB$1006:AN1006),$AB$1006:$AQ$1006,0)))),"Fix")))</f>
        <v>0</v>
      </c>
      <c r="O943" s="4">
        <f>IF(OR(INDEX($V$2:$V$1001,MATCH(ROWS($U$2:U943),$U$2:$U$1001,0),1)&gt;=100000,INDEX($AB$1005:$AQ$1005,1,MATCH(COLUMNS($AB$1006:AO1006),$AB$1006:$AQ$1006,0))&gt;=100000), " ",IF(INDEX($AB$2:$AQ$1001,MATCH(ROWS($U$2:U943),$U$2:$U$1001,0),MATCH(COLUMNS($AB$1006:AO1006),$AB$1006:$AQ$1006,0)), HYPERLINK("#",""), HYPERLINK(CONCATENATE("#metadata!", ADDRESS(INDEX($W$2:$W$1001,MATCH(ROWS($U$2:U943),$U$2:$U$1001,0),0), INDEX($AB$1004:$AQ$1004,1,MATCH(COLUMNS($AB$1006:AO1006),$AB$1006:$AQ$1006,0)))),"Fix")))</f>
        <v>0</v>
      </c>
      <c r="P943" s="4">
        <f>IF(OR(INDEX($V$2:$V$1001,MATCH(ROWS($U$2:U943),$U$2:$U$1001,0),1)&gt;=100000,INDEX($AB$1005:$AQ$1005,1,MATCH(COLUMNS($AB$1006:AP1006),$AB$1006:$AQ$1006,0))&gt;=100000), " ",IF(INDEX($AB$2:$AQ$1001,MATCH(ROWS($U$2:U943),$U$2:$U$1001,0),MATCH(COLUMNS($AB$1006:AP1006),$AB$1006:$AQ$1006,0)), HYPERLINK("#",""), HYPERLINK(CONCATENATE("#metadata!", ADDRESS(INDEX($W$2:$W$1001,MATCH(ROWS($U$2:U943),$U$2:$U$1001,0),0), INDEX($AB$1004:$AQ$1004,1,MATCH(COLUMNS($AB$1006:AP1006),$AB$1006:$AQ$1006,0)))),"Fix")))</f>
        <v>0</v>
      </c>
      <c r="Q943" s="4">
        <f>IF(OR(INDEX($V$2:$V$1001,MATCH(ROWS($U$2:U943),$U$2:$U$1001,0),1)&gt;=100000,INDEX($AB$1005:$AQ$1005,1,MATCH(COLUMNS($AB$1006:AQ1006),$AB$1006:$AQ$1006,0))&gt;=100000), " ",IF(INDEX($AB$2:$AQ$1001,MATCH(ROWS($U$2:U943),$U$2:$U$1001,0),MATCH(COLUMNS($AB$1006:AQ1006),$AB$1006:$AQ$1006,0)), HYPERLINK("#",""), HYPERLINK(CONCATENATE("#metadata!", ADDRESS(INDEX($W$2:$W$1001,MATCH(ROWS($U$2:U943),$U$2:$U$1001,0),0), INDEX($AB$1004:$AQ$1004,1,MATCH(COLUMNS($AB$1006:AQ1006),$AB$1006:$AQ$1006,0)))),"Fix")))</f>
        <v>0</v>
      </c>
      <c r="U943">
        <v>0</v>
      </c>
      <c r="V943">
        <v>0</v>
      </c>
      <c r="W943">
        <v>0</v>
      </c>
      <c r="X943">
        <f>IF(Y943,TRUE,AND(AB943:AQ943))</f>
        <v>0</v>
      </c>
      <c r="Y943">
        <f>COUNTBLANK(metadata!B943:Q943)=COLUMNS(metadata!B943:Q943)</f>
        <v>0</v>
      </c>
      <c r="Z943">
        <v>0</v>
      </c>
      <c r="AB943">
        <f>AND(IF(metadata!B943="",FALSE,TRUE),COUNTIF(metadata!B:B, metadata!B943) = 1,NOT(ISERROR(SUMPRODUCT(SEARCH(MID(metadata!B943,ROW(INDIRECT("1:"&amp;LEN(metadata!B943))), 1),"0123456789abcdefghijklmnopqrstuvwxyzABCDEFGHIJKLMNOPQRSTUVWXYZ.")))))</f>
        <v>0</v>
      </c>
      <c r="AC943">
        <f>OR(AND(IF(metadata!C943="",FALSE,TRUE),OR(exact(metadata!C943,"missing: not collected"),exact(metadata!C943,"missing: not provided"),exact(metadata!C943,"missing: restricted access"))),AND(IF(metadata!C943="",FALSE,TRUE),AND(AND(IFERROR(INT(LEFT(metadata!C943,4))&gt;1900,FALSE),IFERROR(INT(LEFT(metadata!C943,4))&lt;=YEAR(NOW()),FALSE)), OR(MID(metadata!C943,5,1)="", AND(AND(MID(metadata!C943,5,1)="-",IFERROR(INT(MID(metadata!C943,6,1))&gt;=0,FALSE),IFERROR(INT(MID(metadata!C943,6,1))&lt;=1,FALSE),NOT(MID(metadata!C943,7,1)=""),IFERROR(INT(MID(metadata!C943,6,2))&gt;=1,FALSE),IFERROR(INT(MID(metadata!C943,6,2))&lt;=12,FALSE)), OR(MID(metadata!C943,8,1)="", AND(AND(MID(metadata!C943,8,1)="-",IFERROR(INT(MID(metadata!C943,9,1))&gt;=0,FALSE),IFERROR(INT(MID(metadata!C943,9,1))&lt;=3,FALSE),NOT(MID(metadata!C943,10,1)=""),IFERROR(INT(MID(metadata!C943,9,2))&gt;=1,FALSE),IFERROR(INT(MID(metadata!C943,9,2))&lt;=31,FALSE)), OR(MID(metadata!C943,11,1)="", AND(AND(MID(metadata!C943,11,1)=" ",IFERROR(INT(MID(metadata!C943,12,1))&gt;=0,FALSE),IFERROR(INT(MID(metadata!C943,12,1))&lt;=2,FALSE),NOT(MID(metadata!C943,13,1)=""),IFERROR(INT(MID(metadata!C943,12,2))&gt;=0,FALSE),IFERROR(INT(MID(metadata!C943,12,2))&lt;=23,FALSE)), OR(MID(metadata!C943,14,1)="", AND(AND(MID(metadata!C943,14,1)=":",IFERROR(INT(MID(metadata!C943,15,1))&gt;=0,FALSE),IFERROR(INT(MID(metadata!C943,15,1))&lt;=5,FALSE),NOT(MID(metadata!C943,16,1)=""),IFERROR(INT(MID(metadata!C943,15,2))&gt;=0,FALSE),IFERROR(INT(MID(metadata!C943,15,2))&lt;=59,FALSE)), OR(MID(metadata!C943,17,1)="", AND(AND(MID(metadata!C943,17,1)=":",IFERROR(INT(MID(metadata!C943,18,1))&gt;=0,FALSE),IFERROR(INT(MID(metadata!C943,18,1))&lt;=5,FALSE),NOT(MID(metadata!C943,19,1)=""),IFERROR(INT(MID(metadata!C943,18,2))&gt;=0,FALSE),IFERROR(INT(MID(metadata!C943,18,2))&lt;=59,FALSE)), LEN(metadata!C943)&lt;=19)))))))))))))</f>
        <v>0</v>
      </c>
      <c r="AD943">
        <f>IF(metadata!D943="",FALSE,TRUE)</f>
        <v>0</v>
      </c>
      <c r="AE943">
        <f>OR(AND(IF(metadata!E943="",FALSE,TRUE),OR(exact(metadata!E943,"missing: not collected"),exact(metadata!E943,"missing: not provided"))),AND(IF(metadata!E943="",FALSE,TRUE),OR(exact(metadata!E943,"TRUE"),exact(metadata!E943,"FALSE"))))</f>
        <v>0</v>
      </c>
      <c r="AF943">
        <f>IF(metadata!F943="",FALSE,TRUE)</f>
        <v>0</v>
      </c>
      <c r="AG943">
        <f>IF(metadata!G943="",FALSE,TRUE)</f>
        <v>0</v>
      </c>
      <c r="AH943">
        <f>IF(metadata!H943="",FALSE,TRUE)</f>
        <v>0</v>
      </c>
      <c r="AI943">
        <f>OR(AND(IF(metadata!I943="",FALSE,TRUE),OR(exact(metadata!I943,"missing: not collected"),exact(metadata!I943,"missing: not provided"),exact(metadata!I943,"missing: restricted access"))),AND(IF(metadata!I943="",FALSE,TRUE),OR(exact(metadata!I943,"air"),exact(metadata!I943,"built environment"),exact(metadata!I943,"host-associated"),exact(metadata!I943,"human-associated"),exact(metadata!I943,"human-skin"),exact(metadata!I943,"human-oral"),exact(metadata!I943,"human-gut"),exact(metadata!I943,"human-vaginal"),exact(metadata!I943,"microbial mat/biofilm"),exact(metadata!I943,"misc environment"),exact(metadata!I943,"plant-associated"),exact(metadata!I943,"sediment"),exact(metadata!I943,"soil"),exact(metadata!I943,"wastewater/sludge"),exact(metadata!I943,"water"))))</f>
        <v>0</v>
      </c>
      <c r="AJ943">
        <f>IF(metadata!J943="",FALSE,TRUE)</f>
        <v>0</v>
      </c>
      <c r="AK943">
        <f>OR(AND(IF(metadata!K943="",FALSE,TRUE),OR(exact(metadata!K943,"missing: not collected"),exact(metadata!K943,"missing: not provided"),exact(metadata!K943,"missing: restricted access"))),AND(IF(metadata!K943="",FALSE,ISNUMBER(VALUE(metadata!K943))),metadata!K943&gt;=-90.00,metadata!K943&lt;=90.00))</f>
        <v>0</v>
      </c>
      <c r="AL943">
        <f>OR(AND(IF(metadata!L943="",FALSE,TRUE),OR(exact(metadata!L943,"missing: not collected"),exact(metadata!L943,"missing: not provided"),exact(metadata!L943,"missing: restricted access"))),AND(IF(metadata!L943="",FALSE,ISNUMBER(VALUE(metadata!L943))),metadata!L943&gt;=-180.00,metadata!L943&lt;=180.00))</f>
        <v>0</v>
      </c>
      <c r="AM943">
        <f>IF(metadata!M943="",FALSE,TRUE)</f>
        <v>0</v>
      </c>
      <c r="AN943">
        <f>OR(AND(IF(metadata!N943="",FALSE,TRUE),OR(exact(metadata!N943,"missing: not collected"),exact(metadata!N943,"missing: not provided"),exact(metadata!N943,"missing: restricted access"))),AND(IF(metadata!N943="",FALSE,TRUE),OR(exact(metadata!N943,"TRUE"),exact(metadata!N943,"FALSE"))))</f>
        <v>0</v>
      </c>
      <c r="AO943">
        <f>IF(metadata!O943="",FALSE,TRUE)</f>
        <v>0</v>
      </c>
      <c r="AP943">
        <f>OR(AND(IF(metadata!P943="",FALSE,TRUE),OR(exact(metadata!P943,"missing: not collected"),exact(metadata!P943,"missing: not provided"))),AND(IF(metadata!P943="",FALSE,IF(ISERROR(INT(metadata!P943)),FALSE,INT(metadata!P943)=metadata!P943)),metadata!P943&gt;0))</f>
        <v>0</v>
      </c>
      <c r="AQ943">
        <f>IF(metadata!Q943="",FALSE,TRUE)</f>
        <v>0</v>
      </c>
    </row>
    <row r="944" spans="1:43">
      <c r="A944" s="5">
        <f>IF(B944=" "," ",HYPERLINK(CONCATENATE("#metadata!",ADDRESS(INDEX($W$2:$W$1001,MATCH(ROWS($U$2:U944),$U$2:$U$1001,0),0),1)),INDEX($Z$2:$Z$1001,MATCH(ROWS($U$2:U944),$U$2:$U$1001,0),0)))</f>
        <v>0</v>
      </c>
      <c r="B944" s="4">
        <f>IF(OR(INDEX($V$2:$V$1001,MATCH(ROWS($U$2:U944),$U$2:$U$1001,0),1)&gt;=100000,INDEX($AB$1005:$AQ$1005,1,MATCH(COLUMNS($AB$1006:AB1006),$AB$1006:$AQ$1006,0))&gt;=100000), " ",IF(INDEX($AB$2:$AQ$1001,MATCH(ROWS($U$2:U944),$U$2:$U$1001,0),MATCH(COLUMNS($AB$1006:AB1006),$AB$1006:$AQ$1006,0)), HYPERLINK("#",""), HYPERLINK(CONCATENATE("#metadata!", ADDRESS(INDEX($W$2:$W$1001,MATCH(ROWS($U$2:U944),$U$2:$U$1001,0),0), INDEX($AB$1004:$AQ$1004,1,MATCH(COLUMNS($AB$1006:AB1006),$AB$1006:$AQ$1006,0)))),"Fix")))</f>
        <v>0</v>
      </c>
      <c r="C944" s="4">
        <f>IF(OR(INDEX($V$2:$V$1001,MATCH(ROWS($U$2:U944),$U$2:$U$1001,0),1)&gt;=100000,INDEX($AB$1005:$AQ$1005,1,MATCH(COLUMNS($AB$1006:AC1006),$AB$1006:$AQ$1006,0))&gt;=100000), " ",IF(INDEX($AB$2:$AQ$1001,MATCH(ROWS($U$2:U944),$U$2:$U$1001,0),MATCH(COLUMNS($AB$1006:AC1006),$AB$1006:$AQ$1006,0)), HYPERLINK("#",""), HYPERLINK(CONCATENATE("#metadata!", ADDRESS(INDEX($W$2:$W$1001,MATCH(ROWS($U$2:U944),$U$2:$U$1001,0),0), INDEX($AB$1004:$AQ$1004,1,MATCH(COLUMNS($AB$1006:AC1006),$AB$1006:$AQ$1006,0)))),"Fix")))</f>
        <v>0</v>
      </c>
      <c r="D944" s="4">
        <f>IF(OR(INDEX($V$2:$V$1001,MATCH(ROWS($U$2:U944),$U$2:$U$1001,0),1)&gt;=100000,INDEX($AB$1005:$AQ$1005,1,MATCH(COLUMNS($AB$1006:AD1006),$AB$1006:$AQ$1006,0))&gt;=100000), " ",IF(INDEX($AB$2:$AQ$1001,MATCH(ROWS($U$2:U944),$U$2:$U$1001,0),MATCH(COLUMNS($AB$1006:AD1006),$AB$1006:$AQ$1006,0)), HYPERLINK("#",""), HYPERLINK(CONCATENATE("#metadata!", ADDRESS(INDEX($W$2:$W$1001,MATCH(ROWS($U$2:U944),$U$2:$U$1001,0),0), INDEX($AB$1004:$AQ$1004,1,MATCH(COLUMNS($AB$1006:AD1006),$AB$1006:$AQ$1006,0)))),"Fix")))</f>
        <v>0</v>
      </c>
      <c r="E944" s="4">
        <f>IF(OR(INDEX($V$2:$V$1001,MATCH(ROWS($U$2:U944),$U$2:$U$1001,0),1)&gt;=100000,INDEX($AB$1005:$AQ$1005,1,MATCH(COLUMNS($AB$1006:AE1006),$AB$1006:$AQ$1006,0))&gt;=100000), " ",IF(INDEX($AB$2:$AQ$1001,MATCH(ROWS($U$2:U944),$U$2:$U$1001,0),MATCH(COLUMNS($AB$1006:AE1006),$AB$1006:$AQ$1006,0)), HYPERLINK("#",""), HYPERLINK(CONCATENATE("#metadata!", ADDRESS(INDEX($W$2:$W$1001,MATCH(ROWS($U$2:U944),$U$2:$U$1001,0),0), INDEX($AB$1004:$AQ$1004,1,MATCH(COLUMNS($AB$1006:AE1006),$AB$1006:$AQ$1006,0)))),"Fix")))</f>
        <v>0</v>
      </c>
      <c r="F944" s="4">
        <f>IF(OR(INDEX($V$2:$V$1001,MATCH(ROWS($U$2:U944),$U$2:$U$1001,0),1)&gt;=100000,INDEX($AB$1005:$AQ$1005,1,MATCH(COLUMNS($AB$1006:AF1006),$AB$1006:$AQ$1006,0))&gt;=100000), " ",IF(INDEX($AB$2:$AQ$1001,MATCH(ROWS($U$2:U944),$U$2:$U$1001,0),MATCH(COLUMNS($AB$1006:AF1006),$AB$1006:$AQ$1006,0)), HYPERLINK("#",""), HYPERLINK(CONCATENATE("#metadata!", ADDRESS(INDEX($W$2:$W$1001,MATCH(ROWS($U$2:U944),$U$2:$U$1001,0),0), INDEX($AB$1004:$AQ$1004,1,MATCH(COLUMNS($AB$1006:AF1006),$AB$1006:$AQ$1006,0)))),"Fix")))</f>
        <v>0</v>
      </c>
      <c r="G944" s="4">
        <f>IF(OR(INDEX($V$2:$V$1001,MATCH(ROWS($U$2:U944),$U$2:$U$1001,0),1)&gt;=100000,INDEX($AB$1005:$AQ$1005,1,MATCH(COLUMNS($AB$1006:AG1006),$AB$1006:$AQ$1006,0))&gt;=100000), " ",IF(INDEX($AB$2:$AQ$1001,MATCH(ROWS($U$2:U944),$U$2:$U$1001,0),MATCH(COLUMNS($AB$1006:AG1006),$AB$1006:$AQ$1006,0)), HYPERLINK("#",""), HYPERLINK(CONCATENATE("#metadata!", ADDRESS(INDEX($W$2:$W$1001,MATCH(ROWS($U$2:U944),$U$2:$U$1001,0),0), INDEX($AB$1004:$AQ$1004,1,MATCH(COLUMNS($AB$1006:AG1006),$AB$1006:$AQ$1006,0)))),"Fix")))</f>
        <v>0</v>
      </c>
      <c r="H944" s="4">
        <f>IF(OR(INDEX($V$2:$V$1001,MATCH(ROWS($U$2:U944),$U$2:$U$1001,0),1)&gt;=100000,INDEX($AB$1005:$AQ$1005,1,MATCH(COLUMNS($AB$1006:AH1006),$AB$1006:$AQ$1006,0))&gt;=100000), " ",IF(INDEX($AB$2:$AQ$1001,MATCH(ROWS($U$2:U944),$U$2:$U$1001,0),MATCH(COLUMNS($AB$1006:AH1006),$AB$1006:$AQ$1006,0)), HYPERLINK("#",""), HYPERLINK(CONCATENATE("#metadata!", ADDRESS(INDEX($W$2:$W$1001,MATCH(ROWS($U$2:U944),$U$2:$U$1001,0),0), INDEX($AB$1004:$AQ$1004,1,MATCH(COLUMNS($AB$1006:AH1006),$AB$1006:$AQ$1006,0)))),"Fix")))</f>
        <v>0</v>
      </c>
      <c r="I944" s="4">
        <f>IF(OR(INDEX($V$2:$V$1001,MATCH(ROWS($U$2:U944),$U$2:$U$1001,0),1)&gt;=100000,INDEX($AB$1005:$AQ$1005,1,MATCH(COLUMNS($AB$1006:AI1006),$AB$1006:$AQ$1006,0))&gt;=100000), " ",IF(INDEX($AB$2:$AQ$1001,MATCH(ROWS($U$2:U944),$U$2:$U$1001,0),MATCH(COLUMNS($AB$1006:AI1006),$AB$1006:$AQ$1006,0)), HYPERLINK("#",""), HYPERLINK(CONCATENATE("#metadata!", ADDRESS(INDEX($W$2:$W$1001,MATCH(ROWS($U$2:U944),$U$2:$U$1001,0),0), INDEX($AB$1004:$AQ$1004,1,MATCH(COLUMNS($AB$1006:AI1006),$AB$1006:$AQ$1006,0)))),"Fix")))</f>
        <v>0</v>
      </c>
      <c r="J944" s="4">
        <f>IF(OR(INDEX($V$2:$V$1001,MATCH(ROWS($U$2:U944),$U$2:$U$1001,0),1)&gt;=100000,INDEX($AB$1005:$AQ$1005,1,MATCH(COLUMNS($AB$1006:AJ1006),$AB$1006:$AQ$1006,0))&gt;=100000), " ",IF(INDEX($AB$2:$AQ$1001,MATCH(ROWS($U$2:U944),$U$2:$U$1001,0),MATCH(COLUMNS($AB$1006:AJ1006),$AB$1006:$AQ$1006,0)), HYPERLINK("#",""), HYPERLINK(CONCATENATE("#metadata!", ADDRESS(INDEX($W$2:$W$1001,MATCH(ROWS($U$2:U944),$U$2:$U$1001,0),0), INDEX($AB$1004:$AQ$1004,1,MATCH(COLUMNS($AB$1006:AJ1006),$AB$1006:$AQ$1006,0)))),"Fix")))</f>
        <v>0</v>
      </c>
      <c r="K944" s="4">
        <f>IF(OR(INDEX($V$2:$V$1001,MATCH(ROWS($U$2:U944),$U$2:$U$1001,0),1)&gt;=100000,INDEX($AB$1005:$AQ$1005,1,MATCH(COLUMNS($AB$1006:AK1006),$AB$1006:$AQ$1006,0))&gt;=100000), " ",IF(INDEX($AB$2:$AQ$1001,MATCH(ROWS($U$2:U944),$U$2:$U$1001,0),MATCH(COLUMNS($AB$1006:AK1006),$AB$1006:$AQ$1006,0)), HYPERLINK("#",""), HYPERLINK(CONCATENATE("#metadata!", ADDRESS(INDEX($W$2:$W$1001,MATCH(ROWS($U$2:U944),$U$2:$U$1001,0),0), INDEX($AB$1004:$AQ$1004,1,MATCH(COLUMNS($AB$1006:AK1006),$AB$1006:$AQ$1006,0)))),"Fix")))</f>
        <v>0</v>
      </c>
      <c r="L944" s="4">
        <f>IF(OR(INDEX($V$2:$V$1001,MATCH(ROWS($U$2:U944),$U$2:$U$1001,0),1)&gt;=100000,INDEX($AB$1005:$AQ$1005,1,MATCH(COLUMNS($AB$1006:AL1006),$AB$1006:$AQ$1006,0))&gt;=100000), " ",IF(INDEX($AB$2:$AQ$1001,MATCH(ROWS($U$2:U944),$U$2:$U$1001,0),MATCH(COLUMNS($AB$1006:AL1006),$AB$1006:$AQ$1006,0)), HYPERLINK("#",""), HYPERLINK(CONCATENATE("#metadata!", ADDRESS(INDEX($W$2:$W$1001,MATCH(ROWS($U$2:U944),$U$2:$U$1001,0),0), INDEX($AB$1004:$AQ$1004,1,MATCH(COLUMNS($AB$1006:AL1006),$AB$1006:$AQ$1006,0)))),"Fix")))</f>
        <v>0</v>
      </c>
      <c r="M944" s="4">
        <f>IF(OR(INDEX($V$2:$V$1001,MATCH(ROWS($U$2:U944),$U$2:$U$1001,0),1)&gt;=100000,INDEX($AB$1005:$AQ$1005,1,MATCH(COLUMNS($AB$1006:AM1006),$AB$1006:$AQ$1006,0))&gt;=100000), " ",IF(INDEX($AB$2:$AQ$1001,MATCH(ROWS($U$2:U944),$U$2:$U$1001,0),MATCH(COLUMNS($AB$1006:AM1006),$AB$1006:$AQ$1006,0)), HYPERLINK("#",""), HYPERLINK(CONCATENATE("#metadata!", ADDRESS(INDEX($W$2:$W$1001,MATCH(ROWS($U$2:U944),$U$2:$U$1001,0),0), INDEX($AB$1004:$AQ$1004,1,MATCH(COLUMNS($AB$1006:AM1006),$AB$1006:$AQ$1006,0)))),"Fix")))</f>
        <v>0</v>
      </c>
      <c r="N944" s="4">
        <f>IF(OR(INDEX($V$2:$V$1001,MATCH(ROWS($U$2:U944),$U$2:$U$1001,0),1)&gt;=100000,INDEX($AB$1005:$AQ$1005,1,MATCH(COLUMNS($AB$1006:AN1006),$AB$1006:$AQ$1006,0))&gt;=100000), " ",IF(INDEX($AB$2:$AQ$1001,MATCH(ROWS($U$2:U944),$U$2:$U$1001,0),MATCH(COLUMNS($AB$1006:AN1006),$AB$1006:$AQ$1006,0)), HYPERLINK("#",""), HYPERLINK(CONCATENATE("#metadata!", ADDRESS(INDEX($W$2:$W$1001,MATCH(ROWS($U$2:U944),$U$2:$U$1001,0),0), INDEX($AB$1004:$AQ$1004,1,MATCH(COLUMNS($AB$1006:AN1006),$AB$1006:$AQ$1006,0)))),"Fix")))</f>
        <v>0</v>
      </c>
      <c r="O944" s="4">
        <f>IF(OR(INDEX($V$2:$V$1001,MATCH(ROWS($U$2:U944),$U$2:$U$1001,0),1)&gt;=100000,INDEX($AB$1005:$AQ$1005,1,MATCH(COLUMNS($AB$1006:AO1006),$AB$1006:$AQ$1006,0))&gt;=100000), " ",IF(INDEX($AB$2:$AQ$1001,MATCH(ROWS($U$2:U944),$U$2:$U$1001,0),MATCH(COLUMNS($AB$1006:AO1006),$AB$1006:$AQ$1006,0)), HYPERLINK("#",""), HYPERLINK(CONCATENATE("#metadata!", ADDRESS(INDEX($W$2:$W$1001,MATCH(ROWS($U$2:U944),$U$2:$U$1001,0),0), INDEX($AB$1004:$AQ$1004,1,MATCH(COLUMNS($AB$1006:AO1006),$AB$1006:$AQ$1006,0)))),"Fix")))</f>
        <v>0</v>
      </c>
      <c r="P944" s="4">
        <f>IF(OR(INDEX($V$2:$V$1001,MATCH(ROWS($U$2:U944),$U$2:$U$1001,0),1)&gt;=100000,INDEX($AB$1005:$AQ$1005,1,MATCH(COLUMNS($AB$1006:AP1006),$AB$1006:$AQ$1006,0))&gt;=100000), " ",IF(INDEX($AB$2:$AQ$1001,MATCH(ROWS($U$2:U944),$U$2:$U$1001,0),MATCH(COLUMNS($AB$1006:AP1006),$AB$1006:$AQ$1006,0)), HYPERLINK("#",""), HYPERLINK(CONCATENATE("#metadata!", ADDRESS(INDEX($W$2:$W$1001,MATCH(ROWS($U$2:U944),$U$2:$U$1001,0),0), INDEX($AB$1004:$AQ$1004,1,MATCH(COLUMNS($AB$1006:AP1006),$AB$1006:$AQ$1006,0)))),"Fix")))</f>
        <v>0</v>
      </c>
      <c r="Q944" s="4">
        <f>IF(OR(INDEX($V$2:$V$1001,MATCH(ROWS($U$2:U944),$U$2:$U$1001,0),1)&gt;=100000,INDEX($AB$1005:$AQ$1005,1,MATCH(COLUMNS($AB$1006:AQ1006),$AB$1006:$AQ$1006,0))&gt;=100000), " ",IF(INDEX($AB$2:$AQ$1001,MATCH(ROWS($U$2:U944),$U$2:$U$1001,0),MATCH(COLUMNS($AB$1006:AQ1006),$AB$1006:$AQ$1006,0)), HYPERLINK("#",""), HYPERLINK(CONCATENATE("#metadata!", ADDRESS(INDEX($W$2:$W$1001,MATCH(ROWS($U$2:U944),$U$2:$U$1001,0),0), INDEX($AB$1004:$AQ$1004,1,MATCH(COLUMNS($AB$1006:AQ1006),$AB$1006:$AQ$1006,0)))),"Fix")))</f>
        <v>0</v>
      </c>
      <c r="U944">
        <v>0</v>
      </c>
      <c r="V944">
        <v>0</v>
      </c>
      <c r="W944">
        <v>0</v>
      </c>
      <c r="X944">
        <f>IF(Y944,TRUE,AND(AB944:AQ944))</f>
        <v>0</v>
      </c>
      <c r="Y944">
        <f>COUNTBLANK(metadata!B944:Q944)=COLUMNS(metadata!B944:Q944)</f>
        <v>0</v>
      </c>
      <c r="Z944">
        <v>0</v>
      </c>
      <c r="AB944">
        <f>AND(IF(metadata!B944="",FALSE,TRUE),COUNTIF(metadata!B:B, metadata!B944) = 1,NOT(ISERROR(SUMPRODUCT(SEARCH(MID(metadata!B944,ROW(INDIRECT("1:"&amp;LEN(metadata!B944))), 1),"0123456789abcdefghijklmnopqrstuvwxyzABCDEFGHIJKLMNOPQRSTUVWXYZ.")))))</f>
        <v>0</v>
      </c>
      <c r="AC944">
        <f>OR(AND(IF(metadata!C944="",FALSE,TRUE),OR(exact(metadata!C944,"missing: not collected"),exact(metadata!C944,"missing: not provided"),exact(metadata!C944,"missing: restricted access"))),AND(IF(metadata!C944="",FALSE,TRUE),AND(AND(IFERROR(INT(LEFT(metadata!C944,4))&gt;1900,FALSE),IFERROR(INT(LEFT(metadata!C944,4))&lt;=YEAR(NOW()),FALSE)), OR(MID(metadata!C944,5,1)="", AND(AND(MID(metadata!C944,5,1)="-",IFERROR(INT(MID(metadata!C944,6,1))&gt;=0,FALSE),IFERROR(INT(MID(metadata!C944,6,1))&lt;=1,FALSE),NOT(MID(metadata!C944,7,1)=""),IFERROR(INT(MID(metadata!C944,6,2))&gt;=1,FALSE),IFERROR(INT(MID(metadata!C944,6,2))&lt;=12,FALSE)), OR(MID(metadata!C944,8,1)="", AND(AND(MID(metadata!C944,8,1)="-",IFERROR(INT(MID(metadata!C944,9,1))&gt;=0,FALSE),IFERROR(INT(MID(metadata!C944,9,1))&lt;=3,FALSE),NOT(MID(metadata!C944,10,1)=""),IFERROR(INT(MID(metadata!C944,9,2))&gt;=1,FALSE),IFERROR(INT(MID(metadata!C944,9,2))&lt;=31,FALSE)), OR(MID(metadata!C944,11,1)="", AND(AND(MID(metadata!C944,11,1)=" ",IFERROR(INT(MID(metadata!C944,12,1))&gt;=0,FALSE),IFERROR(INT(MID(metadata!C944,12,1))&lt;=2,FALSE),NOT(MID(metadata!C944,13,1)=""),IFERROR(INT(MID(metadata!C944,12,2))&gt;=0,FALSE),IFERROR(INT(MID(metadata!C944,12,2))&lt;=23,FALSE)), OR(MID(metadata!C944,14,1)="", AND(AND(MID(metadata!C944,14,1)=":",IFERROR(INT(MID(metadata!C944,15,1))&gt;=0,FALSE),IFERROR(INT(MID(metadata!C944,15,1))&lt;=5,FALSE),NOT(MID(metadata!C944,16,1)=""),IFERROR(INT(MID(metadata!C944,15,2))&gt;=0,FALSE),IFERROR(INT(MID(metadata!C944,15,2))&lt;=59,FALSE)), OR(MID(metadata!C944,17,1)="", AND(AND(MID(metadata!C944,17,1)=":",IFERROR(INT(MID(metadata!C944,18,1))&gt;=0,FALSE),IFERROR(INT(MID(metadata!C944,18,1))&lt;=5,FALSE),NOT(MID(metadata!C944,19,1)=""),IFERROR(INT(MID(metadata!C944,18,2))&gt;=0,FALSE),IFERROR(INT(MID(metadata!C944,18,2))&lt;=59,FALSE)), LEN(metadata!C944)&lt;=19)))))))))))))</f>
        <v>0</v>
      </c>
      <c r="AD944">
        <f>IF(metadata!D944="",FALSE,TRUE)</f>
        <v>0</v>
      </c>
      <c r="AE944">
        <f>OR(AND(IF(metadata!E944="",FALSE,TRUE),OR(exact(metadata!E944,"missing: not collected"),exact(metadata!E944,"missing: not provided"))),AND(IF(metadata!E944="",FALSE,TRUE),OR(exact(metadata!E944,"TRUE"),exact(metadata!E944,"FALSE"))))</f>
        <v>0</v>
      </c>
      <c r="AF944">
        <f>IF(metadata!F944="",FALSE,TRUE)</f>
        <v>0</v>
      </c>
      <c r="AG944">
        <f>IF(metadata!G944="",FALSE,TRUE)</f>
        <v>0</v>
      </c>
      <c r="AH944">
        <f>IF(metadata!H944="",FALSE,TRUE)</f>
        <v>0</v>
      </c>
      <c r="AI944">
        <f>OR(AND(IF(metadata!I944="",FALSE,TRUE),OR(exact(metadata!I944,"missing: not collected"),exact(metadata!I944,"missing: not provided"),exact(metadata!I944,"missing: restricted access"))),AND(IF(metadata!I944="",FALSE,TRUE),OR(exact(metadata!I944,"air"),exact(metadata!I944,"built environment"),exact(metadata!I944,"host-associated"),exact(metadata!I944,"human-associated"),exact(metadata!I944,"human-skin"),exact(metadata!I944,"human-oral"),exact(metadata!I944,"human-gut"),exact(metadata!I944,"human-vaginal"),exact(metadata!I944,"microbial mat/biofilm"),exact(metadata!I944,"misc environment"),exact(metadata!I944,"plant-associated"),exact(metadata!I944,"sediment"),exact(metadata!I944,"soil"),exact(metadata!I944,"wastewater/sludge"),exact(metadata!I944,"water"))))</f>
        <v>0</v>
      </c>
      <c r="AJ944">
        <f>IF(metadata!J944="",FALSE,TRUE)</f>
        <v>0</v>
      </c>
      <c r="AK944">
        <f>OR(AND(IF(metadata!K944="",FALSE,TRUE),OR(exact(metadata!K944,"missing: not collected"),exact(metadata!K944,"missing: not provided"),exact(metadata!K944,"missing: restricted access"))),AND(IF(metadata!K944="",FALSE,ISNUMBER(VALUE(metadata!K944))),metadata!K944&gt;=-90.00,metadata!K944&lt;=90.00))</f>
        <v>0</v>
      </c>
      <c r="AL944">
        <f>OR(AND(IF(metadata!L944="",FALSE,TRUE),OR(exact(metadata!L944,"missing: not collected"),exact(metadata!L944,"missing: not provided"),exact(metadata!L944,"missing: restricted access"))),AND(IF(metadata!L944="",FALSE,ISNUMBER(VALUE(metadata!L944))),metadata!L944&gt;=-180.00,metadata!L944&lt;=180.00))</f>
        <v>0</v>
      </c>
      <c r="AM944">
        <f>IF(metadata!M944="",FALSE,TRUE)</f>
        <v>0</v>
      </c>
      <c r="AN944">
        <f>OR(AND(IF(metadata!N944="",FALSE,TRUE),OR(exact(metadata!N944,"missing: not collected"),exact(metadata!N944,"missing: not provided"),exact(metadata!N944,"missing: restricted access"))),AND(IF(metadata!N944="",FALSE,TRUE),OR(exact(metadata!N944,"TRUE"),exact(metadata!N944,"FALSE"))))</f>
        <v>0</v>
      </c>
      <c r="AO944">
        <f>IF(metadata!O944="",FALSE,TRUE)</f>
        <v>0</v>
      </c>
      <c r="AP944">
        <f>OR(AND(IF(metadata!P944="",FALSE,TRUE),OR(exact(metadata!P944,"missing: not collected"),exact(metadata!P944,"missing: not provided"))),AND(IF(metadata!P944="",FALSE,IF(ISERROR(INT(metadata!P944)),FALSE,INT(metadata!P944)=metadata!P944)),metadata!P944&gt;0))</f>
        <v>0</v>
      </c>
      <c r="AQ944">
        <f>IF(metadata!Q944="",FALSE,TRUE)</f>
        <v>0</v>
      </c>
    </row>
    <row r="945" spans="1:43">
      <c r="A945" s="5">
        <f>IF(B945=" "," ",HYPERLINK(CONCATENATE("#metadata!",ADDRESS(INDEX($W$2:$W$1001,MATCH(ROWS($U$2:U945),$U$2:$U$1001,0),0),1)),INDEX($Z$2:$Z$1001,MATCH(ROWS($U$2:U945),$U$2:$U$1001,0),0)))</f>
        <v>0</v>
      </c>
      <c r="B945" s="4">
        <f>IF(OR(INDEX($V$2:$V$1001,MATCH(ROWS($U$2:U945),$U$2:$U$1001,0),1)&gt;=100000,INDEX($AB$1005:$AQ$1005,1,MATCH(COLUMNS($AB$1006:AB1006),$AB$1006:$AQ$1006,0))&gt;=100000), " ",IF(INDEX($AB$2:$AQ$1001,MATCH(ROWS($U$2:U945),$U$2:$U$1001,0),MATCH(COLUMNS($AB$1006:AB1006),$AB$1006:$AQ$1006,0)), HYPERLINK("#",""), HYPERLINK(CONCATENATE("#metadata!", ADDRESS(INDEX($W$2:$W$1001,MATCH(ROWS($U$2:U945),$U$2:$U$1001,0),0), INDEX($AB$1004:$AQ$1004,1,MATCH(COLUMNS($AB$1006:AB1006),$AB$1006:$AQ$1006,0)))),"Fix")))</f>
        <v>0</v>
      </c>
      <c r="C945" s="4">
        <f>IF(OR(INDEX($V$2:$V$1001,MATCH(ROWS($U$2:U945),$U$2:$U$1001,0),1)&gt;=100000,INDEX($AB$1005:$AQ$1005,1,MATCH(COLUMNS($AB$1006:AC1006),$AB$1006:$AQ$1006,0))&gt;=100000), " ",IF(INDEX($AB$2:$AQ$1001,MATCH(ROWS($U$2:U945),$U$2:$U$1001,0),MATCH(COLUMNS($AB$1006:AC1006),$AB$1006:$AQ$1006,0)), HYPERLINK("#",""), HYPERLINK(CONCATENATE("#metadata!", ADDRESS(INDEX($W$2:$W$1001,MATCH(ROWS($U$2:U945),$U$2:$U$1001,0),0), INDEX($AB$1004:$AQ$1004,1,MATCH(COLUMNS($AB$1006:AC1006),$AB$1006:$AQ$1006,0)))),"Fix")))</f>
        <v>0</v>
      </c>
      <c r="D945" s="4">
        <f>IF(OR(INDEX($V$2:$V$1001,MATCH(ROWS($U$2:U945),$U$2:$U$1001,0),1)&gt;=100000,INDEX($AB$1005:$AQ$1005,1,MATCH(COLUMNS($AB$1006:AD1006),$AB$1006:$AQ$1006,0))&gt;=100000), " ",IF(INDEX($AB$2:$AQ$1001,MATCH(ROWS($U$2:U945),$U$2:$U$1001,0),MATCH(COLUMNS($AB$1006:AD1006),$AB$1006:$AQ$1006,0)), HYPERLINK("#",""), HYPERLINK(CONCATENATE("#metadata!", ADDRESS(INDEX($W$2:$W$1001,MATCH(ROWS($U$2:U945),$U$2:$U$1001,0),0), INDEX($AB$1004:$AQ$1004,1,MATCH(COLUMNS($AB$1006:AD1006),$AB$1006:$AQ$1006,0)))),"Fix")))</f>
        <v>0</v>
      </c>
      <c r="E945" s="4">
        <f>IF(OR(INDEX($V$2:$V$1001,MATCH(ROWS($U$2:U945),$U$2:$U$1001,0),1)&gt;=100000,INDEX($AB$1005:$AQ$1005,1,MATCH(COLUMNS($AB$1006:AE1006),$AB$1006:$AQ$1006,0))&gt;=100000), " ",IF(INDEX($AB$2:$AQ$1001,MATCH(ROWS($U$2:U945),$U$2:$U$1001,0),MATCH(COLUMNS($AB$1006:AE1006),$AB$1006:$AQ$1006,0)), HYPERLINK("#",""), HYPERLINK(CONCATENATE("#metadata!", ADDRESS(INDEX($W$2:$W$1001,MATCH(ROWS($U$2:U945),$U$2:$U$1001,0),0), INDEX($AB$1004:$AQ$1004,1,MATCH(COLUMNS($AB$1006:AE1006),$AB$1006:$AQ$1006,0)))),"Fix")))</f>
        <v>0</v>
      </c>
      <c r="F945" s="4">
        <f>IF(OR(INDEX($V$2:$V$1001,MATCH(ROWS($U$2:U945),$U$2:$U$1001,0),1)&gt;=100000,INDEX($AB$1005:$AQ$1005,1,MATCH(COLUMNS($AB$1006:AF1006),$AB$1006:$AQ$1006,0))&gt;=100000), " ",IF(INDEX($AB$2:$AQ$1001,MATCH(ROWS($U$2:U945),$U$2:$U$1001,0),MATCH(COLUMNS($AB$1006:AF1006),$AB$1006:$AQ$1006,0)), HYPERLINK("#",""), HYPERLINK(CONCATENATE("#metadata!", ADDRESS(INDEX($W$2:$W$1001,MATCH(ROWS($U$2:U945),$U$2:$U$1001,0),0), INDEX($AB$1004:$AQ$1004,1,MATCH(COLUMNS($AB$1006:AF1006),$AB$1006:$AQ$1006,0)))),"Fix")))</f>
        <v>0</v>
      </c>
      <c r="G945" s="4">
        <f>IF(OR(INDEX($V$2:$V$1001,MATCH(ROWS($U$2:U945),$U$2:$U$1001,0),1)&gt;=100000,INDEX($AB$1005:$AQ$1005,1,MATCH(COLUMNS($AB$1006:AG1006),$AB$1006:$AQ$1006,0))&gt;=100000), " ",IF(INDEX($AB$2:$AQ$1001,MATCH(ROWS($U$2:U945),$U$2:$U$1001,0),MATCH(COLUMNS($AB$1006:AG1006),$AB$1006:$AQ$1006,0)), HYPERLINK("#",""), HYPERLINK(CONCATENATE("#metadata!", ADDRESS(INDEX($W$2:$W$1001,MATCH(ROWS($U$2:U945),$U$2:$U$1001,0),0), INDEX($AB$1004:$AQ$1004,1,MATCH(COLUMNS($AB$1006:AG1006),$AB$1006:$AQ$1006,0)))),"Fix")))</f>
        <v>0</v>
      </c>
      <c r="H945" s="4">
        <f>IF(OR(INDEX($V$2:$V$1001,MATCH(ROWS($U$2:U945),$U$2:$U$1001,0),1)&gt;=100000,INDEX($AB$1005:$AQ$1005,1,MATCH(COLUMNS($AB$1006:AH1006),$AB$1006:$AQ$1006,0))&gt;=100000), " ",IF(INDEX($AB$2:$AQ$1001,MATCH(ROWS($U$2:U945),$U$2:$U$1001,0),MATCH(COLUMNS($AB$1006:AH1006),$AB$1006:$AQ$1006,0)), HYPERLINK("#",""), HYPERLINK(CONCATENATE("#metadata!", ADDRESS(INDEX($W$2:$W$1001,MATCH(ROWS($U$2:U945),$U$2:$U$1001,0),0), INDEX($AB$1004:$AQ$1004,1,MATCH(COLUMNS($AB$1006:AH1006),$AB$1006:$AQ$1006,0)))),"Fix")))</f>
        <v>0</v>
      </c>
      <c r="I945" s="4">
        <f>IF(OR(INDEX($V$2:$V$1001,MATCH(ROWS($U$2:U945),$U$2:$U$1001,0),1)&gt;=100000,INDEX($AB$1005:$AQ$1005,1,MATCH(COLUMNS($AB$1006:AI1006),$AB$1006:$AQ$1006,0))&gt;=100000), " ",IF(INDEX($AB$2:$AQ$1001,MATCH(ROWS($U$2:U945),$U$2:$U$1001,0),MATCH(COLUMNS($AB$1006:AI1006),$AB$1006:$AQ$1006,0)), HYPERLINK("#",""), HYPERLINK(CONCATENATE("#metadata!", ADDRESS(INDEX($W$2:$W$1001,MATCH(ROWS($U$2:U945),$U$2:$U$1001,0),0), INDEX($AB$1004:$AQ$1004,1,MATCH(COLUMNS($AB$1006:AI1006),$AB$1006:$AQ$1006,0)))),"Fix")))</f>
        <v>0</v>
      </c>
      <c r="J945" s="4">
        <f>IF(OR(INDEX($V$2:$V$1001,MATCH(ROWS($U$2:U945),$U$2:$U$1001,0),1)&gt;=100000,INDEX($AB$1005:$AQ$1005,1,MATCH(COLUMNS($AB$1006:AJ1006),$AB$1006:$AQ$1006,0))&gt;=100000), " ",IF(INDEX($AB$2:$AQ$1001,MATCH(ROWS($U$2:U945),$U$2:$U$1001,0),MATCH(COLUMNS($AB$1006:AJ1006),$AB$1006:$AQ$1006,0)), HYPERLINK("#",""), HYPERLINK(CONCATENATE("#metadata!", ADDRESS(INDEX($W$2:$W$1001,MATCH(ROWS($U$2:U945),$U$2:$U$1001,0),0), INDEX($AB$1004:$AQ$1004,1,MATCH(COLUMNS($AB$1006:AJ1006),$AB$1006:$AQ$1006,0)))),"Fix")))</f>
        <v>0</v>
      </c>
      <c r="K945" s="4">
        <f>IF(OR(INDEX($V$2:$V$1001,MATCH(ROWS($U$2:U945),$U$2:$U$1001,0),1)&gt;=100000,INDEX($AB$1005:$AQ$1005,1,MATCH(COLUMNS($AB$1006:AK1006),$AB$1006:$AQ$1006,0))&gt;=100000), " ",IF(INDEX($AB$2:$AQ$1001,MATCH(ROWS($U$2:U945),$U$2:$U$1001,0),MATCH(COLUMNS($AB$1006:AK1006),$AB$1006:$AQ$1006,0)), HYPERLINK("#",""), HYPERLINK(CONCATENATE("#metadata!", ADDRESS(INDEX($W$2:$W$1001,MATCH(ROWS($U$2:U945),$U$2:$U$1001,0),0), INDEX($AB$1004:$AQ$1004,1,MATCH(COLUMNS($AB$1006:AK1006),$AB$1006:$AQ$1006,0)))),"Fix")))</f>
        <v>0</v>
      </c>
      <c r="L945" s="4">
        <f>IF(OR(INDEX($V$2:$V$1001,MATCH(ROWS($U$2:U945),$U$2:$U$1001,0),1)&gt;=100000,INDEX($AB$1005:$AQ$1005,1,MATCH(COLUMNS($AB$1006:AL1006),$AB$1006:$AQ$1006,0))&gt;=100000), " ",IF(INDEX($AB$2:$AQ$1001,MATCH(ROWS($U$2:U945),$U$2:$U$1001,0),MATCH(COLUMNS($AB$1006:AL1006),$AB$1006:$AQ$1006,0)), HYPERLINK("#",""), HYPERLINK(CONCATENATE("#metadata!", ADDRESS(INDEX($W$2:$W$1001,MATCH(ROWS($U$2:U945),$U$2:$U$1001,0),0), INDEX($AB$1004:$AQ$1004,1,MATCH(COLUMNS($AB$1006:AL1006),$AB$1006:$AQ$1006,0)))),"Fix")))</f>
        <v>0</v>
      </c>
      <c r="M945" s="4">
        <f>IF(OR(INDEX($V$2:$V$1001,MATCH(ROWS($U$2:U945),$U$2:$U$1001,0),1)&gt;=100000,INDEX($AB$1005:$AQ$1005,1,MATCH(COLUMNS($AB$1006:AM1006),$AB$1006:$AQ$1006,0))&gt;=100000), " ",IF(INDEX($AB$2:$AQ$1001,MATCH(ROWS($U$2:U945),$U$2:$U$1001,0),MATCH(COLUMNS($AB$1006:AM1006),$AB$1006:$AQ$1006,0)), HYPERLINK("#",""), HYPERLINK(CONCATENATE("#metadata!", ADDRESS(INDEX($W$2:$W$1001,MATCH(ROWS($U$2:U945),$U$2:$U$1001,0),0), INDEX($AB$1004:$AQ$1004,1,MATCH(COLUMNS($AB$1006:AM1006),$AB$1006:$AQ$1006,0)))),"Fix")))</f>
        <v>0</v>
      </c>
      <c r="N945" s="4">
        <f>IF(OR(INDEX($V$2:$V$1001,MATCH(ROWS($U$2:U945),$U$2:$U$1001,0),1)&gt;=100000,INDEX($AB$1005:$AQ$1005,1,MATCH(COLUMNS($AB$1006:AN1006),$AB$1006:$AQ$1006,0))&gt;=100000), " ",IF(INDEX($AB$2:$AQ$1001,MATCH(ROWS($U$2:U945),$U$2:$U$1001,0),MATCH(COLUMNS($AB$1006:AN1006),$AB$1006:$AQ$1006,0)), HYPERLINK("#",""), HYPERLINK(CONCATENATE("#metadata!", ADDRESS(INDEX($W$2:$W$1001,MATCH(ROWS($U$2:U945),$U$2:$U$1001,0),0), INDEX($AB$1004:$AQ$1004,1,MATCH(COLUMNS($AB$1006:AN1006),$AB$1006:$AQ$1006,0)))),"Fix")))</f>
        <v>0</v>
      </c>
      <c r="O945" s="4">
        <f>IF(OR(INDEX($V$2:$V$1001,MATCH(ROWS($U$2:U945),$U$2:$U$1001,0),1)&gt;=100000,INDEX($AB$1005:$AQ$1005,1,MATCH(COLUMNS($AB$1006:AO1006),$AB$1006:$AQ$1006,0))&gt;=100000), " ",IF(INDEX($AB$2:$AQ$1001,MATCH(ROWS($U$2:U945),$U$2:$U$1001,0),MATCH(COLUMNS($AB$1006:AO1006),$AB$1006:$AQ$1006,0)), HYPERLINK("#",""), HYPERLINK(CONCATENATE("#metadata!", ADDRESS(INDEX($W$2:$W$1001,MATCH(ROWS($U$2:U945),$U$2:$U$1001,0),0), INDEX($AB$1004:$AQ$1004,1,MATCH(COLUMNS($AB$1006:AO1006),$AB$1006:$AQ$1006,0)))),"Fix")))</f>
        <v>0</v>
      </c>
      <c r="P945" s="4">
        <f>IF(OR(INDEX($V$2:$V$1001,MATCH(ROWS($U$2:U945),$U$2:$U$1001,0),1)&gt;=100000,INDEX($AB$1005:$AQ$1005,1,MATCH(COLUMNS($AB$1006:AP1006),$AB$1006:$AQ$1006,0))&gt;=100000), " ",IF(INDEX($AB$2:$AQ$1001,MATCH(ROWS($U$2:U945),$U$2:$U$1001,0),MATCH(COLUMNS($AB$1006:AP1006),$AB$1006:$AQ$1006,0)), HYPERLINK("#",""), HYPERLINK(CONCATENATE("#metadata!", ADDRESS(INDEX($W$2:$W$1001,MATCH(ROWS($U$2:U945),$U$2:$U$1001,0),0), INDEX($AB$1004:$AQ$1004,1,MATCH(COLUMNS($AB$1006:AP1006),$AB$1006:$AQ$1006,0)))),"Fix")))</f>
        <v>0</v>
      </c>
      <c r="Q945" s="4">
        <f>IF(OR(INDEX($V$2:$V$1001,MATCH(ROWS($U$2:U945),$U$2:$U$1001,0),1)&gt;=100000,INDEX($AB$1005:$AQ$1005,1,MATCH(COLUMNS($AB$1006:AQ1006),$AB$1006:$AQ$1006,0))&gt;=100000), " ",IF(INDEX($AB$2:$AQ$1001,MATCH(ROWS($U$2:U945),$U$2:$U$1001,0),MATCH(COLUMNS($AB$1006:AQ1006),$AB$1006:$AQ$1006,0)), HYPERLINK("#",""), HYPERLINK(CONCATENATE("#metadata!", ADDRESS(INDEX($W$2:$W$1001,MATCH(ROWS($U$2:U945),$U$2:$U$1001,0),0), INDEX($AB$1004:$AQ$1004,1,MATCH(COLUMNS($AB$1006:AQ1006),$AB$1006:$AQ$1006,0)))),"Fix")))</f>
        <v>0</v>
      </c>
      <c r="U945">
        <v>0</v>
      </c>
      <c r="V945">
        <v>0</v>
      </c>
      <c r="W945">
        <v>0</v>
      </c>
      <c r="X945">
        <f>IF(Y945,TRUE,AND(AB945:AQ945))</f>
        <v>0</v>
      </c>
      <c r="Y945">
        <f>COUNTBLANK(metadata!B945:Q945)=COLUMNS(metadata!B945:Q945)</f>
        <v>0</v>
      </c>
      <c r="Z945">
        <v>0</v>
      </c>
      <c r="AB945">
        <f>AND(IF(metadata!B945="",FALSE,TRUE),COUNTIF(metadata!B:B, metadata!B945) = 1,NOT(ISERROR(SUMPRODUCT(SEARCH(MID(metadata!B945,ROW(INDIRECT("1:"&amp;LEN(metadata!B945))), 1),"0123456789abcdefghijklmnopqrstuvwxyzABCDEFGHIJKLMNOPQRSTUVWXYZ.")))))</f>
        <v>0</v>
      </c>
      <c r="AC945">
        <f>OR(AND(IF(metadata!C945="",FALSE,TRUE),OR(exact(metadata!C945,"missing: not collected"),exact(metadata!C945,"missing: not provided"),exact(metadata!C945,"missing: restricted access"))),AND(IF(metadata!C945="",FALSE,TRUE),AND(AND(IFERROR(INT(LEFT(metadata!C945,4))&gt;1900,FALSE),IFERROR(INT(LEFT(metadata!C945,4))&lt;=YEAR(NOW()),FALSE)), OR(MID(metadata!C945,5,1)="", AND(AND(MID(metadata!C945,5,1)="-",IFERROR(INT(MID(metadata!C945,6,1))&gt;=0,FALSE),IFERROR(INT(MID(metadata!C945,6,1))&lt;=1,FALSE),NOT(MID(metadata!C945,7,1)=""),IFERROR(INT(MID(metadata!C945,6,2))&gt;=1,FALSE),IFERROR(INT(MID(metadata!C945,6,2))&lt;=12,FALSE)), OR(MID(metadata!C945,8,1)="", AND(AND(MID(metadata!C945,8,1)="-",IFERROR(INT(MID(metadata!C945,9,1))&gt;=0,FALSE),IFERROR(INT(MID(metadata!C945,9,1))&lt;=3,FALSE),NOT(MID(metadata!C945,10,1)=""),IFERROR(INT(MID(metadata!C945,9,2))&gt;=1,FALSE),IFERROR(INT(MID(metadata!C945,9,2))&lt;=31,FALSE)), OR(MID(metadata!C945,11,1)="", AND(AND(MID(metadata!C945,11,1)=" ",IFERROR(INT(MID(metadata!C945,12,1))&gt;=0,FALSE),IFERROR(INT(MID(metadata!C945,12,1))&lt;=2,FALSE),NOT(MID(metadata!C945,13,1)=""),IFERROR(INT(MID(metadata!C945,12,2))&gt;=0,FALSE),IFERROR(INT(MID(metadata!C945,12,2))&lt;=23,FALSE)), OR(MID(metadata!C945,14,1)="", AND(AND(MID(metadata!C945,14,1)=":",IFERROR(INT(MID(metadata!C945,15,1))&gt;=0,FALSE),IFERROR(INT(MID(metadata!C945,15,1))&lt;=5,FALSE),NOT(MID(metadata!C945,16,1)=""),IFERROR(INT(MID(metadata!C945,15,2))&gt;=0,FALSE),IFERROR(INT(MID(metadata!C945,15,2))&lt;=59,FALSE)), OR(MID(metadata!C945,17,1)="", AND(AND(MID(metadata!C945,17,1)=":",IFERROR(INT(MID(metadata!C945,18,1))&gt;=0,FALSE),IFERROR(INT(MID(metadata!C945,18,1))&lt;=5,FALSE),NOT(MID(metadata!C945,19,1)=""),IFERROR(INT(MID(metadata!C945,18,2))&gt;=0,FALSE),IFERROR(INT(MID(metadata!C945,18,2))&lt;=59,FALSE)), LEN(metadata!C945)&lt;=19)))))))))))))</f>
        <v>0</v>
      </c>
      <c r="AD945">
        <f>IF(metadata!D945="",FALSE,TRUE)</f>
        <v>0</v>
      </c>
      <c r="AE945">
        <f>OR(AND(IF(metadata!E945="",FALSE,TRUE),OR(exact(metadata!E945,"missing: not collected"),exact(metadata!E945,"missing: not provided"))),AND(IF(metadata!E945="",FALSE,TRUE),OR(exact(metadata!E945,"TRUE"),exact(metadata!E945,"FALSE"))))</f>
        <v>0</v>
      </c>
      <c r="AF945">
        <f>IF(metadata!F945="",FALSE,TRUE)</f>
        <v>0</v>
      </c>
      <c r="AG945">
        <f>IF(metadata!G945="",FALSE,TRUE)</f>
        <v>0</v>
      </c>
      <c r="AH945">
        <f>IF(metadata!H945="",FALSE,TRUE)</f>
        <v>0</v>
      </c>
      <c r="AI945">
        <f>OR(AND(IF(metadata!I945="",FALSE,TRUE),OR(exact(metadata!I945,"missing: not collected"),exact(metadata!I945,"missing: not provided"),exact(metadata!I945,"missing: restricted access"))),AND(IF(metadata!I945="",FALSE,TRUE),OR(exact(metadata!I945,"air"),exact(metadata!I945,"built environment"),exact(metadata!I945,"host-associated"),exact(metadata!I945,"human-associated"),exact(metadata!I945,"human-skin"),exact(metadata!I945,"human-oral"),exact(metadata!I945,"human-gut"),exact(metadata!I945,"human-vaginal"),exact(metadata!I945,"microbial mat/biofilm"),exact(metadata!I945,"misc environment"),exact(metadata!I945,"plant-associated"),exact(metadata!I945,"sediment"),exact(metadata!I945,"soil"),exact(metadata!I945,"wastewater/sludge"),exact(metadata!I945,"water"))))</f>
        <v>0</v>
      </c>
      <c r="AJ945">
        <f>IF(metadata!J945="",FALSE,TRUE)</f>
        <v>0</v>
      </c>
      <c r="AK945">
        <f>OR(AND(IF(metadata!K945="",FALSE,TRUE),OR(exact(metadata!K945,"missing: not collected"),exact(metadata!K945,"missing: not provided"),exact(metadata!K945,"missing: restricted access"))),AND(IF(metadata!K945="",FALSE,ISNUMBER(VALUE(metadata!K945))),metadata!K945&gt;=-90.00,metadata!K945&lt;=90.00))</f>
        <v>0</v>
      </c>
      <c r="AL945">
        <f>OR(AND(IF(metadata!L945="",FALSE,TRUE),OR(exact(metadata!L945,"missing: not collected"),exact(metadata!L945,"missing: not provided"),exact(metadata!L945,"missing: restricted access"))),AND(IF(metadata!L945="",FALSE,ISNUMBER(VALUE(metadata!L945))),metadata!L945&gt;=-180.00,metadata!L945&lt;=180.00))</f>
        <v>0</v>
      </c>
      <c r="AM945">
        <f>IF(metadata!M945="",FALSE,TRUE)</f>
        <v>0</v>
      </c>
      <c r="AN945">
        <f>OR(AND(IF(metadata!N945="",FALSE,TRUE),OR(exact(metadata!N945,"missing: not collected"),exact(metadata!N945,"missing: not provided"),exact(metadata!N945,"missing: restricted access"))),AND(IF(metadata!N945="",FALSE,TRUE),OR(exact(metadata!N945,"TRUE"),exact(metadata!N945,"FALSE"))))</f>
        <v>0</v>
      </c>
      <c r="AO945">
        <f>IF(metadata!O945="",FALSE,TRUE)</f>
        <v>0</v>
      </c>
      <c r="AP945">
        <f>OR(AND(IF(metadata!P945="",FALSE,TRUE),OR(exact(metadata!P945,"missing: not collected"),exact(metadata!P945,"missing: not provided"))),AND(IF(metadata!P945="",FALSE,IF(ISERROR(INT(metadata!P945)),FALSE,INT(metadata!P945)=metadata!P945)),metadata!P945&gt;0))</f>
        <v>0</v>
      </c>
      <c r="AQ945">
        <f>IF(metadata!Q945="",FALSE,TRUE)</f>
        <v>0</v>
      </c>
    </row>
    <row r="946" spans="1:43">
      <c r="A946" s="5">
        <f>IF(B946=" "," ",HYPERLINK(CONCATENATE("#metadata!",ADDRESS(INDEX($W$2:$W$1001,MATCH(ROWS($U$2:U946),$U$2:$U$1001,0),0),1)),INDEX($Z$2:$Z$1001,MATCH(ROWS($U$2:U946),$U$2:$U$1001,0),0)))</f>
        <v>0</v>
      </c>
      <c r="B946" s="4">
        <f>IF(OR(INDEX($V$2:$V$1001,MATCH(ROWS($U$2:U946),$U$2:$U$1001,0),1)&gt;=100000,INDEX($AB$1005:$AQ$1005,1,MATCH(COLUMNS($AB$1006:AB1006),$AB$1006:$AQ$1006,0))&gt;=100000), " ",IF(INDEX($AB$2:$AQ$1001,MATCH(ROWS($U$2:U946),$U$2:$U$1001,0),MATCH(COLUMNS($AB$1006:AB1006),$AB$1006:$AQ$1006,0)), HYPERLINK("#",""), HYPERLINK(CONCATENATE("#metadata!", ADDRESS(INDEX($W$2:$W$1001,MATCH(ROWS($U$2:U946),$U$2:$U$1001,0),0), INDEX($AB$1004:$AQ$1004,1,MATCH(COLUMNS($AB$1006:AB1006),$AB$1006:$AQ$1006,0)))),"Fix")))</f>
        <v>0</v>
      </c>
      <c r="C946" s="4">
        <f>IF(OR(INDEX($V$2:$V$1001,MATCH(ROWS($U$2:U946),$U$2:$U$1001,0),1)&gt;=100000,INDEX($AB$1005:$AQ$1005,1,MATCH(COLUMNS($AB$1006:AC1006),$AB$1006:$AQ$1006,0))&gt;=100000), " ",IF(INDEX($AB$2:$AQ$1001,MATCH(ROWS($U$2:U946),$U$2:$U$1001,0),MATCH(COLUMNS($AB$1006:AC1006),$AB$1006:$AQ$1006,0)), HYPERLINK("#",""), HYPERLINK(CONCATENATE("#metadata!", ADDRESS(INDEX($W$2:$W$1001,MATCH(ROWS($U$2:U946),$U$2:$U$1001,0),0), INDEX($AB$1004:$AQ$1004,1,MATCH(COLUMNS($AB$1006:AC1006),$AB$1006:$AQ$1006,0)))),"Fix")))</f>
        <v>0</v>
      </c>
      <c r="D946" s="4">
        <f>IF(OR(INDEX($V$2:$V$1001,MATCH(ROWS($U$2:U946),$U$2:$U$1001,0),1)&gt;=100000,INDEX($AB$1005:$AQ$1005,1,MATCH(COLUMNS($AB$1006:AD1006),$AB$1006:$AQ$1006,0))&gt;=100000), " ",IF(INDEX($AB$2:$AQ$1001,MATCH(ROWS($U$2:U946),$U$2:$U$1001,0),MATCH(COLUMNS($AB$1006:AD1006),$AB$1006:$AQ$1006,0)), HYPERLINK("#",""), HYPERLINK(CONCATENATE("#metadata!", ADDRESS(INDEX($W$2:$W$1001,MATCH(ROWS($U$2:U946),$U$2:$U$1001,0),0), INDEX($AB$1004:$AQ$1004,1,MATCH(COLUMNS($AB$1006:AD1006),$AB$1006:$AQ$1006,0)))),"Fix")))</f>
        <v>0</v>
      </c>
      <c r="E946" s="4">
        <f>IF(OR(INDEX($V$2:$V$1001,MATCH(ROWS($U$2:U946),$U$2:$U$1001,0),1)&gt;=100000,INDEX($AB$1005:$AQ$1005,1,MATCH(COLUMNS($AB$1006:AE1006),$AB$1006:$AQ$1006,0))&gt;=100000), " ",IF(INDEX($AB$2:$AQ$1001,MATCH(ROWS($U$2:U946),$U$2:$U$1001,0),MATCH(COLUMNS($AB$1006:AE1006),$AB$1006:$AQ$1006,0)), HYPERLINK("#",""), HYPERLINK(CONCATENATE("#metadata!", ADDRESS(INDEX($W$2:$W$1001,MATCH(ROWS($U$2:U946),$U$2:$U$1001,0),0), INDEX($AB$1004:$AQ$1004,1,MATCH(COLUMNS($AB$1006:AE1006),$AB$1006:$AQ$1006,0)))),"Fix")))</f>
        <v>0</v>
      </c>
      <c r="F946" s="4">
        <f>IF(OR(INDEX($V$2:$V$1001,MATCH(ROWS($U$2:U946),$U$2:$U$1001,0),1)&gt;=100000,INDEX($AB$1005:$AQ$1005,1,MATCH(COLUMNS($AB$1006:AF1006),$AB$1006:$AQ$1006,0))&gt;=100000), " ",IF(INDEX($AB$2:$AQ$1001,MATCH(ROWS($U$2:U946),$U$2:$U$1001,0),MATCH(COLUMNS($AB$1006:AF1006),$AB$1006:$AQ$1006,0)), HYPERLINK("#",""), HYPERLINK(CONCATENATE("#metadata!", ADDRESS(INDEX($W$2:$W$1001,MATCH(ROWS($U$2:U946),$U$2:$U$1001,0),0), INDEX($AB$1004:$AQ$1004,1,MATCH(COLUMNS($AB$1006:AF1006),$AB$1006:$AQ$1006,0)))),"Fix")))</f>
        <v>0</v>
      </c>
      <c r="G946" s="4">
        <f>IF(OR(INDEX($V$2:$V$1001,MATCH(ROWS($U$2:U946),$U$2:$U$1001,0),1)&gt;=100000,INDEX($AB$1005:$AQ$1005,1,MATCH(COLUMNS($AB$1006:AG1006),$AB$1006:$AQ$1006,0))&gt;=100000), " ",IF(INDEX($AB$2:$AQ$1001,MATCH(ROWS($U$2:U946),$U$2:$U$1001,0),MATCH(COLUMNS($AB$1006:AG1006),$AB$1006:$AQ$1006,0)), HYPERLINK("#",""), HYPERLINK(CONCATENATE("#metadata!", ADDRESS(INDEX($W$2:$W$1001,MATCH(ROWS($U$2:U946),$U$2:$U$1001,0),0), INDEX($AB$1004:$AQ$1004,1,MATCH(COLUMNS($AB$1006:AG1006),$AB$1006:$AQ$1006,0)))),"Fix")))</f>
        <v>0</v>
      </c>
      <c r="H946" s="4">
        <f>IF(OR(INDEX($V$2:$V$1001,MATCH(ROWS($U$2:U946),$U$2:$U$1001,0),1)&gt;=100000,INDEX($AB$1005:$AQ$1005,1,MATCH(COLUMNS($AB$1006:AH1006),$AB$1006:$AQ$1006,0))&gt;=100000), " ",IF(INDEX($AB$2:$AQ$1001,MATCH(ROWS($U$2:U946),$U$2:$U$1001,0),MATCH(COLUMNS($AB$1006:AH1006),$AB$1006:$AQ$1006,0)), HYPERLINK("#",""), HYPERLINK(CONCATENATE("#metadata!", ADDRESS(INDEX($W$2:$W$1001,MATCH(ROWS($U$2:U946),$U$2:$U$1001,0),0), INDEX($AB$1004:$AQ$1004,1,MATCH(COLUMNS($AB$1006:AH1006),$AB$1006:$AQ$1006,0)))),"Fix")))</f>
        <v>0</v>
      </c>
      <c r="I946" s="4">
        <f>IF(OR(INDEX($V$2:$V$1001,MATCH(ROWS($U$2:U946),$U$2:$U$1001,0),1)&gt;=100000,INDEX($AB$1005:$AQ$1005,1,MATCH(COLUMNS($AB$1006:AI1006),$AB$1006:$AQ$1006,0))&gt;=100000), " ",IF(INDEX($AB$2:$AQ$1001,MATCH(ROWS($U$2:U946),$U$2:$U$1001,0),MATCH(COLUMNS($AB$1006:AI1006),$AB$1006:$AQ$1006,0)), HYPERLINK("#",""), HYPERLINK(CONCATENATE("#metadata!", ADDRESS(INDEX($W$2:$W$1001,MATCH(ROWS($U$2:U946),$U$2:$U$1001,0),0), INDEX($AB$1004:$AQ$1004,1,MATCH(COLUMNS($AB$1006:AI1006),$AB$1006:$AQ$1006,0)))),"Fix")))</f>
        <v>0</v>
      </c>
      <c r="J946" s="4">
        <f>IF(OR(INDEX($V$2:$V$1001,MATCH(ROWS($U$2:U946),$U$2:$U$1001,0),1)&gt;=100000,INDEX($AB$1005:$AQ$1005,1,MATCH(COLUMNS($AB$1006:AJ1006),$AB$1006:$AQ$1006,0))&gt;=100000), " ",IF(INDEX($AB$2:$AQ$1001,MATCH(ROWS($U$2:U946),$U$2:$U$1001,0),MATCH(COLUMNS($AB$1006:AJ1006),$AB$1006:$AQ$1006,0)), HYPERLINK("#",""), HYPERLINK(CONCATENATE("#metadata!", ADDRESS(INDEX($W$2:$W$1001,MATCH(ROWS($U$2:U946),$U$2:$U$1001,0),0), INDEX($AB$1004:$AQ$1004,1,MATCH(COLUMNS($AB$1006:AJ1006),$AB$1006:$AQ$1006,0)))),"Fix")))</f>
        <v>0</v>
      </c>
      <c r="K946" s="4">
        <f>IF(OR(INDEX($V$2:$V$1001,MATCH(ROWS($U$2:U946),$U$2:$U$1001,0),1)&gt;=100000,INDEX($AB$1005:$AQ$1005,1,MATCH(COLUMNS($AB$1006:AK1006),$AB$1006:$AQ$1006,0))&gt;=100000), " ",IF(INDEX($AB$2:$AQ$1001,MATCH(ROWS($U$2:U946),$U$2:$U$1001,0),MATCH(COLUMNS($AB$1006:AK1006),$AB$1006:$AQ$1006,0)), HYPERLINK("#",""), HYPERLINK(CONCATENATE("#metadata!", ADDRESS(INDEX($W$2:$W$1001,MATCH(ROWS($U$2:U946),$U$2:$U$1001,0),0), INDEX($AB$1004:$AQ$1004,1,MATCH(COLUMNS($AB$1006:AK1006),$AB$1006:$AQ$1006,0)))),"Fix")))</f>
        <v>0</v>
      </c>
      <c r="L946" s="4">
        <f>IF(OR(INDEX($V$2:$V$1001,MATCH(ROWS($U$2:U946),$U$2:$U$1001,0),1)&gt;=100000,INDEX($AB$1005:$AQ$1005,1,MATCH(COLUMNS($AB$1006:AL1006),$AB$1006:$AQ$1006,0))&gt;=100000), " ",IF(INDEX($AB$2:$AQ$1001,MATCH(ROWS($U$2:U946),$U$2:$U$1001,0),MATCH(COLUMNS($AB$1006:AL1006),$AB$1006:$AQ$1006,0)), HYPERLINK("#",""), HYPERLINK(CONCATENATE("#metadata!", ADDRESS(INDEX($W$2:$W$1001,MATCH(ROWS($U$2:U946),$U$2:$U$1001,0),0), INDEX($AB$1004:$AQ$1004,1,MATCH(COLUMNS($AB$1006:AL1006),$AB$1006:$AQ$1006,0)))),"Fix")))</f>
        <v>0</v>
      </c>
      <c r="M946" s="4">
        <f>IF(OR(INDEX($V$2:$V$1001,MATCH(ROWS($U$2:U946),$U$2:$U$1001,0),1)&gt;=100000,INDEX($AB$1005:$AQ$1005,1,MATCH(COLUMNS($AB$1006:AM1006),$AB$1006:$AQ$1006,0))&gt;=100000), " ",IF(INDEX($AB$2:$AQ$1001,MATCH(ROWS($U$2:U946),$U$2:$U$1001,0),MATCH(COLUMNS($AB$1006:AM1006),$AB$1006:$AQ$1006,0)), HYPERLINK("#",""), HYPERLINK(CONCATENATE("#metadata!", ADDRESS(INDEX($W$2:$W$1001,MATCH(ROWS($U$2:U946),$U$2:$U$1001,0),0), INDEX($AB$1004:$AQ$1004,1,MATCH(COLUMNS($AB$1006:AM1006),$AB$1006:$AQ$1006,0)))),"Fix")))</f>
        <v>0</v>
      </c>
      <c r="N946" s="4">
        <f>IF(OR(INDEX($V$2:$V$1001,MATCH(ROWS($U$2:U946),$U$2:$U$1001,0),1)&gt;=100000,INDEX($AB$1005:$AQ$1005,1,MATCH(COLUMNS($AB$1006:AN1006),$AB$1006:$AQ$1006,0))&gt;=100000), " ",IF(INDEX($AB$2:$AQ$1001,MATCH(ROWS($U$2:U946),$U$2:$U$1001,0),MATCH(COLUMNS($AB$1006:AN1006),$AB$1006:$AQ$1006,0)), HYPERLINK("#",""), HYPERLINK(CONCATENATE("#metadata!", ADDRESS(INDEX($W$2:$W$1001,MATCH(ROWS($U$2:U946),$U$2:$U$1001,0),0), INDEX($AB$1004:$AQ$1004,1,MATCH(COLUMNS($AB$1006:AN1006),$AB$1006:$AQ$1006,0)))),"Fix")))</f>
        <v>0</v>
      </c>
      <c r="O946" s="4">
        <f>IF(OR(INDEX($V$2:$V$1001,MATCH(ROWS($U$2:U946),$U$2:$U$1001,0),1)&gt;=100000,INDEX($AB$1005:$AQ$1005,1,MATCH(COLUMNS($AB$1006:AO1006),$AB$1006:$AQ$1006,0))&gt;=100000), " ",IF(INDEX($AB$2:$AQ$1001,MATCH(ROWS($U$2:U946),$U$2:$U$1001,0),MATCH(COLUMNS($AB$1006:AO1006),$AB$1006:$AQ$1006,0)), HYPERLINK("#",""), HYPERLINK(CONCATENATE("#metadata!", ADDRESS(INDEX($W$2:$W$1001,MATCH(ROWS($U$2:U946),$U$2:$U$1001,0),0), INDEX($AB$1004:$AQ$1004,1,MATCH(COLUMNS($AB$1006:AO1006),$AB$1006:$AQ$1006,0)))),"Fix")))</f>
        <v>0</v>
      </c>
      <c r="P946" s="4">
        <f>IF(OR(INDEX($V$2:$V$1001,MATCH(ROWS($U$2:U946),$U$2:$U$1001,0),1)&gt;=100000,INDEX($AB$1005:$AQ$1005,1,MATCH(COLUMNS($AB$1006:AP1006),$AB$1006:$AQ$1006,0))&gt;=100000), " ",IF(INDEX($AB$2:$AQ$1001,MATCH(ROWS($U$2:U946),$U$2:$U$1001,0),MATCH(COLUMNS($AB$1006:AP1006),$AB$1006:$AQ$1006,0)), HYPERLINK("#",""), HYPERLINK(CONCATENATE("#metadata!", ADDRESS(INDEX($W$2:$W$1001,MATCH(ROWS($U$2:U946),$U$2:$U$1001,0),0), INDEX($AB$1004:$AQ$1004,1,MATCH(COLUMNS($AB$1006:AP1006),$AB$1006:$AQ$1006,0)))),"Fix")))</f>
        <v>0</v>
      </c>
      <c r="Q946" s="4">
        <f>IF(OR(INDEX($V$2:$V$1001,MATCH(ROWS($U$2:U946),$U$2:$U$1001,0),1)&gt;=100000,INDEX($AB$1005:$AQ$1005,1,MATCH(COLUMNS($AB$1006:AQ1006),$AB$1006:$AQ$1006,0))&gt;=100000), " ",IF(INDEX($AB$2:$AQ$1001,MATCH(ROWS($U$2:U946),$U$2:$U$1001,0),MATCH(COLUMNS($AB$1006:AQ1006),$AB$1006:$AQ$1006,0)), HYPERLINK("#",""), HYPERLINK(CONCATENATE("#metadata!", ADDRESS(INDEX($W$2:$W$1001,MATCH(ROWS($U$2:U946),$U$2:$U$1001,0),0), INDEX($AB$1004:$AQ$1004,1,MATCH(COLUMNS($AB$1006:AQ1006),$AB$1006:$AQ$1006,0)))),"Fix")))</f>
        <v>0</v>
      </c>
      <c r="U946">
        <v>0</v>
      </c>
      <c r="V946">
        <v>0</v>
      </c>
      <c r="W946">
        <v>0</v>
      </c>
      <c r="X946">
        <f>IF(Y946,TRUE,AND(AB946:AQ946))</f>
        <v>0</v>
      </c>
      <c r="Y946">
        <f>COUNTBLANK(metadata!B946:Q946)=COLUMNS(metadata!B946:Q946)</f>
        <v>0</v>
      </c>
      <c r="Z946">
        <v>0</v>
      </c>
      <c r="AB946">
        <f>AND(IF(metadata!B946="",FALSE,TRUE),COUNTIF(metadata!B:B, metadata!B946) = 1,NOT(ISERROR(SUMPRODUCT(SEARCH(MID(metadata!B946,ROW(INDIRECT("1:"&amp;LEN(metadata!B946))), 1),"0123456789abcdefghijklmnopqrstuvwxyzABCDEFGHIJKLMNOPQRSTUVWXYZ.")))))</f>
        <v>0</v>
      </c>
      <c r="AC946">
        <f>OR(AND(IF(metadata!C946="",FALSE,TRUE),OR(exact(metadata!C946,"missing: not collected"),exact(metadata!C946,"missing: not provided"),exact(metadata!C946,"missing: restricted access"))),AND(IF(metadata!C946="",FALSE,TRUE),AND(AND(IFERROR(INT(LEFT(metadata!C946,4))&gt;1900,FALSE),IFERROR(INT(LEFT(metadata!C946,4))&lt;=YEAR(NOW()),FALSE)), OR(MID(metadata!C946,5,1)="", AND(AND(MID(metadata!C946,5,1)="-",IFERROR(INT(MID(metadata!C946,6,1))&gt;=0,FALSE),IFERROR(INT(MID(metadata!C946,6,1))&lt;=1,FALSE),NOT(MID(metadata!C946,7,1)=""),IFERROR(INT(MID(metadata!C946,6,2))&gt;=1,FALSE),IFERROR(INT(MID(metadata!C946,6,2))&lt;=12,FALSE)), OR(MID(metadata!C946,8,1)="", AND(AND(MID(metadata!C946,8,1)="-",IFERROR(INT(MID(metadata!C946,9,1))&gt;=0,FALSE),IFERROR(INT(MID(metadata!C946,9,1))&lt;=3,FALSE),NOT(MID(metadata!C946,10,1)=""),IFERROR(INT(MID(metadata!C946,9,2))&gt;=1,FALSE),IFERROR(INT(MID(metadata!C946,9,2))&lt;=31,FALSE)), OR(MID(metadata!C946,11,1)="", AND(AND(MID(metadata!C946,11,1)=" ",IFERROR(INT(MID(metadata!C946,12,1))&gt;=0,FALSE),IFERROR(INT(MID(metadata!C946,12,1))&lt;=2,FALSE),NOT(MID(metadata!C946,13,1)=""),IFERROR(INT(MID(metadata!C946,12,2))&gt;=0,FALSE),IFERROR(INT(MID(metadata!C946,12,2))&lt;=23,FALSE)), OR(MID(metadata!C946,14,1)="", AND(AND(MID(metadata!C946,14,1)=":",IFERROR(INT(MID(metadata!C946,15,1))&gt;=0,FALSE),IFERROR(INT(MID(metadata!C946,15,1))&lt;=5,FALSE),NOT(MID(metadata!C946,16,1)=""),IFERROR(INT(MID(metadata!C946,15,2))&gt;=0,FALSE),IFERROR(INT(MID(metadata!C946,15,2))&lt;=59,FALSE)), OR(MID(metadata!C946,17,1)="", AND(AND(MID(metadata!C946,17,1)=":",IFERROR(INT(MID(metadata!C946,18,1))&gt;=0,FALSE),IFERROR(INT(MID(metadata!C946,18,1))&lt;=5,FALSE),NOT(MID(metadata!C946,19,1)=""),IFERROR(INT(MID(metadata!C946,18,2))&gt;=0,FALSE),IFERROR(INT(MID(metadata!C946,18,2))&lt;=59,FALSE)), LEN(metadata!C946)&lt;=19)))))))))))))</f>
        <v>0</v>
      </c>
      <c r="AD946">
        <f>IF(metadata!D946="",FALSE,TRUE)</f>
        <v>0</v>
      </c>
      <c r="AE946">
        <f>OR(AND(IF(metadata!E946="",FALSE,TRUE),OR(exact(metadata!E946,"missing: not collected"),exact(metadata!E946,"missing: not provided"))),AND(IF(metadata!E946="",FALSE,TRUE),OR(exact(metadata!E946,"TRUE"),exact(metadata!E946,"FALSE"))))</f>
        <v>0</v>
      </c>
      <c r="AF946">
        <f>IF(metadata!F946="",FALSE,TRUE)</f>
        <v>0</v>
      </c>
      <c r="AG946">
        <f>IF(metadata!G946="",FALSE,TRUE)</f>
        <v>0</v>
      </c>
      <c r="AH946">
        <f>IF(metadata!H946="",FALSE,TRUE)</f>
        <v>0</v>
      </c>
      <c r="AI946">
        <f>OR(AND(IF(metadata!I946="",FALSE,TRUE),OR(exact(metadata!I946,"missing: not collected"),exact(metadata!I946,"missing: not provided"),exact(metadata!I946,"missing: restricted access"))),AND(IF(metadata!I946="",FALSE,TRUE),OR(exact(metadata!I946,"air"),exact(metadata!I946,"built environment"),exact(metadata!I946,"host-associated"),exact(metadata!I946,"human-associated"),exact(metadata!I946,"human-skin"),exact(metadata!I946,"human-oral"),exact(metadata!I946,"human-gut"),exact(metadata!I946,"human-vaginal"),exact(metadata!I946,"microbial mat/biofilm"),exact(metadata!I946,"misc environment"),exact(metadata!I946,"plant-associated"),exact(metadata!I946,"sediment"),exact(metadata!I946,"soil"),exact(metadata!I946,"wastewater/sludge"),exact(metadata!I946,"water"))))</f>
        <v>0</v>
      </c>
      <c r="AJ946">
        <f>IF(metadata!J946="",FALSE,TRUE)</f>
        <v>0</v>
      </c>
      <c r="AK946">
        <f>OR(AND(IF(metadata!K946="",FALSE,TRUE),OR(exact(metadata!K946,"missing: not collected"),exact(metadata!K946,"missing: not provided"),exact(metadata!K946,"missing: restricted access"))),AND(IF(metadata!K946="",FALSE,ISNUMBER(VALUE(metadata!K946))),metadata!K946&gt;=-90.00,metadata!K946&lt;=90.00))</f>
        <v>0</v>
      </c>
      <c r="AL946">
        <f>OR(AND(IF(metadata!L946="",FALSE,TRUE),OR(exact(metadata!L946,"missing: not collected"),exact(metadata!L946,"missing: not provided"),exact(metadata!L946,"missing: restricted access"))),AND(IF(metadata!L946="",FALSE,ISNUMBER(VALUE(metadata!L946))),metadata!L946&gt;=-180.00,metadata!L946&lt;=180.00))</f>
        <v>0</v>
      </c>
      <c r="AM946">
        <f>IF(metadata!M946="",FALSE,TRUE)</f>
        <v>0</v>
      </c>
      <c r="AN946">
        <f>OR(AND(IF(metadata!N946="",FALSE,TRUE),OR(exact(metadata!N946,"missing: not collected"),exact(metadata!N946,"missing: not provided"),exact(metadata!N946,"missing: restricted access"))),AND(IF(metadata!N946="",FALSE,TRUE),OR(exact(metadata!N946,"TRUE"),exact(metadata!N946,"FALSE"))))</f>
        <v>0</v>
      </c>
      <c r="AO946">
        <f>IF(metadata!O946="",FALSE,TRUE)</f>
        <v>0</v>
      </c>
      <c r="AP946">
        <f>OR(AND(IF(metadata!P946="",FALSE,TRUE),OR(exact(metadata!P946,"missing: not collected"),exact(metadata!P946,"missing: not provided"))),AND(IF(metadata!P946="",FALSE,IF(ISERROR(INT(metadata!P946)),FALSE,INT(metadata!P946)=metadata!P946)),metadata!P946&gt;0))</f>
        <v>0</v>
      </c>
      <c r="AQ946">
        <f>IF(metadata!Q946="",FALSE,TRUE)</f>
        <v>0</v>
      </c>
    </row>
    <row r="947" spans="1:43">
      <c r="A947" s="5">
        <f>IF(B947=" "," ",HYPERLINK(CONCATENATE("#metadata!",ADDRESS(INDEX($W$2:$W$1001,MATCH(ROWS($U$2:U947),$U$2:$U$1001,0),0),1)),INDEX($Z$2:$Z$1001,MATCH(ROWS($U$2:U947),$U$2:$U$1001,0),0)))</f>
        <v>0</v>
      </c>
      <c r="B947" s="4">
        <f>IF(OR(INDEX($V$2:$V$1001,MATCH(ROWS($U$2:U947),$U$2:$U$1001,0),1)&gt;=100000,INDEX($AB$1005:$AQ$1005,1,MATCH(COLUMNS($AB$1006:AB1006),$AB$1006:$AQ$1006,0))&gt;=100000), " ",IF(INDEX($AB$2:$AQ$1001,MATCH(ROWS($U$2:U947),$U$2:$U$1001,0),MATCH(COLUMNS($AB$1006:AB1006),$AB$1006:$AQ$1006,0)), HYPERLINK("#",""), HYPERLINK(CONCATENATE("#metadata!", ADDRESS(INDEX($W$2:$W$1001,MATCH(ROWS($U$2:U947),$U$2:$U$1001,0),0), INDEX($AB$1004:$AQ$1004,1,MATCH(COLUMNS($AB$1006:AB1006),$AB$1006:$AQ$1006,0)))),"Fix")))</f>
        <v>0</v>
      </c>
      <c r="C947" s="4">
        <f>IF(OR(INDEX($V$2:$V$1001,MATCH(ROWS($U$2:U947),$U$2:$U$1001,0),1)&gt;=100000,INDEX($AB$1005:$AQ$1005,1,MATCH(COLUMNS($AB$1006:AC1006),$AB$1006:$AQ$1006,0))&gt;=100000), " ",IF(INDEX($AB$2:$AQ$1001,MATCH(ROWS($U$2:U947),$U$2:$U$1001,0),MATCH(COLUMNS($AB$1006:AC1006),$AB$1006:$AQ$1006,0)), HYPERLINK("#",""), HYPERLINK(CONCATENATE("#metadata!", ADDRESS(INDEX($W$2:$W$1001,MATCH(ROWS($U$2:U947),$U$2:$U$1001,0),0), INDEX($AB$1004:$AQ$1004,1,MATCH(COLUMNS($AB$1006:AC1006),$AB$1006:$AQ$1006,0)))),"Fix")))</f>
        <v>0</v>
      </c>
      <c r="D947" s="4">
        <f>IF(OR(INDEX($V$2:$V$1001,MATCH(ROWS($U$2:U947),$U$2:$U$1001,0),1)&gt;=100000,INDEX($AB$1005:$AQ$1005,1,MATCH(COLUMNS($AB$1006:AD1006),$AB$1006:$AQ$1006,0))&gt;=100000), " ",IF(INDEX($AB$2:$AQ$1001,MATCH(ROWS($U$2:U947),$U$2:$U$1001,0),MATCH(COLUMNS($AB$1006:AD1006),$AB$1006:$AQ$1006,0)), HYPERLINK("#",""), HYPERLINK(CONCATENATE("#metadata!", ADDRESS(INDEX($W$2:$W$1001,MATCH(ROWS($U$2:U947),$U$2:$U$1001,0),0), INDEX($AB$1004:$AQ$1004,1,MATCH(COLUMNS($AB$1006:AD1006),$AB$1006:$AQ$1006,0)))),"Fix")))</f>
        <v>0</v>
      </c>
      <c r="E947" s="4">
        <f>IF(OR(INDEX($V$2:$V$1001,MATCH(ROWS($U$2:U947),$U$2:$U$1001,0),1)&gt;=100000,INDEX($AB$1005:$AQ$1005,1,MATCH(COLUMNS($AB$1006:AE1006),$AB$1006:$AQ$1006,0))&gt;=100000), " ",IF(INDEX($AB$2:$AQ$1001,MATCH(ROWS($U$2:U947),$U$2:$U$1001,0),MATCH(COLUMNS($AB$1006:AE1006),$AB$1006:$AQ$1006,0)), HYPERLINK("#",""), HYPERLINK(CONCATENATE("#metadata!", ADDRESS(INDEX($W$2:$W$1001,MATCH(ROWS($U$2:U947),$U$2:$U$1001,0),0), INDEX($AB$1004:$AQ$1004,1,MATCH(COLUMNS($AB$1006:AE1006),$AB$1006:$AQ$1006,0)))),"Fix")))</f>
        <v>0</v>
      </c>
      <c r="F947" s="4">
        <f>IF(OR(INDEX($V$2:$V$1001,MATCH(ROWS($U$2:U947),$U$2:$U$1001,0),1)&gt;=100000,INDEX($AB$1005:$AQ$1005,1,MATCH(COLUMNS($AB$1006:AF1006),$AB$1006:$AQ$1006,0))&gt;=100000), " ",IF(INDEX($AB$2:$AQ$1001,MATCH(ROWS($U$2:U947),$U$2:$U$1001,0),MATCH(COLUMNS($AB$1006:AF1006),$AB$1006:$AQ$1006,0)), HYPERLINK("#",""), HYPERLINK(CONCATENATE("#metadata!", ADDRESS(INDEX($W$2:$W$1001,MATCH(ROWS($U$2:U947),$U$2:$U$1001,0),0), INDEX($AB$1004:$AQ$1004,1,MATCH(COLUMNS($AB$1006:AF1006),$AB$1006:$AQ$1006,0)))),"Fix")))</f>
        <v>0</v>
      </c>
      <c r="G947" s="4">
        <f>IF(OR(INDEX($V$2:$V$1001,MATCH(ROWS($U$2:U947),$U$2:$U$1001,0),1)&gt;=100000,INDEX($AB$1005:$AQ$1005,1,MATCH(COLUMNS($AB$1006:AG1006),$AB$1006:$AQ$1006,0))&gt;=100000), " ",IF(INDEX($AB$2:$AQ$1001,MATCH(ROWS($U$2:U947),$U$2:$U$1001,0),MATCH(COLUMNS($AB$1006:AG1006),$AB$1006:$AQ$1006,0)), HYPERLINK("#",""), HYPERLINK(CONCATENATE("#metadata!", ADDRESS(INDEX($W$2:$W$1001,MATCH(ROWS($U$2:U947),$U$2:$U$1001,0),0), INDEX($AB$1004:$AQ$1004,1,MATCH(COLUMNS($AB$1006:AG1006),$AB$1006:$AQ$1006,0)))),"Fix")))</f>
        <v>0</v>
      </c>
      <c r="H947" s="4">
        <f>IF(OR(INDEX($V$2:$V$1001,MATCH(ROWS($U$2:U947),$U$2:$U$1001,0),1)&gt;=100000,INDEX($AB$1005:$AQ$1005,1,MATCH(COLUMNS($AB$1006:AH1006),$AB$1006:$AQ$1006,0))&gt;=100000), " ",IF(INDEX($AB$2:$AQ$1001,MATCH(ROWS($U$2:U947),$U$2:$U$1001,0),MATCH(COLUMNS($AB$1006:AH1006),$AB$1006:$AQ$1006,0)), HYPERLINK("#",""), HYPERLINK(CONCATENATE("#metadata!", ADDRESS(INDEX($W$2:$W$1001,MATCH(ROWS($U$2:U947),$U$2:$U$1001,0),0), INDEX($AB$1004:$AQ$1004,1,MATCH(COLUMNS($AB$1006:AH1006),$AB$1006:$AQ$1006,0)))),"Fix")))</f>
        <v>0</v>
      </c>
      <c r="I947" s="4">
        <f>IF(OR(INDEX($V$2:$V$1001,MATCH(ROWS($U$2:U947),$U$2:$U$1001,0),1)&gt;=100000,INDEX($AB$1005:$AQ$1005,1,MATCH(COLUMNS($AB$1006:AI1006),$AB$1006:$AQ$1006,0))&gt;=100000), " ",IF(INDEX($AB$2:$AQ$1001,MATCH(ROWS($U$2:U947),$U$2:$U$1001,0),MATCH(COLUMNS($AB$1006:AI1006),$AB$1006:$AQ$1006,0)), HYPERLINK("#",""), HYPERLINK(CONCATENATE("#metadata!", ADDRESS(INDEX($W$2:$W$1001,MATCH(ROWS($U$2:U947),$U$2:$U$1001,0),0), INDEX($AB$1004:$AQ$1004,1,MATCH(COLUMNS($AB$1006:AI1006),$AB$1006:$AQ$1006,0)))),"Fix")))</f>
        <v>0</v>
      </c>
      <c r="J947" s="4">
        <f>IF(OR(INDEX($V$2:$V$1001,MATCH(ROWS($U$2:U947),$U$2:$U$1001,0),1)&gt;=100000,INDEX($AB$1005:$AQ$1005,1,MATCH(COLUMNS($AB$1006:AJ1006),$AB$1006:$AQ$1006,0))&gt;=100000), " ",IF(INDEX($AB$2:$AQ$1001,MATCH(ROWS($U$2:U947),$U$2:$U$1001,0),MATCH(COLUMNS($AB$1006:AJ1006),$AB$1006:$AQ$1006,0)), HYPERLINK("#",""), HYPERLINK(CONCATENATE("#metadata!", ADDRESS(INDEX($W$2:$W$1001,MATCH(ROWS($U$2:U947),$U$2:$U$1001,0),0), INDEX($AB$1004:$AQ$1004,1,MATCH(COLUMNS($AB$1006:AJ1006),$AB$1006:$AQ$1006,0)))),"Fix")))</f>
        <v>0</v>
      </c>
      <c r="K947" s="4">
        <f>IF(OR(INDEX($V$2:$V$1001,MATCH(ROWS($U$2:U947),$U$2:$U$1001,0),1)&gt;=100000,INDEX($AB$1005:$AQ$1005,1,MATCH(COLUMNS($AB$1006:AK1006),$AB$1006:$AQ$1006,0))&gt;=100000), " ",IF(INDEX($AB$2:$AQ$1001,MATCH(ROWS($U$2:U947),$U$2:$U$1001,0),MATCH(COLUMNS($AB$1006:AK1006),$AB$1006:$AQ$1006,0)), HYPERLINK("#",""), HYPERLINK(CONCATENATE("#metadata!", ADDRESS(INDEX($W$2:$W$1001,MATCH(ROWS($U$2:U947),$U$2:$U$1001,0),0), INDEX($AB$1004:$AQ$1004,1,MATCH(COLUMNS($AB$1006:AK1006),$AB$1006:$AQ$1006,0)))),"Fix")))</f>
        <v>0</v>
      </c>
      <c r="L947" s="4">
        <f>IF(OR(INDEX($V$2:$V$1001,MATCH(ROWS($U$2:U947),$U$2:$U$1001,0),1)&gt;=100000,INDEX($AB$1005:$AQ$1005,1,MATCH(COLUMNS($AB$1006:AL1006),$AB$1006:$AQ$1006,0))&gt;=100000), " ",IF(INDEX($AB$2:$AQ$1001,MATCH(ROWS($U$2:U947),$U$2:$U$1001,0),MATCH(COLUMNS($AB$1006:AL1006),$AB$1006:$AQ$1006,0)), HYPERLINK("#",""), HYPERLINK(CONCATENATE("#metadata!", ADDRESS(INDEX($W$2:$W$1001,MATCH(ROWS($U$2:U947),$U$2:$U$1001,0),0), INDEX($AB$1004:$AQ$1004,1,MATCH(COLUMNS($AB$1006:AL1006),$AB$1006:$AQ$1006,0)))),"Fix")))</f>
        <v>0</v>
      </c>
      <c r="M947" s="4">
        <f>IF(OR(INDEX($V$2:$V$1001,MATCH(ROWS($U$2:U947),$U$2:$U$1001,0),1)&gt;=100000,INDEX($AB$1005:$AQ$1005,1,MATCH(COLUMNS($AB$1006:AM1006),$AB$1006:$AQ$1006,0))&gt;=100000), " ",IF(INDEX($AB$2:$AQ$1001,MATCH(ROWS($U$2:U947),$U$2:$U$1001,0),MATCH(COLUMNS($AB$1006:AM1006),$AB$1006:$AQ$1006,0)), HYPERLINK("#",""), HYPERLINK(CONCATENATE("#metadata!", ADDRESS(INDEX($W$2:$W$1001,MATCH(ROWS($U$2:U947),$U$2:$U$1001,0),0), INDEX($AB$1004:$AQ$1004,1,MATCH(COLUMNS($AB$1006:AM1006),$AB$1006:$AQ$1006,0)))),"Fix")))</f>
        <v>0</v>
      </c>
      <c r="N947" s="4">
        <f>IF(OR(INDEX($V$2:$V$1001,MATCH(ROWS($U$2:U947),$U$2:$U$1001,0),1)&gt;=100000,INDEX($AB$1005:$AQ$1005,1,MATCH(COLUMNS($AB$1006:AN1006),$AB$1006:$AQ$1006,0))&gt;=100000), " ",IF(INDEX($AB$2:$AQ$1001,MATCH(ROWS($U$2:U947),$U$2:$U$1001,0),MATCH(COLUMNS($AB$1006:AN1006),$AB$1006:$AQ$1006,0)), HYPERLINK("#",""), HYPERLINK(CONCATENATE("#metadata!", ADDRESS(INDEX($W$2:$W$1001,MATCH(ROWS($U$2:U947),$U$2:$U$1001,0),0), INDEX($AB$1004:$AQ$1004,1,MATCH(COLUMNS($AB$1006:AN1006),$AB$1006:$AQ$1006,0)))),"Fix")))</f>
        <v>0</v>
      </c>
      <c r="O947" s="4">
        <f>IF(OR(INDEX($V$2:$V$1001,MATCH(ROWS($U$2:U947),$U$2:$U$1001,0),1)&gt;=100000,INDEX($AB$1005:$AQ$1005,1,MATCH(COLUMNS($AB$1006:AO1006),$AB$1006:$AQ$1006,0))&gt;=100000), " ",IF(INDEX($AB$2:$AQ$1001,MATCH(ROWS($U$2:U947),$U$2:$U$1001,0),MATCH(COLUMNS($AB$1006:AO1006),$AB$1006:$AQ$1006,0)), HYPERLINK("#",""), HYPERLINK(CONCATENATE("#metadata!", ADDRESS(INDEX($W$2:$W$1001,MATCH(ROWS($U$2:U947),$U$2:$U$1001,0),0), INDEX($AB$1004:$AQ$1004,1,MATCH(COLUMNS($AB$1006:AO1006),$AB$1006:$AQ$1006,0)))),"Fix")))</f>
        <v>0</v>
      </c>
      <c r="P947" s="4">
        <f>IF(OR(INDEX($V$2:$V$1001,MATCH(ROWS($U$2:U947),$U$2:$U$1001,0),1)&gt;=100000,INDEX($AB$1005:$AQ$1005,1,MATCH(COLUMNS($AB$1006:AP1006),$AB$1006:$AQ$1006,0))&gt;=100000), " ",IF(INDEX($AB$2:$AQ$1001,MATCH(ROWS($U$2:U947),$U$2:$U$1001,0),MATCH(COLUMNS($AB$1006:AP1006),$AB$1006:$AQ$1006,0)), HYPERLINK("#",""), HYPERLINK(CONCATENATE("#metadata!", ADDRESS(INDEX($W$2:$W$1001,MATCH(ROWS($U$2:U947),$U$2:$U$1001,0),0), INDEX($AB$1004:$AQ$1004,1,MATCH(COLUMNS($AB$1006:AP1006),$AB$1006:$AQ$1006,0)))),"Fix")))</f>
        <v>0</v>
      </c>
      <c r="Q947" s="4">
        <f>IF(OR(INDEX($V$2:$V$1001,MATCH(ROWS($U$2:U947),$U$2:$U$1001,0),1)&gt;=100000,INDEX($AB$1005:$AQ$1005,1,MATCH(COLUMNS($AB$1006:AQ1006),$AB$1006:$AQ$1006,0))&gt;=100000), " ",IF(INDEX($AB$2:$AQ$1001,MATCH(ROWS($U$2:U947),$U$2:$U$1001,0),MATCH(COLUMNS($AB$1006:AQ1006),$AB$1006:$AQ$1006,0)), HYPERLINK("#",""), HYPERLINK(CONCATENATE("#metadata!", ADDRESS(INDEX($W$2:$W$1001,MATCH(ROWS($U$2:U947),$U$2:$U$1001,0),0), INDEX($AB$1004:$AQ$1004,1,MATCH(COLUMNS($AB$1006:AQ1006),$AB$1006:$AQ$1006,0)))),"Fix")))</f>
        <v>0</v>
      </c>
      <c r="U947">
        <v>0</v>
      </c>
      <c r="V947">
        <v>0</v>
      </c>
      <c r="W947">
        <v>0</v>
      </c>
      <c r="X947">
        <f>IF(Y947,TRUE,AND(AB947:AQ947))</f>
        <v>0</v>
      </c>
      <c r="Y947">
        <f>COUNTBLANK(metadata!B947:Q947)=COLUMNS(metadata!B947:Q947)</f>
        <v>0</v>
      </c>
      <c r="Z947">
        <v>0</v>
      </c>
      <c r="AB947">
        <f>AND(IF(metadata!B947="",FALSE,TRUE),COUNTIF(metadata!B:B, metadata!B947) = 1,NOT(ISERROR(SUMPRODUCT(SEARCH(MID(metadata!B947,ROW(INDIRECT("1:"&amp;LEN(metadata!B947))), 1),"0123456789abcdefghijklmnopqrstuvwxyzABCDEFGHIJKLMNOPQRSTUVWXYZ.")))))</f>
        <v>0</v>
      </c>
      <c r="AC947">
        <f>OR(AND(IF(metadata!C947="",FALSE,TRUE),OR(exact(metadata!C947,"missing: not collected"),exact(metadata!C947,"missing: not provided"),exact(metadata!C947,"missing: restricted access"))),AND(IF(metadata!C947="",FALSE,TRUE),AND(AND(IFERROR(INT(LEFT(metadata!C947,4))&gt;1900,FALSE),IFERROR(INT(LEFT(metadata!C947,4))&lt;=YEAR(NOW()),FALSE)), OR(MID(metadata!C947,5,1)="", AND(AND(MID(metadata!C947,5,1)="-",IFERROR(INT(MID(metadata!C947,6,1))&gt;=0,FALSE),IFERROR(INT(MID(metadata!C947,6,1))&lt;=1,FALSE),NOT(MID(metadata!C947,7,1)=""),IFERROR(INT(MID(metadata!C947,6,2))&gt;=1,FALSE),IFERROR(INT(MID(metadata!C947,6,2))&lt;=12,FALSE)), OR(MID(metadata!C947,8,1)="", AND(AND(MID(metadata!C947,8,1)="-",IFERROR(INT(MID(metadata!C947,9,1))&gt;=0,FALSE),IFERROR(INT(MID(metadata!C947,9,1))&lt;=3,FALSE),NOT(MID(metadata!C947,10,1)=""),IFERROR(INT(MID(metadata!C947,9,2))&gt;=1,FALSE),IFERROR(INT(MID(metadata!C947,9,2))&lt;=31,FALSE)), OR(MID(metadata!C947,11,1)="", AND(AND(MID(metadata!C947,11,1)=" ",IFERROR(INT(MID(metadata!C947,12,1))&gt;=0,FALSE),IFERROR(INT(MID(metadata!C947,12,1))&lt;=2,FALSE),NOT(MID(metadata!C947,13,1)=""),IFERROR(INT(MID(metadata!C947,12,2))&gt;=0,FALSE),IFERROR(INT(MID(metadata!C947,12,2))&lt;=23,FALSE)), OR(MID(metadata!C947,14,1)="", AND(AND(MID(metadata!C947,14,1)=":",IFERROR(INT(MID(metadata!C947,15,1))&gt;=0,FALSE),IFERROR(INT(MID(metadata!C947,15,1))&lt;=5,FALSE),NOT(MID(metadata!C947,16,1)=""),IFERROR(INT(MID(metadata!C947,15,2))&gt;=0,FALSE),IFERROR(INT(MID(metadata!C947,15,2))&lt;=59,FALSE)), OR(MID(metadata!C947,17,1)="", AND(AND(MID(metadata!C947,17,1)=":",IFERROR(INT(MID(metadata!C947,18,1))&gt;=0,FALSE),IFERROR(INT(MID(metadata!C947,18,1))&lt;=5,FALSE),NOT(MID(metadata!C947,19,1)=""),IFERROR(INT(MID(metadata!C947,18,2))&gt;=0,FALSE),IFERROR(INT(MID(metadata!C947,18,2))&lt;=59,FALSE)), LEN(metadata!C947)&lt;=19)))))))))))))</f>
        <v>0</v>
      </c>
      <c r="AD947">
        <f>IF(metadata!D947="",FALSE,TRUE)</f>
        <v>0</v>
      </c>
      <c r="AE947">
        <f>OR(AND(IF(metadata!E947="",FALSE,TRUE),OR(exact(metadata!E947,"missing: not collected"),exact(metadata!E947,"missing: not provided"))),AND(IF(metadata!E947="",FALSE,TRUE),OR(exact(metadata!E947,"TRUE"),exact(metadata!E947,"FALSE"))))</f>
        <v>0</v>
      </c>
      <c r="AF947">
        <f>IF(metadata!F947="",FALSE,TRUE)</f>
        <v>0</v>
      </c>
      <c r="AG947">
        <f>IF(metadata!G947="",FALSE,TRUE)</f>
        <v>0</v>
      </c>
      <c r="AH947">
        <f>IF(metadata!H947="",FALSE,TRUE)</f>
        <v>0</v>
      </c>
      <c r="AI947">
        <f>OR(AND(IF(metadata!I947="",FALSE,TRUE),OR(exact(metadata!I947,"missing: not collected"),exact(metadata!I947,"missing: not provided"),exact(metadata!I947,"missing: restricted access"))),AND(IF(metadata!I947="",FALSE,TRUE),OR(exact(metadata!I947,"air"),exact(metadata!I947,"built environment"),exact(metadata!I947,"host-associated"),exact(metadata!I947,"human-associated"),exact(metadata!I947,"human-skin"),exact(metadata!I947,"human-oral"),exact(metadata!I947,"human-gut"),exact(metadata!I947,"human-vaginal"),exact(metadata!I947,"microbial mat/biofilm"),exact(metadata!I947,"misc environment"),exact(metadata!I947,"plant-associated"),exact(metadata!I947,"sediment"),exact(metadata!I947,"soil"),exact(metadata!I947,"wastewater/sludge"),exact(metadata!I947,"water"))))</f>
        <v>0</v>
      </c>
      <c r="AJ947">
        <f>IF(metadata!J947="",FALSE,TRUE)</f>
        <v>0</v>
      </c>
      <c r="AK947">
        <f>OR(AND(IF(metadata!K947="",FALSE,TRUE),OR(exact(metadata!K947,"missing: not collected"),exact(metadata!K947,"missing: not provided"),exact(metadata!K947,"missing: restricted access"))),AND(IF(metadata!K947="",FALSE,ISNUMBER(VALUE(metadata!K947))),metadata!K947&gt;=-90.00,metadata!K947&lt;=90.00))</f>
        <v>0</v>
      </c>
      <c r="AL947">
        <f>OR(AND(IF(metadata!L947="",FALSE,TRUE),OR(exact(metadata!L947,"missing: not collected"),exact(metadata!L947,"missing: not provided"),exact(metadata!L947,"missing: restricted access"))),AND(IF(metadata!L947="",FALSE,ISNUMBER(VALUE(metadata!L947))),metadata!L947&gt;=-180.00,metadata!L947&lt;=180.00))</f>
        <v>0</v>
      </c>
      <c r="AM947">
        <f>IF(metadata!M947="",FALSE,TRUE)</f>
        <v>0</v>
      </c>
      <c r="AN947">
        <f>OR(AND(IF(metadata!N947="",FALSE,TRUE),OR(exact(metadata!N947,"missing: not collected"),exact(metadata!N947,"missing: not provided"),exact(metadata!N947,"missing: restricted access"))),AND(IF(metadata!N947="",FALSE,TRUE),OR(exact(metadata!N947,"TRUE"),exact(metadata!N947,"FALSE"))))</f>
        <v>0</v>
      </c>
      <c r="AO947">
        <f>IF(metadata!O947="",FALSE,TRUE)</f>
        <v>0</v>
      </c>
      <c r="AP947">
        <f>OR(AND(IF(metadata!P947="",FALSE,TRUE),OR(exact(metadata!P947,"missing: not collected"),exact(metadata!P947,"missing: not provided"))),AND(IF(metadata!P947="",FALSE,IF(ISERROR(INT(metadata!P947)),FALSE,INT(metadata!P947)=metadata!P947)),metadata!P947&gt;0))</f>
        <v>0</v>
      </c>
      <c r="AQ947">
        <f>IF(metadata!Q947="",FALSE,TRUE)</f>
        <v>0</v>
      </c>
    </row>
    <row r="948" spans="1:43">
      <c r="A948" s="5">
        <f>IF(B948=" "," ",HYPERLINK(CONCATENATE("#metadata!",ADDRESS(INDEX($W$2:$W$1001,MATCH(ROWS($U$2:U948),$U$2:$U$1001,0),0),1)),INDEX($Z$2:$Z$1001,MATCH(ROWS($U$2:U948),$U$2:$U$1001,0),0)))</f>
        <v>0</v>
      </c>
      <c r="B948" s="4">
        <f>IF(OR(INDEX($V$2:$V$1001,MATCH(ROWS($U$2:U948),$U$2:$U$1001,0),1)&gt;=100000,INDEX($AB$1005:$AQ$1005,1,MATCH(COLUMNS($AB$1006:AB1006),$AB$1006:$AQ$1006,0))&gt;=100000), " ",IF(INDEX($AB$2:$AQ$1001,MATCH(ROWS($U$2:U948),$U$2:$U$1001,0),MATCH(COLUMNS($AB$1006:AB1006),$AB$1006:$AQ$1006,0)), HYPERLINK("#",""), HYPERLINK(CONCATENATE("#metadata!", ADDRESS(INDEX($W$2:$W$1001,MATCH(ROWS($U$2:U948),$U$2:$U$1001,0),0), INDEX($AB$1004:$AQ$1004,1,MATCH(COLUMNS($AB$1006:AB1006),$AB$1006:$AQ$1006,0)))),"Fix")))</f>
        <v>0</v>
      </c>
      <c r="C948" s="4">
        <f>IF(OR(INDEX($V$2:$V$1001,MATCH(ROWS($U$2:U948),$U$2:$U$1001,0),1)&gt;=100000,INDEX($AB$1005:$AQ$1005,1,MATCH(COLUMNS($AB$1006:AC1006),$AB$1006:$AQ$1006,0))&gt;=100000), " ",IF(INDEX($AB$2:$AQ$1001,MATCH(ROWS($U$2:U948),$U$2:$U$1001,0),MATCH(COLUMNS($AB$1006:AC1006),$AB$1006:$AQ$1006,0)), HYPERLINK("#",""), HYPERLINK(CONCATENATE("#metadata!", ADDRESS(INDEX($W$2:$W$1001,MATCH(ROWS($U$2:U948),$U$2:$U$1001,0),0), INDEX($AB$1004:$AQ$1004,1,MATCH(COLUMNS($AB$1006:AC1006),$AB$1006:$AQ$1006,0)))),"Fix")))</f>
        <v>0</v>
      </c>
      <c r="D948" s="4">
        <f>IF(OR(INDEX($V$2:$V$1001,MATCH(ROWS($U$2:U948),$U$2:$U$1001,0),1)&gt;=100000,INDEX($AB$1005:$AQ$1005,1,MATCH(COLUMNS($AB$1006:AD1006),$AB$1006:$AQ$1006,0))&gt;=100000), " ",IF(INDEX($AB$2:$AQ$1001,MATCH(ROWS($U$2:U948),$U$2:$U$1001,0),MATCH(COLUMNS($AB$1006:AD1006),$AB$1006:$AQ$1006,0)), HYPERLINK("#",""), HYPERLINK(CONCATENATE("#metadata!", ADDRESS(INDEX($W$2:$W$1001,MATCH(ROWS($U$2:U948),$U$2:$U$1001,0),0), INDEX($AB$1004:$AQ$1004,1,MATCH(COLUMNS($AB$1006:AD1006),$AB$1006:$AQ$1006,0)))),"Fix")))</f>
        <v>0</v>
      </c>
      <c r="E948" s="4">
        <f>IF(OR(INDEX($V$2:$V$1001,MATCH(ROWS($U$2:U948),$U$2:$U$1001,0),1)&gt;=100000,INDEX($AB$1005:$AQ$1005,1,MATCH(COLUMNS($AB$1006:AE1006),$AB$1006:$AQ$1006,0))&gt;=100000), " ",IF(INDEX($AB$2:$AQ$1001,MATCH(ROWS($U$2:U948),$U$2:$U$1001,0),MATCH(COLUMNS($AB$1006:AE1006),$AB$1006:$AQ$1006,0)), HYPERLINK("#",""), HYPERLINK(CONCATENATE("#metadata!", ADDRESS(INDEX($W$2:$W$1001,MATCH(ROWS($U$2:U948),$U$2:$U$1001,0),0), INDEX($AB$1004:$AQ$1004,1,MATCH(COLUMNS($AB$1006:AE1006),$AB$1006:$AQ$1006,0)))),"Fix")))</f>
        <v>0</v>
      </c>
      <c r="F948" s="4">
        <f>IF(OR(INDEX($V$2:$V$1001,MATCH(ROWS($U$2:U948),$U$2:$U$1001,0),1)&gt;=100000,INDEX($AB$1005:$AQ$1005,1,MATCH(COLUMNS($AB$1006:AF1006),$AB$1006:$AQ$1006,0))&gt;=100000), " ",IF(INDEX($AB$2:$AQ$1001,MATCH(ROWS($U$2:U948),$U$2:$U$1001,0),MATCH(COLUMNS($AB$1006:AF1006),$AB$1006:$AQ$1006,0)), HYPERLINK("#",""), HYPERLINK(CONCATENATE("#metadata!", ADDRESS(INDEX($W$2:$W$1001,MATCH(ROWS($U$2:U948),$U$2:$U$1001,0),0), INDEX($AB$1004:$AQ$1004,1,MATCH(COLUMNS($AB$1006:AF1006),$AB$1006:$AQ$1006,0)))),"Fix")))</f>
        <v>0</v>
      </c>
      <c r="G948" s="4">
        <f>IF(OR(INDEX($V$2:$V$1001,MATCH(ROWS($U$2:U948),$U$2:$U$1001,0),1)&gt;=100000,INDEX($AB$1005:$AQ$1005,1,MATCH(COLUMNS($AB$1006:AG1006),$AB$1006:$AQ$1006,0))&gt;=100000), " ",IF(INDEX($AB$2:$AQ$1001,MATCH(ROWS($U$2:U948),$U$2:$U$1001,0),MATCH(COLUMNS($AB$1006:AG1006),$AB$1006:$AQ$1006,0)), HYPERLINK("#",""), HYPERLINK(CONCATENATE("#metadata!", ADDRESS(INDEX($W$2:$W$1001,MATCH(ROWS($U$2:U948),$U$2:$U$1001,0),0), INDEX($AB$1004:$AQ$1004,1,MATCH(COLUMNS($AB$1006:AG1006),$AB$1006:$AQ$1006,0)))),"Fix")))</f>
        <v>0</v>
      </c>
      <c r="H948" s="4">
        <f>IF(OR(INDEX($V$2:$V$1001,MATCH(ROWS($U$2:U948),$U$2:$U$1001,0),1)&gt;=100000,INDEX($AB$1005:$AQ$1005,1,MATCH(COLUMNS($AB$1006:AH1006),$AB$1006:$AQ$1006,0))&gt;=100000), " ",IF(INDEX($AB$2:$AQ$1001,MATCH(ROWS($U$2:U948),$U$2:$U$1001,0),MATCH(COLUMNS($AB$1006:AH1006),$AB$1006:$AQ$1006,0)), HYPERLINK("#",""), HYPERLINK(CONCATENATE("#metadata!", ADDRESS(INDEX($W$2:$W$1001,MATCH(ROWS($U$2:U948),$U$2:$U$1001,0),0), INDEX($AB$1004:$AQ$1004,1,MATCH(COLUMNS($AB$1006:AH1006),$AB$1006:$AQ$1006,0)))),"Fix")))</f>
        <v>0</v>
      </c>
      <c r="I948" s="4">
        <f>IF(OR(INDEX($V$2:$V$1001,MATCH(ROWS($U$2:U948),$U$2:$U$1001,0),1)&gt;=100000,INDEX($AB$1005:$AQ$1005,1,MATCH(COLUMNS($AB$1006:AI1006),$AB$1006:$AQ$1006,0))&gt;=100000), " ",IF(INDEX($AB$2:$AQ$1001,MATCH(ROWS($U$2:U948),$U$2:$U$1001,0),MATCH(COLUMNS($AB$1006:AI1006),$AB$1006:$AQ$1006,0)), HYPERLINK("#",""), HYPERLINK(CONCATENATE("#metadata!", ADDRESS(INDEX($W$2:$W$1001,MATCH(ROWS($U$2:U948),$U$2:$U$1001,0),0), INDEX($AB$1004:$AQ$1004,1,MATCH(COLUMNS($AB$1006:AI1006),$AB$1006:$AQ$1006,0)))),"Fix")))</f>
        <v>0</v>
      </c>
      <c r="J948" s="4">
        <f>IF(OR(INDEX($V$2:$V$1001,MATCH(ROWS($U$2:U948),$U$2:$U$1001,0),1)&gt;=100000,INDEX($AB$1005:$AQ$1005,1,MATCH(COLUMNS($AB$1006:AJ1006),$AB$1006:$AQ$1006,0))&gt;=100000), " ",IF(INDEX($AB$2:$AQ$1001,MATCH(ROWS($U$2:U948),$U$2:$U$1001,0),MATCH(COLUMNS($AB$1006:AJ1006),$AB$1006:$AQ$1006,0)), HYPERLINK("#",""), HYPERLINK(CONCATENATE("#metadata!", ADDRESS(INDEX($W$2:$W$1001,MATCH(ROWS($U$2:U948),$U$2:$U$1001,0),0), INDEX($AB$1004:$AQ$1004,1,MATCH(COLUMNS($AB$1006:AJ1006),$AB$1006:$AQ$1006,0)))),"Fix")))</f>
        <v>0</v>
      </c>
      <c r="K948" s="4">
        <f>IF(OR(INDEX($V$2:$V$1001,MATCH(ROWS($U$2:U948),$U$2:$U$1001,0),1)&gt;=100000,INDEX($AB$1005:$AQ$1005,1,MATCH(COLUMNS($AB$1006:AK1006),$AB$1006:$AQ$1006,0))&gt;=100000), " ",IF(INDEX($AB$2:$AQ$1001,MATCH(ROWS($U$2:U948),$U$2:$U$1001,0),MATCH(COLUMNS($AB$1006:AK1006),$AB$1006:$AQ$1006,0)), HYPERLINK("#",""), HYPERLINK(CONCATENATE("#metadata!", ADDRESS(INDEX($W$2:$W$1001,MATCH(ROWS($U$2:U948),$U$2:$U$1001,0),0), INDEX($AB$1004:$AQ$1004,1,MATCH(COLUMNS($AB$1006:AK1006),$AB$1006:$AQ$1006,0)))),"Fix")))</f>
        <v>0</v>
      </c>
      <c r="L948" s="4">
        <f>IF(OR(INDEX($V$2:$V$1001,MATCH(ROWS($U$2:U948),$U$2:$U$1001,0),1)&gt;=100000,INDEX($AB$1005:$AQ$1005,1,MATCH(COLUMNS($AB$1006:AL1006),$AB$1006:$AQ$1006,0))&gt;=100000), " ",IF(INDEX($AB$2:$AQ$1001,MATCH(ROWS($U$2:U948),$U$2:$U$1001,0),MATCH(COLUMNS($AB$1006:AL1006),$AB$1006:$AQ$1006,0)), HYPERLINK("#",""), HYPERLINK(CONCATENATE("#metadata!", ADDRESS(INDEX($W$2:$W$1001,MATCH(ROWS($U$2:U948),$U$2:$U$1001,0),0), INDEX($AB$1004:$AQ$1004,1,MATCH(COLUMNS($AB$1006:AL1006),$AB$1006:$AQ$1006,0)))),"Fix")))</f>
        <v>0</v>
      </c>
      <c r="M948" s="4">
        <f>IF(OR(INDEX($V$2:$V$1001,MATCH(ROWS($U$2:U948),$U$2:$U$1001,0),1)&gt;=100000,INDEX($AB$1005:$AQ$1005,1,MATCH(COLUMNS($AB$1006:AM1006),$AB$1006:$AQ$1006,0))&gt;=100000), " ",IF(INDEX($AB$2:$AQ$1001,MATCH(ROWS($U$2:U948),$U$2:$U$1001,0),MATCH(COLUMNS($AB$1006:AM1006),$AB$1006:$AQ$1006,0)), HYPERLINK("#",""), HYPERLINK(CONCATENATE("#metadata!", ADDRESS(INDEX($W$2:$W$1001,MATCH(ROWS($U$2:U948),$U$2:$U$1001,0),0), INDEX($AB$1004:$AQ$1004,1,MATCH(COLUMNS($AB$1006:AM1006),$AB$1006:$AQ$1006,0)))),"Fix")))</f>
        <v>0</v>
      </c>
      <c r="N948" s="4">
        <f>IF(OR(INDEX($V$2:$V$1001,MATCH(ROWS($U$2:U948),$U$2:$U$1001,0),1)&gt;=100000,INDEX($AB$1005:$AQ$1005,1,MATCH(COLUMNS($AB$1006:AN1006),$AB$1006:$AQ$1006,0))&gt;=100000), " ",IF(INDEX($AB$2:$AQ$1001,MATCH(ROWS($U$2:U948),$U$2:$U$1001,0),MATCH(COLUMNS($AB$1006:AN1006),$AB$1006:$AQ$1006,0)), HYPERLINK("#",""), HYPERLINK(CONCATENATE("#metadata!", ADDRESS(INDEX($W$2:$W$1001,MATCH(ROWS($U$2:U948),$U$2:$U$1001,0),0), INDEX($AB$1004:$AQ$1004,1,MATCH(COLUMNS($AB$1006:AN1006),$AB$1006:$AQ$1006,0)))),"Fix")))</f>
        <v>0</v>
      </c>
      <c r="O948" s="4">
        <f>IF(OR(INDEX($V$2:$V$1001,MATCH(ROWS($U$2:U948),$U$2:$U$1001,0),1)&gt;=100000,INDEX($AB$1005:$AQ$1005,1,MATCH(COLUMNS($AB$1006:AO1006),$AB$1006:$AQ$1006,0))&gt;=100000), " ",IF(INDEX($AB$2:$AQ$1001,MATCH(ROWS($U$2:U948),$U$2:$U$1001,0),MATCH(COLUMNS($AB$1006:AO1006),$AB$1006:$AQ$1006,0)), HYPERLINK("#",""), HYPERLINK(CONCATENATE("#metadata!", ADDRESS(INDEX($W$2:$W$1001,MATCH(ROWS($U$2:U948),$U$2:$U$1001,0),0), INDEX($AB$1004:$AQ$1004,1,MATCH(COLUMNS($AB$1006:AO1006),$AB$1006:$AQ$1006,0)))),"Fix")))</f>
        <v>0</v>
      </c>
      <c r="P948" s="4">
        <f>IF(OR(INDEX($V$2:$V$1001,MATCH(ROWS($U$2:U948),$U$2:$U$1001,0),1)&gt;=100000,INDEX($AB$1005:$AQ$1005,1,MATCH(COLUMNS($AB$1006:AP1006),$AB$1006:$AQ$1006,0))&gt;=100000), " ",IF(INDEX($AB$2:$AQ$1001,MATCH(ROWS($U$2:U948),$U$2:$U$1001,0),MATCH(COLUMNS($AB$1006:AP1006),$AB$1006:$AQ$1006,0)), HYPERLINK("#",""), HYPERLINK(CONCATENATE("#metadata!", ADDRESS(INDEX($W$2:$W$1001,MATCH(ROWS($U$2:U948),$U$2:$U$1001,0),0), INDEX($AB$1004:$AQ$1004,1,MATCH(COLUMNS($AB$1006:AP1006),$AB$1006:$AQ$1006,0)))),"Fix")))</f>
        <v>0</v>
      </c>
      <c r="Q948" s="4">
        <f>IF(OR(INDEX($V$2:$V$1001,MATCH(ROWS($U$2:U948),$U$2:$U$1001,0),1)&gt;=100000,INDEX($AB$1005:$AQ$1005,1,MATCH(COLUMNS($AB$1006:AQ1006),$AB$1006:$AQ$1006,0))&gt;=100000), " ",IF(INDEX($AB$2:$AQ$1001,MATCH(ROWS($U$2:U948),$U$2:$U$1001,0),MATCH(COLUMNS($AB$1006:AQ1006),$AB$1006:$AQ$1006,0)), HYPERLINK("#",""), HYPERLINK(CONCATENATE("#metadata!", ADDRESS(INDEX($W$2:$W$1001,MATCH(ROWS($U$2:U948),$U$2:$U$1001,0),0), INDEX($AB$1004:$AQ$1004,1,MATCH(COLUMNS($AB$1006:AQ1006),$AB$1006:$AQ$1006,0)))),"Fix")))</f>
        <v>0</v>
      </c>
      <c r="U948">
        <v>0</v>
      </c>
      <c r="V948">
        <v>0</v>
      </c>
      <c r="W948">
        <v>0</v>
      </c>
      <c r="X948">
        <f>IF(Y948,TRUE,AND(AB948:AQ948))</f>
        <v>0</v>
      </c>
      <c r="Y948">
        <f>COUNTBLANK(metadata!B948:Q948)=COLUMNS(metadata!B948:Q948)</f>
        <v>0</v>
      </c>
      <c r="Z948">
        <v>0</v>
      </c>
      <c r="AB948">
        <f>AND(IF(metadata!B948="",FALSE,TRUE),COUNTIF(metadata!B:B, metadata!B948) = 1,NOT(ISERROR(SUMPRODUCT(SEARCH(MID(metadata!B948,ROW(INDIRECT("1:"&amp;LEN(metadata!B948))), 1),"0123456789abcdefghijklmnopqrstuvwxyzABCDEFGHIJKLMNOPQRSTUVWXYZ.")))))</f>
        <v>0</v>
      </c>
      <c r="AC948">
        <f>OR(AND(IF(metadata!C948="",FALSE,TRUE),OR(exact(metadata!C948,"missing: not collected"),exact(metadata!C948,"missing: not provided"),exact(metadata!C948,"missing: restricted access"))),AND(IF(metadata!C948="",FALSE,TRUE),AND(AND(IFERROR(INT(LEFT(metadata!C948,4))&gt;1900,FALSE),IFERROR(INT(LEFT(metadata!C948,4))&lt;=YEAR(NOW()),FALSE)), OR(MID(metadata!C948,5,1)="", AND(AND(MID(metadata!C948,5,1)="-",IFERROR(INT(MID(metadata!C948,6,1))&gt;=0,FALSE),IFERROR(INT(MID(metadata!C948,6,1))&lt;=1,FALSE),NOT(MID(metadata!C948,7,1)=""),IFERROR(INT(MID(metadata!C948,6,2))&gt;=1,FALSE),IFERROR(INT(MID(metadata!C948,6,2))&lt;=12,FALSE)), OR(MID(metadata!C948,8,1)="", AND(AND(MID(metadata!C948,8,1)="-",IFERROR(INT(MID(metadata!C948,9,1))&gt;=0,FALSE),IFERROR(INT(MID(metadata!C948,9,1))&lt;=3,FALSE),NOT(MID(metadata!C948,10,1)=""),IFERROR(INT(MID(metadata!C948,9,2))&gt;=1,FALSE),IFERROR(INT(MID(metadata!C948,9,2))&lt;=31,FALSE)), OR(MID(metadata!C948,11,1)="", AND(AND(MID(metadata!C948,11,1)=" ",IFERROR(INT(MID(metadata!C948,12,1))&gt;=0,FALSE),IFERROR(INT(MID(metadata!C948,12,1))&lt;=2,FALSE),NOT(MID(metadata!C948,13,1)=""),IFERROR(INT(MID(metadata!C948,12,2))&gt;=0,FALSE),IFERROR(INT(MID(metadata!C948,12,2))&lt;=23,FALSE)), OR(MID(metadata!C948,14,1)="", AND(AND(MID(metadata!C948,14,1)=":",IFERROR(INT(MID(metadata!C948,15,1))&gt;=0,FALSE),IFERROR(INT(MID(metadata!C948,15,1))&lt;=5,FALSE),NOT(MID(metadata!C948,16,1)=""),IFERROR(INT(MID(metadata!C948,15,2))&gt;=0,FALSE),IFERROR(INT(MID(metadata!C948,15,2))&lt;=59,FALSE)), OR(MID(metadata!C948,17,1)="", AND(AND(MID(metadata!C948,17,1)=":",IFERROR(INT(MID(metadata!C948,18,1))&gt;=0,FALSE),IFERROR(INT(MID(metadata!C948,18,1))&lt;=5,FALSE),NOT(MID(metadata!C948,19,1)=""),IFERROR(INT(MID(metadata!C948,18,2))&gt;=0,FALSE),IFERROR(INT(MID(metadata!C948,18,2))&lt;=59,FALSE)), LEN(metadata!C948)&lt;=19)))))))))))))</f>
        <v>0</v>
      </c>
      <c r="AD948">
        <f>IF(metadata!D948="",FALSE,TRUE)</f>
        <v>0</v>
      </c>
      <c r="AE948">
        <f>OR(AND(IF(metadata!E948="",FALSE,TRUE),OR(exact(metadata!E948,"missing: not collected"),exact(metadata!E948,"missing: not provided"))),AND(IF(metadata!E948="",FALSE,TRUE),OR(exact(metadata!E948,"TRUE"),exact(metadata!E948,"FALSE"))))</f>
        <v>0</v>
      </c>
      <c r="AF948">
        <f>IF(metadata!F948="",FALSE,TRUE)</f>
        <v>0</v>
      </c>
      <c r="AG948">
        <f>IF(metadata!G948="",FALSE,TRUE)</f>
        <v>0</v>
      </c>
      <c r="AH948">
        <f>IF(metadata!H948="",FALSE,TRUE)</f>
        <v>0</v>
      </c>
      <c r="AI948">
        <f>OR(AND(IF(metadata!I948="",FALSE,TRUE),OR(exact(metadata!I948,"missing: not collected"),exact(metadata!I948,"missing: not provided"),exact(metadata!I948,"missing: restricted access"))),AND(IF(metadata!I948="",FALSE,TRUE),OR(exact(metadata!I948,"air"),exact(metadata!I948,"built environment"),exact(metadata!I948,"host-associated"),exact(metadata!I948,"human-associated"),exact(metadata!I948,"human-skin"),exact(metadata!I948,"human-oral"),exact(metadata!I948,"human-gut"),exact(metadata!I948,"human-vaginal"),exact(metadata!I948,"microbial mat/biofilm"),exact(metadata!I948,"misc environment"),exact(metadata!I948,"plant-associated"),exact(metadata!I948,"sediment"),exact(metadata!I948,"soil"),exact(metadata!I948,"wastewater/sludge"),exact(metadata!I948,"water"))))</f>
        <v>0</v>
      </c>
      <c r="AJ948">
        <f>IF(metadata!J948="",FALSE,TRUE)</f>
        <v>0</v>
      </c>
      <c r="AK948">
        <f>OR(AND(IF(metadata!K948="",FALSE,TRUE),OR(exact(metadata!K948,"missing: not collected"),exact(metadata!K948,"missing: not provided"),exact(metadata!K948,"missing: restricted access"))),AND(IF(metadata!K948="",FALSE,ISNUMBER(VALUE(metadata!K948))),metadata!K948&gt;=-90.00,metadata!K948&lt;=90.00))</f>
        <v>0</v>
      </c>
      <c r="AL948">
        <f>OR(AND(IF(metadata!L948="",FALSE,TRUE),OR(exact(metadata!L948,"missing: not collected"),exact(metadata!L948,"missing: not provided"),exact(metadata!L948,"missing: restricted access"))),AND(IF(metadata!L948="",FALSE,ISNUMBER(VALUE(metadata!L948))),metadata!L948&gt;=-180.00,metadata!L948&lt;=180.00))</f>
        <v>0</v>
      </c>
      <c r="AM948">
        <f>IF(metadata!M948="",FALSE,TRUE)</f>
        <v>0</v>
      </c>
      <c r="AN948">
        <f>OR(AND(IF(metadata!N948="",FALSE,TRUE),OR(exact(metadata!N948,"missing: not collected"),exact(metadata!N948,"missing: not provided"),exact(metadata!N948,"missing: restricted access"))),AND(IF(metadata!N948="",FALSE,TRUE),OR(exact(metadata!N948,"TRUE"),exact(metadata!N948,"FALSE"))))</f>
        <v>0</v>
      </c>
      <c r="AO948">
        <f>IF(metadata!O948="",FALSE,TRUE)</f>
        <v>0</v>
      </c>
      <c r="AP948">
        <f>OR(AND(IF(metadata!P948="",FALSE,TRUE),OR(exact(metadata!P948,"missing: not collected"),exact(metadata!P948,"missing: not provided"))),AND(IF(metadata!P948="",FALSE,IF(ISERROR(INT(metadata!P948)),FALSE,INT(metadata!P948)=metadata!P948)),metadata!P948&gt;0))</f>
        <v>0</v>
      </c>
      <c r="AQ948">
        <f>IF(metadata!Q948="",FALSE,TRUE)</f>
        <v>0</v>
      </c>
    </row>
    <row r="949" spans="1:43">
      <c r="A949" s="5">
        <f>IF(B949=" "," ",HYPERLINK(CONCATENATE("#metadata!",ADDRESS(INDEX($W$2:$W$1001,MATCH(ROWS($U$2:U949),$U$2:$U$1001,0),0),1)),INDEX($Z$2:$Z$1001,MATCH(ROWS($U$2:U949),$U$2:$U$1001,0),0)))</f>
        <v>0</v>
      </c>
      <c r="B949" s="4">
        <f>IF(OR(INDEX($V$2:$V$1001,MATCH(ROWS($U$2:U949),$U$2:$U$1001,0),1)&gt;=100000,INDEX($AB$1005:$AQ$1005,1,MATCH(COLUMNS($AB$1006:AB1006),$AB$1006:$AQ$1006,0))&gt;=100000), " ",IF(INDEX($AB$2:$AQ$1001,MATCH(ROWS($U$2:U949),$U$2:$U$1001,0),MATCH(COLUMNS($AB$1006:AB1006),$AB$1006:$AQ$1006,0)), HYPERLINK("#",""), HYPERLINK(CONCATENATE("#metadata!", ADDRESS(INDEX($W$2:$W$1001,MATCH(ROWS($U$2:U949),$U$2:$U$1001,0),0), INDEX($AB$1004:$AQ$1004,1,MATCH(COLUMNS($AB$1006:AB1006),$AB$1006:$AQ$1006,0)))),"Fix")))</f>
        <v>0</v>
      </c>
      <c r="C949" s="4">
        <f>IF(OR(INDEX($V$2:$V$1001,MATCH(ROWS($U$2:U949),$U$2:$U$1001,0),1)&gt;=100000,INDEX($AB$1005:$AQ$1005,1,MATCH(COLUMNS($AB$1006:AC1006),$AB$1006:$AQ$1006,0))&gt;=100000), " ",IF(INDEX($AB$2:$AQ$1001,MATCH(ROWS($U$2:U949),$U$2:$U$1001,0),MATCH(COLUMNS($AB$1006:AC1006),$AB$1006:$AQ$1006,0)), HYPERLINK("#",""), HYPERLINK(CONCATENATE("#metadata!", ADDRESS(INDEX($W$2:$W$1001,MATCH(ROWS($U$2:U949),$U$2:$U$1001,0),0), INDEX($AB$1004:$AQ$1004,1,MATCH(COLUMNS($AB$1006:AC1006),$AB$1006:$AQ$1006,0)))),"Fix")))</f>
        <v>0</v>
      </c>
      <c r="D949" s="4">
        <f>IF(OR(INDEX($V$2:$V$1001,MATCH(ROWS($U$2:U949),$U$2:$U$1001,0),1)&gt;=100000,INDEX($AB$1005:$AQ$1005,1,MATCH(COLUMNS($AB$1006:AD1006),$AB$1006:$AQ$1006,0))&gt;=100000), " ",IF(INDEX($AB$2:$AQ$1001,MATCH(ROWS($U$2:U949),$U$2:$U$1001,0),MATCH(COLUMNS($AB$1006:AD1006),$AB$1006:$AQ$1006,0)), HYPERLINK("#",""), HYPERLINK(CONCATENATE("#metadata!", ADDRESS(INDEX($W$2:$W$1001,MATCH(ROWS($U$2:U949),$U$2:$U$1001,0),0), INDEX($AB$1004:$AQ$1004,1,MATCH(COLUMNS($AB$1006:AD1006),$AB$1006:$AQ$1006,0)))),"Fix")))</f>
        <v>0</v>
      </c>
      <c r="E949" s="4">
        <f>IF(OR(INDEX($V$2:$V$1001,MATCH(ROWS($U$2:U949),$U$2:$U$1001,0),1)&gt;=100000,INDEX($AB$1005:$AQ$1005,1,MATCH(COLUMNS($AB$1006:AE1006),$AB$1006:$AQ$1006,0))&gt;=100000), " ",IF(INDEX($AB$2:$AQ$1001,MATCH(ROWS($U$2:U949),$U$2:$U$1001,0),MATCH(COLUMNS($AB$1006:AE1006),$AB$1006:$AQ$1006,0)), HYPERLINK("#",""), HYPERLINK(CONCATENATE("#metadata!", ADDRESS(INDEX($W$2:$W$1001,MATCH(ROWS($U$2:U949),$U$2:$U$1001,0),0), INDEX($AB$1004:$AQ$1004,1,MATCH(COLUMNS($AB$1006:AE1006),$AB$1006:$AQ$1006,0)))),"Fix")))</f>
        <v>0</v>
      </c>
      <c r="F949" s="4">
        <f>IF(OR(INDEX($V$2:$V$1001,MATCH(ROWS($U$2:U949),$U$2:$U$1001,0),1)&gt;=100000,INDEX($AB$1005:$AQ$1005,1,MATCH(COLUMNS($AB$1006:AF1006),$AB$1006:$AQ$1006,0))&gt;=100000), " ",IF(INDEX($AB$2:$AQ$1001,MATCH(ROWS($U$2:U949),$U$2:$U$1001,0),MATCH(COLUMNS($AB$1006:AF1006),$AB$1006:$AQ$1006,0)), HYPERLINK("#",""), HYPERLINK(CONCATENATE("#metadata!", ADDRESS(INDEX($W$2:$W$1001,MATCH(ROWS($U$2:U949),$U$2:$U$1001,0),0), INDEX($AB$1004:$AQ$1004,1,MATCH(COLUMNS($AB$1006:AF1006),$AB$1006:$AQ$1006,0)))),"Fix")))</f>
        <v>0</v>
      </c>
      <c r="G949" s="4">
        <f>IF(OR(INDEX($V$2:$V$1001,MATCH(ROWS($U$2:U949),$U$2:$U$1001,0),1)&gt;=100000,INDEX($AB$1005:$AQ$1005,1,MATCH(COLUMNS($AB$1006:AG1006),$AB$1006:$AQ$1006,0))&gt;=100000), " ",IF(INDEX($AB$2:$AQ$1001,MATCH(ROWS($U$2:U949),$U$2:$U$1001,0),MATCH(COLUMNS($AB$1006:AG1006),$AB$1006:$AQ$1006,0)), HYPERLINK("#",""), HYPERLINK(CONCATENATE("#metadata!", ADDRESS(INDEX($W$2:$W$1001,MATCH(ROWS($U$2:U949),$U$2:$U$1001,0),0), INDEX($AB$1004:$AQ$1004,1,MATCH(COLUMNS($AB$1006:AG1006),$AB$1006:$AQ$1006,0)))),"Fix")))</f>
        <v>0</v>
      </c>
      <c r="H949" s="4">
        <f>IF(OR(INDEX($V$2:$V$1001,MATCH(ROWS($U$2:U949),$U$2:$U$1001,0),1)&gt;=100000,INDEX($AB$1005:$AQ$1005,1,MATCH(COLUMNS($AB$1006:AH1006),$AB$1006:$AQ$1006,0))&gt;=100000), " ",IF(INDEX($AB$2:$AQ$1001,MATCH(ROWS($U$2:U949),$U$2:$U$1001,0),MATCH(COLUMNS($AB$1006:AH1006),$AB$1006:$AQ$1006,0)), HYPERLINK("#",""), HYPERLINK(CONCATENATE("#metadata!", ADDRESS(INDEX($W$2:$W$1001,MATCH(ROWS($U$2:U949),$U$2:$U$1001,0),0), INDEX($AB$1004:$AQ$1004,1,MATCH(COLUMNS($AB$1006:AH1006),$AB$1006:$AQ$1006,0)))),"Fix")))</f>
        <v>0</v>
      </c>
      <c r="I949" s="4">
        <f>IF(OR(INDEX($V$2:$V$1001,MATCH(ROWS($U$2:U949),$U$2:$U$1001,0),1)&gt;=100000,INDEX($AB$1005:$AQ$1005,1,MATCH(COLUMNS($AB$1006:AI1006),$AB$1006:$AQ$1006,0))&gt;=100000), " ",IF(INDEX($AB$2:$AQ$1001,MATCH(ROWS($U$2:U949),$U$2:$U$1001,0),MATCH(COLUMNS($AB$1006:AI1006),$AB$1006:$AQ$1006,0)), HYPERLINK("#",""), HYPERLINK(CONCATENATE("#metadata!", ADDRESS(INDEX($W$2:$W$1001,MATCH(ROWS($U$2:U949),$U$2:$U$1001,0),0), INDEX($AB$1004:$AQ$1004,1,MATCH(COLUMNS($AB$1006:AI1006),$AB$1006:$AQ$1006,0)))),"Fix")))</f>
        <v>0</v>
      </c>
      <c r="J949" s="4">
        <f>IF(OR(INDEX($V$2:$V$1001,MATCH(ROWS($U$2:U949),$U$2:$U$1001,0),1)&gt;=100000,INDEX($AB$1005:$AQ$1005,1,MATCH(COLUMNS($AB$1006:AJ1006),$AB$1006:$AQ$1006,0))&gt;=100000), " ",IF(INDEX($AB$2:$AQ$1001,MATCH(ROWS($U$2:U949),$U$2:$U$1001,0),MATCH(COLUMNS($AB$1006:AJ1006),$AB$1006:$AQ$1006,0)), HYPERLINK("#",""), HYPERLINK(CONCATENATE("#metadata!", ADDRESS(INDEX($W$2:$W$1001,MATCH(ROWS($U$2:U949),$U$2:$U$1001,0),0), INDEX($AB$1004:$AQ$1004,1,MATCH(COLUMNS($AB$1006:AJ1006),$AB$1006:$AQ$1006,0)))),"Fix")))</f>
        <v>0</v>
      </c>
      <c r="K949" s="4">
        <f>IF(OR(INDEX($V$2:$V$1001,MATCH(ROWS($U$2:U949),$U$2:$U$1001,0),1)&gt;=100000,INDEX($AB$1005:$AQ$1005,1,MATCH(COLUMNS($AB$1006:AK1006),$AB$1006:$AQ$1006,0))&gt;=100000), " ",IF(INDEX($AB$2:$AQ$1001,MATCH(ROWS($U$2:U949),$U$2:$U$1001,0),MATCH(COLUMNS($AB$1006:AK1006),$AB$1006:$AQ$1006,0)), HYPERLINK("#",""), HYPERLINK(CONCATENATE("#metadata!", ADDRESS(INDEX($W$2:$W$1001,MATCH(ROWS($U$2:U949),$U$2:$U$1001,0),0), INDEX($AB$1004:$AQ$1004,1,MATCH(COLUMNS($AB$1006:AK1006),$AB$1006:$AQ$1006,0)))),"Fix")))</f>
        <v>0</v>
      </c>
      <c r="L949" s="4">
        <f>IF(OR(INDEX($V$2:$V$1001,MATCH(ROWS($U$2:U949),$U$2:$U$1001,0),1)&gt;=100000,INDEX($AB$1005:$AQ$1005,1,MATCH(COLUMNS($AB$1006:AL1006),$AB$1006:$AQ$1006,0))&gt;=100000), " ",IF(INDEX($AB$2:$AQ$1001,MATCH(ROWS($U$2:U949),$U$2:$U$1001,0),MATCH(COLUMNS($AB$1006:AL1006),$AB$1006:$AQ$1006,0)), HYPERLINK("#",""), HYPERLINK(CONCATENATE("#metadata!", ADDRESS(INDEX($W$2:$W$1001,MATCH(ROWS($U$2:U949),$U$2:$U$1001,0),0), INDEX($AB$1004:$AQ$1004,1,MATCH(COLUMNS($AB$1006:AL1006),$AB$1006:$AQ$1006,0)))),"Fix")))</f>
        <v>0</v>
      </c>
      <c r="M949" s="4">
        <f>IF(OR(INDEX($V$2:$V$1001,MATCH(ROWS($U$2:U949),$U$2:$U$1001,0),1)&gt;=100000,INDEX($AB$1005:$AQ$1005,1,MATCH(COLUMNS($AB$1006:AM1006),$AB$1006:$AQ$1006,0))&gt;=100000), " ",IF(INDEX($AB$2:$AQ$1001,MATCH(ROWS($U$2:U949),$U$2:$U$1001,0),MATCH(COLUMNS($AB$1006:AM1006),$AB$1006:$AQ$1006,0)), HYPERLINK("#",""), HYPERLINK(CONCATENATE("#metadata!", ADDRESS(INDEX($W$2:$W$1001,MATCH(ROWS($U$2:U949),$U$2:$U$1001,0),0), INDEX($AB$1004:$AQ$1004,1,MATCH(COLUMNS($AB$1006:AM1006),$AB$1006:$AQ$1006,0)))),"Fix")))</f>
        <v>0</v>
      </c>
      <c r="N949" s="4">
        <f>IF(OR(INDEX($V$2:$V$1001,MATCH(ROWS($U$2:U949),$U$2:$U$1001,0),1)&gt;=100000,INDEX($AB$1005:$AQ$1005,1,MATCH(COLUMNS($AB$1006:AN1006),$AB$1006:$AQ$1006,0))&gt;=100000), " ",IF(INDEX($AB$2:$AQ$1001,MATCH(ROWS($U$2:U949),$U$2:$U$1001,0),MATCH(COLUMNS($AB$1006:AN1006),$AB$1006:$AQ$1006,0)), HYPERLINK("#",""), HYPERLINK(CONCATENATE("#metadata!", ADDRESS(INDEX($W$2:$W$1001,MATCH(ROWS($U$2:U949),$U$2:$U$1001,0),0), INDEX($AB$1004:$AQ$1004,1,MATCH(COLUMNS($AB$1006:AN1006),$AB$1006:$AQ$1006,0)))),"Fix")))</f>
        <v>0</v>
      </c>
      <c r="O949" s="4">
        <f>IF(OR(INDEX($V$2:$V$1001,MATCH(ROWS($U$2:U949),$U$2:$U$1001,0),1)&gt;=100000,INDEX($AB$1005:$AQ$1005,1,MATCH(COLUMNS($AB$1006:AO1006),$AB$1006:$AQ$1006,0))&gt;=100000), " ",IF(INDEX($AB$2:$AQ$1001,MATCH(ROWS($U$2:U949),$U$2:$U$1001,0),MATCH(COLUMNS($AB$1006:AO1006),$AB$1006:$AQ$1006,0)), HYPERLINK("#",""), HYPERLINK(CONCATENATE("#metadata!", ADDRESS(INDEX($W$2:$W$1001,MATCH(ROWS($U$2:U949),$U$2:$U$1001,0),0), INDEX($AB$1004:$AQ$1004,1,MATCH(COLUMNS($AB$1006:AO1006),$AB$1006:$AQ$1006,0)))),"Fix")))</f>
        <v>0</v>
      </c>
      <c r="P949" s="4">
        <f>IF(OR(INDEX($V$2:$V$1001,MATCH(ROWS($U$2:U949),$U$2:$U$1001,0),1)&gt;=100000,INDEX($AB$1005:$AQ$1005,1,MATCH(COLUMNS($AB$1006:AP1006),$AB$1006:$AQ$1006,0))&gt;=100000), " ",IF(INDEX($AB$2:$AQ$1001,MATCH(ROWS($U$2:U949),$U$2:$U$1001,0),MATCH(COLUMNS($AB$1006:AP1006),$AB$1006:$AQ$1006,0)), HYPERLINK("#",""), HYPERLINK(CONCATENATE("#metadata!", ADDRESS(INDEX($W$2:$W$1001,MATCH(ROWS($U$2:U949),$U$2:$U$1001,0),0), INDEX($AB$1004:$AQ$1004,1,MATCH(COLUMNS($AB$1006:AP1006),$AB$1006:$AQ$1006,0)))),"Fix")))</f>
        <v>0</v>
      </c>
      <c r="Q949" s="4">
        <f>IF(OR(INDEX($V$2:$V$1001,MATCH(ROWS($U$2:U949),$U$2:$U$1001,0),1)&gt;=100000,INDEX($AB$1005:$AQ$1005,1,MATCH(COLUMNS($AB$1006:AQ1006),$AB$1006:$AQ$1006,0))&gt;=100000), " ",IF(INDEX($AB$2:$AQ$1001,MATCH(ROWS($U$2:U949),$U$2:$U$1001,0),MATCH(COLUMNS($AB$1006:AQ1006),$AB$1006:$AQ$1006,0)), HYPERLINK("#",""), HYPERLINK(CONCATENATE("#metadata!", ADDRESS(INDEX($W$2:$W$1001,MATCH(ROWS($U$2:U949),$U$2:$U$1001,0),0), INDEX($AB$1004:$AQ$1004,1,MATCH(COLUMNS($AB$1006:AQ1006),$AB$1006:$AQ$1006,0)))),"Fix")))</f>
        <v>0</v>
      </c>
      <c r="U949">
        <v>0</v>
      </c>
      <c r="V949">
        <v>0</v>
      </c>
      <c r="W949">
        <v>0</v>
      </c>
      <c r="X949">
        <f>IF(Y949,TRUE,AND(AB949:AQ949))</f>
        <v>0</v>
      </c>
      <c r="Y949">
        <f>COUNTBLANK(metadata!B949:Q949)=COLUMNS(metadata!B949:Q949)</f>
        <v>0</v>
      </c>
      <c r="Z949">
        <v>0</v>
      </c>
      <c r="AB949">
        <f>AND(IF(metadata!B949="",FALSE,TRUE),COUNTIF(metadata!B:B, metadata!B949) = 1,NOT(ISERROR(SUMPRODUCT(SEARCH(MID(metadata!B949,ROW(INDIRECT("1:"&amp;LEN(metadata!B949))), 1),"0123456789abcdefghijklmnopqrstuvwxyzABCDEFGHIJKLMNOPQRSTUVWXYZ.")))))</f>
        <v>0</v>
      </c>
      <c r="AC949">
        <f>OR(AND(IF(metadata!C949="",FALSE,TRUE),OR(exact(metadata!C949,"missing: not collected"),exact(metadata!C949,"missing: not provided"),exact(metadata!C949,"missing: restricted access"))),AND(IF(metadata!C949="",FALSE,TRUE),AND(AND(IFERROR(INT(LEFT(metadata!C949,4))&gt;1900,FALSE),IFERROR(INT(LEFT(metadata!C949,4))&lt;=YEAR(NOW()),FALSE)), OR(MID(metadata!C949,5,1)="", AND(AND(MID(metadata!C949,5,1)="-",IFERROR(INT(MID(metadata!C949,6,1))&gt;=0,FALSE),IFERROR(INT(MID(metadata!C949,6,1))&lt;=1,FALSE),NOT(MID(metadata!C949,7,1)=""),IFERROR(INT(MID(metadata!C949,6,2))&gt;=1,FALSE),IFERROR(INT(MID(metadata!C949,6,2))&lt;=12,FALSE)), OR(MID(metadata!C949,8,1)="", AND(AND(MID(metadata!C949,8,1)="-",IFERROR(INT(MID(metadata!C949,9,1))&gt;=0,FALSE),IFERROR(INT(MID(metadata!C949,9,1))&lt;=3,FALSE),NOT(MID(metadata!C949,10,1)=""),IFERROR(INT(MID(metadata!C949,9,2))&gt;=1,FALSE),IFERROR(INT(MID(metadata!C949,9,2))&lt;=31,FALSE)), OR(MID(metadata!C949,11,1)="", AND(AND(MID(metadata!C949,11,1)=" ",IFERROR(INT(MID(metadata!C949,12,1))&gt;=0,FALSE),IFERROR(INT(MID(metadata!C949,12,1))&lt;=2,FALSE),NOT(MID(metadata!C949,13,1)=""),IFERROR(INT(MID(metadata!C949,12,2))&gt;=0,FALSE),IFERROR(INT(MID(metadata!C949,12,2))&lt;=23,FALSE)), OR(MID(metadata!C949,14,1)="", AND(AND(MID(metadata!C949,14,1)=":",IFERROR(INT(MID(metadata!C949,15,1))&gt;=0,FALSE),IFERROR(INT(MID(metadata!C949,15,1))&lt;=5,FALSE),NOT(MID(metadata!C949,16,1)=""),IFERROR(INT(MID(metadata!C949,15,2))&gt;=0,FALSE),IFERROR(INT(MID(metadata!C949,15,2))&lt;=59,FALSE)), OR(MID(metadata!C949,17,1)="", AND(AND(MID(metadata!C949,17,1)=":",IFERROR(INT(MID(metadata!C949,18,1))&gt;=0,FALSE),IFERROR(INT(MID(metadata!C949,18,1))&lt;=5,FALSE),NOT(MID(metadata!C949,19,1)=""),IFERROR(INT(MID(metadata!C949,18,2))&gt;=0,FALSE),IFERROR(INT(MID(metadata!C949,18,2))&lt;=59,FALSE)), LEN(metadata!C949)&lt;=19)))))))))))))</f>
        <v>0</v>
      </c>
      <c r="AD949">
        <f>IF(metadata!D949="",FALSE,TRUE)</f>
        <v>0</v>
      </c>
      <c r="AE949">
        <f>OR(AND(IF(metadata!E949="",FALSE,TRUE),OR(exact(metadata!E949,"missing: not collected"),exact(metadata!E949,"missing: not provided"))),AND(IF(metadata!E949="",FALSE,TRUE),OR(exact(metadata!E949,"TRUE"),exact(metadata!E949,"FALSE"))))</f>
        <v>0</v>
      </c>
      <c r="AF949">
        <f>IF(metadata!F949="",FALSE,TRUE)</f>
        <v>0</v>
      </c>
      <c r="AG949">
        <f>IF(metadata!G949="",FALSE,TRUE)</f>
        <v>0</v>
      </c>
      <c r="AH949">
        <f>IF(metadata!H949="",FALSE,TRUE)</f>
        <v>0</v>
      </c>
      <c r="AI949">
        <f>OR(AND(IF(metadata!I949="",FALSE,TRUE),OR(exact(metadata!I949,"missing: not collected"),exact(metadata!I949,"missing: not provided"),exact(metadata!I949,"missing: restricted access"))),AND(IF(metadata!I949="",FALSE,TRUE),OR(exact(metadata!I949,"air"),exact(metadata!I949,"built environment"),exact(metadata!I949,"host-associated"),exact(metadata!I949,"human-associated"),exact(metadata!I949,"human-skin"),exact(metadata!I949,"human-oral"),exact(metadata!I949,"human-gut"),exact(metadata!I949,"human-vaginal"),exact(metadata!I949,"microbial mat/biofilm"),exact(metadata!I949,"misc environment"),exact(metadata!I949,"plant-associated"),exact(metadata!I949,"sediment"),exact(metadata!I949,"soil"),exact(metadata!I949,"wastewater/sludge"),exact(metadata!I949,"water"))))</f>
        <v>0</v>
      </c>
      <c r="AJ949">
        <f>IF(metadata!J949="",FALSE,TRUE)</f>
        <v>0</v>
      </c>
      <c r="AK949">
        <f>OR(AND(IF(metadata!K949="",FALSE,TRUE),OR(exact(metadata!K949,"missing: not collected"),exact(metadata!K949,"missing: not provided"),exact(metadata!K949,"missing: restricted access"))),AND(IF(metadata!K949="",FALSE,ISNUMBER(VALUE(metadata!K949))),metadata!K949&gt;=-90.00,metadata!K949&lt;=90.00))</f>
        <v>0</v>
      </c>
      <c r="AL949">
        <f>OR(AND(IF(metadata!L949="",FALSE,TRUE),OR(exact(metadata!L949,"missing: not collected"),exact(metadata!L949,"missing: not provided"),exact(metadata!L949,"missing: restricted access"))),AND(IF(metadata!L949="",FALSE,ISNUMBER(VALUE(metadata!L949))),metadata!L949&gt;=-180.00,metadata!L949&lt;=180.00))</f>
        <v>0</v>
      </c>
      <c r="AM949">
        <f>IF(metadata!M949="",FALSE,TRUE)</f>
        <v>0</v>
      </c>
      <c r="AN949">
        <f>OR(AND(IF(metadata!N949="",FALSE,TRUE),OR(exact(metadata!N949,"missing: not collected"),exact(metadata!N949,"missing: not provided"),exact(metadata!N949,"missing: restricted access"))),AND(IF(metadata!N949="",FALSE,TRUE),OR(exact(metadata!N949,"TRUE"),exact(metadata!N949,"FALSE"))))</f>
        <v>0</v>
      </c>
      <c r="AO949">
        <f>IF(metadata!O949="",FALSE,TRUE)</f>
        <v>0</v>
      </c>
      <c r="AP949">
        <f>OR(AND(IF(metadata!P949="",FALSE,TRUE),OR(exact(metadata!P949,"missing: not collected"),exact(metadata!P949,"missing: not provided"))),AND(IF(metadata!P949="",FALSE,IF(ISERROR(INT(metadata!P949)),FALSE,INT(metadata!P949)=metadata!P949)),metadata!P949&gt;0))</f>
        <v>0</v>
      </c>
      <c r="AQ949">
        <f>IF(metadata!Q949="",FALSE,TRUE)</f>
        <v>0</v>
      </c>
    </row>
    <row r="950" spans="1:43">
      <c r="A950" s="5">
        <f>IF(B950=" "," ",HYPERLINK(CONCATENATE("#metadata!",ADDRESS(INDEX($W$2:$W$1001,MATCH(ROWS($U$2:U950),$U$2:$U$1001,0),0),1)),INDEX($Z$2:$Z$1001,MATCH(ROWS($U$2:U950),$U$2:$U$1001,0),0)))</f>
        <v>0</v>
      </c>
      <c r="B950" s="4">
        <f>IF(OR(INDEX($V$2:$V$1001,MATCH(ROWS($U$2:U950),$U$2:$U$1001,0),1)&gt;=100000,INDEX($AB$1005:$AQ$1005,1,MATCH(COLUMNS($AB$1006:AB1006),$AB$1006:$AQ$1006,0))&gt;=100000), " ",IF(INDEX($AB$2:$AQ$1001,MATCH(ROWS($U$2:U950),$U$2:$U$1001,0),MATCH(COLUMNS($AB$1006:AB1006),$AB$1006:$AQ$1006,0)), HYPERLINK("#",""), HYPERLINK(CONCATENATE("#metadata!", ADDRESS(INDEX($W$2:$W$1001,MATCH(ROWS($U$2:U950),$U$2:$U$1001,0),0), INDEX($AB$1004:$AQ$1004,1,MATCH(COLUMNS($AB$1006:AB1006),$AB$1006:$AQ$1006,0)))),"Fix")))</f>
        <v>0</v>
      </c>
      <c r="C950" s="4">
        <f>IF(OR(INDEX($V$2:$V$1001,MATCH(ROWS($U$2:U950),$U$2:$U$1001,0),1)&gt;=100000,INDEX($AB$1005:$AQ$1005,1,MATCH(COLUMNS($AB$1006:AC1006),$AB$1006:$AQ$1006,0))&gt;=100000), " ",IF(INDEX($AB$2:$AQ$1001,MATCH(ROWS($U$2:U950),$U$2:$U$1001,0),MATCH(COLUMNS($AB$1006:AC1006),$AB$1006:$AQ$1006,0)), HYPERLINK("#",""), HYPERLINK(CONCATENATE("#metadata!", ADDRESS(INDEX($W$2:$W$1001,MATCH(ROWS($U$2:U950),$U$2:$U$1001,0),0), INDEX($AB$1004:$AQ$1004,1,MATCH(COLUMNS($AB$1006:AC1006),$AB$1006:$AQ$1006,0)))),"Fix")))</f>
        <v>0</v>
      </c>
      <c r="D950" s="4">
        <f>IF(OR(INDEX($V$2:$V$1001,MATCH(ROWS($U$2:U950),$U$2:$U$1001,0),1)&gt;=100000,INDEX($AB$1005:$AQ$1005,1,MATCH(COLUMNS($AB$1006:AD1006),$AB$1006:$AQ$1006,0))&gt;=100000), " ",IF(INDEX($AB$2:$AQ$1001,MATCH(ROWS($U$2:U950),$U$2:$U$1001,0),MATCH(COLUMNS($AB$1006:AD1006),$AB$1006:$AQ$1006,0)), HYPERLINK("#",""), HYPERLINK(CONCATENATE("#metadata!", ADDRESS(INDEX($W$2:$W$1001,MATCH(ROWS($U$2:U950),$U$2:$U$1001,0),0), INDEX($AB$1004:$AQ$1004,1,MATCH(COLUMNS($AB$1006:AD1006),$AB$1006:$AQ$1006,0)))),"Fix")))</f>
        <v>0</v>
      </c>
      <c r="E950" s="4">
        <f>IF(OR(INDEX($V$2:$V$1001,MATCH(ROWS($U$2:U950),$U$2:$U$1001,0),1)&gt;=100000,INDEX($AB$1005:$AQ$1005,1,MATCH(COLUMNS($AB$1006:AE1006),$AB$1006:$AQ$1006,0))&gt;=100000), " ",IF(INDEX($AB$2:$AQ$1001,MATCH(ROWS($U$2:U950),$U$2:$U$1001,0),MATCH(COLUMNS($AB$1006:AE1006),$AB$1006:$AQ$1006,0)), HYPERLINK("#",""), HYPERLINK(CONCATENATE("#metadata!", ADDRESS(INDEX($W$2:$W$1001,MATCH(ROWS($U$2:U950),$U$2:$U$1001,0),0), INDEX($AB$1004:$AQ$1004,1,MATCH(COLUMNS($AB$1006:AE1006),$AB$1006:$AQ$1006,0)))),"Fix")))</f>
        <v>0</v>
      </c>
      <c r="F950" s="4">
        <f>IF(OR(INDEX($V$2:$V$1001,MATCH(ROWS($U$2:U950),$U$2:$U$1001,0),1)&gt;=100000,INDEX($AB$1005:$AQ$1005,1,MATCH(COLUMNS($AB$1006:AF1006),$AB$1006:$AQ$1006,0))&gt;=100000), " ",IF(INDEX($AB$2:$AQ$1001,MATCH(ROWS($U$2:U950),$U$2:$U$1001,0),MATCH(COLUMNS($AB$1006:AF1006),$AB$1006:$AQ$1006,0)), HYPERLINK("#",""), HYPERLINK(CONCATENATE("#metadata!", ADDRESS(INDEX($W$2:$W$1001,MATCH(ROWS($U$2:U950),$U$2:$U$1001,0),0), INDEX($AB$1004:$AQ$1004,1,MATCH(COLUMNS($AB$1006:AF1006),$AB$1006:$AQ$1006,0)))),"Fix")))</f>
        <v>0</v>
      </c>
      <c r="G950" s="4">
        <f>IF(OR(INDEX($V$2:$V$1001,MATCH(ROWS($U$2:U950),$U$2:$U$1001,0),1)&gt;=100000,INDEX($AB$1005:$AQ$1005,1,MATCH(COLUMNS($AB$1006:AG1006),$AB$1006:$AQ$1006,0))&gt;=100000), " ",IF(INDEX($AB$2:$AQ$1001,MATCH(ROWS($U$2:U950),$U$2:$U$1001,0),MATCH(COLUMNS($AB$1006:AG1006),$AB$1006:$AQ$1006,0)), HYPERLINK("#",""), HYPERLINK(CONCATENATE("#metadata!", ADDRESS(INDEX($W$2:$W$1001,MATCH(ROWS($U$2:U950),$U$2:$U$1001,0),0), INDEX($AB$1004:$AQ$1004,1,MATCH(COLUMNS($AB$1006:AG1006),$AB$1006:$AQ$1006,0)))),"Fix")))</f>
        <v>0</v>
      </c>
      <c r="H950" s="4">
        <f>IF(OR(INDEX($V$2:$V$1001,MATCH(ROWS($U$2:U950),$U$2:$U$1001,0),1)&gt;=100000,INDEX($AB$1005:$AQ$1005,1,MATCH(COLUMNS($AB$1006:AH1006),$AB$1006:$AQ$1006,0))&gt;=100000), " ",IF(INDEX($AB$2:$AQ$1001,MATCH(ROWS($U$2:U950),$U$2:$U$1001,0),MATCH(COLUMNS($AB$1006:AH1006),$AB$1006:$AQ$1006,0)), HYPERLINK("#",""), HYPERLINK(CONCATENATE("#metadata!", ADDRESS(INDEX($W$2:$W$1001,MATCH(ROWS($U$2:U950),$U$2:$U$1001,0),0), INDEX($AB$1004:$AQ$1004,1,MATCH(COLUMNS($AB$1006:AH1006),$AB$1006:$AQ$1006,0)))),"Fix")))</f>
        <v>0</v>
      </c>
      <c r="I950" s="4">
        <f>IF(OR(INDEX($V$2:$V$1001,MATCH(ROWS($U$2:U950),$U$2:$U$1001,0),1)&gt;=100000,INDEX($AB$1005:$AQ$1005,1,MATCH(COLUMNS($AB$1006:AI1006),$AB$1006:$AQ$1006,0))&gt;=100000), " ",IF(INDEX($AB$2:$AQ$1001,MATCH(ROWS($U$2:U950),$U$2:$U$1001,0),MATCH(COLUMNS($AB$1006:AI1006),$AB$1006:$AQ$1006,0)), HYPERLINK("#",""), HYPERLINK(CONCATENATE("#metadata!", ADDRESS(INDEX($W$2:$W$1001,MATCH(ROWS($U$2:U950),$U$2:$U$1001,0),0), INDEX($AB$1004:$AQ$1004,1,MATCH(COLUMNS($AB$1006:AI1006),$AB$1006:$AQ$1006,0)))),"Fix")))</f>
        <v>0</v>
      </c>
      <c r="J950" s="4">
        <f>IF(OR(INDEX($V$2:$V$1001,MATCH(ROWS($U$2:U950),$U$2:$U$1001,0),1)&gt;=100000,INDEX($AB$1005:$AQ$1005,1,MATCH(COLUMNS($AB$1006:AJ1006),$AB$1006:$AQ$1006,0))&gt;=100000), " ",IF(INDEX($AB$2:$AQ$1001,MATCH(ROWS($U$2:U950),$U$2:$U$1001,0),MATCH(COLUMNS($AB$1006:AJ1006),$AB$1006:$AQ$1006,0)), HYPERLINK("#",""), HYPERLINK(CONCATENATE("#metadata!", ADDRESS(INDEX($W$2:$W$1001,MATCH(ROWS($U$2:U950),$U$2:$U$1001,0),0), INDEX($AB$1004:$AQ$1004,1,MATCH(COLUMNS($AB$1006:AJ1006),$AB$1006:$AQ$1006,0)))),"Fix")))</f>
        <v>0</v>
      </c>
      <c r="K950" s="4">
        <f>IF(OR(INDEX($V$2:$V$1001,MATCH(ROWS($U$2:U950),$U$2:$U$1001,0),1)&gt;=100000,INDEX($AB$1005:$AQ$1005,1,MATCH(COLUMNS($AB$1006:AK1006),$AB$1006:$AQ$1006,0))&gt;=100000), " ",IF(INDEX($AB$2:$AQ$1001,MATCH(ROWS($U$2:U950),$U$2:$U$1001,0),MATCH(COLUMNS($AB$1006:AK1006),$AB$1006:$AQ$1006,0)), HYPERLINK("#",""), HYPERLINK(CONCATENATE("#metadata!", ADDRESS(INDEX($W$2:$W$1001,MATCH(ROWS($U$2:U950),$U$2:$U$1001,0),0), INDEX($AB$1004:$AQ$1004,1,MATCH(COLUMNS($AB$1006:AK1006),$AB$1006:$AQ$1006,0)))),"Fix")))</f>
        <v>0</v>
      </c>
      <c r="L950" s="4">
        <f>IF(OR(INDEX($V$2:$V$1001,MATCH(ROWS($U$2:U950),$U$2:$U$1001,0),1)&gt;=100000,INDEX($AB$1005:$AQ$1005,1,MATCH(COLUMNS($AB$1006:AL1006),$AB$1006:$AQ$1006,0))&gt;=100000), " ",IF(INDEX($AB$2:$AQ$1001,MATCH(ROWS($U$2:U950),$U$2:$U$1001,0),MATCH(COLUMNS($AB$1006:AL1006),$AB$1006:$AQ$1006,0)), HYPERLINK("#",""), HYPERLINK(CONCATENATE("#metadata!", ADDRESS(INDEX($W$2:$W$1001,MATCH(ROWS($U$2:U950),$U$2:$U$1001,0),0), INDEX($AB$1004:$AQ$1004,1,MATCH(COLUMNS($AB$1006:AL1006),$AB$1006:$AQ$1006,0)))),"Fix")))</f>
        <v>0</v>
      </c>
      <c r="M950" s="4">
        <f>IF(OR(INDEX($V$2:$V$1001,MATCH(ROWS($U$2:U950),$U$2:$U$1001,0),1)&gt;=100000,INDEX($AB$1005:$AQ$1005,1,MATCH(COLUMNS($AB$1006:AM1006),$AB$1006:$AQ$1006,0))&gt;=100000), " ",IF(INDEX($AB$2:$AQ$1001,MATCH(ROWS($U$2:U950),$U$2:$U$1001,0),MATCH(COLUMNS($AB$1006:AM1006),$AB$1006:$AQ$1006,0)), HYPERLINK("#",""), HYPERLINK(CONCATENATE("#metadata!", ADDRESS(INDEX($W$2:$W$1001,MATCH(ROWS($U$2:U950),$U$2:$U$1001,0),0), INDEX($AB$1004:$AQ$1004,1,MATCH(COLUMNS($AB$1006:AM1006),$AB$1006:$AQ$1006,0)))),"Fix")))</f>
        <v>0</v>
      </c>
      <c r="N950" s="4">
        <f>IF(OR(INDEX($V$2:$V$1001,MATCH(ROWS($U$2:U950),$U$2:$U$1001,0),1)&gt;=100000,INDEX($AB$1005:$AQ$1005,1,MATCH(COLUMNS($AB$1006:AN1006),$AB$1006:$AQ$1006,0))&gt;=100000), " ",IF(INDEX($AB$2:$AQ$1001,MATCH(ROWS($U$2:U950),$U$2:$U$1001,0),MATCH(COLUMNS($AB$1006:AN1006),$AB$1006:$AQ$1006,0)), HYPERLINK("#",""), HYPERLINK(CONCATENATE("#metadata!", ADDRESS(INDEX($W$2:$W$1001,MATCH(ROWS($U$2:U950),$U$2:$U$1001,0),0), INDEX($AB$1004:$AQ$1004,1,MATCH(COLUMNS($AB$1006:AN1006),$AB$1006:$AQ$1006,0)))),"Fix")))</f>
        <v>0</v>
      </c>
      <c r="O950" s="4">
        <f>IF(OR(INDEX($V$2:$V$1001,MATCH(ROWS($U$2:U950),$U$2:$U$1001,0),1)&gt;=100000,INDEX($AB$1005:$AQ$1005,1,MATCH(COLUMNS($AB$1006:AO1006),$AB$1006:$AQ$1006,0))&gt;=100000), " ",IF(INDEX($AB$2:$AQ$1001,MATCH(ROWS($U$2:U950),$U$2:$U$1001,0),MATCH(COLUMNS($AB$1006:AO1006),$AB$1006:$AQ$1006,0)), HYPERLINK("#",""), HYPERLINK(CONCATENATE("#metadata!", ADDRESS(INDEX($W$2:$W$1001,MATCH(ROWS($U$2:U950),$U$2:$U$1001,0),0), INDEX($AB$1004:$AQ$1004,1,MATCH(COLUMNS($AB$1006:AO1006),$AB$1006:$AQ$1006,0)))),"Fix")))</f>
        <v>0</v>
      </c>
      <c r="P950" s="4">
        <f>IF(OR(INDEX($V$2:$V$1001,MATCH(ROWS($U$2:U950),$U$2:$U$1001,0),1)&gt;=100000,INDEX($AB$1005:$AQ$1005,1,MATCH(COLUMNS($AB$1006:AP1006),$AB$1006:$AQ$1006,0))&gt;=100000), " ",IF(INDEX($AB$2:$AQ$1001,MATCH(ROWS($U$2:U950),$U$2:$U$1001,0),MATCH(COLUMNS($AB$1006:AP1006),$AB$1006:$AQ$1006,0)), HYPERLINK("#",""), HYPERLINK(CONCATENATE("#metadata!", ADDRESS(INDEX($W$2:$W$1001,MATCH(ROWS($U$2:U950),$U$2:$U$1001,0),0), INDEX($AB$1004:$AQ$1004,1,MATCH(COLUMNS($AB$1006:AP1006),$AB$1006:$AQ$1006,0)))),"Fix")))</f>
        <v>0</v>
      </c>
      <c r="Q950" s="4">
        <f>IF(OR(INDEX($V$2:$V$1001,MATCH(ROWS($U$2:U950),$U$2:$U$1001,0),1)&gt;=100000,INDEX($AB$1005:$AQ$1005,1,MATCH(COLUMNS($AB$1006:AQ1006),$AB$1006:$AQ$1006,0))&gt;=100000), " ",IF(INDEX($AB$2:$AQ$1001,MATCH(ROWS($U$2:U950),$U$2:$U$1001,0),MATCH(COLUMNS($AB$1006:AQ1006),$AB$1006:$AQ$1006,0)), HYPERLINK("#",""), HYPERLINK(CONCATENATE("#metadata!", ADDRESS(INDEX($W$2:$W$1001,MATCH(ROWS($U$2:U950),$U$2:$U$1001,0),0), INDEX($AB$1004:$AQ$1004,1,MATCH(COLUMNS($AB$1006:AQ1006),$AB$1006:$AQ$1006,0)))),"Fix")))</f>
        <v>0</v>
      </c>
      <c r="U950">
        <v>0</v>
      </c>
      <c r="V950">
        <v>0</v>
      </c>
      <c r="W950">
        <v>0</v>
      </c>
      <c r="X950">
        <f>IF(Y950,TRUE,AND(AB950:AQ950))</f>
        <v>0</v>
      </c>
      <c r="Y950">
        <f>COUNTBLANK(metadata!B950:Q950)=COLUMNS(metadata!B950:Q950)</f>
        <v>0</v>
      </c>
      <c r="Z950">
        <v>0</v>
      </c>
      <c r="AB950">
        <f>AND(IF(metadata!B950="",FALSE,TRUE),COUNTIF(metadata!B:B, metadata!B950) = 1,NOT(ISERROR(SUMPRODUCT(SEARCH(MID(metadata!B950,ROW(INDIRECT("1:"&amp;LEN(metadata!B950))), 1),"0123456789abcdefghijklmnopqrstuvwxyzABCDEFGHIJKLMNOPQRSTUVWXYZ.")))))</f>
        <v>0</v>
      </c>
      <c r="AC950">
        <f>OR(AND(IF(metadata!C950="",FALSE,TRUE),OR(exact(metadata!C950,"missing: not collected"),exact(metadata!C950,"missing: not provided"),exact(metadata!C950,"missing: restricted access"))),AND(IF(metadata!C950="",FALSE,TRUE),AND(AND(IFERROR(INT(LEFT(metadata!C950,4))&gt;1900,FALSE),IFERROR(INT(LEFT(metadata!C950,4))&lt;=YEAR(NOW()),FALSE)), OR(MID(metadata!C950,5,1)="", AND(AND(MID(metadata!C950,5,1)="-",IFERROR(INT(MID(metadata!C950,6,1))&gt;=0,FALSE),IFERROR(INT(MID(metadata!C950,6,1))&lt;=1,FALSE),NOT(MID(metadata!C950,7,1)=""),IFERROR(INT(MID(metadata!C950,6,2))&gt;=1,FALSE),IFERROR(INT(MID(metadata!C950,6,2))&lt;=12,FALSE)), OR(MID(metadata!C950,8,1)="", AND(AND(MID(metadata!C950,8,1)="-",IFERROR(INT(MID(metadata!C950,9,1))&gt;=0,FALSE),IFERROR(INT(MID(metadata!C950,9,1))&lt;=3,FALSE),NOT(MID(metadata!C950,10,1)=""),IFERROR(INT(MID(metadata!C950,9,2))&gt;=1,FALSE),IFERROR(INT(MID(metadata!C950,9,2))&lt;=31,FALSE)), OR(MID(metadata!C950,11,1)="", AND(AND(MID(metadata!C950,11,1)=" ",IFERROR(INT(MID(metadata!C950,12,1))&gt;=0,FALSE),IFERROR(INT(MID(metadata!C950,12,1))&lt;=2,FALSE),NOT(MID(metadata!C950,13,1)=""),IFERROR(INT(MID(metadata!C950,12,2))&gt;=0,FALSE),IFERROR(INT(MID(metadata!C950,12,2))&lt;=23,FALSE)), OR(MID(metadata!C950,14,1)="", AND(AND(MID(metadata!C950,14,1)=":",IFERROR(INT(MID(metadata!C950,15,1))&gt;=0,FALSE),IFERROR(INT(MID(metadata!C950,15,1))&lt;=5,FALSE),NOT(MID(metadata!C950,16,1)=""),IFERROR(INT(MID(metadata!C950,15,2))&gt;=0,FALSE),IFERROR(INT(MID(metadata!C950,15,2))&lt;=59,FALSE)), OR(MID(metadata!C950,17,1)="", AND(AND(MID(metadata!C950,17,1)=":",IFERROR(INT(MID(metadata!C950,18,1))&gt;=0,FALSE),IFERROR(INT(MID(metadata!C950,18,1))&lt;=5,FALSE),NOT(MID(metadata!C950,19,1)=""),IFERROR(INT(MID(metadata!C950,18,2))&gt;=0,FALSE),IFERROR(INT(MID(metadata!C950,18,2))&lt;=59,FALSE)), LEN(metadata!C950)&lt;=19)))))))))))))</f>
        <v>0</v>
      </c>
      <c r="AD950">
        <f>IF(metadata!D950="",FALSE,TRUE)</f>
        <v>0</v>
      </c>
      <c r="AE950">
        <f>OR(AND(IF(metadata!E950="",FALSE,TRUE),OR(exact(metadata!E950,"missing: not collected"),exact(metadata!E950,"missing: not provided"))),AND(IF(metadata!E950="",FALSE,TRUE),OR(exact(metadata!E950,"TRUE"),exact(metadata!E950,"FALSE"))))</f>
        <v>0</v>
      </c>
      <c r="AF950">
        <f>IF(metadata!F950="",FALSE,TRUE)</f>
        <v>0</v>
      </c>
      <c r="AG950">
        <f>IF(metadata!G950="",FALSE,TRUE)</f>
        <v>0</v>
      </c>
      <c r="AH950">
        <f>IF(metadata!H950="",FALSE,TRUE)</f>
        <v>0</v>
      </c>
      <c r="AI950">
        <f>OR(AND(IF(metadata!I950="",FALSE,TRUE),OR(exact(metadata!I950,"missing: not collected"),exact(metadata!I950,"missing: not provided"),exact(metadata!I950,"missing: restricted access"))),AND(IF(metadata!I950="",FALSE,TRUE),OR(exact(metadata!I950,"air"),exact(metadata!I950,"built environment"),exact(metadata!I950,"host-associated"),exact(metadata!I950,"human-associated"),exact(metadata!I950,"human-skin"),exact(metadata!I950,"human-oral"),exact(metadata!I950,"human-gut"),exact(metadata!I950,"human-vaginal"),exact(metadata!I950,"microbial mat/biofilm"),exact(metadata!I950,"misc environment"),exact(metadata!I950,"plant-associated"),exact(metadata!I950,"sediment"),exact(metadata!I950,"soil"),exact(metadata!I950,"wastewater/sludge"),exact(metadata!I950,"water"))))</f>
        <v>0</v>
      </c>
      <c r="AJ950">
        <f>IF(metadata!J950="",FALSE,TRUE)</f>
        <v>0</v>
      </c>
      <c r="AK950">
        <f>OR(AND(IF(metadata!K950="",FALSE,TRUE),OR(exact(metadata!K950,"missing: not collected"),exact(metadata!K950,"missing: not provided"),exact(metadata!K950,"missing: restricted access"))),AND(IF(metadata!K950="",FALSE,ISNUMBER(VALUE(metadata!K950))),metadata!K950&gt;=-90.00,metadata!K950&lt;=90.00))</f>
        <v>0</v>
      </c>
      <c r="AL950">
        <f>OR(AND(IF(metadata!L950="",FALSE,TRUE),OR(exact(metadata!L950,"missing: not collected"),exact(metadata!L950,"missing: not provided"),exact(metadata!L950,"missing: restricted access"))),AND(IF(metadata!L950="",FALSE,ISNUMBER(VALUE(metadata!L950))),metadata!L950&gt;=-180.00,metadata!L950&lt;=180.00))</f>
        <v>0</v>
      </c>
      <c r="AM950">
        <f>IF(metadata!M950="",FALSE,TRUE)</f>
        <v>0</v>
      </c>
      <c r="AN950">
        <f>OR(AND(IF(metadata!N950="",FALSE,TRUE),OR(exact(metadata!N950,"missing: not collected"),exact(metadata!N950,"missing: not provided"),exact(metadata!N950,"missing: restricted access"))),AND(IF(metadata!N950="",FALSE,TRUE),OR(exact(metadata!N950,"TRUE"),exact(metadata!N950,"FALSE"))))</f>
        <v>0</v>
      </c>
      <c r="AO950">
        <f>IF(metadata!O950="",FALSE,TRUE)</f>
        <v>0</v>
      </c>
      <c r="AP950">
        <f>OR(AND(IF(metadata!P950="",FALSE,TRUE),OR(exact(metadata!P950,"missing: not collected"),exact(metadata!P950,"missing: not provided"))),AND(IF(metadata!P950="",FALSE,IF(ISERROR(INT(metadata!P950)),FALSE,INT(metadata!P950)=metadata!P950)),metadata!P950&gt;0))</f>
        <v>0</v>
      </c>
      <c r="AQ950">
        <f>IF(metadata!Q950="",FALSE,TRUE)</f>
        <v>0</v>
      </c>
    </row>
    <row r="951" spans="1:43">
      <c r="A951" s="5">
        <f>IF(B951=" "," ",HYPERLINK(CONCATENATE("#metadata!",ADDRESS(INDEX($W$2:$W$1001,MATCH(ROWS($U$2:U951),$U$2:$U$1001,0),0),1)),INDEX($Z$2:$Z$1001,MATCH(ROWS($U$2:U951),$U$2:$U$1001,0),0)))</f>
        <v>0</v>
      </c>
      <c r="B951" s="4">
        <f>IF(OR(INDEX($V$2:$V$1001,MATCH(ROWS($U$2:U951),$U$2:$U$1001,0),1)&gt;=100000,INDEX($AB$1005:$AQ$1005,1,MATCH(COLUMNS($AB$1006:AB1006),$AB$1006:$AQ$1006,0))&gt;=100000), " ",IF(INDEX($AB$2:$AQ$1001,MATCH(ROWS($U$2:U951),$U$2:$U$1001,0),MATCH(COLUMNS($AB$1006:AB1006),$AB$1006:$AQ$1006,0)), HYPERLINK("#",""), HYPERLINK(CONCATENATE("#metadata!", ADDRESS(INDEX($W$2:$W$1001,MATCH(ROWS($U$2:U951),$U$2:$U$1001,0),0), INDEX($AB$1004:$AQ$1004,1,MATCH(COLUMNS($AB$1006:AB1006),$AB$1006:$AQ$1006,0)))),"Fix")))</f>
        <v>0</v>
      </c>
      <c r="C951" s="4">
        <f>IF(OR(INDEX($V$2:$V$1001,MATCH(ROWS($U$2:U951),$U$2:$U$1001,0),1)&gt;=100000,INDEX($AB$1005:$AQ$1005,1,MATCH(COLUMNS($AB$1006:AC1006),$AB$1006:$AQ$1006,0))&gt;=100000), " ",IF(INDEX($AB$2:$AQ$1001,MATCH(ROWS($U$2:U951),$U$2:$U$1001,0),MATCH(COLUMNS($AB$1006:AC1006),$AB$1006:$AQ$1006,0)), HYPERLINK("#",""), HYPERLINK(CONCATENATE("#metadata!", ADDRESS(INDEX($W$2:$W$1001,MATCH(ROWS($U$2:U951),$U$2:$U$1001,0),0), INDEX($AB$1004:$AQ$1004,1,MATCH(COLUMNS($AB$1006:AC1006),$AB$1006:$AQ$1006,0)))),"Fix")))</f>
        <v>0</v>
      </c>
      <c r="D951" s="4">
        <f>IF(OR(INDEX($V$2:$V$1001,MATCH(ROWS($U$2:U951),$U$2:$U$1001,0),1)&gt;=100000,INDEX($AB$1005:$AQ$1005,1,MATCH(COLUMNS($AB$1006:AD1006),$AB$1006:$AQ$1006,0))&gt;=100000), " ",IF(INDEX($AB$2:$AQ$1001,MATCH(ROWS($U$2:U951),$U$2:$U$1001,0),MATCH(COLUMNS($AB$1006:AD1006),$AB$1006:$AQ$1006,0)), HYPERLINK("#",""), HYPERLINK(CONCATENATE("#metadata!", ADDRESS(INDEX($W$2:$W$1001,MATCH(ROWS($U$2:U951),$U$2:$U$1001,0),0), INDEX($AB$1004:$AQ$1004,1,MATCH(COLUMNS($AB$1006:AD1006),$AB$1006:$AQ$1006,0)))),"Fix")))</f>
        <v>0</v>
      </c>
      <c r="E951" s="4">
        <f>IF(OR(INDEX($V$2:$V$1001,MATCH(ROWS($U$2:U951),$U$2:$U$1001,0),1)&gt;=100000,INDEX($AB$1005:$AQ$1005,1,MATCH(COLUMNS($AB$1006:AE1006),$AB$1006:$AQ$1006,0))&gt;=100000), " ",IF(INDEX($AB$2:$AQ$1001,MATCH(ROWS($U$2:U951),$U$2:$U$1001,0),MATCH(COLUMNS($AB$1006:AE1006),$AB$1006:$AQ$1006,0)), HYPERLINK("#",""), HYPERLINK(CONCATENATE("#metadata!", ADDRESS(INDEX($W$2:$W$1001,MATCH(ROWS($U$2:U951),$U$2:$U$1001,0),0), INDEX($AB$1004:$AQ$1004,1,MATCH(COLUMNS($AB$1006:AE1006),$AB$1006:$AQ$1006,0)))),"Fix")))</f>
        <v>0</v>
      </c>
      <c r="F951" s="4">
        <f>IF(OR(INDEX($V$2:$V$1001,MATCH(ROWS($U$2:U951),$U$2:$U$1001,0),1)&gt;=100000,INDEX($AB$1005:$AQ$1005,1,MATCH(COLUMNS($AB$1006:AF1006),$AB$1006:$AQ$1006,0))&gt;=100000), " ",IF(INDEX($AB$2:$AQ$1001,MATCH(ROWS($U$2:U951),$U$2:$U$1001,0),MATCH(COLUMNS($AB$1006:AF1006),$AB$1006:$AQ$1006,0)), HYPERLINK("#",""), HYPERLINK(CONCATENATE("#metadata!", ADDRESS(INDEX($W$2:$W$1001,MATCH(ROWS($U$2:U951),$U$2:$U$1001,0),0), INDEX($AB$1004:$AQ$1004,1,MATCH(COLUMNS($AB$1006:AF1006),$AB$1006:$AQ$1006,0)))),"Fix")))</f>
        <v>0</v>
      </c>
      <c r="G951" s="4">
        <f>IF(OR(INDEX($V$2:$V$1001,MATCH(ROWS($U$2:U951),$U$2:$U$1001,0),1)&gt;=100000,INDEX($AB$1005:$AQ$1005,1,MATCH(COLUMNS($AB$1006:AG1006),$AB$1006:$AQ$1006,0))&gt;=100000), " ",IF(INDEX($AB$2:$AQ$1001,MATCH(ROWS($U$2:U951),$U$2:$U$1001,0),MATCH(COLUMNS($AB$1006:AG1006),$AB$1006:$AQ$1006,0)), HYPERLINK("#",""), HYPERLINK(CONCATENATE("#metadata!", ADDRESS(INDEX($W$2:$W$1001,MATCH(ROWS($U$2:U951),$U$2:$U$1001,0),0), INDEX($AB$1004:$AQ$1004,1,MATCH(COLUMNS($AB$1006:AG1006),$AB$1006:$AQ$1006,0)))),"Fix")))</f>
        <v>0</v>
      </c>
      <c r="H951" s="4">
        <f>IF(OR(INDEX($V$2:$V$1001,MATCH(ROWS($U$2:U951),$U$2:$U$1001,0),1)&gt;=100000,INDEX($AB$1005:$AQ$1005,1,MATCH(COLUMNS($AB$1006:AH1006),$AB$1006:$AQ$1006,0))&gt;=100000), " ",IF(INDEX($AB$2:$AQ$1001,MATCH(ROWS($U$2:U951),$U$2:$U$1001,0),MATCH(COLUMNS($AB$1006:AH1006),$AB$1006:$AQ$1006,0)), HYPERLINK("#",""), HYPERLINK(CONCATENATE("#metadata!", ADDRESS(INDEX($W$2:$W$1001,MATCH(ROWS($U$2:U951),$U$2:$U$1001,0),0), INDEX($AB$1004:$AQ$1004,1,MATCH(COLUMNS($AB$1006:AH1006),$AB$1006:$AQ$1006,0)))),"Fix")))</f>
        <v>0</v>
      </c>
      <c r="I951" s="4">
        <f>IF(OR(INDEX($V$2:$V$1001,MATCH(ROWS($U$2:U951),$U$2:$U$1001,0),1)&gt;=100000,INDEX($AB$1005:$AQ$1005,1,MATCH(COLUMNS($AB$1006:AI1006),$AB$1006:$AQ$1006,0))&gt;=100000), " ",IF(INDEX($AB$2:$AQ$1001,MATCH(ROWS($U$2:U951),$U$2:$U$1001,0),MATCH(COLUMNS($AB$1006:AI1006),$AB$1006:$AQ$1006,0)), HYPERLINK("#",""), HYPERLINK(CONCATENATE("#metadata!", ADDRESS(INDEX($W$2:$W$1001,MATCH(ROWS($U$2:U951),$U$2:$U$1001,0),0), INDEX($AB$1004:$AQ$1004,1,MATCH(COLUMNS($AB$1006:AI1006),$AB$1006:$AQ$1006,0)))),"Fix")))</f>
        <v>0</v>
      </c>
      <c r="J951" s="4">
        <f>IF(OR(INDEX($V$2:$V$1001,MATCH(ROWS($U$2:U951),$U$2:$U$1001,0),1)&gt;=100000,INDEX($AB$1005:$AQ$1005,1,MATCH(COLUMNS($AB$1006:AJ1006),$AB$1006:$AQ$1006,0))&gt;=100000), " ",IF(INDEX($AB$2:$AQ$1001,MATCH(ROWS($U$2:U951),$U$2:$U$1001,0),MATCH(COLUMNS($AB$1006:AJ1006),$AB$1006:$AQ$1006,0)), HYPERLINK("#",""), HYPERLINK(CONCATENATE("#metadata!", ADDRESS(INDEX($W$2:$W$1001,MATCH(ROWS($U$2:U951),$U$2:$U$1001,0),0), INDEX($AB$1004:$AQ$1004,1,MATCH(COLUMNS($AB$1006:AJ1006),$AB$1006:$AQ$1006,0)))),"Fix")))</f>
        <v>0</v>
      </c>
      <c r="K951" s="4">
        <f>IF(OR(INDEX($V$2:$V$1001,MATCH(ROWS($U$2:U951),$U$2:$U$1001,0),1)&gt;=100000,INDEX($AB$1005:$AQ$1005,1,MATCH(COLUMNS($AB$1006:AK1006),$AB$1006:$AQ$1006,0))&gt;=100000), " ",IF(INDEX($AB$2:$AQ$1001,MATCH(ROWS($U$2:U951),$U$2:$U$1001,0),MATCH(COLUMNS($AB$1006:AK1006),$AB$1006:$AQ$1006,0)), HYPERLINK("#",""), HYPERLINK(CONCATENATE("#metadata!", ADDRESS(INDEX($W$2:$W$1001,MATCH(ROWS($U$2:U951),$U$2:$U$1001,0),0), INDEX($AB$1004:$AQ$1004,1,MATCH(COLUMNS($AB$1006:AK1006),$AB$1006:$AQ$1006,0)))),"Fix")))</f>
        <v>0</v>
      </c>
      <c r="L951" s="4">
        <f>IF(OR(INDEX($V$2:$V$1001,MATCH(ROWS($U$2:U951),$U$2:$U$1001,0),1)&gt;=100000,INDEX($AB$1005:$AQ$1005,1,MATCH(COLUMNS($AB$1006:AL1006),$AB$1006:$AQ$1006,0))&gt;=100000), " ",IF(INDEX($AB$2:$AQ$1001,MATCH(ROWS($U$2:U951),$U$2:$U$1001,0),MATCH(COLUMNS($AB$1006:AL1006),$AB$1006:$AQ$1006,0)), HYPERLINK("#",""), HYPERLINK(CONCATENATE("#metadata!", ADDRESS(INDEX($W$2:$W$1001,MATCH(ROWS($U$2:U951),$U$2:$U$1001,0),0), INDEX($AB$1004:$AQ$1004,1,MATCH(COLUMNS($AB$1006:AL1006),$AB$1006:$AQ$1006,0)))),"Fix")))</f>
        <v>0</v>
      </c>
      <c r="M951" s="4">
        <f>IF(OR(INDEX($V$2:$V$1001,MATCH(ROWS($U$2:U951),$U$2:$U$1001,0),1)&gt;=100000,INDEX($AB$1005:$AQ$1005,1,MATCH(COLUMNS($AB$1006:AM1006),$AB$1006:$AQ$1006,0))&gt;=100000), " ",IF(INDEX($AB$2:$AQ$1001,MATCH(ROWS($U$2:U951),$U$2:$U$1001,0),MATCH(COLUMNS($AB$1006:AM1006),$AB$1006:$AQ$1006,0)), HYPERLINK("#",""), HYPERLINK(CONCATENATE("#metadata!", ADDRESS(INDEX($W$2:$W$1001,MATCH(ROWS($U$2:U951),$U$2:$U$1001,0),0), INDEX($AB$1004:$AQ$1004,1,MATCH(COLUMNS($AB$1006:AM1006),$AB$1006:$AQ$1006,0)))),"Fix")))</f>
        <v>0</v>
      </c>
      <c r="N951" s="4">
        <f>IF(OR(INDEX($V$2:$V$1001,MATCH(ROWS($U$2:U951),$U$2:$U$1001,0),1)&gt;=100000,INDEX($AB$1005:$AQ$1005,1,MATCH(COLUMNS($AB$1006:AN1006),$AB$1006:$AQ$1006,0))&gt;=100000), " ",IF(INDEX($AB$2:$AQ$1001,MATCH(ROWS($U$2:U951),$U$2:$U$1001,0),MATCH(COLUMNS($AB$1006:AN1006),$AB$1006:$AQ$1006,0)), HYPERLINK("#",""), HYPERLINK(CONCATENATE("#metadata!", ADDRESS(INDEX($W$2:$W$1001,MATCH(ROWS($U$2:U951),$U$2:$U$1001,0),0), INDEX($AB$1004:$AQ$1004,1,MATCH(COLUMNS($AB$1006:AN1006),$AB$1006:$AQ$1006,0)))),"Fix")))</f>
        <v>0</v>
      </c>
      <c r="O951" s="4">
        <f>IF(OR(INDEX($V$2:$V$1001,MATCH(ROWS($U$2:U951),$U$2:$U$1001,0),1)&gt;=100000,INDEX($AB$1005:$AQ$1005,1,MATCH(COLUMNS($AB$1006:AO1006),$AB$1006:$AQ$1006,0))&gt;=100000), " ",IF(INDEX($AB$2:$AQ$1001,MATCH(ROWS($U$2:U951),$U$2:$U$1001,0),MATCH(COLUMNS($AB$1006:AO1006),$AB$1006:$AQ$1006,0)), HYPERLINK("#",""), HYPERLINK(CONCATENATE("#metadata!", ADDRESS(INDEX($W$2:$W$1001,MATCH(ROWS($U$2:U951),$U$2:$U$1001,0),0), INDEX($AB$1004:$AQ$1004,1,MATCH(COLUMNS($AB$1006:AO1006),$AB$1006:$AQ$1006,0)))),"Fix")))</f>
        <v>0</v>
      </c>
      <c r="P951" s="4">
        <f>IF(OR(INDEX($V$2:$V$1001,MATCH(ROWS($U$2:U951),$U$2:$U$1001,0),1)&gt;=100000,INDEX($AB$1005:$AQ$1005,1,MATCH(COLUMNS($AB$1006:AP1006),$AB$1006:$AQ$1006,0))&gt;=100000), " ",IF(INDEX($AB$2:$AQ$1001,MATCH(ROWS($U$2:U951),$U$2:$U$1001,0),MATCH(COLUMNS($AB$1006:AP1006),$AB$1006:$AQ$1006,0)), HYPERLINK("#",""), HYPERLINK(CONCATENATE("#metadata!", ADDRESS(INDEX($W$2:$W$1001,MATCH(ROWS($U$2:U951),$U$2:$U$1001,0),0), INDEX($AB$1004:$AQ$1004,1,MATCH(COLUMNS($AB$1006:AP1006),$AB$1006:$AQ$1006,0)))),"Fix")))</f>
        <v>0</v>
      </c>
      <c r="Q951" s="4">
        <f>IF(OR(INDEX($V$2:$V$1001,MATCH(ROWS($U$2:U951),$U$2:$U$1001,0),1)&gt;=100000,INDEX($AB$1005:$AQ$1005,1,MATCH(COLUMNS($AB$1006:AQ1006),$AB$1006:$AQ$1006,0))&gt;=100000), " ",IF(INDEX($AB$2:$AQ$1001,MATCH(ROWS($U$2:U951),$U$2:$U$1001,0),MATCH(COLUMNS($AB$1006:AQ1006),$AB$1006:$AQ$1006,0)), HYPERLINK("#",""), HYPERLINK(CONCATENATE("#metadata!", ADDRESS(INDEX($W$2:$W$1001,MATCH(ROWS($U$2:U951),$U$2:$U$1001,0),0), INDEX($AB$1004:$AQ$1004,1,MATCH(COLUMNS($AB$1006:AQ1006),$AB$1006:$AQ$1006,0)))),"Fix")))</f>
        <v>0</v>
      </c>
      <c r="U951">
        <v>0</v>
      </c>
      <c r="V951">
        <v>0</v>
      </c>
      <c r="W951">
        <v>0</v>
      </c>
      <c r="X951">
        <f>IF(Y951,TRUE,AND(AB951:AQ951))</f>
        <v>0</v>
      </c>
      <c r="Y951">
        <f>COUNTBLANK(metadata!B951:Q951)=COLUMNS(metadata!B951:Q951)</f>
        <v>0</v>
      </c>
      <c r="Z951">
        <v>0</v>
      </c>
      <c r="AB951">
        <f>AND(IF(metadata!B951="",FALSE,TRUE),COUNTIF(metadata!B:B, metadata!B951) = 1,NOT(ISERROR(SUMPRODUCT(SEARCH(MID(metadata!B951,ROW(INDIRECT("1:"&amp;LEN(metadata!B951))), 1),"0123456789abcdefghijklmnopqrstuvwxyzABCDEFGHIJKLMNOPQRSTUVWXYZ.")))))</f>
        <v>0</v>
      </c>
      <c r="AC951">
        <f>OR(AND(IF(metadata!C951="",FALSE,TRUE),OR(exact(metadata!C951,"missing: not collected"),exact(metadata!C951,"missing: not provided"),exact(metadata!C951,"missing: restricted access"))),AND(IF(metadata!C951="",FALSE,TRUE),AND(AND(IFERROR(INT(LEFT(metadata!C951,4))&gt;1900,FALSE),IFERROR(INT(LEFT(metadata!C951,4))&lt;=YEAR(NOW()),FALSE)), OR(MID(metadata!C951,5,1)="", AND(AND(MID(metadata!C951,5,1)="-",IFERROR(INT(MID(metadata!C951,6,1))&gt;=0,FALSE),IFERROR(INT(MID(metadata!C951,6,1))&lt;=1,FALSE),NOT(MID(metadata!C951,7,1)=""),IFERROR(INT(MID(metadata!C951,6,2))&gt;=1,FALSE),IFERROR(INT(MID(metadata!C951,6,2))&lt;=12,FALSE)), OR(MID(metadata!C951,8,1)="", AND(AND(MID(metadata!C951,8,1)="-",IFERROR(INT(MID(metadata!C951,9,1))&gt;=0,FALSE),IFERROR(INT(MID(metadata!C951,9,1))&lt;=3,FALSE),NOT(MID(metadata!C951,10,1)=""),IFERROR(INT(MID(metadata!C951,9,2))&gt;=1,FALSE),IFERROR(INT(MID(metadata!C951,9,2))&lt;=31,FALSE)), OR(MID(metadata!C951,11,1)="", AND(AND(MID(metadata!C951,11,1)=" ",IFERROR(INT(MID(metadata!C951,12,1))&gt;=0,FALSE),IFERROR(INT(MID(metadata!C951,12,1))&lt;=2,FALSE),NOT(MID(metadata!C951,13,1)=""),IFERROR(INT(MID(metadata!C951,12,2))&gt;=0,FALSE),IFERROR(INT(MID(metadata!C951,12,2))&lt;=23,FALSE)), OR(MID(metadata!C951,14,1)="", AND(AND(MID(metadata!C951,14,1)=":",IFERROR(INT(MID(metadata!C951,15,1))&gt;=0,FALSE),IFERROR(INT(MID(metadata!C951,15,1))&lt;=5,FALSE),NOT(MID(metadata!C951,16,1)=""),IFERROR(INT(MID(metadata!C951,15,2))&gt;=0,FALSE),IFERROR(INT(MID(metadata!C951,15,2))&lt;=59,FALSE)), OR(MID(metadata!C951,17,1)="", AND(AND(MID(metadata!C951,17,1)=":",IFERROR(INT(MID(metadata!C951,18,1))&gt;=0,FALSE),IFERROR(INT(MID(metadata!C951,18,1))&lt;=5,FALSE),NOT(MID(metadata!C951,19,1)=""),IFERROR(INT(MID(metadata!C951,18,2))&gt;=0,FALSE),IFERROR(INT(MID(metadata!C951,18,2))&lt;=59,FALSE)), LEN(metadata!C951)&lt;=19)))))))))))))</f>
        <v>0</v>
      </c>
      <c r="AD951">
        <f>IF(metadata!D951="",FALSE,TRUE)</f>
        <v>0</v>
      </c>
      <c r="AE951">
        <f>OR(AND(IF(metadata!E951="",FALSE,TRUE),OR(exact(metadata!E951,"missing: not collected"),exact(metadata!E951,"missing: not provided"))),AND(IF(metadata!E951="",FALSE,TRUE),OR(exact(metadata!E951,"TRUE"),exact(metadata!E951,"FALSE"))))</f>
        <v>0</v>
      </c>
      <c r="AF951">
        <f>IF(metadata!F951="",FALSE,TRUE)</f>
        <v>0</v>
      </c>
      <c r="AG951">
        <f>IF(metadata!G951="",FALSE,TRUE)</f>
        <v>0</v>
      </c>
      <c r="AH951">
        <f>IF(metadata!H951="",FALSE,TRUE)</f>
        <v>0</v>
      </c>
      <c r="AI951">
        <f>OR(AND(IF(metadata!I951="",FALSE,TRUE),OR(exact(metadata!I951,"missing: not collected"),exact(metadata!I951,"missing: not provided"),exact(metadata!I951,"missing: restricted access"))),AND(IF(metadata!I951="",FALSE,TRUE),OR(exact(metadata!I951,"air"),exact(metadata!I951,"built environment"),exact(metadata!I951,"host-associated"),exact(metadata!I951,"human-associated"),exact(metadata!I951,"human-skin"),exact(metadata!I951,"human-oral"),exact(metadata!I951,"human-gut"),exact(metadata!I951,"human-vaginal"),exact(metadata!I951,"microbial mat/biofilm"),exact(metadata!I951,"misc environment"),exact(metadata!I951,"plant-associated"),exact(metadata!I951,"sediment"),exact(metadata!I951,"soil"),exact(metadata!I951,"wastewater/sludge"),exact(metadata!I951,"water"))))</f>
        <v>0</v>
      </c>
      <c r="AJ951">
        <f>IF(metadata!J951="",FALSE,TRUE)</f>
        <v>0</v>
      </c>
      <c r="AK951">
        <f>OR(AND(IF(metadata!K951="",FALSE,TRUE),OR(exact(metadata!K951,"missing: not collected"),exact(metadata!K951,"missing: not provided"),exact(metadata!K951,"missing: restricted access"))),AND(IF(metadata!K951="",FALSE,ISNUMBER(VALUE(metadata!K951))),metadata!K951&gt;=-90.00,metadata!K951&lt;=90.00))</f>
        <v>0</v>
      </c>
      <c r="AL951">
        <f>OR(AND(IF(metadata!L951="",FALSE,TRUE),OR(exact(metadata!L951,"missing: not collected"),exact(metadata!L951,"missing: not provided"),exact(metadata!L951,"missing: restricted access"))),AND(IF(metadata!L951="",FALSE,ISNUMBER(VALUE(metadata!L951))),metadata!L951&gt;=-180.00,metadata!L951&lt;=180.00))</f>
        <v>0</v>
      </c>
      <c r="AM951">
        <f>IF(metadata!M951="",FALSE,TRUE)</f>
        <v>0</v>
      </c>
      <c r="AN951">
        <f>OR(AND(IF(metadata!N951="",FALSE,TRUE),OR(exact(metadata!N951,"missing: not collected"),exact(metadata!N951,"missing: not provided"),exact(metadata!N951,"missing: restricted access"))),AND(IF(metadata!N951="",FALSE,TRUE),OR(exact(metadata!N951,"TRUE"),exact(metadata!N951,"FALSE"))))</f>
        <v>0</v>
      </c>
      <c r="AO951">
        <f>IF(metadata!O951="",FALSE,TRUE)</f>
        <v>0</v>
      </c>
      <c r="AP951">
        <f>OR(AND(IF(metadata!P951="",FALSE,TRUE),OR(exact(metadata!P951,"missing: not collected"),exact(metadata!P951,"missing: not provided"))),AND(IF(metadata!P951="",FALSE,IF(ISERROR(INT(metadata!P951)),FALSE,INT(metadata!P951)=metadata!P951)),metadata!P951&gt;0))</f>
        <v>0</v>
      </c>
      <c r="AQ951">
        <f>IF(metadata!Q951="",FALSE,TRUE)</f>
        <v>0</v>
      </c>
    </row>
    <row r="952" spans="1:43">
      <c r="A952" s="5">
        <f>IF(B952=" "," ",HYPERLINK(CONCATENATE("#metadata!",ADDRESS(INDEX($W$2:$W$1001,MATCH(ROWS($U$2:U952),$U$2:$U$1001,0),0),1)),INDEX($Z$2:$Z$1001,MATCH(ROWS($U$2:U952),$U$2:$U$1001,0),0)))</f>
        <v>0</v>
      </c>
      <c r="B952" s="4">
        <f>IF(OR(INDEX($V$2:$V$1001,MATCH(ROWS($U$2:U952),$U$2:$U$1001,0),1)&gt;=100000,INDEX($AB$1005:$AQ$1005,1,MATCH(COLUMNS($AB$1006:AB1006),$AB$1006:$AQ$1006,0))&gt;=100000), " ",IF(INDEX($AB$2:$AQ$1001,MATCH(ROWS($U$2:U952),$U$2:$U$1001,0),MATCH(COLUMNS($AB$1006:AB1006),$AB$1006:$AQ$1006,0)), HYPERLINK("#",""), HYPERLINK(CONCATENATE("#metadata!", ADDRESS(INDEX($W$2:$W$1001,MATCH(ROWS($U$2:U952),$U$2:$U$1001,0),0), INDEX($AB$1004:$AQ$1004,1,MATCH(COLUMNS($AB$1006:AB1006),$AB$1006:$AQ$1006,0)))),"Fix")))</f>
        <v>0</v>
      </c>
      <c r="C952" s="4">
        <f>IF(OR(INDEX($V$2:$V$1001,MATCH(ROWS($U$2:U952),$U$2:$U$1001,0),1)&gt;=100000,INDEX($AB$1005:$AQ$1005,1,MATCH(COLUMNS($AB$1006:AC1006),$AB$1006:$AQ$1006,0))&gt;=100000), " ",IF(INDEX($AB$2:$AQ$1001,MATCH(ROWS($U$2:U952),$U$2:$U$1001,0),MATCH(COLUMNS($AB$1006:AC1006),$AB$1006:$AQ$1006,0)), HYPERLINK("#",""), HYPERLINK(CONCATENATE("#metadata!", ADDRESS(INDEX($W$2:$W$1001,MATCH(ROWS($U$2:U952),$U$2:$U$1001,0),0), INDEX($AB$1004:$AQ$1004,1,MATCH(COLUMNS($AB$1006:AC1006),$AB$1006:$AQ$1006,0)))),"Fix")))</f>
        <v>0</v>
      </c>
      <c r="D952" s="4">
        <f>IF(OR(INDEX($V$2:$V$1001,MATCH(ROWS($U$2:U952),$U$2:$U$1001,0),1)&gt;=100000,INDEX($AB$1005:$AQ$1005,1,MATCH(COLUMNS($AB$1006:AD1006),$AB$1006:$AQ$1006,0))&gt;=100000), " ",IF(INDEX($AB$2:$AQ$1001,MATCH(ROWS($U$2:U952),$U$2:$U$1001,0),MATCH(COLUMNS($AB$1006:AD1006),$AB$1006:$AQ$1006,0)), HYPERLINK("#",""), HYPERLINK(CONCATENATE("#metadata!", ADDRESS(INDEX($W$2:$W$1001,MATCH(ROWS($U$2:U952),$U$2:$U$1001,0),0), INDEX($AB$1004:$AQ$1004,1,MATCH(COLUMNS($AB$1006:AD1006),$AB$1006:$AQ$1006,0)))),"Fix")))</f>
        <v>0</v>
      </c>
      <c r="E952" s="4">
        <f>IF(OR(INDEX($V$2:$V$1001,MATCH(ROWS($U$2:U952),$U$2:$U$1001,0),1)&gt;=100000,INDEX($AB$1005:$AQ$1005,1,MATCH(COLUMNS($AB$1006:AE1006),$AB$1006:$AQ$1006,0))&gt;=100000), " ",IF(INDEX($AB$2:$AQ$1001,MATCH(ROWS($U$2:U952),$U$2:$U$1001,0),MATCH(COLUMNS($AB$1006:AE1006),$AB$1006:$AQ$1006,0)), HYPERLINK("#",""), HYPERLINK(CONCATENATE("#metadata!", ADDRESS(INDEX($W$2:$W$1001,MATCH(ROWS($U$2:U952),$U$2:$U$1001,0),0), INDEX($AB$1004:$AQ$1004,1,MATCH(COLUMNS($AB$1006:AE1006),$AB$1006:$AQ$1006,0)))),"Fix")))</f>
        <v>0</v>
      </c>
      <c r="F952" s="4">
        <f>IF(OR(INDEX($V$2:$V$1001,MATCH(ROWS($U$2:U952),$U$2:$U$1001,0),1)&gt;=100000,INDEX($AB$1005:$AQ$1005,1,MATCH(COLUMNS($AB$1006:AF1006),$AB$1006:$AQ$1006,0))&gt;=100000), " ",IF(INDEX($AB$2:$AQ$1001,MATCH(ROWS($U$2:U952),$U$2:$U$1001,0),MATCH(COLUMNS($AB$1006:AF1006),$AB$1006:$AQ$1006,0)), HYPERLINK("#",""), HYPERLINK(CONCATENATE("#metadata!", ADDRESS(INDEX($W$2:$W$1001,MATCH(ROWS($U$2:U952),$U$2:$U$1001,0),0), INDEX($AB$1004:$AQ$1004,1,MATCH(COLUMNS($AB$1006:AF1006),$AB$1006:$AQ$1006,0)))),"Fix")))</f>
        <v>0</v>
      </c>
      <c r="G952" s="4">
        <f>IF(OR(INDEX($V$2:$V$1001,MATCH(ROWS($U$2:U952),$U$2:$U$1001,0),1)&gt;=100000,INDEX($AB$1005:$AQ$1005,1,MATCH(COLUMNS($AB$1006:AG1006),$AB$1006:$AQ$1006,0))&gt;=100000), " ",IF(INDEX($AB$2:$AQ$1001,MATCH(ROWS($U$2:U952),$U$2:$U$1001,0),MATCH(COLUMNS($AB$1006:AG1006),$AB$1006:$AQ$1006,0)), HYPERLINK("#",""), HYPERLINK(CONCATENATE("#metadata!", ADDRESS(INDEX($W$2:$W$1001,MATCH(ROWS($U$2:U952),$U$2:$U$1001,0),0), INDEX($AB$1004:$AQ$1004,1,MATCH(COLUMNS($AB$1006:AG1006),$AB$1006:$AQ$1006,0)))),"Fix")))</f>
        <v>0</v>
      </c>
      <c r="H952" s="4">
        <f>IF(OR(INDEX($V$2:$V$1001,MATCH(ROWS($U$2:U952),$U$2:$U$1001,0),1)&gt;=100000,INDEX($AB$1005:$AQ$1005,1,MATCH(COLUMNS($AB$1006:AH1006),$AB$1006:$AQ$1006,0))&gt;=100000), " ",IF(INDEX($AB$2:$AQ$1001,MATCH(ROWS($U$2:U952),$U$2:$U$1001,0),MATCH(COLUMNS($AB$1006:AH1006),$AB$1006:$AQ$1006,0)), HYPERLINK("#",""), HYPERLINK(CONCATENATE("#metadata!", ADDRESS(INDEX($W$2:$W$1001,MATCH(ROWS($U$2:U952),$U$2:$U$1001,0),0), INDEX($AB$1004:$AQ$1004,1,MATCH(COLUMNS($AB$1006:AH1006),$AB$1006:$AQ$1006,0)))),"Fix")))</f>
        <v>0</v>
      </c>
      <c r="I952" s="4">
        <f>IF(OR(INDEX($V$2:$V$1001,MATCH(ROWS($U$2:U952),$U$2:$U$1001,0),1)&gt;=100000,INDEX($AB$1005:$AQ$1005,1,MATCH(COLUMNS($AB$1006:AI1006),$AB$1006:$AQ$1006,0))&gt;=100000), " ",IF(INDEX($AB$2:$AQ$1001,MATCH(ROWS($U$2:U952),$U$2:$U$1001,0),MATCH(COLUMNS($AB$1006:AI1006),$AB$1006:$AQ$1006,0)), HYPERLINK("#",""), HYPERLINK(CONCATENATE("#metadata!", ADDRESS(INDEX($W$2:$W$1001,MATCH(ROWS($U$2:U952),$U$2:$U$1001,0),0), INDEX($AB$1004:$AQ$1004,1,MATCH(COLUMNS($AB$1006:AI1006),$AB$1006:$AQ$1006,0)))),"Fix")))</f>
        <v>0</v>
      </c>
      <c r="J952" s="4">
        <f>IF(OR(INDEX($V$2:$V$1001,MATCH(ROWS($U$2:U952),$U$2:$U$1001,0),1)&gt;=100000,INDEX($AB$1005:$AQ$1005,1,MATCH(COLUMNS($AB$1006:AJ1006),$AB$1006:$AQ$1006,0))&gt;=100000), " ",IF(INDEX($AB$2:$AQ$1001,MATCH(ROWS($U$2:U952),$U$2:$U$1001,0),MATCH(COLUMNS($AB$1006:AJ1006),$AB$1006:$AQ$1006,0)), HYPERLINK("#",""), HYPERLINK(CONCATENATE("#metadata!", ADDRESS(INDEX($W$2:$W$1001,MATCH(ROWS($U$2:U952),$U$2:$U$1001,0),0), INDEX($AB$1004:$AQ$1004,1,MATCH(COLUMNS($AB$1006:AJ1006),$AB$1006:$AQ$1006,0)))),"Fix")))</f>
        <v>0</v>
      </c>
      <c r="K952" s="4">
        <f>IF(OR(INDEX($V$2:$V$1001,MATCH(ROWS($U$2:U952),$U$2:$U$1001,0),1)&gt;=100000,INDEX($AB$1005:$AQ$1005,1,MATCH(COLUMNS($AB$1006:AK1006),$AB$1006:$AQ$1006,0))&gt;=100000), " ",IF(INDEX($AB$2:$AQ$1001,MATCH(ROWS($U$2:U952),$U$2:$U$1001,0),MATCH(COLUMNS($AB$1006:AK1006),$AB$1006:$AQ$1006,0)), HYPERLINK("#",""), HYPERLINK(CONCATENATE("#metadata!", ADDRESS(INDEX($W$2:$W$1001,MATCH(ROWS($U$2:U952),$U$2:$U$1001,0),0), INDEX($AB$1004:$AQ$1004,1,MATCH(COLUMNS($AB$1006:AK1006),$AB$1006:$AQ$1006,0)))),"Fix")))</f>
        <v>0</v>
      </c>
      <c r="L952" s="4">
        <f>IF(OR(INDEX($V$2:$V$1001,MATCH(ROWS($U$2:U952),$U$2:$U$1001,0),1)&gt;=100000,INDEX($AB$1005:$AQ$1005,1,MATCH(COLUMNS($AB$1006:AL1006),$AB$1006:$AQ$1006,0))&gt;=100000), " ",IF(INDEX($AB$2:$AQ$1001,MATCH(ROWS($U$2:U952),$U$2:$U$1001,0),MATCH(COLUMNS($AB$1006:AL1006),$AB$1006:$AQ$1006,0)), HYPERLINK("#",""), HYPERLINK(CONCATENATE("#metadata!", ADDRESS(INDEX($W$2:$W$1001,MATCH(ROWS($U$2:U952),$U$2:$U$1001,0),0), INDEX($AB$1004:$AQ$1004,1,MATCH(COLUMNS($AB$1006:AL1006),$AB$1006:$AQ$1006,0)))),"Fix")))</f>
        <v>0</v>
      </c>
      <c r="M952" s="4">
        <f>IF(OR(INDEX($V$2:$V$1001,MATCH(ROWS($U$2:U952),$U$2:$U$1001,0),1)&gt;=100000,INDEX($AB$1005:$AQ$1005,1,MATCH(COLUMNS($AB$1006:AM1006),$AB$1006:$AQ$1006,0))&gt;=100000), " ",IF(INDEX($AB$2:$AQ$1001,MATCH(ROWS($U$2:U952),$U$2:$U$1001,0),MATCH(COLUMNS($AB$1006:AM1006),$AB$1006:$AQ$1006,0)), HYPERLINK("#",""), HYPERLINK(CONCATENATE("#metadata!", ADDRESS(INDEX($W$2:$W$1001,MATCH(ROWS($U$2:U952),$U$2:$U$1001,0),0), INDEX($AB$1004:$AQ$1004,1,MATCH(COLUMNS($AB$1006:AM1006),$AB$1006:$AQ$1006,0)))),"Fix")))</f>
        <v>0</v>
      </c>
      <c r="N952" s="4">
        <f>IF(OR(INDEX($V$2:$V$1001,MATCH(ROWS($U$2:U952),$U$2:$U$1001,0),1)&gt;=100000,INDEX($AB$1005:$AQ$1005,1,MATCH(COLUMNS($AB$1006:AN1006),$AB$1006:$AQ$1006,0))&gt;=100000), " ",IF(INDEX($AB$2:$AQ$1001,MATCH(ROWS($U$2:U952),$U$2:$U$1001,0),MATCH(COLUMNS($AB$1006:AN1006),$AB$1006:$AQ$1006,0)), HYPERLINK("#",""), HYPERLINK(CONCATENATE("#metadata!", ADDRESS(INDEX($W$2:$W$1001,MATCH(ROWS($U$2:U952),$U$2:$U$1001,0),0), INDEX($AB$1004:$AQ$1004,1,MATCH(COLUMNS($AB$1006:AN1006),$AB$1006:$AQ$1006,0)))),"Fix")))</f>
        <v>0</v>
      </c>
      <c r="O952" s="4">
        <f>IF(OR(INDEX($V$2:$V$1001,MATCH(ROWS($U$2:U952),$U$2:$U$1001,0),1)&gt;=100000,INDEX($AB$1005:$AQ$1005,1,MATCH(COLUMNS($AB$1006:AO1006),$AB$1006:$AQ$1006,0))&gt;=100000), " ",IF(INDEX($AB$2:$AQ$1001,MATCH(ROWS($U$2:U952),$U$2:$U$1001,0),MATCH(COLUMNS($AB$1006:AO1006),$AB$1006:$AQ$1006,0)), HYPERLINK("#",""), HYPERLINK(CONCATENATE("#metadata!", ADDRESS(INDEX($W$2:$W$1001,MATCH(ROWS($U$2:U952),$U$2:$U$1001,0),0), INDEX($AB$1004:$AQ$1004,1,MATCH(COLUMNS($AB$1006:AO1006),$AB$1006:$AQ$1006,0)))),"Fix")))</f>
        <v>0</v>
      </c>
      <c r="P952" s="4">
        <f>IF(OR(INDEX($V$2:$V$1001,MATCH(ROWS($U$2:U952),$U$2:$U$1001,0),1)&gt;=100000,INDEX($AB$1005:$AQ$1005,1,MATCH(COLUMNS($AB$1006:AP1006),$AB$1006:$AQ$1006,0))&gt;=100000), " ",IF(INDEX($AB$2:$AQ$1001,MATCH(ROWS($U$2:U952),$U$2:$U$1001,0),MATCH(COLUMNS($AB$1006:AP1006),$AB$1006:$AQ$1006,0)), HYPERLINK("#",""), HYPERLINK(CONCATENATE("#metadata!", ADDRESS(INDEX($W$2:$W$1001,MATCH(ROWS($U$2:U952),$U$2:$U$1001,0),0), INDEX($AB$1004:$AQ$1004,1,MATCH(COLUMNS($AB$1006:AP1006),$AB$1006:$AQ$1006,0)))),"Fix")))</f>
        <v>0</v>
      </c>
      <c r="Q952" s="4">
        <f>IF(OR(INDEX($V$2:$V$1001,MATCH(ROWS($U$2:U952),$U$2:$U$1001,0),1)&gt;=100000,INDEX($AB$1005:$AQ$1005,1,MATCH(COLUMNS($AB$1006:AQ1006),$AB$1006:$AQ$1006,0))&gt;=100000), " ",IF(INDEX($AB$2:$AQ$1001,MATCH(ROWS($U$2:U952),$U$2:$U$1001,0),MATCH(COLUMNS($AB$1006:AQ1006),$AB$1006:$AQ$1006,0)), HYPERLINK("#",""), HYPERLINK(CONCATENATE("#metadata!", ADDRESS(INDEX($W$2:$W$1001,MATCH(ROWS($U$2:U952),$U$2:$U$1001,0),0), INDEX($AB$1004:$AQ$1004,1,MATCH(COLUMNS($AB$1006:AQ1006),$AB$1006:$AQ$1006,0)))),"Fix")))</f>
        <v>0</v>
      </c>
      <c r="U952">
        <v>0</v>
      </c>
      <c r="V952">
        <v>0</v>
      </c>
      <c r="W952">
        <v>0</v>
      </c>
      <c r="X952">
        <f>IF(Y952,TRUE,AND(AB952:AQ952))</f>
        <v>0</v>
      </c>
      <c r="Y952">
        <f>COUNTBLANK(metadata!B952:Q952)=COLUMNS(metadata!B952:Q952)</f>
        <v>0</v>
      </c>
      <c r="Z952">
        <v>0</v>
      </c>
      <c r="AB952">
        <f>AND(IF(metadata!B952="",FALSE,TRUE),COUNTIF(metadata!B:B, metadata!B952) = 1,NOT(ISERROR(SUMPRODUCT(SEARCH(MID(metadata!B952,ROW(INDIRECT("1:"&amp;LEN(metadata!B952))), 1),"0123456789abcdefghijklmnopqrstuvwxyzABCDEFGHIJKLMNOPQRSTUVWXYZ.")))))</f>
        <v>0</v>
      </c>
      <c r="AC952">
        <f>OR(AND(IF(metadata!C952="",FALSE,TRUE),OR(exact(metadata!C952,"missing: not collected"),exact(metadata!C952,"missing: not provided"),exact(metadata!C952,"missing: restricted access"))),AND(IF(metadata!C952="",FALSE,TRUE),AND(AND(IFERROR(INT(LEFT(metadata!C952,4))&gt;1900,FALSE),IFERROR(INT(LEFT(metadata!C952,4))&lt;=YEAR(NOW()),FALSE)), OR(MID(metadata!C952,5,1)="", AND(AND(MID(metadata!C952,5,1)="-",IFERROR(INT(MID(metadata!C952,6,1))&gt;=0,FALSE),IFERROR(INT(MID(metadata!C952,6,1))&lt;=1,FALSE),NOT(MID(metadata!C952,7,1)=""),IFERROR(INT(MID(metadata!C952,6,2))&gt;=1,FALSE),IFERROR(INT(MID(metadata!C952,6,2))&lt;=12,FALSE)), OR(MID(metadata!C952,8,1)="", AND(AND(MID(metadata!C952,8,1)="-",IFERROR(INT(MID(metadata!C952,9,1))&gt;=0,FALSE),IFERROR(INT(MID(metadata!C952,9,1))&lt;=3,FALSE),NOT(MID(metadata!C952,10,1)=""),IFERROR(INT(MID(metadata!C952,9,2))&gt;=1,FALSE),IFERROR(INT(MID(metadata!C952,9,2))&lt;=31,FALSE)), OR(MID(metadata!C952,11,1)="", AND(AND(MID(metadata!C952,11,1)=" ",IFERROR(INT(MID(metadata!C952,12,1))&gt;=0,FALSE),IFERROR(INT(MID(metadata!C952,12,1))&lt;=2,FALSE),NOT(MID(metadata!C952,13,1)=""),IFERROR(INT(MID(metadata!C952,12,2))&gt;=0,FALSE),IFERROR(INT(MID(metadata!C952,12,2))&lt;=23,FALSE)), OR(MID(metadata!C952,14,1)="", AND(AND(MID(metadata!C952,14,1)=":",IFERROR(INT(MID(metadata!C952,15,1))&gt;=0,FALSE),IFERROR(INT(MID(metadata!C952,15,1))&lt;=5,FALSE),NOT(MID(metadata!C952,16,1)=""),IFERROR(INT(MID(metadata!C952,15,2))&gt;=0,FALSE),IFERROR(INT(MID(metadata!C952,15,2))&lt;=59,FALSE)), OR(MID(metadata!C952,17,1)="", AND(AND(MID(metadata!C952,17,1)=":",IFERROR(INT(MID(metadata!C952,18,1))&gt;=0,FALSE),IFERROR(INT(MID(metadata!C952,18,1))&lt;=5,FALSE),NOT(MID(metadata!C952,19,1)=""),IFERROR(INT(MID(metadata!C952,18,2))&gt;=0,FALSE),IFERROR(INT(MID(metadata!C952,18,2))&lt;=59,FALSE)), LEN(metadata!C952)&lt;=19)))))))))))))</f>
        <v>0</v>
      </c>
      <c r="AD952">
        <f>IF(metadata!D952="",FALSE,TRUE)</f>
        <v>0</v>
      </c>
      <c r="AE952">
        <f>OR(AND(IF(metadata!E952="",FALSE,TRUE),OR(exact(metadata!E952,"missing: not collected"),exact(metadata!E952,"missing: not provided"))),AND(IF(metadata!E952="",FALSE,TRUE),OR(exact(metadata!E952,"TRUE"),exact(metadata!E952,"FALSE"))))</f>
        <v>0</v>
      </c>
      <c r="AF952">
        <f>IF(metadata!F952="",FALSE,TRUE)</f>
        <v>0</v>
      </c>
      <c r="AG952">
        <f>IF(metadata!G952="",FALSE,TRUE)</f>
        <v>0</v>
      </c>
      <c r="AH952">
        <f>IF(metadata!H952="",FALSE,TRUE)</f>
        <v>0</v>
      </c>
      <c r="AI952">
        <f>OR(AND(IF(metadata!I952="",FALSE,TRUE),OR(exact(metadata!I952,"missing: not collected"),exact(metadata!I952,"missing: not provided"),exact(metadata!I952,"missing: restricted access"))),AND(IF(metadata!I952="",FALSE,TRUE),OR(exact(metadata!I952,"air"),exact(metadata!I952,"built environment"),exact(metadata!I952,"host-associated"),exact(metadata!I952,"human-associated"),exact(metadata!I952,"human-skin"),exact(metadata!I952,"human-oral"),exact(metadata!I952,"human-gut"),exact(metadata!I952,"human-vaginal"),exact(metadata!I952,"microbial mat/biofilm"),exact(metadata!I952,"misc environment"),exact(metadata!I952,"plant-associated"),exact(metadata!I952,"sediment"),exact(metadata!I952,"soil"),exact(metadata!I952,"wastewater/sludge"),exact(metadata!I952,"water"))))</f>
        <v>0</v>
      </c>
      <c r="AJ952">
        <f>IF(metadata!J952="",FALSE,TRUE)</f>
        <v>0</v>
      </c>
      <c r="AK952">
        <f>OR(AND(IF(metadata!K952="",FALSE,TRUE),OR(exact(metadata!K952,"missing: not collected"),exact(metadata!K952,"missing: not provided"),exact(metadata!K952,"missing: restricted access"))),AND(IF(metadata!K952="",FALSE,ISNUMBER(VALUE(metadata!K952))),metadata!K952&gt;=-90.00,metadata!K952&lt;=90.00))</f>
        <v>0</v>
      </c>
      <c r="AL952">
        <f>OR(AND(IF(metadata!L952="",FALSE,TRUE),OR(exact(metadata!L952,"missing: not collected"),exact(metadata!L952,"missing: not provided"),exact(metadata!L952,"missing: restricted access"))),AND(IF(metadata!L952="",FALSE,ISNUMBER(VALUE(metadata!L952))),metadata!L952&gt;=-180.00,metadata!L952&lt;=180.00))</f>
        <v>0</v>
      </c>
      <c r="AM952">
        <f>IF(metadata!M952="",FALSE,TRUE)</f>
        <v>0</v>
      </c>
      <c r="AN952">
        <f>OR(AND(IF(metadata!N952="",FALSE,TRUE),OR(exact(metadata!N952,"missing: not collected"),exact(metadata!N952,"missing: not provided"),exact(metadata!N952,"missing: restricted access"))),AND(IF(metadata!N952="",FALSE,TRUE),OR(exact(metadata!N952,"TRUE"),exact(metadata!N952,"FALSE"))))</f>
        <v>0</v>
      </c>
      <c r="AO952">
        <f>IF(metadata!O952="",FALSE,TRUE)</f>
        <v>0</v>
      </c>
      <c r="AP952">
        <f>OR(AND(IF(metadata!P952="",FALSE,TRUE),OR(exact(metadata!P952,"missing: not collected"),exact(metadata!P952,"missing: not provided"))),AND(IF(metadata!P952="",FALSE,IF(ISERROR(INT(metadata!P952)),FALSE,INT(metadata!P952)=metadata!P952)),metadata!P952&gt;0))</f>
        <v>0</v>
      </c>
      <c r="AQ952">
        <f>IF(metadata!Q952="",FALSE,TRUE)</f>
        <v>0</v>
      </c>
    </row>
    <row r="953" spans="1:43">
      <c r="A953" s="5">
        <f>IF(B953=" "," ",HYPERLINK(CONCATENATE("#metadata!",ADDRESS(INDEX($W$2:$W$1001,MATCH(ROWS($U$2:U953),$U$2:$U$1001,0),0),1)),INDEX($Z$2:$Z$1001,MATCH(ROWS($U$2:U953),$U$2:$U$1001,0),0)))</f>
        <v>0</v>
      </c>
      <c r="B953" s="4">
        <f>IF(OR(INDEX($V$2:$V$1001,MATCH(ROWS($U$2:U953),$U$2:$U$1001,0),1)&gt;=100000,INDEX($AB$1005:$AQ$1005,1,MATCH(COLUMNS($AB$1006:AB1006),$AB$1006:$AQ$1006,0))&gt;=100000), " ",IF(INDEX($AB$2:$AQ$1001,MATCH(ROWS($U$2:U953),$U$2:$U$1001,0),MATCH(COLUMNS($AB$1006:AB1006),$AB$1006:$AQ$1006,0)), HYPERLINK("#",""), HYPERLINK(CONCATENATE("#metadata!", ADDRESS(INDEX($W$2:$W$1001,MATCH(ROWS($U$2:U953),$U$2:$U$1001,0),0), INDEX($AB$1004:$AQ$1004,1,MATCH(COLUMNS($AB$1006:AB1006),$AB$1006:$AQ$1006,0)))),"Fix")))</f>
        <v>0</v>
      </c>
      <c r="C953" s="4">
        <f>IF(OR(INDEX($V$2:$V$1001,MATCH(ROWS($U$2:U953),$U$2:$U$1001,0),1)&gt;=100000,INDEX($AB$1005:$AQ$1005,1,MATCH(COLUMNS($AB$1006:AC1006),$AB$1006:$AQ$1006,0))&gt;=100000), " ",IF(INDEX($AB$2:$AQ$1001,MATCH(ROWS($U$2:U953),$U$2:$U$1001,0),MATCH(COLUMNS($AB$1006:AC1006),$AB$1006:$AQ$1006,0)), HYPERLINK("#",""), HYPERLINK(CONCATENATE("#metadata!", ADDRESS(INDEX($W$2:$W$1001,MATCH(ROWS($U$2:U953),$U$2:$U$1001,0),0), INDEX($AB$1004:$AQ$1004,1,MATCH(COLUMNS($AB$1006:AC1006),$AB$1006:$AQ$1006,0)))),"Fix")))</f>
        <v>0</v>
      </c>
      <c r="D953" s="4">
        <f>IF(OR(INDEX($V$2:$V$1001,MATCH(ROWS($U$2:U953),$U$2:$U$1001,0),1)&gt;=100000,INDEX($AB$1005:$AQ$1005,1,MATCH(COLUMNS($AB$1006:AD1006),$AB$1006:$AQ$1006,0))&gt;=100000), " ",IF(INDEX($AB$2:$AQ$1001,MATCH(ROWS($U$2:U953),$U$2:$U$1001,0),MATCH(COLUMNS($AB$1006:AD1006),$AB$1006:$AQ$1006,0)), HYPERLINK("#",""), HYPERLINK(CONCATENATE("#metadata!", ADDRESS(INDEX($W$2:$W$1001,MATCH(ROWS($U$2:U953),$U$2:$U$1001,0),0), INDEX($AB$1004:$AQ$1004,1,MATCH(COLUMNS($AB$1006:AD1006),$AB$1006:$AQ$1006,0)))),"Fix")))</f>
        <v>0</v>
      </c>
      <c r="E953" s="4">
        <f>IF(OR(INDEX($V$2:$V$1001,MATCH(ROWS($U$2:U953),$U$2:$U$1001,0),1)&gt;=100000,INDEX($AB$1005:$AQ$1005,1,MATCH(COLUMNS($AB$1006:AE1006),$AB$1006:$AQ$1006,0))&gt;=100000), " ",IF(INDEX($AB$2:$AQ$1001,MATCH(ROWS($U$2:U953),$U$2:$U$1001,0),MATCH(COLUMNS($AB$1006:AE1006),$AB$1006:$AQ$1006,0)), HYPERLINK("#",""), HYPERLINK(CONCATENATE("#metadata!", ADDRESS(INDEX($W$2:$W$1001,MATCH(ROWS($U$2:U953),$U$2:$U$1001,0),0), INDEX($AB$1004:$AQ$1004,1,MATCH(COLUMNS($AB$1006:AE1006),$AB$1006:$AQ$1006,0)))),"Fix")))</f>
        <v>0</v>
      </c>
      <c r="F953" s="4">
        <f>IF(OR(INDEX($V$2:$V$1001,MATCH(ROWS($U$2:U953),$U$2:$U$1001,0),1)&gt;=100000,INDEX($AB$1005:$AQ$1005,1,MATCH(COLUMNS($AB$1006:AF1006),$AB$1006:$AQ$1006,0))&gt;=100000), " ",IF(INDEX($AB$2:$AQ$1001,MATCH(ROWS($U$2:U953),$U$2:$U$1001,0),MATCH(COLUMNS($AB$1006:AF1006),$AB$1006:$AQ$1006,0)), HYPERLINK("#",""), HYPERLINK(CONCATENATE("#metadata!", ADDRESS(INDEX($W$2:$W$1001,MATCH(ROWS($U$2:U953),$U$2:$U$1001,0),0), INDEX($AB$1004:$AQ$1004,1,MATCH(COLUMNS($AB$1006:AF1006),$AB$1006:$AQ$1006,0)))),"Fix")))</f>
        <v>0</v>
      </c>
      <c r="G953" s="4">
        <f>IF(OR(INDEX($V$2:$V$1001,MATCH(ROWS($U$2:U953),$U$2:$U$1001,0),1)&gt;=100000,INDEX($AB$1005:$AQ$1005,1,MATCH(COLUMNS($AB$1006:AG1006),$AB$1006:$AQ$1006,0))&gt;=100000), " ",IF(INDEX($AB$2:$AQ$1001,MATCH(ROWS($U$2:U953),$U$2:$U$1001,0),MATCH(COLUMNS($AB$1006:AG1006),$AB$1006:$AQ$1006,0)), HYPERLINK("#",""), HYPERLINK(CONCATENATE("#metadata!", ADDRESS(INDEX($W$2:$W$1001,MATCH(ROWS($U$2:U953),$U$2:$U$1001,0),0), INDEX($AB$1004:$AQ$1004,1,MATCH(COLUMNS($AB$1006:AG1006),$AB$1006:$AQ$1006,0)))),"Fix")))</f>
        <v>0</v>
      </c>
      <c r="H953" s="4">
        <f>IF(OR(INDEX($V$2:$V$1001,MATCH(ROWS($U$2:U953),$U$2:$U$1001,0),1)&gt;=100000,INDEX($AB$1005:$AQ$1005,1,MATCH(COLUMNS($AB$1006:AH1006),$AB$1006:$AQ$1006,0))&gt;=100000), " ",IF(INDEX($AB$2:$AQ$1001,MATCH(ROWS($U$2:U953),$U$2:$U$1001,0),MATCH(COLUMNS($AB$1006:AH1006),$AB$1006:$AQ$1006,0)), HYPERLINK("#",""), HYPERLINK(CONCATENATE("#metadata!", ADDRESS(INDEX($W$2:$W$1001,MATCH(ROWS($U$2:U953),$U$2:$U$1001,0),0), INDEX($AB$1004:$AQ$1004,1,MATCH(COLUMNS($AB$1006:AH1006),$AB$1006:$AQ$1006,0)))),"Fix")))</f>
        <v>0</v>
      </c>
      <c r="I953" s="4">
        <f>IF(OR(INDEX($V$2:$V$1001,MATCH(ROWS($U$2:U953),$U$2:$U$1001,0),1)&gt;=100000,INDEX($AB$1005:$AQ$1005,1,MATCH(COLUMNS($AB$1006:AI1006),$AB$1006:$AQ$1006,0))&gt;=100000), " ",IF(INDEX($AB$2:$AQ$1001,MATCH(ROWS($U$2:U953),$U$2:$U$1001,0),MATCH(COLUMNS($AB$1006:AI1006),$AB$1006:$AQ$1006,0)), HYPERLINK("#",""), HYPERLINK(CONCATENATE("#metadata!", ADDRESS(INDEX($W$2:$W$1001,MATCH(ROWS($U$2:U953),$U$2:$U$1001,0),0), INDEX($AB$1004:$AQ$1004,1,MATCH(COLUMNS($AB$1006:AI1006),$AB$1006:$AQ$1006,0)))),"Fix")))</f>
        <v>0</v>
      </c>
      <c r="J953" s="4">
        <f>IF(OR(INDEX($V$2:$V$1001,MATCH(ROWS($U$2:U953),$U$2:$U$1001,0),1)&gt;=100000,INDEX($AB$1005:$AQ$1005,1,MATCH(COLUMNS($AB$1006:AJ1006),$AB$1006:$AQ$1006,0))&gt;=100000), " ",IF(INDEX($AB$2:$AQ$1001,MATCH(ROWS($U$2:U953),$U$2:$U$1001,0),MATCH(COLUMNS($AB$1006:AJ1006),$AB$1006:$AQ$1006,0)), HYPERLINK("#",""), HYPERLINK(CONCATENATE("#metadata!", ADDRESS(INDEX($W$2:$W$1001,MATCH(ROWS($U$2:U953),$U$2:$U$1001,0),0), INDEX($AB$1004:$AQ$1004,1,MATCH(COLUMNS($AB$1006:AJ1006),$AB$1006:$AQ$1006,0)))),"Fix")))</f>
        <v>0</v>
      </c>
      <c r="K953" s="4">
        <f>IF(OR(INDEX($V$2:$V$1001,MATCH(ROWS($U$2:U953),$U$2:$U$1001,0),1)&gt;=100000,INDEX($AB$1005:$AQ$1005,1,MATCH(COLUMNS($AB$1006:AK1006),$AB$1006:$AQ$1006,0))&gt;=100000), " ",IF(INDEX($AB$2:$AQ$1001,MATCH(ROWS($U$2:U953),$U$2:$U$1001,0),MATCH(COLUMNS($AB$1006:AK1006),$AB$1006:$AQ$1006,0)), HYPERLINK("#",""), HYPERLINK(CONCATENATE("#metadata!", ADDRESS(INDEX($W$2:$W$1001,MATCH(ROWS($U$2:U953),$U$2:$U$1001,0),0), INDEX($AB$1004:$AQ$1004,1,MATCH(COLUMNS($AB$1006:AK1006),$AB$1006:$AQ$1006,0)))),"Fix")))</f>
        <v>0</v>
      </c>
      <c r="L953" s="4">
        <f>IF(OR(INDEX($V$2:$V$1001,MATCH(ROWS($U$2:U953),$U$2:$U$1001,0),1)&gt;=100000,INDEX($AB$1005:$AQ$1005,1,MATCH(COLUMNS($AB$1006:AL1006),$AB$1006:$AQ$1006,0))&gt;=100000), " ",IF(INDEX($AB$2:$AQ$1001,MATCH(ROWS($U$2:U953),$U$2:$U$1001,0),MATCH(COLUMNS($AB$1006:AL1006),$AB$1006:$AQ$1006,0)), HYPERLINK("#",""), HYPERLINK(CONCATENATE("#metadata!", ADDRESS(INDEX($W$2:$W$1001,MATCH(ROWS($U$2:U953),$U$2:$U$1001,0),0), INDEX($AB$1004:$AQ$1004,1,MATCH(COLUMNS($AB$1006:AL1006),$AB$1006:$AQ$1006,0)))),"Fix")))</f>
        <v>0</v>
      </c>
      <c r="M953" s="4">
        <f>IF(OR(INDEX($V$2:$V$1001,MATCH(ROWS($U$2:U953),$U$2:$U$1001,0),1)&gt;=100000,INDEX($AB$1005:$AQ$1005,1,MATCH(COLUMNS($AB$1006:AM1006),$AB$1006:$AQ$1006,0))&gt;=100000), " ",IF(INDEX($AB$2:$AQ$1001,MATCH(ROWS($U$2:U953),$U$2:$U$1001,0),MATCH(COLUMNS($AB$1006:AM1006),$AB$1006:$AQ$1006,0)), HYPERLINK("#",""), HYPERLINK(CONCATENATE("#metadata!", ADDRESS(INDEX($W$2:$W$1001,MATCH(ROWS($U$2:U953),$U$2:$U$1001,0),0), INDEX($AB$1004:$AQ$1004,1,MATCH(COLUMNS($AB$1006:AM1006),$AB$1006:$AQ$1006,0)))),"Fix")))</f>
        <v>0</v>
      </c>
      <c r="N953" s="4">
        <f>IF(OR(INDEX($V$2:$V$1001,MATCH(ROWS($U$2:U953),$U$2:$U$1001,0),1)&gt;=100000,INDEX($AB$1005:$AQ$1005,1,MATCH(COLUMNS($AB$1006:AN1006),$AB$1006:$AQ$1006,0))&gt;=100000), " ",IF(INDEX($AB$2:$AQ$1001,MATCH(ROWS($U$2:U953),$U$2:$U$1001,0),MATCH(COLUMNS($AB$1006:AN1006),$AB$1006:$AQ$1006,0)), HYPERLINK("#",""), HYPERLINK(CONCATENATE("#metadata!", ADDRESS(INDEX($W$2:$W$1001,MATCH(ROWS($U$2:U953),$U$2:$U$1001,0),0), INDEX($AB$1004:$AQ$1004,1,MATCH(COLUMNS($AB$1006:AN1006),$AB$1006:$AQ$1006,0)))),"Fix")))</f>
        <v>0</v>
      </c>
      <c r="O953" s="4">
        <f>IF(OR(INDEX($V$2:$V$1001,MATCH(ROWS($U$2:U953),$U$2:$U$1001,0),1)&gt;=100000,INDEX($AB$1005:$AQ$1005,1,MATCH(COLUMNS($AB$1006:AO1006),$AB$1006:$AQ$1006,0))&gt;=100000), " ",IF(INDEX($AB$2:$AQ$1001,MATCH(ROWS($U$2:U953),$U$2:$U$1001,0),MATCH(COLUMNS($AB$1006:AO1006),$AB$1006:$AQ$1006,0)), HYPERLINK("#",""), HYPERLINK(CONCATENATE("#metadata!", ADDRESS(INDEX($W$2:$W$1001,MATCH(ROWS($U$2:U953),$U$2:$U$1001,0),0), INDEX($AB$1004:$AQ$1004,1,MATCH(COLUMNS($AB$1006:AO1006),$AB$1006:$AQ$1006,0)))),"Fix")))</f>
        <v>0</v>
      </c>
      <c r="P953" s="4">
        <f>IF(OR(INDEX($V$2:$V$1001,MATCH(ROWS($U$2:U953),$U$2:$U$1001,0),1)&gt;=100000,INDEX($AB$1005:$AQ$1005,1,MATCH(COLUMNS($AB$1006:AP1006),$AB$1006:$AQ$1006,0))&gt;=100000), " ",IF(INDEX($AB$2:$AQ$1001,MATCH(ROWS($U$2:U953),$U$2:$U$1001,0),MATCH(COLUMNS($AB$1006:AP1006),$AB$1006:$AQ$1006,0)), HYPERLINK("#",""), HYPERLINK(CONCATENATE("#metadata!", ADDRESS(INDEX($W$2:$W$1001,MATCH(ROWS($U$2:U953),$U$2:$U$1001,0),0), INDEX($AB$1004:$AQ$1004,1,MATCH(COLUMNS($AB$1006:AP1006),$AB$1006:$AQ$1006,0)))),"Fix")))</f>
        <v>0</v>
      </c>
      <c r="Q953" s="4">
        <f>IF(OR(INDEX($V$2:$V$1001,MATCH(ROWS($U$2:U953),$U$2:$U$1001,0),1)&gt;=100000,INDEX($AB$1005:$AQ$1005,1,MATCH(COLUMNS($AB$1006:AQ1006),$AB$1006:$AQ$1006,0))&gt;=100000), " ",IF(INDEX($AB$2:$AQ$1001,MATCH(ROWS($U$2:U953),$U$2:$U$1001,0),MATCH(COLUMNS($AB$1006:AQ1006),$AB$1006:$AQ$1006,0)), HYPERLINK("#",""), HYPERLINK(CONCATENATE("#metadata!", ADDRESS(INDEX($W$2:$W$1001,MATCH(ROWS($U$2:U953),$U$2:$U$1001,0),0), INDEX($AB$1004:$AQ$1004,1,MATCH(COLUMNS($AB$1006:AQ1006),$AB$1006:$AQ$1006,0)))),"Fix")))</f>
        <v>0</v>
      </c>
      <c r="U953">
        <v>0</v>
      </c>
      <c r="V953">
        <v>0</v>
      </c>
      <c r="W953">
        <v>0</v>
      </c>
      <c r="X953">
        <f>IF(Y953,TRUE,AND(AB953:AQ953))</f>
        <v>0</v>
      </c>
      <c r="Y953">
        <f>COUNTBLANK(metadata!B953:Q953)=COLUMNS(metadata!B953:Q953)</f>
        <v>0</v>
      </c>
      <c r="Z953">
        <v>0</v>
      </c>
      <c r="AB953">
        <f>AND(IF(metadata!B953="",FALSE,TRUE),COUNTIF(metadata!B:B, metadata!B953) = 1,NOT(ISERROR(SUMPRODUCT(SEARCH(MID(metadata!B953,ROW(INDIRECT("1:"&amp;LEN(metadata!B953))), 1),"0123456789abcdefghijklmnopqrstuvwxyzABCDEFGHIJKLMNOPQRSTUVWXYZ.")))))</f>
        <v>0</v>
      </c>
      <c r="AC953">
        <f>OR(AND(IF(metadata!C953="",FALSE,TRUE),OR(exact(metadata!C953,"missing: not collected"),exact(metadata!C953,"missing: not provided"),exact(metadata!C953,"missing: restricted access"))),AND(IF(metadata!C953="",FALSE,TRUE),AND(AND(IFERROR(INT(LEFT(metadata!C953,4))&gt;1900,FALSE),IFERROR(INT(LEFT(metadata!C953,4))&lt;=YEAR(NOW()),FALSE)), OR(MID(metadata!C953,5,1)="", AND(AND(MID(metadata!C953,5,1)="-",IFERROR(INT(MID(metadata!C953,6,1))&gt;=0,FALSE),IFERROR(INT(MID(metadata!C953,6,1))&lt;=1,FALSE),NOT(MID(metadata!C953,7,1)=""),IFERROR(INT(MID(metadata!C953,6,2))&gt;=1,FALSE),IFERROR(INT(MID(metadata!C953,6,2))&lt;=12,FALSE)), OR(MID(metadata!C953,8,1)="", AND(AND(MID(metadata!C953,8,1)="-",IFERROR(INT(MID(metadata!C953,9,1))&gt;=0,FALSE),IFERROR(INT(MID(metadata!C953,9,1))&lt;=3,FALSE),NOT(MID(metadata!C953,10,1)=""),IFERROR(INT(MID(metadata!C953,9,2))&gt;=1,FALSE),IFERROR(INT(MID(metadata!C953,9,2))&lt;=31,FALSE)), OR(MID(metadata!C953,11,1)="", AND(AND(MID(metadata!C953,11,1)=" ",IFERROR(INT(MID(metadata!C953,12,1))&gt;=0,FALSE),IFERROR(INT(MID(metadata!C953,12,1))&lt;=2,FALSE),NOT(MID(metadata!C953,13,1)=""),IFERROR(INT(MID(metadata!C953,12,2))&gt;=0,FALSE),IFERROR(INT(MID(metadata!C953,12,2))&lt;=23,FALSE)), OR(MID(metadata!C953,14,1)="", AND(AND(MID(metadata!C953,14,1)=":",IFERROR(INT(MID(metadata!C953,15,1))&gt;=0,FALSE),IFERROR(INT(MID(metadata!C953,15,1))&lt;=5,FALSE),NOT(MID(metadata!C953,16,1)=""),IFERROR(INT(MID(metadata!C953,15,2))&gt;=0,FALSE),IFERROR(INT(MID(metadata!C953,15,2))&lt;=59,FALSE)), OR(MID(metadata!C953,17,1)="", AND(AND(MID(metadata!C953,17,1)=":",IFERROR(INT(MID(metadata!C953,18,1))&gt;=0,FALSE),IFERROR(INT(MID(metadata!C953,18,1))&lt;=5,FALSE),NOT(MID(metadata!C953,19,1)=""),IFERROR(INT(MID(metadata!C953,18,2))&gt;=0,FALSE),IFERROR(INT(MID(metadata!C953,18,2))&lt;=59,FALSE)), LEN(metadata!C953)&lt;=19)))))))))))))</f>
        <v>0</v>
      </c>
      <c r="AD953">
        <f>IF(metadata!D953="",FALSE,TRUE)</f>
        <v>0</v>
      </c>
      <c r="AE953">
        <f>OR(AND(IF(metadata!E953="",FALSE,TRUE),OR(exact(metadata!E953,"missing: not collected"),exact(metadata!E953,"missing: not provided"))),AND(IF(metadata!E953="",FALSE,TRUE),OR(exact(metadata!E953,"TRUE"),exact(metadata!E953,"FALSE"))))</f>
        <v>0</v>
      </c>
      <c r="AF953">
        <f>IF(metadata!F953="",FALSE,TRUE)</f>
        <v>0</v>
      </c>
      <c r="AG953">
        <f>IF(metadata!G953="",FALSE,TRUE)</f>
        <v>0</v>
      </c>
      <c r="AH953">
        <f>IF(metadata!H953="",FALSE,TRUE)</f>
        <v>0</v>
      </c>
      <c r="AI953">
        <f>OR(AND(IF(metadata!I953="",FALSE,TRUE),OR(exact(metadata!I953,"missing: not collected"),exact(metadata!I953,"missing: not provided"),exact(metadata!I953,"missing: restricted access"))),AND(IF(metadata!I953="",FALSE,TRUE),OR(exact(metadata!I953,"air"),exact(metadata!I953,"built environment"),exact(metadata!I953,"host-associated"),exact(metadata!I953,"human-associated"),exact(metadata!I953,"human-skin"),exact(metadata!I953,"human-oral"),exact(metadata!I953,"human-gut"),exact(metadata!I953,"human-vaginal"),exact(metadata!I953,"microbial mat/biofilm"),exact(metadata!I953,"misc environment"),exact(metadata!I953,"plant-associated"),exact(metadata!I953,"sediment"),exact(metadata!I953,"soil"),exact(metadata!I953,"wastewater/sludge"),exact(metadata!I953,"water"))))</f>
        <v>0</v>
      </c>
      <c r="AJ953">
        <f>IF(metadata!J953="",FALSE,TRUE)</f>
        <v>0</v>
      </c>
      <c r="AK953">
        <f>OR(AND(IF(metadata!K953="",FALSE,TRUE),OR(exact(metadata!K953,"missing: not collected"),exact(metadata!K953,"missing: not provided"),exact(metadata!K953,"missing: restricted access"))),AND(IF(metadata!K953="",FALSE,ISNUMBER(VALUE(metadata!K953))),metadata!K953&gt;=-90.00,metadata!K953&lt;=90.00))</f>
        <v>0</v>
      </c>
      <c r="AL953">
        <f>OR(AND(IF(metadata!L953="",FALSE,TRUE),OR(exact(metadata!L953,"missing: not collected"),exact(metadata!L953,"missing: not provided"),exact(metadata!L953,"missing: restricted access"))),AND(IF(metadata!L953="",FALSE,ISNUMBER(VALUE(metadata!L953))),metadata!L953&gt;=-180.00,metadata!L953&lt;=180.00))</f>
        <v>0</v>
      </c>
      <c r="AM953">
        <f>IF(metadata!M953="",FALSE,TRUE)</f>
        <v>0</v>
      </c>
      <c r="AN953">
        <f>OR(AND(IF(metadata!N953="",FALSE,TRUE),OR(exact(metadata!N953,"missing: not collected"),exact(metadata!N953,"missing: not provided"),exact(metadata!N953,"missing: restricted access"))),AND(IF(metadata!N953="",FALSE,TRUE),OR(exact(metadata!N953,"TRUE"),exact(metadata!N953,"FALSE"))))</f>
        <v>0</v>
      </c>
      <c r="AO953">
        <f>IF(metadata!O953="",FALSE,TRUE)</f>
        <v>0</v>
      </c>
      <c r="AP953">
        <f>OR(AND(IF(metadata!P953="",FALSE,TRUE),OR(exact(metadata!P953,"missing: not collected"),exact(metadata!P953,"missing: not provided"))),AND(IF(metadata!P953="",FALSE,IF(ISERROR(INT(metadata!P953)),FALSE,INT(metadata!P953)=metadata!P953)),metadata!P953&gt;0))</f>
        <v>0</v>
      </c>
      <c r="AQ953">
        <f>IF(metadata!Q953="",FALSE,TRUE)</f>
        <v>0</v>
      </c>
    </row>
    <row r="954" spans="1:43">
      <c r="A954" s="5">
        <f>IF(B954=" "," ",HYPERLINK(CONCATENATE("#metadata!",ADDRESS(INDEX($W$2:$W$1001,MATCH(ROWS($U$2:U954),$U$2:$U$1001,0),0),1)),INDEX($Z$2:$Z$1001,MATCH(ROWS($U$2:U954),$U$2:$U$1001,0),0)))</f>
        <v>0</v>
      </c>
      <c r="B954" s="4">
        <f>IF(OR(INDEX($V$2:$V$1001,MATCH(ROWS($U$2:U954),$U$2:$U$1001,0),1)&gt;=100000,INDEX($AB$1005:$AQ$1005,1,MATCH(COLUMNS($AB$1006:AB1006),$AB$1006:$AQ$1006,0))&gt;=100000), " ",IF(INDEX($AB$2:$AQ$1001,MATCH(ROWS($U$2:U954),$U$2:$U$1001,0),MATCH(COLUMNS($AB$1006:AB1006),$AB$1006:$AQ$1006,0)), HYPERLINK("#",""), HYPERLINK(CONCATENATE("#metadata!", ADDRESS(INDEX($W$2:$W$1001,MATCH(ROWS($U$2:U954),$U$2:$U$1001,0),0), INDEX($AB$1004:$AQ$1004,1,MATCH(COLUMNS($AB$1006:AB1006),$AB$1006:$AQ$1006,0)))),"Fix")))</f>
        <v>0</v>
      </c>
      <c r="C954" s="4">
        <f>IF(OR(INDEX($V$2:$V$1001,MATCH(ROWS($U$2:U954),$U$2:$U$1001,0),1)&gt;=100000,INDEX($AB$1005:$AQ$1005,1,MATCH(COLUMNS($AB$1006:AC1006),$AB$1006:$AQ$1006,0))&gt;=100000), " ",IF(INDEX($AB$2:$AQ$1001,MATCH(ROWS($U$2:U954),$U$2:$U$1001,0),MATCH(COLUMNS($AB$1006:AC1006),$AB$1006:$AQ$1006,0)), HYPERLINK("#",""), HYPERLINK(CONCATENATE("#metadata!", ADDRESS(INDEX($W$2:$W$1001,MATCH(ROWS($U$2:U954),$U$2:$U$1001,0),0), INDEX($AB$1004:$AQ$1004,1,MATCH(COLUMNS($AB$1006:AC1006),$AB$1006:$AQ$1006,0)))),"Fix")))</f>
        <v>0</v>
      </c>
      <c r="D954" s="4">
        <f>IF(OR(INDEX($V$2:$V$1001,MATCH(ROWS($U$2:U954),$U$2:$U$1001,0),1)&gt;=100000,INDEX($AB$1005:$AQ$1005,1,MATCH(COLUMNS($AB$1006:AD1006),$AB$1006:$AQ$1006,0))&gt;=100000), " ",IF(INDEX($AB$2:$AQ$1001,MATCH(ROWS($U$2:U954),$U$2:$U$1001,0),MATCH(COLUMNS($AB$1006:AD1006),$AB$1006:$AQ$1006,0)), HYPERLINK("#",""), HYPERLINK(CONCATENATE("#metadata!", ADDRESS(INDEX($W$2:$W$1001,MATCH(ROWS($U$2:U954),$U$2:$U$1001,0),0), INDEX($AB$1004:$AQ$1004,1,MATCH(COLUMNS($AB$1006:AD1006),$AB$1006:$AQ$1006,0)))),"Fix")))</f>
        <v>0</v>
      </c>
      <c r="E954" s="4">
        <f>IF(OR(INDEX($V$2:$V$1001,MATCH(ROWS($U$2:U954),$U$2:$U$1001,0),1)&gt;=100000,INDEX($AB$1005:$AQ$1005,1,MATCH(COLUMNS($AB$1006:AE1006),$AB$1006:$AQ$1006,0))&gt;=100000), " ",IF(INDEX($AB$2:$AQ$1001,MATCH(ROWS($U$2:U954),$U$2:$U$1001,0),MATCH(COLUMNS($AB$1006:AE1006),$AB$1006:$AQ$1006,0)), HYPERLINK("#",""), HYPERLINK(CONCATENATE("#metadata!", ADDRESS(INDEX($W$2:$W$1001,MATCH(ROWS($U$2:U954),$U$2:$U$1001,0),0), INDEX($AB$1004:$AQ$1004,1,MATCH(COLUMNS($AB$1006:AE1006),$AB$1006:$AQ$1006,0)))),"Fix")))</f>
        <v>0</v>
      </c>
      <c r="F954" s="4">
        <f>IF(OR(INDEX($V$2:$V$1001,MATCH(ROWS($U$2:U954),$U$2:$U$1001,0),1)&gt;=100000,INDEX($AB$1005:$AQ$1005,1,MATCH(COLUMNS($AB$1006:AF1006),$AB$1006:$AQ$1006,0))&gt;=100000), " ",IF(INDEX($AB$2:$AQ$1001,MATCH(ROWS($U$2:U954),$U$2:$U$1001,0),MATCH(COLUMNS($AB$1006:AF1006),$AB$1006:$AQ$1006,0)), HYPERLINK("#",""), HYPERLINK(CONCATENATE("#metadata!", ADDRESS(INDEX($W$2:$W$1001,MATCH(ROWS($U$2:U954),$U$2:$U$1001,0),0), INDEX($AB$1004:$AQ$1004,1,MATCH(COLUMNS($AB$1006:AF1006),$AB$1006:$AQ$1006,0)))),"Fix")))</f>
        <v>0</v>
      </c>
      <c r="G954" s="4">
        <f>IF(OR(INDEX($V$2:$V$1001,MATCH(ROWS($U$2:U954),$U$2:$U$1001,0),1)&gt;=100000,INDEX($AB$1005:$AQ$1005,1,MATCH(COLUMNS($AB$1006:AG1006),$AB$1006:$AQ$1006,0))&gt;=100000), " ",IF(INDEX($AB$2:$AQ$1001,MATCH(ROWS($U$2:U954),$U$2:$U$1001,0),MATCH(COLUMNS($AB$1006:AG1006),$AB$1006:$AQ$1006,0)), HYPERLINK("#",""), HYPERLINK(CONCATENATE("#metadata!", ADDRESS(INDEX($W$2:$W$1001,MATCH(ROWS($U$2:U954),$U$2:$U$1001,0),0), INDEX($AB$1004:$AQ$1004,1,MATCH(COLUMNS($AB$1006:AG1006),$AB$1006:$AQ$1006,0)))),"Fix")))</f>
        <v>0</v>
      </c>
      <c r="H954" s="4">
        <f>IF(OR(INDEX($V$2:$V$1001,MATCH(ROWS($U$2:U954),$U$2:$U$1001,0),1)&gt;=100000,INDEX($AB$1005:$AQ$1005,1,MATCH(COLUMNS($AB$1006:AH1006),$AB$1006:$AQ$1006,0))&gt;=100000), " ",IF(INDEX($AB$2:$AQ$1001,MATCH(ROWS($U$2:U954),$U$2:$U$1001,0),MATCH(COLUMNS($AB$1006:AH1006),$AB$1006:$AQ$1006,0)), HYPERLINK("#",""), HYPERLINK(CONCATENATE("#metadata!", ADDRESS(INDEX($W$2:$W$1001,MATCH(ROWS($U$2:U954),$U$2:$U$1001,0),0), INDEX($AB$1004:$AQ$1004,1,MATCH(COLUMNS($AB$1006:AH1006),$AB$1006:$AQ$1006,0)))),"Fix")))</f>
        <v>0</v>
      </c>
      <c r="I954" s="4">
        <f>IF(OR(INDEX($V$2:$V$1001,MATCH(ROWS($U$2:U954),$U$2:$U$1001,0),1)&gt;=100000,INDEX($AB$1005:$AQ$1005,1,MATCH(COLUMNS($AB$1006:AI1006),$AB$1006:$AQ$1006,0))&gt;=100000), " ",IF(INDEX($AB$2:$AQ$1001,MATCH(ROWS($U$2:U954),$U$2:$U$1001,0),MATCH(COLUMNS($AB$1006:AI1006),$AB$1006:$AQ$1006,0)), HYPERLINK("#",""), HYPERLINK(CONCATENATE("#metadata!", ADDRESS(INDEX($W$2:$W$1001,MATCH(ROWS($U$2:U954),$U$2:$U$1001,0),0), INDEX($AB$1004:$AQ$1004,1,MATCH(COLUMNS($AB$1006:AI1006),$AB$1006:$AQ$1006,0)))),"Fix")))</f>
        <v>0</v>
      </c>
      <c r="J954" s="4">
        <f>IF(OR(INDEX($V$2:$V$1001,MATCH(ROWS($U$2:U954),$U$2:$U$1001,0),1)&gt;=100000,INDEX($AB$1005:$AQ$1005,1,MATCH(COLUMNS($AB$1006:AJ1006),$AB$1006:$AQ$1006,0))&gt;=100000), " ",IF(INDEX($AB$2:$AQ$1001,MATCH(ROWS($U$2:U954),$U$2:$U$1001,0),MATCH(COLUMNS($AB$1006:AJ1006),$AB$1006:$AQ$1006,0)), HYPERLINK("#",""), HYPERLINK(CONCATENATE("#metadata!", ADDRESS(INDEX($W$2:$W$1001,MATCH(ROWS($U$2:U954),$U$2:$U$1001,0),0), INDEX($AB$1004:$AQ$1004,1,MATCH(COLUMNS($AB$1006:AJ1006),$AB$1006:$AQ$1006,0)))),"Fix")))</f>
        <v>0</v>
      </c>
      <c r="K954" s="4">
        <f>IF(OR(INDEX($V$2:$V$1001,MATCH(ROWS($U$2:U954),$U$2:$U$1001,0),1)&gt;=100000,INDEX($AB$1005:$AQ$1005,1,MATCH(COLUMNS($AB$1006:AK1006),$AB$1006:$AQ$1006,0))&gt;=100000), " ",IF(INDEX($AB$2:$AQ$1001,MATCH(ROWS($U$2:U954),$U$2:$U$1001,0),MATCH(COLUMNS($AB$1006:AK1006),$AB$1006:$AQ$1006,0)), HYPERLINK("#",""), HYPERLINK(CONCATENATE("#metadata!", ADDRESS(INDEX($W$2:$W$1001,MATCH(ROWS($U$2:U954),$U$2:$U$1001,0),0), INDEX($AB$1004:$AQ$1004,1,MATCH(COLUMNS($AB$1006:AK1006),$AB$1006:$AQ$1006,0)))),"Fix")))</f>
        <v>0</v>
      </c>
      <c r="L954" s="4">
        <f>IF(OR(INDEX($V$2:$V$1001,MATCH(ROWS($U$2:U954),$U$2:$U$1001,0),1)&gt;=100000,INDEX($AB$1005:$AQ$1005,1,MATCH(COLUMNS($AB$1006:AL1006),$AB$1006:$AQ$1006,0))&gt;=100000), " ",IF(INDEX($AB$2:$AQ$1001,MATCH(ROWS($U$2:U954),$U$2:$U$1001,0),MATCH(COLUMNS($AB$1006:AL1006),$AB$1006:$AQ$1006,0)), HYPERLINK("#",""), HYPERLINK(CONCATENATE("#metadata!", ADDRESS(INDEX($W$2:$W$1001,MATCH(ROWS($U$2:U954),$U$2:$U$1001,0),0), INDEX($AB$1004:$AQ$1004,1,MATCH(COLUMNS($AB$1006:AL1006),$AB$1006:$AQ$1006,0)))),"Fix")))</f>
        <v>0</v>
      </c>
      <c r="M954" s="4">
        <f>IF(OR(INDEX($V$2:$V$1001,MATCH(ROWS($U$2:U954),$U$2:$U$1001,0),1)&gt;=100000,INDEX($AB$1005:$AQ$1005,1,MATCH(COLUMNS($AB$1006:AM1006),$AB$1006:$AQ$1006,0))&gt;=100000), " ",IF(INDEX($AB$2:$AQ$1001,MATCH(ROWS($U$2:U954),$U$2:$U$1001,0),MATCH(COLUMNS($AB$1006:AM1006),$AB$1006:$AQ$1006,0)), HYPERLINK("#",""), HYPERLINK(CONCATENATE("#metadata!", ADDRESS(INDEX($W$2:$W$1001,MATCH(ROWS($U$2:U954),$U$2:$U$1001,0),0), INDEX($AB$1004:$AQ$1004,1,MATCH(COLUMNS($AB$1006:AM1006),$AB$1006:$AQ$1006,0)))),"Fix")))</f>
        <v>0</v>
      </c>
      <c r="N954" s="4">
        <f>IF(OR(INDEX($V$2:$V$1001,MATCH(ROWS($U$2:U954),$U$2:$U$1001,0),1)&gt;=100000,INDEX($AB$1005:$AQ$1005,1,MATCH(COLUMNS($AB$1006:AN1006),$AB$1006:$AQ$1006,0))&gt;=100000), " ",IF(INDEX($AB$2:$AQ$1001,MATCH(ROWS($U$2:U954),$U$2:$U$1001,0),MATCH(COLUMNS($AB$1006:AN1006),$AB$1006:$AQ$1006,0)), HYPERLINK("#",""), HYPERLINK(CONCATENATE("#metadata!", ADDRESS(INDEX($W$2:$W$1001,MATCH(ROWS($U$2:U954),$U$2:$U$1001,0),0), INDEX($AB$1004:$AQ$1004,1,MATCH(COLUMNS($AB$1006:AN1006),$AB$1006:$AQ$1006,0)))),"Fix")))</f>
        <v>0</v>
      </c>
      <c r="O954" s="4">
        <f>IF(OR(INDEX($V$2:$V$1001,MATCH(ROWS($U$2:U954),$U$2:$U$1001,0),1)&gt;=100000,INDEX($AB$1005:$AQ$1005,1,MATCH(COLUMNS($AB$1006:AO1006),$AB$1006:$AQ$1006,0))&gt;=100000), " ",IF(INDEX($AB$2:$AQ$1001,MATCH(ROWS($U$2:U954),$U$2:$U$1001,0),MATCH(COLUMNS($AB$1006:AO1006),$AB$1006:$AQ$1006,0)), HYPERLINK("#",""), HYPERLINK(CONCATENATE("#metadata!", ADDRESS(INDEX($W$2:$W$1001,MATCH(ROWS($U$2:U954),$U$2:$U$1001,0),0), INDEX($AB$1004:$AQ$1004,1,MATCH(COLUMNS($AB$1006:AO1006),$AB$1006:$AQ$1006,0)))),"Fix")))</f>
        <v>0</v>
      </c>
      <c r="P954" s="4">
        <f>IF(OR(INDEX($V$2:$V$1001,MATCH(ROWS($U$2:U954),$U$2:$U$1001,0),1)&gt;=100000,INDEX($AB$1005:$AQ$1005,1,MATCH(COLUMNS($AB$1006:AP1006),$AB$1006:$AQ$1006,0))&gt;=100000), " ",IF(INDEX($AB$2:$AQ$1001,MATCH(ROWS($U$2:U954),$U$2:$U$1001,0),MATCH(COLUMNS($AB$1006:AP1006),$AB$1006:$AQ$1006,0)), HYPERLINK("#",""), HYPERLINK(CONCATENATE("#metadata!", ADDRESS(INDEX($W$2:$W$1001,MATCH(ROWS($U$2:U954),$U$2:$U$1001,0),0), INDEX($AB$1004:$AQ$1004,1,MATCH(COLUMNS($AB$1006:AP1006),$AB$1006:$AQ$1006,0)))),"Fix")))</f>
        <v>0</v>
      </c>
      <c r="Q954" s="4">
        <f>IF(OR(INDEX($V$2:$V$1001,MATCH(ROWS($U$2:U954),$U$2:$U$1001,0),1)&gt;=100000,INDEX($AB$1005:$AQ$1005,1,MATCH(COLUMNS($AB$1006:AQ1006),$AB$1006:$AQ$1006,0))&gt;=100000), " ",IF(INDEX($AB$2:$AQ$1001,MATCH(ROWS($U$2:U954),$U$2:$U$1001,0),MATCH(COLUMNS($AB$1006:AQ1006),$AB$1006:$AQ$1006,0)), HYPERLINK("#",""), HYPERLINK(CONCATENATE("#metadata!", ADDRESS(INDEX($W$2:$W$1001,MATCH(ROWS($U$2:U954),$U$2:$U$1001,0),0), INDEX($AB$1004:$AQ$1004,1,MATCH(COLUMNS($AB$1006:AQ1006),$AB$1006:$AQ$1006,0)))),"Fix")))</f>
        <v>0</v>
      </c>
      <c r="U954">
        <v>0</v>
      </c>
      <c r="V954">
        <v>0</v>
      </c>
      <c r="W954">
        <v>0</v>
      </c>
      <c r="X954">
        <f>IF(Y954,TRUE,AND(AB954:AQ954))</f>
        <v>0</v>
      </c>
      <c r="Y954">
        <f>COUNTBLANK(metadata!B954:Q954)=COLUMNS(metadata!B954:Q954)</f>
        <v>0</v>
      </c>
      <c r="Z954">
        <v>0</v>
      </c>
      <c r="AB954">
        <f>AND(IF(metadata!B954="",FALSE,TRUE),COUNTIF(metadata!B:B, metadata!B954) = 1,NOT(ISERROR(SUMPRODUCT(SEARCH(MID(metadata!B954,ROW(INDIRECT("1:"&amp;LEN(metadata!B954))), 1),"0123456789abcdefghijklmnopqrstuvwxyzABCDEFGHIJKLMNOPQRSTUVWXYZ.")))))</f>
        <v>0</v>
      </c>
      <c r="AC954">
        <f>OR(AND(IF(metadata!C954="",FALSE,TRUE),OR(exact(metadata!C954,"missing: not collected"),exact(metadata!C954,"missing: not provided"),exact(metadata!C954,"missing: restricted access"))),AND(IF(metadata!C954="",FALSE,TRUE),AND(AND(IFERROR(INT(LEFT(metadata!C954,4))&gt;1900,FALSE),IFERROR(INT(LEFT(metadata!C954,4))&lt;=YEAR(NOW()),FALSE)), OR(MID(metadata!C954,5,1)="", AND(AND(MID(metadata!C954,5,1)="-",IFERROR(INT(MID(metadata!C954,6,1))&gt;=0,FALSE),IFERROR(INT(MID(metadata!C954,6,1))&lt;=1,FALSE),NOT(MID(metadata!C954,7,1)=""),IFERROR(INT(MID(metadata!C954,6,2))&gt;=1,FALSE),IFERROR(INT(MID(metadata!C954,6,2))&lt;=12,FALSE)), OR(MID(metadata!C954,8,1)="", AND(AND(MID(metadata!C954,8,1)="-",IFERROR(INT(MID(metadata!C954,9,1))&gt;=0,FALSE),IFERROR(INT(MID(metadata!C954,9,1))&lt;=3,FALSE),NOT(MID(metadata!C954,10,1)=""),IFERROR(INT(MID(metadata!C954,9,2))&gt;=1,FALSE),IFERROR(INT(MID(metadata!C954,9,2))&lt;=31,FALSE)), OR(MID(metadata!C954,11,1)="", AND(AND(MID(metadata!C954,11,1)=" ",IFERROR(INT(MID(metadata!C954,12,1))&gt;=0,FALSE),IFERROR(INT(MID(metadata!C954,12,1))&lt;=2,FALSE),NOT(MID(metadata!C954,13,1)=""),IFERROR(INT(MID(metadata!C954,12,2))&gt;=0,FALSE),IFERROR(INT(MID(metadata!C954,12,2))&lt;=23,FALSE)), OR(MID(metadata!C954,14,1)="", AND(AND(MID(metadata!C954,14,1)=":",IFERROR(INT(MID(metadata!C954,15,1))&gt;=0,FALSE),IFERROR(INT(MID(metadata!C954,15,1))&lt;=5,FALSE),NOT(MID(metadata!C954,16,1)=""),IFERROR(INT(MID(metadata!C954,15,2))&gt;=0,FALSE),IFERROR(INT(MID(metadata!C954,15,2))&lt;=59,FALSE)), OR(MID(metadata!C954,17,1)="", AND(AND(MID(metadata!C954,17,1)=":",IFERROR(INT(MID(metadata!C954,18,1))&gt;=0,FALSE),IFERROR(INT(MID(metadata!C954,18,1))&lt;=5,FALSE),NOT(MID(metadata!C954,19,1)=""),IFERROR(INT(MID(metadata!C954,18,2))&gt;=0,FALSE),IFERROR(INT(MID(metadata!C954,18,2))&lt;=59,FALSE)), LEN(metadata!C954)&lt;=19)))))))))))))</f>
        <v>0</v>
      </c>
      <c r="AD954">
        <f>IF(metadata!D954="",FALSE,TRUE)</f>
        <v>0</v>
      </c>
      <c r="AE954">
        <f>OR(AND(IF(metadata!E954="",FALSE,TRUE),OR(exact(metadata!E954,"missing: not collected"),exact(metadata!E954,"missing: not provided"))),AND(IF(metadata!E954="",FALSE,TRUE),OR(exact(metadata!E954,"TRUE"),exact(metadata!E954,"FALSE"))))</f>
        <v>0</v>
      </c>
      <c r="AF954">
        <f>IF(metadata!F954="",FALSE,TRUE)</f>
        <v>0</v>
      </c>
      <c r="AG954">
        <f>IF(metadata!G954="",FALSE,TRUE)</f>
        <v>0</v>
      </c>
      <c r="AH954">
        <f>IF(metadata!H954="",FALSE,TRUE)</f>
        <v>0</v>
      </c>
      <c r="AI954">
        <f>OR(AND(IF(metadata!I954="",FALSE,TRUE),OR(exact(metadata!I954,"missing: not collected"),exact(metadata!I954,"missing: not provided"),exact(metadata!I954,"missing: restricted access"))),AND(IF(metadata!I954="",FALSE,TRUE),OR(exact(metadata!I954,"air"),exact(metadata!I954,"built environment"),exact(metadata!I954,"host-associated"),exact(metadata!I954,"human-associated"),exact(metadata!I954,"human-skin"),exact(metadata!I954,"human-oral"),exact(metadata!I954,"human-gut"),exact(metadata!I954,"human-vaginal"),exact(metadata!I954,"microbial mat/biofilm"),exact(metadata!I954,"misc environment"),exact(metadata!I954,"plant-associated"),exact(metadata!I954,"sediment"),exact(metadata!I954,"soil"),exact(metadata!I954,"wastewater/sludge"),exact(metadata!I954,"water"))))</f>
        <v>0</v>
      </c>
      <c r="AJ954">
        <f>IF(metadata!J954="",FALSE,TRUE)</f>
        <v>0</v>
      </c>
      <c r="AK954">
        <f>OR(AND(IF(metadata!K954="",FALSE,TRUE),OR(exact(metadata!K954,"missing: not collected"),exact(metadata!K954,"missing: not provided"),exact(metadata!K954,"missing: restricted access"))),AND(IF(metadata!K954="",FALSE,ISNUMBER(VALUE(metadata!K954))),metadata!K954&gt;=-90.00,metadata!K954&lt;=90.00))</f>
        <v>0</v>
      </c>
      <c r="AL954">
        <f>OR(AND(IF(metadata!L954="",FALSE,TRUE),OR(exact(metadata!L954,"missing: not collected"),exact(metadata!L954,"missing: not provided"),exact(metadata!L954,"missing: restricted access"))),AND(IF(metadata!L954="",FALSE,ISNUMBER(VALUE(metadata!L954))),metadata!L954&gt;=-180.00,metadata!L954&lt;=180.00))</f>
        <v>0</v>
      </c>
      <c r="AM954">
        <f>IF(metadata!M954="",FALSE,TRUE)</f>
        <v>0</v>
      </c>
      <c r="AN954">
        <f>OR(AND(IF(metadata!N954="",FALSE,TRUE),OR(exact(metadata!N954,"missing: not collected"),exact(metadata!N954,"missing: not provided"),exact(metadata!N954,"missing: restricted access"))),AND(IF(metadata!N954="",FALSE,TRUE),OR(exact(metadata!N954,"TRUE"),exact(metadata!N954,"FALSE"))))</f>
        <v>0</v>
      </c>
      <c r="AO954">
        <f>IF(metadata!O954="",FALSE,TRUE)</f>
        <v>0</v>
      </c>
      <c r="AP954">
        <f>OR(AND(IF(metadata!P954="",FALSE,TRUE),OR(exact(metadata!P954,"missing: not collected"),exact(metadata!P954,"missing: not provided"))),AND(IF(metadata!P954="",FALSE,IF(ISERROR(INT(metadata!P954)),FALSE,INT(metadata!P954)=metadata!P954)),metadata!P954&gt;0))</f>
        <v>0</v>
      </c>
      <c r="AQ954">
        <f>IF(metadata!Q954="",FALSE,TRUE)</f>
        <v>0</v>
      </c>
    </row>
    <row r="955" spans="1:43">
      <c r="A955" s="5">
        <f>IF(B955=" "," ",HYPERLINK(CONCATENATE("#metadata!",ADDRESS(INDEX($W$2:$W$1001,MATCH(ROWS($U$2:U955),$U$2:$U$1001,0),0),1)),INDEX($Z$2:$Z$1001,MATCH(ROWS($U$2:U955),$U$2:$U$1001,0),0)))</f>
        <v>0</v>
      </c>
      <c r="B955" s="4">
        <f>IF(OR(INDEX($V$2:$V$1001,MATCH(ROWS($U$2:U955),$U$2:$U$1001,0),1)&gt;=100000,INDEX($AB$1005:$AQ$1005,1,MATCH(COLUMNS($AB$1006:AB1006),$AB$1006:$AQ$1006,0))&gt;=100000), " ",IF(INDEX($AB$2:$AQ$1001,MATCH(ROWS($U$2:U955),$U$2:$U$1001,0),MATCH(COLUMNS($AB$1006:AB1006),$AB$1006:$AQ$1006,0)), HYPERLINK("#",""), HYPERLINK(CONCATENATE("#metadata!", ADDRESS(INDEX($W$2:$W$1001,MATCH(ROWS($U$2:U955),$U$2:$U$1001,0),0), INDEX($AB$1004:$AQ$1004,1,MATCH(COLUMNS($AB$1006:AB1006),$AB$1006:$AQ$1006,0)))),"Fix")))</f>
        <v>0</v>
      </c>
      <c r="C955" s="4">
        <f>IF(OR(INDEX($V$2:$V$1001,MATCH(ROWS($U$2:U955),$U$2:$U$1001,0),1)&gt;=100000,INDEX($AB$1005:$AQ$1005,1,MATCH(COLUMNS($AB$1006:AC1006),$AB$1006:$AQ$1006,0))&gt;=100000), " ",IF(INDEX($AB$2:$AQ$1001,MATCH(ROWS($U$2:U955),$U$2:$U$1001,0),MATCH(COLUMNS($AB$1006:AC1006),$AB$1006:$AQ$1006,0)), HYPERLINK("#",""), HYPERLINK(CONCATENATE("#metadata!", ADDRESS(INDEX($W$2:$W$1001,MATCH(ROWS($U$2:U955),$U$2:$U$1001,0),0), INDEX($AB$1004:$AQ$1004,1,MATCH(COLUMNS($AB$1006:AC1006),$AB$1006:$AQ$1006,0)))),"Fix")))</f>
        <v>0</v>
      </c>
      <c r="D955" s="4">
        <f>IF(OR(INDEX($V$2:$V$1001,MATCH(ROWS($U$2:U955),$U$2:$U$1001,0),1)&gt;=100000,INDEX($AB$1005:$AQ$1005,1,MATCH(COLUMNS($AB$1006:AD1006),$AB$1006:$AQ$1006,0))&gt;=100000), " ",IF(INDEX($AB$2:$AQ$1001,MATCH(ROWS($U$2:U955),$U$2:$U$1001,0),MATCH(COLUMNS($AB$1006:AD1006),$AB$1006:$AQ$1006,0)), HYPERLINK("#",""), HYPERLINK(CONCATENATE("#metadata!", ADDRESS(INDEX($W$2:$W$1001,MATCH(ROWS($U$2:U955),$U$2:$U$1001,0),0), INDEX($AB$1004:$AQ$1004,1,MATCH(COLUMNS($AB$1006:AD1006),$AB$1006:$AQ$1006,0)))),"Fix")))</f>
        <v>0</v>
      </c>
      <c r="E955" s="4">
        <f>IF(OR(INDEX($V$2:$V$1001,MATCH(ROWS($U$2:U955),$U$2:$U$1001,0),1)&gt;=100000,INDEX($AB$1005:$AQ$1005,1,MATCH(COLUMNS($AB$1006:AE1006),$AB$1006:$AQ$1006,0))&gt;=100000), " ",IF(INDEX($AB$2:$AQ$1001,MATCH(ROWS($U$2:U955),$U$2:$U$1001,0),MATCH(COLUMNS($AB$1006:AE1006),$AB$1006:$AQ$1006,0)), HYPERLINK("#",""), HYPERLINK(CONCATENATE("#metadata!", ADDRESS(INDEX($W$2:$W$1001,MATCH(ROWS($U$2:U955),$U$2:$U$1001,0),0), INDEX($AB$1004:$AQ$1004,1,MATCH(COLUMNS($AB$1006:AE1006),$AB$1006:$AQ$1006,0)))),"Fix")))</f>
        <v>0</v>
      </c>
      <c r="F955" s="4">
        <f>IF(OR(INDEX($V$2:$V$1001,MATCH(ROWS($U$2:U955),$U$2:$U$1001,0),1)&gt;=100000,INDEX($AB$1005:$AQ$1005,1,MATCH(COLUMNS($AB$1006:AF1006),$AB$1006:$AQ$1006,0))&gt;=100000), " ",IF(INDEX($AB$2:$AQ$1001,MATCH(ROWS($U$2:U955),$U$2:$U$1001,0),MATCH(COLUMNS($AB$1006:AF1006),$AB$1006:$AQ$1006,0)), HYPERLINK("#",""), HYPERLINK(CONCATENATE("#metadata!", ADDRESS(INDEX($W$2:$W$1001,MATCH(ROWS($U$2:U955),$U$2:$U$1001,0),0), INDEX($AB$1004:$AQ$1004,1,MATCH(COLUMNS($AB$1006:AF1006),$AB$1006:$AQ$1006,0)))),"Fix")))</f>
        <v>0</v>
      </c>
      <c r="G955" s="4">
        <f>IF(OR(INDEX($V$2:$V$1001,MATCH(ROWS($U$2:U955),$U$2:$U$1001,0),1)&gt;=100000,INDEX($AB$1005:$AQ$1005,1,MATCH(COLUMNS($AB$1006:AG1006),$AB$1006:$AQ$1006,0))&gt;=100000), " ",IF(INDEX($AB$2:$AQ$1001,MATCH(ROWS($U$2:U955),$U$2:$U$1001,0),MATCH(COLUMNS($AB$1006:AG1006),$AB$1006:$AQ$1006,0)), HYPERLINK("#",""), HYPERLINK(CONCATENATE("#metadata!", ADDRESS(INDEX($W$2:$W$1001,MATCH(ROWS($U$2:U955),$U$2:$U$1001,0),0), INDEX($AB$1004:$AQ$1004,1,MATCH(COLUMNS($AB$1006:AG1006),$AB$1006:$AQ$1006,0)))),"Fix")))</f>
        <v>0</v>
      </c>
      <c r="H955" s="4">
        <f>IF(OR(INDEX($V$2:$V$1001,MATCH(ROWS($U$2:U955),$U$2:$U$1001,0),1)&gt;=100000,INDEX($AB$1005:$AQ$1005,1,MATCH(COLUMNS($AB$1006:AH1006),$AB$1006:$AQ$1006,0))&gt;=100000), " ",IF(INDEX($AB$2:$AQ$1001,MATCH(ROWS($U$2:U955),$U$2:$U$1001,0),MATCH(COLUMNS($AB$1006:AH1006),$AB$1006:$AQ$1006,0)), HYPERLINK("#",""), HYPERLINK(CONCATENATE("#metadata!", ADDRESS(INDEX($W$2:$W$1001,MATCH(ROWS($U$2:U955),$U$2:$U$1001,0),0), INDEX($AB$1004:$AQ$1004,1,MATCH(COLUMNS($AB$1006:AH1006),$AB$1006:$AQ$1006,0)))),"Fix")))</f>
        <v>0</v>
      </c>
      <c r="I955" s="4">
        <f>IF(OR(INDEX($V$2:$V$1001,MATCH(ROWS($U$2:U955),$U$2:$U$1001,0),1)&gt;=100000,INDEX($AB$1005:$AQ$1005,1,MATCH(COLUMNS($AB$1006:AI1006),$AB$1006:$AQ$1006,0))&gt;=100000), " ",IF(INDEX($AB$2:$AQ$1001,MATCH(ROWS($U$2:U955),$U$2:$U$1001,0),MATCH(COLUMNS($AB$1006:AI1006),$AB$1006:$AQ$1006,0)), HYPERLINK("#",""), HYPERLINK(CONCATENATE("#metadata!", ADDRESS(INDEX($W$2:$W$1001,MATCH(ROWS($U$2:U955),$U$2:$U$1001,0),0), INDEX($AB$1004:$AQ$1004,1,MATCH(COLUMNS($AB$1006:AI1006),$AB$1006:$AQ$1006,0)))),"Fix")))</f>
        <v>0</v>
      </c>
      <c r="J955" s="4">
        <f>IF(OR(INDEX($V$2:$V$1001,MATCH(ROWS($U$2:U955),$U$2:$U$1001,0),1)&gt;=100000,INDEX($AB$1005:$AQ$1005,1,MATCH(COLUMNS($AB$1006:AJ1006),$AB$1006:$AQ$1006,0))&gt;=100000), " ",IF(INDEX($AB$2:$AQ$1001,MATCH(ROWS($U$2:U955),$U$2:$U$1001,0),MATCH(COLUMNS($AB$1006:AJ1006),$AB$1006:$AQ$1006,0)), HYPERLINK("#",""), HYPERLINK(CONCATENATE("#metadata!", ADDRESS(INDEX($W$2:$W$1001,MATCH(ROWS($U$2:U955),$U$2:$U$1001,0),0), INDEX($AB$1004:$AQ$1004,1,MATCH(COLUMNS($AB$1006:AJ1006),$AB$1006:$AQ$1006,0)))),"Fix")))</f>
        <v>0</v>
      </c>
      <c r="K955" s="4">
        <f>IF(OR(INDEX($V$2:$V$1001,MATCH(ROWS($U$2:U955),$U$2:$U$1001,0),1)&gt;=100000,INDEX($AB$1005:$AQ$1005,1,MATCH(COLUMNS($AB$1006:AK1006),$AB$1006:$AQ$1006,0))&gt;=100000), " ",IF(INDEX($AB$2:$AQ$1001,MATCH(ROWS($U$2:U955),$U$2:$U$1001,0),MATCH(COLUMNS($AB$1006:AK1006),$AB$1006:$AQ$1006,0)), HYPERLINK("#",""), HYPERLINK(CONCATENATE("#metadata!", ADDRESS(INDEX($W$2:$W$1001,MATCH(ROWS($U$2:U955),$U$2:$U$1001,0),0), INDEX($AB$1004:$AQ$1004,1,MATCH(COLUMNS($AB$1006:AK1006),$AB$1006:$AQ$1006,0)))),"Fix")))</f>
        <v>0</v>
      </c>
      <c r="L955" s="4">
        <f>IF(OR(INDEX($V$2:$V$1001,MATCH(ROWS($U$2:U955),$U$2:$U$1001,0),1)&gt;=100000,INDEX($AB$1005:$AQ$1005,1,MATCH(COLUMNS($AB$1006:AL1006),$AB$1006:$AQ$1006,0))&gt;=100000), " ",IF(INDEX($AB$2:$AQ$1001,MATCH(ROWS($U$2:U955),$U$2:$U$1001,0),MATCH(COLUMNS($AB$1006:AL1006),$AB$1006:$AQ$1006,0)), HYPERLINK("#",""), HYPERLINK(CONCATENATE("#metadata!", ADDRESS(INDEX($W$2:$W$1001,MATCH(ROWS($U$2:U955),$U$2:$U$1001,0),0), INDEX($AB$1004:$AQ$1004,1,MATCH(COLUMNS($AB$1006:AL1006),$AB$1006:$AQ$1006,0)))),"Fix")))</f>
        <v>0</v>
      </c>
      <c r="M955" s="4">
        <f>IF(OR(INDEX($V$2:$V$1001,MATCH(ROWS($U$2:U955),$U$2:$U$1001,0),1)&gt;=100000,INDEX($AB$1005:$AQ$1005,1,MATCH(COLUMNS($AB$1006:AM1006),$AB$1006:$AQ$1006,0))&gt;=100000), " ",IF(INDEX($AB$2:$AQ$1001,MATCH(ROWS($U$2:U955),$U$2:$U$1001,0),MATCH(COLUMNS($AB$1006:AM1006),$AB$1006:$AQ$1006,0)), HYPERLINK("#",""), HYPERLINK(CONCATENATE("#metadata!", ADDRESS(INDEX($W$2:$W$1001,MATCH(ROWS($U$2:U955),$U$2:$U$1001,0),0), INDEX($AB$1004:$AQ$1004,1,MATCH(COLUMNS($AB$1006:AM1006),$AB$1006:$AQ$1006,0)))),"Fix")))</f>
        <v>0</v>
      </c>
      <c r="N955" s="4">
        <f>IF(OR(INDEX($V$2:$V$1001,MATCH(ROWS($U$2:U955),$U$2:$U$1001,0),1)&gt;=100000,INDEX($AB$1005:$AQ$1005,1,MATCH(COLUMNS($AB$1006:AN1006),$AB$1006:$AQ$1006,0))&gt;=100000), " ",IF(INDEX($AB$2:$AQ$1001,MATCH(ROWS($U$2:U955),$U$2:$U$1001,0),MATCH(COLUMNS($AB$1006:AN1006),$AB$1006:$AQ$1006,0)), HYPERLINK("#",""), HYPERLINK(CONCATENATE("#metadata!", ADDRESS(INDEX($W$2:$W$1001,MATCH(ROWS($U$2:U955),$U$2:$U$1001,0),0), INDEX($AB$1004:$AQ$1004,1,MATCH(COLUMNS($AB$1006:AN1006),$AB$1006:$AQ$1006,0)))),"Fix")))</f>
        <v>0</v>
      </c>
      <c r="O955" s="4">
        <f>IF(OR(INDEX($V$2:$V$1001,MATCH(ROWS($U$2:U955),$U$2:$U$1001,0),1)&gt;=100000,INDEX($AB$1005:$AQ$1005,1,MATCH(COLUMNS($AB$1006:AO1006),$AB$1006:$AQ$1006,0))&gt;=100000), " ",IF(INDEX($AB$2:$AQ$1001,MATCH(ROWS($U$2:U955),$U$2:$U$1001,0),MATCH(COLUMNS($AB$1006:AO1006),$AB$1006:$AQ$1006,0)), HYPERLINK("#",""), HYPERLINK(CONCATENATE("#metadata!", ADDRESS(INDEX($W$2:$W$1001,MATCH(ROWS($U$2:U955),$U$2:$U$1001,0),0), INDEX($AB$1004:$AQ$1004,1,MATCH(COLUMNS($AB$1006:AO1006),$AB$1006:$AQ$1006,0)))),"Fix")))</f>
        <v>0</v>
      </c>
      <c r="P955" s="4">
        <f>IF(OR(INDEX($V$2:$V$1001,MATCH(ROWS($U$2:U955),$U$2:$U$1001,0),1)&gt;=100000,INDEX($AB$1005:$AQ$1005,1,MATCH(COLUMNS($AB$1006:AP1006),$AB$1006:$AQ$1006,0))&gt;=100000), " ",IF(INDEX($AB$2:$AQ$1001,MATCH(ROWS($U$2:U955),$U$2:$U$1001,0),MATCH(COLUMNS($AB$1006:AP1006),$AB$1006:$AQ$1006,0)), HYPERLINK("#",""), HYPERLINK(CONCATENATE("#metadata!", ADDRESS(INDEX($W$2:$W$1001,MATCH(ROWS($U$2:U955),$U$2:$U$1001,0),0), INDEX($AB$1004:$AQ$1004,1,MATCH(COLUMNS($AB$1006:AP1006),$AB$1006:$AQ$1006,0)))),"Fix")))</f>
        <v>0</v>
      </c>
      <c r="Q955" s="4">
        <f>IF(OR(INDEX($V$2:$V$1001,MATCH(ROWS($U$2:U955),$U$2:$U$1001,0),1)&gt;=100000,INDEX($AB$1005:$AQ$1005,1,MATCH(COLUMNS($AB$1006:AQ1006),$AB$1006:$AQ$1006,0))&gt;=100000), " ",IF(INDEX($AB$2:$AQ$1001,MATCH(ROWS($U$2:U955),$U$2:$U$1001,0),MATCH(COLUMNS($AB$1006:AQ1006),$AB$1006:$AQ$1006,0)), HYPERLINK("#",""), HYPERLINK(CONCATENATE("#metadata!", ADDRESS(INDEX($W$2:$W$1001,MATCH(ROWS($U$2:U955),$U$2:$U$1001,0),0), INDEX($AB$1004:$AQ$1004,1,MATCH(COLUMNS($AB$1006:AQ1006),$AB$1006:$AQ$1006,0)))),"Fix")))</f>
        <v>0</v>
      </c>
      <c r="U955">
        <v>0</v>
      </c>
      <c r="V955">
        <v>0</v>
      </c>
      <c r="W955">
        <v>0</v>
      </c>
      <c r="X955">
        <f>IF(Y955,TRUE,AND(AB955:AQ955))</f>
        <v>0</v>
      </c>
      <c r="Y955">
        <f>COUNTBLANK(metadata!B955:Q955)=COLUMNS(metadata!B955:Q955)</f>
        <v>0</v>
      </c>
      <c r="Z955">
        <v>0</v>
      </c>
      <c r="AB955">
        <f>AND(IF(metadata!B955="",FALSE,TRUE),COUNTIF(metadata!B:B, metadata!B955) = 1,NOT(ISERROR(SUMPRODUCT(SEARCH(MID(metadata!B955,ROW(INDIRECT("1:"&amp;LEN(metadata!B955))), 1),"0123456789abcdefghijklmnopqrstuvwxyzABCDEFGHIJKLMNOPQRSTUVWXYZ.")))))</f>
        <v>0</v>
      </c>
      <c r="AC955">
        <f>OR(AND(IF(metadata!C955="",FALSE,TRUE),OR(exact(metadata!C955,"missing: not collected"),exact(metadata!C955,"missing: not provided"),exact(metadata!C955,"missing: restricted access"))),AND(IF(metadata!C955="",FALSE,TRUE),AND(AND(IFERROR(INT(LEFT(metadata!C955,4))&gt;1900,FALSE),IFERROR(INT(LEFT(metadata!C955,4))&lt;=YEAR(NOW()),FALSE)), OR(MID(metadata!C955,5,1)="", AND(AND(MID(metadata!C955,5,1)="-",IFERROR(INT(MID(metadata!C955,6,1))&gt;=0,FALSE),IFERROR(INT(MID(metadata!C955,6,1))&lt;=1,FALSE),NOT(MID(metadata!C955,7,1)=""),IFERROR(INT(MID(metadata!C955,6,2))&gt;=1,FALSE),IFERROR(INT(MID(metadata!C955,6,2))&lt;=12,FALSE)), OR(MID(metadata!C955,8,1)="", AND(AND(MID(metadata!C955,8,1)="-",IFERROR(INT(MID(metadata!C955,9,1))&gt;=0,FALSE),IFERROR(INT(MID(metadata!C955,9,1))&lt;=3,FALSE),NOT(MID(metadata!C955,10,1)=""),IFERROR(INT(MID(metadata!C955,9,2))&gt;=1,FALSE),IFERROR(INT(MID(metadata!C955,9,2))&lt;=31,FALSE)), OR(MID(metadata!C955,11,1)="", AND(AND(MID(metadata!C955,11,1)=" ",IFERROR(INT(MID(metadata!C955,12,1))&gt;=0,FALSE),IFERROR(INT(MID(metadata!C955,12,1))&lt;=2,FALSE),NOT(MID(metadata!C955,13,1)=""),IFERROR(INT(MID(metadata!C955,12,2))&gt;=0,FALSE),IFERROR(INT(MID(metadata!C955,12,2))&lt;=23,FALSE)), OR(MID(metadata!C955,14,1)="", AND(AND(MID(metadata!C955,14,1)=":",IFERROR(INT(MID(metadata!C955,15,1))&gt;=0,FALSE),IFERROR(INT(MID(metadata!C955,15,1))&lt;=5,FALSE),NOT(MID(metadata!C955,16,1)=""),IFERROR(INT(MID(metadata!C955,15,2))&gt;=0,FALSE),IFERROR(INT(MID(metadata!C955,15,2))&lt;=59,FALSE)), OR(MID(metadata!C955,17,1)="", AND(AND(MID(metadata!C955,17,1)=":",IFERROR(INT(MID(metadata!C955,18,1))&gt;=0,FALSE),IFERROR(INT(MID(metadata!C955,18,1))&lt;=5,FALSE),NOT(MID(metadata!C955,19,1)=""),IFERROR(INT(MID(metadata!C955,18,2))&gt;=0,FALSE),IFERROR(INT(MID(metadata!C955,18,2))&lt;=59,FALSE)), LEN(metadata!C955)&lt;=19)))))))))))))</f>
        <v>0</v>
      </c>
      <c r="AD955">
        <f>IF(metadata!D955="",FALSE,TRUE)</f>
        <v>0</v>
      </c>
      <c r="AE955">
        <f>OR(AND(IF(metadata!E955="",FALSE,TRUE),OR(exact(metadata!E955,"missing: not collected"),exact(metadata!E955,"missing: not provided"))),AND(IF(metadata!E955="",FALSE,TRUE),OR(exact(metadata!E955,"TRUE"),exact(metadata!E955,"FALSE"))))</f>
        <v>0</v>
      </c>
      <c r="AF955">
        <f>IF(metadata!F955="",FALSE,TRUE)</f>
        <v>0</v>
      </c>
      <c r="AG955">
        <f>IF(metadata!G955="",FALSE,TRUE)</f>
        <v>0</v>
      </c>
      <c r="AH955">
        <f>IF(metadata!H955="",FALSE,TRUE)</f>
        <v>0</v>
      </c>
      <c r="AI955">
        <f>OR(AND(IF(metadata!I955="",FALSE,TRUE),OR(exact(metadata!I955,"missing: not collected"),exact(metadata!I955,"missing: not provided"),exact(metadata!I955,"missing: restricted access"))),AND(IF(metadata!I955="",FALSE,TRUE),OR(exact(metadata!I955,"air"),exact(metadata!I955,"built environment"),exact(metadata!I955,"host-associated"),exact(metadata!I955,"human-associated"),exact(metadata!I955,"human-skin"),exact(metadata!I955,"human-oral"),exact(metadata!I955,"human-gut"),exact(metadata!I955,"human-vaginal"),exact(metadata!I955,"microbial mat/biofilm"),exact(metadata!I955,"misc environment"),exact(metadata!I955,"plant-associated"),exact(metadata!I955,"sediment"),exact(metadata!I955,"soil"),exact(metadata!I955,"wastewater/sludge"),exact(metadata!I955,"water"))))</f>
        <v>0</v>
      </c>
      <c r="AJ955">
        <f>IF(metadata!J955="",FALSE,TRUE)</f>
        <v>0</v>
      </c>
      <c r="AK955">
        <f>OR(AND(IF(metadata!K955="",FALSE,TRUE),OR(exact(metadata!K955,"missing: not collected"),exact(metadata!K955,"missing: not provided"),exact(metadata!K955,"missing: restricted access"))),AND(IF(metadata!K955="",FALSE,ISNUMBER(VALUE(metadata!K955))),metadata!K955&gt;=-90.00,metadata!K955&lt;=90.00))</f>
        <v>0</v>
      </c>
      <c r="AL955">
        <f>OR(AND(IF(metadata!L955="",FALSE,TRUE),OR(exact(metadata!L955,"missing: not collected"),exact(metadata!L955,"missing: not provided"),exact(metadata!L955,"missing: restricted access"))),AND(IF(metadata!L955="",FALSE,ISNUMBER(VALUE(metadata!L955))),metadata!L955&gt;=-180.00,metadata!L955&lt;=180.00))</f>
        <v>0</v>
      </c>
      <c r="AM955">
        <f>IF(metadata!M955="",FALSE,TRUE)</f>
        <v>0</v>
      </c>
      <c r="AN955">
        <f>OR(AND(IF(metadata!N955="",FALSE,TRUE),OR(exact(metadata!N955,"missing: not collected"),exact(metadata!N955,"missing: not provided"),exact(metadata!N955,"missing: restricted access"))),AND(IF(metadata!N955="",FALSE,TRUE),OR(exact(metadata!N955,"TRUE"),exact(metadata!N955,"FALSE"))))</f>
        <v>0</v>
      </c>
      <c r="AO955">
        <f>IF(metadata!O955="",FALSE,TRUE)</f>
        <v>0</v>
      </c>
      <c r="AP955">
        <f>OR(AND(IF(metadata!P955="",FALSE,TRUE),OR(exact(metadata!P955,"missing: not collected"),exact(metadata!P955,"missing: not provided"))),AND(IF(metadata!P955="",FALSE,IF(ISERROR(INT(metadata!P955)),FALSE,INT(metadata!P955)=metadata!P955)),metadata!P955&gt;0))</f>
        <v>0</v>
      </c>
      <c r="AQ955">
        <f>IF(metadata!Q955="",FALSE,TRUE)</f>
        <v>0</v>
      </c>
    </row>
    <row r="956" spans="1:43">
      <c r="A956" s="5">
        <f>IF(B956=" "," ",HYPERLINK(CONCATENATE("#metadata!",ADDRESS(INDEX($W$2:$W$1001,MATCH(ROWS($U$2:U956),$U$2:$U$1001,0),0),1)),INDEX($Z$2:$Z$1001,MATCH(ROWS($U$2:U956),$U$2:$U$1001,0),0)))</f>
        <v>0</v>
      </c>
      <c r="B956" s="4">
        <f>IF(OR(INDEX($V$2:$V$1001,MATCH(ROWS($U$2:U956),$U$2:$U$1001,0),1)&gt;=100000,INDEX($AB$1005:$AQ$1005,1,MATCH(COLUMNS($AB$1006:AB1006),$AB$1006:$AQ$1006,0))&gt;=100000), " ",IF(INDEX($AB$2:$AQ$1001,MATCH(ROWS($U$2:U956),$U$2:$U$1001,0),MATCH(COLUMNS($AB$1006:AB1006),$AB$1006:$AQ$1006,0)), HYPERLINK("#",""), HYPERLINK(CONCATENATE("#metadata!", ADDRESS(INDEX($W$2:$W$1001,MATCH(ROWS($U$2:U956),$U$2:$U$1001,0),0), INDEX($AB$1004:$AQ$1004,1,MATCH(COLUMNS($AB$1006:AB1006),$AB$1006:$AQ$1006,0)))),"Fix")))</f>
        <v>0</v>
      </c>
      <c r="C956" s="4">
        <f>IF(OR(INDEX($V$2:$V$1001,MATCH(ROWS($U$2:U956),$U$2:$U$1001,0),1)&gt;=100000,INDEX($AB$1005:$AQ$1005,1,MATCH(COLUMNS($AB$1006:AC1006),$AB$1006:$AQ$1006,0))&gt;=100000), " ",IF(INDEX($AB$2:$AQ$1001,MATCH(ROWS($U$2:U956),$U$2:$U$1001,0),MATCH(COLUMNS($AB$1006:AC1006),$AB$1006:$AQ$1006,0)), HYPERLINK("#",""), HYPERLINK(CONCATENATE("#metadata!", ADDRESS(INDEX($W$2:$W$1001,MATCH(ROWS($U$2:U956),$U$2:$U$1001,0),0), INDEX($AB$1004:$AQ$1004,1,MATCH(COLUMNS($AB$1006:AC1006),$AB$1006:$AQ$1006,0)))),"Fix")))</f>
        <v>0</v>
      </c>
      <c r="D956" s="4">
        <f>IF(OR(INDEX($V$2:$V$1001,MATCH(ROWS($U$2:U956),$U$2:$U$1001,0),1)&gt;=100000,INDEX($AB$1005:$AQ$1005,1,MATCH(COLUMNS($AB$1006:AD1006),$AB$1006:$AQ$1006,0))&gt;=100000), " ",IF(INDEX($AB$2:$AQ$1001,MATCH(ROWS($U$2:U956),$U$2:$U$1001,0),MATCH(COLUMNS($AB$1006:AD1006),$AB$1006:$AQ$1006,0)), HYPERLINK("#",""), HYPERLINK(CONCATENATE("#metadata!", ADDRESS(INDEX($W$2:$W$1001,MATCH(ROWS($U$2:U956),$U$2:$U$1001,0),0), INDEX($AB$1004:$AQ$1004,1,MATCH(COLUMNS($AB$1006:AD1006),$AB$1006:$AQ$1006,0)))),"Fix")))</f>
        <v>0</v>
      </c>
      <c r="E956" s="4">
        <f>IF(OR(INDEX($V$2:$V$1001,MATCH(ROWS($U$2:U956),$U$2:$U$1001,0),1)&gt;=100000,INDEX($AB$1005:$AQ$1005,1,MATCH(COLUMNS($AB$1006:AE1006),$AB$1006:$AQ$1006,0))&gt;=100000), " ",IF(INDEX($AB$2:$AQ$1001,MATCH(ROWS($U$2:U956),$U$2:$U$1001,0),MATCH(COLUMNS($AB$1006:AE1006),$AB$1006:$AQ$1006,0)), HYPERLINK("#",""), HYPERLINK(CONCATENATE("#metadata!", ADDRESS(INDEX($W$2:$W$1001,MATCH(ROWS($U$2:U956),$U$2:$U$1001,0),0), INDEX($AB$1004:$AQ$1004,1,MATCH(COLUMNS($AB$1006:AE1006),$AB$1006:$AQ$1006,0)))),"Fix")))</f>
        <v>0</v>
      </c>
      <c r="F956" s="4">
        <f>IF(OR(INDEX($V$2:$V$1001,MATCH(ROWS($U$2:U956),$U$2:$U$1001,0),1)&gt;=100000,INDEX($AB$1005:$AQ$1005,1,MATCH(COLUMNS($AB$1006:AF1006),$AB$1006:$AQ$1006,0))&gt;=100000), " ",IF(INDEX($AB$2:$AQ$1001,MATCH(ROWS($U$2:U956),$U$2:$U$1001,0),MATCH(COLUMNS($AB$1006:AF1006),$AB$1006:$AQ$1006,0)), HYPERLINK("#",""), HYPERLINK(CONCATENATE("#metadata!", ADDRESS(INDEX($W$2:$W$1001,MATCH(ROWS($U$2:U956),$U$2:$U$1001,0),0), INDEX($AB$1004:$AQ$1004,1,MATCH(COLUMNS($AB$1006:AF1006),$AB$1006:$AQ$1006,0)))),"Fix")))</f>
        <v>0</v>
      </c>
      <c r="G956" s="4">
        <f>IF(OR(INDEX($V$2:$V$1001,MATCH(ROWS($U$2:U956),$U$2:$U$1001,0),1)&gt;=100000,INDEX($AB$1005:$AQ$1005,1,MATCH(COLUMNS($AB$1006:AG1006),$AB$1006:$AQ$1006,0))&gt;=100000), " ",IF(INDEX($AB$2:$AQ$1001,MATCH(ROWS($U$2:U956),$U$2:$U$1001,0),MATCH(COLUMNS($AB$1006:AG1006),$AB$1006:$AQ$1006,0)), HYPERLINK("#",""), HYPERLINK(CONCATENATE("#metadata!", ADDRESS(INDEX($W$2:$W$1001,MATCH(ROWS($U$2:U956),$U$2:$U$1001,0),0), INDEX($AB$1004:$AQ$1004,1,MATCH(COLUMNS($AB$1006:AG1006),$AB$1006:$AQ$1006,0)))),"Fix")))</f>
        <v>0</v>
      </c>
      <c r="H956" s="4">
        <f>IF(OR(INDEX($V$2:$V$1001,MATCH(ROWS($U$2:U956),$U$2:$U$1001,0),1)&gt;=100000,INDEX($AB$1005:$AQ$1005,1,MATCH(COLUMNS($AB$1006:AH1006),$AB$1006:$AQ$1006,0))&gt;=100000), " ",IF(INDEX($AB$2:$AQ$1001,MATCH(ROWS($U$2:U956),$U$2:$U$1001,0),MATCH(COLUMNS($AB$1006:AH1006),$AB$1006:$AQ$1006,0)), HYPERLINK("#",""), HYPERLINK(CONCATENATE("#metadata!", ADDRESS(INDEX($W$2:$W$1001,MATCH(ROWS($U$2:U956),$U$2:$U$1001,0),0), INDEX($AB$1004:$AQ$1004,1,MATCH(COLUMNS($AB$1006:AH1006),$AB$1006:$AQ$1006,0)))),"Fix")))</f>
        <v>0</v>
      </c>
      <c r="I956" s="4">
        <f>IF(OR(INDEX($V$2:$V$1001,MATCH(ROWS($U$2:U956),$U$2:$U$1001,0),1)&gt;=100000,INDEX($AB$1005:$AQ$1005,1,MATCH(COLUMNS($AB$1006:AI1006),$AB$1006:$AQ$1006,0))&gt;=100000), " ",IF(INDEX($AB$2:$AQ$1001,MATCH(ROWS($U$2:U956),$U$2:$U$1001,0),MATCH(COLUMNS($AB$1006:AI1006),$AB$1006:$AQ$1006,0)), HYPERLINK("#",""), HYPERLINK(CONCATENATE("#metadata!", ADDRESS(INDEX($W$2:$W$1001,MATCH(ROWS($U$2:U956),$U$2:$U$1001,0),0), INDEX($AB$1004:$AQ$1004,1,MATCH(COLUMNS($AB$1006:AI1006),$AB$1006:$AQ$1006,0)))),"Fix")))</f>
        <v>0</v>
      </c>
      <c r="J956" s="4">
        <f>IF(OR(INDEX($V$2:$V$1001,MATCH(ROWS($U$2:U956),$U$2:$U$1001,0),1)&gt;=100000,INDEX($AB$1005:$AQ$1005,1,MATCH(COLUMNS($AB$1006:AJ1006),$AB$1006:$AQ$1006,0))&gt;=100000), " ",IF(INDEX($AB$2:$AQ$1001,MATCH(ROWS($U$2:U956),$U$2:$U$1001,0),MATCH(COLUMNS($AB$1006:AJ1006),$AB$1006:$AQ$1006,0)), HYPERLINK("#",""), HYPERLINK(CONCATENATE("#metadata!", ADDRESS(INDEX($W$2:$W$1001,MATCH(ROWS($U$2:U956),$U$2:$U$1001,0),0), INDEX($AB$1004:$AQ$1004,1,MATCH(COLUMNS($AB$1006:AJ1006),$AB$1006:$AQ$1006,0)))),"Fix")))</f>
        <v>0</v>
      </c>
      <c r="K956" s="4">
        <f>IF(OR(INDEX($V$2:$V$1001,MATCH(ROWS($U$2:U956),$U$2:$U$1001,0),1)&gt;=100000,INDEX($AB$1005:$AQ$1005,1,MATCH(COLUMNS($AB$1006:AK1006),$AB$1006:$AQ$1006,0))&gt;=100000), " ",IF(INDEX($AB$2:$AQ$1001,MATCH(ROWS($U$2:U956),$U$2:$U$1001,0),MATCH(COLUMNS($AB$1006:AK1006),$AB$1006:$AQ$1006,0)), HYPERLINK("#",""), HYPERLINK(CONCATENATE("#metadata!", ADDRESS(INDEX($W$2:$W$1001,MATCH(ROWS($U$2:U956),$U$2:$U$1001,0),0), INDEX($AB$1004:$AQ$1004,1,MATCH(COLUMNS($AB$1006:AK1006),$AB$1006:$AQ$1006,0)))),"Fix")))</f>
        <v>0</v>
      </c>
      <c r="L956" s="4">
        <f>IF(OR(INDEX($V$2:$V$1001,MATCH(ROWS($U$2:U956),$U$2:$U$1001,0),1)&gt;=100000,INDEX($AB$1005:$AQ$1005,1,MATCH(COLUMNS($AB$1006:AL1006),$AB$1006:$AQ$1006,0))&gt;=100000), " ",IF(INDEX($AB$2:$AQ$1001,MATCH(ROWS($U$2:U956),$U$2:$U$1001,0),MATCH(COLUMNS($AB$1006:AL1006),$AB$1006:$AQ$1006,0)), HYPERLINK("#",""), HYPERLINK(CONCATENATE("#metadata!", ADDRESS(INDEX($W$2:$W$1001,MATCH(ROWS($U$2:U956),$U$2:$U$1001,0),0), INDEX($AB$1004:$AQ$1004,1,MATCH(COLUMNS($AB$1006:AL1006),$AB$1006:$AQ$1006,0)))),"Fix")))</f>
        <v>0</v>
      </c>
      <c r="M956" s="4">
        <f>IF(OR(INDEX($V$2:$V$1001,MATCH(ROWS($U$2:U956),$U$2:$U$1001,0),1)&gt;=100000,INDEX($AB$1005:$AQ$1005,1,MATCH(COLUMNS($AB$1006:AM1006),$AB$1006:$AQ$1006,0))&gt;=100000), " ",IF(INDEX($AB$2:$AQ$1001,MATCH(ROWS($U$2:U956),$U$2:$U$1001,0),MATCH(COLUMNS($AB$1006:AM1006),$AB$1006:$AQ$1006,0)), HYPERLINK("#",""), HYPERLINK(CONCATENATE("#metadata!", ADDRESS(INDEX($W$2:$W$1001,MATCH(ROWS($U$2:U956),$U$2:$U$1001,0),0), INDEX($AB$1004:$AQ$1004,1,MATCH(COLUMNS($AB$1006:AM1006),$AB$1006:$AQ$1006,0)))),"Fix")))</f>
        <v>0</v>
      </c>
      <c r="N956" s="4">
        <f>IF(OR(INDEX($V$2:$V$1001,MATCH(ROWS($U$2:U956),$U$2:$U$1001,0),1)&gt;=100000,INDEX($AB$1005:$AQ$1005,1,MATCH(COLUMNS($AB$1006:AN1006),$AB$1006:$AQ$1006,0))&gt;=100000), " ",IF(INDEX($AB$2:$AQ$1001,MATCH(ROWS($U$2:U956),$U$2:$U$1001,0),MATCH(COLUMNS($AB$1006:AN1006),$AB$1006:$AQ$1006,0)), HYPERLINK("#",""), HYPERLINK(CONCATENATE("#metadata!", ADDRESS(INDEX($W$2:$W$1001,MATCH(ROWS($U$2:U956),$U$2:$U$1001,0),0), INDEX($AB$1004:$AQ$1004,1,MATCH(COLUMNS($AB$1006:AN1006),$AB$1006:$AQ$1006,0)))),"Fix")))</f>
        <v>0</v>
      </c>
      <c r="O956" s="4">
        <f>IF(OR(INDEX($V$2:$V$1001,MATCH(ROWS($U$2:U956),$U$2:$U$1001,0),1)&gt;=100000,INDEX($AB$1005:$AQ$1005,1,MATCH(COLUMNS($AB$1006:AO1006),$AB$1006:$AQ$1006,0))&gt;=100000), " ",IF(INDEX($AB$2:$AQ$1001,MATCH(ROWS($U$2:U956),$U$2:$U$1001,0),MATCH(COLUMNS($AB$1006:AO1006),$AB$1006:$AQ$1006,0)), HYPERLINK("#",""), HYPERLINK(CONCATENATE("#metadata!", ADDRESS(INDEX($W$2:$W$1001,MATCH(ROWS($U$2:U956),$U$2:$U$1001,0),0), INDEX($AB$1004:$AQ$1004,1,MATCH(COLUMNS($AB$1006:AO1006),$AB$1006:$AQ$1006,0)))),"Fix")))</f>
        <v>0</v>
      </c>
      <c r="P956" s="4">
        <f>IF(OR(INDEX($V$2:$V$1001,MATCH(ROWS($U$2:U956),$U$2:$U$1001,0),1)&gt;=100000,INDEX($AB$1005:$AQ$1005,1,MATCH(COLUMNS($AB$1006:AP1006),$AB$1006:$AQ$1006,0))&gt;=100000), " ",IF(INDEX($AB$2:$AQ$1001,MATCH(ROWS($U$2:U956),$U$2:$U$1001,0),MATCH(COLUMNS($AB$1006:AP1006),$AB$1006:$AQ$1006,0)), HYPERLINK("#",""), HYPERLINK(CONCATENATE("#metadata!", ADDRESS(INDEX($W$2:$W$1001,MATCH(ROWS($U$2:U956),$U$2:$U$1001,0),0), INDEX($AB$1004:$AQ$1004,1,MATCH(COLUMNS($AB$1006:AP1006),$AB$1006:$AQ$1006,0)))),"Fix")))</f>
        <v>0</v>
      </c>
      <c r="Q956" s="4">
        <f>IF(OR(INDEX($V$2:$V$1001,MATCH(ROWS($U$2:U956),$U$2:$U$1001,0),1)&gt;=100000,INDEX($AB$1005:$AQ$1005,1,MATCH(COLUMNS($AB$1006:AQ1006),$AB$1006:$AQ$1006,0))&gt;=100000), " ",IF(INDEX($AB$2:$AQ$1001,MATCH(ROWS($U$2:U956),$U$2:$U$1001,0),MATCH(COLUMNS($AB$1006:AQ1006),$AB$1006:$AQ$1006,0)), HYPERLINK("#",""), HYPERLINK(CONCATENATE("#metadata!", ADDRESS(INDEX($W$2:$W$1001,MATCH(ROWS($U$2:U956),$U$2:$U$1001,0),0), INDEX($AB$1004:$AQ$1004,1,MATCH(COLUMNS($AB$1006:AQ1006),$AB$1006:$AQ$1006,0)))),"Fix")))</f>
        <v>0</v>
      </c>
      <c r="U956">
        <v>0</v>
      </c>
      <c r="V956">
        <v>0</v>
      </c>
      <c r="W956">
        <v>0</v>
      </c>
      <c r="X956">
        <f>IF(Y956,TRUE,AND(AB956:AQ956))</f>
        <v>0</v>
      </c>
      <c r="Y956">
        <f>COUNTBLANK(metadata!B956:Q956)=COLUMNS(metadata!B956:Q956)</f>
        <v>0</v>
      </c>
      <c r="Z956">
        <v>0</v>
      </c>
      <c r="AB956">
        <f>AND(IF(metadata!B956="",FALSE,TRUE),COUNTIF(metadata!B:B, metadata!B956) = 1,NOT(ISERROR(SUMPRODUCT(SEARCH(MID(metadata!B956,ROW(INDIRECT("1:"&amp;LEN(metadata!B956))), 1),"0123456789abcdefghijklmnopqrstuvwxyzABCDEFGHIJKLMNOPQRSTUVWXYZ.")))))</f>
        <v>0</v>
      </c>
      <c r="AC956">
        <f>OR(AND(IF(metadata!C956="",FALSE,TRUE),OR(exact(metadata!C956,"missing: not collected"),exact(metadata!C956,"missing: not provided"),exact(metadata!C956,"missing: restricted access"))),AND(IF(metadata!C956="",FALSE,TRUE),AND(AND(IFERROR(INT(LEFT(metadata!C956,4))&gt;1900,FALSE),IFERROR(INT(LEFT(metadata!C956,4))&lt;=YEAR(NOW()),FALSE)), OR(MID(metadata!C956,5,1)="", AND(AND(MID(metadata!C956,5,1)="-",IFERROR(INT(MID(metadata!C956,6,1))&gt;=0,FALSE),IFERROR(INT(MID(metadata!C956,6,1))&lt;=1,FALSE),NOT(MID(metadata!C956,7,1)=""),IFERROR(INT(MID(metadata!C956,6,2))&gt;=1,FALSE),IFERROR(INT(MID(metadata!C956,6,2))&lt;=12,FALSE)), OR(MID(metadata!C956,8,1)="", AND(AND(MID(metadata!C956,8,1)="-",IFERROR(INT(MID(metadata!C956,9,1))&gt;=0,FALSE),IFERROR(INT(MID(metadata!C956,9,1))&lt;=3,FALSE),NOT(MID(metadata!C956,10,1)=""),IFERROR(INT(MID(metadata!C956,9,2))&gt;=1,FALSE),IFERROR(INT(MID(metadata!C956,9,2))&lt;=31,FALSE)), OR(MID(metadata!C956,11,1)="", AND(AND(MID(metadata!C956,11,1)=" ",IFERROR(INT(MID(metadata!C956,12,1))&gt;=0,FALSE),IFERROR(INT(MID(metadata!C956,12,1))&lt;=2,FALSE),NOT(MID(metadata!C956,13,1)=""),IFERROR(INT(MID(metadata!C956,12,2))&gt;=0,FALSE),IFERROR(INT(MID(metadata!C956,12,2))&lt;=23,FALSE)), OR(MID(metadata!C956,14,1)="", AND(AND(MID(metadata!C956,14,1)=":",IFERROR(INT(MID(metadata!C956,15,1))&gt;=0,FALSE),IFERROR(INT(MID(metadata!C956,15,1))&lt;=5,FALSE),NOT(MID(metadata!C956,16,1)=""),IFERROR(INT(MID(metadata!C956,15,2))&gt;=0,FALSE),IFERROR(INT(MID(metadata!C956,15,2))&lt;=59,FALSE)), OR(MID(metadata!C956,17,1)="", AND(AND(MID(metadata!C956,17,1)=":",IFERROR(INT(MID(metadata!C956,18,1))&gt;=0,FALSE),IFERROR(INT(MID(metadata!C956,18,1))&lt;=5,FALSE),NOT(MID(metadata!C956,19,1)=""),IFERROR(INT(MID(metadata!C956,18,2))&gt;=0,FALSE),IFERROR(INT(MID(metadata!C956,18,2))&lt;=59,FALSE)), LEN(metadata!C956)&lt;=19)))))))))))))</f>
        <v>0</v>
      </c>
      <c r="AD956">
        <f>IF(metadata!D956="",FALSE,TRUE)</f>
        <v>0</v>
      </c>
      <c r="AE956">
        <f>OR(AND(IF(metadata!E956="",FALSE,TRUE),OR(exact(metadata!E956,"missing: not collected"),exact(metadata!E956,"missing: not provided"))),AND(IF(metadata!E956="",FALSE,TRUE),OR(exact(metadata!E956,"TRUE"),exact(metadata!E956,"FALSE"))))</f>
        <v>0</v>
      </c>
      <c r="AF956">
        <f>IF(metadata!F956="",FALSE,TRUE)</f>
        <v>0</v>
      </c>
      <c r="AG956">
        <f>IF(metadata!G956="",FALSE,TRUE)</f>
        <v>0</v>
      </c>
      <c r="AH956">
        <f>IF(metadata!H956="",FALSE,TRUE)</f>
        <v>0</v>
      </c>
      <c r="AI956">
        <f>OR(AND(IF(metadata!I956="",FALSE,TRUE),OR(exact(metadata!I956,"missing: not collected"),exact(metadata!I956,"missing: not provided"),exact(metadata!I956,"missing: restricted access"))),AND(IF(metadata!I956="",FALSE,TRUE),OR(exact(metadata!I956,"air"),exact(metadata!I956,"built environment"),exact(metadata!I956,"host-associated"),exact(metadata!I956,"human-associated"),exact(metadata!I956,"human-skin"),exact(metadata!I956,"human-oral"),exact(metadata!I956,"human-gut"),exact(metadata!I956,"human-vaginal"),exact(metadata!I956,"microbial mat/biofilm"),exact(metadata!I956,"misc environment"),exact(metadata!I956,"plant-associated"),exact(metadata!I956,"sediment"),exact(metadata!I956,"soil"),exact(metadata!I956,"wastewater/sludge"),exact(metadata!I956,"water"))))</f>
        <v>0</v>
      </c>
      <c r="AJ956">
        <f>IF(metadata!J956="",FALSE,TRUE)</f>
        <v>0</v>
      </c>
      <c r="AK956">
        <f>OR(AND(IF(metadata!K956="",FALSE,TRUE),OR(exact(metadata!K956,"missing: not collected"),exact(metadata!K956,"missing: not provided"),exact(metadata!K956,"missing: restricted access"))),AND(IF(metadata!K956="",FALSE,ISNUMBER(VALUE(metadata!K956))),metadata!K956&gt;=-90.00,metadata!K956&lt;=90.00))</f>
        <v>0</v>
      </c>
      <c r="AL956">
        <f>OR(AND(IF(metadata!L956="",FALSE,TRUE),OR(exact(metadata!L956,"missing: not collected"),exact(metadata!L956,"missing: not provided"),exact(metadata!L956,"missing: restricted access"))),AND(IF(metadata!L956="",FALSE,ISNUMBER(VALUE(metadata!L956))),metadata!L956&gt;=-180.00,metadata!L956&lt;=180.00))</f>
        <v>0</v>
      </c>
      <c r="AM956">
        <f>IF(metadata!M956="",FALSE,TRUE)</f>
        <v>0</v>
      </c>
      <c r="AN956">
        <f>OR(AND(IF(metadata!N956="",FALSE,TRUE),OR(exact(metadata!N956,"missing: not collected"),exact(metadata!N956,"missing: not provided"),exact(metadata!N956,"missing: restricted access"))),AND(IF(metadata!N956="",FALSE,TRUE),OR(exact(metadata!N956,"TRUE"),exact(metadata!N956,"FALSE"))))</f>
        <v>0</v>
      </c>
      <c r="AO956">
        <f>IF(metadata!O956="",FALSE,TRUE)</f>
        <v>0</v>
      </c>
      <c r="AP956">
        <f>OR(AND(IF(metadata!P956="",FALSE,TRUE),OR(exact(metadata!P956,"missing: not collected"),exact(metadata!P956,"missing: not provided"))),AND(IF(metadata!P956="",FALSE,IF(ISERROR(INT(metadata!P956)),FALSE,INT(metadata!P956)=metadata!P956)),metadata!P956&gt;0))</f>
        <v>0</v>
      </c>
      <c r="AQ956">
        <f>IF(metadata!Q956="",FALSE,TRUE)</f>
        <v>0</v>
      </c>
    </row>
    <row r="957" spans="1:43">
      <c r="A957" s="5">
        <f>IF(B957=" "," ",HYPERLINK(CONCATENATE("#metadata!",ADDRESS(INDEX($W$2:$W$1001,MATCH(ROWS($U$2:U957),$U$2:$U$1001,0),0),1)),INDEX($Z$2:$Z$1001,MATCH(ROWS($U$2:U957),$U$2:$U$1001,0),0)))</f>
        <v>0</v>
      </c>
      <c r="B957" s="4">
        <f>IF(OR(INDEX($V$2:$V$1001,MATCH(ROWS($U$2:U957),$U$2:$U$1001,0),1)&gt;=100000,INDEX($AB$1005:$AQ$1005,1,MATCH(COLUMNS($AB$1006:AB1006),$AB$1006:$AQ$1006,0))&gt;=100000), " ",IF(INDEX($AB$2:$AQ$1001,MATCH(ROWS($U$2:U957),$U$2:$U$1001,0),MATCH(COLUMNS($AB$1006:AB1006),$AB$1006:$AQ$1006,0)), HYPERLINK("#",""), HYPERLINK(CONCATENATE("#metadata!", ADDRESS(INDEX($W$2:$W$1001,MATCH(ROWS($U$2:U957),$U$2:$U$1001,0),0), INDEX($AB$1004:$AQ$1004,1,MATCH(COLUMNS($AB$1006:AB1006),$AB$1006:$AQ$1006,0)))),"Fix")))</f>
        <v>0</v>
      </c>
      <c r="C957" s="4">
        <f>IF(OR(INDEX($V$2:$V$1001,MATCH(ROWS($U$2:U957),$U$2:$U$1001,0),1)&gt;=100000,INDEX($AB$1005:$AQ$1005,1,MATCH(COLUMNS($AB$1006:AC1006),$AB$1006:$AQ$1006,0))&gt;=100000), " ",IF(INDEX($AB$2:$AQ$1001,MATCH(ROWS($U$2:U957),$U$2:$U$1001,0),MATCH(COLUMNS($AB$1006:AC1006),$AB$1006:$AQ$1006,0)), HYPERLINK("#",""), HYPERLINK(CONCATENATE("#metadata!", ADDRESS(INDEX($W$2:$W$1001,MATCH(ROWS($U$2:U957),$U$2:$U$1001,0),0), INDEX($AB$1004:$AQ$1004,1,MATCH(COLUMNS($AB$1006:AC1006),$AB$1006:$AQ$1006,0)))),"Fix")))</f>
        <v>0</v>
      </c>
      <c r="D957" s="4">
        <f>IF(OR(INDEX($V$2:$V$1001,MATCH(ROWS($U$2:U957),$U$2:$U$1001,0),1)&gt;=100000,INDEX($AB$1005:$AQ$1005,1,MATCH(COLUMNS($AB$1006:AD1006),$AB$1006:$AQ$1006,0))&gt;=100000), " ",IF(INDEX($AB$2:$AQ$1001,MATCH(ROWS($U$2:U957),$U$2:$U$1001,0),MATCH(COLUMNS($AB$1006:AD1006),$AB$1006:$AQ$1006,0)), HYPERLINK("#",""), HYPERLINK(CONCATENATE("#metadata!", ADDRESS(INDEX($W$2:$W$1001,MATCH(ROWS($U$2:U957),$U$2:$U$1001,0),0), INDEX($AB$1004:$AQ$1004,1,MATCH(COLUMNS($AB$1006:AD1006),$AB$1006:$AQ$1006,0)))),"Fix")))</f>
        <v>0</v>
      </c>
      <c r="E957" s="4">
        <f>IF(OR(INDEX($V$2:$V$1001,MATCH(ROWS($U$2:U957),$U$2:$U$1001,0),1)&gt;=100000,INDEX($AB$1005:$AQ$1005,1,MATCH(COLUMNS($AB$1006:AE1006),$AB$1006:$AQ$1006,0))&gt;=100000), " ",IF(INDEX($AB$2:$AQ$1001,MATCH(ROWS($U$2:U957),$U$2:$U$1001,0),MATCH(COLUMNS($AB$1006:AE1006),$AB$1006:$AQ$1006,0)), HYPERLINK("#",""), HYPERLINK(CONCATENATE("#metadata!", ADDRESS(INDEX($W$2:$W$1001,MATCH(ROWS($U$2:U957),$U$2:$U$1001,0),0), INDEX($AB$1004:$AQ$1004,1,MATCH(COLUMNS($AB$1006:AE1006),$AB$1006:$AQ$1006,0)))),"Fix")))</f>
        <v>0</v>
      </c>
      <c r="F957" s="4">
        <f>IF(OR(INDEX($V$2:$V$1001,MATCH(ROWS($U$2:U957),$U$2:$U$1001,0),1)&gt;=100000,INDEX($AB$1005:$AQ$1005,1,MATCH(COLUMNS($AB$1006:AF1006),$AB$1006:$AQ$1006,0))&gt;=100000), " ",IF(INDEX($AB$2:$AQ$1001,MATCH(ROWS($U$2:U957),$U$2:$U$1001,0),MATCH(COLUMNS($AB$1006:AF1006),$AB$1006:$AQ$1006,0)), HYPERLINK("#",""), HYPERLINK(CONCATENATE("#metadata!", ADDRESS(INDEX($W$2:$W$1001,MATCH(ROWS($U$2:U957),$U$2:$U$1001,0),0), INDEX($AB$1004:$AQ$1004,1,MATCH(COLUMNS($AB$1006:AF1006),$AB$1006:$AQ$1006,0)))),"Fix")))</f>
        <v>0</v>
      </c>
      <c r="G957" s="4">
        <f>IF(OR(INDEX($V$2:$V$1001,MATCH(ROWS($U$2:U957),$U$2:$U$1001,0),1)&gt;=100000,INDEX($AB$1005:$AQ$1005,1,MATCH(COLUMNS($AB$1006:AG1006),$AB$1006:$AQ$1006,0))&gt;=100000), " ",IF(INDEX($AB$2:$AQ$1001,MATCH(ROWS($U$2:U957),$U$2:$U$1001,0),MATCH(COLUMNS($AB$1006:AG1006),$AB$1006:$AQ$1006,0)), HYPERLINK("#",""), HYPERLINK(CONCATENATE("#metadata!", ADDRESS(INDEX($W$2:$W$1001,MATCH(ROWS($U$2:U957),$U$2:$U$1001,0),0), INDEX($AB$1004:$AQ$1004,1,MATCH(COLUMNS($AB$1006:AG1006),$AB$1006:$AQ$1006,0)))),"Fix")))</f>
        <v>0</v>
      </c>
      <c r="H957" s="4">
        <f>IF(OR(INDEX($V$2:$V$1001,MATCH(ROWS($U$2:U957),$U$2:$U$1001,0),1)&gt;=100000,INDEX($AB$1005:$AQ$1005,1,MATCH(COLUMNS($AB$1006:AH1006),$AB$1006:$AQ$1006,0))&gt;=100000), " ",IF(INDEX($AB$2:$AQ$1001,MATCH(ROWS($U$2:U957),$U$2:$U$1001,0),MATCH(COLUMNS($AB$1006:AH1006),$AB$1006:$AQ$1006,0)), HYPERLINK("#",""), HYPERLINK(CONCATENATE("#metadata!", ADDRESS(INDEX($W$2:$W$1001,MATCH(ROWS($U$2:U957),$U$2:$U$1001,0),0), INDEX($AB$1004:$AQ$1004,1,MATCH(COLUMNS($AB$1006:AH1006),$AB$1006:$AQ$1006,0)))),"Fix")))</f>
        <v>0</v>
      </c>
      <c r="I957" s="4">
        <f>IF(OR(INDEX($V$2:$V$1001,MATCH(ROWS($U$2:U957),$U$2:$U$1001,0),1)&gt;=100000,INDEX($AB$1005:$AQ$1005,1,MATCH(COLUMNS($AB$1006:AI1006),$AB$1006:$AQ$1006,0))&gt;=100000), " ",IF(INDEX($AB$2:$AQ$1001,MATCH(ROWS($U$2:U957),$U$2:$U$1001,0),MATCH(COLUMNS($AB$1006:AI1006),$AB$1006:$AQ$1006,0)), HYPERLINK("#",""), HYPERLINK(CONCATENATE("#metadata!", ADDRESS(INDEX($W$2:$W$1001,MATCH(ROWS($U$2:U957),$U$2:$U$1001,0),0), INDEX($AB$1004:$AQ$1004,1,MATCH(COLUMNS($AB$1006:AI1006),$AB$1006:$AQ$1006,0)))),"Fix")))</f>
        <v>0</v>
      </c>
      <c r="J957" s="4">
        <f>IF(OR(INDEX($V$2:$V$1001,MATCH(ROWS($U$2:U957),$U$2:$U$1001,0),1)&gt;=100000,INDEX($AB$1005:$AQ$1005,1,MATCH(COLUMNS($AB$1006:AJ1006),$AB$1006:$AQ$1006,0))&gt;=100000), " ",IF(INDEX($AB$2:$AQ$1001,MATCH(ROWS($U$2:U957),$U$2:$U$1001,0),MATCH(COLUMNS($AB$1006:AJ1006),$AB$1006:$AQ$1006,0)), HYPERLINK("#",""), HYPERLINK(CONCATENATE("#metadata!", ADDRESS(INDEX($W$2:$W$1001,MATCH(ROWS($U$2:U957),$U$2:$U$1001,0),0), INDEX($AB$1004:$AQ$1004,1,MATCH(COLUMNS($AB$1006:AJ1006),$AB$1006:$AQ$1006,0)))),"Fix")))</f>
        <v>0</v>
      </c>
      <c r="K957" s="4">
        <f>IF(OR(INDEX($V$2:$V$1001,MATCH(ROWS($U$2:U957),$U$2:$U$1001,0),1)&gt;=100000,INDEX($AB$1005:$AQ$1005,1,MATCH(COLUMNS($AB$1006:AK1006),$AB$1006:$AQ$1006,0))&gt;=100000), " ",IF(INDEX($AB$2:$AQ$1001,MATCH(ROWS($U$2:U957),$U$2:$U$1001,0),MATCH(COLUMNS($AB$1006:AK1006),$AB$1006:$AQ$1006,0)), HYPERLINK("#",""), HYPERLINK(CONCATENATE("#metadata!", ADDRESS(INDEX($W$2:$W$1001,MATCH(ROWS($U$2:U957),$U$2:$U$1001,0),0), INDEX($AB$1004:$AQ$1004,1,MATCH(COLUMNS($AB$1006:AK1006),$AB$1006:$AQ$1006,0)))),"Fix")))</f>
        <v>0</v>
      </c>
      <c r="L957" s="4">
        <f>IF(OR(INDEX($V$2:$V$1001,MATCH(ROWS($U$2:U957),$U$2:$U$1001,0),1)&gt;=100000,INDEX($AB$1005:$AQ$1005,1,MATCH(COLUMNS($AB$1006:AL1006),$AB$1006:$AQ$1006,0))&gt;=100000), " ",IF(INDEX($AB$2:$AQ$1001,MATCH(ROWS($U$2:U957),$U$2:$U$1001,0),MATCH(COLUMNS($AB$1006:AL1006),$AB$1006:$AQ$1006,0)), HYPERLINK("#",""), HYPERLINK(CONCATENATE("#metadata!", ADDRESS(INDEX($W$2:$W$1001,MATCH(ROWS($U$2:U957),$U$2:$U$1001,0),0), INDEX($AB$1004:$AQ$1004,1,MATCH(COLUMNS($AB$1006:AL1006),$AB$1006:$AQ$1006,0)))),"Fix")))</f>
        <v>0</v>
      </c>
      <c r="M957" s="4">
        <f>IF(OR(INDEX($V$2:$V$1001,MATCH(ROWS($U$2:U957),$U$2:$U$1001,0),1)&gt;=100000,INDEX($AB$1005:$AQ$1005,1,MATCH(COLUMNS($AB$1006:AM1006),$AB$1006:$AQ$1006,0))&gt;=100000), " ",IF(INDEX($AB$2:$AQ$1001,MATCH(ROWS($U$2:U957),$U$2:$U$1001,0),MATCH(COLUMNS($AB$1006:AM1006),$AB$1006:$AQ$1006,0)), HYPERLINK("#",""), HYPERLINK(CONCATENATE("#metadata!", ADDRESS(INDEX($W$2:$W$1001,MATCH(ROWS($U$2:U957),$U$2:$U$1001,0),0), INDEX($AB$1004:$AQ$1004,1,MATCH(COLUMNS($AB$1006:AM1006),$AB$1006:$AQ$1006,0)))),"Fix")))</f>
        <v>0</v>
      </c>
      <c r="N957" s="4">
        <f>IF(OR(INDEX($V$2:$V$1001,MATCH(ROWS($U$2:U957),$U$2:$U$1001,0),1)&gt;=100000,INDEX($AB$1005:$AQ$1005,1,MATCH(COLUMNS($AB$1006:AN1006),$AB$1006:$AQ$1006,0))&gt;=100000), " ",IF(INDEX($AB$2:$AQ$1001,MATCH(ROWS($U$2:U957),$U$2:$U$1001,0),MATCH(COLUMNS($AB$1006:AN1006),$AB$1006:$AQ$1006,0)), HYPERLINK("#",""), HYPERLINK(CONCATENATE("#metadata!", ADDRESS(INDEX($W$2:$W$1001,MATCH(ROWS($U$2:U957),$U$2:$U$1001,0),0), INDEX($AB$1004:$AQ$1004,1,MATCH(COLUMNS($AB$1006:AN1006),$AB$1006:$AQ$1006,0)))),"Fix")))</f>
        <v>0</v>
      </c>
      <c r="O957" s="4">
        <f>IF(OR(INDEX($V$2:$V$1001,MATCH(ROWS($U$2:U957),$U$2:$U$1001,0),1)&gt;=100000,INDEX($AB$1005:$AQ$1005,1,MATCH(COLUMNS($AB$1006:AO1006),$AB$1006:$AQ$1006,0))&gt;=100000), " ",IF(INDEX($AB$2:$AQ$1001,MATCH(ROWS($U$2:U957),$U$2:$U$1001,0),MATCH(COLUMNS($AB$1006:AO1006),$AB$1006:$AQ$1006,0)), HYPERLINK("#",""), HYPERLINK(CONCATENATE("#metadata!", ADDRESS(INDEX($W$2:$W$1001,MATCH(ROWS($U$2:U957),$U$2:$U$1001,0),0), INDEX($AB$1004:$AQ$1004,1,MATCH(COLUMNS($AB$1006:AO1006),$AB$1006:$AQ$1006,0)))),"Fix")))</f>
        <v>0</v>
      </c>
      <c r="P957" s="4">
        <f>IF(OR(INDEX($V$2:$V$1001,MATCH(ROWS($U$2:U957),$U$2:$U$1001,0),1)&gt;=100000,INDEX($AB$1005:$AQ$1005,1,MATCH(COLUMNS($AB$1006:AP1006),$AB$1006:$AQ$1006,0))&gt;=100000), " ",IF(INDEX($AB$2:$AQ$1001,MATCH(ROWS($U$2:U957),$U$2:$U$1001,0),MATCH(COLUMNS($AB$1006:AP1006),$AB$1006:$AQ$1006,0)), HYPERLINK("#",""), HYPERLINK(CONCATENATE("#metadata!", ADDRESS(INDEX($W$2:$W$1001,MATCH(ROWS($U$2:U957),$U$2:$U$1001,0),0), INDEX($AB$1004:$AQ$1004,1,MATCH(COLUMNS($AB$1006:AP1006),$AB$1006:$AQ$1006,0)))),"Fix")))</f>
        <v>0</v>
      </c>
      <c r="Q957" s="4">
        <f>IF(OR(INDEX($V$2:$V$1001,MATCH(ROWS($U$2:U957),$U$2:$U$1001,0),1)&gt;=100000,INDEX($AB$1005:$AQ$1005,1,MATCH(COLUMNS($AB$1006:AQ1006),$AB$1006:$AQ$1006,0))&gt;=100000), " ",IF(INDEX($AB$2:$AQ$1001,MATCH(ROWS($U$2:U957),$U$2:$U$1001,0),MATCH(COLUMNS($AB$1006:AQ1006),$AB$1006:$AQ$1006,0)), HYPERLINK("#",""), HYPERLINK(CONCATENATE("#metadata!", ADDRESS(INDEX($W$2:$W$1001,MATCH(ROWS($U$2:U957),$U$2:$U$1001,0),0), INDEX($AB$1004:$AQ$1004,1,MATCH(COLUMNS($AB$1006:AQ1006),$AB$1006:$AQ$1006,0)))),"Fix")))</f>
        <v>0</v>
      </c>
      <c r="U957">
        <v>0</v>
      </c>
      <c r="V957">
        <v>0</v>
      </c>
      <c r="W957">
        <v>0</v>
      </c>
      <c r="X957">
        <f>IF(Y957,TRUE,AND(AB957:AQ957))</f>
        <v>0</v>
      </c>
      <c r="Y957">
        <f>COUNTBLANK(metadata!B957:Q957)=COLUMNS(metadata!B957:Q957)</f>
        <v>0</v>
      </c>
      <c r="Z957">
        <v>0</v>
      </c>
      <c r="AB957">
        <f>AND(IF(metadata!B957="",FALSE,TRUE),COUNTIF(metadata!B:B, metadata!B957) = 1,NOT(ISERROR(SUMPRODUCT(SEARCH(MID(metadata!B957,ROW(INDIRECT("1:"&amp;LEN(metadata!B957))), 1),"0123456789abcdefghijklmnopqrstuvwxyzABCDEFGHIJKLMNOPQRSTUVWXYZ.")))))</f>
        <v>0</v>
      </c>
      <c r="AC957">
        <f>OR(AND(IF(metadata!C957="",FALSE,TRUE),OR(exact(metadata!C957,"missing: not collected"),exact(metadata!C957,"missing: not provided"),exact(metadata!C957,"missing: restricted access"))),AND(IF(metadata!C957="",FALSE,TRUE),AND(AND(IFERROR(INT(LEFT(metadata!C957,4))&gt;1900,FALSE),IFERROR(INT(LEFT(metadata!C957,4))&lt;=YEAR(NOW()),FALSE)), OR(MID(metadata!C957,5,1)="", AND(AND(MID(metadata!C957,5,1)="-",IFERROR(INT(MID(metadata!C957,6,1))&gt;=0,FALSE),IFERROR(INT(MID(metadata!C957,6,1))&lt;=1,FALSE),NOT(MID(metadata!C957,7,1)=""),IFERROR(INT(MID(metadata!C957,6,2))&gt;=1,FALSE),IFERROR(INT(MID(metadata!C957,6,2))&lt;=12,FALSE)), OR(MID(metadata!C957,8,1)="", AND(AND(MID(metadata!C957,8,1)="-",IFERROR(INT(MID(metadata!C957,9,1))&gt;=0,FALSE),IFERROR(INT(MID(metadata!C957,9,1))&lt;=3,FALSE),NOT(MID(metadata!C957,10,1)=""),IFERROR(INT(MID(metadata!C957,9,2))&gt;=1,FALSE),IFERROR(INT(MID(metadata!C957,9,2))&lt;=31,FALSE)), OR(MID(metadata!C957,11,1)="", AND(AND(MID(metadata!C957,11,1)=" ",IFERROR(INT(MID(metadata!C957,12,1))&gt;=0,FALSE),IFERROR(INT(MID(metadata!C957,12,1))&lt;=2,FALSE),NOT(MID(metadata!C957,13,1)=""),IFERROR(INT(MID(metadata!C957,12,2))&gt;=0,FALSE),IFERROR(INT(MID(metadata!C957,12,2))&lt;=23,FALSE)), OR(MID(metadata!C957,14,1)="", AND(AND(MID(metadata!C957,14,1)=":",IFERROR(INT(MID(metadata!C957,15,1))&gt;=0,FALSE),IFERROR(INT(MID(metadata!C957,15,1))&lt;=5,FALSE),NOT(MID(metadata!C957,16,1)=""),IFERROR(INT(MID(metadata!C957,15,2))&gt;=0,FALSE),IFERROR(INT(MID(metadata!C957,15,2))&lt;=59,FALSE)), OR(MID(metadata!C957,17,1)="", AND(AND(MID(metadata!C957,17,1)=":",IFERROR(INT(MID(metadata!C957,18,1))&gt;=0,FALSE),IFERROR(INT(MID(metadata!C957,18,1))&lt;=5,FALSE),NOT(MID(metadata!C957,19,1)=""),IFERROR(INT(MID(metadata!C957,18,2))&gt;=0,FALSE),IFERROR(INT(MID(metadata!C957,18,2))&lt;=59,FALSE)), LEN(metadata!C957)&lt;=19)))))))))))))</f>
        <v>0</v>
      </c>
      <c r="AD957">
        <f>IF(metadata!D957="",FALSE,TRUE)</f>
        <v>0</v>
      </c>
      <c r="AE957">
        <f>OR(AND(IF(metadata!E957="",FALSE,TRUE),OR(exact(metadata!E957,"missing: not collected"),exact(metadata!E957,"missing: not provided"))),AND(IF(metadata!E957="",FALSE,TRUE),OR(exact(metadata!E957,"TRUE"),exact(metadata!E957,"FALSE"))))</f>
        <v>0</v>
      </c>
      <c r="AF957">
        <f>IF(metadata!F957="",FALSE,TRUE)</f>
        <v>0</v>
      </c>
      <c r="AG957">
        <f>IF(metadata!G957="",FALSE,TRUE)</f>
        <v>0</v>
      </c>
      <c r="AH957">
        <f>IF(metadata!H957="",FALSE,TRUE)</f>
        <v>0</v>
      </c>
      <c r="AI957">
        <f>OR(AND(IF(metadata!I957="",FALSE,TRUE),OR(exact(metadata!I957,"missing: not collected"),exact(metadata!I957,"missing: not provided"),exact(metadata!I957,"missing: restricted access"))),AND(IF(metadata!I957="",FALSE,TRUE),OR(exact(metadata!I957,"air"),exact(metadata!I957,"built environment"),exact(metadata!I957,"host-associated"),exact(metadata!I957,"human-associated"),exact(metadata!I957,"human-skin"),exact(metadata!I957,"human-oral"),exact(metadata!I957,"human-gut"),exact(metadata!I957,"human-vaginal"),exact(metadata!I957,"microbial mat/biofilm"),exact(metadata!I957,"misc environment"),exact(metadata!I957,"plant-associated"),exact(metadata!I957,"sediment"),exact(metadata!I957,"soil"),exact(metadata!I957,"wastewater/sludge"),exact(metadata!I957,"water"))))</f>
        <v>0</v>
      </c>
      <c r="AJ957">
        <f>IF(metadata!J957="",FALSE,TRUE)</f>
        <v>0</v>
      </c>
      <c r="AK957">
        <f>OR(AND(IF(metadata!K957="",FALSE,TRUE),OR(exact(metadata!K957,"missing: not collected"),exact(metadata!K957,"missing: not provided"),exact(metadata!K957,"missing: restricted access"))),AND(IF(metadata!K957="",FALSE,ISNUMBER(VALUE(metadata!K957))),metadata!K957&gt;=-90.00,metadata!K957&lt;=90.00))</f>
        <v>0</v>
      </c>
      <c r="AL957">
        <f>OR(AND(IF(metadata!L957="",FALSE,TRUE),OR(exact(metadata!L957,"missing: not collected"),exact(metadata!L957,"missing: not provided"),exact(metadata!L957,"missing: restricted access"))),AND(IF(metadata!L957="",FALSE,ISNUMBER(VALUE(metadata!L957))),metadata!L957&gt;=-180.00,metadata!L957&lt;=180.00))</f>
        <v>0</v>
      </c>
      <c r="AM957">
        <f>IF(metadata!M957="",FALSE,TRUE)</f>
        <v>0</v>
      </c>
      <c r="AN957">
        <f>OR(AND(IF(metadata!N957="",FALSE,TRUE),OR(exact(metadata!N957,"missing: not collected"),exact(metadata!N957,"missing: not provided"),exact(metadata!N957,"missing: restricted access"))),AND(IF(metadata!N957="",FALSE,TRUE),OR(exact(metadata!N957,"TRUE"),exact(metadata!N957,"FALSE"))))</f>
        <v>0</v>
      </c>
      <c r="AO957">
        <f>IF(metadata!O957="",FALSE,TRUE)</f>
        <v>0</v>
      </c>
      <c r="AP957">
        <f>OR(AND(IF(metadata!P957="",FALSE,TRUE),OR(exact(metadata!P957,"missing: not collected"),exact(metadata!P957,"missing: not provided"))),AND(IF(metadata!P957="",FALSE,IF(ISERROR(INT(metadata!P957)),FALSE,INT(metadata!P957)=metadata!P957)),metadata!P957&gt;0))</f>
        <v>0</v>
      </c>
      <c r="AQ957">
        <f>IF(metadata!Q957="",FALSE,TRUE)</f>
        <v>0</v>
      </c>
    </row>
    <row r="958" spans="1:43">
      <c r="A958" s="5">
        <f>IF(B958=" "," ",HYPERLINK(CONCATENATE("#metadata!",ADDRESS(INDEX($W$2:$W$1001,MATCH(ROWS($U$2:U958),$U$2:$U$1001,0),0),1)),INDEX($Z$2:$Z$1001,MATCH(ROWS($U$2:U958),$U$2:$U$1001,0),0)))</f>
        <v>0</v>
      </c>
      <c r="B958" s="4">
        <f>IF(OR(INDEX($V$2:$V$1001,MATCH(ROWS($U$2:U958),$U$2:$U$1001,0),1)&gt;=100000,INDEX($AB$1005:$AQ$1005,1,MATCH(COLUMNS($AB$1006:AB1006),$AB$1006:$AQ$1006,0))&gt;=100000), " ",IF(INDEX($AB$2:$AQ$1001,MATCH(ROWS($U$2:U958),$U$2:$U$1001,0),MATCH(COLUMNS($AB$1006:AB1006),$AB$1006:$AQ$1006,0)), HYPERLINK("#",""), HYPERLINK(CONCATENATE("#metadata!", ADDRESS(INDEX($W$2:$W$1001,MATCH(ROWS($U$2:U958),$U$2:$U$1001,0),0), INDEX($AB$1004:$AQ$1004,1,MATCH(COLUMNS($AB$1006:AB1006),$AB$1006:$AQ$1006,0)))),"Fix")))</f>
        <v>0</v>
      </c>
      <c r="C958" s="4">
        <f>IF(OR(INDEX($V$2:$V$1001,MATCH(ROWS($U$2:U958),$U$2:$U$1001,0),1)&gt;=100000,INDEX($AB$1005:$AQ$1005,1,MATCH(COLUMNS($AB$1006:AC1006),$AB$1006:$AQ$1006,0))&gt;=100000), " ",IF(INDEX($AB$2:$AQ$1001,MATCH(ROWS($U$2:U958),$U$2:$U$1001,0),MATCH(COLUMNS($AB$1006:AC1006),$AB$1006:$AQ$1006,0)), HYPERLINK("#",""), HYPERLINK(CONCATENATE("#metadata!", ADDRESS(INDEX($W$2:$W$1001,MATCH(ROWS($U$2:U958),$U$2:$U$1001,0),0), INDEX($AB$1004:$AQ$1004,1,MATCH(COLUMNS($AB$1006:AC1006),$AB$1006:$AQ$1006,0)))),"Fix")))</f>
        <v>0</v>
      </c>
      <c r="D958" s="4">
        <f>IF(OR(INDEX($V$2:$V$1001,MATCH(ROWS($U$2:U958),$U$2:$U$1001,0),1)&gt;=100000,INDEX($AB$1005:$AQ$1005,1,MATCH(COLUMNS($AB$1006:AD1006),$AB$1006:$AQ$1006,0))&gt;=100000), " ",IF(INDEX($AB$2:$AQ$1001,MATCH(ROWS($U$2:U958),$U$2:$U$1001,0),MATCH(COLUMNS($AB$1006:AD1006),$AB$1006:$AQ$1006,0)), HYPERLINK("#",""), HYPERLINK(CONCATENATE("#metadata!", ADDRESS(INDEX($W$2:$W$1001,MATCH(ROWS($U$2:U958),$U$2:$U$1001,0),0), INDEX($AB$1004:$AQ$1004,1,MATCH(COLUMNS($AB$1006:AD1006),$AB$1006:$AQ$1006,0)))),"Fix")))</f>
        <v>0</v>
      </c>
      <c r="E958" s="4">
        <f>IF(OR(INDEX($V$2:$V$1001,MATCH(ROWS($U$2:U958),$U$2:$U$1001,0),1)&gt;=100000,INDEX($AB$1005:$AQ$1005,1,MATCH(COLUMNS($AB$1006:AE1006),$AB$1006:$AQ$1006,0))&gt;=100000), " ",IF(INDEX($AB$2:$AQ$1001,MATCH(ROWS($U$2:U958),$U$2:$U$1001,0),MATCH(COLUMNS($AB$1006:AE1006),$AB$1006:$AQ$1006,0)), HYPERLINK("#",""), HYPERLINK(CONCATENATE("#metadata!", ADDRESS(INDEX($W$2:$W$1001,MATCH(ROWS($U$2:U958),$U$2:$U$1001,0),0), INDEX($AB$1004:$AQ$1004,1,MATCH(COLUMNS($AB$1006:AE1006),$AB$1006:$AQ$1006,0)))),"Fix")))</f>
        <v>0</v>
      </c>
      <c r="F958" s="4">
        <f>IF(OR(INDEX($V$2:$V$1001,MATCH(ROWS($U$2:U958),$U$2:$U$1001,0),1)&gt;=100000,INDEX($AB$1005:$AQ$1005,1,MATCH(COLUMNS($AB$1006:AF1006),$AB$1006:$AQ$1006,0))&gt;=100000), " ",IF(INDEX($AB$2:$AQ$1001,MATCH(ROWS($U$2:U958),$U$2:$U$1001,0),MATCH(COLUMNS($AB$1006:AF1006),$AB$1006:$AQ$1006,0)), HYPERLINK("#",""), HYPERLINK(CONCATENATE("#metadata!", ADDRESS(INDEX($W$2:$W$1001,MATCH(ROWS($U$2:U958),$U$2:$U$1001,0),0), INDEX($AB$1004:$AQ$1004,1,MATCH(COLUMNS($AB$1006:AF1006),$AB$1006:$AQ$1006,0)))),"Fix")))</f>
        <v>0</v>
      </c>
      <c r="G958" s="4">
        <f>IF(OR(INDEX($V$2:$V$1001,MATCH(ROWS($U$2:U958),$U$2:$U$1001,0),1)&gt;=100000,INDEX($AB$1005:$AQ$1005,1,MATCH(COLUMNS($AB$1006:AG1006),$AB$1006:$AQ$1006,0))&gt;=100000), " ",IF(INDEX($AB$2:$AQ$1001,MATCH(ROWS($U$2:U958),$U$2:$U$1001,0),MATCH(COLUMNS($AB$1006:AG1006),$AB$1006:$AQ$1006,0)), HYPERLINK("#",""), HYPERLINK(CONCATENATE("#metadata!", ADDRESS(INDEX($W$2:$W$1001,MATCH(ROWS($U$2:U958),$U$2:$U$1001,0),0), INDEX($AB$1004:$AQ$1004,1,MATCH(COLUMNS($AB$1006:AG1006),$AB$1006:$AQ$1006,0)))),"Fix")))</f>
        <v>0</v>
      </c>
      <c r="H958" s="4">
        <f>IF(OR(INDEX($V$2:$V$1001,MATCH(ROWS($U$2:U958),$U$2:$U$1001,0),1)&gt;=100000,INDEX($AB$1005:$AQ$1005,1,MATCH(COLUMNS($AB$1006:AH1006),$AB$1006:$AQ$1006,0))&gt;=100000), " ",IF(INDEX($AB$2:$AQ$1001,MATCH(ROWS($U$2:U958),$U$2:$U$1001,0),MATCH(COLUMNS($AB$1006:AH1006),$AB$1006:$AQ$1006,0)), HYPERLINK("#",""), HYPERLINK(CONCATENATE("#metadata!", ADDRESS(INDEX($W$2:$W$1001,MATCH(ROWS($U$2:U958),$U$2:$U$1001,0),0), INDEX($AB$1004:$AQ$1004,1,MATCH(COLUMNS($AB$1006:AH1006),$AB$1006:$AQ$1006,0)))),"Fix")))</f>
        <v>0</v>
      </c>
      <c r="I958" s="4">
        <f>IF(OR(INDEX($V$2:$V$1001,MATCH(ROWS($U$2:U958),$U$2:$U$1001,0),1)&gt;=100000,INDEX($AB$1005:$AQ$1005,1,MATCH(COLUMNS($AB$1006:AI1006),$AB$1006:$AQ$1006,0))&gt;=100000), " ",IF(INDEX($AB$2:$AQ$1001,MATCH(ROWS($U$2:U958),$U$2:$U$1001,0),MATCH(COLUMNS($AB$1006:AI1006),$AB$1006:$AQ$1006,0)), HYPERLINK("#",""), HYPERLINK(CONCATENATE("#metadata!", ADDRESS(INDEX($W$2:$W$1001,MATCH(ROWS($U$2:U958),$U$2:$U$1001,0),0), INDEX($AB$1004:$AQ$1004,1,MATCH(COLUMNS($AB$1006:AI1006),$AB$1006:$AQ$1006,0)))),"Fix")))</f>
        <v>0</v>
      </c>
      <c r="J958" s="4">
        <f>IF(OR(INDEX($V$2:$V$1001,MATCH(ROWS($U$2:U958),$U$2:$U$1001,0),1)&gt;=100000,INDEX($AB$1005:$AQ$1005,1,MATCH(COLUMNS($AB$1006:AJ1006),$AB$1006:$AQ$1006,0))&gt;=100000), " ",IF(INDEX($AB$2:$AQ$1001,MATCH(ROWS($U$2:U958),$U$2:$U$1001,0),MATCH(COLUMNS($AB$1006:AJ1006),$AB$1006:$AQ$1006,0)), HYPERLINK("#",""), HYPERLINK(CONCATENATE("#metadata!", ADDRESS(INDEX($W$2:$W$1001,MATCH(ROWS($U$2:U958),$U$2:$U$1001,0),0), INDEX($AB$1004:$AQ$1004,1,MATCH(COLUMNS($AB$1006:AJ1006),$AB$1006:$AQ$1006,0)))),"Fix")))</f>
        <v>0</v>
      </c>
      <c r="K958" s="4">
        <f>IF(OR(INDEX($V$2:$V$1001,MATCH(ROWS($U$2:U958),$U$2:$U$1001,0),1)&gt;=100000,INDEX($AB$1005:$AQ$1005,1,MATCH(COLUMNS($AB$1006:AK1006),$AB$1006:$AQ$1006,0))&gt;=100000), " ",IF(INDEX($AB$2:$AQ$1001,MATCH(ROWS($U$2:U958),$U$2:$U$1001,0),MATCH(COLUMNS($AB$1006:AK1006),$AB$1006:$AQ$1006,0)), HYPERLINK("#",""), HYPERLINK(CONCATENATE("#metadata!", ADDRESS(INDEX($W$2:$W$1001,MATCH(ROWS($U$2:U958),$U$2:$U$1001,0),0), INDEX($AB$1004:$AQ$1004,1,MATCH(COLUMNS($AB$1006:AK1006),$AB$1006:$AQ$1006,0)))),"Fix")))</f>
        <v>0</v>
      </c>
      <c r="L958" s="4">
        <f>IF(OR(INDEX($V$2:$V$1001,MATCH(ROWS($U$2:U958),$U$2:$U$1001,0),1)&gt;=100000,INDEX($AB$1005:$AQ$1005,1,MATCH(COLUMNS($AB$1006:AL1006),$AB$1006:$AQ$1006,0))&gt;=100000), " ",IF(INDEX($AB$2:$AQ$1001,MATCH(ROWS($U$2:U958),$U$2:$U$1001,0),MATCH(COLUMNS($AB$1006:AL1006),$AB$1006:$AQ$1006,0)), HYPERLINK("#",""), HYPERLINK(CONCATENATE("#metadata!", ADDRESS(INDEX($W$2:$W$1001,MATCH(ROWS($U$2:U958),$U$2:$U$1001,0),0), INDEX($AB$1004:$AQ$1004,1,MATCH(COLUMNS($AB$1006:AL1006),$AB$1006:$AQ$1006,0)))),"Fix")))</f>
        <v>0</v>
      </c>
      <c r="M958" s="4">
        <f>IF(OR(INDEX($V$2:$V$1001,MATCH(ROWS($U$2:U958),$U$2:$U$1001,0),1)&gt;=100000,INDEX($AB$1005:$AQ$1005,1,MATCH(COLUMNS($AB$1006:AM1006),$AB$1006:$AQ$1006,0))&gt;=100000), " ",IF(INDEX($AB$2:$AQ$1001,MATCH(ROWS($U$2:U958),$U$2:$U$1001,0),MATCH(COLUMNS($AB$1006:AM1006),$AB$1006:$AQ$1006,0)), HYPERLINK("#",""), HYPERLINK(CONCATENATE("#metadata!", ADDRESS(INDEX($W$2:$W$1001,MATCH(ROWS($U$2:U958),$U$2:$U$1001,0),0), INDEX($AB$1004:$AQ$1004,1,MATCH(COLUMNS($AB$1006:AM1006),$AB$1006:$AQ$1006,0)))),"Fix")))</f>
        <v>0</v>
      </c>
      <c r="N958" s="4">
        <f>IF(OR(INDEX($V$2:$V$1001,MATCH(ROWS($U$2:U958),$U$2:$U$1001,0),1)&gt;=100000,INDEX($AB$1005:$AQ$1005,1,MATCH(COLUMNS($AB$1006:AN1006),$AB$1006:$AQ$1006,0))&gt;=100000), " ",IF(INDEX($AB$2:$AQ$1001,MATCH(ROWS($U$2:U958),$U$2:$U$1001,0),MATCH(COLUMNS($AB$1006:AN1006),$AB$1006:$AQ$1006,0)), HYPERLINK("#",""), HYPERLINK(CONCATENATE("#metadata!", ADDRESS(INDEX($W$2:$W$1001,MATCH(ROWS($U$2:U958),$U$2:$U$1001,0),0), INDEX($AB$1004:$AQ$1004,1,MATCH(COLUMNS($AB$1006:AN1006),$AB$1006:$AQ$1006,0)))),"Fix")))</f>
        <v>0</v>
      </c>
      <c r="O958" s="4">
        <f>IF(OR(INDEX($V$2:$V$1001,MATCH(ROWS($U$2:U958),$U$2:$U$1001,0),1)&gt;=100000,INDEX($AB$1005:$AQ$1005,1,MATCH(COLUMNS($AB$1006:AO1006),$AB$1006:$AQ$1006,0))&gt;=100000), " ",IF(INDEX($AB$2:$AQ$1001,MATCH(ROWS($U$2:U958),$U$2:$U$1001,0),MATCH(COLUMNS($AB$1006:AO1006),$AB$1006:$AQ$1006,0)), HYPERLINK("#",""), HYPERLINK(CONCATENATE("#metadata!", ADDRESS(INDEX($W$2:$W$1001,MATCH(ROWS($U$2:U958),$U$2:$U$1001,0),0), INDEX($AB$1004:$AQ$1004,1,MATCH(COLUMNS($AB$1006:AO1006),$AB$1006:$AQ$1006,0)))),"Fix")))</f>
        <v>0</v>
      </c>
      <c r="P958" s="4">
        <f>IF(OR(INDEX($V$2:$V$1001,MATCH(ROWS($U$2:U958),$U$2:$U$1001,0),1)&gt;=100000,INDEX($AB$1005:$AQ$1005,1,MATCH(COLUMNS($AB$1006:AP1006),$AB$1006:$AQ$1006,0))&gt;=100000), " ",IF(INDEX($AB$2:$AQ$1001,MATCH(ROWS($U$2:U958),$U$2:$U$1001,0),MATCH(COLUMNS($AB$1006:AP1006),$AB$1006:$AQ$1006,0)), HYPERLINK("#",""), HYPERLINK(CONCATENATE("#metadata!", ADDRESS(INDEX($W$2:$W$1001,MATCH(ROWS($U$2:U958),$U$2:$U$1001,0),0), INDEX($AB$1004:$AQ$1004,1,MATCH(COLUMNS($AB$1006:AP1006),$AB$1006:$AQ$1006,0)))),"Fix")))</f>
        <v>0</v>
      </c>
      <c r="Q958" s="4">
        <f>IF(OR(INDEX($V$2:$V$1001,MATCH(ROWS($U$2:U958),$U$2:$U$1001,0),1)&gt;=100000,INDEX($AB$1005:$AQ$1005,1,MATCH(COLUMNS($AB$1006:AQ1006),$AB$1006:$AQ$1006,0))&gt;=100000), " ",IF(INDEX($AB$2:$AQ$1001,MATCH(ROWS($U$2:U958),$U$2:$U$1001,0),MATCH(COLUMNS($AB$1006:AQ1006),$AB$1006:$AQ$1006,0)), HYPERLINK("#",""), HYPERLINK(CONCATENATE("#metadata!", ADDRESS(INDEX($W$2:$W$1001,MATCH(ROWS($U$2:U958),$U$2:$U$1001,0),0), INDEX($AB$1004:$AQ$1004,1,MATCH(COLUMNS($AB$1006:AQ1006),$AB$1006:$AQ$1006,0)))),"Fix")))</f>
        <v>0</v>
      </c>
      <c r="U958">
        <v>0</v>
      </c>
      <c r="V958">
        <v>0</v>
      </c>
      <c r="W958">
        <v>0</v>
      </c>
      <c r="X958">
        <f>IF(Y958,TRUE,AND(AB958:AQ958))</f>
        <v>0</v>
      </c>
      <c r="Y958">
        <f>COUNTBLANK(metadata!B958:Q958)=COLUMNS(metadata!B958:Q958)</f>
        <v>0</v>
      </c>
      <c r="Z958">
        <v>0</v>
      </c>
      <c r="AB958">
        <f>AND(IF(metadata!B958="",FALSE,TRUE),COUNTIF(metadata!B:B, metadata!B958) = 1,NOT(ISERROR(SUMPRODUCT(SEARCH(MID(metadata!B958,ROW(INDIRECT("1:"&amp;LEN(metadata!B958))), 1),"0123456789abcdefghijklmnopqrstuvwxyzABCDEFGHIJKLMNOPQRSTUVWXYZ.")))))</f>
        <v>0</v>
      </c>
      <c r="AC958">
        <f>OR(AND(IF(metadata!C958="",FALSE,TRUE),OR(exact(metadata!C958,"missing: not collected"),exact(metadata!C958,"missing: not provided"),exact(metadata!C958,"missing: restricted access"))),AND(IF(metadata!C958="",FALSE,TRUE),AND(AND(IFERROR(INT(LEFT(metadata!C958,4))&gt;1900,FALSE),IFERROR(INT(LEFT(metadata!C958,4))&lt;=YEAR(NOW()),FALSE)), OR(MID(metadata!C958,5,1)="", AND(AND(MID(metadata!C958,5,1)="-",IFERROR(INT(MID(metadata!C958,6,1))&gt;=0,FALSE),IFERROR(INT(MID(metadata!C958,6,1))&lt;=1,FALSE),NOT(MID(metadata!C958,7,1)=""),IFERROR(INT(MID(metadata!C958,6,2))&gt;=1,FALSE),IFERROR(INT(MID(metadata!C958,6,2))&lt;=12,FALSE)), OR(MID(metadata!C958,8,1)="", AND(AND(MID(metadata!C958,8,1)="-",IFERROR(INT(MID(metadata!C958,9,1))&gt;=0,FALSE),IFERROR(INT(MID(metadata!C958,9,1))&lt;=3,FALSE),NOT(MID(metadata!C958,10,1)=""),IFERROR(INT(MID(metadata!C958,9,2))&gt;=1,FALSE),IFERROR(INT(MID(metadata!C958,9,2))&lt;=31,FALSE)), OR(MID(metadata!C958,11,1)="", AND(AND(MID(metadata!C958,11,1)=" ",IFERROR(INT(MID(metadata!C958,12,1))&gt;=0,FALSE),IFERROR(INT(MID(metadata!C958,12,1))&lt;=2,FALSE),NOT(MID(metadata!C958,13,1)=""),IFERROR(INT(MID(metadata!C958,12,2))&gt;=0,FALSE),IFERROR(INT(MID(metadata!C958,12,2))&lt;=23,FALSE)), OR(MID(metadata!C958,14,1)="", AND(AND(MID(metadata!C958,14,1)=":",IFERROR(INT(MID(metadata!C958,15,1))&gt;=0,FALSE),IFERROR(INT(MID(metadata!C958,15,1))&lt;=5,FALSE),NOT(MID(metadata!C958,16,1)=""),IFERROR(INT(MID(metadata!C958,15,2))&gt;=0,FALSE),IFERROR(INT(MID(metadata!C958,15,2))&lt;=59,FALSE)), OR(MID(metadata!C958,17,1)="", AND(AND(MID(metadata!C958,17,1)=":",IFERROR(INT(MID(metadata!C958,18,1))&gt;=0,FALSE),IFERROR(INT(MID(metadata!C958,18,1))&lt;=5,FALSE),NOT(MID(metadata!C958,19,1)=""),IFERROR(INT(MID(metadata!C958,18,2))&gt;=0,FALSE),IFERROR(INT(MID(metadata!C958,18,2))&lt;=59,FALSE)), LEN(metadata!C958)&lt;=19)))))))))))))</f>
        <v>0</v>
      </c>
      <c r="AD958">
        <f>IF(metadata!D958="",FALSE,TRUE)</f>
        <v>0</v>
      </c>
      <c r="AE958">
        <f>OR(AND(IF(metadata!E958="",FALSE,TRUE),OR(exact(metadata!E958,"missing: not collected"),exact(metadata!E958,"missing: not provided"))),AND(IF(metadata!E958="",FALSE,TRUE),OR(exact(metadata!E958,"TRUE"),exact(metadata!E958,"FALSE"))))</f>
        <v>0</v>
      </c>
      <c r="AF958">
        <f>IF(metadata!F958="",FALSE,TRUE)</f>
        <v>0</v>
      </c>
      <c r="AG958">
        <f>IF(metadata!G958="",FALSE,TRUE)</f>
        <v>0</v>
      </c>
      <c r="AH958">
        <f>IF(metadata!H958="",FALSE,TRUE)</f>
        <v>0</v>
      </c>
      <c r="AI958">
        <f>OR(AND(IF(metadata!I958="",FALSE,TRUE),OR(exact(metadata!I958,"missing: not collected"),exact(metadata!I958,"missing: not provided"),exact(metadata!I958,"missing: restricted access"))),AND(IF(metadata!I958="",FALSE,TRUE),OR(exact(metadata!I958,"air"),exact(metadata!I958,"built environment"),exact(metadata!I958,"host-associated"),exact(metadata!I958,"human-associated"),exact(metadata!I958,"human-skin"),exact(metadata!I958,"human-oral"),exact(metadata!I958,"human-gut"),exact(metadata!I958,"human-vaginal"),exact(metadata!I958,"microbial mat/biofilm"),exact(metadata!I958,"misc environment"),exact(metadata!I958,"plant-associated"),exact(metadata!I958,"sediment"),exact(metadata!I958,"soil"),exact(metadata!I958,"wastewater/sludge"),exact(metadata!I958,"water"))))</f>
        <v>0</v>
      </c>
      <c r="AJ958">
        <f>IF(metadata!J958="",FALSE,TRUE)</f>
        <v>0</v>
      </c>
      <c r="AK958">
        <f>OR(AND(IF(metadata!K958="",FALSE,TRUE),OR(exact(metadata!K958,"missing: not collected"),exact(metadata!K958,"missing: not provided"),exact(metadata!K958,"missing: restricted access"))),AND(IF(metadata!K958="",FALSE,ISNUMBER(VALUE(metadata!K958))),metadata!K958&gt;=-90.00,metadata!K958&lt;=90.00))</f>
        <v>0</v>
      </c>
      <c r="AL958">
        <f>OR(AND(IF(metadata!L958="",FALSE,TRUE),OR(exact(metadata!L958,"missing: not collected"),exact(metadata!L958,"missing: not provided"),exact(metadata!L958,"missing: restricted access"))),AND(IF(metadata!L958="",FALSE,ISNUMBER(VALUE(metadata!L958))),metadata!L958&gt;=-180.00,metadata!L958&lt;=180.00))</f>
        <v>0</v>
      </c>
      <c r="AM958">
        <f>IF(metadata!M958="",FALSE,TRUE)</f>
        <v>0</v>
      </c>
      <c r="AN958">
        <f>OR(AND(IF(metadata!N958="",FALSE,TRUE),OR(exact(metadata!N958,"missing: not collected"),exact(metadata!N958,"missing: not provided"),exact(metadata!N958,"missing: restricted access"))),AND(IF(metadata!N958="",FALSE,TRUE),OR(exact(metadata!N958,"TRUE"),exact(metadata!N958,"FALSE"))))</f>
        <v>0</v>
      </c>
      <c r="AO958">
        <f>IF(metadata!O958="",FALSE,TRUE)</f>
        <v>0</v>
      </c>
      <c r="AP958">
        <f>OR(AND(IF(metadata!P958="",FALSE,TRUE),OR(exact(metadata!P958,"missing: not collected"),exact(metadata!P958,"missing: not provided"))),AND(IF(metadata!P958="",FALSE,IF(ISERROR(INT(metadata!P958)),FALSE,INT(metadata!P958)=metadata!P958)),metadata!P958&gt;0))</f>
        <v>0</v>
      </c>
      <c r="AQ958">
        <f>IF(metadata!Q958="",FALSE,TRUE)</f>
        <v>0</v>
      </c>
    </row>
    <row r="959" spans="1:43">
      <c r="A959" s="5">
        <f>IF(B959=" "," ",HYPERLINK(CONCATENATE("#metadata!",ADDRESS(INDEX($W$2:$W$1001,MATCH(ROWS($U$2:U959),$U$2:$U$1001,0),0),1)),INDEX($Z$2:$Z$1001,MATCH(ROWS($U$2:U959),$U$2:$U$1001,0),0)))</f>
        <v>0</v>
      </c>
      <c r="B959" s="4">
        <f>IF(OR(INDEX($V$2:$V$1001,MATCH(ROWS($U$2:U959),$U$2:$U$1001,0),1)&gt;=100000,INDEX($AB$1005:$AQ$1005,1,MATCH(COLUMNS($AB$1006:AB1006),$AB$1006:$AQ$1006,0))&gt;=100000), " ",IF(INDEX($AB$2:$AQ$1001,MATCH(ROWS($U$2:U959),$U$2:$U$1001,0),MATCH(COLUMNS($AB$1006:AB1006),$AB$1006:$AQ$1006,0)), HYPERLINK("#",""), HYPERLINK(CONCATENATE("#metadata!", ADDRESS(INDEX($W$2:$W$1001,MATCH(ROWS($U$2:U959),$U$2:$U$1001,0),0), INDEX($AB$1004:$AQ$1004,1,MATCH(COLUMNS($AB$1006:AB1006),$AB$1006:$AQ$1006,0)))),"Fix")))</f>
        <v>0</v>
      </c>
      <c r="C959" s="4">
        <f>IF(OR(INDEX($V$2:$V$1001,MATCH(ROWS($U$2:U959),$U$2:$U$1001,0),1)&gt;=100000,INDEX($AB$1005:$AQ$1005,1,MATCH(COLUMNS($AB$1006:AC1006),$AB$1006:$AQ$1006,0))&gt;=100000), " ",IF(INDEX($AB$2:$AQ$1001,MATCH(ROWS($U$2:U959),$U$2:$U$1001,0),MATCH(COLUMNS($AB$1006:AC1006),$AB$1006:$AQ$1006,0)), HYPERLINK("#",""), HYPERLINK(CONCATENATE("#metadata!", ADDRESS(INDEX($W$2:$W$1001,MATCH(ROWS($U$2:U959),$U$2:$U$1001,0),0), INDEX($AB$1004:$AQ$1004,1,MATCH(COLUMNS($AB$1006:AC1006),$AB$1006:$AQ$1006,0)))),"Fix")))</f>
        <v>0</v>
      </c>
      <c r="D959" s="4">
        <f>IF(OR(INDEX($V$2:$V$1001,MATCH(ROWS($U$2:U959),$U$2:$U$1001,0),1)&gt;=100000,INDEX($AB$1005:$AQ$1005,1,MATCH(COLUMNS($AB$1006:AD1006),$AB$1006:$AQ$1006,0))&gt;=100000), " ",IF(INDEX($AB$2:$AQ$1001,MATCH(ROWS($U$2:U959),$U$2:$U$1001,0),MATCH(COLUMNS($AB$1006:AD1006),$AB$1006:$AQ$1006,0)), HYPERLINK("#",""), HYPERLINK(CONCATENATE("#metadata!", ADDRESS(INDEX($W$2:$W$1001,MATCH(ROWS($U$2:U959),$U$2:$U$1001,0),0), INDEX($AB$1004:$AQ$1004,1,MATCH(COLUMNS($AB$1006:AD1006),$AB$1006:$AQ$1006,0)))),"Fix")))</f>
        <v>0</v>
      </c>
      <c r="E959" s="4">
        <f>IF(OR(INDEX($V$2:$V$1001,MATCH(ROWS($U$2:U959),$U$2:$U$1001,0),1)&gt;=100000,INDEX($AB$1005:$AQ$1005,1,MATCH(COLUMNS($AB$1006:AE1006),$AB$1006:$AQ$1006,0))&gt;=100000), " ",IF(INDEX($AB$2:$AQ$1001,MATCH(ROWS($U$2:U959),$U$2:$U$1001,0),MATCH(COLUMNS($AB$1006:AE1006),$AB$1006:$AQ$1006,0)), HYPERLINK("#",""), HYPERLINK(CONCATENATE("#metadata!", ADDRESS(INDEX($W$2:$W$1001,MATCH(ROWS($U$2:U959),$U$2:$U$1001,0),0), INDEX($AB$1004:$AQ$1004,1,MATCH(COLUMNS($AB$1006:AE1006),$AB$1006:$AQ$1006,0)))),"Fix")))</f>
        <v>0</v>
      </c>
      <c r="F959" s="4">
        <f>IF(OR(INDEX($V$2:$V$1001,MATCH(ROWS($U$2:U959),$U$2:$U$1001,0),1)&gt;=100000,INDEX($AB$1005:$AQ$1005,1,MATCH(COLUMNS($AB$1006:AF1006),$AB$1006:$AQ$1006,0))&gt;=100000), " ",IF(INDEX($AB$2:$AQ$1001,MATCH(ROWS($U$2:U959),$U$2:$U$1001,0),MATCH(COLUMNS($AB$1006:AF1006),$AB$1006:$AQ$1006,0)), HYPERLINK("#",""), HYPERLINK(CONCATENATE("#metadata!", ADDRESS(INDEX($W$2:$W$1001,MATCH(ROWS($U$2:U959),$U$2:$U$1001,0),0), INDEX($AB$1004:$AQ$1004,1,MATCH(COLUMNS($AB$1006:AF1006),$AB$1006:$AQ$1006,0)))),"Fix")))</f>
        <v>0</v>
      </c>
      <c r="G959" s="4">
        <f>IF(OR(INDEX($V$2:$V$1001,MATCH(ROWS($U$2:U959),$U$2:$U$1001,0),1)&gt;=100000,INDEX($AB$1005:$AQ$1005,1,MATCH(COLUMNS($AB$1006:AG1006),$AB$1006:$AQ$1006,0))&gt;=100000), " ",IF(INDEX($AB$2:$AQ$1001,MATCH(ROWS($U$2:U959),$U$2:$U$1001,0),MATCH(COLUMNS($AB$1006:AG1006),$AB$1006:$AQ$1006,0)), HYPERLINK("#",""), HYPERLINK(CONCATENATE("#metadata!", ADDRESS(INDEX($W$2:$W$1001,MATCH(ROWS($U$2:U959),$U$2:$U$1001,0),0), INDEX($AB$1004:$AQ$1004,1,MATCH(COLUMNS($AB$1006:AG1006),$AB$1006:$AQ$1006,0)))),"Fix")))</f>
        <v>0</v>
      </c>
      <c r="H959" s="4">
        <f>IF(OR(INDEX($V$2:$V$1001,MATCH(ROWS($U$2:U959),$U$2:$U$1001,0),1)&gt;=100000,INDEX($AB$1005:$AQ$1005,1,MATCH(COLUMNS($AB$1006:AH1006),$AB$1006:$AQ$1006,0))&gt;=100000), " ",IF(INDEX($AB$2:$AQ$1001,MATCH(ROWS($U$2:U959),$U$2:$U$1001,0),MATCH(COLUMNS($AB$1006:AH1006),$AB$1006:$AQ$1006,0)), HYPERLINK("#",""), HYPERLINK(CONCATENATE("#metadata!", ADDRESS(INDEX($W$2:$W$1001,MATCH(ROWS($U$2:U959),$U$2:$U$1001,0),0), INDEX($AB$1004:$AQ$1004,1,MATCH(COLUMNS($AB$1006:AH1006),$AB$1006:$AQ$1006,0)))),"Fix")))</f>
        <v>0</v>
      </c>
      <c r="I959" s="4">
        <f>IF(OR(INDEX($V$2:$V$1001,MATCH(ROWS($U$2:U959),$U$2:$U$1001,0),1)&gt;=100000,INDEX($AB$1005:$AQ$1005,1,MATCH(COLUMNS($AB$1006:AI1006),$AB$1006:$AQ$1006,0))&gt;=100000), " ",IF(INDEX($AB$2:$AQ$1001,MATCH(ROWS($U$2:U959),$U$2:$U$1001,0),MATCH(COLUMNS($AB$1006:AI1006),$AB$1006:$AQ$1006,0)), HYPERLINK("#",""), HYPERLINK(CONCATENATE("#metadata!", ADDRESS(INDEX($W$2:$W$1001,MATCH(ROWS($U$2:U959),$U$2:$U$1001,0),0), INDEX($AB$1004:$AQ$1004,1,MATCH(COLUMNS($AB$1006:AI1006),$AB$1006:$AQ$1006,0)))),"Fix")))</f>
        <v>0</v>
      </c>
      <c r="J959" s="4">
        <f>IF(OR(INDEX($V$2:$V$1001,MATCH(ROWS($U$2:U959),$U$2:$U$1001,0),1)&gt;=100000,INDEX($AB$1005:$AQ$1005,1,MATCH(COLUMNS($AB$1006:AJ1006),$AB$1006:$AQ$1006,0))&gt;=100000), " ",IF(INDEX($AB$2:$AQ$1001,MATCH(ROWS($U$2:U959),$U$2:$U$1001,0),MATCH(COLUMNS($AB$1006:AJ1006),$AB$1006:$AQ$1006,0)), HYPERLINK("#",""), HYPERLINK(CONCATENATE("#metadata!", ADDRESS(INDEX($W$2:$W$1001,MATCH(ROWS($U$2:U959),$U$2:$U$1001,0),0), INDEX($AB$1004:$AQ$1004,1,MATCH(COLUMNS($AB$1006:AJ1006),$AB$1006:$AQ$1006,0)))),"Fix")))</f>
        <v>0</v>
      </c>
      <c r="K959" s="4">
        <f>IF(OR(INDEX($V$2:$V$1001,MATCH(ROWS($U$2:U959),$U$2:$U$1001,0),1)&gt;=100000,INDEX($AB$1005:$AQ$1005,1,MATCH(COLUMNS($AB$1006:AK1006),$AB$1006:$AQ$1006,0))&gt;=100000), " ",IF(INDEX($AB$2:$AQ$1001,MATCH(ROWS($U$2:U959),$U$2:$U$1001,0),MATCH(COLUMNS($AB$1006:AK1006),$AB$1006:$AQ$1006,0)), HYPERLINK("#",""), HYPERLINK(CONCATENATE("#metadata!", ADDRESS(INDEX($W$2:$W$1001,MATCH(ROWS($U$2:U959),$U$2:$U$1001,0),0), INDEX($AB$1004:$AQ$1004,1,MATCH(COLUMNS($AB$1006:AK1006),$AB$1006:$AQ$1006,0)))),"Fix")))</f>
        <v>0</v>
      </c>
      <c r="L959" s="4">
        <f>IF(OR(INDEX($V$2:$V$1001,MATCH(ROWS($U$2:U959),$U$2:$U$1001,0),1)&gt;=100000,INDEX($AB$1005:$AQ$1005,1,MATCH(COLUMNS($AB$1006:AL1006),$AB$1006:$AQ$1006,0))&gt;=100000), " ",IF(INDEX($AB$2:$AQ$1001,MATCH(ROWS($U$2:U959),$U$2:$U$1001,0),MATCH(COLUMNS($AB$1006:AL1006),$AB$1006:$AQ$1006,0)), HYPERLINK("#",""), HYPERLINK(CONCATENATE("#metadata!", ADDRESS(INDEX($W$2:$W$1001,MATCH(ROWS($U$2:U959),$U$2:$U$1001,0),0), INDEX($AB$1004:$AQ$1004,1,MATCH(COLUMNS($AB$1006:AL1006),$AB$1006:$AQ$1006,0)))),"Fix")))</f>
        <v>0</v>
      </c>
      <c r="M959" s="4">
        <f>IF(OR(INDEX($V$2:$V$1001,MATCH(ROWS($U$2:U959),$U$2:$U$1001,0),1)&gt;=100000,INDEX($AB$1005:$AQ$1005,1,MATCH(COLUMNS($AB$1006:AM1006),$AB$1006:$AQ$1006,0))&gt;=100000), " ",IF(INDEX($AB$2:$AQ$1001,MATCH(ROWS($U$2:U959),$U$2:$U$1001,0),MATCH(COLUMNS($AB$1006:AM1006),$AB$1006:$AQ$1006,0)), HYPERLINK("#",""), HYPERLINK(CONCATENATE("#metadata!", ADDRESS(INDEX($W$2:$W$1001,MATCH(ROWS($U$2:U959),$U$2:$U$1001,0),0), INDEX($AB$1004:$AQ$1004,1,MATCH(COLUMNS($AB$1006:AM1006),$AB$1006:$AQ$1006,0)))),"Fix")))</f>
        <v>0</v>
      </c>
      <c r="N959" s="4">
        <f>IF(OR(INDEX($V$2:$V$1001,MATCH(ROWS($U$2:U959),$U$2:$U$1001,0),1)&gt;=100000,INDEX($AB$1005:$AQ$1005,1,MATCH(COLUMNS($AB$1006:AN1006),$AB$1006:$AQ$1006,0))&gt;=100000), " ",IF(INDEX($AB$2:$AQ$1001,MATCH(ROWS($U$2:U959),$U$2:$U$1001,0),MATCH(COLUMNS($AB$1006:AN1006),$AB$1006:$AQ$1006,0)), HYPERLINK("#",""), HYPERLINK(CONCATENATE("#metadata!", ADDRESS(INDEX($W$2:$W$1001,MATCH(ROWS($U$2:U959),$U$2:$U$1001,0),0), INDEX($AB$1004:$AQ$1004,1,MATCH(COLUMNS($AB$1006:AN1006),$AB$1006:$AQ$1006,0)))),"Fix")))</f>
        <v>0</v>
      </c>
      <c r="O959" s="4">
        <f>IF(OR(INDEX($V$2:$V$1001,MATCH(ROWS($U$2:U959),$U$2:$U$1001,0),1)&gt;=100000,INDEX($AB$1005:$AQ$1005,1,MATCH(COLUMNS($AB$1006:AO1006),$AB$1006:$AQ$1006,0))&gt;=100000), " ",IF(INDEX($AB$2:$AQ$1001,MATCH(ROWS($U$2:U959),$U$2:$U$1001,0),MATCH(COLUMNS($AB$1006:AO1006),$AB$1006:$AQ$1006,0)), HYPERLINK("#",""), HYPERLINK(CONCATENATE("#metadata!", ADDRESS(INDEX($W$2:$W$1001,MATCH(ROWS($U$2:U959),$U$2:$U$1001,0),0), INDEX($AB$1004:$AQ$1004,1,MATCH(COLUMNS($AB$1006:AO1006),$AB$1006:$AQ$1006,0)))),"Fix")))</f>
        <v>0</v>
      </c>
      <c r="P959" s="4">
        <f>IF(OR(INDEX($V$2:$V$1001,MATCH(ROWS($U$2:U959),$U$2:$U$1001,0),1)&gt;=100000,INDEX($AB$1005:$AQ$1005,1,MATCH(COLUMNS($AB$1006:AP1006),$AB$1006:$AQ$1006,0))&gt;=100000), " ",IF(INDEX($AB$2:$AQ$1001,MATCH(ROWS($U$2:U959),$U$2:$U$1001,0),MATCH(COLUMNS($AB$1006:AP1006),$AB$1006:$AQ$1006,0)), HYPERLINK("#",""), HYPERLINK(CONCATENATE("#metadata!", ADDRESS(INDEX($W$2:$W$1001,MATCH(ROWS($U$2:U959),$U$2:$U$1001,0),0), INDEX($AB$1004:$AQ$1004,1,MATCH(COLUMNS($AB$1006:AP1006),$AB$1006:$AQ$1006,0)))),"Fix")))</f>
        <v>0</v>
      </c>
      <c r="Q959" s="4">
        <f>IF(OR(INDEX($V$2:$V$1001,MATCH(ROWS($U$2:U959),$U$2:$U$1001,0),1)&gt;=100000,INDEX($AB$1005:$AQ$1005,1,MATCH(COLUMNS($AB$1006:AQ1006),$AB$1006:$AQ$1006,0))&gt;=100000), " ",IF(INDEX($AB$2:$AQ$1001,MATCH(ROWS($U$2:U959),$U$2:$U$1001,0),MATCH(COLUMNS($AB$1006:AQ1006),$AB$1006:$AQ$1006,0)), HYPERLINK("#",""), HYPERLINK(CONCATENATE("#metadata!", ADDRESS(INDEX($W$2:$W$1001,MATCH(ROWS($U$2:U959),$U$2:$U$1001,0),0), INDEX($AB$1004:$AQ$1004,1,MATCH(COLUMNS($AB$1006:AQ1006),$AB$1006:$AQ$1006,0)))),"Fix")))</f>
        <v>0</v>
      </c>
      <c r="U959">
        <v>0</v>
      </c>
      <c r="V959">
        <v>0</v>
      </c>
      <c r="W959">
        <v>0</v>
      </c>
      <c r="X959">
        <f>IF(Y959,TRUE,AND(AB959:AQ959))</f>
        <v>0</v>
      </c>
      <c r="Y959">
        <f>COUNTBLANK(metadata!B959:Q959)=COLUMNS(metadata!B959:Q959)</f>
        <v>0</v>
      </c>
      <c r="Z959">
        <v>0</v>
      </c>
      <c r="AB959">
        <f>AND(IF(metadata!B959="",FALSE,TRUE),COUNTIF(metadata!B:B, metadata!B959) = 1,NOT(ISERROR(SUMPRODUCT(SEARCH(MID(metadata!B959,ROW(INDIRECT("1:"&amp;LEN(metadata!B959))), 1),"0123456789abcdefghijklmnopqrstuvwxyzABCDEFGHIJKLMNOPQRSTUVWXYZ.")))))</f>
        <v>0</v>
      </c>
      <c r="AC959">
        <f>OR(AND(IF(metadata!C959="",FALSE,TRUE),OR(exact(metadata!C959,"missing: not collected"),exact(metadata!C959,"missing: not provided"),exact(metadata!C959,"missing: restricted access"))),AND(IF(metadata!C959="",FALSE,TRUE),AND(AND(IFERROR(INT(LEFT(metadata!C959,4))&gt;1900,FALSE),IFERROR(INT(LEFT(metadata!C959,4))&lt;=YEAR(NOW()),FALSE)), OR(MID(metadata!C959,5,1)="", AND(AND(MID(metadata!C959,5,1)="-",IFERROR(INT(MID(metadata!C959,6,1))&gt;=0,FALSE),IFERROR(INT(MID(metadata!C959,6,1))&lt;=1,FALSE),NOT(MID(metadata!C959,7,1)=""),IFERROR(INT(MID(metadata!C959,6,2))&gt;=1,FALSE),IFERROR(INT(MID(metadata!C959,6,2))&lt;=12,FALSE)), OR(MID(metadata!C959,8,1)="", AND(AND(MID(metadata!C959,8,1)="-",IFERROR(INT(MID(metadata!C959,9,1))&gt;=0,FALSE),IFERROR(INT(MID(metadata!C959,9,1))&lt;=3,FALSE),NOT(MID(metadata!C959,10,1)=""),IFERROR(INT(MID(metadata!C959,9,2))&gt;=1,FALSE),IFERROR(INT(MID(metadata!C959,9,2))&lt;=31,FALSE)), OR(MID(metadata!C959,11,1)="", AND(AND(MID(metadata!C959,11,1)=" ",IFERROR(INT(MID(metadata!C959,12,1))&gt;=0,FALSE),IFERROR(INT(MID(metadata!C959,12,1))&lt;=2,FALSE),NOT(MID(metadata!C959,13,1)=""),IFERROR(INT(MID(metadata!C959,12,2))&gt;=0,FALSE),IFERROR(INT(MID(metadata!C959,12,2))&lt;=23,FALSE)), OR(MID(metadata!C959,14,1)="", AND(AND(MID(metadata!C959,14,1)=":",IFERROR(INT(MID(metadata!C959,15,1))&gt;=0,FALSE),IFERROR(INT(MID(metadata!C959,15,1))&lt;=5,FALSE),NOT(MID(metadata!C959,16,1)=""),IFERROR(INT(MID(metadata!C959,15,2))&gt;=0,FALSE),IFERROR(INT(MID(metadata!C959,15,2))&lt;=59,FALSE)), OR(MID(metadata!C959,17,1)="", AND(AND(MID(metadata!C959,17,1)=":",IFERROR(INT(MID(metadata!C959,18,1))&gt;=0,FALSE),IFERROR(INT(MID(metadata!C959,18,1))&lt;=5,FALSE),NOT(MID(metadata!C959,19,1)=""),IFERROR(INT(MID(metadata!C959,18,2))&gt;=0,FALSE),IFERROR(INT(MID(metadata!C959,18,2))&lt;=59,FALSE)), LEN(metadata!C959)&lt;=19)))))))))))))</f>
        <v>0</v>
      </c>
      <c r="AD959">
        <f>IF(metadata!D959="",FALSE,TRUE)</f>
        <v>0</v>
      </c>
      <c r="AE959">
        <f>OR(AND(IF(metadata!E959="",FALSE,TRUE),OR(exact(metadata!E959,"missing: not collected"),exact(metadata!E959,"missing: not provided"))),AND(IF(metadata!E959="",FALSE,TRUE),OR(exact(metadata!E959,"TRUE"),exact(metadata!E959,"FALSE"))))</f>
        <v>0</v>
      </c>
      <c r="AF959">
        <f>IF(metadata!F959="",FALSE,TRUE)</f>
        <v>0</v>
      </c>
      <c r="AG959">
        <f>IF(metadata!G959="",FALSE,TRUE)</f>
        <v>0</v>
      </c>
      <c r="AH959">
        <f>IF(metadata!H959="",FALSE,TRUE)</f>
        <v>0</v>
      </c>
      <c r="AI959">
        <f>OR(AND(IF(metadata!I959="",FALSE,TRUE),OR(exact(metadata!I959,"missing: not collected"),exact(metadata!I959,"missing: not provided"),exact(metadata!I959,"missing: restricted access"))),AND(IF(metadata!I959="",FALSE,TRUE),OR(exact(metadata!I959,"air"),exact(metadata!I959,"built environment"),exact(metadata!I959,"host-associated"),exact(metadata!I959,"human-associated"),exact(metadata!I959,"human-skin"),exact(metadata!I959,"human-oral"),exact(metadata!I959,"human-gut"),exact(metadata!I959,"human-vaginal"),exact(metadata!I959,"microbial mat/biofilm"),exact(metadata!I959,"misc environment"),exact(metadata!I959,"plant-associated"),exact(metadata!I959,"sediment"),exact(metadata!I959,"soil"),exact(metadata!I959,"wastewater/sludge"),exact(metadata!I959,"water"))))</f>
        <v>0</v>
      </c>
      <c r="AJ959">
        <f>IF(metadata!J959="",FALSE,TRUE)</f>
        <v>0</v>
      </c>
      <c r="AK959">
        <f>OR(AND(IF(metadata!K959="",FALSE,TRUE),OR(exact(metadata!K959,"missing: not collected"),exact(metadata!K959,"missing: not provided"),exact(metadata!K959,"missing: restricted access"))),AND(IF(metadata!K959="",FALSE,ISNUMBER(VALUE(metadata!K959))),metadata!K959&gt;=-90.00,metadata!K959&lt;=90.00))</f>
        <v>0</v>
      </c>
      <c r="AL959">
        <f>OR(AND(IF(metadata!L959="",FALSE,TRUE),OR(exact(metadata!L959,"missing: not collected"),exact(metadata!L959,"missing: not provided"),exact(metadata!L959,"missing: restricted access"))),AND(IF(metadata!L959="",FALSE,ISNUMBER(VALUE(metadata!L959))),metadata!L959&gt;=-180.00,metadata!L959&lt;=180.00))</f>
        <v>0</v>
      </c>
      <c r="AM959">
        <f>IF(metadata!M959="",FALSE,TRUE)</f>
        <v>0</v>
      </c>
      <c r="AN959">
        <f>OR(AND(IF(metadata!N959="",FALSE,TRUE),OR(exact(metadata!N959,"missing: not collected"),exact(metadata!N959,"missing: not provided"),exact(metadata!N959,"missing: restricted access"))),AND(IF(metadata!N959="",FALSE,TRUE),OR(exact(metadata!N959,"TRUE"),exact(metadata!N959,"FALSE"))))</f>
        <v>0</v>
      </c>
      <c r="AO959">
        <f>IF(metadata!O959="",FALSE,TRUE)</f>
        <v>0</v>
      </c>
      <c r="AP959">
        <f>OR(AND(IF(metadata!P959="",FALSE,TRUE),OR(exact(metadata!P959,"missing: not collected"),exact(metadata!P959,"missing: not provided"))),AND(IF(metadata!P959="",FALSE,IF(ISERROR(INT(metadata!P959)),FALSE,INT(metadata!P959)=metadata!P959)),metadata!P959&gt;0))</f>
        <v>0</v>
      </c>
      <c r="AQ959">
        <f>IF(metadata!Q959="",FALSE,TRUE)</f>
        <v>0</v>
      </c>
    </row>
    <row r="960" spans="1:43">
      <c r="A960" s="5">
        <f>IF(B960=" "," ",HYPERLINK(CONCATENATE("#metadata!",ADDRESS(INDEX($W$2:$W$1001,MATCH(ROWS($U$2:U960),$U$2:$U$1001,0),0),1)),INDEX($Z$2:$Z$1001,MATCH(ROWS($U$2:U960),$U$2:$U$1001,0),0)))</f>
        <v>0</v>
      </c>
      <c r="B960" s="4">
        <f>IF(OR(INDEX($V$2:$V$1001,MATCH(ROWS($U$2:U960),$U$2:$U$1001,0),1)&gt;=100000,INDEX($AB$1005:$AQ$1005,1,MATCH(COLUMNS($AB$1006:AB1006),$AB$1006:$AQ$1006,0))&gt;=100000), " ",IF(INDEX($AB$2:$AQ$1001,MATCH(ROWS($U$2:U960),$U$2:$U$1001,0),MATCH(COLUMNS($AB$1006:AB1006),$AB$1006:$AQ$1006,0)), HYPERLINK("#",""), HYPERLINK(CONCATENATE("#metadata!", ADDRESS(INDEX($W$2:$W$1001,MATCH(ROWS($U$2:U960),$U$2:$U$1001,0),0), INDEX($AB$1004:$AQ$1004,1,MATCH(COLUMNS($AB$1006:AB1006),$AB$1006:$AQ$1006,0)))),"Fix")))</f>
        <v>0</v>
      </c>
      <c r="C960" s="4">
        <f>IF(OR(INDEX($V$2:$V$1001,MATCH(ROWS($U$2:U960),$U$2:$U$1001,0),1)&gt;=100000,INDEX($AB$1005:$AQ$1005,1,MATCH(COLUMNS($AB$1006:AC1006),$AB$1006:$AQ$1006,0))&gt;=100000), " ",IF(INDEX($AB$2:$AQ$1001,MATCH(ROWS($U$2:U960),$U$2:$U$1001,0),MATCH(COLUMNS($AB$1006:AC1006),$AB$1006:$AQ$1006,0)), HYPERLINK("#",""), HYPERLINK(CONCATENATE("#metadata!", ADDRESS(INDEX($W$2:$W$1001,MATCH(ROWS($U$2:U960),$U$2:$U$1001,0),0), INDEX($AB$1004:$AQ$1004,1,MATCH(COLUMNS($AB$1006:AC1006),$AB$1006:$AQ$1006,0)))),"Fix")))</f>
        <v>0</v>
      </c>
      <c r="D960" s="4">
        <f>IF(OR(INDEX($V$2:$V$1001,MATCH(ROWS($U$2:U960),$U$2:$U$1001,0),1)&gt;=100000,INDEX($AB$1005:$AQ$1005,1,MATCH(COLUMNS($AB$1006:AD1006),$AB$1006:$AQ$1006,0))&gt;=100000), " ",IF(INDEX($AB$2:$AQ$1001,MATCH(ROWS($U$2:U960),$U$2:$U$1001,0),MATCH(COLUMNS($AB$1006:AD1006),$AB$1006:$AQ$1006,0)), HYPERLINK("#",""), HYPERLINK(CONCATENATE("#metadata!", ADDRESS(INDEX($W$2:$W$1001,MATCH(ROWS($U$2:U960),$U$2:$U$1001,0),0), INDEX($AB$1004:$AQ$1004,1,MATCH(COLUMNS($AB$1006:AD1006),$AB$1006:$AQ$1006,0)))),"Fix")))</f>
        <v>0</v>
      </c>
      <c r="E960" s="4">
        <f>IF(OR(INDEX($V$2:$V$1001,MATCH(ROWS($U$2:U960),$U$2:$U$1001,0),1)&gt;=100000,INDEX($AB$1005:$AQ$1005,1,MATCH(COLUMNS($AB$1006:AE1006),$AB$1006:$AQ$1006,0))&gt;=100000), " ",IF(INDEX($AB$2:$AQ$1001,MATCH(ROWS($U$2:U960),$U$2:$U$1001,0),MATCH(COLUMNS($AB$1006:AE1006),$AB$1006:$AQ$1006,0)), HYPERLINK("#",""), HYPERLINK(CONCATENATE("#metadata!", ADDRESS(INDEX($W$2:$W$1001,MATCH(ROWS($U$2:U960),$U$2:$U$1001,0),0), INDEX($AB$1004:$AQ$1004,1,MATCH(COLUMNS($AB$1006:AE1006),$AB$1006:$AQ$1006,0)))),"Fix")))</f>
        <v>0</v>
      </c>
      <c r="F960" s="4">
        <f>IF(OR(INDEX($V$2:$V$1001,MATCH(ROWS($U$2:U960),$U$2:$U$1001,0),1)&gt;=100000,INDEX($AB$1005:$AQ$1005,1,MATCH(COLUMNS($AB$1006:AF1006),$AB$1006:$AQ$1006,0))&gt;=100000), " ",IF(INDEX($AB$2:$AQ$1001,MATCH(ROWS($U$2:U960),$U$2:$U$1001,0),MATCH(COLUMNS($AB$1006:AF1006),$AB$1006:$AQ$1006,0)), HYPERLINK("#",""), HYPERLINK(CONCATENATE("#metadata!", ADDRESS(INDEX($W$2:$W$1001,MATCH(ROWS($U$2:U960),$U$2:$U$1001,0),0), INDEX($AB$1004:$AQ$1004,1,MATCH(COLUMNS($AB$1006:AF1006),$AB$1006:$AQ$1006,0)))),"Fix")))</f>
        <v>0</v>
      </c>
      <c r="G960" s="4">
        <f>IF(OR(INDEX($V$2:$V$1001,MATCH(ROWS($U$2:U960),$U$2:$U$1001,0),1)&gt;=100000,INDEX($AB$1005:$AQ$1005,1,MATCH(COLUMNS($AB$1006:AG1006),$AB$1006:$AQ$1006,0))&gt;=100000), " ",IF(INDEX($AB$2:$AQ$1001,MATCH(ROWS($U$2:U960),$U$2:$U$1001,0),MATCH(COLUMNS($AB$1006:AG1006),$AB$1006:$AQ$1006,0)), HYPERLINK("#",""), HYPERLINK(CONCATENATE("#metadata!", ADDRESS(INDEX($W$2:$W$1001,MATCH(ROWS($U$2:U960),$U$2:$U$1001,0),0), INDEX($AB$1004:$AQ$1004,1,MATCH(COLUMNS($AB$1006:AG1006),$AB$1006:$AQ$1006,0)))),"Fix")))</f>
        <v>0</v>
      </c>
      <c r="H960" s="4">
        <f>IF(OR(INDEX($V$2:$V$1001,MATCH(ROWS($U$2:U960),$U$2:$U$1001,0),1)&gt;=100000,INDEX($AB$1005:$AQ$1005,1,MATCH(COLUMNS($AB$1006:AH1006),$AB$1006:$AQ$1006,0))&gt;=100000), " ",IF(INDEX($AB$2:$AQ$1001,MATCH(ROWS($U$2:U960),$U$2:$U$1001,0),MATCH(COLUMNS($AB$1006:AH1006),$AB$1006:$AQ$1006,0)), HYPERLINK("#",""), HYPERLINK(CONCATENATE("#metadata!", ADDRESS(INDEX($W$2:$W$1001,MATCH(ROWS($U$2:U960),$U$2:$U$1001,0),0), INDEX($AB$1004:$AQ$1004,1,MATCH(COLUMNS($AB$1006:AH1006),$AB$1006:$AQ$1006,0)))),"Fix")))</f>
        <v>0</v>
      </c>
      <c r="I960" s="4">
        <f>IF(OR(INDEX($V$2:$V$1001,MATCH(ROWS($U$2:U960),$U$2:$U$1001,0),1)&gt;=100000,INDEX($AB$1005:$AQ$1005,1,MATCH(COLUMNS($AB$1006:AI1006),$AB$1006:$AQ$1006,0))&gt;=100000), " ",IF(INDEX($AB$2:$AQ$1001,MATCH(ROWS($U$2:U960),$U$2:$U$1001,0),MATCH(COLUMNS($AB$1006:AI1006),$AB$1006:$AQ$1006,0)), HYPERLINK("#",""), HYPERLINK(CONCATENATE("#metadata!", ADDRESS(INDEX($W$2:$W$1001,MATCH(ROWS($U$2:U960),$U$2:$U$1001,0),0), INDEX($AB$1004:$AQ$1004,1,MATCH(COLUMNS($AB$1006:AI1006),$AB$1006:$AQ$1006,0)))),"Fix")))</f>
        <v>0</v>
      </c>
      <c r="J960" s="4">
        <f>IF(OR(INDEX($V$2:$V$1001,MATCH(ROWS($U$2:U960),$U$2:$U$1001,0),1)&gt;=100000,INDEX($AB$1005:$AQ$1005,1,MATCH(COLUMNS($AB$1006:AJ1006),$AB$1006:$AQ$1006,0))&gt;=100000), " ",IF(INDEX($AB$2:$AQ$1001,MATCH(ROWS($U$2:U960),$U$2:$U$1001,0),MATCH(COLUMNS($AB$1006:AJ1006),$AB$1006:$AQ$1006,0)), HYPERLINK("#",""), HYPERLINK(CONCATENATE("#metadata!", ADDRESS(INDEX($W$2:$W$1001,MATCH(ROWS($U$2:U960),$U$2:$U$1001,0),0), INDEX($AB$1004:$AQ$1004,1,MATCH(COLUMNS($AB$1006:AJ1006),$AB$1006:$AQ$1006,0)))),"Fix")))</f>
        <v>0</v>
      </c>
      <c r="K960" s="4">
        <f>IF(OR(INDEX($V$2:$V$1001,MATCH(ROWS($U$2:U960),$U$2:$U$1001,0),1)&gt;=100000,INDEX($AB$1005:$AQ$1005,1,MATCH(COLUMNS($AB$1006:AK1006),$AB$1006:$AQ$1006,0))&gt;=100000), " ",IF(INDEX($AB$2:$AQ$1001,MATCH(ROWS($U$2:U960),$U$2:$U$1001,0),MATCH(COLUMNS($AB$1006:AK1006),$AB$1006:$AQ$1006,0)), HYPERLINK("#",""), HYPERLINK(CONCATENATE("#metadata!", ADDRESS(INDEX($W$2:$W$1001,MATCH(ROWS($U$2:U960),$U$2:$U$1001,0),0), INDEX($AB$1004:$AQ$1004,1,MATCH(COLUMNS($AB$1006:AK1006),$AB$1006:$AQ$1006,0)))),"Fix")))</f>
        <v>0</v>
      </c>
      <c r="L960" s="4">
        <f>IF(OR(INDEX($V$2:$V$1001,MATCH(ROWS($U$2:U960),$U$2:$U$1001,0),1)&gt;=100000,INDEX($AB$1005:$AQ$1005,1,MATCH(COLUMNS($AB$1006:AL1006),$AB$1006:$AQ$1006,0))&gt;=100000), " ",IF(INDEX($AB$2:$AQ$1001,MATCH(ROWS($U$2:U960),$U$2:$U$1001,0),MATCH(COLUMNS($AB$1006:AL1006),$AB$1006:$AQ$1006,0)), HYPERLINK("#",""), HYPERLINK(CONCATENATE("#metadata!", ADDRESS(INDEX($W$2:$W$1001,MATCH(ROWS($U$2:U960),$U$2:$U$1001,0),0), INDEX($AB$1004:$AQ$1004,1,MATCH(COLUMNS($AB$1006:AL1006),$AB$1006:$AQ$1006,0)))),"Fix")))</f>
        <v>0</v>
      </c>
      <c r="M960" s="4">
        <f>IF(OR(INDEX($V$2:$V$1001,MATCH(ROWS($U$2:U960),$U$2:$U$1001,0),1)&gt;=100000,INDEX($AB$1005:$AQ$1005,1,MATCH(COLUMNS($AB$1006:AM1006),$AB$1006:$AQ$1006,0))&gt;=100000), " ",IF(INDEX($AB$2:$AQ$1001,MATCH(ROWS($U$2:U960),$U$2:$U$1001,0),MATCH(COLUMNS($AB$1006:AM1006),$AB$1006:$AQ$1006,0)), HYPERLINK("#",""), HYPERLINK(CONCATENATE("#metadata!", ADDRESS(INDEX($W$2:$W$1001,MATCH(ROWS($U$2:U960),$U$2:$U$1001,0),0), INDEX($AB$1004:$AQ$1004,1,MATCH(COLUMNS($AB$1006:AM1006),$AB$1006:$AQ$1006,0)))),"Fix")))</f>
        <v>0</v>
      </c>
      <c r="N960" s="4">
        <f>IF(OR(INDEX($V$2:$V$1001,MATCH(ROWS($U$2:U960),$U$2:$U$1001,0),1)&gt;=100000,INDEX($AB$1005:$AQ$1005,1,MATCH(COLUMNS($AB$1006:AN1006),$AB$1006:$AQ$1006,0))&gt;=100000), " ",IF(INDEX($AB$2:$AQ$1001,MATCH(ROWS($U$2:U960),$U$2:$U$1001,0),MATCH(COLUMNS($AB$1006:AN1006),$AB$1006:$AQ$1006,0)), HYPERLINK("#",""), HYPERLINK(CONCATENATE("#metadata!", ADDRESS(INDEX($W$2:$W$1001,MATCH(ROWS($U$2:U960),$U$2:$U$1001,0),0), INDEX($AB$1004:$AQ$1004,1,MATCH(COLUMNS($AB$1006:AN1006),$AB$1006:$AQ$1006,0)))),"Fix")))</f>
        <v>0</v>
      </c>
      <c r="O960" s="4">
        <f>IF(OR(INDEX($V$2:$V$1001,MATCH(ROWS($U$2:U960),$U$2:$U$1001,0),1)&gt;=100000,INDEX($AB$1005:$AQ$1005,1,MATCH(COLUMNS($AB$1006:AO1006),$AB$1006:$AQ$1006,0))&gt;=100000), " ",IF(INDEX($AB$2:$AQ$1001,MATCH(ROWS($U$2:U960),$U$2:$U$1001,0),MATCH(COLUMNS($AB$1006:AO1006),$AB$1006:$AQ$1006,0)), HYPERLINK("#",""), HYPERLINK(CONCATENATE("#metadata!", ADDRESS(INDEX($W$2:$W$1001,MATCH(ROWS($U$2:U960),$U$2:$U$1001,0),0), INDEX($AB$1004:$AQ$1004,1,MATCH(COLUMNS($AB$1006:AO1006),$AB$1006:$AQ$1006,0)))),"Fix")))</f>
        <v>0</v>
      </c>
      <c r="P960" s="4">
        <f>IF(OR(INDEX($V$2:$V$1001,MATCH(ROWS($U$2:U960),$U$2:$U$1001,0),1)&gt;=100000,INDEX($AB$1005:$AQ$1005,1,MATCH(COLUMNS($AB$1006:AP1006),$AB$1006:$AQ$1006,0))&gt;=100000), " ",IF(INDEX($AB$2:$AQ$1001,MATCH(ROWS($U$2:U960),$U$2:$U$1001,0),MATCH(COLUMNS($AB$1006:AP1006),$AB$1006:$AQ$1006,0)), HYPERLINK("#",""), HYPERLINK(CONCATENATE("#metadata!", ADDRESS(INDEX($W$2:$W$1001,MATCH(ROWS($U$2:U960),$U$2:$U$1001,0),0), INDEX($AB$1004:$AQ$1004,1,MATCH(COLUMNS($AB$1006:AP1006),$AB$1006:$AQ$1006,0)))),"Fix")))</f>
        <v>0</v>
      </c>
      <c r="Q960" s="4">
        <f>IF(OR(INDEX($V$2:$V$1001,MATCH(ROWS($U$2:U960),$U$2:$U$1001,0),1)&gt;=100000,INDEX($AB$1005:$AQ$1005,1,MATCH(COLUMNS($AB$1006:AQ1006),$AB$1006:$AQ$1006,0))&gt;=100000), " ",IF(INDEX($AB$2:$AQ$1001,MATCH(ROWS($U$2:U960),$U$2:$U$1001,0),MATCH(COLUMNS($AB$1006:AQ1006),$AB$1006:$AQ$1006,0)), HYPERLINK("#",""), HYPERLINK(CONCATENATE("#metadata!", ADDRESS(INDEX($W$2:$W$1001,MATCH(ROWS($U$2:U960),$U$2:$U$1001,0),0), INDEX($AB$1004:$AQ$1004,1,MATCH(COLUMNS($AB$1006:AQ1006),$AB$1006:$AQ$1006,0)))),"Fix")))</f>
        <v>0</v>
      </c>
      <c r="U960">
        <v>0</v>
      </c>
      <c r="V960">
        <v>0</v>
      </c>
      <c r="W960">
        <v>0</v>
      </c>
      <c r="X960">
        <f>IF(Y960,TRUE,AND(AB960:AQ960))</f>
        <v>0</v>
      </c>
      <c r="Y960">
        <f>COUNTBLANK(metadata!B960:Q960)=COLUMNS(metadata!B960:Q960)</f>
        <v>0</v>
      </c>
      <c r="Z960">
        <v>0</v>
      </c>
      <c r="AB960">
        <f>AND(IF(metadata!B960="",FALSE,TRUE),COUNTIF(metadata!B:B, metadata!B960) = 1,NOT(ISERROR(SUMPRODUCT(SEARCH(MID(metadata!B960,ROW(INDIRECT("1:"&amp;LEN(metadata!B960))), 1),"0123456789abcdefghijklmnopqrstuvwxyzABCDEFGHIJKLMNOPQRSTUVWXYZ.")))))</f>
        <v>0</v>
      </c>
      <c r="AC960">
        <f>OR(AND(IF(metadata!C960="",FALSE,TRUE),OR(exact(metadata!C960,"missing: not collected"),exact(metadata!C960,"missing: not provided"),exact(metadata!C960,"missing: restricted access"))),AND(IF(metadata!C960="",FALSE,TRUE),AND(AND(IFERROR(INT(LEFT(metadata!C960,4))&gt;1900,FALSE),IFERROR(INT(LEFT(metadata!C960,4))&lt;=YEAR(NOW()),FALSE)), OR(MID(metadata!C960,5,1)="", AND(AND(MID(metadata!C960,5,1)="-",IFERROR(INT(MID(metadata!C960,6,1))&gt;=0,FALSE),IFERROR(INT(MID(metadata!C960,6,1))&lt;=1,FALSE),NOT(MID(metadata!C960,7,1)=""),IFERROR(INT(MID(metadata!C960,6,2))&gt;=1,FALSE),IFERROR(INT(MID(metadata!C960,6,2))&lt;=12,FALSE)), OR(MID(metadata!C960,8,1)="", AND(AND(MID(metadata!C960,8,1)="-",IFERROR(INT(MID(metadata!C960,9,1))&gt;=0,FALSE),IFERROR(INT(MID(metadata!C960,9,1))&lt;=3,FALSE),NOT(MID(metadata!C960,10,1)=""),IFERROR(INT(MID(metadata!C960,9,2))&gt;=1,FALSE),IFERROR(INT(MID(metadata!C960,9,2))&lt;=31,FALSE)), OR(MID(metadata!C960,11,1)="", AND(AND(MID(metadata!C960,11,1)=" ",IFERROR(INT(MID(metadata!C960,12,1))&gt;=0,FALSE),IFERROR(INT(MID(metadata!C960,12,1))&lt;=2,FALSE),NOT(MID(metadata!C960,13,1)=""),IFERROR(INT(MID(metadata!C960,12,2))&gt;=0,FALSE),IFERROR(INT(MID(metadata!C960,12,2))&lt;=23,FALSE)), OR(MID(metadata!C960,14,1)="", AND(AND(MID(metadata!C960,14,1)=":",IFERROR(INT(MID(metadata!C960,15,1))&gt;=0,FALSE),IFERROR(INT(MID(metadata!C960,15,1))&lt;=5,FALSE),NOT(MID(metadata!C960,16,1)=""),IFERROR(INT(MID(metadata!C960,15,2))&gt;=0,FALSE),IFERROR(INT(MID(metadata!C960,15,2))&lt;=59,FALSE)), OR(MID(metadata!C960,17,1)="", AND(AND(MID(metadata!C960,17,1)=":",IFERROR(INT(MID(metadata!C960,18,1))&gt;=0,FALSE),IFERROR(INT(MID(metadata!C960,18,1))&lt;=5,FALSE),NOT(MID(metadata!C960,19,1)=""),IFERROR(INT(MID(metadata!C960,18,2))&gt;=0,FALSE),IFERROR(INT(MID(metadata!C960,18,2))&lt;=59,FALSE)), LEN(metadata!C960)&lt;=19)))))))))))))</f>
        <v>0</v>
      </c>
      <c r="AD960">
        <f>IF(metadata!D960="",FALSE,TRUE)</f>
        <v>0</v>
      </c>
      <c r="AE960">
        <f>OR(AND(IF(metadata!E960="",FALSE,TRUE),OR(exact(metadata!E960,"missing: not collected"),exact(metadata!E960,"missing: not provided"))),AND(IF(metadata!E960="",FALSE,TRUE),OR(exact(metadata!E960,"TRUE"),exact(metadata!E960,"FALSE"))))</f>
        <v>0</v>
      </c>
      <c r="AF960">
        <f>IF(metadata!F960="",FALSE,TRUE)</f>
        <v>0</v>
      </c>
      <c r="AG960">
        <f>IF(metadata!G960="",FALSE,TRUE)</f>
        <v>0</v>
      </c>
      <c r="AH960">
        <f>IF(metadata!H960="",FALSE,TRUE)</f>
        <v>0</v>
      </c>
      <c r="AI960">
        <f>OR(AND(IF(metadata!I960="",FALSE,TRUE),OR(exact(metadata!I960,"missing: not collected"),exact(metadata!I960,"missing: not provided"),exact(metadata!I960,"missing: restricted access"))),AND(IF(metadata!I960="",FALSE,TRUE),OR(exact(metadata!I960,"air"),exact(metadata!I960,"built environment"),exact(metadata!I960,"host-associated"),exact(metadata!I960,"human-associated"),exact(metadata!I960,"human-skin"),exact(metadata!I960,"human-oral"),exact(metadata!I960,"human-gut"),exact(metadata!I960,"human-vaginal"),exact(metadata!I960,"microbial mat/biofilm"),exact(metadata!I960,"misc environment"),exact(metadata!I960,"plant-associated"),exact(metadata!I960,"sediment"),exact(metadata!I960,"soil"),exact(metadata!I960,"wastewater/sludge"),exact(metadata!I960,"water"))))</f>
        <v>0</v>
      </c>
      <c r="AJ960">
        <f>IF(metadata!J960="",FALSE,TRUE)</f>
        <v>0</v>
      </c>
      <c r="AK960">
        <f>OR(AND(IF(metadata!K960="",FALSE,TRUE),OR(exact(metadata!K960,"missing: not collected"),exact(metadata!K960,"missing: not provided"),exact(metadata!K960,"missing: restricted access"))),AND(IF(metadata!K960="",FALSE,ISNUMBER(VALUE(metadata!K960))),metadata!K960&gt;=-90.00,metadata!K960&lt;=90.00))</f>
        <v>0</v>
      </c>
      <c r="AL960">
        <f>OR(AND(IF(metadata!L960="",FALSE,TRUE),OR(exact(metadata!L960,"missing: not collected"),exact(metadata!L960,"missing: not provided"),exact(metadata!L960,"missing: restricted access"))),AND(IF(metadata!L960="",FALSE,ISNUMBER(VALUE(metadata!L960))),metadata!L960&gt;=-180.00,metadata!L960&lt;=180.00))</f>
        <v>0</v>
      </c>
      <c r="AM960">
        <f>IF(metadata!M960="",FALSE,TRUE)</f>
        <v>0</v>
      </c>
      <c r="AN960">
        <f>OR(AND(IF(metadata!N960="",FALSE,TRUE),OR(exact(metadata!N960,"missing: not collected"),exact(metadata!N960,"missing: not provided"),exact(metadata!N960,"missing: restricted access"))),AND(IF(metadata!N960="",FALSE,TRUE),OR(exact(metadata!N960,"TRUE"),exact(metadata!N960,"FALSE"))))</f>
        <v>0</v>
      </c>
      <c r="AO960">
        <f>IF(metadata!O960="",FALSE,TRUE)</f>
        <v>0</v>
      </c>
      <c r="AP960">
        <f>OR(AND(IF(metadata!P960="",FALSE,TRUE),OR(exact(metadata!P960,"missing: not collected"),exact(metadata!P960,"missing: not provided"))),AND(IF(metadata!P960="",FALSE,IF(ISERROR(INT(metadata!P960)),FALSE,INT(metadata!P960)=metadata!P960)),metadata!P960&gt;0))</f>
        <v>0</v>
      </c>
      <c r="AQ960">
        <f>IF(metadata!Q960="",FALSE,TRUE)</f>
        <v>0</v>
      </c>
    </row>
    <row r="961" spans="1:43">
      <c r="A961" s="5">
        <f>IF(B961=" "," ",HYPERLINK(CONCATENATE("#metadata!",ADDRESS(INDEX($W$2:$W$1001,MATCH(ROWS($U$2:U961),$U$2:$U$1001,0),0),1)),INDEX($Z$2:$Z$1001,MATCH(ROWS($U$2:U961),$U$2:$U$1001,0),0)))</f>
        <v>0</v>
      </c>
      <c r="B961" s="4">
        <f>IF(OR(INDEX($V$2:$V$1001,MATCH(ROWS($U$2:U961),$U$2:$U$1001,0),1)&gt;=100000,INDEX($AB$1005:$AQ$1005,1,MATCH(COLUMNS($AB$1006:AB1006),$AB$1006:$AQ$1006,0))&gt;=100000), " ",IF(INDEX($AB$2:$AQ$1001,MATCH(ROWS($U$2:U961),$U$2:$U$1001,0),MATCH(COLUMNS($AB$1006:AB1006),$AB$1006:$AQ$1006,0)), HYPERLINK("#",""), HYPERLINK(CONCATENATE("#metadata!", ADDRESS(INDEX($W$2:$W$1001,MATCH(ROWS($U$2:U961),$U$2:$U$1001,0),0), INDEX($AB$1004:$AQ$1004,1,MATCH(COLUMNS($AB$1006:AB1006),$AB$1006:$AQ$1006,0)))),"Fix")))</f>
        <v>0</v>
      </c>
      <c r="C961" s="4">
        <f>IF(OR(INDEX($V$2:$V$1001,MATCH(ROWS($U$2:U961),$U$2:$U$1001,0),1)&gt;=100000,INDEX($AB$1005:$AQ$1005,1,MATCH(COLUMNS($AB$1006:AC1006),$AB$1006:$AQ$1006,0))&gt;=100000), " ",IF(INDEX($AB$2:$AQ$1001,MATCH(ROWS($U$2:U961),$U$2:$U$1001,0),MATCH(COLUMNS($AB$1006:AC1006),$AB$1006:$AQ$1006,0)), HYPERLINK("#",""), HYPERLINK(CONCATENATE("#metadata!", ADDRESS(INDEX($W$2:$W$1001,MATCH(ROWS($U$2:U961),$U$2:$U$1001,0),0), INDEX($AB$1004:$AQ$1004,1,MATCH(COLUMNS($AB$1006:AC1006),$AB$1006:$AQ$1006,0)))),"Fix")))</f>
        <v>0</v>
      </c>
      <c r="D961" s="4">
        <f>IF(OR(INDEX($V$2:$V$1001,MATCH(ROWS($U$2:U961),$U$2:$U$1001,0),1)&gt;=100000,INDEX($AB$1005:$AQ$1005,1,MATCH(COLUMNS($AB$1006:AD1006),$AB$1006:$AQ$1006,0))&gt;=100000), " ",IF(INDEX($AB$2:$AQ$1001,MATCH(ROWS($U$2:U961),$U$2:$U$1001,0),MATCH(COLUMNS($AB$1006:AD1006),$AB$1006:$AQ$1006,0)), HYPERLINK("#",""), HYPERLINK(CONCATENATE("#metadata!", ADDRESS(INDEX($W$2:$W$1001,MATCH(ROWS($U$2:U961),$U$2:$U$1001,0),0), INDEX($AB$1004:$AQ$1004,1,MATCH(COLUMNS($AB$1006:AD1006),$AB$1006:$AQ$1006,0)))),"Fix")))</f>
        <v>0</v>
      </c>
      <c r="E961" s="4">
        <f>IF(OR(INDEX($V$2:$V$1001,MATCH(ROWS($U$2:U961),$U$2:$U$1001,0),1)&gt;=100000,INDEX($AB$1005:$AQ$1005,1,MATCH(COLUMNS($AB$1006:AE1006),$AB$1006:$AQ$1006,0))&gt;=100000), " ",IF(INDEX($AB$2:$AQ$1001,MATCH(ROWS($U$2:U961),$U$2:$U$1001,0),MATCH(COLUMNS($AB$1006:AE1006),$AB$1006:$AQ$1006,0)), HYPERLINK("#",""), HYPERLINK(CONCATENATE("#metadata!", ADDRESS(INDEX($W$2:$W$1001,MATCH(ROWS($U$2:U961),$U$2:$U$1001,0),0), INDEX($AB$1004:$AQ$1004,1,MATCH(COLUMNS($AB$1006:AE1006),$AB$1006:$AQ$1006,0)))),"Fix")))</f>
        <v>0</v>
      </c>
      <c r="F961" s="4">
        <f>IF(OR(INDEX($V$2:$V$1001,MATCH(ROWS($U$2:U961),$U$2:$U$1001,0),1)&gt;=100000,INDEX($AB$1005:$AQ$1005,1,MATCH(COLUMNS($AB$1006:AF1006),$AB$1006:$AQ$1006,0))&gt;=100000), " ",IF(INDEX($AB$2:$AQ$1001,MATCH(ROWS($U$2:U961),$U$2:$U$1001,0),MATCH(COLUMNS($AB$1006:AF1006),$AB$1006:$AQ$1006,0)), HYPERLINK("#",""), HYPERLINK(CONCATENATE("#metadata!", ADDRESS(INDEX($W$2:$W$1001,MATCH(ROWS($U$2:U961),$U$2:$U$1001,0),0), INDEX($AB$1004:$AQ$1004,1,MATCH(COLUMNS($AB$1006:AF1006),$AB$1006:$AQ$1006,0)))),"Fix")))</f>
        <v>0</v>
      </c>
      <c r="G961" s="4">
        <f>IF(OR(INDEX($V$2:$V$1001,MATCH(ROWS($U$2:U961),$U$2:$U$1001,0),1)&gt;=100000,INDEX($AB$1005:$AQ$1005,1,MATCH(COLUMNS($AB$1006:AG1006),$AB$1006:$AQ$1006,0))&gt;=100000), " ",IF(INDEX($AB$2:$AQ$1001,MATCH(ROWS($U$2:U961),$U$2:$U$1001,0),MATCH(COLUMNS($AB$1006:AG1006),$AB$1006:$AQ$1006,0)), HYPERLINK("#",""), HYPERLINK(CONCATENATE("#metadata!", ADDRESS(INDEX($W$2:$W$1001,MATCH(ROWS($U$2:U961),$U$2:$U$1001,0),0), INDEX($AB$1004:$AQ$1004,1,MATCH(COLUMNS($AB$1006:AG1006),$AB$1006:$AQ$1006,0)))),"Fix")))</f>
        <v>0</v>
      </c>
      <c r="H961" s="4">
        <f>IF(OR(INDEX($V$2:$V$1001,MATCH(ROWS($U$2:U961),$U$2:$U$1001,0),1)&gt;=100000,INDEX($AB$1005:$AQ$1005,1,MATCH(COLUMNS($AB$1006:AH1006),$AB$1006:$AQ$1006,0))&gt;=100000), " ",IF(INDEX($AB$2:$AQ$1001,MATCH(ROWS($U$2:U961),$U$2:$U$1001,0),MATCH(COLUMNS($AB$1006:AH1006),$AB$1006:$AQ$1006,0)), HYPERLINK("#",""), HYPERLINK(CONCATENATE("#metadata!", ADDRESS(INDEX($W$2:$W$1001,MATCH(ROWS($U$2:U961),$U$2:$U$1001,0),0), INDEX($AB$1004:$AQ$1004,1,MATCH(COLUMNS($AB$1006:AH1006),$AB$1006:$AQ$1006,0)))),"Fix")))</f>
        <v>0</v>
      </c>
      <c r="I961" s="4">
        <f>IF(OR(INDEX($V$2:$V$1001,MATCH(ROWS($U$2:U961),$U$2:$U$1001,0),1)&gt;=100000,INDEX($AB$1005:$AQ$1005,1,MATCH(COLUMNS($AB$1006:AI1006),$AB$1006:$AQ$1006,0))&gt;=100000), " ",IF(INDEX($AB$2:$AQ$1001,MATCH(ROWS($U$2:U961),$U$2:$U$1001,0),MATCH(COLUMNS($AB$1006:AI1006),$AB$1006:$AQ$1006,0)), HYPERLINK("#",""), HYPERLINK(CONCATENATE("#metadata!", ADDRESS(INDEX($W$2:$W$1001,MATCH(ROWS($U$2:U961),$U$2:$U$1001,0),0), INDEX($AB$1004:$AQ$1004,1,MATCH(COLUMNS($AB$1006:AI1006),$AB$1006:$AQ$1006,0)))),"Fix")))</f>
        <v>0</v>
      </c>
      <c r="J961" s="4">
        <f>IF(OR(INDEX($V$2:$V$1001,MATCH(ROWS($U$2:U961),$U$2:$U$1001,0),1)&gt;=100000,INDEX($AB$1005:$AQ$1005,1,MATCH(COLUMNS($AB$1006:AJ1006),$AB$1006:$AQ$1006,0))&gt;=100000), " ",IF(INDEX($AB$2:$AQ$1001,MATCH(ROWS($U$2:U961),$U$2:$U$1001,0),MATCH(COLUMNS($AB$1006:AJ1006),$AB$1006:$AQ$1006,0)), HYPERLINK("#",""), HYPERLINK(CONCATENATE("#metadata!", ADDRESS(INDEX($W$2:$W$1001,MATCH(ROWS($U$2:U961),$U$2:$U$1001,0),0), INDEX($AB$1004:$AQ$1004,1,MATCH(COLUMNS($AB$1006:AJ1006),$AB$1006:$AQ$1006,0)))),"Fix")))</f>
        <v>0</v>
      </c>
      <c r="K961" s="4">
        <f>IF(OR(INDEX($V$2:$V$1001,MATCH(ROWS($U$2:U961),$U$2:$U$1001,0),1)&gt;=100000,INDEX($AB$1005:$AQ$1005,1,MATCH(COLUMNS($AB$1006:AK1006),$AB$1006:$AQ$1006,0))&gt;=100000), " ",IF(INDEX($AB$2:$AQ$1001,MATCH(ROWS($U$2:U961),$U$2:$U$1001,0),MATCH(COLUMNS($AB$1006:AK1006),$AB$1006:$AQ$1006,0)), HYPERLINK("#",""), HYPERLINK(CONCATENATE("#metadata!", ADDRESS(INDEX($W$2:$W$1001,MATCH(ROWS($U$2:U961),$U$2:$U$1001,0),0), INDEX($AB$1004:$AQ$1004,1,MATCH(COLUMNS($AB$1006:AK1006),$AB$1006:$AQ$1006,0)))),"Fix")))</f>
        <v>0</v>
      </c>
      <c r="L961" s="4">
        <f>IF(OR(INDEX($V$2:$V$1001,MATCH(ROWS($U$2:U961),$U$2:$U$1001,0),1)&gt;=100000,INDEX($AB$1005:$AQ$1005,1,MATCH(COLUMNS($AB$1006:AL1006),$AB$1006:$AQ$1006,0))&gt;=100000), " ",IF(INDEX($AB$2:$AQ$1001,MATCH(ROWS($U$2:U961),$U$2:$U$1001,0),MATCH(COLUMNS($AB$1006:AL1006),$AB$1006:$AQ$1006,0)), HYPERLINK("#",""), HYPERLINK(CONCATENATE("#metadata!", ADDRESS(INDEX($W$2:$W$1001,MATCH(ROWS($U$2:U961),$U$2:$U$1001,0),0), INDEX($AB$1004:$AQ$1004,1,MATCH(COLUMNS($AB$1006:AL1006),$AB$1006:$AQ$1006,0)))),"Fix")))</f>
        <v>0</v>
      </c>
      <c r="M961" s="4">
        <f>IF(OR(INDEX($V$2:$V$1001,MATCH(ROWS($U$2:U961),$U$2:$U$1001,0),1)&gt;=100000,INDEX($AB$1005:$AQ$1005,1,MATCH(COLUMNS($AB$1006:AM1006),$AB$1006:$AQ$1006,0))&gt;=100000), " ",IF(INDEX($AB$2:$AQ$1001,MATCH(ROWS($U$2:U961),$U$2:$U$1001,0),MATCH(COLUMNS($AB$1006:AM1006),$AB$1006:$AQ$1006,0)), HYPERLINK("#",""), HYPERLINK(CONCATENATE("#metadata!", ADDRESS(INDEX($W$2:$W$1001,MATCH(ROWS($U$2:U961),$U$2:$U$1001,0),0), INDEX($AB$1004:$AQ$1004,1,MATCH(COLUMNS($AB$1006:AM1006),$AB$1006:$AQ$1006,0)))),"Fix")))</f>
        <v>0</v>
      </c>
      <c r="N961" s="4">
        <f>IF(OR(INDEX($V$2:$V$1001,MATCH(ROWS($U$2:U961),$U$2:$U$1001,0),1)&gt;=100000,INDEX($AB$1005:$AQ$1005,1,MATCH(COLUMNS($AB$1006:AN1006),$AB$1006:$AQ$1006,0))&gt;=100000), " ",IF(INDEX($AB$2:$AQ$1001,MATCH(ROWS($U$2:U961),$U$2:$U$1001,0),MATCH(COLUMNS($AB$1006:AN1006),$AB$1006:$AQ$1006,0)), HYPERLINK("#",""), HYPERLINK(CONCATENATE("#metadata!", ADDRESS(INDEX($W$2:$W$1001,MATCH(ROWS($U$2:U961),$U$2:$U$1001,0),0), INDEX($AB$1004:$AQ$1004,1,MATCH(COLUMNS($AB$1006:AN1006),$AB$1006:$AQ$1006,0)))),"Fix")))</f>
        <v>0</v>
      </c>
      <c r="O961" s="4">
        <f>IF(OR(INDEX($V$2:$V$1001,MATCH(ROWS($U$2:U961),$U$2:$U$1001,0),1)&gt;=100000,INDEX($AB$1005:$AQ$1005,1,MATCH(COLUMNS($AB$1006:AO1006),$AB$1006:$AQ$1006,0))&gt;=100000), " ",IF(INDEX($AB$2:$AQ$1001,MATCH(ROWS($U$2:U961),$U$2:$U$1001,0),MATCH(COLUMNS($AB$1006:AO1006),$AB$1006:$AQ$1006,0)), HYPERLINK("#",""), HYPERLINK(CONCATENATE("#metadata!", ADDRESS(INDEX($W$2:$W$1001,MATCH(ROWS($U$2:U961),$U$2:$U$1001,0),0), INDEX($AB$1004:$AQ$1004,1,MATCH(COLUMNS($AB$1006:AO1006),$AB$1006:$AQ$1006,0)))),"Fix")))</f>
        <v>0</v>
      </c>
      <c r="P961" s="4">
        <f>IF(OR(INDEX($V$2:$V$1001,MATCH(ROWS($U$2:U961),$U$2:$U$1001,0),1)&gt;=100000,INDEX($AB$1005:$AQ$1005,1,MATCH(COLUMNS($AB$1006:AP1006),$AB$1006:$AQ$1006,0))&gt;=100000), " ",IF(INDEX($AB$2:$AQ$1001,MATCH(ROWS($U$2:U961),$U$2:$U$1001,0),MATCH(COLUMNS($AB$1006:AP1006),$AB$1006:$AQ$1006,0)), HYPERLINK("#",""), HYPERLINK(CONCATENATE("#metadata!", ADDRESS(INDEX($W$2:$W$1001,MATCH(ROWS($U$2:U961),$U$2:$U$1001,0),0), INDEX($AB$1004:$AQ$1004,1,MATCH(COLUMNS($AB$1006:AP1006),$AB$1006:$AQ$1006,0)))),"Fix")))</f>
        <v>0</v>
      </c>
      <c r="Q961" s="4">
        <f>IF(OR(INDEX($V$2:$V$1001,MATCH(ROWS($U$2:U961),$U$2:$U$1001,0),1)&gt;=100000,INDEX($AB$1005:$AQ$1005,1,MATCH(COLUMNS($AB$1006:AQ1006),$AB$1006:$AQ$1006,0))&gt;=100000), " ",IF(INDEX($AB$2:$AQ$1001,MATCH(ROWS($U$2:U961),$U$2:$U$1001,0),MATCH(COLUMNS($AB$1006:AQ1006),$AB$1006:$AQ$1006,0)), HYPERLINK("#",""), HYPERLINK(CONCATENATE("#metadata!", ADDRESS(INDEX($W$2:$W$1001,MATCH(ROWS($U$2:U961),$U$2:$U$1001,0),0), INDEX($AB$1004:$AQ$1004,1,MATCH(COLUMNS($AB$1006:AQ1006),$AB$1006:$AQ$1006,0)))),"Fix")))</f>
        <v>0</v>
      </c>
      <c r="U961">
        <v>0</v>
      </c>
      <c r="V961">
        <v>0</v>
      </c>
      <c r="W961">
        <v>0</v>
      </c>
      <c r="X961">
        <f>IF(Y961,TRUE,AND(AB961:AQ961))</f>
        <v>0</v>
      </c>
      <c r="Y961">
        <f>COUNTBLANK(metadata!B961:Q961)=COLUMNS(metadata!B961:Q961)</f>
        <v>0</v>
      </c>
      <c r="Z961">
        <v>0</v>
      </c>
      <c r="AB961">
        <f>AND(IF(metadata!B961="",FALSE,TRUE),COUNTIF(metadata!B:B, metadata!B961) = 1,NOT(ISERROR(SUMPRODUCT(SEARCH(MID(metadata!B961,ROW(INDIRECT("1:"&amp;LEN(metadata!B961))), 1),"0123456789abcdefghijklmnopqrstuvwxyzABCDEFGHIJKLMNOPQRSTUVWXYZ.")))))</f>
        <v>0</v>
      </c>
      <c r="AC961">
        <f>OR(AND(IF(metadata!C961="",FALSE,TRUE),OR(exact(metadata!C961,"missing: not collected"),exact(metadata!C961,"missing: not provided"),exact(metadata!C961,"missing: restricted access"))),AND(IF(metadata!C961="",FALSE,TRUE),AND(AND(IFERROR(INT(LEFT(metadata!C961,4))&gt;1900,FALSE),IFERROR(INT(LEFT(metadata!C961,4))&lt;=YEAR(NOW()),FALSE)), OR(MID(metadata!C961,5,1)="", AND(AND(MID(metadata!C961,5,1)="-",IFERROR(INT(MID(metadata!C961,6,1))&gt;=0,FALSE),IFERROR(INT(MID(metadata!C961,6,1))&lt;=1,FALSE),NOT(MID(metadata!C961,7,1)=""),IFERROR(INT(MID(metadata!C961,6,2))&gt;=1,FALSE),IFERROR(INT(MID(metadata!C961,6,2))&lt;=12,FALSE)), OR(MID(metadata!C961,8,1)="", AND(AND(MID(metadata!C961,8,1)="-",IFERROR(INT(MID(metadata!C961,9,1))&gt;=0,FALSE),IFERROR(INT(MID(metadata!C961,9,1))&lt;=3,FALSE),NOT(MID(metadata!C961,10,1)=""),IFERROR(INT(MID(metadata!C961,9,2))&gt;=1,FALSE),IFERROR(INT(MID(metadata!C961,9,2))&lt;=31,FALSE)), OR(MID(metadata!C961,11,1)="", AND(AND(MID(metadata!C961,11,1)=" ",IFERROR(INT(MID(metadata!C961,12,1))&gt;=0,FALSE),IFERROR(INT(MID(metadata!C961,12,1))&lt;=2,FALSE),NOT(MID(metadata!C961,13,1)=""),IFERROR(INT(MID(metadata!C961,12,2))&gt;=0,FALSE),IFERROR(INT(MID(metadata!C961,12,2))&lt;=23,FALSE)), OR(MID(metadata!C961,14,1)="", AND(AND(MID(metadata!C961,14,1)=":",IFERROR(INT(MID(metadata!C961,15,1))&gt;=0,FALSE),IFERROR(INT(MID(metadata!C961,15,1))&lt;=5,FALSE),NOT(MID(metadata!C961,16,1)=""),IFERROR(INT(MID(metadata!C961,15,2))&gt;=0,FALSE),IFERROR(INT(MID(metadata!C961,15,2))&lt;=59,FALSE)), OR(MID(metadata!C961,17,1)="", AND(AND(MID(metadata!C961,17,1)=":",IFERROR(INT(MID(metadata!C961,18,1))&gt;=0,FALSE),IFERROR(INT(MID(metadata!C961,18,1))&lt;=5,FALSE),NOT(MID(metadata!C961,19,1)=""),IFERROR(INT(MID(metadata!C961,18,2))&gt;=0,FALSE),IFERROR(INT(MID(metadata!C961,18,2))&lt;=59,FALSE)), LEN(metadata!C961)&lt;=19)))))))))))))</f>
        <v>0</v>
      </c>
      <c r="AD961">
        <f>IF(metadata!D961="",FALSE,TRUE)</f>
        <v>0</v>
      </c>
      <c r="AE961">
        <f>OR(AND(IF(metadata!E961="",FALSE,TRUE),OR(exact(metadata!E961,"missing: not collected"),exact(metadata!E961,"missing: not provided"))),AND(IF(metadata!E961="",FALSE,TRUE),OR(exact(metadata!E961,"TRUE"),exact(metadata!E961,"FALSE"))))</f>
        <v>0</v>
      </c>
      <c r="AF961">
        <f>IF(metadata!F961="",FALSE,TRUE)</f>
        <v>0</v>
      </c>
      <c r="AG961">
        <f>IF(metadata!G961="",FALSE,TRUE)</f>
        <v>0</v>
      </c>
      <c r="AH961">
        <f>IF(metadata!H961="",FALSE,TRUE)</f>
        <v>0</v>
      </c>
      <c r="AI961">
        <f>OR(AND(IF(metadata!I961="",FALSE,TRUE),OR(exact(metadata!I961,"missing: not collected"),exact(metadata!I961,"missing: not provided"),exact(metadata!I961,"missing: restricted access"))),AND(IF(metadata!I961="",FALSE,TRUE),OR(exact(metadata!I961,"air"),exact(metadata!I961,"built environment"),exact(metadata!I961,"host-associated"),exact(metadata!I961,"human-associated"),exact(metadata!I961,"human-skin"),exact(metadata!I961,"human-oral"),exact(metadata!I961,"human-gut"),exact(metadata!I961,"human-vaginal"),exact(metadata!I961,"microbial mat/biofilm"),exact(metadata!I961,"misc environment"),exact(metadata!I961,"plant-associated"),exact(metadata!I961,"sediment"),exact(metadata!I961,"soil"),exact(metadata!I961,"wastewater/sludge"),exact(metadata!I961,"water"))))</f>
        <v>0</v>
      </c>
      <c r="AJ961">
        <f>IF(metadata!J961="",FALSE,TRUE)</f>
        <v>0</v>
      </c>
      <c r="AK961">
        <f>OR(AND(IF(metadata!K961="",FALSE,TRUE),OR(exact(metadata!K961,"missing: not collected"),exact(metadata!K961,"missing: not provided"),exact(metadata!K961,"missing: restricted access"))),AND(IF(metadata!K961="",FALSE,ISNUMBER(VALUE(metadata!K961))),metadata!K961&gt;=-90.00,metadata!K961&lt;=90.00))</f>
        <v>0</v>
      </c>
      <c r="AL961">
        <f>OR(AND(IF(metadata!L961="",FALSE,TRUE),OR(exact(metadata!L961,"missing: not collected"),exact(metadata!L961,"missing: not provided"),exact(metadata!L961,"missing: restricted access"))),AND(IF(metadata!L961="",FALSE,ISNUMBER(VALUE(metadata!L961))),metadata!L961&gt;=-180.00,metadata!L961&lt;=180.00))</f>
        <v>0</v>
      </c>
      <c r="AM961">
        <f>IF(metadata!M961="",FALSE,TRUE)</f>
        <v>0</v>
      </c>
      <c r="AN961">
        <f>OR(AND(IF(metadata!N961="",FALSE,TRUE),OR(exact(metadata!N961,"missing: not collected"),exact(metadata!N961,"missing: not provided"),exact(metadata!N961,"missing: restricted access"))),AND(IF(metadata!N961="",FALSE,TRUE),OR(exact(metadata!N961,"TRUE"),exact(metadata!N961,"FALSE"))))</f>
        <v>0</v>
      </c>
      <c r="AO961">
        <f>IF(metadata!O961="",FALSE,TRUE)</f>
        <v>0</v>
      </c>
      <c r="AP961">
        <f>OR(AND(IF(metadata!P961="",FALSE,TRUE),OR(exact(metadata!P961,"missing: not collected"),exact(metadata!P961,"missing: not provided"))),AND(IF(metadata!P961="",FALSE,IF(ISERROR(INT(metadata!P961)),FALSE,INT(metadata!P961)=metadata!P961)),metadata!P961&gt;0))</f>
        <v>0</v>
      </c>
      <c r="AQ961">
        <f>IF(metadata!Q961="",FALSE,TRUE)</f>
        <v>0</v>
      </c>
    </row>
    <row r="962" spans="1:43">
      <c r="A962" s="5">
        <f>IF(B962=" "," ",HYPERLINK(CONCATENATE("#metadata!",ADDRESS(INDEX($W$2:$W$1001,MATCH(ROWS($U$2:U962),$U$2:$U$1001,0),0),1)),INDEX($Z$2:$Z$1001,MATCH(ROWS($U$2:U962),$U$2:$U$1001,0),0)))</f>
        <v>0</v>
      </c>
      <c r="B962" s="4">
        <f>IF(OR(INDEX($V$2:$V$1001,MATCH(ROWS($U$2:U962),$U$2:$U$1001,0),1)&gt;=100000,INDEX($AB$1005:$AQ$1005,1,MATCH(COLUMNS($AB$1006:AB1006),$AB$1006:$AQ$1006,0))&gt;=100000), " ",IF(INDEX($AB$2:$AQ$1001,MATCH(ROWS($U$2:U962),$U$2:$U$1001,0),MATCH(COLUMNS($AB$1006:AB1006),$AB$1006:$AQ$1006,0)), HYPERLINK("#",""), HYPERLINK(CONCATENATE("#metadata!", ADDRESS(INDEX($W$2:$W$1001,MATCH(ROWS($U$2:U962),$U$2:$U$1001,0),0), INDEX($AB$1004:$AQ$1004,1,MATCH(COLUMNS($AB$1006:AB1006),$AB$1006:$AQ$1006,0)))),"Fix")))</f>
        <v>0</v>
      </c>
      <c r="C962" s="4">
        <f>IF(OR(INDEX($V$2:$V$1001,MATCH(ROWS($U$2:U962),$U$2:$U$1001,0),1)&gt;=100000,INDEX($AB$1005:$AQ$1005,1,MATCH(COLUMNS($AB$1006:AC1006),$AB$1006:$AQ$1006,0))&gt;=100000), " ",IF(INDEX($AB$2:$AQ$1001,MATCH(ROWS($U$2:U962),$U$2:$U$1001,0),MATCH(COLUMNS($AB$1006:AC1006),$AB$1006:$AQ$1006,0)), HYPERLINK("#",""), HYPERLINK(CONCATENATE("#metadata!", ADDRESS(INDEX($W$2:$W$1001,MATCH(ROWS($U$2:U962),$U$2:$U$1001,0),0), INDEX($AB$1004:$AQ$1004,1,MATCH(COLUMNS($AB$1006:AC1006),$AB$1006:$AQ$1006,0)))),"Fix")))</f>
        <v>0</v>
      </c>
      <c r="D962" s="4">
        <f>IF(OR(INDEX($V$2:$V$1001,MATCH(ROWS($U$2:U962),$U$2:$U$1001,0),1)&gt;=100000,INDEX($AB$1005:$AQ$1005,1,MATCH(COLUMNS($AB$1006:AD1006),$AB$1006:$AQ$1006,0))&gt;=100000), " ",IF(INDEX($AB$2:$AQ$1001,MATCH(ROWS($U$2:U962),$U$2:$U$1001,0),MATCH(COLUMNS($AB$1006:AD1006),$AB$1006:$AQ$1006,0)), HYPERLINK("#",""), HYPERLINK(CONCATENATE("#metadata!", ADDRESS(INDEX($W$2:$W$1001,MATCH(ROWS($U$2:U962),$U$2:$U$1001,0),0), INDEX($AB$1004:$AQ$1004,1,MATCH(COLUMNS($AB$1006:AD1006),$AB$1006:$AQ$1006,0)))),"Fix")))</f>
        <v>0</v>
      </c>
      <c r="E962" s="4">
        <f>IF(OR(INDEX($V$2:$V$1001,MATCH(ROWS($U$2:U962),$U$2:$U$1001,0),1)&gt;=100000,INDEX($AB$1005:$AQ$1005,1,MATCH(COLUMNS($AB$1006:AE1006),$AB$1006:$AQ$1006,0))&gt;=100000), " ",IF(INDEX($AB$2:$AQ$1001,MATCH(ROWS($U$2:U962),$U$2:$U$1001,0),MATCH(COLUMNS($AB$1006:AE1006),$AB$1006:$AQ$1006,0)), HYPERLINK("#",""), HYPERLINK(CONCATENATE("#metadata!", ADDRESS(INDEX($W$2:$W$1001,MATCH(ROWS($U$2:U962),$U$2:$U$1001,0),0), INDEX($AB$1004:$AQ$1004,1,MATCH(COLUMNS($AB$1006:AE1006),$AB$1006:$AQ$1006,0)))),"Fix")))</f>
        <v>0</v>
      </c>
      <c r="F962" s="4">
        <f>IF(OR(INDEX($V$2:$V$1001,MATCH(ROWS($U$2:U962),$U$2:$U$1001,0),1)&gt;=100000,INDEX($AB$1005:$AQ$1005,1,MATCH(COLUMNS($AB$1006:AF1006),$AB$1006:$AQ$1006,0))&gt;=100000), " ",IF(INDEX($AB$2:$AQ$1001,MATCH(ROWS($U$2:U962),$U$2:$U$1001,0),MATCH(COLUMNS($AB$1006:AF1006),$AB$1006:$AQ$1006,0)), HYPERLINK("#",""), HYPERLINK(CONCATENATE("#metadata!", ADDRESS(INDEX($W$2:$W$1001,MATCH(ROWS($U$2:U962),$U$2:$U$1001,0),0), INDEX($AB$1004:$AQ$1004,1,MATCH(COLUMNS($AB$1006:AF1006),$AB$1006:$AQ$1006,0)))),"Fix")))</f>
        <v>0</v>
      </c>
      <c r="G962" s="4">
        <f>IF(OR(INDEX($V$2:$V$1001,MATCH(ROWS($U$2:U962),$U$2:$U$1001,0),1)&gt;=100000,INDEX($AB$1005:$AQ$1005,1,MATCH(COLUMNS($AB$1006:AG1006),$AB$1006:$AQ$1006,0))&gt;=100000), " ",IF(INDEX($AB$2:$AQ$1001,MATCH(ROWS($U$2:U962),$U$2:$U$1001,0),MATCH(COLUMNS($AB$1006:AG1006),$AB$1006:$AQ$1006,0)), HYPERLINK("#",""), HYPERLINK(CONCATENATE("#metadata!", ADDRESS(INDEX($W$2:$W$1001,MATCH(ROWS($U$2:U962),$U$2:$U$1001,0),0), INDEX($AB$1004:$AQ$1004,1,MATCH(COLUMNS($AB$1006:AG1006),$AB$1006:$AQ$1006,0)))),"Fix")))</f>
        <v>0</v>
      </c>
      <c r="H962" s="4">
        <f>IF(OR(INDEX($V$2:$V$1001,MATCH(ROWS($U$2:U962),$U$2:$U$1001,0),1)&gt;=100000,INDEX($AB$1005:$AQ$1005,1,MATCH(COLUMNS($AB$1006:AH1006),$AB$1006:$AQ$1006,0))&gt;=100000), " ",IF(INDEX($AB$2:$AQ$1001,MATCH(ROWS($U$2:U962),$U$2:$U$1001,0),MATCH(COLUMNS($AB$1006:AH1006),$AB$1006:$AQ$1006,0)), HYPERLINK("#",""), HYPERLINK(CONCATENATE("#metadata!", ADDRESS(INDEX($W$2:$W$1001,MATCH(ROWS($U$2:U962),$U$2:$U$1001,0),0), INDEX($AB$1004:$AQ$1004,1,MATCH(COLUMNS($AB$1006:AH1006),$AB$1006:$AQ$1006,0)))),"Fix")))</f>
        <v>0</v>
      </c>
      <c r="I962" s="4">
        <f>IF(OR(INDEX($V$2:$V$1001,MATCH(ROWS($U$2:U962),$U$2:$U$1001,0),1)&gt;=100000,INDEX($AB$1005:$AQ$1005,1,MATCH(COLUMNS($AB$1006:AI1006),$AB$1006:$AQ$1006,0))&gt;=100000), " ",IF(INDEX($AB$2:$AQ$1001,MATCH(ROWS($U$2:U962),$U$2:$U$1001,0),MATCH(COLUMNS($AB$1006:AI1006),$AB$1006:$AQ$1006,0)), HYPERLINK("#",""), HYPERLINK(CONCATENATE("#metadata!", ADDRESS(INDEX($W$2:$W$1001,MATCH(ROWS($U$2:U962),$U$2:$U$1001,0),0), INDEX($AB$1004:$AQ$1004,1,MATCH(COLUMNS($AB$1006:AI1006),$AB$1006:$AQ$1006,0)))),"Fix")))</f>
        <v>0</v>
      </c>
      <c r="J962" s="4">
        <f>IF(OR(INDEX($V$2:$V$1001,MATCH(ROWS($U$2:U962),$U$2:$U$1001,0),1)&gt;=100000,INDEX($AB$1005:$AQ$1005,1,MATCH(COLUMNS($AB$1006:AJ1006),$AB$1006:$AQ$1006,0))&gt;=100000), " ",IF(INDEX($AB$2:$AQ$1001,MATCH(ROWS($U$2:U962),$U$2:$U$1001,0),MATCH(COLUMNS($AB$1006:AJ1006),$AB$1006:$AQ$1006,0)), HYPERLINK("#",""), HYPERLINK(CONCATENATE("#metadata!", ADDRESS(INDEX($W$2:$W$1001,MATCH(ROWS($U$2:U962),$U$2:$U$1001,0),0), INDEX($AB$1004:$AQ$1004,1,MATCH(COLUMNS($AB$1006:AJ1006),$AB$1006:$AQ$1006,0)))),"Fix")))</f>
        <v>0</v>
      </c>
      <c r="K962" s="4">
        <f>IF(OR(INDEX($V$2:$V$1001,MATCH(ROWS($U$2:U962),$U$2:$U$1001,0),1)&gt;=100000,INDEX($AB$1005:$AQ$1005,1,MATCH(COLUMNS($AB$1006:AK1006),$AB$1006:$AQ$1006,0))&gt;=100000), " ",IF(INDEX($AB$2:$AQ$1001,MATCH(ROWS($U$2:U962),$U$2:$U$1001,0),MATCH(COLUMNS($AB$1006:AK1006),$AB$1006:$AQ$1006,0)), HYPERLINK("#",""), HYPERLINK(CONCATENATE("#metadata!", ADDRESS(INDEX($W$2:$W$1001,MATCH(ROWS($U$2:U962),$U$2:$U$1001,0),0), INDEX($AB$1004:$AQ$1004,1,MATCH(COLUMNS($AB$1006:AK1006),$AB$1006:$AQ$1006,0)))),"Fix")))</f>
        <v>0</v>
      </c>
      <c r="L962" s="4">
        <f>IF(OR(INDEX($V$2:$V$1001,MATCH(ROWS($U$2:U962),$U$2:$U$1001,0),1)&gt;=100000,INDEX($AB$1005:$AQ$1005,1,MATCH(COLUMNS($AB$1006:AL1006),$AB$1006:$AQ$1006,0))&gt;=100000), " ",IF(INDEX($AB$2:$AQ$1001,MATCH(ROWS($U$2:U962),$U$2:$U$1001,0),MATCH(COLUMNS($AB$1006:AL1006),$AB$1006:$AQ$1006,0)), HYPERLINK("#",""), HYPERLINK(CONCATENATE("#metadata!", ADDRESS(INDEX($W$2:$W$1001,MATCH(ROWS($U$2:U962),$U$2:$U$1001,0),0), INDEX($AB$1004:$AQ$1004,1,MATCH(COLUMNS($AB$1006:AL1006),$AB$1006:$AQ$1006,0)))),"Fix")))</f>
        <v>0</v>
      </c>
      <c r="M962" s="4">
        <f>IF(OR(INDEX($V$2:$V$1001,MATCH(ROWS($U$2:U962),$U$2:$U$1001,0),1)&gt;=100000,INDEX($AB$1005:$AQ$1005,1,MATCH(COLUMNS($AB$1006:AM1006),$AB$1006:$AQ$1006,0))&gt;=100000), " ",IF(INDEX($AB$2:$AQ$1001,MATCH(ROWS($U$2:U962),$U$2:$U$1001,0),MATCH(COLUMNS($AB$1006:AM1006),$AB$1006:$AQ$1006,0)), HYPERLINK("#",""), HYPERLINK(CONCATENATE("#metadata!", ADDRESS(INDEX($W$2:$W$1001,MATCH(ROWS($U$2:U962),$U$2:$U$1001,0),0), INDEX($AB$1004:$AQ$1004,1,MATCH(COLUMNS($AB$1006:AM1006),$AB$1006:$AQ$1006,0)))),"Fix")))</f>
        <v>0</v>
      </c>
      <c r="N962" s="4">
        <f>IF(OR(INDEX($V$2:$V$1001,MATCH(ROWS($U$2:U962),$U$2:$U$1001,0),1)&gt;=100000,INDEX($AB$1005:$AQ$1005,1,MATCH(COLUMNS($AB$1006:AN1006),$AB$1006:$AQ$1006,0))&gt;=100000), " ",IF(INDEX($AB$2:$AQ$1001,MATCH(ROWS($U$2:U962),$U$2:$U$1001,0),MATCH(COLUMNS($AB$1006:AN1006),$AB$1006:$AQ$1006,0)), HYPERLINK("#",""), HYPERLINK(CONCATENATE("#metadata!", ADDRESS(INDEX($W$2:$W$1001,MATCH(ROWS($U$2:U962),$U$2:$U$1001,0),0), INDEX($AB$1004:$AQ$1004,1,MATCH(COLUMNS($AB$1006:AN1006),$AB$1006:$AQ$1006,0)))),"Fix")))</f>
        <v>0</v>
      </c>
      <c r="O962" s="4">
        <f>IF(OR(INDEX($V$2:$V$1001,MATCH(ROWS($U$2:U962),$U$2:$U$1001,0),1)&gt;=100000,INDEX($AB$1005:$AQ$1005,1,MATCH(COLUMNS($AB$1006:AO1006),$AB$1006:$AQ$1006,0))&gt;=100000), " ",IF(INDEX($AB$2:$AQ$1001,MATCH(ROWS($U$2:U962),$U$2:$U$1001,0),MATCH(COLUMNS($AB$1006:AO1006),$AB$1006:$AQ$1006,0)), HYPERLINK("#",""), HYPERLINK(CONCATENATE("#metadata!", ADDRESS(INDEX($W$2:$W$1001,MATCH(ROWS($U$2:U962),$U$2:$U$1001,0),0), INDEX($AB$1004:$AQ$1004,1,MATCH(COLUMNS($AB$1006:AO1006),$AB$1006:$AQ$1006,0)))),"Fix")))</f>
        <v>0</v>
      </c>
      <c r="P962" s="4">
        <f>IF(OR(INDEX($V$2:$V$1001,MATCH(ROWS($U$2:U962),$U$2:$U$1001,0),1)&gt;=100000,INDEX($AB$1005:$AQ$1005,1,MATCH(COLUMNS($AB$1006:AP1006),$AB$1006:$AQ$1006,0))&gt;=100000), " ",IF(INDEX($AB$2:$AQ$1001,MATCH(ROWS($U$2:U962),$U$2:$U$1001,0),MATCH(COLUMNS($AB$1006:AP1006),$AB$1006:$AQ$1006,0)), HYPERLINK("#",""), HYPERLINK(CONCATENATE("#metadata!", ADDRESS(INDEX($W$2:$W$1001,MATCH(ROWS($U$2:U962),$U$2:$U$1001,0),0), INDEX($AB$1004:$AQ$1004,1,MATCH(COLUMNS($AB$1006:AP1006),$AB$1006:$AQ$1006,0)))),"Fix")))</f>
        <v>0</v>
      </c>
      <c r="Q962" s="4">
        <f>IF(OR(INDEX($V$2:$V$1001,MATCH(ROWS($U$2:U962),$U$2:$U$1001,0),1)&gt;=100000,INDEX($AB$1005:$AQ$1005,1,MATCH(COLUMNS($AB$1006:AQ1006),$AB$1006:$AQ$1006,0))&gt;=100000), " ",IF(INDEX($AB$2:$AQ$1001,MATCH(ROWS($U$2:U962),$U$2:$U$1001,0),MATCH(COLUMNS($AB$1006:AQ1006),$AB$1006:$AQ$1006,0)), HYPERLINK("#",""), HYPERLINK(CONCATENATE("#metadata!", ADDRESS(INDEX($W$2:$W$1001,MATCH(ROWS($U$2:U962),$U$2:$U$1001,0),0), INDEX($AB$1004:$AQ$1004,1,MATCH(COLUMNS($AB$1006:AQ1006),$AB$1006:$AQ$1006,0)))),"Fix")))</f>
        <v>0</v>
      </c>
      <c r="U962">
        <v>0</v>
      </c>
      <c r="V962">
        <v>0</v>
      </c>
      <c r="W962">
        <v>0</v>
      </c>
      <c r="X962">
        <f>IF(Y962,TRUE,AND(AB962:AQ962))</f>
        <v>0</v>
      </c>
      <c r="Y962">
        <f>COUNTBLANK(metadata!B962:Q962)=COLUMNS(metadata!B962:Q962)</f>
        <v>0</v>
      </c>
      <c r="Z962">
        <v>0</v>
      </c>
      <c r="AB962">
        <f>AND(IF(metadata!B962="",FALSE,TRUE),COUNTIF(metadata!B:B, metadata!B962) = 1,NOT(ISERROR(SUMPRODUCT(SEARCH(MID(metadata!B962,ROW(INDIRECT("1:"&amp;LEN(metadata!B962))), 1),"0123456789abcdefghijklmnopqrstuvwxyzABCDEFGHIJKLMNOPQRSTUVWXYZ.")))))</f>
        <v>0</v>
      </c>
      <c r="AC962">
        <f>OR(AND(IF(metadata!C962="",FALSE,TRUE),OR(exact(metadata!C962,"missing: not collected"),exact(metadata!C962,"missing: not provided"),exact(metadata!C962,"missing: restricted access"))),AND(IF(metadata!C962="",FALSE,TRUE),AND(AND(IFERROR(INT(LEFT(metadata!C962,4))&gt;1900,FALSE),IFERROR(INT(LEFT(metadata!C962,4))&lt;=YEAR(NOW()),FALSE)), OR(MID(metadata!C962,5,1)="", AND(AND(MID(metadata!C962,5,1)="-",IFERROR(INT(MID(metadata!C962,6,1))&gt;=0,FALSE),IFERROR(INT(MID(metadata!C962,6,1))&lt;=1,FALSE),NOT(MID(metadata!C962,7,1)=""),IFERROR(INT(MID(metadata!C962,6,2))&gt;=1,FALSE),IFERROR(INT(MID(metadata!C962,6,2))&lt;=12,FALSE)), OR(MID(metadata!C962,8,1)="", AND(AND(MID(metadata!C962,8,1)="-",IFERROR(INT(MID(metadata!C962,9,1))&gt;=0,FALSE),IFERROR(INT(MID(metadata!C962,9,1))&lt;=3,FALSE),NOT(MID(metadata!C962,10,1)=""),IFERROR(INT(MID(metadata!C962,9,2))&gt;=1,FALSE),IFERROR(INT(MID(metadata!C962,9,2))&lt;=31,FALSE)), OR(MID(metadata!C962,11,1)="", AND(AND(MID(metadata!C962,11,1)=" ",IFERROR(INT(MID(metadata!C962,12,1))&gt;=0,FALSE),IFERROR(INT(MID(metadata!C962,12,1))&lt;=2,FALSE),NOT(MID(metadata!C962,13,1)=""),IFERROR(INT(MID(metadata!C962,12,2))&gt;=0,FALSE),IFERROR(INT(MID(metadata!C962,12,2))&lt;=23,FALSE)), OR(MID(metadata!C962,14,1)="", AND(AND(MID(metadata!C962,14,1)=":",IFERROR(INT(MID(metadata!C962,15,1))&gt;=0,FALSE),IFERROR(INT(MID(metadata!C962,15,1))&lt;=5,FALSE),NOT(MID(metadata!C962,16,1)=""),IFERROR(INT(MID(metadata!C962,15,2))&gt;=0,FALSE),IFERROR(INT(MID(metadata!C962,15,2))&lt;=59,FALSE)), OR(MID(metadata!C962,17,1)="", AND(AND(MID(metadata!C962,17,1)=":",IFERROR(INT(MID(metadata!C962,18,1))&gt;=0,FALSE),IFERROR(INT(MID(metadata!C962,18,1))&lt;=5,FALSE),NOT(MID(metadata!C962,19,1)=""),IFERROR(INT(MID(metadata!C962,18,2))&gt;=0,FALSE),IFERROR(INT(MID(metadata!C962,18,2))&lt;=59,FALSE)), LEN(metadata!C962)&lt;=19)))))))))))))</f>
        <v>0</v>
      </c>
      <c r="AD962">
        <f>IF(metadata!D962="",FALSE,TRUE)</f>
        <v>0</v>
      </c>
      <c r="AE962">
        <f>OR(AND(IF(metadata!E962="",FALSE,TRUE),OR(exact(metadata!E962,"missing: not collected"),exact(metadata!E962,"missing: not provided"))),AND(IF(metadata!E962="",FALSE,TRUE),OR(exact(metadata!E962,"TRUE"),exact(metadata!E962,"FALSE"))))</f>
        <v>0</v>
      </c>
      <c r="AF962">
        <f>IF(metadata!F962="",FALSE,TRUE)</f>
        <v>0</v>
      </c>
      <c r="AG962">
        <f>IF(metadata!G962="",FALSE,TRUE)</f>
        <v>0</v>
      </c>
      <c r="AH962">
        <f>IF(metadata!H962="",FALSE,TRUE)</f>
        <v>0</v>
      </c>
      <c r="AI962">
        <f>OR(AND(IF(metadata!I962="",FALSE,TRUE),OR(exact(metadata!I962,"missing: not collected"),exact(metadata!I962,"missing: not provided"),exact(metadata!I962,"missing: restricted access"))),AND(IF(metadata!I962="",FALSE,TRUE),OR(exact(metadata!I962,"air"),exact(metadata!I962,"built environment"),exact(metadata!I962,"host-associated"),exact(metadata!I962,"human-associated"),exact(metadata!I962,"human-skin"),exact(metadata!I962,"human-oral"),exact(metadata!I962,"human-gut"),exact(metadata!I962,"human-vaginal"),exact(metadata!I962,"microbial mat/biofilm"),exact(metadata!I962,"misc environment"),exact(metadata!I962,"plant-associated"),exact(metadata!I962,"sediment"),exact(metadata!I962,"soil"),exact(metadata!I962,"wastewater/sludge"),exact(metadata!I962,"water"))))</f>
        <v>0</v>
      </c>
      <c r="AJ962">
        <f>IF(metadata!J962="",FALSE,TRUE)</f>
        <v>0</v>
      </c>
      <c r="AK962">
        <f>OR(AND(IF(metadata!K962="",FALSE,TRUE),OR(exact(metadata!K962,"missing: not collected"),exact(metadata!K962,"missing: not provided"),exact(metadata!K962,"missing: restricted access"))),AND(IF(metadata!K962="",FALSE,ISNUMBER(VALUE(metadata!K962))),metadata!K962&gt;=-90.00,metadata!K962&lt;=90.00))</f>
        <v>0</v>
      </c>
      <c r="AL962">
        <f>OR(AND(IF(metadata!L962="",FALSE,TRUE),OR(exact(metadata!L962,"missing: not collected"),exact(metadata!L962,"missing: not provided"),exact(metadata!L962,"missing: restricted access"))),AND(IF(metadata!L962="",FALSE,ISNUMBER(VALUE(metadata!L962))),metadata!L962&gt;=-180.00,metadata!L962&lt;=180.00))</f>
        <v>0</v>
      </c>
      <c r="AM962">
        <f>IF(metadata!M962="",FALSE,TRUE)</f>
        <v>0</v>
      </c>
      <c r="AN962">
        <f>OR(AND(IF(metadata!N962="",FALSE,TRUE),OR(exact(metadata!N962,"missing: not collected"),exact(metadata!N962,"missing: not provided"),exact(metadata!N962,"missing: restricted access"))),AND(IF(metadata!N962="",FALSE,TRUE),OR(exact(metadata!N962,"TRUE"),exact(metadata!N962,"FALSE"))))</f>
        <v>0</v>
      </c>
      <c r="AO962">
        <f>IF(metadata!O962="",FALSE,TRUE)</f>
        <v>0</v>
      </c>
      <c r="AP962">
        <f>OR(AND(IF(metadata!P962="",FALSE,TRUE),OR(exact(metadata!P962,"missing: not collected"),exact(metadata!P962,"missing: not provided"))),AND(IF(metadata!P962="",FALSE,IF(ISERROR(INT(metadata!P962)),FALSE,INT(metadata!P962)=metadata!P962)),metadata!P962&gt;0))</f>
        <v>0</v>
      </c>
      <c r="AQ962">
        <f>IF(metadata!Q962="",FALSE,TRUE)</f>
        <v>0</v>
      </c>
    </row>
    <row r="963" spans="1:43">
      <c r="A963" s="5">
        <f>IF(B963=" "," ",HYPERLINK(CONCATENATE("#metadata!",ADDRESS(INDEX($W$2:$W$1001,MATCH(ROWS($U$2:U963),$U$2:$U$1001,0),0),1)),INDEX($Z$2:$Z$1001,MATCH(ROWS($U$2:U963),$U$2:$U$1001,0),0)))</f>
        <v>0</v>
      </c>
      <c r="B963" s="4">
        <f>IF(OR(INDEX($V$2:$V$1001,MATCH(ROWS($U$2:U963),$U$2:$U$1001,0),1)&gt;=100000,INDEX($AB$1005:$AQ$1005,1,MATCH(COLUMNS($AB$1006:AB1006),$AB$1006:$AQ$1006,0))&gt;=100000), " ",IF(INDEX($AB$2:$AQ$1001,MATCH(ROWS($U$2:U963),$U$2:$U$1001,0),MATCH(COLUMNS($AB$1006:AB1006),$AB$1006:$AQ$1006,0)), HYPERLINK("#",""), HYPERLINK(CONCATENATE("#metadata!", ADDRESS(INDEX($W$2:$W$1001,MATCH(ROWS($U$2:U963),$U$2:$U$1001,0),0), INDEX($AB$1004:$AQ$1004,1,MATCH(COLUMNS($AB$1006:AB1006),$AB$1006:$AQ$1006,0)))),"Fix")))</f>
        <v>0</v>
      </c>
      <c r="C963" s="4">
        <f>IF(OR(INDEX($V$2:$V$1001,MATCH(ROWS($U$2:U963),$U$2:$U$1001,0),1)&gt;=100000,INDEX($AB$1005:$AQ$1005,1,MATCH(COLUMNS($AB$1006:AC1006),$AB$1006:$AQ$1006,0))&gt;=100000), " ",IF(INDEX($AB$2:$AQ$1001,MATCH(ROWS($U$2:U963),$U$2:$U$1001,0),MATCH(COLUMNS($AB$1006:AC1006),$AB$1006:$AQ$1006,0)), HYPERLINK("#",""), HYPERLINK(CONCATENATE("#metadata!", ADDRESS(INDEX($W$2:$W$1001,MATCH(ROWS($U$2:U963),$U$2:$U$1001,0),0), INDEX($AB$1004:$AQ$1004,1,MATCH(COLUMNS($AB$1006:AC1006),$AB$1006:$AQ$1006,0)))),"Fix")))</f>
        <v>0</v>
      </c>
      <c r="D963" s="4">
        <f>IF(OR(INDEX($V$2:$V$1001,MATCH(ROWS($U$2:U963),$U$2:$U$1001,0),1)&gt;=100000,INDEX($AB$1005:$AQ$1005,1,MATCH(COLUMNS($AB$1006:AD1006),$AB$1006:$AQ$1006,0))&gt;=100000), " ",IF(INDEX($AB$2:$AQ$1001,MATCH(ROWS($U$2:U963),$U$2:$U$1001,0),MATCH(COLUMNS($AB$1006:AD1006),$AB$1006:$AQ$1006,0)), HYPERLINK("#",""), HYPERLINK(CONCATENATE("#metadata!", ADDRESS(INDEX($W$2:$W$1001,MATCH(ROWS($U$2:U963),$U$2:$U$1001,0),0), INDEX($AB$1004:$AQ$1004,1,MATCH(COLUMNS($AB$1006:AD1006),$AB$1006:$AQ$1006,0)))),"Fix")))</f>
        <v>0</v>
      </c>
      <c r="E963" s="4">
        <f>IF(OR(INDEX($V$2:$V$1001,MATCH(ROWS($U$2:U963),$U$2:$U$1001,0),1)&gt;=100000,INDEX($AB$1005:$AQ$1005,1,MATCH(COLUMNS($AB$1006:AE1006),$AB$1006:$AQ$1006,0))&gt;=100000), " ",IF(INDEX($AB$2:$AQ$1001,MATCH(ROWS($U$2:U963),$U$2:$U$1001,0),MATCH(COLUMNS($AB$1006:AE1006),$AB$1006:$AQ$1006,0)), HYPERLINK("#",""), HYPERLINK(CONCATENATE("#metadata!", ADDRESS(INDEX($W$2:$W$1001,MATCH(ROWS($U$2:U963),$U$2:$U$1001,0),0), INDEX($AB$1004:$AQ$1004,1,MATCH(COLUMNS($AB$1006:AE1006),$AB$1006:$AQ$1006,0)))),"Fix")))</f>
        <v>0</v>
      </c>
      <c r="F963" s="4">
        <f>IF(OR(INDEX($V$2:$V$1001,MATCH(ROWS($U$2:U963),$U$2:$U$1001,0),1)&gt;=100000,INDEX($AB$1005:$AQ$1005,1,MATCH(COLUMNS($AB$1006:AF1006),$AB$1006:$AQ$1006,0))&gt;=100000), " ",IF(INDEX($AB$2:$AQ$1001,MATCH(ROWS($U$2:U963),$U$2:$U$1001,0),MATCH(COLUMNS($AB$1006:AF1006),$AB$1006:$AQ$1006,0)), HYPERLINK("#",""), HYPERLINK(CONCATENATE("#metadata!", ADDRESS(INDEX($W$2:$W$1001,MATCH(ROWS($U$2:U963),$U$2:$U$1001,0),0), INDEX($AB$1004:$AQ$1004,1,MATCH(COLUMNS($AB$1006:AF1006),$AB$1006:$AQ$1006,0)))),"Fix")))</f>
        <v>0</v>
      </c>
      <c r="G963" s="4">
        <f>IF(OR(INDEX($V$2:$V$1001,MATCH(ROWS($U$2:U963),$U$2:$U$1001,0),1)&gt;=100000,INDEX($AB$1005:$AQ$1005,1,MATCH(COLUMNS($AB$1006:AG1006),$AB$1006:$AQ$1006,0))&gt;=100000), " ",IF(INDEX($AB$2:$AQ$1001,MATCH(ROWS($U$2:U963),$U$2:$U$1001,0),MATCH(COLUMNS($AB$1006:AG1006),$AB$1006:$AQ$1006,0)), HYPERLINK("#",""), HYPERLINK(CONCATENATE("#metadata!", ADDRESS(INDEX($W$2:$W$1001,MATCH(ROWS($U$2:U963),$U$2:$U$1001,0),0), INDEX($AB$1004:$AQ$1004,1,MATCH(COLUMNS($AB$1006:AG1006),$AB$1006:$AQ$1006,0)))),"Fix")))</f>
        <v>0</v>
      </c>
      <c r="H963" s="4">
        <f>IF(OR(INDEX($V$2:$V$1001,MATCH(ROWS($U$2:U963),$U$2:$U$1001,0),1)&gt;=100000,INDEX($AB$1005:$AQ$1005,1,MATCH(COLUMNS($AB$1006:AH1006),$AB$1006:$AQ$1006,0))&gt;=100000), " ",IF(INDEX($AB$2:$AQ$1001,MATCH(ROWS($U$2:U963),$U$2:$U$1001,0),MATCH(COLUMNS($AB$1006:AH1006),$AB$1006:$AQ$1006,0)), HYPERLINK("#",""), HYPERLINK(CONCATENATE("#metadata!", ADDRESS(INDEX($W$2:$W$1001,MATCH(ROWS($U$2:U963),$U$2:$U$1001,0),0), INDEX($AB$1004:$AQ$1004,1,MATCH(COLUMNS($AB$1006:AH1006),$AB$1006:$AQ$1006,0)))),"Fix")))</f>
        <v>0</v>
      </c>
      <c r="I963" s="4">
        <f>IF(OR(INDEX($V$2:$V$1001,MATCH(ROWS($U$2:U963),$U$2:$U$1001,0),1)&gt;=100000,INDEX($AB$1005:$AQ$1005,1,MATCH(COLUMNS($AB$1006:AI1006),$AB$1006:$AQ$1006,0))&gt;=100000), " ",IF(INDEX($AB$2:$AQ$1001,MATCH(ROWS($U$2:U963),$U$2:$U$1001,0),MATCH(COLUMNS($AB$1006:AI1006),$AB$1006:$AQ$1006,0)), HYPERLINK("#",""), HYPERLINK(CONCATENATE("#metadata!", ADDRESS(INDEX($W$2:$W$1001,MATCH(ROWS($U$2:U963),$U$2:$U$1001,0),0), INDEX($AB$1004:$AQ$1004,1,MATCH(COLUMNS($AB$1006:AI1006),$AB$1006:$AQ$1006,0)))),"Fix")))</f>
        <v>0</v>
      </c>
      <c r="J963" s="4">
        <f>IF(OR(INDEX($V$2:$V$1001,MATCH(ROWS($U$2:U963),$U$2:$U$1001,0),1)&gt;=100000,INDEX($AB$1005:$AQ$1005,1,MATCH(COLUMNS($AB$1006:AJ1006),$AB$1006:$AQ$1006,0))&gt;=100000), " ",IF(INDEX($AB$2:$AQ$1001,MATCH(ROWS($U$2:U963),$U$2:$U$1001,0),MATCH(COLUMNS($AB$1006:AJ1006),$AB$1006:$AQ$1006,0)), HYPERLINK("#",""), HYPERLINK(CONCATENATE("#metadata!", ADDRESS(INDEX($W$2:$W$1001,MATCH(ROWS($U$2:U963),$U$2:$U$1001,0),0), INDEX($AB$1004:$AQ$1004,1,MATCH(COLUMNS($AB$1006:AJ1006),$AB$1006:$AQ$1006,0)))),"Fix")))</f>
        <v>0</v>
      </c>
      <c r="K963" s="4">
        <f>IF(OR(INDEX($V$2:$V$1001,MATCH(ROWS($U$2:U963),$U$2:$U$1001,0),1)&gt;=100000,INDEX($AB$1005:$AQ$1005,1,MATCH(COLUMNS($AB$1006:AK1006),$AB$1006:$AQ$1006,0))&gt;=100000), " ",IF(INDEX($AB$2:$AQ$1001,MATCH(ROWS($U$2:U963),$U$2:$U$1001,0),MATCH(COLUMNS($AB$1006:AK1006),$AB$1006:$AQ$1006,0)), HYPERLINK("#",""), HYPERLINK(CONCATENATE("#metadata!", ADDRESS(INDEX($W$2:$W$1001,MATCH(ROWS($U$2:U963),$U$2:$U$1001,0),0), INDEX($AB$1004:$AQ$1004,1,MATCH(COLUMNS($AB$1006:AK1006),$AB$1006:$AQ$1006,0)))),"Fix")))</f>
        <v>0</v>
      </c>
      <c r="L963" s="4">
        <f>IF(OR(INDEX($V$2:$V$1001,MATCH(ROWS($U$2:U963),$U$2:$U$1001,0),1)&gt;=100000,INDEX($AB$1005:$AQ$1005,1,MATCH(COLUMNS($AB$1006:AL1006),$AB$1006:$AQ$1006,0))&gt;=100000), " ",IF(INDEX($AB$2:$AQ$1001,MATCH(ROWS($U$2:U963),$U$2:$U$1001,0),MATCH(COLUMNS($AB$1006:AL1006),$AB$1006:$AQ$1006,0)), HYPERLINK("#",""), HYPERLINK(CONCATENATE("#metadata!", ADDRESS(INDEX($W$2:$W$1001,MATCH(ROWS($U$2:U963),$U$2:$U$1001,0),0), INDEX($AB$1004:$AQ$1004,1,MATCH(COLUMNS($AB$1006:AL1006),$AB$1006:$AQ$1006,0)))),"Fix")))</f>
        <v>0</v>
      </c>
      <c r="M963" s="4">
        <f>IF(OR(INDEX($V$2:$V$1001,MATCH(ROWS($U$2:U963),$U$2:$U$1001,0),1)&gt;=100000,INDEX($AB$1005:$AQ$1005,1,MATCH(COLUMNS($AB$1006:AM1006),$AB$1006:$AQ$1006,0))&gt;=100000), " ",IF(INDEX($AB$2:$AQ$1001,MATCH(ROWS($U$2:U963),$U$2:$U$1001,0),MATCH(COLUMNS($AB$1006:AM1006),$AB$1006:$AQ$1006,0)), HYPERLINK("#",""), HYPERLINK(CONCATENATE("#metadata!", ADDRESS(INDEX($W$2:$W$1001,MATCH(ROWS($U$2:U963),$U$2:$U$1001,0),0), INDEX($AB$1004:$AQ$1004,1,MATCH(COLUMNS($AB$1006:AM1006),$AB$1006:$AQ$1006,0)))),"Fix")))</f>
        <v>0</v>
      </c>
      <c r="N963" s="4">
        <f>IF(OR(INDEX($V$2:$V$1001,MATCH(ROWS($U$2:U963),$U$2:$U$1001,0),1)&gt;=100000,INDEX($AB$1005:$AQ$1005,1,MATCH(COLUMNS($AB$1006:AN1006),$AB$1006:$AQ$1006,0))&gt;=100000), " ",IF(INDEX($AB$2:$AQ$1001,MATCH(ROWS($U$2:U963),$U$2:$U$1001,0),MATCH(COLUMNS($AB$1006:AN1006),$AB$1006:$AQ$1006,0)), HYPERLINK("#",""), HYPERLINK(CONCATENATE("#metadata!", ADDRESS(INDEX($W$2:$W$1001,MATCH(ROWS($U$2:U963),$U$2:$U$1001,0),0), INDEX($AB$1004:$AQ$1004,1,MATCH(COLUMNS($AB$1006:AN1006),$AB$1006:$AQ$1006,0)))),"Fix")))</f>
        <v>0</v>
      </c>
      <c r="O963" s="4">
        <f>IF(OR(INDEX($V$2:$V$1001,MATCH(ROWS($U$2:U963),$U$2:$U$1001,0),1)&gt;=100000,INDEX($AB$1005:$AQ$1005,1,MATCH(COLUMNS($AB$1006:AO1006),$AB$1006:$AQ$1006,0))&gt;=100000), " ",IF(INDEX($AB$2:$AQ$1001,MATCH(ROWS($U$2:U963),$U$2:$U$1001,0),MATCH(COLUMNS($AB$1006:AO1006),$AB$1006:$AQ$1006,0)), HYPERLINK("#",""), HYPERLINK(CONCATENATE("#metadata!", ADDRESS(INDEX($W$2:$W$1001,MATCH(ROWS($U$2:U963),$U$2:$U$1001,0),0), INDEX($AB$1004:$AQ$1004,1,MATCH(COLUMNS($AB$1006:AO1006),$AB$1006:$AQ$1006,0)))),"Fix")))</f>
        <v>0</v>
      </c>
      <c r="P963" s="4">
        <f>IF(OR(INDEX($V$2:$V$1001,MATCH(ROWS($U$2:U963),$U$2:$U$1001,0),1)&gt;=100000,INDEX($AB$1005:$AQ$1005,1,MATCH(COLUMNS($AB$1006:AP1006),$AB$1006:$AQ$1006,0))&gt;=100000), " ",IF(INDEX($AB$2:$AQ$1001,MATCH(ROWS($U$2:U963),$U$2:$U$1001,0),MATCH(COLUMNS($AB$1006:AP1006),$AB$1006:$AQ$1006,0)), HYPERLINK("#",""), HYPERLINK(CONCATENATE("#metadata!", ADDRESS(INDEX($W$2:$W$1001,MATCH(ROWS($U$2:U963),$U$2:$U$1001,0),0), INDEX($AB$1004:$AQ$1004,1,MATCH(COLUMNS($AB$1006:AP1006),$AB$1006:$AQ$1006,0)))),"Fix")))</f>
        <v>0</v>
      </c>
      <c r="Q963" s="4">
        <f>IF(OR(INDEX($V$2:$V$1001,MATCH(ROWS($U$2:U963),$U$2:$U$1001,0),1)&gt;=100000,INDEX($AB$1005:$AQ$1005,1,MATCH(COLUMNS($AB$1006:AQ1006),$AB$1006:$AQ$1006,0))&gt;=100000), " ",IF(INDEX($AB$2:$AQ$1001,MATCH(ROWS($U$2:U963),$U$2:$U$1001,0),MATCH(COLUMNS($AB$1006:AQ1006),$AB$1006:$AQ$1006,0)), HYPERLINK("#",""), HYPERLINK(CONCATENATE("#metadata!", ADDRESS(INDEX($W$2:$W$1001,MATCH(ROWS($U$2:U963),$U$2:$U$1001,0),0), INDEX($AB$1004:$AQ$1004,1,MATCH(COLUMNS($AB$1006:AQ1006),$AB$1006:$AQ$1006,0)))),"Fix")))</f>
        <v>0</v>
      </c>
      <c r="U963">
        <v>0</v>
      </c>
      <c r="V963">
        <v>0</v>
      </c>
      <c r="W963">
        <v>0</v>
      </c>
      <c r="X963">
        <f>IF(Y963,TRUE,AND(AB963:AQ963))</f>
        <v>0</v>
      </c>
      <c r="Y963">
        <f>COUNTBLANK(metadata!B963:Q963)=COLUMNS(metadata!B963:Q963)</f>
        <v>0</v>
      </c>
      <c r="Z963">
        <v>0</v>
      </c>
      <c r="AB963">
        <f>AND(IF(metadata!B963="",FALSE,TRUE),COUNTIF(metadata!B:B, metadata!B963) = 1,NOT(ISERROR(SUMPRODUCT(SEARCH(MID(metadata!B963,ROW(INDIRECT("1:"&amp;LEN(metadata!B963))), 1),"0123456789abcdefghijklmnopqrstuvwxyzABCDEFGHIJKLMNOPQRSTUVWXYZ.")))))</f>
        <v>0</v>
      </c>
      <c r="AC963">
        <f>OR(AND(IF(metadata!C963="",FALSE,TRUE),OR(exact(metadata!C963,"missing: not collected"),exact(metadata!C963,"missing: not provided"),exact(metadata!C963,"missing: restricted access"))),AND(IF(metadata!C963="",FALSE,TRUE),AND(AND(IFERROR(INT(LEFT(metadata!C963,4))&gt;1900,FALSE),IFERROR(INT(LEFT(metadata!C963,4))&lt;=YEAR(NOW()),FALSE)), OR(MID(metadata!C963,5,1)="", AND(AND(MID(metadata!C963,5,1)="-",IFERROR(INT(MID(metadata!C963,6,1))&gt;=0,FALSE),IFERROR(INT(MID(metadata!C963,6,1))&lt;=1,FALSE),NOT(MID(metadata!C963,7,1)=""),IFERROR(INT(MID(metadata!C963,6,2))&gt;=1,FALSE),IFERROR(INT(MID(metadata!C963,6,2))&lt;=12,FALSE)), OR(MID(metadata!C963,8,1)="", AND(AND(MID(metadata!C963,8,1)="-",IFERROR(INT(MID(metadata!C963,9,1))&gt;=0,FALSE),IFERROR(INT(MID(metadata!C963,9,1))&lt;=3,FALSE),NOT(MID(metadata!C963,10,1)=""),IFERROR(INT(MID(metadata!C963,9,2))&gt;=1,FALSE),IFERROR(INT(MID(metadata!C963,9,2))&lt;=31,FALSE)), OR(MID(metadata!C963,11,1)="", AND(AND(MID(metadata!C963,11,1)=" ",IFERROR(INT(MID(metadata!C963,12,1))&gt;=0,FALSE),IFERROR(INT(MID(metadata!C963,12,1))&lt;=2,FALSE),NOT(MID(metadata!C963,13,1)=""),IFERROR(INT(MID(metadata!C963,12,2))&gt;=0,FALSE),IFERROR(INT(MID(metadata!C963,12,2))&lt;=23,FALSE)), OR(MID(metadata!C963,14,1)="", AND(AND(MID(metadata!C963,14,1)=":",IFERROR(INT(MID(metadata!C963,15,1))&gt;=0,FALSE),IFERROR(INT(MID(metadata!C963,15,1))&lt;=5,FALSE),NOT(MID(metadata!C963,16,1)=""),IFERROR(INT(MID(metadata!C963,15,2))&gt;=0,FALSE),IFERROR(INT(MID(metadata!C963,15,2))&lt;=59,FALSE)), OR(MID(metadata!C963,17,1)="", AND(AND(MID(metadata!C963,17,1)=":",IFERROR(INT(MID(metadata!C963,18,1))&gt;=0,FALSE),IFERROR(INT(MID(metadata!C963,18,1))&lt;=5,FALSE),NOT(MID(metadata!C963,19,1)=""),IFERROR(INT(MID(metadata!C963,18,2))&gt;=0,FALSE),IFERROR(INT(MID(metadata!C963,18,2))&lt;=59,FALSE)), LEN(metadata!C963)&lt;=19)))))))))))))</f>
        <v>0</v>
      </c>
      <c r="AD963">
        <f>IF(metadata!D963="",FALSE,TRUE)</f>
        <v>0</v>
      </c>
      <c r="AE963">
        <f>OR(AND(IF(metadata!E963="",FALSE,TRUE),OR(exact(metadata!E963,"missing: not collected"),exact(metadata!E963,"missing: not provided"))),AND(IF(metadata!E963="",FALSE,TRUE),OR(exact(metadata!E963,"TRUE"),exact(metadata!E963,"FALSE"))))</f>
        <v>0</v>
      </c>
      <c r="AF963">
        <f>IF(metadata!F963="",FALSE,TRUE)</f>
        <v>0</v>
      </c>
      <c r="AG963">
        <f>IF(metadata!G963="",FALSE,TRUE)</f>
        <v>0</v>
      </c>
      <c r="AH963">
        <f>IF(metadata!H963="",FALSE,TRUE)</f>
        <v>0</v>
      </c>
      <c r="AI963">
        <f>OR(AND(IF(metadata!I963="",FALSE,TRUE),OR(exact(metadata!I963,"missing: not collected"),exact(metadata!I963,"missing: not provided"),exact(metadata!I963,"missing: restricted access"))),AND(IF(metadata!I963="",FALSE,TRUE),OR(exact(metadata!I963,"air"),exact(metadata!I963,"built environment"),exact(metadata!I963,"host-associated"),exact(metadata!I963,"human-associated"),exact(metadata!I963,"human-skin"),exact(metadata!I963,"human-oral"),exact(metadata!I963,"human-gut"),exact(metadata!I963,"human-vaginal"),exact(metadata!I963,"microbial mat/biofilm"),exact(metadata!I963,"misc environment"),exact(metadata!I963,"plant-associated"),exact(metadata!I963,"sediment"),exact(metadata!I963,"soil"),exact(metadata!I963,"wastewater/sludge"),exact(metadata!I963,"water"))))</f>
        <v>0</v>
      </c>
      <c r="AJ963">
        <f>IF(metadata!J963="",FALSE,TRUE)</f>
        <v>0</v>
      </c>
      <c r="AK963">
        <f>OR(AND(IF(metadata!K963="",FALSE,TRUE),OR(exact(metadata!K963,"missing: not collected"),exact(metadata!K963,"missing: not provided"),exact(metadata!K963,"missing: restricted access"))),AND(IF(metadata!K963="",FALSE,ISNUMBER(VALUE(metadata!K963))),metadata!K963&gt;=-90.00,metadata!K963&lt;=90.00))</f>
        <v>0</v>
      </c>
      <c r="AL963">
        <f>OR(AND(IF(metadata!L963="",FALSE,TRUE),OR(exact(metadata!L963,"missing: not collected"),exact(metadata!L963,"missing: not provided"),exact(metadata!L963,"missing: restricted access"))),AND(IF(metadata!L963="",FALSE,ISNUMBER(VALUE(metadata!L963))),metadata!L963&gt;=-180.00,metadata!L963&lt;=180.00))</f>
        <v>0</v>
      </c>
      <c r="AM963">
        <f>IF(metadata!M963="",FALSE,TRUE)</f>
        <v>0</v>
      </c>
      <c r="AN963">
        <f>OR(AND(IF(metadata!N963="",FALSE,TRUE),OR(exact(metadata!N963,"missing: not collected"),exact(metadata!N963,"missing: not provided"),exact(metadata!N963,"missing: restricted access"))),AND(IF(metadata!N963="",FALSE,TRUE),OR(exact(metadata!N963,"TRUE"),exact(metadata!N963,"FALSE"))))</f>
        <v>0</v>
      </c>
      <c r="AO963">
        <f>IF(metadata!O963="",FALSE,TRUE)</f>
        <v>0</v>
      </c>
      <c r="AP963">
        <f>OR(AND(IF(metadata!P963="",FALSE,TRUE),OR(exact(metadata!P963,"missing: not collected"),exact(metadata!P963,"missing: not provided"))),AND(IF(metadata!P963="",FALSE,IF(ISERROR(INT(metadata!P963)),FALSE,INT(metadata!P963)=metadata!P963)),metadata!P963&gt;0))</f>
        <v>0</v>
      </c>
      <c r="AQ963">
        <f>IF(metadata!Q963="",FALSE,TRUE)</f>
        <v>0</v>
      </c>
    </row>
    <row r="964" spans="1:43">
      <c r="A964" s="5">
        <f>IF(B964=" "," ",HYPERLINK(CONCATENATE("#metadata!",ADDRESS(INDEX($W$2:$W$1001,MATCH(ROWS($U$2:U964),$U$2:$U$1001,0),0),1)),INDEX($Z$2:$Z$1001,MATCH(ROWS($U$2:U964),$U$2:$U$1001,0),0)))</f>
        <v>0</v>
      </c>
      <c r="B964" s="4">
        <f>IF(OR(INDEX($V$2:$V$1001,MATCH(ROWS($U$2:U964),$U$2:$U$1001,0),1)&gt;=100000,INDEX($AB$1005:$AQ$1005,1,MATCH(COLUMNS($AB$1006:AB1006),$AB$1006:$AQ$1006,0))&gt;=100000), " ",IF(INDEX($AB$2:$AQ$1001,MATCH(ROWS($U$2:U964),$U$2:$U$1001,0),MATCH(COLUMNS($AB$1006:AB1006),$AB$1006:$AQ$1006,0)), HYPERLINK("#",""), HYPERLINK(CONCATENATE("#metadata!", ADDRESS(INDEX($W$2:$W$1001,MATCH(ROWS($U$2:U964),$U$2:$U$1001,0),0), INDEX($AB$1004:$AQ$1004,1,MATCH(COLUMNS($AB$1006:AB1006),$AB$1006:$AQ$1006,0)))),"Fix")))</f>
        <v>0</v>
      </c>
      <c r="C964" s="4">
        <f>IF(OR(INDEX($V$2:$V$1001,MATCH(ROWS($U$2:U964),$U$2:$U$1001,0),1)&gt;=100000,INDEX($AB$1005:$AQ$1005,1,MATCH(COLUMNS($AB$1006:AC1006),$AB$1006:$AQ$1006,0))&gt;=100000), " ",IF(INDEX($AB$2:$AQ$1001,MATCH(ROWS($U$2:U964),$U$2:$U$1001,0),MATCH(COLUMNS($AB$1006:AC1006),$AB$1006:$AQ$1006,0)), HYPERLINK("#",""), HYPERLINK(CONCATENATE("#metadata!", ADDRESS(INDEX($W$2:$W$1001,MATCH(ROWS($U$2:U964),$U$2:$U$1001,0),0), INDEX($AB$1004:$AQ$1004,1,MATCH(COLUMNS($AB$1006:AC1006),$AB$1006:$AQ$1006,0)))),"Fix")))</f>
        <v>0</v>
      </c>
      <c r="D964" s="4">
        <f>IF(OR(INDEX($V$2:$V$1001,MATCH(ROWS($U$2:U964),$U$2:$U$1001,0),1)&gt;=100000,INDEX($AB$1005:$AQ$1005,1,MATCH(COLUMNS($AB$1006:AD1006),$AB$1006:$AQ$1006,0))&gt;=100000), " ",IF(INDEX($AB$2:$AQ$1001,MATCH(ROWS($U$2:U964),$U$2:$U$1001,0),MATCH(COLUMNS($AB$1006:AD1006),$AB$1006:$AQ$1006,0)), HYPERLINK("#",""), HYPERLINK(CONCATENATE("#metadata!", ADDRESS(INDEX($W$2:$W$1001,MATCH(ROWS($U$2:U964),$U$2:$U$1001,0),0), INDEX($AB$1004:$AQ$1004,1,MATCH(COLUMNS($AB$1006:AD1006),$AB$1006:$AQ$1006,0)))),"Fix")))</f>
        <v>0</v>
      </c>
      <c r="E964" s="4">
        <f>IF(OR(INDEX($V$2:$V$1001,MATCH(ROWS($U$2:U964),$U$2:$U$1001,0),1)&gt;=100000,INDEX($AB$1005:$AQ$1005,1,MATCH(COLUMNS($AB$1006:AE1006),$AB$1006:$AQ$1006,0))&gt;=100000), " ",IF(INDEX($AB$2:$AQ$1001,MATCH(ROWS($U$2:U964),$U$2:$U$1001,0),MATCH(COLUMNS($AB$1006:AE1006),$AB$1006:$AQ$1006,0)), HYPERLINK("#",""), HYPERLINK(CONCATENATE("#metadata!", ADDRESS(INDEX($W$2:$W$1001,MATCH(ROWS($U$2:U964),$U$2:$U$1001,0),0), INDEX($AB$1004:$AQ$1004,1,MATCH(COLUMNS($AB$1006:AE1006),$AB$1006:$AQ$1006,0)))),"Fix")))</f>
        <v>0</v>
      </c>
      <c r="F964" s="4">
        <f>IF(OR(INDEX($V$2:$V$1001,MATCH(ROWS($U$2:U964),$U$2:$U$1001,0),1)&gt;=100000,INDEX($AB$1005:$AQ$1005,1,MATCH(COLUMNS($AB$1006:AF1006),$AB$1006:$AQ$1006,0))&gt;=100000), " ",IF(INDEX($AB$2:$AQ$1001,MATCH(ROWS($U$2:U964),$U$2:$U$1001,0),MATCH(COLUMNS($AB$1006:AF1006),$AB$1006:$AQ$1006,0)), HYPERLINK("#",""), HYPERLINK(CONCATENATE("#metadata!", ADDRESS(INDEX($W$2:$W$1001,MATCH(ROWS($U$2:U964),$U$2:$U$1001,0),0), INDEX($AB$1004:$AQ$1004,1,MATCH(COLUMNS($AB$1006:AF1006),$AB$1006:$AQ$1006,0)))),"Fix")))</f>
        <v>0</v>
      </c>
      <c r="G964" s="4">
        <f>IF(OR(INDEX($V$2:$V$1001,MATCH(ROWS($U$2:U964),$U$2:$U$1001,0),1)&gt;=100000,INDEX($AB$1005:$AQ$1005,1,MATCH(COLUMNS($AB$1006:AG1006),$AB$1006:$AQ$1006,0))&gt;=100000), " ",IF(INDEX($AB$2:$AQ$1001,MATCH(ROWS($U$2:U964),$U$2:$U$1001,0),MATCH(COLUMNS($AB$1006:AG1006),$AB$1006:$AQ$1006,0)), HYPERLINK("#",""), HYPERLINK(CONCATENATE("#metadata!", ADDRESS(INDEX($W$2:$W$1001,MATCH(ROWS($U$2:U964),$U$2:$U$1001,0),0), INDEX($AB$1004:$AQ$1004,1,MATCH(COLUMNS($AB$1006:AG1006),$AB$1006:$AQ$1006,0)))),"Fix")))</f>
        <v>0</v>
      </c>
      <c r="H964" s="4">
        <f>IF(OR(INDEX($V$2:$V$1001,MATCH(ROWS($U$2:U964),$U$2:$U$1001,0),1)&gt;=100000,INDEX($AB$1005:$AQ$1005,1,MATCH(COLUMNS($AB$1006:AH1006),$AB$1006:$AQ$1006,0))&gt;=100000), " ",IF(INDEX($AB$2:$AQ$1001,MATCH(ROWS($U$2:U964),$U$2:$U$1001,0),MATCH(COLUMNS($AB$1006:AH1006),$AB$1006:$AQ$1006,0)), HYPERLINK("#",""), HYPERLINK(CONCATENATE("#metadata!", ADDRESS(INDEX($W$2:$W$1001,MATCH(ROWS($U$2:U964),$U$2:$U$1001,0),0), INDEX($AB$1004:$AQ$1004,1,MATCH(COLUMNS($AB$1006:AH1006),$AB$1006:$AQ$1006,0)))),"Fix")))</f>
        <v>0</v>
      </c>
      <c r="I964" s="4">
        <f>IF(OR(INDEX($V$2:$V$1001,MATCH(ROWS($U$2:U964),$U$2:$U$1001,0),1)&gt;=100000,INDEX($AB$1005:$AQ$1005,1,MATCH(COLUMNS($AB$1006:AI1006),$AB$1006:$AQ$1006,0))&gt;=100000), " ",IF(INDEX($AB$2:$AQ$1001,MATCH(ROWS($U$2:U964),$U$2:$U$1001,0),MATCH(COLUMNS($AB$1006:AI1006),$AB$1006:$AQ$1006,0)), HYPERLINK("#",""), HYPERLINK(CONCATENATE("#metadata!", ADDRESS(INDEX($W$2:$W$1001,MATCH(ROWS($U$2:U964),$U$2:$U$1001,0),0), INDEX($AB$1004:$AQ$1004,1,MATCH(COLUMNS($AB$1006:AI1006),$AB$1006:$AQ$1006,0)))),"Fix")))</f>
        <v>0</v>
      </c>
      <c r="J964" s="4">
        <f>IF(OR(INDEX($V$2:$V$1001,MATCH(ROWS($U$2:U964),$U$2:$U$1001,0),1)&gt;=100000,INDEX($AB$1005:$AQ$1005,1,MATCH(COLUMNS($AB$1006:AJ1006),$AB$1006:$AQ$1006,0))&gt;=100000), " ",IF(INDEX($AB$2:$AQ$1001,MATCH(ROWS($U$2:U964),$U$2:$U$1001,0),MATCH(COLUMNS($AB$1006:AJ1006),$AB$1006:$AQ$1006,0)), HYPERLINK("#",""), HYPERLINK(CONCATENATE("#metadata!", ADDRESS(INDEX($W$2:$W$1001,MATCH(ROWS($U$2:U964),$U$2:$U$1001,0),0), INDEX($AB$1004:$AQ$1004,1,MATCH(COLUMNS($AB$1006:AJ1006),$AB$1006:$AQ$1006,0)))),"Fix")))</f>
        <v>0</v>
      </c>
      <c r="K964" s="4">
        <f>IF(OR(INDEX($V$2:$V$1001,MATCH(ROWS($U$2:U964),$U$2:$U$1001,0),1)&gt;=100000,INDEX($AB$1005:$AQ$1005,1,MATCH(COLUMNS($AB$1006:AK1006),$AB$1006:$AQ$1006,0))&gt;=100000), " ",IF(INDEX($AB$2:$AQ$1001,MATCH(ROWS($U$2:U964),$U$2:$U$1001,0),MATCH(COLUMNS($AB$1006:AK1006),$AB$1006:$AQ$1006,0)), HYPERLINK("#",""), HYPERLINK(CONCATENATE("#metadata!", ADDRESS(INDEX($W$2:$W$1001,MATCH(ROWS($U$2:U964),$U$2:$U$1001,0),0), INDEX($AB$1004:$AQ$1004,1,MATCH(COLUMNS($AB$1006:AK1006),$AB$1006:$AQ$1006,0)))),"Fix")))</f>
        <v>0</v>
      </c>
      <c r="L964" s="4">
        <f>IF(OR(INDEX($V$2:$V$1001,MATCH(ROWS($U$2:U964),$U$2:$U$1001,0),1)&gt;=100000,INDEX($AB$1005:$AQ$1005,1,MATCH(COLUMNS($AB$1006:AL1006),$AB$1006:$AQ$1006,0))&gt;=100000), " ",IF(INDEX($AB$2:$AQ$1001,MATCH(ROWS($U$2:U964),$U$2:$U$1001,0),MATCH(COLUMNS($AB$1006:AL1006),$AB$1006:$AQ$1006,0)), HYPERLINK("#",""), HYPERLINK(CONCATENATE("#metadata!", ADDRESS(INDEX($W$2:$W$1001,MATCH(ROWS($U$2:U964),$U$2:$U$1001,0),0), INDEX($AB$1004:$AQ$1004,1,MATCH(COLUMNS($AB$1006:AL1006),$AB$1006:$AQ$1006,0)))),"Fix")))</f>
        <v>0</v>
      </c>
      <c r="M964" s="4">
        <f>IF(OR(INDEX($V$2:$V$1001,MATCH(ROWS($U$2:U964),$U$2:$U$1001,0),1)&gt;=100000,INDEX($AB$1005:$AQ$1005,1,MATCH(COLUMNS($AB$1006:AM1006),$AB$1006:$AQ$1006,0))&gt;=100000), " ",IF(INDEX($AB$2:$AQ$1001,MATCH(ROWS($U$2:U964),$U$2:$U$1001,0),MATCH(COLUMNS($AB$1006:AM1006),$AB$1006:$AQ$1006,0)), HYPERLINK("#",""), HYPERLINK(CONCATENATE("#metadata!", ADDRESS(INDEX($W$2:$W$1001,MATCH(ROWS($U$2:U964),$U$2:$U$1001,0),0), INDEX($AB$1004:$AQ$1004,1,MATCH(COLUMNS($AB$1006:AM1006),$AB$1006:$AQ$1006,0)))),"Fix")))</f>
        <v>0</v>
      </c>
      <c r="N964" s="4">
        <f>IF(OR(INDEX($V$2:$V$1001,MATCH(ROWS($U$2:U964),$U$2:$U$1001,0),1)&gt;=100000,INDEX($AB$1005:$AQ$1005,1,MATCH(COLUMNS($AB$1006:AN1006),$AB$1006:$AQ$1006,0))&gt;=100000), " ",IF(INDEX($AB$2:$AQ$1001,MATCH(ROWS($U$2:U964),$U$2:$U$1001,0),MATCH(COLUMNS($AB$1006:AN1006),$AB$1006:$AQ$1006,0)), HYPERLINK("#",""), HYPERLINK(CONCATENATE("#metadata!", ADDRESS(INDEX($W$2:$W$1001,MATCH(ROWS($U$2:U964),$U$2:$U$1001,0),0), INDEX($AB$1004:$AQ$1004,1,MATCH(COLUMNS($AB$1006:AN1006),$AB$1006:$AQ$1006,0)))),"Fix")))</f>
        <v>0</v>
      </c>
      <c r="O964" s="4">
        <f>IF(OR(INDEX($V$2:$V$1001,MATCH(ROWS($U$2:U964),$U$2:$U$1001,0),1)&gt;=100000,INDEX($AB$1005:$AQ$1005,1,MATCH(COLUMNS($AB$1006:AO1006),$AB$1006:$AQ$1006,0))&gt;=100000), " ",IF(INDEX($AB$2:$AQ$1001,MATCH(ROWS($U$2:U964),$U$2:$U$1001,0),MATCH(COLUMNS($AB$1006:AO1006),$AB$1006:$AQ$1006,0)), HYPERLINK("#",""), HYPERLINK(CONCATENATE("#metadata!", ADDRESS(INDEX($W$2:$W$1001,MATCH(ROWS($U$2:U964),$U$2:$U$1001,0),0), INDEX($AB$1004:$AQ$1004,1,MATCH(COLUMNS($AB$1006:AO1006),$AB$1006:$AQ$1006,0)))),"Fix")))</f>
        <v>0</v>
      </c>
      <c r="P964" s="4">
        <f>IF(OR(INDEX($V$2:$V$1001,MATCH(ROWS($U$2:U964),$U$2:$U$1001,0),1)&gt;=100000,INDEX($AB$1005:$AQ$1005,1,MATCH(COLUMNS($AB$1006:AP1006),$AB$1006:$AQ$1006,0))&gt;=100000), " ",IF(INDEX($AB$2:$AQ$1001,MATCH(ROWS($U$2:U964),$U$2:$U$1001,0),MATCH(COLUMNS($AB$1006:AP1006),$AB$1006:$AQ$1006,0)), HYPERLINK("#",""), HYPERLINK(CONCATENATE("#metadata!", ADDRESS(INDEX($W$2:$W$1001,MATCH(ROWS($U$2:U964),$U$2:$U$1001,0),0), INDEX($AB$1004:$AQ$1004,1,MATCH(COLUMNS($AB$1006:AP1006),$AB$1006:$AQ$1006,0)))),"Fix")))</f>
        <v>0</v>
      </c>
      <c r="Q964" s="4">
        <f>IF(OR(INDEX($V$2:$V$1001,MATCH(ROWS($U$2:U964),$U$2:$U$1001,0),1)&gt;=100000,INDEX($AB$1005:$AQ$1005,1,MATCH(COLUMNS($AB$1006:AQ1006),$AB$1006:$AQ$1006,0))&gt;=100000), " ",IF(INDEX($AB$2:$AQ$1001,MATCH(ROWS($U$2:U964),$U$2:$U$1001,0),MATCH(COLUMNS($AB$1006:AQ1006),$AB$1006:$AQ$1006,0)), HYPERLINK("#",""), HYPERLINK(CONCATENATE("#metadata!", ADDRESS(INDEX($W$2:$W$1001,MATCH(ROWS($U$2:U964),$U$2:$U$1001,0),0), INDEX($AB$1004:$AQ$1004,1,MATCH(COLUMNS($AB$1006:AQ1006),$AB$1006:$AQ$1006,0)))),"Fix")))</f>
        <v>0</v>
      </c>
      <c r="U964">
        <v>0</v>
      </c>
      <c r="V964">
        <v>0</v>
      </c>
      <c r="W964">
        <v>0</v>
      </c>
      <c r="X964">
        <f>IF(Y964,TRUE,AND(AB964:AQ964))</f>
        <v>0</v>
      </c>
      <c r="Y964">
        <f>COUNTBLANK(metadata!B964:Q964)=COLUMNS(metadata!B964:Q964)</f>
        <v>0</v>
      </c>
      <c r="Z964">
        <v>0</v>
      </c>
      <c r="AB964">
        <f>AND(IF(metadata!B964="",FALSE,TRUE),COUNTIF(metadata!B:B, metadata!B964) = 1,NOT(ISERROR(SUMPRODUCT(SEARCH(MID(metadata!B964,ROW(INDIRECT("1:"&amp;LEN(metadata!B964))), 1),"0123456789abcdefghijklmnopqrstuvwxyzABCDEFGHIJKLMNOPQRSTUVWXYZ.")))))</f>
        <v>0</v>
      </c>
      <c r="AC964">
        <f>OR(AND(IF(metadata!C964="",FALSE,TRUE),OR(exact(metadata!C964,"missing: not collected"),exact(metadata!C964,"missing: not provided"),exact(metadata!C964,"missing: restricted access"))),AND(IF(metadata!C964="",FALSE,TRUE),AND(AND(IFERROR(INT(LEFT(metadata!C964,4))&gt;1900,FALSE),IFERROR(INT(LEFT(metadata!C964,4))&lt;=YEAR(NOW()),FALSE)), OR(MID(metadata!C964,5,1)="", AND(AND(MID(metadata!C964,5,1)="-",IFERROR(INT(MID(metadata!C964,6,1))&gt;=0,FALSE),IFERROR(INT(MID(metadata!C964,6,1))&lt;=1,FALSE),NOT(MID(metadata!C964,7,1)=""),IFERROR(INT(MID(metadata!C964,6,2))&gt;=1,FALSE),IFERROR(INT(MID(metadata!C964,6,2))&lt;=12,FALSE)), OR(MID(metadata!C964,8,1)="", AND(AND(MID(metadata!C964,8,1)="-",IFERROR(INT(MID(metadata!C964,9,1))&gt;=0,FALSE),IFERROR(INT(MID(metadata!C964,9,1))&lt;=3,FALSE),NOT(MID(metadata!C964,10,1)=""),IFERROR(INT(MID(metadata!C964,9,2))&gt;=1,FALSE),IFERROR(INT(MID(metadata!C964,9,2))&lt;=31,FALSE)), OR(MID(metadata!C964,11,1)="", AND(AND(MID(metadata!C964,11,1)=" ",IFERROR(INT(MID(metadata!C964,12,1))&gt;=0,FALSE),IFERROR(INT(MID(metadata!C964,12,1))&lt;=2,FALSE),NOT(MID(metadata!C964,13,1)=""),IFERROR(INT(MID(metadata!C964,12,2))&gt;=0,FALSE),IFERROR(INT(MID(metadata!C964,12,2))&lt;=23,FALSE)), OR(MID(metadata!C964,14,1)="", AND(AND(MID(metadata!C964,14,1)=":",IFERROR(INT(MID(metadata!C964,15,1))&gt;=0,FALSE),IFERROR(INT(MID(metadata!C964,15,1))&lt;=5,FALSE),NOT(MID(metadata!C964,16,1)=""),IFERROR(INT(MID(metadata!C964,15,2))&gt;=0,FALSE),IFERROR(INT(MID(metadata!C964,15,2))&lt;=59,FALSE)), OR(MID(metadata!C964,17,1)="", AND(AND(MID(metadata!C964,17,1)=":",IFERROR(INT(MID(metadata!C964,18,1))&gt;=0,FALSE),IFERROR(INT(MID(metadata!C964,18,1))&lt;=5,FALSE),NOT(MID(metadata!C964,19,1)=""),IFERROR(INT(MID(metadata!C964,18,2))&gt;=0,FALSE),IFERROR(INT(MID(metadata!C964,18,2))&lt;=59,FALSE)), LEN(metadata!C964)&lt;=19)))))))))))))</f>
        <v>0</v>
      </c>
      <c r="AD964">
        <f>IF(metadata!D964="",FALSE,TRUE)</f>
        <v>0</v>
      </c>
      <c r="AE964">
        <f>OR(AND(IF(metadata!E964="",FALSE,TRUE),OR(exact(metadata!E964,"missing: not collected"),exact(metadata!E964,"missing: not provided"))),AND(IF(metadata!E964="",FALSE,TRUE),OR(exact(metadata!E964,"TRUE"),exact(metadata!E964,"FALSE"))))</f>
        <v>0</v>
      </c>
      <c r="AF964">
        <f>IF(metadata!F964="",FALSE,TRUE)</f>
        <v>0</v>
      </c>
      <c r="AG964">
        <f>IF(metadata!G964="",FALSE,TRUE)</f>
        <v>0</v>
      </c>
      <c r="AH964">
        <f>IF(metadata!H964="",FALSE,TRUE)</f>
        <v>0</v>
      </c>
      <c r="AI964">
        <f>OR(AND(IF(metadata!I964="",FALSE,TRUE),OR(exact(metadata!I964,"missing: not collected"),exact(metadata!I964,"missing: not provided"),exact(metadata!I964,"missing: restricted access"))),AND(IF(metadata!I964="",FALSE,TRUE),OR(exact(metadata!I964,"air"),exact(metadata!I964,"built environment"),exact(metadata!I964,"host-associated"),exact(metadata!I964,"human-associated"),exact(metadata!I964,"human-skin"),exact(metadata!I964,"human-oral"),exact(metadata!I964,"human-gut"),exact(metadata!I964,"human-vaginal"),exact(metadata!I964,"microbial mat/biofilm"),exact(metadata!I964,"misc environment"),exact(metadata!I964,"plant-associated"),exact(metadata!I964,"sediment"),exact(metadata!I964,"soil"),exact(metadata!I964,"wastewater/sludge"),exact(metadata!I964,"water"))))</f>
        <v>0</v>
      </c>
      <c r="AJ964">
        <f>IF(metadata!J964="",FALSE,TRUE)</f>
        <v>0</v>
      </c>
      <c r="AK964">
        <f>OR(AND(IF(metadata!K964="",FALSE,TRUE),OR(exact(metadata!K964,"missing: not collected"),exact(metadata!K964,"missing: not provided"),exact(metadata!K964,"missing: restricted access"))),AND(IF(metadata!K964="",FALSE,ISNUMBER(VALUE(metadata!K964))),metadata!K964&gt;=-90.00,metadata!K964&lt;=90.00))</f>
        <v>0</v>
      </c>
      <c r="AL964">
        <f>OR(AND(IF(metadata!L964="",FALSE,TRUE),OR(exact(metadata!L964,"missing: not collected"),exact(metadata!L964,"missing: not provided"),exact(metadata!L964,"missing: restricted access"))),AND(IF(metadata!L964="",FALSE,ISNUMBER(VALUE(metadata!L964))),metadata!L964&gt;=-180.00,metadata!L964&lt;=180.00))</f>
        <v>0</v>
      </c>
      <c r="AM964">
        <f>IF(metadata!M964="",FALSE,TRUE)</f>
        <v>0</v>
      </c>
      <c r="AN964">
        <f>OR(AND(IF(metadata!N964="",FALSE,TRUE),OR(exact(metadata!N964,"missing: not collected"),exact(metadata!N964,"missing: not provided"),exact(metadata!N964,"missing: restricted access"))),AND(IF(metadata!N964="",FALSE,TRUE),OR(exact(metadata!N964,"TRUE"),exact(metadata!N964,"FALSE"))))</f>
        <v>0</v>
      </c>
      <c r="AO964">
        <f>IF(metadata!O964="",FALSE,TRUE)</f>
        <v>0</v>
      </c>
      <c r="AP964">
        <f>OR(AND(IF(metadata!P964="",FALSE,TRUE),OR(exact(metadata!P964,"missing: not collected"),exact(metadata!P964,"missing: not provided"))),AND(IF(metadata!P964="",FALSE,IF(ISERROR(INT(metadata!P964)),FALSE,INT(metadata!P964)=metadata!P964)),metadata!P964&gt;0))</f>
        <v>0</v>
      </c>
      <c r="AQ964">
        <f>IF(metadata!Q964="",FALSE,TRUE)</f>
        <v>0</v>
      </c>
    </row>
    <row r="965" spans="1:43">
      <c r="A965" s="5">
        <f>IF(B965=" "," ",HYPERLINK(CONCATENATE("#metadata!",ADDRESS(INDEX($W$2:$W$1001,MATCH(ROWS($U$2:U965),$U$2:$U$1001,0),0),1)),INDEX($Z$2:$Z$1001,MATCH(ROWS($U$2:U965),$U$2:$U$1001,0),0)))</f>
        <v>0</v>
      </c>
      <c r="B965" s="4">
        <f>IF(OR(INDEX($V$2:$V$1001,MATCH(ROWS($U$2:U965),$U$2:$U$1001,0),1)&gt;=100000,INDEX($AB$1005:$AQ$1005,1,MATCH(COLUMNS($AB$1006:AB1006),$AB$1006:$AQ$1006,0))&gt;=100000), " ",IF(INDEX($AB$2:$AQ$1001,MATCH(ROWS($U$2:U965),$U$2:$U$1001,0),MATCH(COLUMNS($AB$1006:AB1006),$AB$1006:$AQ$1006,0)), HYPERLINK("#",""), HYPERLINK(CONCATENATE("#metadata!", ADDRESS(INDEX($W$2:$W$1001,MATCH(ROWS($U$2:U965),$U$2:$U$1001,0),0), INDEX($AB$1004:$AQ$1004,1,MATCH(COLUMNS($AB$1006:AB1006),$AB$1006:$AQ$1006,0)))),"Fix")))</f>
        <v>0</v>
      </c>
      <c r="C965" s="4">
        <f>IF(OR(INDEX($V$2:$V$1001,MATCH(ROWS($U$2:U965),$U$2:$U$1001,0),1)&gt;=100000,INDEX($AB$1005:$AQ$1005,1,MATCH(COLUMNS($AB$1006:AC1006),$AB$1006:$AQ$1006,0))&gt;=100000), " ",IF(INDEX($AB$2:$AQ$1001,MATCH(ROWS($U$2:U965),$U$2:$U$1001,0),MATCH(COLUMNS($AB$1006:AC1006),$AB$1006:$AQ$1006,0)), HYPERLINK("#",""), HYPERLINK(CONCATENATE("#metadata!", ADDRESS(INDEX($W$2:$W$1001,MATCH(ROWS($U$2:U965),$U$2:$U$1001,0),0), INDEX($AB$1004:$AQ$1004,1,MATCH(COLUMNS($AB$1006:AC1006),$AB$1006:$AQ$1006,0)))),"Fix")))</f>
        <v>0</v>
      </c>
      <c r="D965" s="4">
        <f>IF(OR(INDEX($V$2:$V$1001,MATCH(ROWS($U$2:U965),$U$2:$U$1001,0),1)&gt;=100000,INDEX($AB$1005:$AQ$1005,1,MATCH(COLUMNS($AB$1006:AD1006),$AB$1006:$AQ$1006,0))&gt;=100000), " ",IF(INDEX($AB$2:$AQ$1001,MATCH(ROWS($U$2:U965),$U$2:$U$1001,0),MATCH(COLUMNS($AB$1006:AD1006),$AB$1006:$AQ$1006,0)), HYPERLINK("#",""), HYPERLINK(CONCATENATE("#metadata!", ADDRESS(INDEX($W$2:$W$1001,MATCH(ROWS($U$2:U965),$U$2:$U$1001,0),0), INDEX($AB$1004:$AQ$1004,1,MATCH(COLUMNS($AB$1006:AD1006),$AB$1006:$AQ$1006,0)))),"Fix")))</f>
        <v>0</v>
      </c>
      <c r="E965" s="4">
        <f>IF(OR(INDEX($V$2:$V$1001,MATCH(ROWS($U$2:U965),$U$2:$U$1001,0),1)&gt;=100000,INDEX($AB$1005:$AQ$1005,1,MATCH(COLUMNS($AB$1006:AE1006),$AB$1006:$AQ$1006,0))&gt;=100000), " ",IF(INDEX($AB$2:$AQ$1001,MATCH(ROWS($U$2:U965),$U$2:$U$1001,0),MATCH(COLUMNS($AB$1006:AE1006),$AB$1006:$AQ$1006,0)), HYPERLINK("#",""), HYPERLINK(CONCATENATE("#metadata!", ADDRESS(INDEX($W$2:$W$1001,MATCH(ROWS($U$2:U965),$U$2:$U$1001,0),0), INDEX($AB$1004:$AQ$1004,1,MATCH(COLUMNS($AB$1006:AE1006),$AB$1006:$AQ$1006,0)))),"Fix")))</f>
        <v>0</v>
      </c>
      <c r="F965" s="4">
        <f>IF(OR(INDEX($V$2:$V$1001,MATCH(ROWS($U$2:U965),$U$2:$U$1001,0),1)&gt;=100000,INDEX($AB$1005:$AQ$1005,1,MATCH(COLUMNS($AB$1006:AF1006),$AB$1006:$AQ$1006,0))&gt;=100000), " ",IF(INDEX($AB$2:$AQ$1001,MATCH(ROWS($U$2:U965),$U$2:$U$1001,0),MATCH(COLUMNS($AB$1006:AF1006),$AB$1006:$AQ$1006,0)), HYPERLINK("#",""), HYPERLINK(CONCATENATE("#metadata!", ADDRESS(INDEX($W$2:$W$1001,MATCH(ROWS($U$2:U965),$U$2:$U$1001,0),0), INDEX($AB$1004:$AQ$1004,1,MATCH(COLUMNS($AB$1006:AF1006),$AB$1006:$AQ$1006,0)))),"Fix")))</f>
        <v>0</v>
      </c>
      <c r="G965" s="4">
        <f>IF(OR(INDEX($V$2:$V$1001,MATCH(ROWS($U$2:U965),$U$2:$U$1001,0),1)&gt;=100000,INDEX($AB$1005:$AQ$1005,1,MATCH(COLUMNS($AB$1006:AG1006),$AB$1006:$AQ$1006,0))&gt;=100000), " ",IF(INDEX($AB$2:$AQ$1001,MATCH(ROWS($U$2:U965),$U$2:$U$1001,0),MATCH(COLUMNS($AB$1006:AG1006),$AB$1006:$AQ$1006,0)), HYPERLINK("#",""), HYPERLINK(CONCATENATE("#metadata!", ADDRESS(INDEX($W$2:$W$1001,MATCH(ROWS($U$2:U965),$U$2:$U$1001,0),0), INDEX($AB$1004:$AQ$1004,1,MATCH(COLUMNS($AB$1006:AG1006),$AB$1006:$AQ$1006,0)))),"Fix")))</f>
        <v>0</v>
      </c>
      <c r="H965" s="4">
        <f>IF(OR(INDEX($V$2:$V$1001,MATCH(ROWS($U$2:U965),$U$2:$U$1001,0),1)&gt;=100000,INDEX($AB$1005:$AQ$1005,1,MATCH(COLUMNS($AB$1006:AH1006),$AB$1006:$AQ$1006,0))&gt;=100000), " ",IF(INDEX($AB$2:$AQ$1001,MATCH(ROWS($U$2:U965),$U$2:$U$1001,0),MATCH(COLUMNS($AB$1006:AH1006),$AB$1006:$AQ$1006,0)), HYPERLINK("#",""), HYPERLINK(CONCATENATE("#metadata!", ADDRESS(INDEX($W$2:$W$1001,MATCH(ROWS($U$2:U965),$U$2:$U$1001,0),0), INDEX($AB$1004:$AQ$1004,1,MATCH(COLUMNS($AB$1006:AH1006),$AB$1006:$AQ$1006,0)))),"Fix")))</f>
        <v>0</v>
      </c>
      <c r="I965" s="4">
        <f>IF(OR(INDEX($V$2:$V$1001,MATCH(ROWS($U$2:U965),$U$2:$U$1001,0),1)&gt;=100000,INDEX($AB$1005:$AQ$1005,1,MATCH(COLUMNS($AB$1006:AI1006),$AB$1006:$AQ$1006,0))&gt;=100000), " ",IF(INDEX($AB$2:$AQ$1001,MATCH(ROWS($U$2:U965),$U$2:$U$1001,0),MATCH(COLUMNS($AB$1006:AI1006),$AB$1006:$AQ$1006,0)), HYPERLINK("#",""), HYPERLINK(CONCATENATE("#metadata!", ADDRESS(INDEX($W$2:$W$1001,MATCH(ROWS($U$2:U965),$U$2:$U$1001,0),0), INDEX($AB$1004:$AQ$1004,1,MATCH(COLUMNS($AB$1006:AI1006),$AB$1006:$AQ$1006,0)))),"Fix")))</f>
        <v>0</v>
      </c>
      <c r="J965" s="4">
        <f>IF(OR(INDEX($V$2:$V$1001,MATCH(ROWS($U$2:U965),$U$2:$U$1001,0),1)&gt;=100000,INDEX($AB$1005:$AQ$1005,1,MATCH(COLUMNS($AB$1006:AJ1006),$AB$1006:$AQ$1006,0))&gt;=100000), " ",IF(INDEX($AB$2:$AQ$1001,MATCH(ROWS($U$2:U965),$U$2:$U$1001,0),MATCH(COLUMNS($AB$1006:AJ1006),$AB$1006:$AQ$1006,0)), HYPERLINK("#",""), HYPERLINK(CONCATENATE("#metadata!", ADDRESS(INDEX($W$2:$W$1001,MATCH(ROWS($U$2:U965),$U$2:$U$1001,0),0), INDEX($AB$1004:$AQ$1004,1,MATCH(COLUMNS($AB$1006:AJ1006),$AB$1006:$AQ$1006,0)))),"Fix")))</f>
        <v>0</v>
      </c>
      <c r="K965" s="4">
        <f>IF(OR(INDEX($V$2:$V$1001,MATCH(ROWS($U$2:U965),$U$2:$U$1001,0),1)&gt;=100000,INDEX($AB$1005:$AQ$1005,1,MATCH(COLUMNS($AB$1006:AK1006),$AB$1006:$AQ$1006,0))&gt;=100000), " ",IF(INDEX($AB$2:$AQ$1001,MATCH(ROWS($U$2:U965),$U$2:$U$1001,0),MATCH(COLUMNS($AB$1006:AK1006),$AB$1006:$AQ$1006,0)), HYPERLINK("#",""), HYPERLINK(CONCATENATE("#metadata!", ADDRESS(INDEX($W$2:$W$1001,MATCH(ROWS($U$2:U965),$U$2:$U$1001,0),0), INDEX($AB$1004:$AQ$1004,1,MATCH(COLUMNS($AB$1006:AK1006),$AB$1006:$AQ$1006,0)))),"Fix")))</f>
        <v>0</v>
      </c>
      <c r="L965" s="4">
        <f>IF(OR(INDEX($V$2:$V$1001,MATCH(ROWS($U$2:U965),$U$2:$U$1001,0),1)&gt;=100000,INDEX($AB$1005:$AQ$1005,1,MATCH(COLUMNS($AB$1006:AL1006),$AB$1006:$AQ$1006,0))&gt;=100000), " ",IF(INDEX($AB$2:$AQ$1001,MATCH(ROWS($U$2:U965),$U$2:$U$1001,0),MATCH(COLUMNS($AB$1006:AL1006),$AB$1006:$AQ$1006,0)), HYPERLINK("#",""), HYPERLINK(CONCATENATE("#metadata!", ADDRESS(INDEX($W$2:$W$1001,MATCH(ROWS($U$2:U965),$U$2:$U$1001,0),0), INDEX($AB$1004:$AQ$1004,1,MATCH(COLUMNS($AB$1006:AL1006),$AB$1006:$AQ$1006,0)))),"Fix")))</f>
        <v>0</v>
      </c>
      <c r="M965" s="4">
        <f>IF(OR(INDEX($V$2:$V$1001,MATCH(ROWS($U$2:U965),$U$2:$U$1001,0),1)&gt;=100000,INDEX($AB$1005:$AQ$1005,1,MATCH(COLUMNS($AB$1006:AM1006),$AB$1006:$AQ$1006,0))&gt;=100000), " ",IF(INDEX($AB$2:$AQ$1001,MATCH(ROWS($U$2:U965),$U$2:$U$1001,0),MATCH(COLUMNS($AB$1006:AM1006),$AB$1006:$AQ$1006,0)), HYPERLINK("#",""), HYPERLINK(CONCATENATE("#metadata!", ADDRESS(INDEX($W$2:$W$1001,MATCH(ROWS($U$2:U965),$U$2:$U$1001,0),0), INDEX($AB$1004:$AQ$1004,1,MATCH(COLUMNS($AB$1006:AM1006),$AB$1006:$AQ$1006,0)))),"Fix")))</f>
        <v>0</v>
      </c>
      <c r="N965" s="4">
        <f>IF(OR(INDEX($V$2:$V$1001,MATCH(ROWS($U$2:U965),$U$2:$U$1001,0),1)&gt;=100000,INDEX($AB$1005:$AQ$1005,1,MATCH(COLUMNS($AB$1006:AN1006),$AB$1006:$AQ$1006,0))&gt;=100000), " ",IF(INDEX($AB$2:$AQ$1001,MATCH(ROWS($U$2:U965),$U$2:$U$1001,0),MATCH(COLUMNS($AB$1006:AN1006),$AB$1006:$AQ$1006,0)), HYPERLINK("#",""), HYPERLINK(CONCATENATE("#metadata!", ADDRESS(INDEX($W$2:$W$1001,MATCH(ROWS($U$2:U965),$U$2:$U$1001,0),0), INDEX($AB$1004:$AQ$1004,1,MATCH(COLUMNS($AB$1006:AN1006),$AB$1006:$AQ$1006,0)))),"Fix")))</f>
        <v>0</v>
      </c>
      <c r="O965" s="4">
        <f>IF(OR(INDEX($V$2:$V$1001,MATCH(ROWS($U$2:U965),$U$2:$U$1001,0),1)&gt;=100000,INDEX($AB$1005:$AQ$1005,1,MATCH(COLUMNS($AB$1006:AO1006),$AB$1006:$AQ$1006,0))&gt;=100000), " ",IF(INDEX($AB$2:$AQ$1001,MATCH(ROWS($U$2:U965),$U$2:$U$1001,0),MATCH(COLUMNS($AB$1006:AO1006),$AB$1006:$AQ$1006,0)), HYPERLINK("#",""), HYPERLINK(CONCATENATE("#metadata!", ADDRESS(INDEX($W$2:$W$1001,MATCH(ROWS($U$2:U965),$U$2:$U$1001,0),0), INDEX($AB$1004:$AQ$1004,1,MATCH(COLUMNS($AB$1006:AO1006),$AB$1006:$AQ$1006,0)))),"Fix")))</f>
        <v>0</v>
      </c>
      <c r="P965" s="4">
        <f>IF(OR(INDEX($V$2:$V$1001,MATCH(ROWS($U$2:U965),$U$2:$U$1001,0),1)&gt;=100000,INDEX($AB$1005:$AQ$1005,1,MATCH(COLUMNS($AB$1006:AP1006),$AB$1006:$AQ$1006,0))&gt;=100000), " ",IF(INDEX($AB$2:$AQ$1001,MATCH(ROWS($U$2:U965),$U$2:$U$1001,0),MATCH(COLUMNS($AB$1006:AP1006),$AB$1006:$AQ$1006,0)), HYPERLINK("#",""), HYPERLINK(CONCATENATE("#metadata!", ADDRESS(INDEX($W$2:$W$1001,MATCH(ROWS($U$2:U965),$U$2:$U$1001,0),0), INDEX($AB$1004:$AQ$1004,1,MATCH(COLUMNS($AB$1006:AP1006),$AB$1006:$AQ$1006,0)))),"Fix")))</f>
        <v>0</v>
      </c>
      <c r="Q965" s="4">
        <f>IF(OR(INDEX($V$2:$V$1001,MATCH(ROWS($U$2:U965),$U$2:$U$1001,0),1)&gt;=100000,INDEX($AB$1005:$AQ$1005,1,MATCH(COLUMNS($AB$1006:AQ1006),$AB$1006:$AQ$1006,0))&gt;=100000), " ",IF(INDEX($AB$2:$AQ$1001,MATCH(ROWS($U$2:U965),$U$2:$U$1001,0),MATCH(COLUMNS($AB$1006:AQ1006),$AB$1006:$AQ$1006,0)), HYPERLINK("#",""), HYPERLINK(CONCATENATE("#metadata!", ADDRESS(INDEX($W$2:$W$1001,MATCH(ROWS($U$2:U965),$U$2:$U$1001,0),0), INDEX($AB$1004:$AQ$1004,1,MATCH(COLUMNS($AB$1006:AQ1006),$AB$1006:$AQ$1006,0)))),"Fix")))</f>
        <v>0</v>
      </c>
      <c r="U965">
        <v>0</v>
      </c>
      <c r="V965">
        <v>0</v>
      </c>
      <c r="W965">
        <v>0</v>
      </c>
      <c r="X965">
        <f>IF(Y965,TRUE,AND(AB965:AQ965))</f>
        <v>0</v>
      </c>
      <c r="Y965">
        <f>COUNTBLANK(metadata!B965:Q965)=COLUMNS(metadata!B965:Q965)</f>
        <v>0</v>
      </c>
      <c r="Z965">
        <v>0</v>
      </c>
      <c r="AB965">
        <f>AND(IF(metadata!B965="",FALSE,TRUE),COUNTIF(metadata!B:B, metadata!B965) = 1,NOT(ISERROR(SUMPRODUCT(SEARCH(MID(metadata!B965,ROW(INDIRECT("1:"&amp;LEN(metadata!B965))), 1),"0123456789abcdefghijklmnopqrstuvwxyzABCDEFGHIJKLMNOPQRSTUVWXYZ.")))))</f>
        <v>0</v>
      </c>
      <c r="AC965">
        <f>OR(AND(IF(metadata!C965="",FALSE,TRUE),OR(exact(metadata!C965,"missing: not collected"),exact(metadata!C965,"missing: not provided"),exact(metadata!C965,"missing: restricted access"))),AND(IF(metadata!C965="",FALSE,TRUE),AND(AND(IFERROR(INT(LEFT(metadata!C965,4))&gt;1900,FALSE),IFERROR(INT(LEFT(metadata!C965,4))&lt;=YEAR(NOW()),FALSE)), OR(MID(metadata!C965,5,1)="", AND(AND(MID(metadata!C965,5,1)="-",IFERROR(INT(MID(metadata!C965,6,1))&gt;=0,FALSE),IFERROR(INT(MID(metadata!C965,6,1))&lt;=1,FALSE),NOT(MID(metadata!C965,7,1)=""),IFERROR(INT(MID(metadata!C965,6,2))&gt;=1,FALSE),IFERROR(INT(MID(metadata!C965,6,2))&lt;=12,FALSE)), OR(MID(metadata!C965,8,1)="", AND(AND(MID(metadata!C965,8,1)="-",IFERROR(INT(MID(metadata!C965,9,1))&gt;=0,FALSE),IFERROR(INT(MID(metadata!C965,9,1))&lt;=3,FALSE),NOT(MID(metadata!C965,10,1)=""),IFERROR(INT(MID(metadata!C965,9,2))&gt;=1,FALSE),IFERROR(INT(MID(metadata!C965,9,2))&lt;=31,FALSE)), OR(MID(metadata!C965,11,1)="", AND(AND(MID(metadata!C965,11,1)=" ",IFERROR(INT(MID(metadata!C965,12,1))&gt;=0,FALSE),IFERROR(INT(MID(metadata!C965,12,1))&lt;=2,FALSE),NOT(MID(metadata!C965,13,1)=""),IFERROR(INT(MID(metadata!C965,12,2))&gt;=0,FALSE),IFERROR(INT(MID(metadata!C965,12,2))&lt;=23,FALSE)), OR(MID(metadata!C965,14,1)="", AND(AND(MID(metadata!C965,14,1)=":",IFERROR(INT(MID(metadata!C965,15,1))&gt;=0,FALSE),IFERROR(INT(MID(metadata!C965,15,1))&lt;=5,FALSE),NOT(MID(metadata!C965,16,1)=""),IFERROR(INT(MID(metadata!C965,15,2))&gt;=0,FALSE),IFERROR(INT(MID(metadata!C965,15,2))&lt;=59,FALSE)), OR(MID(metadata!C965,17,1)="", AND(AND(MID(metadata!C965,17,1)=":",IFERROR(INT(MID(metadata!C965,18,1))&gt;=0,FALSE),IFERROR(INT(MID(metadata!C965,18,1))&lt;=5,FALSE),NOT(MID(metadata!C965,19,1)=""),IFERROR(INT(MID(metadata!C965,18,2))&gt;=0,FALSE),IFERROR(INT(MID(metadata!C965,18,2))&lt;=59,FALSE)), LEN(metadata!C965)&lt;=19)))))))))))))</f>
        <v>0</v>
      </c>
      <c r="AD965">
        <f>IF(metadata!D965="",FALSE,TRUE)</f>
        <v>0</v>
      </c>
      <c r="AE965">
        <f>OR(AND(IF(metadata!E965="",FALSE,TRUE),OR(exact(metadata!E965,"missing: not collected"),exact(metadata!E965,"missing: not provided"))),AND(IF(metadata!E965="",FALSE,TRUE),OR(exact(metadata!E965,"TRUE"),exact(metadata!E965,"FALSE"))))</f>
        <v>0</v>
      </c>
      <c r="AF965">
        <f>IF(metadata!F965="",FALSE,TRUE)</f>
        <v>0</v>
      </c>
      <c r="AG965">
        <f>IF(metadata!G965="",FALSE,TRUE)</f>
        <v>0</v>
      </c>
      <c r="AH965">
        <f>IF(metadata!H965="",FALSE,TRUE)</f>
        <v>0</v>
      </c>
      <c r="AI965">
        <f>OR(AND(IF(metadata!I965="",FALSE,TRUE),OR(exact(metadata!I965,"missing: not collected"),exact(metadata!I965,"missing: not provided"),exact(metadata!I965,"missing: restricted access"))),AND(IF(metadata!I965="",FALSE,TRUE),OR(exact(metadata!I965,"air"),exact(metadata!I965,"built environment"),exact(metadata!I965,"host-associated"),exact(metadata!I965,"human-associated"),exact(metadata!I965,"human-skin"),exact(metadata!I965,"human-oral"),exact(metadata!I965,"human-gut"),exact(metadata!I965,"human-vaginal"),exact(metadata!I965,"microbial mat/biofilm"),exact(metadata!I965,"misc environment"),exact(metadata!I965,"plant-associated"),exact(metadata!I965,"sediment"),exact(metadata!I965,"soil"),exact(metadata!I965,"wastewater/sludge"),exact(metadata!I965,"water"))))</f>
        <v>0</v>
      </c>
      <c r="AJ965">
        <f>IF(metadata!J965="",FALSE,TRUE)</f>
        <v>0</v>
      </c>
      <c r="AK965">
        <f>OR(AND(IF(metadata!K965="",FALSE,TRUE),OR(exact(metadata!K965,"missing: not collected"),exact(metadata!K965,"missing: not provided"),exact(metadata!K965,"missing: restricted access"))),AND(IF(metadata!K965="",FALSE,ISNUMBER(VALUE(metadata!K965))),metadata!K965&gt;=-90.00,metadata!K965&lt;=90.00))</f>
        <v>0</v>
      </c>
      <c r="AL965">
        <f>OR(AND(IF(metadata!L965="",FALSE,TRUE),OR(exact(metadata!L965,"missing: not collected"),exact(metadata!L965,"missing: not provided"),exact(metadata!L965,"missing: restricted access"))),AND(IF(metadata!L965="",FALSE,ISNUMBER(VALUE(metadata!L965))),metadata!L965&gt;=-180.00,metadata!L965&lt;=180.00))</f>
        <v>0</v>
      </c>
      <c r="AM965">
        <f>IF(metadata!M965="",FALSE,TRUE)</f>
        <v>0</v>
      </c>
      <c r="AN965">
        <f>OR(AND(IF(metadata!N965="",FALSE,TRUE),OR(exact(metadata!N965,"missing: not collected"),exact(metadata!N965,"missing: not provided"),exact(metadata!N965,"missing: restricted access"))),AND(IF(metadata!N965="",FALSE,TRUE),OR(exact(metadata!N965,"TRUE"),exact(metadata!N965,"FALSE"))))</f>
        <v>0</v>
      </c>
      <c r="AO965">
        <f>IF(metadata!O965="",FALSE,TRUE)</f>
        <v>0</v>
      </c>
      <c r="AP965">
        <f>OR(AND(IF(metadata!P965="",FALSE,TRUE),OR(exact(metadata!P965,"missing: not collected"),exact(metadata!P965,"missing: not provided"))),AND(IF(metadata!P965="",FALSE,IF(ISERROR(INT(metadata!P965)),FALSE,INT(metadata!P965)=metadata!P965)),metadata!P965&gt;0))</f>
        <v>0</v>
      </c>
      <c r="AQ965">
        <f>IF(metadata!Q965="",FALSE,TRUE)</f>
        <v>0</v>
      </c>
    </row>
    <row r="966" spans="1:43">
      <c r="A966" s="5">
        <f>IF(B966=" "," ",HYPERLINK(CONCATENATE("#metadata!",ADDRESS(INDEX($W$2:$W$1001,MATCH(ROWS($U$2:U966),$U$2:$U$1001,0),0),1)),INDEX($Z$2:$Z$1001,MATCH(ROWS($U$2:U966),$U$2:$U$1001,0),0)))</f>
        <v>0</v>
      </c>
      <c r="B966" s="4">
        <f>IF(OR(INDEX($V$2:$V$1001,MATCH(ROWS($U$2:U966),$U$2:$U$1001,0),1)&gt;=100000,INDEX($AB$1005:$AQ$1005,1,MATCH(COLUMNS($AB$1006:AB1006),$AB$1006:$AQ$1006,0))&gt;=100000), " ",IF(INDEX($AB$2:$AQ$1001,MATCH(ROWS($U$2:U966),$U$2:$U$1001,0),MATCH(COLUMNS($AB$1006:AB1006),$AB$1006:$AQ$1006,0)), HYPERLINK("#",""), HYPERLINK(CONCATENATE("#metadata!", ADDRESS(INDEX($W$2:$W$1001,MATCH(ROWS($U$2:U966),$U$2:$U$1001,0),0), INDEX($AB$1004:$AQ$1004,1,MATCH(COLUMNS($AB$1006:AB1006),$AB$1006:$AQ$1006,0)))),"Fix")))</f>
        <v>0</v>
      </c>
      <c r="C966" s="4">
        <f>IF(OR(INDEX($V$2:$V$1001,MATCH(ROWS($U$2:U966),$U$2:$U$1001,0),1)&gt;=100000,INDEX($AB$1005:$AQ$1005,1,MATCH(COLUMNS($AB$1006:AC1006),$AB$1006:$AQ$1006,0))&gt;=100000), " ",IF(INDEX($AB$2:$AQ$1001,MATCH(ROWS($U$2:U966),$U$2:$U$1001,0),MATCH(COLUMNS($AB$1006:AC1006),$AB$1006:$AQ$1006,0)), HYPERLINK("#",""), HYPERLINK(CONCATENATE("#metadata!", ADDRESS(INDEX($W$2:$W$1001,MATCH(ROWS($U$2:U966),$U$2:$U$1001,0),0), INDEX($AB$1004:$AQ$1004,1,MATCH(COLUMNS($AB$1006:AC1006),$AB$1006:$AQ$1006,0)))),"Fix")))</f>
        <v>0</v>
      </c>
      <c r="D966" s="4">
        <f>IF(OR(INDEX($V$2:$V$1001,MATCH(ROWS($U$2:U966),$U$2:$U$1001,0),1)&gt;=100000,INDEX($AB$1005:$AQ$1005,1,MATCH(COLUMNS($AB$1006:AD1006),$AB$1006:$AQ$1006,0))&gt;=100000), " ",IF(INDEX($AB$2:$AQ$1001,MATCH(ROWS($U$2:U966),$U$2:$U$1001,0),MATCH(COLUMNS($AB$1006:AD1006),$AB$1006:$AQ$1006,0)), HYPERLINK("#",""), HYPERLINK(CONCATENATE("#metadata!", ADDRESS(INDEX($W$2:$W$1001,MATCH(ROWS($U$2:U966),$U$2:$U$1001,0),0), INDEX($AB$1004:$AQ$1004,1,MATCH(COLUMNS($AB$1006:AD1006),$AB$1006:$AQ$1006,0)))),"Fix")))</f>
        <v>0</v>
      </c>
      <c r="E966" s="4">
        <f>IF(OR(INDEX($V$2:$V$1001,MATCH(ROWS($U$2:U966),$U$2:$U$1001,0),1)&gt;=100000,INDEX($AB$1005:$AQ$1005,1,MATCH(COLUMNS($AB$1006:AE1006),$AB$1006:$AQ$1006,0))&gt;=100000), " ",IF(INDEX($AB$2:$AQ$1001,MATCH(ROWS($U$2:U966),$U$2:$U$1001,0),MATCH(COLUMNS($AB$1006:AE1006),$AB$1006:$AQ$1006,0)), HYPERLINK("#",""), HYPERLINK(CONCATENATE("#metadata!", ADDRESS(INDEX($W$2:$W$1001,MATCH(ROWS($U$2:U966),$U$2:$U$1001,0),0), INDEX($AB$1004:$AQ$1004,1,MATCH(COLUMNS($AB$1006:AE1006),$AB$1006:$AQ$1006,0)))),"Fix")))</f>
        <v>0</v>
      </c>
      <c r="F966" s="4">
        <f>IF(OR(INDEX($V$2:$V$1001,MATCH(ROWS($U$2:U966),$U$2:$U$1001,0),1)&gt;=100000,INDEX($AB$1005:$AQ$1005,1,MATCH(COLUMNS($AB$1006:AF1006),$AB$1006:$AQ$1006,0))&gt;=100000), " ",IF(INDEX($AB$2:$AQ$1001,MATCH(ROWS($U$2:U966),$U$2:$U$1001,0),MATCH(COLUMNS($AB$1006:AF1006),$AB$1006:$AQ$1006,0)), HYPERLINK("#",""), HYPERLINK(CONCATENATE("#metadata!", ADDRESS(INDEX($W$2:$W$1001,MATCH(ROWS($U$2:U966),$U$2:$U$1001,0),0), INDEX($AB$1004:$AQ$1004,1,MATCH(COLUMNS($AB$1006:AF1006),$AB$1006:$AQ$1006,0)))),"Fix")))</f>
        <v>0</v>
      </c>
      <c r="G966" s="4">
        <f>IF(OR(INDEX($V$2:$V$1001,MATCH(ROWS($U$2:U966),$U$2:$U$1001,0),1)&gt;=100000,INDEX($AB$1005:$AQ$1005,1,MATCH(COLUMNS($AB$1006:AG1006),$AB$1006:$AQ$1006,0))&gt;=100000), " ",IF(INDEX($AB$2:$AQ$1001,MATCH(ROWS($U$2:U966),$U$2:$U$1001,0),MATCH(COLUMNS($AB$1006:AG1006),$AB$1006:$AQ$1006,0)), HYPERLINK("#",""), HYPERLINK(CONCATENATE("#metadata!", ADDRESS(INDEX($W$2:$W$1001,MATCH(ROWS($U$2:U966),$U$2:$U$1001,0),0), INDEX($AB$1004:$AQ$1004,1,MATCH(COLUMNS($AB$1006:AG1006),$AB$1006:$AQ$1006,0)))),"Fix")))</f>
        <v>0</v>
      </c>
      <c r="H966" s="4">
        <f>IF(OR(INDEX($V$2:$V$1001,MATCH(ROWS($U$2:U966),$U$2:$U$1001,0),1)&gt;=100000,INDEX($AB$1005:$AQ$1005,1,MATCH(COLUMNS($AB$1006:AH1006),$AB$1006:$AQ$1006,0))&gt;=100000), " ",IF(INDEX($AB$2:$AQ$1001,MATCH(ROWS($U$2:U966),$U$2:$U$1001,0),MATCH(COLUMNS($AB$1006:AH1006),$AB$1006:$AQ$1006,0)), HYPERLINK("#",""), HYPERLINK(CONCATENATE("#metadata!", ADDRESS(INDEX($W$2:$W$1001,MATCH(ROWS($U$2:U966),$U$2:$U$1001,0),0), INDEX($AB$1004:$AQ$1004,1,MATCH(COLUMNS($AB$1006:AH1006),$AB$1006:$AQ$1006,0)))),"Fix")))</f>
        <v>0</v>
      </c>
      <c r="I966" s="4">
        <f>IF(OR(INDEX($V$2:$V$1001,MATCH(ROWS($U$2:U966),$U$2:$U$1001,0),1)&gt;=100000,INDEX($AB$1005:$AQ$1005,1,MATCH(COLUMNS($AB$1006:AI1006),$AB$1006:$AQ$1006,0))&gt;=100000), " ",IF(INDEX($AB$2:$AQ$1001,MATCH(ROWS($U$2:U966),$U$2:$U$1001,0),MATCH(COLUMNS($AB$1006:AI1006),$AB$1006:$AQ$1006,0)), HYPERLINK("#",""), HYPERLINK(CONCATENATE("#metadata!", ADDRESS(INDEX($W$2:$W$1001,MATCH(ROWS($U$2:U966),$U$2:$U$1001,0),0), INDEX($AB$1004:$AQ$1004,1,MATCH(COLUMNS($AB$1006:AI1006),$AB$1006:$AQ$1006,0)))),"Fix")))</f>
        <v>0</v>
      </c>
      <c r="J966" s="4">
        <f>IF(OR(INDEX($V$2:$V$1001,MATCH(ROWS($U$2:U966),$U$2:$U$1001,0),1)&gt;=100000,INDEX($AB$1005:$AQ$1005,1,MATCH(COLUMNS($AB$1006:AJ1006),$AB$1006:$AQ$1006,0))&gt;=100000), " ",IF(INDEX($AB$2:$AQ$1001,MATCH(ROWS($U$2:U966),$U$2:$U$1001,0),MATCH(COLUMNS($AB$1006:AJ1006),$AB$1006:$AQ$1006,0)), HYPERLINK("#",""), HYPERLINK(CONCATENATE("#metadata!", ADDRESS(INDEX($W$2:$W$1001,MATCH(ROWS($U$2:U966),$U$2:$U$1001,0),0), INDEX($AB$1004:$AQ$1004,1,MATCH(COLUMNS($AB$1006:AJ1006),$AB$1006:$AQ$1006,0)))),"Fix")))</f>
        <v>0</v>
      </c>
      <c r="K966" s="4">
        <f>IF(OR(INDEX($V$2:$V$1001,MATCH(ROWS($U$2:U966),$U$2:$U$1001,0),1)&gt;=100000,INDEX($AB$1005:$AQ$1005,1,MATCH(COLUMNS($AB$1006:AK1006),$AB$1006:$AQ$1006,0))&gt;=100000), " ",IF(INDEX($AB$2:$AQ$1001,MATCH(ROWS($U$2:U966),$U$2:$U$1001,0),MATCH(COLUMNS($AB$1006:AK1006),$AB$1006:$AQ$1006,0)), HYPERLINK("#",""), HYPERLINK(CONCATENATE("#metadata!", ADDRESS(INDEX($W$2:$W$1001,MATCH(ROWS($U$2:U966),$U$2:$U$1001,0),0), INDEX($AB$1004:$AQ$1004,1,MATCH(COLUMNS($AB$1006:AK1006),$AB$1006:$AQ$1006,0)))),"Fix")))</f>
        <v>0</v>
      </c>
      <c r="L966" s="4">
        <f>IF(OR(INDEX($V$2:$V$1001,MATCH(ROWS($U$2:U966),$U$2:$U$1001,0),1)&gt;=100000,INDEX($AB$1005:$AQ$1005,1,MATCH(COLUMNS($AB$1006:AL1006),$AB$1006:$AQ$1006,0))&gt;=100000), " ",IF(INDEX($AB$2:$AQ$1001,MATCH(ROWS($U$2:U966),$U$2:$U$1001,0),MATCH(COLUMNS($AB$1006:AL1006),$AB$1006:$AQ$1006,0)), HYPERLINK("#",""), HYPERLINK(CONCATENATE("#metadata!", ADDRESS(INDEX($W$2:$W$1001,MATCH(ROWS($U$2:U966),$U$2:$U$1001,0),0), INDEX($AB$1004:$AQ$1004,1,MATCH(COLUMNS($AB$1006:AL1006),$AB$1006:$AQ$1006,0)))),"Fix")))</f>
        <v>0</v>
      </c>
      <c r="M966" s="4">
        <f>IF(OR(INDEX($V$2:$V$1001,MATCH(ROWS($U$2:U966),$U$2:$U$1001,0),1)&gt;=100000,INDEX($AB$1005:$AQ$1005,1,MATCH(COLUMNS($AB$1006:AM1006),$AB$1006:$AQ$1006,0))&gt;=100000), " ",IF(INDEX($AB$2:$AQ$1001,MATCH(ROWS($U$2:U966),$U$2:$U$1001,0),MATCH(COLUMNS($AB$1006:AM1006),$AB$1006:$AQ$1006,0)), HYPERLINK("#",""), HYPERLINK(CONCATENATE("#metadata!", ADDRESS(INDEX($W$2:$W$1001,MATCH(ROWS($U$2:U966),$U$2:$U$1001,0),0), INDEX($AB$1004:$AQ$1004,1,MATCH(COLUMNS($AB$1006:AM1006),$AB$1006:$AQ$1006,0)))),"Fix")))</f>
        <v>0</v>
      </c>
      <c r="N966" s="4">
        <f>IF(OR(INDEX($V$2:$V$1001,MATCH(ROWS($U$2:U966),$U$2:$U$1001,0),1)&gt;=100000,INDEX($AB$1005:$AQ$1005,1,MATCH(COLUMNS($AB$1006:AN1006),$AB$1006:$AQ$1006,0))&gt;=100000), " ",IF(INDEX($AB$2:$AQ$1001,MATCH(ROWS($U$2:U966),$U$2:$U$1001,0),MATCH(COLUMNS($AB$1006:AN1006),$AB$1006:$AQ$1006,0)), HYPERLINK("#",""), HYPERLINK(CONCATENATE("#metadata!", ADDRESS(INDEX($W$2:$W$1001,MATCH(ROWS($U$2:U966),$U$2:$U$1001,0),0), INDEX($AB$1004:$AQ$1004,1,MATCH(COLUMNS($AB$1006:AN1006),$AB$1006:$AQ$1006,0)))),"Fix")))</f>
        <v>0</v>
      </c>
      <c r="O966" s="4">
        <f>IF(OR(INDEX($V$2:$V$1001,MATCH(ROWS($U$2:U966),$U$2:$U$1001,0),1)&gt;=100000,INDEX($AB$1005:$AQ$1005,1,MATCH(COLUMNS($AB$1006:AO1006),$AB$1006:$AQ$1006,0))&gt;=100000), " ",IF(INDEX($AB$2:$AQ$1001,MATCH(ROWS($U$2:U966),$U$2:$U$1001,0),MATCH(COLUMNS($AB$1006:AO1006),$AB$1006:$AQ$1006,0)), HYPERLINK("#",""), HYPERLINK(CONCATENATE("#metadata!", ADDRESS(INDEX($W$2:$W$1001,MATCH(ROWS($U$2:U966),$U$2:$U$1001,0),0), INDEX($AB$1004:$AQ$1004,1,MATCH(COLUMNS($AB$1006:AO1006),$AB$1006:$AQ$1006,0)))),"Fix")))</f>
        <v>0</v>
      </c>
      <c r="P966" s="4">
        <f>IF(OR(INDEX($V$2:$V$1001,MATCH(ROWS($U$2:U966),$U$2:$U$1001,0),1)&gt;=100000,INDEX($AB$1005:$AQ$1005,1,MATCH(COLUMNS($AB$1006:AP1006),$AB$1006:$AQ$1006,0))&gt;=100000), " ",IF(INDEX($AB$2:$AQ$1001,MATCH(ROWS($U$2:U966),$U$2:$U$1001,0),MATCH(COLUMNS($AB$1006:AP1006),$AB$1006:$AQ$1006,0)), HYPERLINK("#",""), HYPERLINK(CONCATENATE("#metadata!", ADDRESS(INDEX($W$2:$W$1001,MATCH(ROWS($U$2:U966),$U$2:$U$1001,0),0), INDEX($AB$1004:$AQ$1004,1,MATCH(COLUMNS($AB$1006:AP1006),$AB$1006:$AQ$1006,0)))),"Fix")))</f>
        <v>0</v>
      </c>
      <c r="Q966" s="4">
        <f>IF(OR(INDEX($V$2:$V$1001,MATCH(ROWS($U$2:U966),$U$2:$U$1001,0),1)&gt;=100000,INDEX($AB$1005:$AQ$1005,1,MATCH(COLUMNS($AB$1006:AQ1006),$AB$1006:$AQ$1006,0))&gt;=100000), " ",IF(INDEX($AB$2:$AQ$1001,MATCH(ROWS($U$2:U966),$U$2:$U$1001,0),MATCH(COLUMNS($AB$1006:AQ1006),$AB$1006:$AQ$1006,0)), HYPERLINK("#",""), HYPERLINK(CONCATENATE("#metadata!", ADDRESS(INDEX($W$2:$W$1001,MATCH(ROWS($U$2:U966),$U$2:$U$1001,0),0), INDEX($AB$1004:$AQ$1004,1,MATCH(COLUMNS($AB$1006:AQ1006),$AB$1006:$AQ$1006,0)))),"Fix")))</f>
        <v>0</v>
      </c>
      <c r="U966">
        <v>0</v>
      </c>
      <c r="V966">
        <v>0</v>
      </c>
      <c r="W966">
        <v>0</v>
      </c>
      <c r="X966">
        <f>IF(Y966,TRUE,AND(AB966:AQ966))</f>
        <v>0</v>
      </c>
      <c r="Y966">
        <f>COUNTBLANK(metadata!B966:Q966)=COLUMNS(metadata!B966:Q966)</f>
        <v>0</v>
      </c>
      <c r="Z966">
        <v>0</v>
      </c>
      <c r="AB966">
        <f>AND(IF(metadata!B966="",FALSE,TRUE),COUNTIF(metadata!B:B, metadata!B966) = 1,NOT(ISERROR(SUMPRODUCT(SEARCH(MID(metadata!B966,ROW(INDIRECT("1:"&amp;LEN(metadata!B966))), 1),"0123456789abcdefghijklmnopqrstuvwxyzABCDEFGHIJKLMNOPQRSTUVWXYZ.")))))</f>
        <v>0</v>
      </c>
      <c r="AC966">
        <f>OR(AND(IF(metadata!C966="",FALSE,TRUE),OR(exact(metadata!C966,"missing: not collected"),exact(metadata!C966,"missing: not provided"),exact(metadata!C966,"missing: restricted access"))),AND(IF(metadata!C966="",FALSE,TRUE),AND(AND(IFERROR(INT(LEFT(metadata!C966,4))&gt;1900,FALSE),IFERROR(INT(LEFT(metadata!C966,4))&lt;=YEAR(NOW()),FALSE)), OR(MID(metadata!C966,5,1)="", AND(AND(MID(metadata!C966,5,1)="-",IFERROR(INT(MID(metadata!C966,6,1))&gt;=0,FALSE),IFERROR(INT(MID(metadata!C966,6,1))&lt;=1,FALSE),NOT(MID(metadata!C966,7,1)=""),IFERROR(INT(MID(metadata!C966,6,2))&gt;=1,FALSE),IFERROR(INT(MID(metadata!C966,6,2))&lt;=12,FALSE)), OR(MID(metadata!C966,8,1)="", AND(AND(MID(metadata!C966,8,1)="-",IFERROR(INT(MID(metadata!C966,9,1))&gt;=0,FALSE),IFERROR(INT(MID(metadata!C966,9,1))&lt;=3,FALSE),NOT(MID(metadata!C966,10,1)=""),IFERROR(INT(MID(metadata!C966,9,2))&gt;=1,FALSE),IFERROR(INT(MID(metadata!C966,9,2))&lt;=31,FALSE)), OR(MID(metadata!C966,11,1)="", AND(AND(MID(metadata!C966,11,1)=" ",IFERROR(INT(MID(metadata!C966,12,1))&gt;=0,FALSE),IFERROR(INT(MID(metadata!C966,12,1))&lt;=2,FALSE),NOT(MID(metadata!C966,13,1)=""),IFERROR(INT(MID(metadata!C966,12,2))&gt;=0,FALSE),IFERROR(INT(MID(metadata!C966,12,2))&lt;=23,FALSE)), OR(MID(metadata!C966,14,1)="", AND(AND(MID(metadata!C966,14,1)=":",IFERROR(INT(MID(metadata!C966,15,1))&gt;=0,FALSE),IFERROR(INT(MID(metadata!C966,15,1))&lt;=5,FALSE),NOT(MID(metadata!C966,16,1)=""),IFERROR(INT(MID(metadata!C966,15,2))&gt;=0,FALSE),IFERROR(INT(MID(metadata!C966,15,2))&lt;=59,FALSE)), OR(MID(metadata!C966,17,1)="", AND(AND(MID(metadata!C966,17,1)=":",IFERROR(INT(MID(metadata!C966,18,1))&gt;=0,FALSE),IFERROR(INT(MID(metadata!C966,18,1))&lt;=5,FALSE),NOT(MID(metadata!C966,19,1)=""),IFERROR(INT(MID(metadata!C966,18,2))&gt;=0,FALSE),IFERROR(INT(MID(metadata!C966,18,2))&lt;=59,FALSE)), LEN(metadata!C966)&lt;=19)))))))))))))</f>
        <v>0</v>
      </c>
      <c r="AD966">
        <f>IF(metadata!D966="",FALSE,TRUE)</f>
        <v>0</v>
      </c>
      <c r="AE966">
        <f>OR(AND(IF(metadata!E966="",FALSE,TRUE),OR(exact(metadata!E966,"missing: not collected"),exact(metadata!E966,"missing: not provided"))),AND(IF(metadata!E966="",FALSE,TRUE),OR(exact(metadata!E966,"TRUE"),exact(metadata!E966,"FALSE"))))</f>
        <v>0</v>
      </c>
      <c r="AF966">
        <f>IF(metadata!F966="",FALSE,TRUE)</f>
        <v>0</v>
      </c>
      <c r="AG966">
        <f>IF(metadata!G966="",FALSE,TRUE)</f>
        <v>0</v>
      </c>
      <c r="AH966">
        <f>IF(metadata!H966="",FALSE,TRUE)</f>
        <v>0</v>
      </c>
      <c r="AI966">
        <f>OR(AND(IF(metadata!I966="",FALSE,TRUE),OR(exact(metadata!I966,"missing: not collected"),exact(metadata!I966,"missing: not provided"),exact(metadata!I966,"missing: restricted access"))),AND(IF(metadata!I966="",FALSE,TRUE),OR(exact(metadata!I966,"air"),exact(metadata!I966,"built environment"),exact(metadata!I966,"host-associated"),exact(metadata!I966,"human-associated"),exact(metadata!I966,"human-skin"),exact(metadata!I966,"human-oral"),exact(metadata!I966,"human-gut"),exact(metadata!I966,"human-vaginal"),exact(metadata!I966,"microbial mat/biofilm"),exact(metadata!I966,"misc environment"),exact(metadata!I966,"plant-associated"),exact(metadata!I966,"sediment"),exact(metadata!I966,"soil"),exact(metadata!I966,"wastewater/sludge"),exact(metadata!I966,"water"))))</f>
        <v>0</v>
      </c>
      <c r="AJ966">
        <f>IF(metadata!J966="",FALSE,TRUE)</f>
        <v>0</v>
      </c>
      <c r="AK966">
        <f>OR(AND(IF(metadata!K966="",FALSE,TRUE),OR(exact(metadata!K966,"missing: not collected"),exact(metadata!K966,"missing: not provided"),exact(metadata!K966,"missing: restricted access"))),AND(IF(metadata!K966="",FALSE,ISNUMBER(VALUE(metadata!K966))),metadata!K966&gt;=-90.00,metadata!K966&lt;=90.00))</f>
        <v>0</v>
      </c>
      <c r="AL966">
        <f>OR(AND(IF(metadata!L966="",FALSE,TRUE),OR(exact(metadata!L966,"missing: not collected"),exact(metadata!L966,"missing: not provided"),exact(metadata!L966,"missing: restricted access"))),AND(IF(metadata!L966="",FALSE,ISNUMBER(VALUE(metadata!L966))),metadata!L966&gt;=-180.00,metadata!L966&lt;=180.00))</f>
        <v>0</v>
      </c>
      <c r="AM966">
        <f>IF(metadata!M966="",FALSE,TRUE)</f>
        <v>0</v>
      </c>
      <c r="AN966">
        <f>OR(AND(IF(metadata!N966="",FALSE,TRUE),OR(exact(metadata!N966,"missing: not collected"),exact(metadata!N966,"missing: not provided"),exact(metadata!N966,"missing: restricted access"))),AND(IF(metadata!N966="",FALSE,TRUE),OR(exact(metadata!N966,"TRUE"),exact(metadata!N966,"FALSE"))))</f>
        <v>0</v>
      </c>
      <c r="AO966">
        <f>IF(metadata!O966="",FALSE,TRUE)</f>
        <v>0</v>
      </c>
      <c r="AP966">
        <f>OR(AND(IF(metadata!P966="",FALSE,TRUE),OR(exact(metadata!P966,"missing: not collected"),exact(metadata!P966,"missing: not provided"))),AND(IF(metadata!P966="",FALSE,IF(ISERROR(INT(metadata!P966)),FALSE,INT(metadata!P966)=metadata!P966)),metadata!P966&gt;0))</f>
        <v>0</v>
      </c>
      <c r="AQ966">
        <f>IF(metadata!Q966="",FALSE,TRUE)</f>
        <v>0</v>
      </c>
    </row>
    <row r="967" spans="1:43">
      <c r="A967" s="5">
        <f>IF(B967=" "," ",HYPERLINK(CONCATENATE("#metadata!",ADDRESS(INDEX($W$2:$W$1001,MATCH(ROWS($U$2:U967),$U$2:$U$1001,0),0),1)),INDEX($Z$2:$Z$1001,MATCH(ROWS($U$2:U967),$U$2:$U$1001,0),0)))</f>
        <v>0</v>
      </c>
      <c r="B967" s="4">
        <f>IF(OR(INDEX($V$2:$V$1001,MATCH(ROWS($U$2:U967),$U$2:$U$1001,0),1)&gt;=100000,INDEX($AB$1005:$AQ$1005,1,MATCH(COLUMNS($AB$1006:AB1006),$AB$1006:$AQ$1006,0))&gt;=100000), " ",IF(INDEX($AB$2:$AQ$1001,MATCH(ROWS($U$2:U967),$U$2:$U$1001,0),MATCH(COLUMNS($AB$1006:AB1006),$AB$1006:$AQ$1006,0)), HYPERLINK("#",""), HYPERLINK(CONCATENATE("#metadata!", ADDRESS(INDEX($W$2:$W$1001,MATCH(ROWS($U$2:U967),$U$2:$U$1001,0),0), INDEX($AB$1004:$AQ$1004,1,MATCH(COLUMNS($AB$1006:AB1006),$AB$1006:$AQ$1006,0)))),"Fix")))</f>
        <v>0</v>
      </c>
      <c r="C967" s="4">
        <f>IF(OR(INDEX($V$2:$V$1001,MATCH(ROWS($U$2:U967),$U$2:$U$1001,0),1)&gt;=100000,INDEX($AB$1005:$AQ$1005,1,MATCH(COLUMNS($AB$1006:AC1006),$AB$1006:$AQ$1006,0))&gt;=100000), " ",IF(INDEX($AB$2:$AQ$1001,MATCH(ROWS($U$2:U967),$U$2:$U$1001,0),MATCH(COLUMNS($AB$1006:AC1006),$AB$1006:$AQ$1006,0)), HYPERLINK("#",""), HYPERLINK(CONCATENATE("#metadata!", ADDRESS(INDEX($W$2:$W$1001,MATCH(ROWS($U$2:U967),$U$2:$U$1001,0),0), INDEX($AB$1004:$AQ$1004,1,MATCH(COLUMNS($AB$1006:AC1006),$AB$1006:$AQ$1006,0)))),"Fix")))</f>
        <v>0</v>
      </c>
      <c r="D967" s="4">
        <f>IF(OR(INDEX($V$2:$V$1001,MATCH(ROWS($U$2:U967),$U$2:$U$1001,0),1)&gt;=100000,INDEX($AB$1005:$AQ$1005,1,MATCH(COLUMNS($AB$1006:AD1006),$AB$1006:$AQ$1006,0))&gt;=100000), " ",IF(INDEX($AB$2:$AQ$1001,MATCH(ROWS($U$2:U967),$U$2:$U$1001,0),MATCH(COLUMNS($AB$1006:AD1006),$AB$1006:$AQ$1006,0)), HYPERLINK("#",""), HYPERLINK(CONCATENATE("#metadata!", ADDRESS(INDEX($W$2:$W$1001,MATCH(ROWS($U$2:U967),$U$2:$U$1001,0),0), INDEX($AB$1004:$AQ$1004,1,MATCH(COLUMNS($AB$1006:AD1006),$AB$1006:$AQ$1006,0)))),"Fix")))</f>
        <v>0</v>
      </c>
      <c r="E967" s="4">
        <f>IF(OR(INDEX($V$2:$V$1001,MATCH(ROWS($U$2:U967),$U$2:$U$1001,0),1)&gt;=100000,INDEX($AB$1005:$AQ$1005,1,MATCH(COLUMNS($AB$1006:AE1006),$AB$1006:$AQ$1006,0))&gt;=100000), " ",IF(INDEX($AB$2:$AQ$1001,MATCH(ROWS($U$2:U967),$U$2:$U$1001,0),MATCH(COLUMNS($AB$1006:AE1006),$AB$1006:$AQ$1006,0)), HYPERLINK("#",""), HYPERLINK(CONCATENATE("#metadata!", ADDRESS(INDEX($W$2:$W$1001,MATCH(ROWS($U$2:U967),$U$2:$U$1001,0),0), INDEX($AB$1004:$AQ$1004,1,MATCH(COLUMNS($AB$1006:AE1006),$AB$1006:$AQ$1006,0)))),"Fix")))</f>
        <v>0</v>
      </c>
      <c r="F967" s="4">
        <f>IF(OR(INDEX($V$2:$V$1001,MATCH(ROWS($U$2:U967),$U$2:$U$1001,0),1)&gt;=100000,INDEX($AB$1005:$AQ$1005,1,MATCH(COLUMNS($AB$1006:AF1006),$AB$1006:$AQ$1006,0))&gt;=100000), " ",IF(INDEX($AB$2:$AQ$1001,MATCH(ROWS($U$2:U967),$U$2:$U$1001,0),MATCH(COLUMNS($AB$1006:AF1006),$AB$1006:$AQ$1006,0)), HYPERLINK("#",""), HYPERLINK(CONCATENATE("#metadata!", ADDRESS(INDEX($W$2:$W$1001,MATCH(ROWS($U$2:U967),$U$2:$U$1001,0),0), INDEX($AB$1004:$AQ$1004,1,MATCH(COLUMNS($AB$1006:AF1006),$AB$1006:$AQ$1006,0)))),"Fix")))</f>
        <v>0</v>
      </c>
      <c r="G967" s="4">
        <f>IF(OR(INDEX($V$2:$V$1001,MATCH(ROWS($U$2:U967),$U$2:$U$1001,0),1)&gt;=100000,INDEX($AB$1005:$AQ$1005,1,MATCH(COLUMNS($AB$1006:AG1006),$AB$1006:$AQ$1006,0))&gt;=100000), " ",IF(INDEX($AB$2:$AQ$1001,MATCH(ROWS($U$2:U967),$U$2:$U$1001,0),MATCH(COLUMNS($AB$1006:AG1006),$AB$1006:$AQ$1006,0)), HYPERLINK("#",""), HYPERLINK(CONCATENATE("#metadata!", ADDRESS(INDEX($W$2:$W$1001,MATCH(ROWS($U$2:U967),$U$2:$U$1001,0),0), INDEX($AB$1004:$AQ$1004,1,MATCH(COLUMNS($AB$1006:AG1006),$AB$1006:$AQ$1006,0)))),"Fix")))</f>
        <v>0</v>
      </c>
      <c r="H967" s="4">
        <f>IF(OR(INDEX($V$2:$V$1001,MATCH(ROWS($U$2:U967),$U$2:$U$1001,0),1)&gt;=100000,INDEX($AB$1005:$AQ$1005,1,MATCH(COLUMNS($AB$1006:AH1006),$AB$1006:$AQ$1006,0))&gt;=100000), " ",IF(INDEX($AB$2:$AQ$1001,MATCH(ROWS($U$2:U967),$U$2:$U$1001,0),MATCH(COLUMNS($AB$1006:AH1006),$AB$1006:$AQ$1006,0)), HYPERLINK("#",""), HYPERLINK(CONCATENATE("#metadata!", ADDRESS(INDEX($W$2:$W$1001,MATCH(ROWS($U$2:U967),$U$2:$U$1001,0),0), INDEX($AB$1004:$AQ$1004,1,MATCH(COLUMNS($AB$1006:AH1006),$AB$1006:$AQ$1006,0)))),"Fix")))</f>
        <v>0</v>
      </c>
      <c r="I967" s="4">
        <f>IF(OR(INDEX($V$2:$V$1001,MATCH(ROWS($U$2:U967),$U$2:$U$1001,0),1)&gt;=100000,INDEX($AB$1005:$AQ$1005,1,MATCH(COLUMNS($AB$1006:AI1006),$AB$1006:$AQ$1006,0))&gt;=100000), " ",IF(INDEX($AB$2:$AQ$1001,MATCH(ROWS($U$2:U967),$U$2:$U$1001,0),MATCH(COLUMNS($AB$1006:AI1006),$AB$1006:$AQ$1006,0)), HYPERLINK("#",""), HYPERLINK(CONCATENATE("#metadata!", ADDRESS(INDEX($W$2:$W$1001,MATCH(ROWS($U$2:U967),$U$2:$U$1001,0),0), INDEX($AB$1004:$AQ$1004,1,MATCH(COLUMNS($AB$1006:AI1006),$AB$1006:$AQ$1006,0)))),"Fix")))</f>
        <v>0</v>
      </c>
      <c r="J967" s="4">
        <f>IF(OR(INDEX($V$2:$V$1001,MATCH(ROWS($U$2:U967),$U$2:$U$1001,0),1)&gt;=100000,INDEX($AB$1005:$AQ$1005,1,MATCH(COLUMNS($AB$1006:AJ1006),$AB$1006:$AQ$1006,0))&gt;=100000), " ",IF(INDEX($AB$2:$AQ$1001,MATCH(ROWS($U$2:U967),$U$2:$U$1001,0),MATCH(COLUMNS($AB$1006:AJ1006),$AB$1006:$AQ$1006,0)), HYPERLINK("#",""), HYPERLINK(CONCATENATE("#metadata!", ADDRESS(INDEX($W$2:$W$1001,MATCH(ROWS($U$2:U967),$U$2:$U$1001,0),0), INDEX($AB$1004:$AQ$1004,1,MATCH(COLUMNS($AB$1006:AJ1006),$AB$1006:$AQ$1006,0)))),"Fix")))</f>
        <v>0</v>
      </c>
      <c r="K967" s="4">
        <f>IF(OR(INDEX($V$2:$V$1001,MATCH(ROWS($U$2:U967),$U$2:$U$1001,0),1)&gt;=100000,INDEX($AB$1005:$AQ$1005,1,MATCH(COLUMNS($AB$1006:AK1006),$AB$1006:$AQ$1006,0))&gt;=100000), " ",IF(INDEX($AB$2:$AQ$1001,MATCH(ROWS($U$2:U967),$U$2:$U$1001,0),MATCH(COLUMNS($AB$1006:AK1006),$AB$1006:$AQ$1006,0)), HYPERLINK("#",""), HYPERLINK(CONCATENATE("#metadata!", ADDRESS(INDEX($W$2:$W$1001,MATCH(ROWS($U$2:U967),$U$2:$U$1001,0),0), INDEX($AB$1004:$AQ$1004,1,MATCH(COLUMNS($AB$1006:AK1006),$AB$1006:$AQ$1006,0)))),"Fix")))</f>
        <v>0</v>
      </c>
      <c r="L967" s="4">
        <f>IF(OR(INDEX($V$2:$V$1001,MATCH(ROWS($U$2:U967),$U$2:$U$1001,0),1)&gt;=100000,INDEX($AB$1005:$AQ$1005,1,MATCH(COLUMNS($AB$1006:AL1006),$AB$1006:$AQ$1006,0))&gt;=100000), " ",IF(INDEX($AB$2:$AQ$1001,MATCH(ROWS($U$2:U967),$U$2:$U$1001,0),MATCH(COLUMNS($AB$1006:AL1006),$AB$1006:$AQ$1006,0)), HYPERLINK("#",""), HYPERLINK(CONCATENATE("#metadata!", ADDRESS(INDEX($W$2:$W$1001,MATCH(ROWS($U$2:U967),$U$2:$U$1001,0),0), INDEX($AB$1004:$AQ$1004,1,MATCH(COLUMNS($AB$1006:AL1006),$AB$1006:$AQ$1006,0)))),"Fix")))</f>
        <v>0</v>
      </c>
      <c r="M967" s="4">
        <f>IF(OR(INDEX($V$2:$V$1001,MATCH(ROWS($U$2:U967),$U$2:$U$1001,0),1)&gt;=100000,INDEX($AB$1005:$AQ$1005,1,MATCH(COLUMNS($AB$1006:AM1006),$AB$1006:$AQ$1006,0))&gt;=100000), " ",IF(INDEX($AB$2:$AQ$1001,MATCH(ROWS($U$2:U967),$U$2:$U$1001,0),MATCH(COLUMNS($AB$1006:AM1006),$AB$1006:$AQ$1006,0)), HYPERLINK("#",""), HYPERLINK(CONCATENATE("#metadata!", ADDRESS(INDEX($W$2:$W$1001,MATCH(ROWS($U$2:U967),$U$2:$U$1001,0),0), INDEX($AB$1004:$AQ$1004,1,MATCH(COLUMNS($AB$1006:AM1006),$AB$1006:$AQ$1006,0)))),"Fix")))</f>
        <v>0</v>
      </c>
      <c r="N967" s="4">
        <f>IF(OR(INDEX($V$2:$V$1001,MATCH(ROWS($U$2:U967),$U$2:$U$1001,0),1)&gt;=100000,INDEX($AB$1005:$AQ$1005,1,MATCH(COLUMNS($AB$1006:AN1006),$AB$1006:$AQ$1006,0))&gt;=100000), " ",IF(INDEX($AB$2:$AQ$1001,MATCH(ROWS($U$2:U967),$U$2:$U$1001,0),MATCH(COLUMNS($AB$1006:AN1006),$AB$1006:$AQ$1006,0)), HYPERLINK("#",""), HYPERLINK(CONCATENATE("#metadata!", ADDRESS(INDEX($W$2:$W$1001,MATCH(ROWS($U$2:U967),$U$2:$U$1001,0),0), INDEX($AB$1004:$AQ$1004,1,MATCH(COLUMNS($AB$1006:AN1006),$AB$1006:$AQ$1006,0)))),"Fix")))</f>
        <v>0</v>
      </c>
      <c r="O967" s="4">
        <f>IF(OR(INDEX($V$2:$V$1001,MATCH(ROWS($U$2:U967),$U$2:$U$1001,0),1)&gt;=100000,INDEX($AB$1005:$AQ$1005,1,MATCH(COLUMNS($AB$1006:AO1006),$AB$1006:$AQ$1006,0))&gt;=100000), " ",IF(INDEX($AB$2:$AQ$1001,MATCH(ROWS($U$2:U967),$U$2:$U$1001,0),MATCH(COLUMNS($AB$1006:AO1006),$AB$1006:$AQ$1006,0)), HYPERLINK("#",""), HYPERLINK(CONCATENATE("#metadata!", ADDRESS(INDEX($W$2:$W$1001,MATCH(ROWS($U$2:U967),$U$2:$U$1001,0),0), INDEX($AB$1004:$AQ$1004,1,MATCH(COLUMNS($AB$1006:AO1006),$AB$1006:$AQ$1006,0)))),"Fix")))</f>
        <v>0</v>
      </c>
      <c r="P967" s="4">
        <f>IF(OR(INDEX($V$2:$V$1001,MATCH(ROWS($U$2:U967),$U$2:$U$1001,0),1)&gt;=100000,INDEX($AB$1005:$AQ$1005,1,MATCH(COLUMNS($AB$1006:AP1006),$AB$1006:$AQ$1006,0))&gt;=100000), " ",IF(INDEX($AB$2:$AQ$1001,MATCH(ROWS($U$2:U967),$U$2:$U$1001,0),MATCH(COLUMNS($AB$1006:AP1006),$AB$1006:$AQ$1006,0)), HYPERLINK("#",""), HYPERLINK(CONCATENATE("#metadata!", ADDRESS(INDEX($W$2:$W$1001,MATCH(ROWS($U$2:U967),$U$2:$U$1001,0),0), INDEX($AB$1004:$AQ$1004,1,MATCH(COLUMNS($AB$1006:AP1006),$AB$1006:$AQ$1006,0)))),"Fix")))</f>
        <v>0</v>
      </c>
      <c r="Q967" s="4">
        <f>IF(OR(INDEX($V$2:$V$1001,MATCH(ROWS($U$2:U967),$U$2:$U$1001,0),1)&gt;=100000,INDEX($AB$1005:$AQ$1005,1,MATCH(COLUMNS($AB$1006:AQ1006),$AB$1006:$AQ$1006,0))&gt;=100000), " ",IF(INDEX($AB$2:$AQ$1001,MATCH(ROWS($U$2:U967),$U$2:$U$1001,0),MATCH(COLUMNS($AB$1006:AQ1006),$AB$1006:$AQ$1006,0)), HYPERLINK("#",""), HYPERLINK(CONCATENATE("#metadata!", ADDRESS(INDEX($W$2:$W$1001,MATCH(ROWS($U$2:U967),$U$2:$U$1001,0),0), INDEX($AB$1004:$AQ$1004,1,MATCH(COLUMNS($AB$1006:AQ1006),$AB$1006:$AQ$1006,0)))),"Fix")))</f>
        <v>0</v>
      </c>
      <c r="U967">
        <v>0</v>
      </c>
      <c r="V967">
        <v>0</v>
      </c>
      <c r="W967">
        <v>0</v>
      </c>
      <c r="X967">
        <f>IF(Y967,TRUE,AND(AB967:AQ967))</f>
        <v>0</v>
      </c>
      <c r="Y967">
        <f>COUNTBLANK(metadata!B967:Q967)=COLUMNS(metadata!B967:Q967)</f>
        <v>0</v>
      </c>
      <c r="Z967">
        <v>0</v>
      </c>
      <c r="AB967">
        <f>AND(IF(metadata!B967="",FALSE,TRUE),COUNTIF(metadata!B:B, metadata!B967) = 1,NOT(ISERROR(SUMPRODUCT(SEARCH(MID(metadata!B967,ROW(INDIRECT("1:"&amp;LEN(metadata!B967))), 1),"0123456789abcdefghijklmnopqrstuvwxyzABCDEFGHIJKLMNOPQRSTUVWXYZ.")))))</f>
        <v>0</v>
      </c>
      <c r="AC967">
        <f>OR(AND(IF(metadata!C967="",FALSE,TRUE),OR(exact(metadata!C967,"missing: not collected"),exact(metadata!C967,"missing: not provided"),exact(metadata!C967,"missing: restricted access"))),AND(IF(metadata!C967="",FALSE,TRUE),AND(AND(IFERROR(INT(LEFT(metadata!C967,4))&gt;1900,FALSE),IFERROR(INT(LEFT(metadata!C967,4))&lt;=YEAR(NOW()),FALSE)), OR(MID(metadata!C967,5,1)="", AND(AND(MID(metadata!C967,5,1)="-",IFERROR(INT(MID(metadata!C967,6,1))&gt;=0,FALSE),IFERROR(INT(MID(metadata!C967,6,1))&lt;=1,FALSE),NOT(MID(metadata!C967,7,1)=""),IFERROR(INT(MID(metadata!C967,6,2))&gt;=1,FALSE),IFERROR(INT(MID(metadata!C967,6,2))&lt;=12,FALSE)), OR(MID(metadata!C967,8,1)="", AND(AND(MID(metadata!C967,8,1)="-",IFERROR(INT(MID(metadata!C967,9,1))&gt;=0,FALSE),IFERROR(INT(MID(metadata!C967,9,1))&lt;=3,FALSE),NOT(MID(metadata!C967,10,1)=""),IFERROR(INT(MID(metadata!C967,9,2))&gt;=1,FALSE),IFERROR(INT(MID(metadata!C967,9,2))&lt;=31,FALSE)), OR(MID(metadata!C967,11,1)="", AND(AND(MID(metadata!C967,11,1)=" ",IFERROR(INT(MID(metadata!C967,12,1))&gt;=0,FALSE),IFERROR(INT(MID(metadata!C967,12,1))&lt;=2,FALSE),NOT(MID(metadata!C967,13,1)=""),IFERROR(INT(MID(metadata!C967,12,2))&gt;=0,FALSE),IFERROR(INT(MID(metadata!C967,12,2))&lt;=23,FALSE)), OR(MID(metadata!C967,14,1)="", AND(AND(MID(metadata!C967,14,1)=":",IFERROR(INT(MID(metadata!C967,15,1))&gt;=0,FALSE),IFERROR(INT(MID(metadata!C967,15,1))&lt;=5,FALSE),NOT(MID(metadata!C967,16,1)=""),IFERROR(INT(MID(metadata!C967,15,2))&gt;=0,FALSE),IFERROR(INT(MID(metadata!C967,15,2))&lt;=59,FALSE)), OR(MID(metadata!C967,17,1)="", AND(AND(MID(metadata!C967,17,1)=":",IFERROR(INT(MID(metadata!C967,18,1))&gt;=0,FALSE),IFERROR(INT(MID(metadata!C967,18,1))&lt;=5,FALSE),NOT(MID(metadata!C967,19,1)=""),IFERROR(INT(MID(metadata!C967,18,2))&gt;=0,FALSE),IFERROR(INT(MID(metadata!C967,18,2))&lt;=59,FALSE)), LEN(metadata!C967)&lt;=19)))))))))))))</f>
        <v>0</v>
      </c>
      <c r="AD967">
        <f>IF(metadata!D967="",FALSE,TRUE)</f>
        <v>0</v>
      </c>
      <c r="AE967">
        <f>OR(AND(IF(metadata!E967="",FALSE,TRUE),OR(exact(metadata!E967,"missing: not collected"),exact(metadata!E967,"missing: not provided"))),AND(IF(metadata!E967="",FALSE,TRUE),OR(exact(metadata!E967,"TRUE"),exact(metadata!E967,"FALSE"))))</f>
        <v>0</v>
      </c>
      <c r="AF967">
        <f>IF(metadata!F967="",FALSE,TRUE)</f>
        <v>0</v>
      </c>
      <c r="AG967">
        <f>IF(metadata!G967="",FALSE,TRUE)</f>
        <v>0</v>
      </c>
      <c r="AH967">
        <f>IF(metadata!H967="",FALSE,TRUE)</f>
        <v>0</v>
      </c>
      <c r="AI967">
        <f>OR(AND(IF(metadata!I967="",FALSE,TRUE),OR(exact(metadata!I967,"missing: not collected"),exact(metadata!I967,"missing: not provided"),exact(metadata!I967,"missing: restricted access"))),AND(IF(metadata!I967="",FALSE,TRUE),OR(exact(metadata!I967,"air"),exact(metadata!I967,"built environment"),exact(metadata!I967,"host-associated"),exact(metadata!I967,"human-associated"),exact(metadata!I967,"human-skin"),exact(metadata!I967,"human-oral"),exact(metadata!I967,"human-gut"),exact(metadata!I967,"human-vaginal"),exact(metadata!I967,"microbial mat/biofilm"),exact(metadata!I967,"misc environment"),exact(metadata!I967,"plant-associated"),exact(metadata!I967,"sediment"),exact(metadata!I967,"soil"),exact(metadata!I967,"wastewater/sludge"),exact(metadata!I967,"water"))))</f>
        <v>0</v>
      </c>
      <c r="AJ967">
        <f>IF(metadata!J967="",FALSE,TRUE)</f>
        <v>0</v>
      </c>
      <c r="AK967">
        <f>OR(AND(IF(metadata!K967="",FALSE,TRUE),OR(exact(metadata!K967,"missing: not collected"),exact(metadata!K967,"missing: not provided"),exact(metadata!K967,"missing: restricted access"))),AND(IF(metadata!K967="",FALSE,ISNUMBER(VALUE(metadata!K967))),metadata!K967&gt;=-90.00,metadata!K967&lt;=90.00))</f>
        <v>0</v>
      </c>
      <c r="AL967">
        <f>OR(AND(IF(metadata!L967="",FALSE,TRUE),OR(exact(metadata!L967,"missing: not collected"),exact(metadata!L967,"missing: not provided"),exact(metadata!L967,"missing: restricted access"))),AND(IF(metadata!L967="",FALSE,ISNUMBER(VALUE(metadata!L967))),metadata!L967&gt;=-180.00,metadata!L967&lt;=180.00))</f>
        <v>0</v>
      </c>
      <c r="AM967">
        <f>IF(metadata!M967="",FALSE,TRUE)</f>
        <v>0</v>
      </c>
      <c r="AN967">
        <f>OR(AND(IF(metadata!N967="",FALSE,TRUE),OR(exact(metadata!N967,"missing: not collected"),exact(metadata!N967,"missing: not provided"),exact(metadata!N967,"missing: restricted access"))),AND(IF(metadata!N967="",FALSE,TRUE),OR(exact(metadata!N967,"TRUE"),exact(metadata!N967,"FALSE"))))</f>
        <v>0</v>
      </c>
      <c r="AO967">
        <f>IF(metadata!O967="",FALSE,TRUE)</f>
        <v>0</v>
      </c>
      <c r="AP967">
        <f>OR(AND(IF(metadata!P967="",FALSE,TRUE),OR(exact(metadata!P967,"missing: not collected"),exact(metadata!P967,"missing: not provided"))),AND(IF(metadata!P967="",FALSE,IF(ISERROR(INT(metadata!P967)),FALSE,INT(metadata!P967)=metadata!P967)),metadata!P967&gt;0))</f>
        <v>0</v>
      </c>
      <c r="AQ967">
        <f>IF(metadata!Q967="",FALSE,TRUE)</f>
        <v>0</v>
      </c>
    </row>
    <row r="968" spans="1:43">
      <c r="A968" s="5">
        <f>IF(B968=" "," ",HYPERLINK(CONCATENATE("#metadata!",ADDRESS(INDEX($W$2:$W$1001,MATCH(ROWS($U$2:U968),$U$2:$U$1001,0),0),1)),INDEX($Z$2:$Z$1001,MATCH(ROWS($U$2:U968),$U$2:$U$1001,0),0)))</f>
        <v>0</v>
      </c>
      <c r="B968" s="4">
        <f>IF(OR(INDEX($V$2:$V$1001,MATCH(ROWS($U$2:U968),$U$2:$U$1001,0),1)&gt;=100000,INDEX($AB$1005:$AQ$1005,1,MATCH(COLUMNS($AB$1006:AB1006),$AB$1006:$AQ$1006,0))&gt;=100000), " ",IF(INDEX($AB$2:$AQ$1001,MATCH(ROWS($U$2:U968),$U$2:$U$1001,0),MATCH(COLUMNS($AB$1006:AB1006),$AB$1006:$AQ$1006,0)), HYPERLINK("#",""), HYPERLINK(CONCATENATE("#metadata!", ADDRESS(INDEX($W$2:$W$1001,MATCH(ROWS($U$2:U968),$U$2:$U$1001,0),0), INDEX($AB$1004:$AQ$1004,1,MATCH(COLUMNS($AB$1006:AB1006),$AB$1006:$AQ$1006,0)))),"Fix")))</f>
        <v>0</v>
      </c>
      <c r="C968" s="4">
        <f>IF(OR(INDEX($V$2:$V$1001,MATCH(ROWS($U$2:U968),$U$2:$U$1001,0),1)&gt;=100000,INDEX($AB$1005:$AQ$1005,1,MATCH(COLUMNS($AB$1006:AC1006),$AB$1006:$AQ$1006,0))&gt;=100000), " ",IF(INDEX($AB$2:$AQ$1001,MATCH(ROWS($U$2:U968),$U$2:$U$1001,0),MATCH(COLUMNS($AB$1006:AC1006),$AB$1006:$AQ$1006,0)), HYPERLINK("#",""), HYPERLINK(CONCATENATE("#metadata!", ADDRESS(INDEX($W$2:$W$1001,MATCH(ROWS($U$2:U968),$U$2:$U$1001,0),0), INDEX($AB$1004:$AQ$1004,1,MATCH(COLUMNS($AB$1006:AC1006),$AB$1006:$AQ$1006,0)))),"Fix")))</f>
        <v>0</v>
      </c>
      <c r="D968" s="4">
        <f>IF(OR(INDEX($V$2:$V$1001,MATCH(ROWS($U$2:U968),$U$2:$U$1001,0),1)&gt;=100000,INDEX($AB$1005:$AQ$1005,1,MATCH(COLUMNS($AB$1006:AD1006),$AB$1006:$AQ$1006,0))&gt;=100000), " ",IF(INDEX($AB$2:$AQ$1001,MATCH(ROWS($U$2:U968),$U$2:$U$1001,0),MATCH(COLUMNS($AB$1006:AD1006),$AB$1006:$AQ$1006,0)), HYPERLINK("#",""), HYPERLINK(CONCATENATE("#metadata!", ADDRESS(INDEX($W$2:$W$1001,MATCH(ROWS($U$2:U968),$U$2:$U$1001,0),0), INDEX($AB$1004:$AQ$1004,1,MATCH(COLUMNS($AB$1006:AD1006),$AB$1006:$AQ$1006,0)))),"Fix")))</f>
        <v>0</v>
      </c>
      <c r="E968" s="4">
        <f>IF(OR(INDEX($V$2:$V$1001,MATCH(ROWS($U$2:U968),$U$2:$U$1001,0),1)&gt;=100000,INDEX($AB$1005:$AQ$1005,1,MATCH(COLUMNS($AB$1006:AE1006),$AB$1006:$AQ$1006,0))&gt;=100000), " ",IF(INDEX($AB$2:$AQ$1001,MATCH(ROWS($U$2:U968),$U$2:$U$1001,0),MATCH(COLUMNS($AB$1006:AE1006),$AB$1006:$AQ$1006,0)), HYPERLINK("#",""), HYPERLINK(CONCATENATE("#metadata!", ADDRESS(INDEX($W$2:$W$1001,MATCH(ROWS($U$2:U968),$U$2:$U$1001,0),0), INDEX($AB$1004:$AQ$1004,1,MATCH(COLUMNS($AB$1006:AE1006),$AB$1006:$AQ$1006,0)))),"Fix")))</f>
        <v>0</v>
      </c>
      <c r="F968" s="4">
        <f>IF(OR(INDEX($V$2:$V$1001,MATCH(ROWS($U$2:U968),$U$2:$U$1001,0),1)&gt;=100000,INDEX($AB$1005:$AQ$1005,1,MATCH(COLUMNS($AB$1006:AF1006),$AB$1006:$AQ$1006,0))&gt;=100000), " ",IF(INDEX($AB$2:$AQ$1001,MATCH(ROWS($U$2:U968),$U$2:$U$1001,0),MATCH(COLUMNS($AB$1006:AF1006),$AB$1006:$AQ$1006,0)), HYPERLINK("#",""), HYPERLINK(CONCATENATE("#metadata!", ADDRESS(INDEX($W$2:$W$1001,MATCH(ROWS($U$2:U968),$U$2:$U$1001,0),0), INDEX($AB$1004:$AQ$1004,1,MATCH(COLUMNS($AB$1006:AF1006),$AB$1006:$AQ$1006,0)))),"Fix")))</f>
        <v>0</v>
      </c>
      <c r="G968" s="4">
        <f>IF(OR(INDEX($V$2:$V$1001,MATCH(ROWS($U$2:U968),$U$2:$U$1001,0),1)&gt;=100000,INDEX($AB$1005:$AQ$1005,1,MATCH(COLUMNS($AB$1006:AG1006),$AB$1006:$AQ$1006,0))&gt;=100000), " ",IF(INDEX($AB$2:$AQ$1001,MATCH(ROWS($U$2:U968),$U$2:$U$1001,0),MATCH(COLUMNS($AB$1006:AG1006),$AB$1006:$AQ$1006,0)), HYPERLINK("#",""), HYPERLINK(CONCATENATE("#metadata!", ADDRESS(INDEX($W$2:$W$1001,MATCH(ROWS($U$2:U968),$U$2:$U$1001,0),0), INDEX($AB$1004:$AQ$1004,1,MATCH(COLUMNS($AB$1006:AG1006),$AB$1006:$AQ$1006,0)))),"Fix")))</f>
        <v>0</v>
      </c>
      <c r="H968" s="4">
        <f>IF(OR(INDEX($V$2:$V$1001,MATCH(ROWS($U$2:U968),$U$2:$U$1001,0),1)&gt;=100000,INDEX($AB$1005:$AQ$1005,1,MATCH(COLUMNS($AB$1006:AH1006),$AB$1006:$AQ$1006,0))&gt;=100000), " ",IF(INDEX($AB$2:$AQ$1001,MATCH(ROWS($U$2:U968),$U$2:$U$1001,0),MATCH(COLUMNS($AB$1006:AH1006),$AB$1006:$AQ$1006,0)), HYPERLINK("#",""), HYPERLINK(CONCATENATE("#metadata!", ADDRESS(INDEX($W$2:$W$1001,MATCH(ROWS($U$2:U968),$U$2:$U$1001,0),0), INDEX($AB$1004:$AQ$1004,1,MATCH(COLUMNS($AB$1006:AH1006),$AB$1006:$AQ$1006,0)))),"Fix")))</f>
        <v>0</v>
      </c>
      <c r="I968" s="4">
        <f>IF(OR(INDEX($V$2:$V$1001,MATCH(ROWS($U$2:U968),$U$2:$U$1001,0),1)&gt;=100000,INDEX($AB$1005:$AQ$1005,1,MATCH(COLUMNS($AB$1006:AI1006),$AB$1006:$AQ$1006,0))&gt;=100000), " ",IF(INDEX($AB$2:$AQ$1001,MATCH(ROWS($U$2:U968),$U$2:$U$1001,0),MATCH(COLUMNS($AB$1006:AI1006),$AB$1006:$AQ$1006,0)), HYPERLINK("#",""), HYPERLINK(CONCATENATE("#metadata!", ADDRESS(INDEX($W$2:$W$1001,MATCH(ROWS($U$2:U968),$U$2:$U$1001,0),0), INDEX($AB$1004:$AQ$1004,1,MATCH(COLUMNS($AB$1006:AI1006),$AB$1006:$AQ$1006,0)))),"Fix")))</f>
        <v>0</v>
      </c>
      <c r="J968" s="4">
        <f>IF(OR(INDEX($V$2:$V$1001,MATCH(ROWS($U$2:U968),$U$2:$U$1001,0),1)&gt;=100000,INDEX($AB$1005:$AQ$1005,1,MATCH(COLUMNS($AB$1006:AJ1006),$AB$1006:$AQ$1006,0))&gt;=100000), " ",IF(INDEX($AB$2:$AQ$1001,MATCH(ROWS($U$2:U968),$U$2:$U$1001,0),MATCH(COLUMNS($AB$1006:AJ1006),$AB$1006:$AQ$1006,0)), HYPERLINK("#",""), HYPERLINK(CONCATENATE("#metadata!", ADDRESS(INDEX($W$2:$W$1001,MATCH(ROWS($U$2:U968),$U$2:$U$1001,0),0), INDEX($AB$1004:$AQ$1004,1,MATCH(COLUMNS($AB$1006:AJ1006),$AB$1006:$AQ$1006,0)))),"Fix")))</f>
        <v>0</v>
      </c>
      <c r="K968" s="4">
        <f>IF(OR(INDEX($V$2:$V$1001,MATCH(ROWS($U$2:U968),$U$2:$U$1001,0),1)&gt;=100000,INDEX($AB$1005:$AQ$1005,1,MATCH(COLUMNS($AB$1006:AK1006),$AB$1006:$AQ$1006,0))&gt;=100000), " ",IF(INDEX($AB$2:$AQ$1001,MATCH(ROWS($U$2:U968),$U$2:$U$1001,0),MATCH(COLUMNS($AB$1006:AK1006),$AB$1006:$AQ$1006,0)), HYPERLINK("#",""), HYPERLINK(CONCATENATE("#metadata!", ADDRESS(INDEX($W$2:$W$1001,MATCH(ROWS($U$2:U968),$U$2:$U$1001,0),0), INDEX($AB$1004:$AQ$1004,1,MATCH(COLUMNS($AB$1006:AK1006),$AB$1006:$AQ$1006,0)))),"Fix")))</f>
        <v>0</v>
      </c>
      <c r="L968" s="4">
        <f>IF(OR(INDEX($V$2:$V$1001,MATCH(ROWS($U$2:U968),$U$2:$U$1001,0),1)&gt;=100000,INDEX($AB$1005:$AQ$1005,1,MATCH(COLUMNS($AB$1006:AL1006),$AB$1006:$AQ$1006,0))&gt;=100000), " ",IF(INDEX($AB$2:$AQ$1001,MATCH(ROWS($U$2:U968),$U$2:$U$1001,0),MATCH(COLUMNS($AB$1006:AL1006),$AB$1006:$AQ$1006,0)), HYPERLINK("#",""), HYPERLINK(CONCATENATE("#metadata!", ADDRESS(INDEX($W$2:$W$1001,MATCH(ROWS($U$2:U968),$U$2:$U$1001,0),0), INDEX($AB$1004:$AQ$1004,1,MATCH(COLUMNS($AB$1006:AL1006),$AB$1006:$AQ$1006,0)))),"Fix")))</f>
        <v>0</v>
      </c>
      <c r="M968" s="4">
        <f>IF(OR(INDEX($V$2:$V$1001,MATCH(ROWS($U$2:U968),$U$2:$U$1001,0),1)&gt;=100000,INDEX($AB$1005:$AQ$1005,1,MATCH(COLUMNS($AB$1006:AM1006),$AB$1006:$AQ$1006,0))&gt;=100000), " ",IF(INDEX($AB$2:$AQ$1001,MATCH(ROWS($U$2:U968),$U$2:$U$1001,0),MATCH(COLUMNS($AB$1006:AM1006),$AB$1006:$AQ$1006,0)), HYPERLINK("#",""), HYPERLINK(CONCATENATE("#metadata!", ADDRESS(INDEX($W$2:$W$1001,MATCH(ROWS($U$2:U968),$U$2:$U$1001,0),0), INDEX($AB$1004:$AQ$1004,1,MATCH(COLUMNS($AB$1006:AM1006),$AB$1006:$AQ$1006,0)))),"Fix")))</f>
        <v>0</v>
      </c>
      <c r="N968" s="4">
        <f>IF(OR(INDEX($V$2:$V$1001,MATCH(ROWS($U$2:U968),$U$2:$U$1001,0),1)&gt;=100000,INDEX($AB$1005:$AQ$1005,1,MATCH(COLUMNS($AB$1006:AN1006),$AB$1006:$AQ$1006,0))&gt;=100000), " ",IF(INDEX($AB$2:$AQ$1001,MATCH(ROWS($U$2:U968),$U$2:$U$1001,0),MATCH(COLUMNS($AB$1006:AN1006),$AB$1006:$AQ$1006,0)), HYPERLINK("#",""), HYPERLINK(CONCATENATE("#metadata!", ADDRESS(INDEX($W$2:$W$1001,MATCH(ROWS($U$2:U968),$U$2:$U$1001,0),0), INDEX($AB$1004:$AQ$1004,1,MATCH(COLUMNS($AB$1006:AN1006),$AB$1006:$AQ$1006,0)))),"Fix")))</f>
        <v>0</v>
      </c>
      <c r="O968" s="4">
        <f>IF(OR(INDEX($V$2:$V$1001,MATCH(ROWS($U$2:U968),$U$2:$U$1001,0),1)&gt;=100000,INDEX($AB$1005:$AQ$1005,1,MATCH(COLUMNS($AB$1006:AO1006),$AB$1006:$AQ$1006,0))&gt;=100000), " ",IF(INDEX($AB$2:$AQ$1001,MATCH(ROWS($U$2:U968),$U$2:$U$1001,0),MATCH(COLUMNS($AB$1006:AO1006),$AB$1006:$AQ$1006,0)), HYPERLINK("#",""), HYPERLINK(CONCATENATE("#metadata!", ADDRESS(INDEX($W$2:$W$1001,MATCH(ROWS($U$2:U968),$U$2:$U$1001,0),0), INDEX($AB$1004:$AQ$1004,1,MATCH(COLUMNS($AB$1006:AO1006),$AB$1006:$AQ$1006,0)))),"Fix")))</f>
        <v>0</v>
      </c>
      <c r="P968" s="4">
        <f>IF(OR(INDEX($V$2:$V$1001,MATCH(ROWS($U$2:U968),$U$2:$U$1001,0),1)&gt;=100000,INDEX($AB$1005:$AQ$1005,1,MATCH(COLUMNS($AB$1006:AP1006),$AB$1006:$AQ$1006,0))&gt;=100000), " ",IF(INDEX($AB$2:$AQ$1001,MATCH(ROWS($U$2:U968),$U$2:$U$1001,0),MATCH(COLUMNS($AB$1006:AP1006),$AB$1006:$AQ$1006,0)), HYPERLINK("#",""), HYPERLINK(CONCATENATE("#metadata!", ADDRESS(INDEX($W$2:$W$1001,MATCH(ROWS($U$2:U968),$U$2:$U$1001,0),0), INDEX($AB$1004:$AQ$1004,1,MATCH(COLUMNS($AB$1006:AP1006),$AB$1006:$AQ$1006,0)))),"Fix")))</f>
        <v>0</v>
      </c>
      <c r="Q968" s="4">
        <f>IF(OR(INDEX($V$2:$V$1001,MATCH(ROWS($U$2:U968),$U$2:$U$1001,0),1)&gt;=100000,INDEX($AB$1005:$AQ$1005,1,MATCH(COLUMNS($AB$1006:AQ1006),$AB$1006:$AQ$1006,0))&gt;=100000), " ",IF(INDEX($AB$2:$AQ$1001,MATCH(ROWS($U$2:U968),$U$2:$U$1001,0),MATCH(COLUMNS($AB$1006:AQ1006),$AB$1006:$AQ$1006,0)), HYPERLINK("#",""), HYPERLINK(CONCATENATE("#metadata!", ADDRESS(INDEX($W$2:$W$1001,MATCH(ROWS($U$2:U968),$U$2:$U$1001,0),0), INDEX($AB$1004:$AQ$1004,1,MATCH(COLUMNS($AB$1006:AQ1006),$AB$1006:$AQ$1006,0)))),"Fix")))</f>
        <v>0</v>
      </c>
      <c r="U968">
        <v>0</v>
      </c>
      <c r="V968">
        <v>0</v>
      </c>
      <c r="W968">
        <v>0</v>
      </c>
      <c r="X968">
        <f>IF(Y968,TRUE,AND(AB968:AQ968))</f>
        <v>0</v>
      </c>
      <c r="Y968">
        <f>COUNTBLANK(metadata!B968:Q968)=COLUMNS(metadata!B968:Q968)</f>
        <v>0</v>
      </c>
      <c r="Z968">
        <v>0</v>
      </c>
      <c r="AB968">
        <f>AND(IF(metadata!B968="",FALSE,TRUE),COUNTIF(metadata!B:B, metadata!B968) = 1,NOT(ISERROR(SUMPRODUCT(SEARCH(MID(metadata!B968,ROW(INDIRECT("1:"&amp;LEN(metadata!B968))), 1),"0123456789abcdefghijklmnopqrstuvwxyzABCDEFGHIJKLMNOPQRSTUVWXYZ.")))))</f>
        <v>0</v>
      </c>
      <c r="AC968">
        <f>OR(AND(IF(metadata!C968="",FALSE,TRUE),OR(exact(metadata!C968,"missing: not collected"),exact(metadata!C968,"missing: not provided"),exact(metadata!C968,"missing: restricted access"))),AND(IF(metadata!C968="",FALSE,TRUE),AND(AND(IFERROR(INT(LEFT(metadata!C968,4))&gt;1900,FALSE),IFERROR(INT(LEFT(metadata!C968,4))&lt;=YEAR(NOW()),FALSE)), OR(MID(metadata!C968,5,1)="", AND(AND(MID(metadata!C968,5,1)="-",IFERROR(INT(MID(metadata!C968,6,1))&gt;=0,FALSE),IFERROR(INT(MID(metadata!C968,6,1))&lt;=1,FALSE),NOT(MID(metadata!C968,7,1)=""),IFERROR(INT(MID(metadata!C968,6,2))&gt;=1,FALSE),IFERROR(INT(MID(metadata!C968,6,2))&lt;=12,FALSE)), OR(MID(metadata!C968,8,1)="", AND(AND(MID(metadata!C968,8,1)="-",IFERROR(INT(MID(metadata!C968,9,1))&gt;=0,FALSE),IFERROR(INT(MID(metadata!C968,9,1))&lt;=3,FALSE),NOT(MID(metadata!C968,10,1)=""),IFERROR(INT(MID(metadata!C968,9,2))&gt;=1,FALSE),IFERROR(INT(MID(metadata!C968,9,2))&lt;=31,FALSE)), OR(MID(metadata!C968,11,1)="", AND(AND(MID(metadata!C968,11,1)=" ",IFERROR(INT(MID(metadata!C968,12,1))&gt;=0,FALSE),IFERROR(INT(MID(metadata!C968,12,1))&lt;=2,FALSE),NOT(MID(metadata!C968,13,1)=""),IFERROR(INT(MID(metadata!C968,12,2))&gt;=0,FALSE),IFERROR(INT(MID(metadata!C968,12,2))&lt;=23,FALSE)), OR(MID(metadata!C968,14,1)="", AND(AND(MID(metadata!C968,14,1)=":",IFERROR(INT(MID(metadata!C968,15,1))&gt;=0,FALSE),IFERROR(INT(MID(metadata!C968,15,1))&lt;=5,FALSE),NOT(MID(metadata!C968,16,1)=""),IFERROR(INT(MID(metadata!C968,15,2))&gt;=0,FALSE),IFERROR(INT(MID(metadata!C968,15,2))&lt;=59,FALSE)), OR(MID(metadata!C968,17,1)="", AND(AND(MID(metadata!C968,17,1)=":",IFERROR(INT(MID(metadata!C968,18,1))&gt;=0,FALSE),IFERROR(INT(MID(metadata!C968,18,1))&lt;=5,FALSE),NOT(MID(metadata!C968,19,1)=""),IFERROR(INT(MID(metadata!C968,18,2))&gt;=0,FALSE),IFERROR(INT(MID(metadata!C968,18,2))&lt;=59,FALSE)), LEN(metadata!C968)&lt;=19)))))))))))))</f>
        <v>0</v>
      </c>
      <c r="AD968">
        <f>IF(metadata!D968="",FALSE,TRUE)</f>
        <v>0</v>
      </c>
      <c r="AE968">
        <f>OR(AND(IF(metadata!E968="",FALSE,TRUE),OR(exact(metadata!E968,"missing: not collected"),exact(metadata!E968,"missing: not provided"))),AND(IF(metadata!E968="",FALSE,TRUE),OR(exact(metadata!E968,"TRUE"),exact(metadata!E968,"FALSE"))))</f>
        <v>0</v>
      </c>
      <c r="AF968">
        <f>IF(metadata!F968="",FALSE,TRUE)</f>
        <v>0</v>
      </c>
      <c r="AG968">
        <f>IF(metadata!G968="",FALSE,TRUE)</f>
        <v>0</v>
      </c>
      <c r="AH968">
        <f>IF(metadata!H968="",FALSE,TRUE)</f>
        <v>0</v>
      </c>
      <c r="AI968">
        <f>OR(AND(IF(metadata!I968="",FALSE,TRUE),OR(exact(metadata!I968,"missing: not collected"),exact(metadata!I968,"missing: not provided"),exact(metadata!I968,"missing: restricted access"))),AND(IF(metadata!I968="",FALSE,TRUE),OR(exact(metadata!I968,"air"),exact(metadata!I968,"built environment"),exact(metadata!I968,"host-associated"),exact(metadata!I968,"human-associated"),exact(metadata!I968,"human-skin"),exact(metadata!I968,"human-oral"),exact(metadata!I968,"human-gut"),exact(metadata!I968,"human-vaginal"),exact(metadata!I968,"microbial mat/biofilm"),exact(metadata!I968,"misc environment"),exact(metadata!I968,"plant-associated"),exact(metadata!I968,"sediment"),exact(metadata!I968,"soil"),exact(metadata!I968,"wastewater/sludge"),exact(metadata!I968,"water"))))</f>
        <v>0</v>
      </c>
      <c r="AJ968">
        <f>IF(metadata!J968="",FALSE,TRUE)</f>
        <v>0</v>
      </c>
      <c r="AK968">
        <f>OR(AND(IF(metadata!K968="",FALSE,TRUE),OR(exact(metadata!K968,"missing: not collected"),exact(metadata!K968,"missing: not provided"),exact(metadata!K968,"missing: restricted access"))),AND(IF(metadata!K968="",FALSE,ISNUMBER(VALUE(metadata!K968))),metadata!K968&gt;=-90.00,metadata!K968&lt;=90.00))</f>
        <v>0</v>
      </c>
      <c r="AL968">
        <f>OR(AND(IF(metadata!L968="",FALSE,TRUE),OR(exact(metadata!L968,"missing: not collected"),exact(metadata!L968,"missing: not provided"),exact(metadata!L968,"missing: restricted access"))),AND(IF(metadata!L968="",FALSE,ISNUMBER(VALUE(metadata!L968))),metadata!L968&gt;=-180.00,metadata!L968&lt;=180.00))</f>
        <v>0</v>
      </c>
      <c r="AM968">
        <f>IF(metadata!M968="",FALSE,TRUE)</f>
        <v>0</v>
      </c>
      <c r="AN968">
        <f>OR(AND(IF(metadata!N968="",FALSE,TRUE),OR(exact(metadata!N968,"missing: not collected"),exact(metadata!N968,"missing: not provided"),exact(metadata!N968,"missing: restricted access"))),AND(IF(metadata!N968="",FALSE,TRUE),OR(exact(metadata!N968,"TRUE"),exact(metadata!N968,"FALSE"))))</f>
        <v>0</v>
      </c>
      <c r="AO968">
        <f>IF(metadata!O968="",FALSE,TRUE)</f>
        <v>0</v>
      </c>
      <c r="AP968">
        <f>OR(AND(IF(metadata!P968="",FALSE,TRUE),OR(exact(metadata!P968,"missing: not collected"),exact(metadata!P968,"missing: not provided"))),AND(IF(metadata!P968="",FALSE,IF(ISERROR(INT(metadata!P968)),FALSE,INT(metadata!P968)=metadata!P968)),metadata!P968&gt;0))</f>
        <v>0</v>
      </c>
      <c r="AQ968">
        <f>IF(metadata!Q968="",FALSE,TRUE)</f>
        <v>0</v>
      </c>
    </row>
    <row r="969" spans="1:43">
      <c r="A969" s="5">
        <f>IF(B969=" "," ",HYPERLINK(CONCATENATE("#metadata!",ADDRESS(INDEX($W$2:$W$1001,MATCH(ROWS($U$2:U969),$U$2:$U$1001,0),0),1)),INDEX($Z$2:$Z$1001,MATCH(ROWS($U$2:U969),$U$2:$U$1001,0),0)))</f>
        <v>0</v>
      </c>
      <c r="B969" s="4">
        <f>IF(OR(INDEX($V$2:$V$1001,MATCH(ROWS($U$2:U969),$U$2:$U$1001,0),1)&gt;=100000,INDEX($AB$1005:$AQ$1005,1,MATCH(COLUMNS($AB$1006:AB1006),$AB$1006:$AQ$1006,0))&gt;=100000), " ",IF(INDEX($AB$2:$AQ$1001,MATCH(ROWS($U$2:U969),$U$2:$U$1001,0),MATCH(COLUMNS($AB$1006:AB1006),$AB$1006:$AQ$1006,0)), HYPERLINK("#",""), HYPERLINK(CONCATENATE("#metadata!", ADDRESS(INDEX($W$2:$W$1001,MATCH(ROWS($U$2:U969),$U$2:$U$1001,0),0), INDEX($AB$1004:$AQ$1004,1,MATCH(COLUMNS($AB$1006:AB1006),$AB$1006:$AQ$1006,0)))),"Fix")))</f>
        <v>0</v>
      </c>
      <c r="C969" s="4">
        <f>IF(OR(INDEX($V$2:$V$1001,MATCH(ROWS($U$2:U969),$U$2:$U$1001,0),1)&gt;=100000,INDEX($AB$1005:$AQ$1005,1,MATCH(COLUMNS($AB$1006:AC1006),$AB$1006:$AQ$1006,0))&gt;=100000), " ",IF(INDEX($AB$2:$AQ$1001,MATCH(ROWS($U$2:U969),$U$2:$U$1001,0),MATCH(COLUMNS($AB$1006:AC1006),$AB$1006:$AQ$1006,0)), HYPERLINK("#",""), HYPERLINK(CONCATENATE("#metadata!", ADDRESS(INDEX($W$2:$W$1001,MATCH(ROWS($U$2:U969),$U$2:$U$1001,0),0), INDEX($AB$1004:$AQ$1004,1,MATCH(COLUMNS($AB$1006:AC1006),$AB$1006:$AQ$1006,0)))),"Fix")))</f>
        <v>0</v>
      </c>
      <c r="D969" s="4">
        <f>IF(OR(INDEX($V$2:$V$1001,MATCH(ROWS($U$2:U969),$U$2:$U$1001,0),1)&gt;=100000,INDEX($AB$1005:$AQ$1005,1,MATCH(COLUMNS($AB$1006:AD1006),$AB$1006:$AQ$1006,0))&gt;=100000), " ",IF(INDEX($AB$2:$AQ$1001,MATCH(ROWS($U$2:U969),$U$2:$U$1001,0),MATCH(COLUMNS($AB$1006:AD1006),$AB$1006:$AQ$1006,0)), HYPERLINK("#",""), HYPERLINK(CONCATENATE("#metadata!", ADDRESS(INDEX($W$2:$W$1001,MATCH(ROWS($U$2:U969),$U$2:$U$1001,0),0), INDEX($AB$1004:$AQ$1004,1,MATCH(COLUMNS($AB$1006:AD1006),$AB$1006:$AQ$1006,0)))),"Fix")))</f>
        <v>0</v>
      </c>
      <c r="E969" s="4">
        <f>IF(OR(INDEX($V$2:$V$1001,MATCH(ROWS($U$2:U969),$U$2:$U$1001,0),1)&gt;=100000,INDEX($AB$1005:$AQ$1005,1,MATCH(COLUMNS($AB$1006:AE1006),$AB$1006:$AQ$1006,0))&gt;=100000), " ",IF(INDEX($AB$2:$AQ$1001,MATCH(ROWS($U$2:U969),$U$2:$U$1001,0),MATCH(COLUMNS($AB$1006:AE1006),$AB$1006:$AQ$1006,0)), HYPERLINK("#",""), HYPERLINK(CONCATENATE("#metadata!", ADDRESS(INDEX($W$2:$W$1001,MATCH(ROWS($U$2:U969),$U$2:$U$1001,0),0), INDEX($AB$1004:$AQ$1004,1,MATCH(COLUMNS($AB$1006:AE1006),$AB$1006:$AQ$1006,0)))),"Fix")))</f>
        <v>0</v>
      </c>
      <c r="F969" s="4">
        <f>IF(OR(INDEX($V$2:$V$1001,MATCH(ROWS($U$2:U969),$U$2:$U$1001,0),1)&gt;=100000,INDEX($AB$1005:$AQ$1005,1,MATCH(COLUMNS($AB$1006:AF1006),$AB$1006:$AQ$1006,0))&gt;=100000), " ",IF(INDEX($AB$2:$AQ$1001,MATCH(ROWS($U$2:U969),$U$2:$U$1001,0),MATCH(COLUMNS($AB$1006:AF1006),$AB$1006:$AQ$1006,0)), HYPERLINK("#",""), HYPERLINK(CONCATENATE("#metadata!", ADDRESS(INDEX($W$2:$W$1001,MATCH(ROWS($U$2:U969),$U$2:$U$1001,0),0), INDEX($AB$1004:$AQ$1004,1,MATCH(COLUMNS($AB$1006:AF1006),$AB$1006:$AQ$1006,0)))),"Fix")))</f>
        <v>0</v>
      </c>
      <c r="G969" s="4">
        <f>IF(OR(INDEX($V$2:$V$1001,MATCH(ROWS($U$2:U969),$U$2:$U$1001,0),1)&gt;=100000,INDEX($AB$1005:$AQ$1005,1,MATCH(COLUMNS($AB$1006:AG1006),$AB$1006:$AQ$1006,0))&gt;=100000), " ",IF(INDEX($AB$2:$AQ$1001,MATCH(ROWS($U$2:U969),$U$2:$U$1001,0),MATCH(COLUMNS($AB$1006:AG1006),$AB$1006:$AQ$1006,0)), HYPERLINK("#",""), HYPERLINK(CONCATENATE("#metadata!", ADDRESS(INDEX($W$2:$W$1001,MATCH(ROWS($U$2:U969),$U$2:$U$1001,0),0), INDEX($AB$1004:$AQ$1004,1,MATCH(COLUMNS($AB$1006:AG1006),$AB$1006:$AQ$1006,0)))),"Fix")))</f>
        <v>0</v>
      </c>
      <c r="H969" s="4">
        <f>IF(OR(INDEX($V$2:$V$1001,MATCH(ROWS($U$2:U969),$U$2:$U$1001,0),1)&gt;=100000,INDEX($AB$1005:$AQ$1005,1,MATCH(COLUMNS($AB$1006:AH1006),$AB$1006:$AQ$1006,0))&gt;=100000), " ",IF(INDEX($AB$2:$AQ$1001,MATCH(ROWS($U$2:U969),$U$2:$U$1001,0),MATCH(COLUMNS($AB$1006:AH1006),$AB$1006:$AQ$1006,0)), HYPERLINK("#",""), HYPERLINK(CONCATENATE("#metadata!", ADDRESS(INDEX($W$2:$W$1001,MATCH(ROWS($U$2:U969),$U$2:$U$1001,0),0), INDEX($AB$1004:$AQ$1004,1,MATCH(COLUMNS($AB$1006:AH1006),$AB$1006:$AQ$1006,0)))),"Fix")))</f>
        <v>0</v>
      </c>
      <c r="I969" s="4">
        <f>IF(OR(INDEX($V$2:$V$1001,MATCH(ROWS($U$2:U969),$U$2:$U$1001,0),1)&gt;=100000,INDEX($AB$1005:$AQ$1005,1,MATCH(COLUMNS($AB$1006:AI1006),$AB$1006:$AQ$1006,0))&gt;=100000), " ",IF(INDEX($AB$2:$AQ$1001,MATCH(ROWS($U$2:U969),$U$2:$U$1001,0),MATCH(COLUMNS($AB$1006:AI1006),$AB$1006:$AQ$1006,0)), HYPERLINK("#",""), HYPERLINK(CONCATENATE("#metadata!", ADDRESS(INDEX($W$2:$W$1001,MATCH(ROWS($U$2:U969),$U$2:$U$1001,0),0), INDEX($AB$1004:$AQ$1004,1,MATCH(COLUMNS($AB$1006:AI1006),$AB$1006:$AQ$1006,0)))),"Fix")))</f>
        <v>0</v>
      </c>
      <c r="J969" s="4">
        <f>IF(OR(INDEX($V$2:$V$1001,MATCH(ROWS($U$2:U969),$U$2:$U$1001,0),1)&gt;=100000,INDEX($AB$1005:$AQ$1005,1,MATCH(COLUMNS($AB$1006:AJ1006),$AB$1006:$AQ$1006,0))&gt;=100000), " ",IF(INDEX($AB$2:$AQ$1001,MATCH(ROWS($U$2:U969),$U$2:$U$1001,0),MATCH(COLUMNS($AB$1006:AJ1006),$AB$1006:$AQ$1006,0)), HYPERLINK("#",""), HYPERLINK(CONCATENATE("#metadata!", ADDRESS(INDEX($W$2:$W$1001,MATCH(ROWS($U$2:U969),$U$2:$U$1001,0),0), INDEX($AB$1004:$AQ$1004,1,MATCH(COLUMNS($AB$1006:AJ1006),$AB$1006:$AQ$1006,0)))),"Fix")))</f>
        <v>0</v>
      </c>
      <c r="K969" s="4">
        <f>IF(OR(INDEX($V$2:$V$1001,MATCH(ROWS($U$2:U969),$U$2:$U$1001,0),1)&gt;=100000,INDEX($AB$1005:$AQ$1005,1,MATCH(COLUMNS($AB$1006:AK1006),$AB$1006:$AQ$1006,0))&gt;=100000), " ",IF(INDEX($AB$2:$AQ$1001,MATCH(ROWS($U$2:U969),$U$2:$U$1001,0),MATCH(COLUMNS($AB$1006:AK1006),$AB$1006:$AQ$1006,0)), HYPERLINK("#",""), HYPERLINK(CONCATENATE("#metadata!", ADDRESS(INDEX($W$2:$W$1001,MATCH(ROWS($U$2:U969),$U$2:$U$1001,0),0), INDEX($AB$1004:$AQ$1004,1,MATCH(COLUMNS($AB$1006:AK1006),$AB$1006:$AQ$1006,0)))),"Fix")))</f>
        <v>0</v>
      </c>
      <c r="L969" s="4">
        <f>IF(OR(INDEX($V$2:$V$1001,MATCH(ROWS($U$2:U969),$U$2:$U$1001,0),1)&gt;=100000,INDEX($AB$1005:$AQ$1005,1,MATCH(COLUMNS($AB$1006:AL1006),$AB$1006:$AQ$1006,0))&gt;=100000), " ",IF(INDEX($AB$2:$AQ$1001,MATCH(ROWS($U$2:U969),$U$2:$U$1001,0),MATCH(COLUMNS($AB$1006:AL1006),$AB$1006:$AQ$1006,0)), HYPERLINK("#",""), HYPERLINK(CONCATENATE("#metadata!", ADDRESS(INDEX($W$2:$W$1001,MATCH(ROWS($U$2:U969),$U$2:$U$1001,0),0), INDEX($AB$1004:$AQ$1004,1,MATCH(COLUMNS($AB$1006:AL1006),$AB$1006:$AQ$1006,0)))),"Fix")))</f>
        <v>0</v>
      </c>
      <c r="M969" s="4">
        <f>IF(OR(INDEX($V$2:$V$1001,MATCH(ROWS($U$2:U969),$U$2:$U$1001,0),1)&gt;=100000,INDEX($AB$1005:$AQ$1005,1,MATCH(COLUMNS($AB$1006:AM1006),$AB$1006:$AQ$1006,0))&gt;=100000), " ",IF(INDEX($AB$2:$AQ$1001,MATCH(ROWS($U$2:U969),$U$2:$U$1001,0),MATCH(COLUMNS($AB$1006:AM1006),$AB$1006:$AQ$1006,0)), HYPERLINK("#",""), HYPERLINK(CONCATENATE("#metadata!", ADDRESS(INDEX($W$2:$W$1001,MATCH(ROWS($U$2:U969),$U$2:$U$1001,0),0), INDEX($AB$1004:$AQ$1004,1,MATCH(COLUMNS($AB$1006:AM1006),$AB$1006:$AQ$1006,0)))),"Fix")))</f>
        <v>0</v>
      </c>
      <c r="N969" s="4">
        <f>IF(OR(INDEX($V$2:$V$1001,MATCH(ROWS($U$2:U969),$U$2:$U$1001,0),1)&gt;=100000,INDEX($AB$1005:$AQ$1005,1,MATCH(COLUMNS($AB$1006:AN1006),$AB$1006:$AQ$1006,0))&gt;=100000), " ",IF(INDEX($AB$2:$AQ$1001,MATCH(ROWS($U$2:U969),$U$2:$U$1001,0),MATCH(COLUMNS($AB$1006:AN1006),$AB$1006:$AQ$1006,0)), HYPERLINK("#",""), HYPERLINK(CONCATENATE("#metadata!", ADDRESS(INDEX($W$2:$W$1001,MATCH(ROWS($U$2:U969),$U$2:$U$1001,0),0), INDEX($AB$1004:$AQ$1004,1,MATCH(COLUMNS($AB$1006:AN1006),$AB$1006:$AQ$1006,0)))),"Fix")))</f>
        <v>0</v>
      </c>
      <c r="O969" s="4">
        <f>IF(OR(INDEX($V$2:$V$1001,MATCH(ROWS($U$2:U969),$U$2:$U$1001,0),1)&gt;=100000,INDEX($AB$1005:$AQ$1005,1,MATCH(COLUMNS($AB$1006:AO1006),$AB$1006:$AQ$1006,0))&gt;=100000), " ",IF(INDEX($AB$2:$AQ$1001,MATCH(ROWS($U$2:U969),$U$2:$U$1001,0),MATCH(COLUMNS($AB$1006:AO1006),$AB$1006:$AQ$1006,0)), HYPERLINK("#",""), HYPERLINK(CONCATENATE("#metadata!", ADDRESS(INDEX($W$2:$W$1001,MATCH(ROWS($U$2:U969),$U$2:$U$1001,0),0), INDEX($AB$1004:$AQ$1004,1,MATCH(COLUMNS($AB$1006:AO1006),$AB$1006:$AQ$1006,0)))),"Fix")))</f>
        <v>0</v>
      </c>
      <c r="P969" s="4">
        <f>IF(OR(INDEX($V$2:$V$1001,MATCH(ROWS($U$2:U969),$U$2:$U$1001,0),1)&gt;=100000,INDEX($AB$1005:$AQ$1005,1,MATCH(COLUMNS($AB$1006:AP1006),$AB$1006:$AQ$1006,0))&gt;=100000), " ",IF(INDEX($AB$2:$AQ$1001,MATCH(ROWS($U$2:U969),$U$2:$U$1001,0),MATCH(COLUMNS($AB$1006:AP1006),$AB$1006:$AQ$1006,0)), HYPERLINK("#",""), HYPERLINK(CONCATENATE("#metadata!", ADDRESS(INDEX($W$2:$W$1001,MATCH(ROWS($U$2:U969),$U$2:$U$1001,0),0), INDEX($AB$1004:$AQ$1004,1,MATCH(COLUMNS($AB$1006:AP1006),$AB$1006:$AQ$1006,0)))),"Fix")))</f>
        <v>0</v>
      </c>
      <c r="Q969" s="4">
        <f>IF(OR(INDEX($V$2:$V$1001,MATCH(ROWS($U$2:U969),$U$2:$U$1001,0),1)&gt;=100000,INDEX($AB$1005:$AQ$1005,1,MATCH(COLUMNS($AB$1006:AQ1006),$AB$1006:$AQ$1006,0))&gt;=100000), " ",IF(INDEX($AB$2:$AQ$1001,MATCH(ROWS($U$2:U969),$U$2:$U$1001,0),MATCH(COLUMNS($AB$1006:AQ1006),$AB$1006:$AQ$1006,0)), HYPERLINK("#",""), HYPERLINK(CONCATENATE("#metadata!", ADDRESS(INDEX($W$2:$W$1001,MATCH(ROWS($U$2:U969),$U$2:$U$1001,0),0), INDEX($AB$1004:$AQ$1004,1,MATCH(COLUMNS($AB$1006:AQ1006),$AB$1006:$AQ$1006,0)))),"Fix")))</f>
        <v>0</v>
      </c>
      <c r="U969">
        <v>0</v>
      </c>
      <c r="V969">
        <v>0</v>
      </c>
      <c r="W969">
        <v>0</v>
      </c>
      <c r="X969">
        <f>IF(Y969,TRUE,AND(AB969:AQ969))</f>
        <v>0</v>
      </c>
      <c r="Y969">
        <f>COUNTBLANK(metadata!B969:Q969)=COLUMNS(metadata!B969:Q969)</f>
        <v>0</v>
      </c>
      <c r="Z969">
        <v>0</v>
      </c>
      <c r="AB969">
        <f>AND(IF(metadata!B969="",FALSE,TRUE),COUNTIF(metadata!B:B, metadata!B969) = 1,NOT(ISERROR(SUMPRODUCT(SEARCH(MID(metadata!B969,ROW(INDIRECT("1:"&amp;LEN(metadata!B969))), 1),"0123456789abcdefghijklmnopqrstuvwxyzABCDEFGHIJKLMNOPQRSTUVWXYZ.")))))</f>
        <v>0</v>
      </c>
      <c r="AC969">
        <f>OR(AND(IF(metadata!C969="",FALSE,TRUE),OR(exact(metadata!C969,"missing: not collected"),exact(metadata!C969,"missing: not provided"),exact(metadata!C969,"missing: restricted access"))),AND(IF(metadata!C969="",FALSE,TRUE),AND(AND(IFERROR(INT(LEFT(metadata!C969,4))&gt;1900,FALSE),IFERROR(INT(LEFT(metadata!C969,4))&lt;=YEAR(NOW()),FALSE)), OR(MID(metadata!C969,5,1)="", AND(AND(MID(metadata!C969,5,1)="-",IFERROR(INT(MID(metadata!C969,6,1))&gt;=0,FALSE),IFERROR(INT(MID(metadata!C969,6,1))&lt;=1,FALSE),NOT(MID(metadata!C969,7,1)=""),IFERROR(INT(MID(metadata!C969,6,2))&gt;=1,FALSE),IFERROR(INT(MID(metadata!C969,6,2))&lt;=12,FALSE)), OR(MID(metadata!C969,8,1)="", AND(AND(MID(metadata!C969,8,1)="-",IFERROR(INT(MID(metadata!C969,9,1))&gt;=0,FALSE),IFERROR(INT(MID(metadata!C969,9,1))&lt;=3,FALSE),NOT(MID(metadata!C969,10,1)=""),IFERROR(INT(MID(metadata!C969,9,2))&gt;=1,FALSE),IFERROR(INT(MID(metadata!C969,9,2))&lt;=31,FALSE)), OR(MID(metadata!C969,11,1)="", AND(AND(MID(metadata!C969,11,1)=" ",IFERROR(INT(MID(metadata!C969,12,1))&gt;=0,FALSE),IFERROR(INT(MID(metadata!C969,12,1))&lt;=2,FALSE),NOT(MID(metadata!C969,13,1)=""),IFERROR(INT(MID(metadata!C969,12,2))&gt;=0,FALSE),IFERROR(INT(MID(metadata!C969,12,2))&lt;=23,FALSE)), OR(MID(metadata!C969,14,1)="", AND(AND(MID(metadata!C969,14,1)=":",IFERROR(INT(MID(metadata!C969,15,1))&gt;=0,FALSE),IFERROR(INT(MID(metadata!C969,15,1))&lt;=5,FALSE),NOT(MID(metadata!C969,16,1)=""),IFERROR(INT(MID(metadata!C969,15,2))&gt;=0,FALSE),IFERROR(INT(MID(metadata!C969,15,2))&lt;=59,FALSE)), OR(MID(metadata!C969,17,1)="", AND(AND(MID(metadata!C969,17,1)=":",IFERROR(INT(MID(metadata!C969,18,1))&gt;=0,FALSE),IFERROR(INT(MID(metadata!C969,18,1))&lt;=5,FALSE),NOT(MID(metadata!C969,19,1)=""),IFERROR(INT(MID(metadata!C969,18,2))&gt;=0,FALSE),IFERROR(INT(MID(metadata!C969,18,2))&lt;=59,FALSE)), LEN(metadata!C969)&lt;=19)))))))))))))</f>
        <v>0</v>
      </c>
      <c r="AD969">
        <f>IF(metadata!D969="",FALSE,TRUE)</f>
        <v>0</v>
      </c>
      <c r="AE969">
        <f>OR(AND(IF(metadata!E969="",FALSE,TRUE),OR(exact(metadata!E969,"missing: not collected"),exact(metadata!E969,"missing: not provided"))),AND(IF(metadata!E969="",FALSE,TRUE),OR(exact(metadata!E969,"TRUE"),exact(metadata!E969,"FALSE"))))</f>
        <v>0</v>
      </c>
      <c r="AF969">
        <f>IF(metadata!F969="",FALSE,TRUE)</f>
        <v>0</v>
      </c>
      <c r="AG969">
        <f>IF(metadata!G969="",FALSE,TRUE)</f>
        <v>0</v>
      </c>
      <c r="AH969">
        <f>IF(metadata!H969="",FALSE,TRUE)</f>
        <v>0</v>
      </c>
      <c r="AI969">
        <f>OR(AND(IF(metadata!I969="",FALSE,TRUE),OR(exact(metadata!I969,"missing: not collected"),exact(metadata!I969,"missing: not provided"),exact(metadata!I969,"missing: restricted access"))),AND(IF(metadata!I969="",FALSE,TRUE),OR(exact(metadata!I969,"air"),exact(metadata!I969,"built environment"),exact(metadata!I969,"host-associated"),exact(metadata!I969,"human-associated"),exact(metadata!I969,"human-skin"),exact(metadata!I969,"human-oral"),exact(metadata!I969,"human-gut"),exact(metadata!I969,"human-vaginal"),exact(metadata!I969,"microbial mat/biofilm"),exact(metadata!I969,"misc environment"),exact(metadata!I969,"plant-associated"),exact(metadata!I969,"sediment"),exact(metadata!I969,"soil"),exact(metadata!I969,"wastewater/sludge"),exact(metadata!I969,"water"))))</f>
        <v>0</v>
      </c>
      <c r="AJ969">
        <f>IF(metadata!J969="",FALSE,TRUE)</f>
        <v>0</v>
      </c>
      <c r="AK969">
        <f>OR(AND(IF(metadata!K969="",FALSE,TRUE),OR(exact(metadata!K969,"missing: not collected"),exact(metadata!K969,"missing: not provided"),exact(metadata!K969,"missing: restricted access"))),AND(IF(metadata!K969="",FALSE,ISNUMBER(VALUE(metadata!K969))),metadata!K969&gt;=-90.00,metadata!K969&lt;=90.00))</f>
        <v>0</v>
      </c>
      <c r="AL969">
        <f>OR(AND(IF(metadata!L969="",FALSE,TRUE),OR(exact(metadata!L969,"missing: not collected"),exact(metadata!L969,"missing: not provided"),exact(metadata!L969,"missing: restricted access"))),AND(IF(metadata!L969="",FALSE,ISNUMBER(VALUE(metadata!L969))),metadata!L969&gt;=-180.00,metadata!L969&lt;=180.00))</f>
        <v>0</v>
      </c>
      <c r="AM969">
        <f>IF(metadata!M969="",FALSE,TRUE)</f>
        <v>0</v>
      </c>
      <c r="AN969">
        <f>OR(AND(IF(metadata!N969="",FALSE,TRUE),OR(exact(metadata!N969,"missing: not collected"),exact(metadata!N969,"missing: not provided"),exact(metadata!N969,"missing: restricted access"))),AND(IF(metadata!N969="",FALSE,TRUE),OR(exact(metadata!N969,"TRUE"),exact(metadata!N969,"FALSE"))))</f>
        <v>0</v>
      </c>
      <c r="AO969">
        <f>IF(metadata!O969="",FALSE,TRUE)</f>
        <v>0</v>
      </c>
      <c r="AP969">
        <f>OR(AND(IF(metadata!P969="",FALSE,TRUE),OR(exact(metadata!P969,"missing: not collected"),exact(metadata!P969,"missing: not provided"))),AND(IF(metadata!P969="",FALSE,IF(ISERROR(INT(metadata!P969)),FALSE,INT(metadata!P969)=metadata!P969)),metadata!P969&gt;0))</f>
        <v>0</v>
      </c>
      <c r="AQ969">
        <f>IF(metadata!Q969="",FALSE,TRUE)</f>
        <v>0</v>
      </c>
    </row>
    <row r="970" spans="1:43">
      <c r="A970" s="5">
        <f>IF(B970=" "," ",HYPERLINK(CONCATENATE("#metadata!",ADDRESS(INDEX($W$2:$W$1001,MATCH(ROWS($U$2:U970),$U$2:$U$1001,0),0),1)),INDEX($Z$2:$Z$1001,MATCH(ROWS($U$2:U970),$U$2:$U$1001,0),0)))</f>
        <v>0</v>
      </c>
      <c r="B970" s="4">
        <f>IF(OR(INDEX($V$2:$V$1001,MATCH(ROWS($U$2:U970),$U$2:$U$1001,0),1)&gt;=100000,INDEX($AB$1005:$AQ$1005,1,MATCH(COLUMNS($AB$1006:AB1006),$AB$1006:$AQ$1006,0))&gt;=100000), " ",IF(INDEX($AB$2:$AQ$1001,MATCH(ROWS($U$2:U970),$U$2:$U$1001,0),MATCH(COLUMNS($AB$1006:AB1006),$AB$1006:$AQ$1006,0)), HYPERLINK("#",""), HYPERLINK(CONCATENATE("#metadata!", ADDRESS(INDEX($W$2:$W$1001,MATCH(ROWS($U$2:U970),$U$2:$U$1001,0),0), INDEX($AB$1004:$AQ$1004,1,MATCH(COLUMNS($AB$1006:AB1006),$AB$1006:$AQ$1006,0)))),"Fix")))</f>
        <v>0</v>
      </c>
      <c r="C970" s="4">
        <f>IF(OR(INDEX($V$2:$V$1001,MATCH(ROWS($U$2:U970),$U$2:$U$1001,0),1)&gt;=100000,INDEX($AB$1005:$AQ$1005,1,MATCH(COLUMNS($AB$1006:AC1006),$AB$1006:$AQ$1006,0))&gt;=100000), " ",IF(INDEX($AB$2:$AQ$1001,MATCH(ROWS($U$2:U970),$U$2:$U$1001,0),MATCH(COLUMNS($AB$1006:AC1006),$AB$1006:$AQ$1006,0)), HYPERLINK("#",""), HYPERLINK(CONCATENATE("#metadata!", ADDRESS(INDEX($W$2:$W$1001,MATCH(ROWS($U$2:U970),$U$2:$U$1001,0),0), INDEX($AB$1004:$AQ$1004,1,MATCH(COLUMNS($AB$1006:AC1006),$AB$1006:$AQ$1006,0)))),"Fix")))</f>
        <v>0</v>
      </c>
      <c r="D970" s="4">
        <f>IF(OR(INDEX($V$2:$V$1001,MATCH(ROWS($U$2:U970),$U$2:$U$1001,0),1)&gt;=100000,INDEX($AB$1005:$AQ$1005,1,MATCH(COLUMNS($AB$1006:AD1006),$AB$1006:$AQ$1006,0))&gt;=100000), " ",IF(INDEX($AB$2:$AQ$1001,MATCH(ROWS($U$2:U970),$U$2:$U$1001,0),MATCH(COLUMNS($AB$1006:AD1006),$AB$1006:$AQ$1006,0)), HYPERLINK("#",""), HYPERLINK(CONCATENATE("#metadata!", ADDRESS(INDEX($W$2:$W$1001,MATCH(ROWS($U$2:U970),$U$2:$U$1001,0),0), INDEX($AB$1004:$AQ$1004,1,MATCH(COLUMNS($AB$1006:AD1006),$AB$1006:$AQ$1006,0)))),"Fix")))</f>
        <v>0</v>
      </c>
      <c r="E970" s="4">
        <f>IF(OR(INDEX($V$2:$V$1001,MATCH(ROWS($U$2:U970),$U$2:$U$1001,0),1)&gt;=100000,INDEX($AB$1005:$AQ$1005,1,MATCH(COLUMNS($AB$1006:AE1006),$AB$1006:$AQ$1006,0))&gt;=100000), " ",IF(INDEX($AB$2:$AQ$1001,MATCH(ROWS($U$2:U970),$U$2:$U$1001,0),MATCH(COLUMNS($AB$1006:AE1006),$AB$1006:$AQ$1006,0)), HYPERLINK("#",""), HYPERLINK(CONCATENATE("#metadata!", ADDRESS(INDEX($W$2:$W$1001,MATCH(ROWS($U$2:U970),$U$2:$U$1001,0),0), INDEX($AB$1004:$AQ$1004,1,MATCH(COLUMNS($AB$1006:AE1006),$AB$1006:$AQ$1006,0)))),"Fix")))</f>
        <v>0</v>
      </c>
      <c r="F970" s="4">
        <f>IF(OR(INDEX($V$2:$V$1001,MATCH(ROWS($U$2:U970),$U$2:$U$1001,0),1)&gt;=100000,INDEX($AB$1005:$AQ$1005,1,MATCH(COLUMNS($AB$1006:AF1006),$AB$1006:$AQ$1006,0))&gt;=100000), " ",IF(INDEX($AB$2:$AQ$1001,MATCH(ROWS($U$2:U970),$U$2:$U$1001,0),MATCH(COLUMNS($AB$1006:AF1006),$AB$1006:$AQ$1006,0)), HYPERLINK("#",""), HYPERLINK(CONCATENATE("#metadata!", ADDRESS(INDEX($W$2:$W$1001,MATCH(ROWS($U$2:U970),$U$2:$U$1001,0),0), INDEX($AB$1004:$AQ$1004,1,MATCH(COLUMNS($AB$1006:AF1006),$AB$1006:$AQ$1006,0)))),"Fix")))</f>
        <v>0</v>
      </c>
      <c r="G970" s="4">
        <f>IF(OR(INDEX($V$2:$V$1001,MATCH(ROWS($U$2:U970),$U$2:$U$1001,0),1)&gt;=100000,INDEX($AB$1005:$AQ$1005,1,MATCH(COLUMNS($AB$1006:AG1006),$AB$1006:$AQ$1006,0))&gt;=100000), " ",IF(INDEX($AB$2:$AQ$1001,MATCH(ROWS($U$2:U970),$U$2:$U$1001,0),MATCH(COLUMNS($AB$1006:AG1006),$AB$1006:$AQ$1006,0)), HYPERLINK("#",""), HYPERLINK(CONCATENATE("#metadata!", ADDRESS(INDEX($W$2:$W$1001,MATCH(ROWS($U$2:U970),$U$2:$U$1001,0),0), INDEX($AB$1004:$AQ$1004,1,MATCH(COLUMNS($AB$1006:AG1006),$AB$1006:$AQ$1006,0)))),"Fix")))</f>
        <v>0</v>
      </c>
      <c r="H970" s="4">
        <f>IF(OR(INDEX($V$2:$V$1001,MATCH(ROWS($U$2:U970),$U$2:$U$1001,0),1)&gt;=100000,INDEX($AB$1005:$AQ$1005,1,MATCH(COLUMNS($AB$1006:AH1006),$AB$1006:$AQ$1006,0))&gt;=100000), " ",IF(INDEX($AB$2:$AQ$1001,MATCH(ROWS($U$2:U970),$U$2:$U$1001,0),MATCH(COLUMNS($AB$1006:AH1006),$AB$1006:$AQ$1006,0)), HYPERLINK("#",""), HYPERLINK(CONCATENATE("#metadata!", ADDRESS(INDEX($W$2:$W$1001,MATCH(ROWS($U$2:U970),$U$2:$U$1001,0),0), INDEX($AB$1004:$AQ$1004,1,MATCH(COLUMNS($AB$1006:AH1006),$AB$1006:$AQ$1006,0)))),"Fix")))</f>
        <v>0</v>
      </c>
      <c r="I970" s="4">
        <f>IF(OR(INDEX($V$2:$V$1001,MATCH(ROWS($U$2:U970),$U$2:$U$1001,0),1)&gt;=100000,INDEX($AB$1005:$AQ$1005,1,MATCH(COLUMNS($AB$1006:AI1006),$AB$1006:$AQ$1006,0))&gt;=100000), " ",IF(INDEX($AB$2:$AQ$1001,MATCH(ROWS($U$2:U970),$U$2:$U$1001,0),MATCH(COLUMNS($AB$1006:AI1006),$AB$1006:$AQ$1006,0)), HYPERLINK("#",""), HYPERLINK(CONCATENATE("#metadata!", ADDRESS(INDEX($W$2:$W$1001,MATCH(ROWS($U$2:U970),$U$2:$U$1001,0),0), INDEX($AB$1004:$AQ$1004,1,MATCH(COLUMNS($AB$1006:AI1006),$AB$1006:$AQ$1006,0)))),"Fix")))</f>
        <v>0</v>
      </c>
      <c r="J970" s="4">
        <f>IF(OR(INDEX($V$2:$V$1001,MATCH(ROWS($U$2:U970),$U$2:$U$1001,0),1)&gt;=100000,INDEX($AB$1005:$AQ$1005,1,MATCH(COLUMNS($AB$1006:AJ1006),$AB$1006:$AQ$1006,0))&gt;=100000), " ",IF(INDEX($AB$2:$AQ$1001,MATCH(ROWS($U$2:U970),$U$2:$U$1001,0),MATCH(COLUMNS($AB$1006:AJ1006),$AB$1006:$AQ$1006,0)), HYPERLINK("#",""), HYPERLINK(CONCATENATE("#metadata!", ADDRESS(INDEX($W$2:$W$1001,MATCH(ROWS($U$2:U970),$U$2:$U$1001,0),0), INDEX($AB$1004:$AQ$1004,1,MATCH(COLUMNS($AB$1006:AJ1006),$AB$1006:$AQ$1006,0)))),"Fix")))</f>
        <v>0</v>
      </c>
      <c r="K970" s="4">
        <f>IF(OR(INDEX($V$2:$V$1001,MATCH(ROWS($U$2:U970),$U$2:$U$1001,0),1)&gt;=100000,INDEX($AB$1005:$AQ$1005,1,MATCH(COLUMNS($AB$1006:AK1006),$AB$1006:$AQ$1006,0))&gt;=100000), " ",IF(INDEX($AB$2:$AQ$1001,MATCH(ROWS($U$2:U970),$U$2:$U$1001,0),MATCH(COLUMNS($AB$1006:AK1006),$AB$1006:$AQ$1006,0)), HYPERLINK("#",""), HYPERLINK(CONCATENATE("#metadata!", ADDRESS(INDEX($W$2:$W$1001,MATCH(ROWS($U$2:U970),$U$2:$U$1001,0),0), INDEX($AB$1004:$AQ$1004,1,MATCH(COLUMNS($AB$1006:AK1006),$AB$1006:$AQ$1006,0)))),"Fix")))</f>
        <v>0</v>
      </c>
      <c r="L970" s="4">
        <f>IF(OR(INDEX($V$2:$V$1001,MATCH(ROWS($U$2:U970),$U$2:$U$1001,0),1)&gt;=100000,INDEX($AB$1005:$AQ$1005,1,MATCH(COLUMNS($AB$1006:AL1006),$AB$1006:$AQ$1006,0))&gt;=100000), " ",IF(INDEX($AB$2:$AQ$1001,MATCH(ROWS($U$2:U970),$U$2:$U$1001,0),MATCH(COLUMNS($AB$1006:AL1006),$AB$1006:$AQ$1006,0)), HYPERLINK("#",""), HYPERLINK(CONCATENATE("#metadata!", ADDRESS(INDEX($W$2:$W$1001,MATCH(ROWS($U$2:U970),$U$2:$U$1001,0),0), INDEX($AB$1004:$AQ$1004,1,MATCH(COLUMNS($AB$1006:AL1006),$AB$1006:$AQ$1006,0)))),"Fix")))</f>
        <v>0</v>
      </c>
      <c r="M970" s="4">
        <f>IF(OR(INDEX($V$2:$V$1001,MATCH(ROWS($U$2:U970),$U$2:$U$1001,0),1)&gt;=100000,INDEX($AB$1005:$AQ$1005,1,MATCH(COLUMNS($AB$1006:AM1006),$AB$1006:$AQ$1006,0))&gt;=100000), " ",IF(INDEX($AB$2:$AQ$1001,MATCH(ROWS($U$2:U970),$U$2:$U$1001,0),MATCH(COLUMNS($AB$1006:AM1006),$AB$1006:$AQ$1006,0)), HYPERLINK("#",""), HYPERLINK(CONCATENATE("#metadata!", ADDRESS(INDEX($W$2:$W$1001,MATCH(ROWS($U$2:U970),$U$2:$U$1001,0),0), INDEX($AB$1004:$AQ$1004,1,MATCH(COLUMNS($AB$1006:AM1006),$AB$1006:$AQ$1006,0)))),"Fix")))</f>
        <v>0</v>
      </c>
      <c r="N970" s="4">
        <f>IF(OR(INDEX($V$2:$V$1001,MATCH(ROWS($U$2:U970),$U$2:$U$1001,0),1)&gt;=100000,INDEX($AB$1005:$AQ$1005,1,MATCH(COLUMNS($AB$1006:AN1006),$AB$1006:$AQ$1006,0))&gt;=100000), " ",IF(INDEX($AB$2:$AQ$1001,MATCH(ROWS($U$2:U970),$U$2:$U$1001,0),MATCH(COLUMNS($AB$1006:AN1006),$AB$1006:$AQ$1006,0)), HYPERLINK("#",""), HYPERLINK(CONCATENATE("#metadata!", ADDRESS(INDEX($W$2:$W$1001,MATCH(ROWS($U$2:U970),$U$2:$U$1001,0),0), INDEX($AB$1004:$AQ$1004,1,MATCH(COLUMNS($AB$1006:AN1006),$AB$1006:$AQ$1006,0)))),"Fix")))</f>
        <v>0</v>
      </c>
      <c r="O970" s="4">
        <f>IF(OR(INDEX($V$2:$V$1001,MATCH(ROWS($U$2:U970),$U$2:$U$1001,0),1)&gt;=100000,INDEX($AB$1005:$AQ$1005,1,MATCH(COLUMNS($AB$1006:AO1006),$AB$1006:$AQ$1006,0))&gt;=100000), " ",IF(INDEX($AB$2:$AQ$1001,MATCH(ROWS($U$2:U970),$U$2:$U$1001,0),MATCH(COLUMNS($AB$1006:AO1006),$AB$1006:$AQ$1006,0)), HYPERLINK("#",""), HYPERLINK(CONCATENATE("#metadata!", ADDRESS(INDEX($W$2:$W$1001,MATCH(ROWS($U$2:U970),$U$2:$U$1001,0),0), INDEX($AB$1004:$AQ$1004,1,MATCH(COLUMNS($AB$1006:AO1006),$AB$1006:$AQ$1006,0)))),"Fix")))</f>
        <v>0</v>
      </c>
      <c r="P970" s="4">
        <f>IF(OR(INDEX($V$2:$V$1001,MATCH(ROWS($U$2:U970),$U$2:$U$1001,0),1)&gt;=100000,INDEX($AB$1005:$AQ$1005,1,MATCH(COLUMNS($AB$1006:AP1006),$AB$1006:$AQ$1006,0))&gt;=100000), " ",IF(INDEX($AB$2:$AQ$1001,MATCH(ROWS($U$2:U970),$U$2:$U$1001,0),MATCH(COLUMNS($AB$1006:AP1006),$AB$1006:$AQ$1006,0)), HYPERLINK("#",""), HYPERLINK(CONCATENATE("#metadata!", ADDRESS(INDEX($W$2:$W$1001,MATCH(ROWS($U$2:U970),$U$2:$U$1001,0),0), INDEX($AB$1004:$AQ$1004,1,MATCH(COLUMNS($AB$1006:AP1006),$AB$1006:$AQ$1006,0)))),"Fix")))</f>
        <v>0</v>
      </c>
      <c r="Q970" s="4">
        <f>IF(OR(INDEX($V$2:$V$1001,MATCH(ROWS($U$2:U970),$U$2:$U$1001,0),1)&gt;=100000,INDEX($AB$1005:$AQ$1005,1,MATCH(COLUMNS($AB$1006:AQ1006),$AB$1006:$AQ$1006,0))&gt;=100000), " ",IF(INDEX($AB$2:$AQ$1001,MATCH(ROWS($U$2:U970),$U$2:$U$1001,0),MATCH(COLUMNS($AB$1006:AQ1006),$AB$1006:$AQ$1006,0)), HYPERLINK("#",""), HYPERLINK(CONCATENATE("#metadata!", ADDRESS(INDEX($W$2:$W$1001,MATCH(ROWS($U$2:U970),$U$2:$U$1001,0),0), INDEX($AB$1004:$AQ$1004,1,MATCH(COLUMNS($AB$1006:AQ1006),$AB$1006:$AQ$1006,0)))),"Fix")))</f>
        <v>0</v>
      </c>
      <c r="U970">
        <v>0</v>
      </c>
      <c r="V970">
        <v>0</v>
      </c>
      <c r="W970">
        <v>0</v>
      </c>
      <c r="X970">
        <f>IF(Y970,TRUE,AND(AB970:AQ970))</f>
        <v>0</v>
      </c>
      <c r="Y970">
        <f>COUNTBLANK(metadata!B970:Q970)=COLUMNS(metadata!B970:Q970)</f>
        <v>0</v>
      </c>
      <c r="Z970">
        <v>0</v>
      </c>
      <c r="AB970">
        <f>AND(IF(metadata!B970="",FALSE,TRUE),COUNTIF(metadata!B:B, metadata!B970) = 1,NOT(ISERROR(SUMPRODUCT(SEARCH(MID(metadata!B970,ROW(INDIRECT("1:"&amp;LEN(metadata!B970))), 1),"0123456789abcdefghijklmnopqrstuvwxyzABCDEFGHIJKLMNOPQRSTUVWXYZ.")))))</f>
        <v>0</v>
      </c>
      <c r="AC970">
        <f>OR(AND(IF(metadata!C970="",FALSE,TRUE),OR(exact(metadata!C970,"missing: not collected"),exact(metadata!C970,"missing: not provided"),exact(metadata!C970,"missing: restricted access"))),AND(IF(metadata!C970="",FALSE,TRUE),AND(AND(IFERROR(INT(LEFT(metadata!C970,4))&gt;1900,FALSE),IFERROR(INT(LEFT(metadata!C970,4))&lt;=YEAR(NOW()),FALSE)), OR(MID(metadata!C970,5,1)="", AND(AND(MID(metadata!C970,5,1)="-",IFERROR(INT(MID(metadata!C970,6,1))&gt;=0,FALSE),IFERROR(INT(MID(metadata!C970,6,1))&lt;=1,FALSE),NOT(MID(metadata!C970,7,1)=""),IFERROR(INT(MID(metadata!C970,6,2))&gt;=1,FALSE),IFERROR(INT(MID(metadata!C970,6,2))&lt;=12,FALSE)), OR(MID(metadata!C970,8,1)="", AND(AND(MID(metadata!C970,8,1)="-",IFERROR(INT(MID(metadata!C970,9,1))&gt;=0,FALSE),IFERROR(INT(MID(metadata!C970,9,1))&lt;=3,FALSE),NOT(MID(metadata!C970,10,1)=""),IFERROR(INT(MID(metadata!C970,9,2))&gt;=1,FALSE),IFERROR(INT(MID(metadata!C970,9,2))&lt;=31,FALSE)), OR(MID(metadata!C970,11,1)="", AND(AND(MID(metadata!C970,11,1)=" ",IFERROR(INT(MID(metadata!C970,12,1))&gt;=0,FALSE),IFERROR(INT(MID(metadata!C970,12,1))&lt;=2,FALSE),NOT(MID(metadata!C970,13,1)=""),IFERROR(INT(MID(metadata!C970,12,2))&gt;=0,FALSE),IFERROR(INT(MID(metadata!C970,12,2))&lt;=23,FALSE)), OR(MID(metadata!C970,14,1)="", AND(AND(MID(metadata!C970,14,1)=":",IFERROR(INT(MID(metadata!C970,15,1))&gt;=0,FALSE),IFERROR(INT(MID(metadata!C970,15,1))&lt;=5,FALSE),NOT(MID(metadata!C970,16,1)=""),IFERROR(INT(MID(metadata!C970,15,2))&gt;=0,FALSE),IFERROR(INT(MID(metadata!C970,15,2))&lt;=59,FALSE)), OR(MID(metadata!C970,17,1)="", AND(AND(MID(metadata!C970,17,1)=":",IFERROR(INT(MID(metadata!C970,18,1))&gt;=0,FALSE),IFERROR(INT(MID(metadata!C970,18,1))&lt;=5,FALSE),NOT(MID(metadata!C970,19,1)=""),IFERROR(INT(MID(metadata!C970,18,2))&gt;=0,FALSE),IFERROR(INT(MID(metadata!C970,18,2))&lt;=59,FALSE)), LEN(metadata!C970)&lt;=19)))))))))))))</f>
        <v>0</v>
      </c>
      <c r="AD970">
        <f>IF(metadata!D970="",FALSE,TRUE)</f>
        <v>0</v>
      </c>
      <c r="AE970">
        <f>OR(AND(IF(metadata!E970="",FALSE,TRUE),OR(exact(metadata!E970,"missing: not collected"),exact(metadata!E970,"missing: not provided"))),AND(IF(metadata!E970="",FALSE,TRUE),OR(exact(metadata!E970,"TRUE"),exact(metadata!E970,"FALSE"))))</f>
        <v>0</v>
      </c>
      <c r="AF970">
        <f>IF(metadata!F970="",FALSE,TRUE)</f>
        <v>0</v>
      </c>
      <c r="AG970">
        <f>IF(metadata!G970="",FALSE,TRUE)</f>
        <v>0</v>
      </c>
      <c r="AH970">
        <f>IF(metadata!H970="",FALSE,TRUE)</f>
        <v>0</v>
      </c>
      <c r="AI970">
        <f>OR(AND(IF(metadata!I970="",FALSE,TRUE),OR(exact(metadata!I970,"missing: not collected"),exact(metadata!I970,"missing: not provided"),exact(metadata!I970,"missing: restricted access"))),AND(IF(metadata!I970="",FALSE,TRUE),OR(exact(metadata!I970,"air"),exact(metadata!I970,"built environment"),exact(metadata!I970,"host-associated"),exact(metadata!I970,"human-associated"),exact(metadata!I970,"human-skin"),exact(metadata!I970,"human-oral"),exact(metadata!I970,"human-gut"),exact(metadata!I970,"human-vaginal"),exact(metadata!I970,"microbial mat/biofilm"),exact(metadata!I970,"misc environment"),exact(metadata!I970,"plant-associated"),exact(metadata!I970,"sediment"),exact(metadata!I970,"soil"),exact(metadata!I970,"wastewater/sludge"),exact(metadata!I970,"water"))))</f>
        <v>0</v>
      </c>
      <c r="AJ970">
        <f>IF(metadata!J970="",FALSE,TRUE)</f>
        <v>0</v>
      </c>
      <c r="AK970">
        <f>OR(AND(IF(metadata!K970="",FALSE,TRUE),OR(exact(metadata!K970,"missing: not collected"),exact(metadata!K970,"missing: not provided"),exact(metadata!K970,"missing: restricted access"))),AND(IF(metadata!K970="",FALSE,ISNUMBER(VALUE(metadata!K970))),metadata!K970&gt;=-90.00,metadata!K970&lt;=90.00))</f>
        <v>0</v>
      </c>
      <c r="AL970">
        <f>OR(AND(IF(metadata!L970="",FALSE,TRUE),OR(exact(metadata!L970,"missing: not collected"),exact(metadata!L970,"missing: not provided"),exact(metadata!L970,"missing: restricted access"))),AND(IF(metadata!L970="",FALSE,ISNUMBER(VALUE(metadata!L970))),metadata!L970&gt;=-180.00,metadata!L970&lt;=180.00))</f>
        <v>0</v>
      </c>
      <c r="AM970">
        <f>IF(metadata!M970="",FALSE,TRUE)</f>
        <v>0</v>
      </c>
      <c r="AN970">
        <f>OR(AND(IF(metadata!N970="",FALSE,TRUE),OR(exact(metadata!N970,"missing: not collected"),exact(metadata!N970,"missing: not provided"),exact(metadata!N970,"missing: restricted access"))),AND(IF(metadata!N970="",FALSE,TRUE),OR(exact(metadata!N970,"TRUE"),exact(metadata!N970,"FALSE"))))</f>
        <v>0</v>
      </c>
      <c r="AO970">
        <f>IF(metadata!O970="",FALSE,TRUE)</f>
        <v>0</v>
      </c>
      <c r="AP970">
        <f>OR(AND(IF(metadata!P970="",FALSE,TRUE),OR(exact(metadata!P970,"missing: not collected"),exact(metadata!P970,"missing: not provided"))),AND(IF(metadata!P970="",FALSE,IF(ISERROR(INT(metadata!P970)),FALSE,INT(metadata!P970)=metadata!P970)),metadata!P970&gt;0))</f>
        <v>0</v>
      </c>
      <c r="AQ970">
        <f>IF(metadata!Q970="",FALSE,TRUE)</f>
        <v>0</v>
      </c>
    </row>
    <row r="971" spans="1:43">
      <c r="A971" s="5">
        <f>IF(B971=" "," ",HYPERLINK(CONCATENATE("#metadata!",ADDRESS(INDEX($W$2:$W$1001,MATCH(ROWS($U$2:U971),$U$2:$U$1001,0),0),1)),INDEX($Z$2:$Z$1001,MATCH(ROWS($U$2:U971),$U$2:$U$1001,0),0)))</f>
        <v>0</v>
      </c>
      <c r="B971" s="4">
        <f>IF(OR(INDEX($V$2:$V$1001,MATCH(ROWS($U$2:U971),$U$2:$U$1001,0),1)&gt;=100000,INDEX($AB$1005:$AQ$1005,1,MATCH(COLUMNS($AB$1006:AB1006),$AB$1006:$AQ$1006,0))&gt;=100000), " ",IF(INDEX($AB$2:$AQ$1001,MATCH(ROWS($U$2:U971),$U$2:$U$1001,0),MATCH(COLUMNS($AB$1006:AB1006),$AB$1006:$AQ$1006,0)), HYPERLINK("#",""), HYPERLINK(CONCATENATE("#metadata!", ADDRESS(INDEX($W$2:$W$1001,MATCH(ROWS($U$2:U971),$U$2:$U$1001,0),0), INDEX($AB$1004:$AQ$1004,1,MATCH(COLUMNS($AB$1006:AB1006),$AB$1006:$AQ$1006,0)))),"Fix")))</f>
        <v>0</v>
      </c>
      <c r="C971" s="4">
        <f>IF(OR(INDEX($V$2:$V$1001,MATCH(ROWS($U$2:U971),$U$2:$U$1001,0),1)&gt;=100000,INDEX($AB$1005:$AQ$1005,1,MATCH(COLUMNS($AB$1006:AC1006),$AB$1006:$AQ$1006,0))&gt;=100000), " ",IF(INDEX($AB$2:$AQ$1001,MATCH(ROWS($U$2:U971),$U$2:$U$1001,0),MATCH(COLUMNS($AB$1006:AC1006),$AB$1006:$AQ$1006,0)), HYPERLINK("#",""), HYPERLINK(CONCATENATE("#metadata!", ADDRESS(INDEX($W$2:$W$1001,MATCH(ROWS($U$2:U971),$U$2:$U$1001,0),0), INDEX($AB$1004:$AQ$1004,1,MATCH(COLUMNS($AB$1006:AC1006),$AB$1006:$AQ$1006,0)))),"Fix")))</f>
        <v>0</v>
      </c>
      <c r="D971" s="4">
        <f>IF(OR(INDEX($V$2:$V$1001,MATCH(ROWS($U$2:U971),$U$2:$U$1001,0),1)&gt;=100000,INDEX($AB$1005:$AQ$1005,1,MATCH(COLUMNS($AB$1006:AD1006),$AB$1006:$AQ$1006,0))&gt;=100000), " ",IF(INDEX($AB$2:$AQ$1001,MATCH(ROWS($U$2:U971),$U$2:$U$1001,0),MATCH(COLUMNS($AB$1006:AD1006),$AB$1006:$AQ$1006,0)), HYPERLINK("#",""), HYPERLINK(CONCATENATE("#metadata!", ADDRESS(INDEX($W$2:$W$1001,MATCH(ROWS($U$2:U971),$U$2:$U$1001,0),0), INDEX($AB$1004:$AQ$1004,1,MATCH(COLUMNS($AB$1006:AD1006),$AB$1006:$AQ$1006,0)))),"Fix")))</f>
        <v>0</v>
      </c>
      <c r="E971" s="4">
        <f>IF(OR(INDEX($V$2:$V$1001,MATCH(ROWS($U$2:U971),$U$2:$U$1001,0),1)&gt;=100000,INDEX($AB$1005:$AQ$1005,1,MATCH(COLUMNS($AB$1006:AE1006),$AB$1006:$AQ$1006,0))&gt;=100000), " ",IF(INDEX($AB$2:$AQ$1001,MATCH(ROWS($U$2:U971),$U$2:$U$1001,0),MATCH(COLUMNS($AB$1006:AE1006),$AB$1006:$AQ$1006,0)), HYPERLINK("#",""), HYPERLINK(CONCATENATE("#metadata!", ADDRESS(INDEX($W$2:$W$1001,MATCH(ROWS($U$2:U971),$U$2:$U$1001,0),0), INDEX($AB$1004:$AQ$1004,1,MATCH(COLUMNS($AB$1006:AE1006),$AB$1006:$AQ$1006,0)))),"Fix")))</f>
        <v>0</v>
      </c>
      <c r="F971" s="4">
        <f>IF(OR(INDEX($V$2:$V$1001,MATCH(ROWS($U$2:U971),$U$2:$U$1001,0),1)&gt;=100000,INDEX($AB$1005:$AQ$1005,1,MATCH(COLUMNS($AB$1006:AF1006),$AB$1006:$AQ$1006,0))&gt;=100000), " ",IF(INDEX($AB$2:$AQ$1001,MATCH(ROWS($U$2:U971),$U$2:$U$1001,0),MATCH(COLUMNS($AB$1006:AF1006),$AB$1006:$AQ$1006,0)), HYPERLINK("#",""), HYPERLINK(CONCATENATE("#metadata!", ADDRESS(INDEX($W$2:$W$1001,MATCH(ROWS($U$2:U971),$U$2:$U$1001,0),0), INDEX($AB$1004:$AQ$1004,1,MATCH(COLUMNS($AB$1006:AF1006),$AB$1006:$AQ$1006,0)))),"Fix")))</f>
        <v>0</v>
      </c>
      <c r="G971" s="4">
        <f>IF(OR(INDEX($V$2:$V$1001,MATCH(ROWS($U$2:U971),$U$2:$U$1001,0),1)&gt;=100000,INDEX($AB$1005:$AQ$1005,1,MATCH(COLUMNS($AB$1006:AG1006),$AB$1006:$AQ$1006,0))&gt;=100000), " ",IF(INDEX($AB$2:$AQ$1001,MATCH(ROWS($U$2:U971),$U$2:$U$1001,0),MATCH(COLUMNS($AB$1006:AG1006),$AB$1006:$AQ$1006,0)), HYPERLINK("#",""), HYPERLINK(CONCATENATE("#metadata!", ADDRESS(INDEX($W$2:$W$1001,MATCH(ROWS($U$2:U971),$U$2:$U$1001,0),0), INDEX($AB$1004:$AQ$1004,1,MATCH(COLUMNS($AB$1006:AG1006),$AB$1006:$AQ$1006,0)))),"Fix")))</f>
        <v>0</v>
      </c>
      <c r="H971" s="4">
        <f>IF(OR(INDEX($V$2:$V$1001,MATCH(ROWS($U$2:U971),$U$2:$U$1001,0),1)&gt;=100000,INDEX($AB$1005:$AQ$1005,1,MATCH(COLUMNS($AB$1006:AH1006),$AB$1006:$AQ$1006,0))&gt;=100000), " ",IF(INDEX($AB$2:$AQ$1001,MATCH(ROWS($U$2:U971),$U$2:$U$1001,0),MATCH(COLUMNS($AB$1006:AH1006),$AB$1006:$AQ$1006,0)), HYPERLINK("#",""), HYPERLINK(CONCATENATE("#metadata!", ADDRESS(INDEX($W$2:$W$1001,MATCH(ROWS($U$2:U971),$U$2:$U$1001,0),0), INDEX($AB$1004:$AQ$1004,1,MATCH(COLUMNS($AB$1006:AH1006),$AB$1006:$AQ$1006,0)))),"Fix")))</f>
        <v>0</v>
      </c>
      <c r="I971" s="4">
        <f>IF(OR(INDEX($V$2:$V$1001,MATCH(ROWS($U$2:U971),$U$2:$U$1001,0),1)&gt;=100000,INDEX($AB$1005:$AQ$1005,1,MATCH(COLUMNS($AB$1006:AI1006),$AB$1006:$AQ$1006,0))&gt;=100000), " ",IF(INDEX($AB$2:$AQ$1001,MATCH(ROWS($U$2:U971),$U$2:$U$1001,0),MATCH(COLUMNS($AB$1006:AI1006),$AB$1006:$AQ$1006,0)), HYPERLINK("#",""), HYPERLINK(CONCATENATE("#metadata!", ADDRESS(INDEX($W$2:$W$1001,MATCH(ROWS($U$2:U971),$U$2:$U$1001,0),0), INDEX($AB$1004:$AQ$1004,1,MATCH(COLUMNS($AB$1006:AI1006),$AB$1006:$AQ$1006,0)))),"Fix")))</f>
        <v>0</v>
      </c>
      <c r="J971" s="4">
        <f>IF(OR(INDEX($V$2:$V$1001,MATCH(ROWS($U$2:U971),$U$2:$U$1001,0),1)&gt;=100000,INDEX($AB$1005:$AQ$1005,1,MATCH(COLUMNS($AB$1006:AJ1006),$AB$1006:$AQ$1006,0))&gt;=100000), " ",IF(INDEX($AB$2:$AQ$1001,MATCH(ROWS($U$2:U971),$U$2:$U$1001,0),MATCH(COLUMNS($AB$1006:AJ1006),$AB$1006:$AQ$1006,0)), HYPERLINK("#",""), HYPERLINK(CONCATENATE("#metadata!", ADDRESS(INDEX($W$2:$W$1001,MATCH(ROWS($U$2:U971),$U$2:$U$1001,0),0), INDEX($AB$1004:$AQ$1004,1,MATCH(COLUMNS($AB$1006:AJ1006),$AB$1006:$AQ$1006,0)))),"Fix")))</f>
        <v>0</v>
      </c>
      <c r="K971" s="4">
        <f>IF(OR(INDEX($V$2:$V$1001,MATCH(ROWS($U$2:U971),$U$2:$U$1001,0),1)&gt;=100000,INDEX($AB$1005:$AQ$1005,1,MATCH(COLUMNS($AB$1006:AK1006),$AB$1006:$AQ$1006,0))&gt;=100000), " ",IF(INDEX($AB$2:$AQ$1001,MATCH(ROWS($U$2:U971),$U$2:$U$1001,0),MATCH(COLUMNS($AB$1006:AK1006),$AB$1006:$AQ$1006,0)), HYPERLINK("#",""), HYPERLINK(CONCATENATE("#metadata!", ADDRESS(INDEX($W$2:$W$1001,MATCH(ROWS($U$2:U971),$U$2:$U$1001,0),0), INDEX($AB$1004:$AQ$1004,1,MATCH(COLUMNS($AB$1006:AK1006),$AB$1006:$AQ$1006,0)))),"Fix")))</f>
        <v>0</v>
      </c>
      <c r="L971" s="4">
        <f>IF(OR(INDEX($V$2:$V$1001,MATCH(ROWS($U$2:U971),$U$2:$U$1001,0),1)&gt;=100000,INDEX($AB$1005:$AQ$1005,1,MATCH(COLUMNS($AB$1006:AL1006),$AB$1006:$AQ$1006,0))&gt;=100000), " ",IF(INDEX($AB$2:$AQ$1001,MATCH(ROWS($U$2:U971),$U$2:$U$1001,0),MATCH(COLUMNS($AB$1006:AL1006),$AB$1006:$AQ$1006,0)), HYPERLINK("#",""), HYPERLINK(CONCATENATE("#metadata!", ADDRESS(INDEX($W$2:$W$1001,MATCH(ROWS($U$2:U971),$U$2:$U$1001,0),0), INDEX($AB$1004:$AQ$1004,1,MATCH(COLUMNS($AB$1006:AL1006),$AB$1006:$AQ$1006,0)))),"Fix")))</f>
        <v>0</v>
      </c>
      <c r="M971" s="4">
        <f>IF(OR(INDEX($V$2:$V$1001,MATCH(ROWS($U$2:U971),$U$2:$U$1001,0),1)&gt;=100000,INDEX($AB$1005:$AQ$1005,1,MATCH(COLUMNS($AB$1006:AM1006),$AB$1006:$AQ$1006,0))&gt;=100000), " ",IF(INDEX($AB$2:$AQ$1001,MATCH(ROWS($U$2:U971),$U$2:$U$1001,0),MATCH(COLUMNS($AB$1006:AM1006),$AB$1006:$AQ$1006,0)), HYPERLINK("#",""), HYPERLINK(CONCATENATE("#metadata!", ADDRESS(INDEX($W$2:$W$1001,MATCH(ROWS($U$2:U971),$U$2:$U$1001,0),0), INDEX($AB$1004:$AQ$1004,1,MATCH(COLUMNS($AB$1006:AM1006),$AB$1006:$AQ$1006,0)))),"Fix")))</f>
        <v>0</v>
      </c>
      <c r="N971" s="4">
        <f>IF(OR(INDEX($V$2:$V$1001,MATCH(ROWS($U$2:U971),$U$2:$U$1001,0),1)&gt;=100000,INDEX($AB$1005:$AQ$1005,1,MATCH(COLUMNS($AB$1006:AN1006),$AB$1006:$AQ$1006,0))&gt;=100000), " ",IF(INDEX($AB$2:$AQ$1001,MATCH(ROWS($U$2:U971),$U$2:$U$1001,0),MATCH(COLUMNS($AB$1006:AN1006),$AB$1006:$AQ$1006,0)), HYPERLINK("#",""), HYPERLINK(CONCATENATE("#metadata!", ADDRESS(INDEX($W$2:$W$1001,MATCH(ROWS($U$2:U971),$U$2:$U$1001,0),0), INDEX($AB$1004:$AQ$1004,1,MATCH(COLUMNS($AB$1006:AN1006),$AB$1006:$AQ$1006,0)))),"Fix")))</f>
        <v>0</v>
      </c>
      <c r="O971" s="4">
        <f>IF(OR(INDEX($V$2:$V$1001,MATCH(ROWS($U$2:U971),$U$2:$U$1001,0),1)&gt;=100000,INDEX($AB$1005:$AQ$1005,1,MATCH(COLUMNS($AB$1006:AO1006),$AB$1006:$AQ$1006,0))&gt;=100000), " ",IF(INDEX($AB$2:$AQ$1001,MATCH(ROWS($U$2:U971),$U$2:$U$1001,0),MATCH(COLUMNS($AB$1006:AO1006),$AB$1006:$AQ$1006,0)), HYPERLINK("#",""), HYPERLINK(CONCATENATE("#metadata!", ADDRESS(INDEX($W$2:$W$1001,MATCH(ROWS($U$2:U971),$U$2:$U$1001,0),0), INDEX($AB$1004:$AQ$1004,1,MATCH(COLUMNS($AB$1006:AO1006),$AB$1006:$AQ$1006,0)))),"Fix")))</f>
        <v>0</v>
      </c>
      <c r="P971" s="4">
        <f>IF(OR(INDEX($V$2:$V$1001,MATCH(ROWS($U$2:U971),$U$2:$U$1001,0),1)&gt;=100000,INDEX($AB$1005:$AQ$1005,1,MATCH(COLUMNS($AB$1006:AP1006),$AB$1006:$AQ$1006,0))&gt;=100000), " ",IF(INDEX($AB$2:$AQ$1001,MATCH(ROWS($U$2:U971),$U$2:$U$1001,0),MATCH(COLUMNS($AB$1006:AP1006),$AB$1006:$AQ$1006,0)), HYPERLINK("#",""), HYPERLINK(CONCATENATE("#metadata!", ADDRESS(INDEX($W$2:$W$1001,MATCH(ROWS($U$2:U971),$U$2:$U$1001,0),0), INDEX($AB$1004:$AQ$1004,1,MATCH(COLUMNS($AB$1006:AP1006),$AB$1006:$AQ$1006,0)))),"Fix")))</f>
        <v>0</v>
      </c>
      <c r="Q971" s="4">
        <f>IF(OR(INDEX($V$2:$V$1001,MATCH(ROWS($U$2:U971),$U$2:$U$1001,0),1)&gt;=100000,INDEX($AB$1005:$AQ$1005,1,MATCH(COLUMNS($AB$1006:AQ1006),$AB$1006:$AQ$1006,0))&gt;=100000), " ",IF(INDEX($AB$2:$AQ$1001,MATCH(ROWS($U$2:U971),$U$2:$U$1001,0),MATCH(COLUMNS($AB$1006:AQ1006),$AB$1006:$AQ$1006,0)), HYPERLINK("#",""), HYPERLINK(CONCATENATE("#metadata!", ADDRESS(INDEX($W$2:$W$1001,MATCH(ROWS($U$2:U971),$U$2:$U$1001,0),0), INDEX($AB$1004:$AQ$1004,1,MATCH(COLUMNS($AB$1006:AQ1006),$AB$1006:$AQ$1006,0)))),"Fix")))</f>
        <v>0</v>
      </c>
      <c r="U971">
        <v>0</v>
      </c>
      <c r="V971">
        <v>0</v>
      </c>
      <c r="W971">
        <v>0</v>
      </c>
      <c r="X971">
        <f>IF(Y971,TRUE,AND(AB971:AQ971))</f>
        <v>0</v>
      </c>
      <c r="Y971">
        <f>COUNTBLANK(metadata!B971:Q971)=COLUMNS(metadata!B971:Q971)</f>
        <v>0</v>
      </c>
      <c r="Z971">
        <v>0</v>
      </c>
      <c r="AB971">
        <f>AND(IF(metadata!B971="",FALSE,TRUE),COUNTIF(metadata!B:B, metadata!B971) = 1,NOT(ISERROR(SUMPRODUCT(SEARCH(MID(metadata!B971,ROW(INDIRECT("1:"&amp;LEN(metadata!B971))), 1),"0123456789abcdefghijklmnopqrstuvwxyzABCDEFGHIJKLMNOPQRSTUVWXYZ.")))))</f>
        <v>0</v>
      </c>
      <c r="AC971">
        <f>OR(AND(IF(metadata!C971="",FALSE,TRUE),OR(exact(metadata!C971,"missing: not collected"),exact(metadata!C971,"missing: not provided"),exact(metadata!C971,"missing: restricted access"))),AND(IF(metadata!C971="",FALSE,TRUE),AND(AND(IFERROR(INT(LEFT(metadata!C971,4))&gt;1900,FALSE),IFERROR(INT(LEFT(metadata!C971,4))&lt;=YEAR(NOW()),FALSE)), OR(MID(metadata!C971,5,1)="", AND(AND(MID(metadata!C971,5,1)="-",IFERROR(INT(MID(metadata!C971,6,1))&gt;=0,FALSE),IFERROR(INT(MID(metadata!C971,6,1))&lt;=1,FALSE),NOT(MID(metadata!C971,7,1)=""),IFERROR(INT(MID(metadata!C971,6,2))&gt;=1,FALSE),IFERROR(INT(MID(metadata!C971,6,2))&lt;=12,FALSE)), OR(MID(metadata!C971,8,1)="", AND(AND(MID(metadata!C971,8,1)="-",IFERROR(INT(MID(metadata!C971,9,1))&gt;=0,FALSE),IFERROR(INT(MID(metadata!C971,9,1))&lt;=3,FALSE),NOT(MID(metadata!C971,10,1)=""),IFERROR(INT(MID(metadata!C971,9,2))&gt;=1,FALSE),IFERROR(INT(MID(metadata!C971,9,2))&lt;=31,FALSE)), OR(MID(metadata!C971,11,1)="", AND(AND(MID(metadata!C971,11,1)=" ",IFERROR(INT(MID(metadata!C971,12,1))&gt;=0,FALSE),IFERROR(INT(MID(metadata!C971,12,1))&lt;=2,FALSE),NOT(MID(metadata!C971,13,1)=""),IFERROR(INT(MID(metadata!C971,12,2))&gt;=0,FALSE),IFERROR(INT(MID(metadata!C971,12,2))&lt;=23,FALSE)), OR(MID(metadata!C971,14,1)="", AND(AND(MID(metadata!C971,14,1)=":",IFERROR(INT(MID(metadata!C971,15,1))&gt;=0,FALSE),IFERROR(INT(MID(metadata!C971,15,1))&lt;=5,FALSE),NOT(MID(metadata!C971,16,1)=""),IFERROR(INT(MID(metadata!C971,15,2))&gt;=0,FALSE),IFERROR(INT(MID(metadata!C971,15,2))&lt;=59,FALSE)), OR(MID(metadata!C971,17,1)="", AND(AND(MID(metadata!C971,17,1)=":",IFERROR(INT(MID(metadata!C971,18,1))&gt;=0,FALSE),IFERROR(INT(MID(metadata!C971,18,1))&lt;=5,FALSE),NOT(MID(metadata!C971,19,1)=""),IFERROR(INT(MID(metadata!C971,18,2))&gt;=0,FALSE),IFERROR(INT(MID(metadata!C971,18,2))&lt;=59,FALSE)), LEN(metadata!C971)&lt;=19)))))))))))))</f>
        <v>0</v>
      </c>
      <c r="AD971">
        <f>IF(metadata!D971="",FALSE,TRUE)</f>
        <v>0</v>
      </c>
      <c r="AE971">
        <f>OR(AND(IF(metadata!E971="",FALSE,TRUE),OR(exact(metadata!E971,"missing: not collected"),exact(metadata!E971,"missing: not provided"))),AND(IF(metadata!E971="",FALSE,TRUE),OR(exact(metadata!E971,"TRUE"),exact(metadata!E971,"FALSE"))))</f>
        <v>0</v>
      </c>
      <c r="AF971">
        <f>IF(metadata!F971="",FALSE,TRUE)</f>
        <v>0</v>
      </c>
      <c r="AG971">
        <f>IF(metadata!G971="",FALSE,TRUE)</f>
        <v>0</v>
      </c>
      <c r="AH971">
        <f>IF(metadata!H971="",FALSE,TRUE)</f>
        <v>0</v>
      </c>
      <c r="AI971">
        <f>OR(AND(IF(metadata!I971="",FALSE,TRUE),OR(exact(metadata!I971,"missing: not collected"),exact(metadata!I971,"missing: not provided"),exact(metadata!I971,"missing: restricted access"))),AND(IF(metadata!I971="",FALSE,TRUE),OR(exact(metadata!I971,"air"),exact(metadata!I971,"built environment"),exact(metadata!I971,"host-associated"),exact(metadata!I971,"human-associated"),exact(metadata!I971,"human-skin"),exact(metadata!I971,"human-oral"),exact(metadata!I971,"human-gut"),exact(metadata!I971,"human-vaginal"),exact(metadata!I971,"microbial mat/biofilm"),exact(metadata!I971,"misc environment"),exact(metadata!I971,"plant-associated"),exact(metadata!I971,"sediment"),exact(metadata!I971,"soil"),exact(metadata!I971,"wastewater/sludge"),exact(metadata!I971,"water"))))</f>
        <v>0</v>
      </c>
      <c r="AJ971">
        <f>IF(metadata!J971="",FALSE,TRUE)</f>
        <v>0</v>
      </c>
      <c r="AK971">
        <f>OR(AND(IF(metadata!K971="",FALSE,TRUE),OR(exact(metadata!K971,"missing: not collected"),exact(metadata!K971,"missing: not provided"),exact(metadata!K971,"missing: restricted access"))),AND(IF(metadata!K971="",FALSE,ISNUMBER(VALUE(metadata!K971))),metadata!K971&gt;=-90.00,metadata!K971&lt;=90.00))</f>
        <v>0</v>
      </c>
      <c r="AL971">
        <f>OR(AND(IF(metadata!L971="",FALSE,TRUE),OR(exact(metadata!L971,"missing: not collected"),exact(metadata!L971,"missing: not provided"),exact(metadata!L971,"missing: restricted access"))),AND(IF(metadata!L971="",FALSE,ISNUMBER(VALUE(metadata!L971))),metadata!L971&gt;=-180.00,metadata!L971&lt;=180.00))</f>
        <v>0</v>
      </c>
      <c r="AM971">
        <f>IF(metadata!M971="",FALSE,TRUE)</f>
        <v>0</v>
      </c>
      <c r="AN971">
        <f>OR(AND(IF(metadata!N971="",FALSE,TRUE),OR(exact(metadata!N971,"missing: not collected"),exact(metadata!N971,"missing: not provided"),exact(metadata!N971,"missing: restricted access"))),AND(IF(metadata!N971="",FALSE,TRUE),OR(exact(metadata!N971,"TRUE"),exact(metadata!N971,"FALSE"))))</f>
        <v>0</v>
      </c>
      <c r="AO971">
        <f>IF(metadata!O971="",FALSE,TRUE)</f>
        <v>0</v>
      </c>
      <c r="AP971">
        <f>OR(AND(IF(metadata!P971="",FALSE,TRUE),OR(exact(metadata!P971,"missing: not collected"),exact(metadata!P971,"missing: not provided"))),AND(IF(metadata!P971="",FALSE,IF(ISERROR(INT(metadata!P971)),FALSE,INT(metadata!P971)=metadata!P971)),metadata!P971&gt;0))</f>
        <v>0</v>
      </c>
      <c r="AQ971">
        <f>IF(metadata!Q971="",FALSE,TRUE)</f>
        <v>0</v>
      </c>
    </row>
    <row r="972" spans="1:43">
      <c r="A972" s="5">
        <f>IF(B972=" "," ",HYPERLINK(CONCATENATE("#metadata!",ADDRESS(INDEX($W$2:$W$1001,MATCH(ROWS($U$2:U972),$U$2:$U$1001,0),0),1)),INDEX($Z$2:$Z$1001,MATCH(ROWS($U$2:U972),$U$2:$U$1001,0),0)))</f>
        <v>0</v>
      </c>
      <c r="B972" s="4">
        <f>IF(OR(INDEX($V$2:$V$1001,MATCH(ROWS($U$2:U972),$U$2:$U$1001,0),1)&gt;=100000,INDEX($AB$1005:$AQ$1005,1,MATCH(COLUMNS($AB$1006:AB1006),$AB$1006:$AQ$1006,0))&gt;=100000), " ",IF(INDEX($AB$2:$AQ$1001,MATCH(ROWS($U$2:U972),$U$2:$U$1001,0),MATCH(COLUMNS($AB$1006:AB1006),$AB$1006:$AQ$1006,0)), HYPERLINK("#",""), HYPERLINK(CONCATENATE("#metadata!", ADDRESS(INDEX($W$2:$W$1001,MATCH(ROWS($U$2:U972),$U$2:$U$1001,0),0), INDEX($AB$1004:$AQ$1004,1,MATCH(COLUMNS($AB$1006:AB1006),$AB$1006:$AQ$1006,0)))),"Fix")))</f>
        <v>0</v>
      </c>
      <c r="C972" s="4">
        <f>IF(OR(INDEX($V$2:$V$1001,MATCH(ROWS($U$2:U972),$U$2:$U$1001,0),1)&gt;=100000,INDEX($AB$1005:$AQ$1005,1,MATCH(COLUMNS($AB$1006:AC1006),$AB$1006:$AQ$1006,0))&gt;=100000), " ",IF(INDEX($AB$2:$AQ$1001,MATCH(ROWS($U$2:U972),$U$2:$U$1001,0),MATCH(COLUMNS($AB$1006:AC1006),$AB$1006:$AQ$1006,0)), HYPERLINK("#",""), HYPERLINK(CONCATENATE("#metadata!", ADDRESS(INDEX($W$2:$W$1001,MATCH(ROWS($U$2:U972),$U$2:$U$1001,0),0), INDEX($AB$1004:$AQ$1004,1,MATCH(COLUMNS($AB$1006:AC1006),$AB$1006:$AQ$1006,0)))),"Fix")))</f>
        <v>0</v>
      </c>
      <c r="D972" s="4">
        <f>IF(OR(INDEX($V$2:$V$1001,MATCH(ROWS($U$2:U972),$U$2:$U$1001,0),1)&gt;=100000,INDEX($AB$1005:$AQ$1005,1,MATCH(COLUMNS($AB$1006:AD1006),$AB$1006:$AQ$1006,0))&gt;=100000), " ",IF(INDEX($AB$2:$AQ$1001,MATCH(ROWS($U$2:U972),$U$2:$U$1001,0),MATCH(COLUMNS($AB$1006:AD1006),$AB$1006:$AQ$1006,0)), HYPERLINK("#",""), HYPERLINK(CONCATENATE("#metadata!", ADDRESS(INDEX($W$2:$W$1001,MATCH(ROWS($U$2:U972),$U$2:$U$1001,0),0), INDEX($AB$1004:$AQ$1004,1,MATCH(COLUMNS($AB$1006:AD1006),$AB$1006:$AQ$1006,0)))),"Fix")))</f>
        <v>0</v>
      </c>
      <c r="E972" s="4">
        <f>IF(OR(INDEX($V$2:$V$1001,MATCH(ROWS($U$2:U972),$U$2:$U$1001,0),1)&gt;=100000,INDEX($AB$1005:$AQ$1005,1,MATCH(COLUMNS($AB$1006:AE1006),$AB$1006:$AQ$1006,0))&gt;=100000), " ",IF(INDEX($AB$2:$AQ$1001,MATCH(ROWS($U$2:U972),$U$2:$U$1001,0),MATCH(COLUMNS($AB$1006:AE1006),$AB$1006:$AQ$1006,0)), HYPERLINK("#",""), HYPERLINK(CONCATENATE("#metadata!", ADDRESS(INDEX($W$2:$W$1001,MATCH(ROWS($U$2:U972),$U$2:$U$1001,0),0), INDEX($AB$1004:$AQ$1004,1,MATCH(COLUMNS($AB$1006:AE1006),$AB$1006:$AQ$1006,0)))),"Fix")))</f>
        <v>0</v>
      </c>
      <c r="F972" s="4">
        <f>IF(OR(INDEX($V$2:$V$1001,MATCH(ROWS($U$2:U972),$U$2:$U$1001,0),1)&gt;=100000,INDEX($AB$1005:$AQ$1005,1,MATCH(COLUMNS($AB$1006:AF1006),$AB$1006:$AQ$1006,0))&gt;=100000), " ",IF(INDEX($AB$2:$AQ$1001,MATCH(ROWS($U$2:U972),$U$2:$U$1001,0),MATCH(COLUMNS($AB$1006:AF1006),$AB$1006:$AQ$1006,0)), HYPERLINK("#",""), HYPERLINK(CONCATENATE("#metadata!", ADDRESS(INDEX($W$2:$W$1001,MATCH(ROWS($U$2:U972),$U$2:$U$1001,0),0), INDEX($AB$1004:$AQ$1004,1,MATCH(COLUMNS($AB$1006:AF1006),$AB$1006:$AQ$1006,0)))),"Fix")))</f>
        <v>0</v>
      </c>
      <c r="G972" s="4">
        <f>IF(OR(INDEX($V$2:$V$1001,MATCH(ROWS($U$2:U972),$U$2:$U$1001,0),1)&gt;=100000,INDEX($AB$1005:$AQ$1005,1,MATCH(COLUMNS($AB$1006:AG1006),$AB$1006:$AQ$1006,0))&gt;=100000), " ",IF(INDEX($AB$2:$AQ$1001,MATCH(ROWS($U$2:U972),$U$2:$U$1001,0),MATCH(COLUMNS($AB$1006:AG1006),$AB$1006:$AQ$1006,0)), HYPERLINK("#",""), HYPERLINK(CONCATENATE("#metadata!", ADDRESS(INDEX($W$2:$W$1001,MATCH(ROWS($U$2:U972),$U$2:$U$1001,0),0), INDEX($AB$1004:$AQ$1004,1,MATCH(COLUMNS($AB$1006:AG1006),$AB$1006:$AQ$1006,0)))),"Fix")))</f>
        <v>0</v>
      </c>
      <c r="H972" s="4">
        <f>IF(OR(INDEX($V$2:$V$1001,MATCH(ROWS($U$2:U972),$U$2:$U$1001,0),1)&gt;=100000,INDEX($AB$1005:$AQ$1005,1,MATCH(COLUMNS($AB$1006:AH1006),$AB$1006:$AQ$1006,0))&gt;=100000), " ",IF(INDEX($AB$2:$AQ$1001,MATCH(ROWS($U$2:U972),$U$2:$U$1001,0),MATCH(COLUMNS($AB$1006:AH1006),$AB$1006:$AQ$1006,0)), HYPERLINK("#",""), HYPERLINK(CONCATENATE("#metadata!", ADDRESS(INDEX($W$2:$W$1001,MATCH(ROWS($U$2:U972),$U$2:$U$1001,0),0), INDEX($AB$1004:$AQ$1004,1,MATCH(COLUMNS($AB$1006:AH1006),$AB$1006:$AQ$1006,0)))),"Fix")))</f>
        <v>0</v>
      </c>
      <c r="I972" s="4">
        <f>IF(OR(INDEX($V$2:$V$1001,MATCH(ROWS($U$2:U972),$U$2:$U$1001,0),1)&gt;=100000,INDEX($AB$1005:$AQ$1005,1,MATCH(COLUMNS($AB$1006:AI1006),$AB$1006:$AQ$1006,0))&gt;=100000), " ",IF(INDEX($AB$2:$AQ$1001,MATCH(ROWS($U$2:U972),$U$2:$U$1001,0),MATCH(COLUMNS($AB$1006:AI1006),$AB$1006:$AQ$1006,0)), HYPERLINK("#",""), HYPERLINK(CONCATENATE("#metadata!", ADDRESS(INDEX($W$2:$W$1001,MATCH(ROWS($U$2:U972),$U$2:$U$1001,0),0), INDEX($AB$1004:$AQ$1004,1,MATCH(COLUMNS($AB$1006:AI1006),$AB$1006:$AQ$1006,0)))),"Fix")))</f>
        <v>0</v>
      </c>
      <c r="J972" s="4">
        <f>IF(OR(INDEX($V$2:$V$1001,MATCH(ROWS($U$2:U972),$U$2:$U$1001,0),1)&gt;=100000,INDEX($AB$1005:$AQ$1005,1,MATCH(COLUMNS($AB$1006:AJ1006),$AB$1006:$AQ$1006,0))&gt;=100000), " ",IF(INDEX($AB$2:$AQ$1001,MATCH(ROWS($U$2:U972),$U$2:$U$1001,0),MATCH(COLUMNS($AB$1006:AJ1006),$AB$1006:$AQ$1006,0)), HYPERLINK("#",""), HYPERLINK(CONCATENATE("#metadata!", ADDRESS(INDEX($W$2:$W$1001,MATCH(ROWS($U$2:U972),$U$2:$U$1001,0),0), INDEX($AB$1004:$AQ$1004,1,MATCH(COLUMNS($AB$1006:AJ1006),$AB$1006:$AQ$1006,0)))),"Fix")))</f>
        <v>0</v>
      </c>
      <c r="K972" s="4">
        <f>IF(OR(INDEX($V$2:$V$1001,MATCH(ROWS($U$2:U972),$U$2:$U$1001,0),1)&gt;=100000,INDEX($AB$1005:$AQ$1005,1,MATCH(COLUMNS($AB$1006:AK1006),$AB$1006:$AQ$1006,0))&gt;=100000), " ",IF(INDEX($AB$2:$AQ$1001,MATCH(ROWS($U$2:U972),$U$2:$U$1001,0),MATCH(COLUMNS($AB$1006:AK1006),$AB$1006:$AQ$1006,0)), HYPERLINK("#",""), HYPERLINK(CONCATENATE("#metadata!", ADDRESS(INDEX($W$2:$W$1001,MATCH(ROWS($U$2:U972),$U$2:$U$1001,0),0), INDEX($AB$1004:$AQ$1004,1,MATCH(COLUMNS($AB$1006:AK1006),$AB$1006:$AQ$1006,0)))),"Fix")))</f>
        <v>0</v>
      </c>
      <c r="L972" s="4">
        <f>IF(OR(INDEX($V$2:$V$1001,MATCH(ROWS($U$2:U972),$U$2:$U$1001,0),1)&gt;=100000,INDEX($AB$1005:$AQ$1005,1,MATCH(COLUMNS($AB$1006:AL1006),$AB$1006:$AQ$1006,0))&gt;=100000), " ",IF(INDEX($AB$2:$AQ$1001,MATCH(ROWS($U$2:U972),$U$2:$U$1001,0),MATCH(COLUMNS($AB$1006:AL1006),$AB$1006:$AQ$1006,0)), HYPERLINK("#",""), HYPERLINK(CONCATENATE("#metadata!", ADDRESS(INDEX($W$2:$W$1001,MATCH(ROWS($U$2:U972),$U$2:$U$1001,0),0), INDEX($AB$1004:$AQ$1004,1,MATCH(COLUMNS($AB$1006:AL1006),$AB$1006:$AQ$1006,0)))),"Fix")))</f>
        <v>0</v>
      </c>
      <c r="M972" s="4">
        <f>IF(OR(INDEX($V$2:$V$1001,MATCH(ROWS($U$2:U972),$U$2:$U$1001,0),1)&gt;=100000,INDEX($AB$1005:$AQ$1005,1,MATCH(COLUMNS($AB$1006:AM1006),$AB$1006:$AQ$1006,0))&gt;=100000), " ",IF(INDEX($AB$2:$AQ$1001,MATCH(ROWS($U$2:U972),$U$2:$U$1001,0),MATCH(COLUMNS($AB$1006:AM1006),$AB$1006:$AQ$1006,0)), HYPERLINK("#",""), HYPERLINK(CONCATENATE("#metadata!", ADDRESS(INDEX($W$2:$W$1001,MATCH(ROWS($U$2:U972),$U$2:$U$1001,0),0), INDEX($AB$1004:$AQ$1004,1,MATCH(COLUMNS($AB$1006:AM1006),$AB$1006:$AQ$1006,0)))),"Fix")))</f>
        <v>0</v>
      </c>
      <c r="N972" s="4">
        <f>IF(OR(INDEX($V$2:$V$1001,MATCH(ROWS($U$2:U972),$U$2:$U$1001,0),1)&gt;=100000,INDEX($AB$1005:$AQ$1005,1,MATCH(COLUMNS($AB$1006:AN1006),$AB$1006:$AQ$1006,0))&gt;=100000), " ",IF(INDEX($AB$2:$AQ$1001,MATCH(ROWS($U$2:U972),$U$2:$U$1001,0),MATCH(COLUMNS($AB$1006:AN1006),$AB$1006:$AQ$1006,0)), HYPERLINK("#",""), HYPERLINK(CONCATENATE("#metadata!", ADDRESS(INDEX($W$2:$W$1001,MATCH(ROWS($U$2:U972),$U$2:$U$1001,0),0), INDEX($AB$1004:$AQ$1004,1,MATCH(COLUMNS($AB$1006:AN1006),$AB$1006:$AQ$1006,0)))),"Fix")))</f>
        <v>0</v>
      </c>
      <c r="O972" s="4">
        <f>IF(OR(INDEX($V$2:$V$1001,MATCH(ROWS($U$2:U972),$U$2:$U$1001,0),1)&gt;=100000,INDEX($AB$1005:$AQ$1005,1,MATCH(COLUMNS($AB$1006:AO1006),$AB$1006:$AQ$1006,0))&gt;=100000), " ",IF(INDEX($AB$2:$AQ$1001,MATCH(ROWS($U$2:U972),$U$2:$U$1001,0),MATCH(COLUMNS($AB$1006:AO1006),$AB$1006:$AQ$1006,0)), HYPERLINK("#",""), HYPERLINK(CONCATENATE("#metadata!", ADDRESS(INDEX($W$2:$W$1001,MATCH(ROWS($U$2:U972),$U$2:$U$1001,0),0), INDEX($AB$1004:$AQ$1004,1,MATCH(COLUMNS($AB$1006:AO1006),$AB$1006:$AQ$1006,0)))),"Fix")))</f>
        <v>0</v>
      </c>
      <c r="P972" s="4">
        <f>IF(OR(INDEX($V$2:$V$1001,MATCH(ROWS($U$2:U972),$U$2:$U$1001,0),1)&gt;=100000,INDEX($AB$1005:$AQ$1005,1,MATCH(COLUMNS($AB$1006:AP1006),$AB$1006:$AQ$1006,0))&gt;=100000), " ",IF(INDEX($AB$2:$AQ$1001,MATCH(ROWS($U$2:U972),$U$2:$U$1001,0),MATCH(COLUMNS($AB$1006:AP1006),$AB$1006:$AQ$1006,0)), HYPERLINK("#",""), HYPERLINK(CONCATENATE("#metadata!", ADDRESS(INDEX($W$2:$W$1001,MATCH(ROWS($U$2:U972),$U$2:$U$1001,0),0), INDEX($AB$1004:$AQ$1004,1,MATCH(COLUMNS($AB$1006:AP1006),$AB$1006:$AQ$1006,0)))),"Fix")))</f>
        <v>0</v>
      </c>
      <c r="Q972" s="4">
        <f>IF(OR(INDEX($V$2:$V$1001,MATCH(ROWS($U$2:U972),$U$2:$U$1001,0),1)&gt;=100000,INDEX($AB$1005:$AQ$1005,1,MATCH(COLUMNS($AB$1006:AQ1006),$AB$1006:$AQ$1006,0))&gt;=100000), " ",IF(INDEX($AB$2:$AQ$1001,MATCH(ROWS($U$2:U972),$U$2:$U$1001,0),MATCH(COLUMNS($AB$1006:AQ1006),$AB$1006:$AQ$1006,0)), HYPERLINK("#",""), HYPERLINK(CONCATENATE("#metadata!", ADDRESS(INDEX($W$2:$W$1001,MATCH(ROWS($U$2:U972),$U$2:$U$1001,0),0), INDEX($AB$1004:$AQ$1004,1,MATCH(COLUMNS($AB$1006:AQ1006),$AB$1006:$AQ$1006,0)))),"Fix")))</f>
        <v>0</v>
      </c>
      <c r="U972">
        <v>0</v>
      </c>
      <c r="V972">
        <v>0</v>
      </c>
      <c r="W972">
        <v>0</v>
      </c>
      <c r="X972">
        <f>IF(Y972,TRUE,AND(AB972:AQ972))</f>
        <v>0</v>
      </c>
      <c r="Y972">
        <f>COUNTBLANK(metadata!B972:Q972)=COLUMNS(metadata!B972:Q972)</f>
        <v>0</v>
      </c>
      <c r="Z972">
        <v>0</v>
      </c>
      <c r="AB972">
        <f>AND(IF(metadata!B972="",FALSE,TRUE),COUNTIF(metadata!B:B, metadata!B972) = 1,NOT(ISERROR(SUMPRODUCT(SEARCH(MID(metadata!B972,ROW(INDIRECT("1:"&amp;LEN(metadata!B972))), 1),"0123456789abcdefghijklmnopqrstuvwxyzABCDEFGHIJKLMNOPQRSTUVWXYZ.")))))</f>
        <v>0</v>
      </c>
      <c r="AC972">
        <f>OR(AND(IF(metadata!C972="",FALSE,TRUE),OR(exact(metadata!C972,"missing: not collected"),exact(metadata!C972,"missing: not provided"),exact(metadata!C972,"missing: restricted access"))),AND(IF(metadata!C972="",FALSE,TRUE),AND(AND(IFERROR(INT(LEFT(metadata!C972,4))&gt;1900,FALSE),IFERROR(INT(LEFT(metadata!C972,4))&lt;=YEAR(NOW()),FALSE)), OR(MID(metadata!C972,5,1)="", AND(AND(MID(metadata!C972,5,1)="-",IFERROR(INT(MID(metadata!C972,6,1))&gt;=0,FALSE),IFERROR(INT(MID(metadata!C972,6,1))&lt;=1,FALSE),NOT(MID(metadata!C972,7,1)=""),IFERROR(INT(MID(metadata!C972,6,2))&gt;=1,FALSE),IFERROR(INT(MID(metadata!C972,6,2))&lt;=12,FALSE)), OR(MID(metadata!C972,8,1)="", AND(AND(MID(metadata!C972,8,1)="-",IFERROR(INT(MID(metadata!C972,9,1))&gt;=0,FALSE),IFERROR(INT(MID(metadata!C972,9,1))&lt;=3,FALSE),NOT(MID(metadata!C972,10,1)=""),IFERROR(INT(MID(metadata!C972,9,2))&gt;=1,FALSE),IFERROR(INT(MID(metadata!C972,9,2))&lt;=31,FALSE)), OR(MID(metadata!C972,11,1)="", AND(AND(MID(metadata!C972,11,1)=" ",IFERROR(INT(MID(metadata!C972,12,1))&gt;=0,FALSE),IFERROR(INT(MID(metadata!C972,12,1))&lt;=2,FALSE),NOT(MID(metadata!C972,13,1)=""),IFERROR(INT(MID(metadata!C972,12,2))&gt;=0,FALSE),IFERROR(INT(MID(metadata!C972,12,2))&lt;=23,FALSE)), OR(MID(metadata!C972,14,1)="", AND(AND(MID(metadata!C972,14,1)=":",IFERROR(INT(MID(metadata!C972,15,1))&gt;=0,FALSE),IFERROR(INT(MID(metadata!C972,15,1))&lt;=5,FALSE),NOT(MID(metadata!C972,16,1)=""),IFERROR(INT(MID(metadata!C972,15,2))&gt;=0,FALSE),IFERROR(INT(MID(metadata!C972,15,2))&lt;=59,FALSE)), OR(MID(metadata!C972,17,1)="", AND(AND(MID(metadata!C972,17,1)=":",IFERROR(INT(MID(metadata!C972,18,1))&gt;=0,FALSE),IFERROR(INT(MID(metadata!C972,18,1))&lt;=5,FALSE),NOT(MID(metadata!C972,19,1)=""),IFERROR(INT(MID(metadata!C972,18,2))&gt;=0,FALSE),IFERROR(INT(MID(metadata!C972,18,2))&lt;=59,FALSE)), LEN(metadata!C972)&lt;=19)))))))))))))</f>
        <v>0</v>
      </c>
      <c r="AD972">
        <f>IF(metadata!D972="",FALSE,TRUE)</f>
        <v>0</v>
      </c>
      <c r="AE972">
        <f>OR(AND(IF(metadata!E972="",FALSE,TRUE),OR(exact(metadata!E972,"missing: not collected"),exact(metadata!E972,"missing: not provided"))),AND(IF(metadata!E972="",FALSE,TRUE),OR(exact(metadata!E972,"TRUE"),exact(metadata!E972,"FALSE"))))</f>
        <v>0</v>
      </c>
      <c r="AF972">
        <f>IF(metadata!F972="",FALSE,TRUE)</f>
        <v>0</v>
      </c>
      <c r="AG972">
        <f>IF(metadata!G972="",FALSE,TRUE)</f>
        <v>0</v>
      </c>
      <c r="AH972">
        <f>IF(metadata!H972="",FALSE,TRUE)</f>
        <v>0</v>
      </c>
      <c r="AI972">
        <f>OR(AND(IF(metadata!I972="",FALSE,TRUE),OR(exact(metadata!I972,"missing: not collected"),exact(metadata!I972,"missing: not provided"),exact(metadata!I972,"missing: restricted access"))),AND(IF(metadata!I972="",FALSE,TRUE),OR(exact(metadata!I972,"air"),exact(metadata!I972,"built environment"),exact(metadata!I972,"host-associated"),exact(metadata!I972,"human-associated"),exact(metadata!I972,"human-skin"),exact(metadata!I972,"human-oral"),exact(metadata!I972,"human-gut"),exact(metadata!I972,"human-vaginal"),exact(metadata!I972,"microbial mat/biofilm"),exact(metadata!I972,"misc environment"),exact(metadata!I972,"plant-associated"),exact(metadata!I972,"sediment"),exact(metadata!I972,"soil"),exact(metadata!I972,"wastewater/sludge"),exact(metadata!I972,"water"))))</f>
        <v>0</v>
      </c>
      <c r="AJ972">
        <f>IF(metadata!J972="",FALSE,TRUE)</f>
        <v>0</v>
      </c>
      <c r="AK972">
        <f>OR(AND(IF(metadata!K972="",FALSE,TRUE),OR(exact(metadata!K972,"missing: not collected"),exact(metadata!K972,"missing: not provided"),exact(metadata!K972,"missing: restricted access"))),AND(IF(metadata!K972="",FALSE,ISNUMBER(VALUE(metadata!K972))),metadata!K972&gt;=-90.00,metadata!K972&lt;=90.00))</f>
        <v>0</v>
      </c>
      <c r="AL972">
        <f>OR(AND(IF(metadata!L972="",FALSE,TRUE),OR(exact(metadata!L972,"missing: not collected"),exact(metadata!L972,"missing: not provided"),exact(metadata!L972,"missing: restricted access"))),AND(IF(metadata!L972="",FALSE,ISNUMBER(VALUE(metadata!L972))),metadata!L972&gt;=-180.00,metadata!L972&lt;=180.00))</f>
        <v>0</v>
      </c>
      <c r="AM972">
        <f>IF(metadata!M972="",FALSE,TRUE)</f>
        <v>0</v>
      </c>
      <c r="AN972">
        <f>OR(AND(IF(metadata!N972="",FALSE,TRUE),OR(exact(metadata!N972,"missing: not collected"),exact(metadata!N972,"missing: not provided"),exact(metadata!N972,"missing: restricted access"))),AND(IF(metadata!N972="",FALSE,TRUE),OR(exact(metadata!N972,"TRUE"),exact(metadata!N972,"FALSE"))))</f>
        <v>0</v>
      </c>
      <c r="AO972">
        <f>IF(metadata!O972="",FALSE,TRUE)</f>
        <v>0</v>
      </c>
      <c r="AP972">
        <f>OR(AND(IF(metadata!P972="",FALSE,TRUE),OR(exact(metadata!P972,"missing: not collected"),exact(metadata!P972,"missing: not provided"))),AND(IF(metadata!P972="",FALSE,IF(ISERROR(INT(metadata!P972)),FALSE,INT(metadata!P972)=metadata!P972)),metadata!P972&gt;0))</f>
        <v>0</v>
      </c>
      <c r="AQ972">
        <f>IF(metadata!Q972="",FALSE,TRUE)</f>
        <v>0</v>
      </c>
    </row>
    <row r="973" spans="1:43">
      <c r="A973" s="5">
        <f>IF(B973=" "," ",HYPERLINK(CONCATENATE("#metadata!",ADDRESS(INDEX($W$2:$W$1001,MATCH(ROWS($U$2:U973),$U$2:$U$1001,0),0),1)),INDEX($Z$2:$Z$1001,MATCH(ROWS($U$2:U973),$U$2:$U$1001,0),0)))</f>
        <v>0</v>
      </c>
      <c r="B973" s="4">
        <f>IF(OR(INDEX($V$2:$V$1001,MATCH(ROWS($U$2:U973),$U$2:$U$1001,0),1)&gt;=100000,INDEX($AB$1005:$AQ$1005,1,MATCH(COLUMNS($AB$1006:AB1006),$AB$1006:$AQ$1006,0))&gt;=100000), " ",IF(INDEX($AB$2:$AQ$1001,MATCH(ROWS($U$2:U973),$U$2:$U$1001,0),MATCH(COLUMNS($AB$1006:AB1006),$AB$1006:$AQ$1006,0)), HYPERLINK("#",""), HYPERLINK(CONCATENATE("#metadata!", ADDRESS(INDEX($W$2:$W$1001,MATCH(ROWS($U$2:U973),$U$2:$U$1001,0),0), INDEX($AB$1004:$AQ$1004,1,MATCH(COLUMNS($AB$1006:AB1006),$AB$1006:$AQ$1006,0)))),"Fix")))</f>
        <v>0</v>
      </c>
      <c r="C973" s="4">
        <f>IF(OR(INDEX($V$2:$V$1001,MATCH(ROWS($U$2:U973),$U$2:$U$1001,0),1)&gt;=100000,INDEX($AB$1005:$AQ$1005,1,MATCH(COLUMNS($AB$1006:AC1006),$AB$1006:$AQ$1006,0))&gt;=100000), " ",IF(INDEX($AB$2:$AQ$1001,MATCH(ROWS($U$2:U973),$U$2:$U$1001,0),MATCH(COLUMNS($AB$1006:AC1006),$AB$1006:$AQ$1006,0)), HYPERLINK("#",""), HYPERLINK(CONCATENATE("#metadata!", ADDRESS(INDEX($W$2:$W$1001,MATCH(ROWS($U$2:U973),$U$2:$U$1001,0),0), INDEX($AB$1004:$AQ$1004,1,MATCH(COLUMNS($AB$1006:AC1006),$AB$1006:$AQ$1006,0)))),"Fix")))</f>
        <v>0</v>
      </c>
      <c r="D973" s="4">
        <f>IF(OR(INDEX($V$2:$V$1001,MATCH(ROWS($U$2:U973),$U$2:$U$1001,0),1)&gt;=100000,INDEX($AB$1005:$AQ$1005,1,MATCH(COLUMNS($AB$1006:AD1006),$AB$1006:$AQ$1006,0))&gt;=100000), " ",IF(INDEX($AB$2:$AQ$1001,MATCH(ROWS($U$2:U973),$U$2:$U$1001,0),MATCH(COLUMNS($AB$1006:AD1006),$AB$1006:$AQ$1006,0)), HYPERLINK("#",""), HYPERLINK(CONCATENATE("#metadata!", ADDRESS(INDEX($W$2:$W$1001,MATCH(ROWS($U$2:U973),$U$2:$U$1001,0),0), INDEX($AB$1004:$AQ$1004,1,MATCH(COLUMNS($AB$1006:AD1006),$AB$1006:$AQ$1006,0)))),"Fix")))</f>
        <v>0</v>
      </c>
      <c r="E973" s="4">
        <f>IF(OR(INDEX($V$2:$V$1001,MATCH(ROWS($U$2:U973),$U$2:$U$1001,0),1)&gt;=100000,INDEX($AB$1005:$AQ$1005,1,MATCH(COLUMNS($AB$1006:AE1006),$AB$1006:$AQ$1006,0))&gt;=100000), " ",IF(INDEX($AB$2:$AQ$1001,MATCH(ROWS($U$2:U973),$U$2:$U$1001,0),MATCH(COLUMNS($AB$1006:AE1006),$AB$1006:$AQ$1006,0)), HYPERLINK("#",""), HYPERLINK(CONCATENATE("#metadata!", ADDRESS(INDEX($W$2:$W$1001,MATCH(ROWS($U$2:U973),$U$2:$U$1001,0),0), INDEX($AB$1004:$AQ$1004,1,MATCH(COLUMNS($AB$1006:AE1006),$AB$1006:$AQ$1006,0)))),"Fix")))</f>
        <v>0</v>
      </c>
      <c r="F973" s="4">
        <f>IF(OR(INDEX($V$2:$V$1001,MATCH(ROWS($U$2:U973),$U$2:$U$1001,0),1)&gt;=100000,INDEX($AB$1005:$AQ$1005,1,MATCH(COLUMNS($AB$1006:AF1006),$AB$1006:$AQ$1006,0))&gt;=100000), " ",IF(INDEX($AB$2:$AQ$1001,MATCH(ROWS($U$2:U973),$U$2:$U$1001,0),MATCH(COLUMNS($AB$1006:AF1006),$AB$1006:$AQ$1006,0)), HYPERLINK("#",""), HYPERLINK(CONCATENATE("#metadata!", ADDRESS(INDEX($W$2:$W$1001,MATCH(ROWS($U$2:U973),$U$2:$U$1001,0),0), INDEX($AB$1004:$AQ$1004,1,MATCH(COLUMNS($AB$1006:AF1006),$AB$1006:$AQ$1006,0)))),"Fix")))</f>
        <v>0</v>
      </c>
      <c r="G973" s="4">
        <f>IF(OR(INDEX($V$2:$V$1001,MATCH(ROWS($U$2:U973),$U$2:$U$1001,0),1)&gt;=100000,INDEX($AB$1005:$AQ$1005,1,MATCH(COLUMNS($AB$1006:AG1006),$AB$1006:$AQ$1006,0))&gt;=100000), " ",IF(INDEX($AB$2:$AQ$1001,MATCH(ROWS($U$2:U973),$U$2:$U$1001,0),MATCH(COLUMNS($AB$1006:AG1006),$AB$1006:$AQ$1006,0)), HYPERLINK("#",""), HYPERLINK(CONCATENATE("#metadata!", ADDRESS(INDEX($W$2:$W$1001,MATCH(ROWS($U$2:U973),$U$2:$U$1001,0),0), INDEX($AB$1004:$AQ$1004,1,MATCH(COLUMNS($AB$1006:AG1006),$AB$1006:$AQ$1006,0)))),"Fix")))</f>
        <v>0</v>
      </c>
      <c r="H973" s="4">
        <f>IF(OR(INDEX($V$2:$V$1001,MATCH(ROWS($U$2:U973),$U$2:$U$1001,0),1)&gt;=100000,INDEX($AB$1005:$AQ$1005,1,MATCH(COLUMNS($AB$1006:AH1006),$AB$1006:$AQ$1006,0))&gt;=100000), " ",IF(INDEX($AB$2:$AQ$1001,MATCH(ROWS($U$2:U973),$U$2:$U$1001,0),MATCH(COLUMNS($AB$1006:AH1006),$AB$1006:$AQ$1006,0)), HYPERLINK("#",""), HYPERLINK(CONCATENATE("#metadata!", ADDRESS(INDEX($W$2:$W$1001,MATCH(ROWS($U$2:U973),$U$2:$U$1001,0),0), INDEX($AB$1004:$AQ$1004,1,MATCH(COLUMNS($AB$1006:AH1006),$AB$1006:$AQ$1006,0)))),"Fix")))</f>
        <v>0</v>
      </c>
      <c r="I973" s="4">
        <f>IF(OR(INDEX($V$2:$V$1001,MATCH(ROWS($U$2:U973),$U$2:$U$1001,0),1)&gt;=100000,INDEX($AB$1005:$AQ$1005,1,MATCH(COLUMNS($AB$1006:AI1006),$AB$1006:$AQ$1006,0))&gt;=100000), " ",IF(INDEX($AB$2:$AQ$1001,MATCH(ROWS($U$2:U973),$U$2:$U$1001,0),MATCH(COLUMNS($AB$1006:AI1006),$AB$1006:$AQ$1006,0)), HYPERLINK("#",""), HYPERLINK(CONCATENATE("#metadata!", ADDRESS(INDEX($W$2:$W$1001,MATCH(ROWS($U$2:U973),$U$2:$U$1001,0),0), INDEX($AB$1004:$AQ$1004,1,MATCH(COLUMNS($AB$1006:AI1006),$AB$1006:$AQ$1006,0)))),"Fix")))</f>
        <v>0</v>
      </c>
      <c r="J973" s="4">
        <f>IF(OR(INDEX($V$2:$V$1001,MATCH(ROWS($U$2:U973),$U$2:$U$1001,0),1)&gt;=100000,INDEX($AB$1005:$AQ$1005,1,MATCH(COLUMNS($AB$1006:AJ1006),$AB$1006:$AQ$1006,0))&gt;=100000), " ",IF(INDEX($AB$2:$AQ$1001,MATCH(ROWS($U$2:U973),$U$2:$U$1001,0),MATCH(COLUMNS($AB$1006:AJ1006),$AB$1006:$AQ$1006,0)), HYPERLINK("#",""), HYPERLINK(CONCATENATE("#metadata!", ADDRESS(INDEX($W$2:$W$1001,MATCH(ROWS($U$2:U973),$U$2:$U$1001,0),0), INDEX($AB$1004:$AQ$1004,1,MATCH(COLUMNS($AB$1006:AJ1006),$AB$1006:$AQ$1006,0)))),"Fix")))</f>
        <v>0</v>
      </c>
      <c r="K973" s="4">
        <f>IF(OR(INDEX($V$2:$V$1001,MATCH(ROWS($U$2:U973),$U$2:$U$1001,0),1)&gt;=100000,INDEX($AB$1005:$AQ$1005,1,MATCH(COLUMNS($AB$1006:AK1006),$AB$1006:$AQ$1006,0))&gt;=100000), " ",IF(INDEX($AB$2:$AQ$1001,MATCH(ROWS($U$2:U973),$U$2:$U$1001,0),MATCH(COLUMNS($AB$1006:AK1006),$AB$1006:$AQ$1006,0)), HYPERLINK("#",""), HYPERLINK(CONCATENATE("#metadata!", ADDRESS(INDEX($W$2:$W$1001,MATCH(ROWS($U$2:U973),$U$2:$U$1001,0),0), INDEX($AB$1004:$AQ$1004,1,MATCH(COLUMNS($AB$1006:AK1006),$AB$1006:$AQ$1006,0)))),"Fix")))</f>
        <v>0</v>
      </c>
      <c r="L973" s="4">
        <f>IF(OR(INDEX($V$2:$V$1001,MATCH(ROWS($U$2:U973),$U$2:$U$1001,0),1)&gt;=100000,INDEX($AB$1005:$AQ$1005,1,MATCH(COLUMNS($AB$1006:AL1006),$AB$1006:$AQ$1006,0))&gt;=100000), " ",IF(INDEX($AB$2:$AQ$1001,MATCH(ROWS($U$2:U973),$U$2:$U$1001,0),MATCH(COLUMNS($AB$1006:AL1006),$AB$1006:$AQ$1006,0)), HYPERLINK("#",""), HYPERLINK(CONCATENATE("#metadata!", ADDRESS(INDEX($W$2:$W$1001,MATCH(ROWS($U$2:U973),$U$2:$U$1001,0),0), INDEX($AB$1004:$AQ$1004,1,MATCH(COLUMNS($AB$1006:AL1006),$AB$1006:$AQ$1006,0)))),"Fix")))</f>
        <v>0</v>
      </c>
      <c r="M973" s="4">
        <f>IF(OR(INDEX($V$2:$V$1001,MATCH(ROWS($U$2:U973),$U$2:$U$1001,0),1)&gt;=100000,INDEX($AB$1005:$AQ$1005,1,MATCH(COLUMNS($AB$1006:AM1006),$AB$1006:$AQ$1006,0))&gt;=100000), " ",IF(INDEX($AB$2:$AQ$1001,MATCH(ROWS($U$2:U973),$U$2:$U$1001,0),MATCH(COLUMNS($AB$1006:AM1006),$AB$1006:$AQ$1006,0)), HYPERLINK("#",""), HYPERLINK(CONCATENATE("#metadata!", ADDRESS(INDEX($W$2:$W$1001,MATCH(ROWS($U$2:U973),$U$2:$U$1001,0),0), INDEX($AB$1004:$AQ$1004,1,MATCH(COLUMNS($AB$1006:AM1006),$AB$1006:$AQ$1006,0)))),"Fix")))</f>
        <v>0</v>
      </c>
      <c r="N973" s="4">
        <f>IF(OR(INDEX($V$2:$V$1001,MATCH(ROWS($U$2:U973),$U$2:$U$1001,0),1)&gt;=100000,INDEX($AB$1005:$AQ$1005,1,MATCH(COLUMNS($AB$1006:AN1006),$AB$1006:$AQ$1006,0))&gt;=100000), " ",IF(INDEX($AB$2:$AQ$1001,MATCH(ROWS($U$2:U973),$U$2:$U$1001,0),MATCH(COLUMNS($AB$1006:AN1006),$AB$1006:$AQ$1006,0)), HYPERLINK("#",""), HYPERLINK(CONCATENATE("#metadata!", ADDRESS(INDEX($W$2:$W$1001,MATCH(ROWS($U$2:U973),$U$2:$U$1001,0),0), INDEX($AB$1004:$AQ$1004,1,MATCH(COLUMNS($AB$1006:AN1006),$AB$1006:$AQ$1006,0)))),"Fix")))</f>
        <v>0</v>
      </c>
      <c r="O973" s="4">
        <f>IF(OR(INDEX($V$2:$V$1001,MATCH(ROWS($U$2:U973),$U$2:$U$1001,0),1)&gt;=100000,INDEX($AB$1005:$AQ$1005,1,MATCH(COLUMNS($AB$1006:AO1006),$AB$1006:$AQ$1006,0))&gt;=100000), " ",IF(INDEX($AB$2:$AQ$1001,MATCH(ROWS($U$2:U973),$U$2:$U$1001,0),MATCH(COLUMNS($AB$1006:AO1006),$AB$1006:$AQ$1006,0)), HYPERLINK("#",""), HYPERLINK(CONCATENATE("#metadata!", ADDRESS(INDEX($W$2:$W$1001,MATCH(ROWS($U$2:U973),$U$2:$U$1001,0),0), INDEX($AB$1004:$AQ$1004,1,MATCH(COLUMNS($AB$1006:AO1006),$AB$1006:$AQ$1006,0)))),"Fix")))</f>
        <v>0</v>
      </c>
      <c r="P973" s="4">
        <f>IF(OR(INDEX($V$2:$V$1001,MATCH(ROWS($U$2:U973),$U$2:$U$1001,0),1)&gt;=100000,INDEX($AB$1005:$AQ$1005,1,MATCH(COLUMNS($AB$1006:AP1006),$AB$1006:$AQ$1006,0))&gt;=100000), " ",IF(INDEX($AB$2:$AQ$1001,MATCH(ROWS($U$2:U973),$U$2:$U$1001,0),MATCH(COLUMNS($AB$1006:AP1006),$AB$1006:$AQ$1006,0)), HYPERLINK("#",""), HYPERLINK(CONCATENATE("#metadata!", ADDRESS(INDEX($W$2:$W$1001,MATCH(ROWS($U$2:U973),$U$2:$U$1001,0),0), INDEX($AB$1004:$AQ$1004,1,MATCH(COLUMNS($AB$1006:AP1006),$AB$1006:$AQ$1006,0)))),"Fix")))</f>
        <v>0</v>
      </c>
      <c r="Q973" s="4">
        <f>IF(OR(INDEX($V$2:$V$1001,MATCH(ROWS($U$2:U973),$U$2:$U$1001,0),1)&gt;=100000,INDEX($AB$1005:$AQ$1005,1,MATCH(COLUMNS($AB$1006:AQ1006),$AB$1006:$AQ$1006,0))&gt;=100000), " ",IF(INDEX($AB$2:$AQ$1001,MATCH(ROWS($U$2:U973),$U$2:$U$1001,0),MATCH(COLUMNS($AB$1006:AQ1006),$AB$1006:$AQ$1006,0)), HYPERLINK("#",""), HYPERLINK(CONCATENATE("#metadata!", ADDRESS(INDEX($W$2:$W$1001,MATCH(ROWS($U$2:U973),$U$2:$U$1001,0),0), INDEX($AB$1004:$AQ$1004,1,MATCH(COLUMNS($AB$1006:AQ1006),$AB$1006:$AQ$1006,0)))),"Fix")))</f>
        <v>0</v>
      </c>
      <c r="U973">
        <v>0</v>
      </c>
      <c r="V973">
        <v>0</v>
      </c>
      <c r="W973">
        <v>0</v>
      </c>
      <c r="X973">
        <f>IF(Y973,TRUE,AND(AB973:AQ973))</f>
        <v>0</v>
      </c>
      <c r="Y973">
        <f>COUNTBLANK(metadata!B973:Q973)=COLUMNS(metadata!B973:Q973)</f>
        <v>0</v>
      </c>
      <c r="Z973">
        <v>0</v>
      </c>
      <c r="AB973">
        <f>AND(IF(metadata!B973="",FALSE,TRUE),COUNTIF(metadata!B:B, metadata!B973) = 1,NOT(ISERROR(SUMPRODUCT(SEARCH(MID(metadata!B973,ROW(INDIRECT("1:"&amp;LEN(metadata!B973))), 1),"0123456789abcdefghijklmnopqrstuvwxyzABCDEFGHIJKLMNOPQRSTUVWXYZ.")))))</f>
        <v>0</v>
      </c>
      <c r="AC973">
        <f>OR(AND(IF(metadata!C973="",FALSE,TRUE),OR(exact(metadata!C973,"missing: not collected"),exact(metadata!C973,"missing: not provided"),exact(metadata!C973,"missing: restricted access"))),AND(IF(metadata!C973="",FALSE,TRUE),AND(AND(IFERROR(INT(LEFT(metadata!C973,4))&gt;1900,FALSE),IFERROR(INT(LEFT(metadata!C973,4))&lt;=YEAR(NOW()),FALSE)), OR(MID(metadata!C973,5,1)="", AND(AND(MID(metadata!C973,5,1)="-",IFERROR(INT(MID(metadata!C973,6,1))&gt;=0,FALSE),IFERROR(INT(MID(metadata!C973,6,1))&lt;=1,FALSE),NOT(MID(metadata!C973,7,1)=""),IFERROR(INT(MID(metadata!C973,6,2))&gt;=1,FALSE),IFERROR(INT(MID(metadata!C973,6,2))&lt;=12,FALSE)), OR(MID(metadata!C973,8,1)="", AND(AND(MID(metadata!C973,8,1)="-",IFERROR(INT(MID(metadata!C973,9,1))&gt;=0,FALSE),IFERROR(INT(MID(metadata!C973,9,1))&lt;=3,FALSE),NOT(MID(metadata!C973,10,1)=""),IFERROR(INT(MID(metadata!C973,9,2))&gt;=1,FALSE),IFERROR(INT(MID(metadata!C973,9,2))&lt;=31,FALSE)), OR(MID(metadata!C973,11,1)="", AND(AND(MID(metadata!C973,11,1)=" ",IFERROR(INT(MID(metadata!C973,12,1))&gt;=0,FALSE),IFERROR(INT(MID(metadata!C973,12,1))&lt;=2,FALSE),NOT(MID(metadata!C973,13,1)=""),IFERROR(INT(MID(metadata!C973,12,2))&gt;=0,FALSE),IFERROR(INT(MID(metadata!C973,12,2))&lt;=23,FALSE)), OR(MID(metadata!C973,14,1)="", AND(AND(MID(metadata!C973,14,1)=":",IFERROR(INT(MID(metadata!C973,15,1))&gt;=0,FALSE),IFERROR(INT(MID(metadata!C973,15,1))&lt;=5,FALSE),NOT(MID(metadata!C973,16,1)=""),IFERROR(INT(MID(metadata!C973,15,2))&gt;=0,FALSE),IFERROR(INT(MID(metadata!C973,15,2))&lt;=59,FALSE)), OR(MID(metadata!C973,17,1)="", AND(AND(MID(metadata!C973,17,1)=":",IFERROR(INT(MID(metadata!C973,18,1))&gt;=0,FALSE),IFERROR(INT(MID(metadata!C973,18,1))&lt;=5,FALSE),NOT(MID(metadata!C973,19,1)=""),IFERROR(INT(MID(metadata!C973,18,2))&gt;=0,FALSE),IFERROR(INT(MID(metadata!C973,18,2))&lt;=59,FALSE)), LEN(metadata!C973)&lt;=19)))))))))))))</f>
        <v>0</v>
      </c>
      <c r="AD973">
        <f>IF(metadata!D973="",FALSE,TRUE)</f>
        <v>0</v>
      </c>
      <c r="AE973">
        <f>OR(AND(IF(metadata!E973="",FALSE,TRUE),OR(exact(metadata!E973,"missing: not collected"),exact(metadata!E973,"missing: not provided"))),AND(IF(metadata!E973="",FALSE,TRUE),OR(exact(metadata!E973,"TRUE"),exact(metadata!E973,"FALSE"))))</f>
        <v>0</v>
      </c>
      <c r="AF973">
        <f>IF(metadata!F973="",FALSE,TRUE)</f>
        <v>0</v>
      </c>
      <c r="AG973">
        <f>IF(metadata!G973="",FALSE,TRUE)</f>
        <v>0</v>
      </c>
      <c r="AH973">
        <f>IF(metadata!H973="",FALSE,TRUE)</f>
        <v>0</v>
      </c>
      <c r="AI973">
        <f>OR(AND(IF(metadata!I973="",FALSE,TRUE),OR(exact(metadata!I973,"missing: not collected"),exact(metadata!I973,"missing: not provided"),exact(metadata!I973,"missing: restricted access"))),AND(IF(metadata!I973="",FALSE,TRUE),OR(exact(metadata!I973,"air"),exact(metadata!I973,"built environment"),exact(metadata!I973,"host-associated"),exact(metadata!I973,"human-associated"),exact(metadata!I973,"human-skin"),exact(metadata!I973,"human-oral"),exact(metadata!I973,"human-gut"),exact(metadata!I973,"human-vaginal"),exact(metadata!I973,"microbial mat/biofilm"),exact(metadata!I973,"misc environment"),exact(metadata!I973,"plant-associated"),exact(metadata!I973,"sediment"),exact(metadata!I973,"soil"),exact(metadata!I973,"wastewater/sludge"),exact(metadata!I973,"water"))))</f>
        <v>0</v>
      </c>
      <c r="AJ973">
        <f>IF(metadata!J973="",FALSE,TRUE)</f>
        <v>0</v>
      </c>
      <c r="AK973">
        <f>OR(AND(IF(metadata!K973="",FALSE,TRUE),OR(exact(metadata!K973,"missing: not collected"),exact(metadata!K973,"missing: not provided"),exact(metadata!K973,"missing: restricted access"))),AND(IF(metadata!K973="",FALSE,ISNUMBER(VALUE(metadata!K973))),metadata!K973&gt;=-90.00,metadata!K973&lt;=90.00))</f>
        <v>0</v>
      </c>
      <c r="AL973">
        <f>OR(AND(IF(metadata!L973="",FALSE,TRUE),OR(exact(metadata!L973,"missing: not collected"),exact(metadata!L973,"missing: not provided"),exact(metadata!L973,"missing: restricted access"))),AND(IF(metadata!L973="",FALSE,ISNUMBER(VALUE(metadata!L973))),metadata!L973&gt;=-180.00,metadata!L973&lt;=180.00))</f>
        <v>0</v>
      </c>
      <c r="AM973">
        <f>IF(metadata!M973="",FALSE,TRUE)</f>
        <v>0</v>
      </c>
      <c r="AN973">
        <f>OR(AND(IF(metadata!N973="",FALSE,TRUE),OR(exact(metadata!N973,"missing: not collected"),exact(metadata!N973,"missing: not provided"),exact(metadata!N973,"missing: restricted access"))),AND(IF(metadata!N973="",FALSE,TRUE),OR(exact(metadata!N973,"TRUE"),exact(metadata!N973,"FALSE"))))</f>
        <v>0</v>
      </c>
      <c r="AO973">
        <f>IF(metadata!O973="",FALSE,TRUE)</f>
        <v>0</v>
      </c>
      <c r="AP973">
        <f>OR(AND(IF(metadata!P973="",FALSE,TRUE),OR(exact(metadata!P973,"missing: not collected"),exact(metadata!P973,"missing: not provided"))),AND(IF(metadata!P973="",FALSE,IF(ISERROR(INT(metadata!P973)),FALSE,INT(metadata!P973)=metadata!P973)),metadata!P973&gt;0))</f>
        <v>0</v>
      </c>
      <c r="AQ973">
        <f>IF(metadata!Q973="",FALSE,TRUE)</f>
        <v>0</v>
      </c>
    </row>
    <row r="974" spans="1:43">
      <c r="A974" s="5">
        <f>IF(B974=" "," ",HYPERLINK(CONCATENATE("#metadata!",ADDRESS(INDEX($W$2:$W$1001,MATCH(ROWS($U$2:U974),$U$2:$U$1001,0),0),1)),INDEX($Z$2:$Z$1001,MATCH(ROWS($U$2:U974),$U$2:$U$1001,0),0)))</f>
        <v>0</v>
      </c>
      <c r="B974" s="4">
        <f>IF(OR(INDEX($V$2:$V$1001,MATCH(ROWS($U$2:U974),$U$2:$U$1001,0),1)&gt;=100000,INDEX($AB$1005:$AQ$1005,1,MATCH(COLUMNS($AB$1006:AB1006),$AB$1006:$AQ$1006,0))&gt;=100000), " ",IF(INDEX($AB$2:$AQ$1001,MATCH(ROWS($U$2:U974),$U$2:$U$1001,0),MATCH(COLUMNS($AB$1006:AB1006),$AB$1006:$AQ$1006,0)), HYPERLINK("#",""), HYPERLINK(CONCATENATE("#metadata!", ADDRESS(INDEX($W$2:$W$1001,MATCH(ROWS($U$2:U974),$U$2:$U$1001,0),0), INDEX($AB$1004:$AQ$1004,1,MATCH(COLUMNS($AB$1006:AB1006),$AB$1006:$AQ$1006,0)))),"Fix")))</f>
        <v>0</v>
      </c>
      <c r="C974" s="4">
        <f>IF(OR(INDEX($V$2:$V$1001,MATCH(ROWS($U$2:U974),$U$2:$U$1001,0),1)&gt;=100000,INDEX($AB$1005:$AQ$1005,1,MATCH(COLUMNS($AB$1006:AC1006),$AB$1006:$AQ$1006,0))&gt;=100000), " ",IF(INDEX($AB$2:$AQ$1001,MATCH(ROWS($U$2:U974),$U$2:$U$1001,0),MATCH(COLUMNS($AB$1006:AC1006),$AB$1006:$AQ$1006,0)), HYPERLINK("#",""), HYPERLINK(CONCATENATE("#metadata!", ADDRESS(INDEX($W$2:$W$1001,MATCH(ROWS($U$2:U974),$U$2:$U$1001,0),0), INDEX($AB$1004:$AQ$1004,1,MATCH(COLUMNS($AB$1006:AC1006),$AB$1006:$AQ$1006,0)))),"Fix")))</f>
        <v>0</v>
      </c>
      <c r="D974" s="4">
        <f>IF(OR(INDEX($V$2:$V$1001,MATCH(ROWS($U$2:U974),$U$2:$U$1001,0),1)&gt;=100000,INDEX($AB$1005:$AQ$1005,1,MATCH(COLUMNS($AB$1006:AD1006),$AB$1006:$AQ$1006,0))&gt;=100000), " ",IF(INDEX($AB$2:$AQ$1001,MATCH(ROWS($U$2:U974),$U$2:$U$1001,0),MATCH(COLUMNS($AB$1006:AD1006),$AB$1006:$AQ$1006,0)), HYPERLINK("#",""), HYPERLINK(CONCATENATE("#metadata!", ADDRESS(INDEX($W$2:$W$1001,MATCH(ROWS($U$2:U974),$U$2:$U$1001,0),0), INDEX($AB$1004:$AQ$1004,1,MATCH(COLUMNS($AB$1006:AD1006),$AB$1006:$AQ$1006,0)))),"Fix")))</f>
        <v>0</v>
      </c>
      <c r="E974" s="4">
        <f>IF(OR(INDEX($V$2:$V$1001,MATCH(ROWS($U$2:U974),$U$2:$U$1001,0),1)&gt;=100000,INDEX($AB$1005:$AQ$1005,1,MATCH(COLUMNS($AB$1006:AE1006),$AB$1006:$AQ$1006,0))&gt;=100000), " ",IF(INDEX($AB$2:$AQ$1001,MATCH(ROWS($U$2:U974),$U$2:$U$1001,0),MATCH(COLUMNS($AB$1006:AE1006),$AB$1006:$AQ$1006,0)), HYPERLINK("#",""), HYPERLINK(CONCATENATE("#metadata!", ADDRESS(INDEX($W$2:$W$1001,MATCH(ROWS($U$2:U974),$U$2:$U$1001,0),0), INDEX($AB$1004:$AQ$1004,1,MATCH(COLUMNS($AB$1006:AE1006),$AB$1006:$AQ$1006,0)))),"Fix")))</f>
        <v>0</v>
      </c>
      <c r="F974" s="4">
        <f>IF(OR(INDEX($V$2:$V$1001,MATCH(ROWS($U$2:U974),$U$2:$U$1001,0),1)&gt;=100000,INDEX($AB$1005:$AQ$1005,1,MATCH(COLUMNS($AB$1006:AF1006),$AB$1006:$AQ$1006,0))&gt;=100000), " ",IF(INDEX($AB$2:$AQ$1001,MATCH(ROWS($U$2:U974),$U$2:$U$1001,0),MATCH(COLUMNS($AB$1006:AF1006),$AB$1006:$AQ$1006,0)), HYPERLINK("#",""), HYPERLINK(CONCATENATE("#metadata!", ADDRESS(INDEX($W$2:$W$1001,MATCH(ROWS($U$2:U974),$U$2:$U$1001,0),0), INDEX($AB$1004:$AQ$1004,1,MATCH(COLUMNS($AB$1006:AF1006),$AB$1006:$AQ$1006,0)))),"Fix")))</f>
        <v>0</v>
      </c>
      <c r="G974" s="4">
        <f>IF(OR(INDEX($V$2:$V$1001,MATCH(ROWS($U$2:U974),$U$2:$U$1001,0),1)&gt;=100000,INDEX($AB$1005:$AQ$1005,1,MATCH(COLUMNS($AB$1006:AG1006),$AB$1006:$AQ$1006,0))&gt;=100000), " ",IF(INDEX($AB$2:$AQ$1001,MATCH(ROWS($U$2:U974),$U$2:$U$1001,0),MATCH(COLUMNS($AB$1006:AG1006),$AB$1006:$AQ$1006,0)), HYPERLINK("#",""), HYPERLINK(CONCATENATE("#metadata!", ADDRESS(INDEX($W$2:$W$1001,MATCH(ROWS($U$2:U974),$U$2:$U$1001,0),0), INDEX($AB$1004:$AQ$1004,1,MATCH(COLUMNS($AB$1006:AG1006),$AB$1006:$AQ$1006,0)))),"Fix")))</f>
        <v>0</v>
      </c>
      <c r="H974" s="4">
        <f>IF(OR(INDEX($V$2:$V$1001,MATCH(ROWS($U$2:U974),$U$2:$U$1001,0),1)&gt;=100000,INDEX($AB$1005:$AQ$1005,1,MATCH(COLUMNS($AB$1006:AH1006),$AB$1006:$AQ$1006,0))&gt;=100000), " ",IF(INDEX($AB$2:$AQ$1001,MATCH(ROWS($U$2:U974),$U$2:$U$1001,0),MATCH(COLUMNS($AB$1006:AH1006),$AB$1006:$AQ$1006,0)), HYPERLINK("#",""), HYPERLINK(CONCATENATE("#metadata!", ADDRESS(INDEX($W$2:$W$1001,MATCH(ROWS($U$2:U974),$U$2:$U$1001,0),0), INDEX($AB$1004:$AQ$1004,1,MATCH(COLUMNS($AB$1006:AH1006),$AB$1006:$AQ$1006,0)))),"Fix")))</f>
        <v>0</v>
      </c>
      <c r="I974" s="4">
        <f>IF(OR(INDEX($V$2:$V$1001,MATCH(ROWS($U$2:U974),$U$2:$U$1001,0),1)&gt;=100000,INDEX($AB$1005:$AQ$1005,1,MATCH(COLUMNS($AB$1006:AI1006),$AB$1006:$AQ$1006,0))&gt;=100000), " ",IF(INDEX($AB$2:$AQ$1001,MATCH(ROWS($U$2:U974),$U$2:$U$1001,0),MATCH(COLUMNS($AB$1006:AI1006),$AB$1006:$AQ$1006,0)), HYPERLINK("#",""), HYPERLINK(CONCATENATE("#metadata!", ADDRESS(INDEX($W$2:$W$1001,MATCH(ROWS($U$2:U974),$U$2:$U$1001,0),0), INDEX($AB$1004:$AQ$1004,1,MATCH(COLUMNS($AB$1006:AI1006),$AB$1006:$AQ$1006,0)))),"Fix")))</f>
        <v>0</v>
      </c>
      <c r="J974" s="4">
        <f>IF(OR(INDEX($V$2:$V$1001,MATCH(ROWS($U$2:U974),$U$2:$U$1001,0),1)&gt;=100000,INDEX($AB$1005:$AQ$1005,1,MATCH(COLUMNS($AB$1006:AJ1006),$AB$1006:$AQ$1006,0))&gt;=100000), " ",IF(INDEX($AB$2:$AQ$1001,MATCH(ROWS($U$2:U974),$U$2:$U$1001,0),MATCH(COLUMNS($AB$1006:AJ1006),$AB$1006:$AQ$1006,0)), HYPERLINK("#",""), HYPERLINK(CONCATENATE("#metadata!", ADDRESS(INDEX($W$2:$W$1001,MATCH(ROWS($U$2:U974),$U$2:$U$1001,0),0), INDEX($AB$1004:$AQ$1004,1,MATCH(COLUMNS($AB$1006:AJ1006),$AB$1006:$AQ$1006,0)))),"Fix")))</f>
        <v>0</v>
      </c>
      <c r="K974" s="4">
        <f>IF(OR(INDEX($V$2:$V$1001,MATCH(ROWS($U$2:U974),$U$2:$U$1001,0),1)&gt;=100000,INDEX($AB$1005:$AQ$1005,1,MATCH(COLUMNS($AB$1006:AK1006),$AB$1006:$AQ$1006,0))&gt;=100000), " ",IF(INDEX($AB$2:$AQ$1001,MATCH(ROWS($U$2:U974),$U$2:$U$1001,0),MATCH(COLUMNS($AB$1006:AK1006),$AB$1006:$AQ$1006,0)), HYPERLINK("#",""), HYPERLINK(CONCATENATE("#metadata!", ADDRESS(INDEX($W$2:$W$1001,MATCH(ROWS($U$2:U974),$U$2:$U$1001,0),0), INDEX($AB$1004:$AQ$1004,1,MATCH(COLUMNS($AB$1006:AK1006),$AB$1006:$AQ$1006,0)))),"Fix")))</f>
        <v>0</v>
      </c>
      <c r="L974" s="4">
        <f>IF(OR(INDEX($V$2:$V$1001,MATCH(ROWS($U$2:U974),$U$2:$U$1001,0),1)&gt;=100000,INDEX($AB$1005:$AQ$1005,1,MATCH(COLUMNS($AB$1006:AL1006),$AB$1006:$AQ$1006,0))&gt;=100000), " ",IF(INDEX($AB$2:$AQ$1001,MATCH(ROWS($U$2:U974),$U$2:$U$1001,0),MATCH(COLUMNS($AB$1006:AL1006),$AB$1006:$AQ$1006,0)), HYPERLINK("#",""), HYPERLINK(CONCATENATE("#metadata!", ADDRESS(INDEX($W$2:$W$1001,MATCH(ROWS($U$2:U974),$U$2:$U$1001,0),0), INDEX($AB$1004:$AQ$1004,1,MATCH(COLUMNS($AB$1006:AL1006),$AB$1006:$AQ$1006,0)))),"Fix")))</f>
        <v>0</v>
      </c>
      <c r="M974" s="4">
        <f>IF(OR(INDEX($V$2:$V$1001,MATCH(ROWS($U$2:U974),$U$2:$U$1001,0),1)&gt;=100000,INDEX($AB$1005:$AQ$1005,1,MATCH(COLUMNS($AB$1006:AM1006),$AB$1006:$AQ$1006,0))&gt;=100000), " ",IF(INDEX($AB$2:$AQ$1001,MATCH(ROWS($U$2:U974),$U$2:$U$1001,0),MATCH(COLUMNS($AB$1006:AM1006),$AB$1006:$AQ$1006,0)), HYPERLINK("#",""), HYPERLINK(CONCATENATE("#metadata!", ADDRESS(INDEX($W$2:$W$1001,MATCH(ROWS($U$2:U974),$U$2:$U$1001,0),0), INDEX($AB$1004:$AQ$1004,1,MATCH(COLUMNS($AB$1006:AM1006),$AB$1006:$AQ$1006,0)))),"Fix")))</f>
        <v>0</v>
      </c>
      <c r="N974" s="4">
        <f>IF(OR(INDEX($V$2:$V$1001,MATCH(ROWS($U$2:U974),$U$2:$U$1001,0),1)&gt;=100000,INDEX($AB$1005:$AQ$1005,1,MATCH(COLUMNS($AB$1006:AN1006),$AB$1006:$AQ$1006,0))&gt;=100000), " ",IF(INDEX($AB$2:$AQ$1001,MATCH(ROWS($U$2:U974),$U$2:$U$1001,0),MATCH(COLUMNS($AB$1006:AN1006),$AB$1006:$AQ$1006,0)), HYPERLINK("#",""), HYPERLINK(CONCATENATE("#metadata!", ADDRESS(INDEX($W$2:$W$1001,MATCH(ROWS($U$2:U974),$U$2:$U$1001,0),0), INDEX($AB$1004:$AQ$1004,1,MATCH(COLUMNS($AB$1006:AN1006),$AB$1006:$AQ$1006,0)))),"Fix")))</f>
        <v>0</v>
      </c>
      <c r="O974" s="4">
        <f>IF(OR(INDEX($V$2:$V$1001,MATCH(ROWS($U$2:U974),$U$2:$U$1001,0),1)&gt;=100000,INDEX($AB$1005:$AQ$1005,1,MATCH(COLUMNS($AB$1006:AO1006),$AB$1006:$AQ$1006,0))&gt;=100000), " ",IF(INDEX($AB$2:$AQ$1001,MATCH(ROWS($U$2:U974),$U$2:$U$1001,0),MATCH(COLUMNS($AB$1006:AO1006),$AB$1006:$AQ$1006,0)), HYPERLINK("#",""), HYPERLINK(CONCATENATE("#metadata!", ADDRESS(INDEX($W$2:$W$1001,MATCH(ROWS($U$2:U974),$U$2:$U$1001,0),0), INDEX($AB$1004:$AQ$1004,1,MATCH(COLUMNS($AB$1006:AO1006),$AB$1006:$AQ$1006,0)))),"Fix")))</f>
        <v>0</v>
      </c>
      <c r="P974" s="4">
        <f>IF(OR(INDEX($V$2:$V$1001,MATCH(ROWS($U$2:U974),$U$2:$U$1001,0),1)&gt;=100000,INDEX($AB$1005:$AQ$1005,1,MATCH(COLUMNS($AB$1006:AP1006),$AB$1006:$AQ$1006,0))&gt;=100000), " ",IF(INDEX($AB$2:$AQ$1001,MATCH(ROWS($U$2:U974),$U$2:$U$1001,0),MATCH(COLUMNS($AB$1006:AP1006),$AB$1006:$AQ$1006,0)), HYPERLINK("#",""), HYPERLINK(CONCATENATE("#metadata!", ADDRESS(INDEX($W$2:$W$1001,MATCH(ROWS($U$2:U974),$U$2:$U$1001,0),0), INDEX($AB$1004:$AQ$1004,1,MATCH(COLUMNS($AB$1006:AP1006),$AB$1006:$AQ$1006,0)))),"Fix")))</f>
        <v>0</v>
      </c>
      <c r="Q974" s="4">
        <f>IF(OR(INDEX($V$2:$V$1001,MATCH(ROWS($U$2:U974),$U$2:$U$1001,0),1)&gt;=100000,INDEX($AB$1005:$AQ$1005,1,MATCH(COLUMNS($AB$1006:AQ1006),$AB$1006:$AQ$1006,0))&gt;=100000), " ",IF(INDEX($AB$2:$AQ$1001,MATCH(ROWS($U$2:U974),$U$2:$U$1001,0),MATCH(COLUMNS($AB$1006:AQ1006),$AB$1006:$AQ$1006,0)), HYPERLINK("#",""), HYPERLINK(CONCATENATE("#metadata!", ADDRESS(INDEX($W$2:$W$1001,MATCH(ROWS($U$2:U974),$U$2:$U$1001,0),0), INDEX($AB$1004:$AQ$1004,1,MATCH(COLUMNS($AB$1006:AQ1006),$AB$1006:$AQ$1006,0)))),"Fix")))</f>
        <v>0</v>
      </c>
      <c r="U974">
        <v>0</v>
      </c>
      <c r="V974">
        <v>0</v>
      </c>
      <c r="W974">
        <v>0</v>
      </c>
      <c r="X974">
        <f>IF(Y974,TRUE,AND(AB974:AQ974))</f>
        <v>0</v>
      </c>
      <c r="Y974">
        <f>COUNTBLANK(metadata!B974:Q974)=COLUMNS(metadata!B974:Q974)</f>
        <v>0</v>
      </c>
      <c r="Z974">
        <v>0</v>
      </c>
      <c r="AB974">
        <f>AND(IF(metadata!B974="",FALSE,TRUE),COUNTIF(metadata!B:B, metadata!B974) = 1,NOT(ISERROR(SUMPRODUCT(SEARCH(MID(metadata!B974,ROW(INDIRECT("1:"&amp;LEN(metadata!B974))), 1),"0123456789abcdefghijklmnopqrstuvwxyzABCDEFGHIJKLMNOPQRSTUVWXYZ.")))))</f>
        <v>0</v>
      </c>
      <c r="AC974">
        <f>OR(AND(IF(metadata!C974="",FALSE,TRUE),OR(exact(metadata!C974,"missing: not collected"),exact(metadata!C974,"missing: not provided"),exact(metadata!C974,"missing: restricted access"))),AND(IF(metadata!C974="",FALSE,TRUE),AND(AND(IFERROR(INT(LEFT(metadata!C974,4))&gt;1900,FALSE),IFERROR(INT(LEFT(metadata!C974,4))&lt;=YEAR(NOW()),FALSE)), OR(MID(metadata!C974,5,1)="", AND(AND(MID(metadata!C974,5,1)="-",IFERROR(INT(MID(metadata!C974,6,1))&gt;=0,FALSE),IFERROR(INT(MID(metadata!C974,6,1))&lt;=1,FALSE),NOT(MID(metadata!C974,7,1)=""),IFERROR(INT(MID(metadata!C974,6,2))&gt;=1,FALSE),IFERROR(INT(MID(metadata!C974,6,2))&lt;=12,FALSE)), OR(MID(metadata!C974,8,1)="", AND(AND(MID(metadata!C974,8,1)="-",IFERROR(INT(MID(metadata!C974,9,1))&gt;=0,FALSE),IFERROR(INT(MID(metadata!C974,9,1))&lt;=3,FALSE),NOT(MID(metadata!C974,10,1)=""),IFERROR(INT(MID(metadata!C974,9,2))&gt;=1,FALSE),IFERROR(INT(MID(metadata!C974,9,2))&lt;=31,FALSE)), OR(MID(metadata!C974,11,1)="", AND(AND(MID(metadata!C974,11,1)=" ",IFERROR(INT(MID(metadata!C974,12,1))&gt;=0,FALSE),IFERROR(INT(MID(metadata!C974,12,1))&lt;=2,FALSE),NOT(MID(metadata!C974,13,1)=""),IFERROR(INT(MID(metadata!C974,12,2))&gt;=0,FALSE),IFERROR(INT(MID(metadata!C974,12,2))&lt;=23,FALSE)), OR(MID(metadata!C974,14,1)="", AND(AND(MID(metadata!C974,14,1)=":",IFERROR(INT(MID(metadata!C974,15,1))&gt;=0,FALSE),IFERROR(INT(MID(metadata!C974,15,1))&lt;=5,FALSE),NOT(MID(metadata!C974,16,1)=""),IFERROR(INT(MID(metadata!C974,15,2))&gt;=0,FALSE),IFERROR(INT(MID(metadata!C974,15,2))&lt;=59,FALSE)), OR(MID(metadata!C974,17,1)="", AND(AND(MID(metadata!C974,17,1)=":",IFERROR(INT(MID(metadata!C974,18,1))&gt;=0,FALSE),IFERROR(INT(MID(metadata!C974,18,1))&lt;=5,FALSE),NOT(MID(metadata!C974,19,1)=""),IFERROR(INT(MID(metadata!C974,18,2))&gt;=0,FALSE),IFERROR(INT(MID(metadata!C974,18,2))&lt;=59,FALSE)), LEN(metadata!C974)&lt;=19)))))))))))))</f>
        <v>0</v>
      </c>
      <c r="AD974">
        <f>IF(metadata!D974="",FALSE,TRUE)</f>
        <v>0</v>
      </c>
      <c r="AE974">
        <f>OR(AND(IF(metadata!E974="",FALSE,TRUE),OR(exact(metadata!E974,"missing: not collected"),exact(metadata!E974,"missing: not provided"))),AND(IF(metadata!E974="",FALSE,TRUE),OR(exact(metadata!E974,"TRUE"),exact(metadata!E974,"FALSE"))))</f>
        <v>0</v>
      </c>
      <c r="AF974">
        <f>IF(metadata!F974="",FALSE,TRUE)</f>
        <v>0</v>
      </c>
      <c r="AG974">
        <f>IF(metadata!G974="",FALSE,TRUE)</f>
        <v>0</v>
      </c>
      <c r="AH974">
        <f>IF(metadata!H974="",FALSE,TRUE)</f>
        <v>0</v>
      </c>
      <c r="AI974">
        <f>OR(AND(IF(metadata!I974="",FALSE,TRUE),OR(exact(metadata!I974,"missing: not collected"),exact(metadata!I974,"missing: not provided"),exact(metadata!I974,"missing: restricted access"))),AND(IF(metadata!I974="",FALSE,TRUE),OR(exact(metadata!I974,"air"),exact(metadata!I974,"built environment"),exact(metadata!I974,"host-associated"),exact(metadata!I974,"human-associated"),exact(metadata!I974,"human-skin"),exact(metadata!I974,"human-oral"),exact(metadata!I974,"human-gut"),exact(metadata!I974,"human-vaginal"),exact(metadata!I974,"microbial mat/biofilm"),exact(metadata!I974,"misc environment"),exact(metadata!I974,"plant-associated"),exact(metadata!I974,"sediment"),exact(metadata!I974,"soil"),exact(metadata!I974,"wastewater/sludge"),exact(metadata!I974,"water"))))</f>
        <v>0</v>
      </c>
      <c r="AJ974">
        <f>IF(metadata!J974="",FALSE,TRUE)</f>
        <v>0</v>
      </c>
      <c r="AK974">
        <f>OR(AND(IF(metadata!K974="",FALSE,TRUE),OR(exact(metadata!K974,"missing: not collected"),exact(metadata!K974,"missing: not provided"),exact(metadata!K974,"missing: restricted access"))),AND(IF(metadata!K974="",FALSE,ISNUMBER(VALUE(metadata!K974))),metadata!K974&gt;=-90.00,metadata!K974&lt;=90.00))</f>
        <v>0</v>
      </c>
      <c r="AL974">
        <f>OR(AND(IF(metadata!L974="",FALSE,TRUE),OR(exact(metadata!L974,"missing: not collected"),exact(metadata!L974,"missing: not provided"),exact(metadata!L974,"missing: restricted access"))),AND(IF(metadata!L974="",FALSE,ISNUMBER(VALUE(metadata!L974))),metadata!L974&gt;=-180.00,metadata!L974&lt;=180.00))</f>
        <v>0</v>
      </c>
      <c r="AM974">
        <f>IF(metadata!M974="",FALSE,TRUE)</f>
        <v>0</v>
      </c>
      <c r="AN974">
        <f>OR(AND(IF(metadata!N974="",FALSE,TRUE),OR(exact(metadata!N974,"missing: not collected"),exact(metadata!N974,"missing: not provided"),exact(metadata!N974,"missing: restricted access"))),AND(IF(metadata!N974="",FALSE,TRUE),OR(exact(metadata!N974,"TRUE"),exact(metadata!N974,"FALSE"))))</f>
        <v>0</v>
      </c>
      <c r="AO974">
        <f>IF(metadata!O974="",FALSE,TRUE)</f>
        <v>0</v>
      </c>
      <c r="AP974">
        <f>OR(AND(IF(metadata!P974="",FALSE,TRUE),OR(exact(metadata!P974,"missing: not collected"),exact(metadata!P974,"missing: not provided"))),AND(IF(metadata!P974="",FALSE,IF(ISERROR(INT(metadata!P974)),FALSE,INT(metadata!P974)=metadata!P974)),metadata!P974&gt;0))</f>
        <v>0</v>
      </c>
      <c r="AQ974">
        <f>IF(metadata!Q974="",FALSE,TRUE)</f>
        <v>0</v>
      </c>
    </row>
    <row r="975" spans="1:43">
      <c r="A975" s="5">
        <f>IF(B975=" "," ",HYPERLINK(CONCATENATE("#metadata!",ADDRESS(INDEX($W$2:$W$1001,MATCH(ROWS($U$2:U975),$U$2:$U$1001,0),0),1)),INDEX($Z$2:$Z$1001,MATCH(ROWS($U$2:U975),$U$2:$U$1001,0),0)))</f>
        <v>0</v>
      </c>
      <c r="B975" s="4">
        <f>IF(OR(INDEX($V$2:$V$1001,MATCH(ROWS($U$2:U975),$U$2:$U$1001,0),1)&gt;=100000,INDEX($AB$1005:$AQ$1005,1,MATCH(COLUMNS($AB$1006:AB1006),$AB$1006:$AQ$1006,0))&gt;=100000), " ",IF(INDEX($AB$2:$AQ$1001,MATCH(ROWS($U$2:U975),$U$2:$U$1001,0),MATCH(COLUMNS($AB$1006:AB1006),$AB$1006:$AQ$1006,0)), HYPERLINK("#",""), HYPERLINK(CONCATENATE("#metadata!", ADDRESS(INDEX($W$2:$W$1001,MATCH(ROWS($U$2:U975),$U$2:$U$1001,0),0), INDEX($AB$1004:$AQ$1004,1,MATCH(COLUMNS($AB$1006:AB1006),$AB$1006:$AQ$1006,0)))),"Fix")))</f>
        <v>0</v>
      </c>
      <c r="C975" s="4">
        <f>IF(OR(INDEX($V$2:$V$1001,MATCH(ROWS($U$2:U975),$U$2:$U$1001,0),1)&gt;=100000,INDEX($AB$1005:$AQ$1005,1,MATCH(COLUMNS($AB$1006:AC1006),$AB$1006:$AQ$1006,0))&gt;=100000), " ",IF(INDEX($AB$2:$AQ$1001,MATCH(ROWS($U$2:U975),$U$2:$U$1001,0),MATCH(COLUMNS($AB$1006:AC1006),$AB$1006:$AQ$1006,0)), HYPERLINK("#",""), HYPERLINK(CONCATENATE("#metadata!", ADDRESS(INDEX($W$2:$W$1001,MATCH(ROWS($U$2:U975),$U$2:$U$1001,0),0), INDEX($AB$1004:$AQ$1004,1,MATCH(COLUMNS($AB$1006:AC1006),$AB$1006:$AQ$1006,0)))),"Fix")))</f>
        <v>0</v>
      </c>
      <c r="D975" s="4">
        <f>IF(OR(INDEX($V$2:$V$1001,MATCH(ROWS($U$2:U975),$U$2:$U$1001,0),1)&gt;=100000,INDEX($AB$1005:$AQ$1005,1,MATCH(COLUMNS($AB$1006:AD1006),$AB$1006:$AQ$1006,0))&gt;=100000), " ",IF(INDEX($AB$2:$AQ$1001,MATCH(ROWS($U$2:U975),$U$2:$U$1001,0),MATCH(COLUMNS($AB$1006:AD1006),$AB$1006:$AQ$1006,0)), HYPERLINK("#",""), HYPERLINK(CONCATENATE("#metadata!", ADDRESS(INDEX($W$2:$W$1001,MATCH(ROWS($U$2:U975),$U$2:$U$1001,0),0), INDEX($AB$1004:$AQ$1004,1,MATCH(COLUMNS($AB$1006:AD1006),$AB$1006:$AQ$1006,0)))),"Fix")))</f>
        <v>0</v>
      </c>
      <c r="E975" s="4">
        <f>IF(OR(INDEX($V$2:$V$1001,MATCH(ROWS($U$2:U975),$U$2:$U$1001,0),1)&gt;=100000,INDEX($AB$1005:$AQ$1005,1,MATCH(COLUMNS($AB$1006:AE1006),$AB$1006:$AQ$1006,0))&gt;=100000), " ",IF(INDEX($AB$2:$AQ$1001,MATCH(ROWS($U$2:U975),$U$2:$U$1001,0),MATCH(COLUMNS($AB$1006:AE1006),$AB$1006:$AQ$1006,0)), HYPERLINK("#",""), HYPERLINK(CONCATENATE("#metadata!", ADDRESS(INDEX($W$2:$W$1001,MATCH(ROWS($U$2:U975),$U$2:$U$1001,0),0), INDEX($AB$1004:$AQ$1004,1,MATCH(COLUMNS($AB$1006:AE1006),$AB$1006:$AQ$1006,0)))),"Fix")))</f>
        <v>0</v>
      </c>
      <c r="F975" s="4">
        <f>IF(OR(INDEX($V$2:$V$1001,MATCH(ROWS($U$2:U975),$U$2:$U$1001,0),1)&gt;=100000,INDEX($AB$1005:$AQ$1005,1,MATCH(COLUMNS($AB$1006:AF1006),$AB$1006:$AQ$1006,0))&gt;=100000), " ",IF(INDEX($AB$2:$AQ$1001,MATCH(ROWS($U$2:U975),$U$2:$U$1001,0),MATCH(COLUMNS($AB$1006:AF1006),$AB$1006:$AQ$1006,0)), HYPERLINK("#",""), HYPERLINK(CONCATENATE("#metadata!", ADDRESS(INDEX($W$2:$W$1001,MATCH(ROWS($U$2:U975),$U$2:$U$1001,0),0), INDEX($AB$1004:$AQ$1004,1,MATCH(COLUMNS($AB$1006:AF1006),$AB$1006:$AQ$1006,0)))),"Fix")))</f>
        <v>0</v>
      </c>
      <c r="G975" s="4">
        <f>IF(OR(INDEX($V$2:$V$1001,MATCH(ROWS($U$2:U975),$U$2:$U$1001,0),1)&gt;=100000,INDEX($AB$1005:$AQ$1005,1,MATCH(COLUMNS($AB$1006:AG1006),$AB$1006:$AQ$1006,0))&gt;=100000), " ",IF(INDEX($AB$2:$AQ$1001,MATCH(ROWS($U$2:U975),$U$2:$U$1001,0),MATCH(COLUMNS($AB$1006:AG1006),$AB$1006:$AQ$1006,0)), HYPERLINK("#",""), HYPERLINK(CONCATENATE("#metadata!", ADDRESS(INDEX($W$2:$W$1001,MATCH(ROWS($U$2:U975),$U$2:$U$1001,0),0), INDEX($AB$1004:$AQ$1004,1,MATCH(COLUMNS($AB$1006:AG1006),$AB$1006:$AQ$1006,0)))),"Fix")))</f>
        <v>0</v>
      </c>
      <c r="H975" s="4">
        <f>IF(OR(INDEX($V$2:$V$1001,MATCH(ROWS($U$2:U975),$U$2:$U$1001,0),1)&gt;=100000,INDEX($AB$1005:$AQ$1005,1,MATCH(COLUMNS($AB$1006:AH1006),$AB$1006:$AQ$1006,0))&gt;=100000), " ",IF(INDEX($AB$2:$AQ$1001,MATCH(ROWS($U$2:U975),$U$2:$U$1001,0),MATCH(COLUMNS($AB$1006:AH1006),$AB$1006:$AQ$1006,0)), HYPERLINK("#",""), HYPERLINK(CONCATENATE("#metadata!", ADDRESS(INDEX($W$2:$W$1001,MATCH(ROWS($U$2:U975),$U$2:$U$1001,0),0), INDEX($AB$1004:$AQ$1004,1,MATCH(COLUMNS($AB$1006:AH1006),$AB$1006:$AQ$1006,0)))),"Fix")))</f>
        <v>0</v>
      </c>
      <c r="I975" s="4">
        <f>IF(OR(INDEX($V$2:$V$1001,MATCH(ROWS($U$2:U975),$U$2:$U$1001,0),1)&gt;=100000,INDEX($AB$1005:$AQ$1005,1,MATCH(COLUMNS($AB$1006:AI1006),$AB$1006:$AQ$1006,0))&gt;=100000), " ",IF(INDEX($AB$2:$AQ$1001,MATCH(ROWS($U$2:U975),$U$2:$U$1001,0),MATCH(COLUMNS($AB$1006:AI1006),$AB$1006:$AQ$1006,0)), HYPERLINK("#",""), HYPERLINK(CONCATENATE("#metadata!", ADDRESS(INDEX($W$2:$W$1001,MATCH(ROWS($U$2:U975),$U$2:$U$1001,0),0), INDEX($AB$1004:$AQ$1004,1,MATCH(COLUMNS($AB$1006:AI1006),$AB$1006:$AQ$1006,0)))),"Fix")))</f>
        <v>0</v>
      </c>
      <c r="J975" s="4">
        <f>IF(OR(INDEX($V$2:$V$1001,MATCH(ROWS($U$2:U975),$U$2:$U$1001,0),1)&gt;=100000,INDEX($AB$1005:$AQ$1005,1,MATCH(COLUMNS($AB$1006:AJ1006),$AB$1006:$AQ$1006,0))&gt;=100000), " ",IF(INDEX($AB$2:$AQ$1001,MATCH(ROWS($U$2:U975),$U$2:$U$1001,0),MATCH(COLUMNS($AB$1006:AJ1006),$AB$1006:$AQ$1006,0)), HYPERLINK("#",""), HYPERLINK(CONCATENATE("#metadata!", ADDRESS(INDEX($W$2:$W$1001,MATCH(ROWS($U$2:U975),$U$2:$U$1001,0),0), INDEX($AB$1004:$AQ$1004,1,MATCH(COLUMNS($AB$1006:AJ1006),$AB$1006:$AQ$1006,0)))),"Fix")))</f>
        <v>0</v>
      </c>
      <c r="K975" s="4">
        <f>IF(OR(INDEX($V$2:$V$1001,MATCH(ROWS($U$2:U975),$U$2:$U$1001,0),1)&gt;=100000,INDEX($AB$1005:$AQ$1005,1,MATCH(COLUMNS($AB$1006:AK1006),$AB$1006:$AQ$1006,0))&gt;=100000), " ",IF(INDEX($AB$2:$AQ$1001,MATCH(ROWS($U$2:U975),$U$2:$U$1001,0),MATCH(COLUMNS($AB$1006:AK1006),$AB$1006:$AQ$1006,0)), HYPERLINK("#",""), HYPERLINK(CONCATENATE("#metadata!", ADDRESS(INDEX($W$2:$W$1001,MATCH(ROWS($U$2:U975),$U$2:$U$1001,0),0), INDEX($AB$1004:$AQ$1004,1,MATCH(COLUMNS($AB$1006:AK1006),$AB$1006:$AQ$1006,0)))),"Fix")))</f>
        <v>0</v>
      </c>
      <c r="L975" s="4">
        <f>IF(OR(INDEX($V$2:$V$1001,MATCH(ROWS($U$2:U975),$U$2:$U$1001,0),1)&gt;=100000,INDEX($AB$1005:$AQ$1005,1,MATCH(COLUMNS($AB$1006:AL1006),$AB$1006:$AQ$1006,0))&gt;=100000), " ",IF(INDEX($AB$2:$AQ$1001,MATCH(ROWS($U$2:U975),$U$2:$U$1001,0),MATCH(COLUMNS($AB$1006:AL1006),$AB$1006:$AQ$1006,0)), HYPERLINK("#",""), HYPERLINK(CONCATENATE("#metadata!", ADDRESS(INDEX($W$2:$W$1001,MATCH(ROWS($U$2:U975),$U$2:$U$1001,0),0), INDEX($AB$1004:$AQ$1004,1,MATCH(COLUMNS($AB$1006:AL1006),$AB$1006:$AQ$1006,0)))),"Fix")))</f>
        <v>0</v>
      </c>
      <c r="M975" s="4">
        <f>IF(OR(INDEX($V$2:$V$1001,MATCH(ROWS($U$2:U975),$U$2:$U$1001,0),1)&gt;=100000,INDEX($AB$1005:$AQ$1005,1,MATCH(COLUMNS($AB$1006:AM1006),$AB$1006:$AQ$1006,0))&gt;=100000), " ",IF(INDEX($AB$2:$AQ$1001,MATCH(ROWS($U$2:U975),$U$2:$U$1001,0),MATCH(COLUMNS($AB$1006:AM1006),$AB$1006:$AQ$1006,0)), HYPERLINK("#",""), HYPERLINK(CONCATENATE("#metadata!", ADDRESS(INDEX($W$2:$W$1001,MATCH(ROWS($U$2:U975),$U$2:$U$1001,0),0), INDEX($AB$1004:$AQ$1004,1,MATCH(COLUMNS($AB$1006:AM1006),$AB$1006:$AQ$1006,0)))),"Fix")))</f>
        <v>0</v>
      </c>
      <c r="N975" s="4">
        <f>IF(OR(INDEX($V$2:$V$1001,MATCH(ROWS($U$2:U975),$U$2:$U$1001,0),1)&gt;=100000,INDEX($AB$1005:$AQ$1005,1,MATCH(COLUMNS($AB$1006:AN1006),$AB$1006:$AQ$1006,0))&gt;=100000), " ",IF(INDEX($AB$2:$AQ$1001,MATCH(ROWS($U$2:U975),$U$2:$U$1001,0),MATCH(COLUMNS($AB$1006:AN1006),$AB$1006:$AQ$1006,0)), HYPERLINK("#",""), HYPERLINK(CONCATENATE("#metadata!", ADDRESS(INDEX($W$2:$W$1001,MATCH(ROWS($U$2:U975),$U$2:$U$1001,0),0), INDEX($AB$1004:$AQ$1004,1,MATCH(COLUMNS($AB$1006:AN1006),$AB$1006:$AQ$1006,0)))),"Fix")))</f>
        <v>0</v>
      </c>
      <c r="O975" s="4">
        <f>IF(OR(INDEX($V$2:$V$1001,MATCH(ROWS($U$2:U975),$U$2:$U$1001,0),1)&gt;=100000,INDEX($AB$1005:$AQ$1005,1,MATCH(COLUMNS($AB$1006:AO1006),$AB$1006:$AQ$1006,0))&gt;=100000), " ",IF(INDEX($AB$2:$AQ$1001,MATCH(ROWS($U$2:U975),$U$2:$U$1001,0),MATCH(COLUMNS($AB$1006:AO1006),$AB$1006:$AQ$1006,0)), HYPERLINK("#",""), HYPERLINK(CONCATENATE("#metadata!", ADDRESS(INDEX($W$2:$W$1001,MATCH(ROWS($U$2:U975),$U$2:$U$1001,0),0), INDEX($AB$1004:$AQ$1004,1,MATCH(COLUMNS($AB$1006:AO1006),$AB$1006:$AQ$1006,0)))),"Fix")))</f>
        <v>0</v>
      </c>
      <c r="P975" s="4">
        <f>IF(OR(INDEX($V$2:$V$1001,MATCH(ROWS($U$2:U975),$U$2:$U$1001,0),1)&gt;=100000,INDEX($AB$1005:$AQ$1005,1,MATCH(COLUMNS($AB$1006:AP1006),$AB$1006:$AQ$1006,0))&gt;=100000), " ",IF(INDEX($AB$2:$AQ$1001,MATCH(ROWS($U$2:U975),$U$2:$U$1001,0),MATCH(COLUMNS($AB$1006:AP1006),$AB$1006:$AQ$1006,0)), HYPERLINK("#",""), HYPERLINK(CONCATENATE("#metadata!", ADDRESS(INDEX($W$2:$W$1001,MATCH(ROWS($U$2:U975),$U$2:$U$1001,0),0), INDEX($AB$1004:$AQ$1004,1,MATCH(COLUMNS($AB$1006:AP1006),$AB$1006:$AQ$1006,0)))),"Fix")))</f>
        <v>0</v>
      </c>
      <c r="Q975" s="4">
        <f>IF(OR(INDEX($V$2:$V$1001,MATCH(ROWS($U$2:U975),$U$2:$U$1001,0),1)&gt;=100000,INDEX($AB$1005:$AQ$1005,1,MATCH(COLUMNS($AB$1006:AQ1006),$AB$1006:$AQ$1006,0))&gt;=100000), " ",IF(INDEX($AB$2:$AQ$1001,MATCH(ROWS($U$2:U975),$U$2:$U$1001,0),MATCH(COLUMNS($AB$1006:AQ1006),$AB$1006:$AQ$1006,0)), HYPERLINK("#",""), HYPERLINK(CONCATENATE("#metadata!", ADDRESS(INDEX($W$2:$W$1001,MATCH(ROWS($U$2:U975),$U$2:$U$1001,0),0), INDEX($AB$1004:$AQ$1004,1,MATCH(COLUMNS($AB$1006:AQ1006),$AB$1006:$AQ$1006,0)))),"Fix")))</f>
        <v>0</v>
      </c>
      <c r="U975">
        <v>0</v>
      </c>
      <c r="V975">
        <v>0</v>
      </c>
      <c r="W975">
        <v>0</v>
      </c>
      <c r="X975">
        <f>IF(Y975,TRUE,AND(AB975:AQ975))</f>
        <v>0</v>
      </c>
      <c r="Y975">
        <f>COUNTBLANK(metadata!B975:Q975)=COLUMNS(metadata!B975:Q975)</f>
        <v>0</v>
      </c>
      <c r="Z975">
        <v>0</v>
      </c>
      <c r="AB975">
        <f>AND(IF(metadata!B975="",FALSE,TRUE),COUNTIF(metadata!B:B, metadata!B975) = 1,NOT(ISERROR(SUMPRODUCT(SEARCH(MID(metadata!B975,ROW(INDIRECT("1:"&amp;LEN(metadata!B975))), 1),"0123456789abcdefghijklmnopqrstuvwxyzABCDEFGHIJKLMNOPQRSTUVWXYZ.")))))</f>
        <v>0</v>
      </c>
      <c r="AC975">
        <f>OR(AND(IF(metadata!C975="",FALSE,TRUE),OR(exact(metadata!C975,"missing: not collected"),exact(metadata!C975,"missing: not provided"),exact(metadata!C975,"missing: restricted access"))),AND(IF(metadata!C975="",FALSE,TRUE),AND(AND(IFERROR(INT(LEFT(metadata!C975,4))&gt;1900,FALSE),IFERROR(INT(LEFT(metadata!C975,4))&lt;=YEAR(NOW()),FALSE)), OR(MID(metadata!C975,5,1)="", AND(AND(MID(metadata!C975,5,1)="-",IFERROR(INT(MID(metadata!C975,6,1))&gt;=0,FALSE),IFERROR(INT(MID(metadata!C975,6,1))&lt;=1,FALSE),NOT(MID(metadata!C975,7,1)=""),IFERROR(INT(MID(metadata!C975,6,2))&gt;=1,FALSE),IFERROR(INT(MID(metadata!C975,6,2))&lt;=12,FALSE)), OR(MID(metadata!C975,8,1)="", AND(AND(MID(metadata!C975,8,1)="-",IFERROR(INT(MID(metadata!C975,9,1))&gt;=0,FALSE),IFERROR(INT(MID(metadata!C975,9,1))&lt;=3,FALSE),NOT(MID(metadata!C975,10,1)=""),IFERROR(INT(MID(metadata!C975,9,2))&gt;=1,FALSE),IFERROR(INT(MID(metadata!C975,9,2))&lt;=31,FALSE)), OR(MID(metadata!C975,11,1)="", AND(AND(MID(metadata!C975,11,1)=" ",IFERROR(INT(MID(metadata!C975,12,1))&gt;=0,FALSE),IFERROR(INT(MID(metadata!C975,12,1))&lt;=2,FALSE),NOT(MID(metadata!C975,13,1)=""),IFERROR(INT(MID(metadata!C975,12,2))&gt;=0,FALSE),IFERROR(INT(MID(metadata!C975,12,2))&lt;=23,FALSE)), OR(MID(metadata!C975,14,1)="", AND(AND(MID(metadata!C975,14,1)=":",IFERROR(INT(MID(metadata!C975,15,1))&gt;=0,FALSE),IFERROR(INT(MID(metadata!C975,15,1))&lt;=5,FALSE),NOT(MID(metadata!C975,16,1)=""),IFERROR(INT(MID(metadata!C975,15,2))&gt;=0,FALSE),IFERROR(INT(MID(metadata!C975,15,2))&lt;=59,FALSE)), OR(MID(metadata!C975,17,1)="", AND(AND(MID(metadata!C975,17,1)=":",IFERROR(INT(MID(metadata!C975,18,1))&gt;=0,FALSE),IFERROR(INT(MID(metadata!C975,18,1))&lt;=5,FALSE),NOT(MID(metadata!C975,19,1)=""),IFERROR(INT(MID(metadata!C975,18,2))&gt;=0,FALSE),IFERROR(INT(MID(metadata!C975,18,2))&lt;=59,FALSE)), LEN(metadata!C975)&lt;=19)))))))))))))</f>
        <v>0</v>
      </c>
      <c r="AD975">
        <f>IF(metadata!D975="",FALSE,TRUE)</f>
        <v>0</v>
      </c>
      <c r="AE975">
        <f>OR(AND(IF(metadata!E975="",FALSE,TRUE),OR(exact(metadata!E975,"missing: not collected"),exact(metadata!E975,"missing: not provided"))),AND(IF(metadata!E975="",FALSE,TRUE),OR(exact(metadata!E975,"TRUE"),exact(metadata!E975,"FALSE"))))</f>
        <v>0</v>
      </c>
      <c r="AF975">
        <f>IF(metadata!F975="",FALSE,TRUE)</f>
        <v>0</v>
      </c>
      <c r="AG975">
        <f>IF(metadata!G975="",FALSE,TRUE)</f>
        <v>0</v>
      </c>
      <c r="AH975">
        <f>IF(metadata!H975="",FALSE,TRUE)</f>
        <v>0</v>
      </c>
      <c r="AI975">
        <f>OR(AND(IF(metadata!I975="",FALSE,TRUE),OR(exact(metadata!I975,"missing: not collected"),exact(metadata!I975,"missing: not provided"),exact(metadata!I975,"missing: restricted access"))),AND(IF(metadata!I975="",FALSE,TRUE),OR(exact(metadata!I975,"air"),exact(metadata!I975,"built environment"),exact(metadata!I975,"host-associated"),exact(metadata!I975,"human-associated"),exact(metadata!I975,"human-skin"),exact(metadata!I975,"human-oral"),exact(metadata!I975,"human-gut"),exact(metadata!I975,"human-vaginal"),exact(metadata!I975,"microbial mat/biofilm"),exact(metadata!I975,"misc environment"),exact(metadata!I975,"plant-associated"),exact(metadata!I975,"sediment"),exact(metadata!I975,"soil"),exact(metadata!I975,"wastewater/sludge"),exact(metadata!I975,"water"))))</f>
        <v>0</v>
      </c>
      <c r="AJ975">
        <f>IF(metadata!J975="",FALSE,TRUE)</f>
        <v>0</v>
      </c>
      <c r="AK975">
        <f>OR(AND(IF(metadata!K975="",FALSE,TRUE),OR(exact(metadata!K975,"missing: not collected"),exact(metadata!K975,"missing: not provided"),exact(metadata!K975,"missing: restricted access"))),AND(IF(metadata!K975="",FALSE,ISNUMBER(VALUE(metadata!K975))),metadata!K975&gt;=-90.00,metadata!K975&lt;=90.00))</f>
        <v>0</v>
      </c>
      <c r="AL975">
        <f>OR(AND(IF(metadata!L975="",FALSE,TRUE),OR(exact(metadata!L975,"missing: not collected"),exact(metadata!L975,"missing: not provided"),exact(metadata!L975,"missing: restricted access"))),AND(IF(metadata!L975="",FALSE,ISNUMBER(VALUE(metadata!L975))),metadata!L975&gt;=-180.00,metadata!L975&lt;=180.00))</f>
        <v>0</v>
      </c>
      <c r="AM975">
        <f>IF(metadata!M975="",FALSE,TRUE)</f>
        <v>0</v>
      </c>
      <c r="AN975">
        <f>OR(AND(IF(metadata!N975="",FALSE,TRUE),OR(exact(metadata!N975,"missing: not collected"),exact(metadata!N975,"missing: not provided"),exact(metadata!N975,"missing: restricted access"))),AND(IF(metadata!N975="",FALSE,TRUE),OR(exact(metadata!N975,"TRUE"),exact(metadata!N975,"FALSE"))))</f>
        <v>0</v>
      </c>
      <c r="AO975">
        <f>IF(metadata!O975="",FALSE,TRUE)</f>
        <v>0</v>
      </c>
      <c r="AP975">
        <f>OR(AND(IF(metadata!P975="",FALSE,TRUE),OR(exact(metadata!P975,"missing: not collected"),exact(metadata!P975,"missing: not provided"))),AND(IF(metadata!P975="",FALSE,IF(ISERROR(INT(metadata!P975)),FALSE,INT(metadata!P975)=metadata!P975)),metadata!P975&gt;0))</f>
        <v>0</v>
      </c>
      <c r="AQ975">
        <f>IF(metadata!Q975="",FALSE,TRUE)</f>
        <v>0</v>
      </c>
    </row>
    <row r="976" spans="1:43">
      <c r="A976" s="5">
        <f>IF(B976=" "," ",HYPERLINK(CONCATENATE("#metadata!",ADDRESS(INDEX($W$2:$W$1001,MATCH(ROWS($U$2:U976),$U$2:$U$1001,0),0),1)),INDEX($Z$2:$Z$1001,MATCH(ROWS($U$2:U976),$U$2:$U$1001,0),0)))</f>
        <v>0</v>
      </c>
      <c r="B976" s="4">
        <f>IF(OR(INDEX($V$2:$V$1001,MATCH(ROWS($U$2:U976),$U$2:$U$1001,0),1)&gt;=100000,INDEX($AB$1005:$AQ$1005,1,MATCH(COLUMNS($AB$1006:AB1006),$AB$1006:$AQ$1006,0))&gt;=100000), " ",IF(INDEX($AB$2:$AQ$1001,MATCH(ROWS($U$2:U976),$U$2:$U$1001,0),MATCH(COLUMNS($AB$1006:AB1006),$AB$1006:$AQ$1006,0)), HYPERLINK("#",""), HYPERLINK(CONCATENATE("#metadata!", ADDRESS(INDEX($W$2:$W$1001,MATCH(ROWS($U$2:U976),$U$2:$U$1001,0),0), INDEX($AB$1004:$AQ$1004,1,MATCH(COLUMNS($AB$1006:AB1006),$AB$1006:$AQ$1006,0)))),"Fix")))</f>
        <v>0</v>
      </c>
      <c r="C976" s="4">
        <f>IF(OR(INDEX($V$2:$V$1001,MATCH(ROWS($U$2:U976),$U$2:$U$1001,0),1)&gt;=100000,INDEX($AB$1005:$AQ$1005,1,MATCH(COLUMNS($AB$1006:AC1006),$AB$1006:$AQ$1006,0))&gt;=100000), " ",IF(INDEX($AB$2:$AQ$1001,MATCH(ROWS($U$2:U976),$U$2:$U$1001,0),MATCH(COLUMNS($AB$1006:AC1006),$AB$1006:$AQ$1006,0)), HYPERLINK("#",""), HYPERLINK(CONCATENATE("#metadata!", ADDRESS(INDEX($W$2:$W$1001,MATCH(ROWS($U$2:U976),$U$2:$U$1001,0),0), INDEX($AB$1004:$AQ$1004,1,MATCH(COLUMNS($AB$1006:AC1006),$AB$1006:$AQ$1006,0)))),"Fix")))</f>
        <v>0</v>
      </c>
      <c r="D976" s="4">
        <f>IF(OR(INDEX($V$2:$V$1001,MATCH(ROWS($U$2:U976),$U$2:$U$1001,0),1)&gt;=100000,INDEX($AB$1005:$AQ$1005,1,MATCH(COLUMNS($AB$1006:AD1006),$AB$1006:$AQ$1006,0))&gt;=100000), " ",IF(INDEX($AB$2:$AQ$1001,MATCH(ROWS($U$2:U976),$U$2:$U$1001,0),MATCH(COLUMNS($AB$1006:AD1006),$AB$1006:$AQ$1006,0)), HYPERLINK("#",""), HYPERLINK(CONCATENATE("#metadata!", ADDRESS(INDEX($W$2:$W$1001,MATCH(ROWS($U$2:U976),$U$2:$U$1001,0),0), INDEX($AB$1004:$AQ$1004,1,MATCH(COLUMNS($AB$1006:AD1006),$AB$1006:$AQ$1006,0)))),"Fix")))</f>
        <v>0</v>
      </c>
      <c r="E976" s="4">
        <f>IF(OR(INDEX($V$2:$V$1001,MATCH(ROWS($U$2:U976),$U$2:$U$1001,0),1)&gt;=100000,INDEX($AB$1005:$AQ$1005,1,MATCH(COLUMNS($AB$1006:AE1006),$AB$1006:$AQ$1006,0))&gt;=100000), " ",IF(INDEX($AB$2:$AQ$1001,MATCH(ROWS($U$2:U976),$U$2:$U$1001,0),MATCH(COLUMNS($AB$1006:AE1006),$AB$1006:$AQ$1006,0)), HYPERLINK("#",""), HYPERLINK(CONCATENATE("#metadata!", ADDRESS(INDEX($W$2:$W$1001,MATCH(ROWS($U$2:U976),$U$2:$U$1001,0),0), INDEX($AB$1004:$AQ$1004,1,MATCH(COLUMNS($AB$1006:AE1006),$AB$1006:$AQ$1006,0)))),"Fix")))</f>
        <v>0</v>
      </c>
      <c r="F976" s="4">
        <f>IF(OR(INDEX($V$2:$V$1001,MATCH(ROWS($U$2:U976),$U$2:$U$1001,0),1)&gt;=100000,INDEX($AB$1005:$AQ$1005,1,MATCH(COLUMNS($AB$1006:AF1006),$AB$1006:$AQ$1006,0))&gt;=100000), " ",IF(INDEX($AB$2:$AQ$1001,MATCH(ROWS($U$2:U976),$U$2:$U$1001,0),MATCH(COLUMNS($AB$1006:AF1006),$AB$1006:$AQ$1006,0)), HYPERLINK("#",""), HYPERLINK(CONCATENATE("#metadata!", ADDRESS(INDEX($W$2:$W$1001,MATCH(ROWS($U$2:U976),$U$2:$U$1001,0),0), INDEX($AB$1004:$AQ$1004,1,MATCH(COLUMNS($AB$1006:AF1006),$AB$1006:$AQ$1006,0)))),"Fix")))</f>
        <v>0</v>
      </c>
      <c r="G976" s="4">
        <f>IF(OR(INDEX($V$2:$V$1001,MATCH(ROWS($U$2:U976),$U$2:$U$1001,0),1)&gt;=100000,INDEX($AB$1005:$AQ$1005,1,MATCH(COLUMNS($AB$1006:AG1006),$AB$1006:$AQ$1006,0))&gt;=100000), " ",IF(INDEX($AB$2:$AQ$1001,MATCH(ROWS($U$2:U976),$U$2:$U$1001,0),MATCH(COLUMNS($AB$1006:AG1006),$AB$1006:$AQ$1006,0)), HYPERLINK("#",""), HYPERLINK(CONCATENATE("#metadata!", ADDRESS(INDEX($W$2:$W$1001,MATCH(ROWS($U$2:U976),$U$2:$U$1001,0),0), INDEX($AB$1004:$AQ$1004,1,MATCH(COLUMNS($AB$1006:AG1006),$AB$1006:$AQ$1006,0)))),"Fix")))</f>
        <v>0</v>
      </c>
      <c r="H976" s="4">
        <f>IF(OR(INDEX($V$2:$V$1001,MATCH(ROWS($U$2:U976),$U$2:$U$1001,0),1)&gt;=100000,INDEX($AB$1005:$AQ$1005,1,MATCH(COLUMNS($AB$1006:AH1006),$AB$1006:$AQ$1006,0))&gt;=100000), " ",IF(INDEX($AB$2:$AQ$1001,MATCH(ROWS($U$2:U976),$U$2:$U$1001,0),MATCH(COLUMNS($AB$1006:AH1006),$AB$1006:$AQ$1006,0)), HYPERLINK("#",""), HYPERLINK(CONCATENATE("#metadata!", ADDRESS(INDEX($W$2:$W$1001,MATCH(ROWS($U$2:U976),$U$2:$U$1001,0),0), INDEX($AB$1004:$AQ$1004,1,MATCH(COLUMNS($AB$1006:AH1006),$AB$1006:$AQ$1006,0)))),"Fix")))</f>
        <v>0</v>
      </c>
      <c r="I976" s="4">
        <f>IF(OR(INDEX($V$2:$V$1001,MATCH(ROWS($U$2:U976),$U$2:$U$1001,0),1)&gt;=100000,INDEX($AB$1005:$AQ$1005,1,MATCH(COLUMNS($AB$1006:AI1006),$AB$1006:$AQ$1006,0))&gt;=100000), " ",IF(INDEX($AB$2:$AQ$1001,MATCH(ROWS($U$2:U976),$U$2:$U$1001,0),MATCH(COLUMNS($AB$1006:AI1006),$AB$1006:$AQ$1006,0)), HYPERLINK("#",""), HYPERLINK(CONCATENATE("#metadata!", ADDRESS(INDEX($W$2:$W$1001,MATCH(ROWS($U$2:U976),$U$2:$U$1001,0),0), INDEX($AB$1004:$AQ$1004,1,MATCH(COLUMNS($AB$1006:AI1006),$AB$1006:$AQ$1006,0)))),"Fix")))</f>
        <v>0</v>
      </c>
      <c r="J976" s="4">
        <f>IF(OR(INDEX($V$2:$V$1001,MATCH(ROWS($U$2:U976),$U$2:$U$1001,0),1)&gt;=100000,INDEX($AB$1005:$AQ$1005,1,MATCH(COLUMNS($AB$1006:AJ1006),$AB$1006:$AQ$1006,0))&gt;=100000), " ",IF(INDEX($AB$2:$AQ$1001,MATCH(ROWS($U$2:U976),$U$2:$U$1001,0),MATCH(COLUMNS($AB$1006:AJ1006),$AB$1006:$AQ$1006,0)), HYPERLINK("#",""), HYPERLINK(CONCATENATE("#metadata!", ADDRESS(INDEX($W$2:$W$1001,MATCH(ROWS($U$2:U976),$U$2:$U$1001,0),0), INDEX($AB$1004:$AQ$1004,1,MATCH(COLUMNS($AB$1006:AJ1006),$AB$1006:$AQ$1006,0)))),"Fix")))</f>
        <v>0</v>
      </c>
      <c r="K976" s="4">
        <f>IF(OR(INDEX($V$2:$V$1001,MATCH(ROWS($U$2:U976),$U$2:$U$1001,0),1)&gt;=100000,INDEX($AB$1005:$AQ$1005,1,MATCH(COLUMNS($AB$1006:AK1006),$AB$1006:$AQ$1006,0))&gt;=100000), " ",IF(INDEX($AB$2:$AQ$1001,MATCH(ROWS($U$2:U976),$U$2:$U$1001,0),MATCH(COLUMNS($AB$1006:AK1006),$AB$1006:$AQ$1006,0)), HYPERLINK("#",""), HYPERLINK(CONCATENATE("#metadata!", ADDRESS(INDEX($W$2:$W$1001,MATCH(ROWS($U$2:U976),$U$2:$U$1001,0),0), INDEX($AB$1004:$AQ$1004,1,MATCH(COLUMNS($AB$1006:AK1006),$AB$1006:$AQ$1006,0)))),"Fix")))</f>
        <v>0</v>
      </c>
      <c r="L976" s="4">
        <f>IF(OR(INDEX($V$2:$V$1001,MATCH(ROWS($U$2:U976),$U$2:$U$1001,0),1)&gt;=100000,INDEX($AB$1005:$AQ$1005,1,MATCH(COLUMNS($AB$1006:AL1006),$AB$1006:$AQ$1006,0))&gt;=100000), " ",IF(INDEX($AB$2:$AQ$1001,MATCH(ROWS($U$2:U976),$U$2:$U$1001,0),MATCH(COLUMNS($AB$1006:AL1006),$AB$1006:$AQ$1006,0)), HYPERLINK("#",""), HYPERLINK(CONCATENATE("#metadata!", ADDRESS(INDEX($W$2:$W$1001,MATCH(ROWS($U$2:U976),$U$2:$U$1001,0),0), INDEX($AB$1004:$AQ$1004,1,MATCH(COLUMNS($AB$1006:AL1006),$AB$1006:$AQ$1006,0)))),"Fix")))</f>
        <v>0</v>
      </c>
      <c r="M976" s="4">
        <f>IF(OR(INDEX($V$2:$V$1001,MATCH(ROWS($U$2:U976),$U$2:$U$1001,0),1)&gt;=100000,INDEX($AB$1005:$AQ$1005,1,MATCH(COLUMNS($AB$1006:AM1006),$AB$1006:$AQ$1006,0))&gt;=100000), " ",IF(INDEX($AB$2:$AQ$1001,MATCH(ROWS($U$2:U976),$U$2:$U$1001,0),MATCH(COLUMNS($AB$1006:AM1006),$AB$1006:$AQ$1006,0)), HYPERLINK("#",""), HYPERLINK(CONCATENATE("#metadata!", ADDRESS(INDEX($W$2:$W$1001,MATCH(ROWS($U$2:U976),$U$2:$U$1001,0),0), INDEX($AB$1004:$AQ$1004,1,MATCH(COLUMNS($AB$1006:AM1006),$AB$1006:$AQ$1006,0)))),"Fix")))</f>
        <v>0</v>
      </c>
      <c r="N976" s="4">
        <f>IF(OR(INDEX($V$2:$V$1001,MATCH(ROWS($U$2:U976),$U$2:$U$1001,0),1)&gt;=100000,INDEX($AB$1005:$AQ$1005,1,MATCH(COLUMNS($AB$1006:AN1006),$AB$1006:$AQ$1006,0))&gt;=100000), " ",IF(INDEX($AB$2:$AQ$1001,MATCH(ROWS($U$2:U976),$U$2:$U$1001,0),MATCH(COLUMNS($AB$1006:AN1006),$AB$1006:$AQ$1006,0)), HYPERLINK("#",""), HYPERLINK(CONCATENATE("#metadata!", ADDRESS(INDEX($W$2:$W$1001,MATCH(ROWS($U$2:U976),$U$2:$U$1001,0),0), INDEX($AB$1004:$AQ$1004,1,MATCH(COLUMNS($AB$1006:AN1006),$AB$1006:$AQ$1006,0)))),"Fix")))</f>
        <v>0</v>
      </c>
      <c r="O976" s="4">
        <f>IF(OR(INDEX($V$2:$V$1001,MATCH(ROWS($U$2:U976),$U$2:$U$1001,0),1)&gt;=100000,INDEX($AB$1005:$AQ$1005,1,MATCH(COLUMNS($AB$1006:AO1006),$AB$1006:$AQ$1006,0))&gt;=100000), " ",IF(INDEX($AB$2:$AQ$1001,MATCH(ROWS($U$2:U976),$U$2:$U$1001,0),MATCH(COLUMNS($AB$1006:AO1006),$AB$1006:$AQ$1006,0)), HYPERLINK("#",""), HYPERLINK(CONCATENATE("#metadata!", ADDRESS(INDEX($W$2:$W$1001,MATCH(ROWS($U$2:U976),$U$2:$U$1001,0),0), INDEX($AB$1004:$AQ$1004,1,MATCH(COLUMNS($AB$1006:AO1006),$AB$1006:$AQ$1006,0)))),"Fix")))</f>
        <v>0</v>
      </c>
      <c r="P976" s="4">
        <f>IF(OR(INDEX($V$2:$V$1001,MATCH(ROWS($U$2:U976),$U$2:$U$1001,0),1)&gt;=100000,INDEX($AB$1005:$AQ$1005,1,MATCH(COLUMNS($AB$1006:AP1006),$AB$1006:$AQ$1006,0))&gt;=100000), " ",IF(INDEX($AB$2:$AQ$1001,MATCH(ROWS($U$2:U976),$U$2:$U$1001,0),MATCH(COLUMNS($AB$1006:AP1006),$AB$1006:$AQ$1006,0)), HYPERLINK("#",""), HYPERLINK(CONCATENATE("#metadata!", ADDRESS(INDEX($W$2:$W$1001,MATCH(ROWS($U$2:U976),$U$2:$U$1001,0),0), INDEX($AB$1004:$AQ$1004,1,MATCH(COLUMNS($AB$1006:AP1006),$AB$1006:$AQ$1006,0)))),"Fix")))</f>
        <v>0</v>
      </c>
      <c r="Q976" s="4">
        <f>IF(OR(INDEX($V$2:$V$1001,MATCH(ROWS($U$2:U976),$U$2:$U$1001,0),1)&gt;=100000,INDEX($AB$1005:$AQ$1005,1,MATCH(COLUMNS($AB$1006:AQ1006),$AB$1006:$AQ$1006,0))&gt;=100000), " ",IF(INDEX($AB$2:$AQ$1001,MATCH(ROWS($U$2:U976),$U$2:$U$1001,0),MATCH(COLUMNS($AB$1006:AQ1006),$AB$1006:$AQ$1006,0)), HYPERLINK("#",""), HYPERLINK(CONCATENATE("#metadata!", ADDRESS(INDEX($W$2:$W$1001,MATCH(ROWS($U$2:U976),$U$2:$U$1001,0),0), INDEX($AB$1004:$AQ$1004,1,MATCH(COLUMNS($AB$1006:AQ1006),$AB$1006:$AQ$1006,0)))),"Fix")))</f>
        <v>0</v>
      </c>
      <c r="U976">
        <v>0</v>
      </c>
      <c r="V976">
        <v>0</v>
      </c>
      <c r="W976">
        <v>0</v>
      </c>
      <c r="X976">
        <f>IF(Y976,TRUE,AND(AB976:AQ976))</f>
        <v>0</v>
      </c>
      <c r="Y976">
        <f>COUNTBLANK(metadata!B976:Q976)=COLUMNS(metadata!B976:Q976)</f>
        <v>0</v>
      </c>
      <c r="Z976">
        <v>0</v>
      </c>
      <c r="AB976">
        <f>AND(IF(metadata!B976="",FALSE,TRUE),COUNTIF(metadata!B:B, metadata!B976) = 1,NOT(ISERROR(SUMPRODUCT(SEARCH(MID(metadata!B976,ROW(INDIRECT("1:"&amp;LEN(metadata!B976))), 1),"0123456789abcdefghijklmnopqrstuvwxyzABCDEFGHIJKLMNOPQRSTUVWXYZ.")))))</f>
        <v>0</v>
      </c>
      <c r="AC976">
        <f>OR(AND(IF(metadata!C976="",FALSE,TRUE),OR(exact(metadata!C976,"missing: not collected"),exact(metadata!C976,"missing: not provided"),exact(metadata!C976,"missing: restricted access"))),AND(IF(metadata!C976="",FALSE,TRUE),AND(AND(IFERROR(INT(LEFT(metadata!C976,4))&gt;1900,FALSE),IFERROR(INT(LEFT(metadata!C976,4))&lt;=YEAR(NOW()),FALSE)), OR(MID(metadata!C976,5,1)="", AND(AND(MID(metadata!C976,5,1)="-",IFERROR(INT(MID(metadata!C976,6,1))&gt;=0,FALSE),IFERROR(INT(MID(metadata!C976,6,1))&lt;=1,FALSE),NOT(MID(metadata!C976,7,1)=""),IFERROR(INT(MID(metadata!C976,6,2))&gt;=1,FALSE),IFERROR(INT(MID(metadata!C976,6,2))&lt;=12,FALSE)), OR(MID(metadata!C976,8,1)="", AND(AND(MID(metadata!C976,8,1)="-",IFERROR(INT(MID(metadata!C976,9,1))&gt;=0,FALSE),IFERROR(INT(MID(metadata!C976,9,1))&lt;=3,FALSE),NOT(MID(metadata!C976,10,1)=""),IFERROR(INT(MID(metadata!C976,9,2))&gt;=1,FALSE),IFERROR(INT(MID(metadata!C976,9,2))&lt;=31,FALSE)), OR(MID(metadata!C976,11,1)="", AND(AND(MID(metadata!C976,11,1)=" ",IFERROR(INT(MID(metadata!C976,12,1))&gt;=0,FALSE),IFERROR(INT(MID(metadata!C976,12,1))&lt;=2,FALSE),NOT(MID(metadata!C976,13,1)=""),IFERROR(INT(MID(metadata!C976,12,2))&gt;=0,FALSE),IFERROR(INT(MID(metadata!C976,12,2))&lt;=23,FALSE)), OR(MID(metadata!C976,14,1)="", AND(AND(MID(metadata!C976,14,1)=":",IFERROR(INT(MID(metadata!C976,15,1))&gt;=0,FALSE),IFERROR(INT(MID(metadata!C976,15,1))&lt;=5,FALSE),NOT(MID(metadata!C976,16,1)=""),IFERROR(INT(MID(metadata!C976,15,2))&gt;=0,FALSE),IFERROR(INT(MID(metadata!C976,15,2))&lt;=59,FALSE)), OR(MID(metadata!C976,17,1)="", AND(AND(MID(metadata!C976,17,1)=":",IFERROR(INT(MID(metadata!C976,18,1))&gt;=0,FALSE),IFERROR(INT(MID(metadata!C976,18,1))&lt;=5,FALSE),NOT(MID(metadata!C976,19,1)=""),IFERROR(INT(MID(metadata!C976,18,2))&gt;=0,FALSE),IFERROR(INT(MID(metadata!C976,18,2))&lt;=59,FALSE)), LEN(metadata!C976)&lt;=19)))))))))))))</f>
        <v>0</v>
      </c>
      <c r="AD976">
        <f>IF(metadata!D976="",FALSE,TRUE)</f>
        <v>0</v>
      </c>
      <c r="AE976">
        <f>OR(AND(IF(metadata!E976="",FALSE,TRUE),OR(exact(metadata!E976,"missing: not collected"),exact(metadata!E976,"missing: not provided"))),AND(IF(metadata!E976="",FALSE,TRUE),OR(exact(metadata!E976,"TRUE"),exact(metadata!E976,"FALSE"))))</f>
        <v>0</v>
      </c>
      <c r="AF976">
        <f>IF(metadata!F976="",FALSE,TRUE)</f>
        <v>0</v>
      </c>
      <c r="AG976">
        <f>IF(metadata!G976="",FALSE,TRUE)</f>
        <v>0</v>
      </c>
      <c r="AH976">
        <f>IF(metadata!H976="",FALSE,TRUE)</f>
        <v>0</v>
      </c>
      <c r="AI976">
        <f>OR(AND(IF(metadata!I976="",FALSE,TRUE),OR(exact(metadata!I976,"missing: not collected"),exact(metadata!I976,"missing: not provided"),exact(metadata!I976,"missing: restricted access"))),AND(IF(metadata!I976="",FALSE,TRUE),OR(exact(metadata!I976,"air"),exact(metadata!I976,"built environment"),exact(metadata!I976,"host-associated"),exact(metadata!I976,"human-associated"),exact(metadata!I976,"human-skin"),exact(metadata!I976,"human-oral"),exact(metadata!I976,"human-gut"),exact(metadata!I976,"human-vaginal"),exact(metadata!I976,"microbial mat/biofilm"),exact(metadata!I976,"misc environment"),exact(metadata!I976,"plant-associated"),exact(metadata!I976,"sediment"),exact(metadata!I976,"soil"),exact(metadata!I976,"wastewater/sludge"),exact(metadata!I976,"water"))))</f>
        <v>0</v>
      </c>
      <c r="AJ976">
        <f>IF(metadata!J976="",FALSE,TRUE)</f>
        <v>0</v>
      </c>
      <c r="AK976">
        <f>OR(AND(IF(metadata!K976="",FALSE,TRUE),OR(exact(metadata!K976,"missing: not collected"),exact(metadata!K976,"missing: not provided"),exact(metadata!K976,"missing: restricted access"))),AND(IF(metadata!K976="",FALSE,ISNUMBER(VALUE(metadata!K976))),metadata!K976&gt;=-90.00,metadata!K976&lt;=90.00))</f>
        <v>0</v>
      </c>
      <c r="AL976">
        <f>OR(AND(IF(metadata!L976="",FALSE,TRUE),OR(exact(metadata!L976,"missing: not collected"),exact(metadata!L976,"missing: not provided"),exact(metadata!L976,"missing: restricted access"))),AND(IF(metadata!L976="",FALSE,ISNUMBER(VALUE(metadata!L976))),metadata!L976&gt;=-180.00,metadata!L976&lt;=180.00))</f>
        <v>0</v>
      </c>
      <c r="AM976">
        <f>IF(metadata!M976="",FALSE,TRUE)</f>
        <v>0</v>
      </c>
      <c r="AN976">
        <f>OR(AND(IF(metadata!N976="",FALSE,TRUE),OR(exact(metadata!N976,"missing: not collected"),exact(metadata!N976,"missing: not provided"),exact(metadata!N976,"missing: restricted access"))),AND(IF(metadata!N976="",FALSE,TRUE),OR(exact(metadata!N976,"TRUE"),exact(metadata!N976,"FALSE"))))</f>
        <v>0</v>
      </c>
      <c r="AO976">
        <f>IF(metadata!O976="",FALSE,TRUE)</f>
        <v>0</v>
      </c>
      <c r="AP976">
        <f>OR(AND(IF(metadata!P976="",FALSE,TRUE),OR(exact(metadata!P976,"missing: not collected"),exact(metadata!P976,"missing: not provided"))),AND(IF(metadata!P976="",FALSE,IF(ISERROR(INT(metadata!P976)),FALSE,INT(metadata!P976)=metadata!P976)),metadata!P976&gt;0))</f>
        <v>0</v>
      </c>
      <c r="AQ976">
        <f>IF(metadata!Q976="",FALSE,TRUE)</f>
        <v>0</v>
      </c>
    </row>
    <row r="977" spans="1:43">
      <c r="A977" s="5">
        <f>IF(B977=" "," ",HYPERLINK(CONCATENATE("#metadata!",ADDRESS(INDEX($W$2:$W$1001,MATCH(ROWS($U$2:U977),$U$2:$U$1001,0),0),1)),INDEX($Z$2:$Z$1001,MATCH(ROWS($U$2:U977),$U$2:$U$1001,0),0)))</f>
        <v>0</v>
      </c>
      <c r="B977" s="4">
        <f>IF(OR(INDEX($V$2:$V$1001,MATCH(ROWS($U$2:U977),$U$2:$U$1001,0),1)&gt;=100000,INDEX($AB$1005:$AQ$1005,1,MATCH(COLUMNS($AB$1006:AB1006),$AB$1006:$AQ$1006,0))&gt;=100000), " ",IF(INDEX($AB$2:$AQ$1001,MATCH(ROWS($U$2:U977),$U$2:$U$1001,0),MATCH(COLUMNS($AB$1006:AB1006),$AB$1006:$AQ$1006,0)), HYPERLINK("#",""), HYPERLINK(CONCATENATE("#metadata!", ADDRESS(INDEX($W$2:$W$1001,MATCH(ROWS($U$2:U977),$U$2:$U$1001,0),0), INDEX($AB$1004:$AQ$1004,1,MATCH(COLUMNS($AB$1006:AB1006),$AB$1006:$AQ$1006,0)))),"Fix")))</f>
        <v>0</v>
      </c>
      <c r="C977" s="4">
        <f>IF(OR(INDEX($V$2:$V$1001,MATCH(ROWS($U$2:U977),$U$2:$U$1001,0),1)&gt;=100000,INDEX($AB$1005:$AQ$1005,1,MATCH(COLUMNS($AB$1006:AC1006),$AB$1006:$AQ$1006,0))&gt;=100000), " ",IF(INDEX($AB$2:$AQ$1001,MATCH(ROWS($U$2:U977),$U$2:$U$1001,0),MATCH(COLUMNS($AB$1006:AC1006),$AB$1006:$AQ$1006,0)), HYPERLINK("#",""), HYPERLINK(CONCATENATE("#metadata!", ADDRESS(INDEX($W$2:$W$1001,MATCH(ROWS($U$2:U977),$U$2:$U$1001,0),0), INDEX($AB$1004:$AQ$1004,1,MATCH(COLUMNS($AB$1006:AC1006),$AB$1006:$AQ$1006,0)))),"Fix")))</f>
        <v>0</v>
      </c>
      <c r="D977" s="4">
        <f>IF(OR(INDEX($V$2:$V$1001,MATCH(ROWS($U$2:U977),$U$2:$U$1001,0),1)&gt;=100000,INDEX($AB$1005:$AQ$1005,1,MATCH(COLUMNS($AB$1006:AD1006),$AB$1006:$AQ$1006,0))&gt;=100000), " ",IF(INDEX($AB$2:$AQ$1001,MATCH(ROWS($U$2:U977),$U$2:$U$1001,0),MATCH(COLUMNS($AB$1006:AD1006),$AB$1006:$AQ$1006,0)), HYPERLINK("#",""), HYPERLINK(CONCATENATE("#metadata!", ADDRESS(INDEX($W$2:$W$1001,MATCH(ROWS($U$2:U977),$U$2:$U$1001,0),0), INDEX($AB$1004:$AQ$1004,1,MATCH(COLUMNS($AB$1006:AD1006),$AB$1006:$AQ$1006,0)))),"Fix")))</f>
        <v>0</v>
      </c>
      <c r="E977" s="4">
        <f>IF(OR(INDEX($V$2:$V$1001,MATCH(ROWS($U$2:U977),$U$2:$U$1001,0),1)&gt;=100000,INDEX($AB$1005:$AQ$1005,1,MATCH(COLUMNS($AB$1006:AE1006),$AB$1006:$AQ$1006,0))&gt;=100000), " ",IF(INDEX($AB$2:$AQ$1001,MATCH(ROWS($U$2:U977),$U$2:$U$1001,0),MATCH(COLUMNS($AB$1006:AE1006),$AB$1006:$AQ$1006,0)), HYPERLINK("#",""), HYPERLINK(CONCATENATE("#metadata!", ADDRESS(INDEX($W$2:$W$1001,MATCH(ROWS($U$2:U977),$U$2:$U$1001,0),0), INDEX($AB$1004:$AQ$1004,1,MATCH(COLUMNS($AB$1006:AE1006),$AB$1006:$AQ$1006,0)))),"Fix")))</f>
        <v>0</v>
      </c>
      <c r="F977" s="4">
        <f>IF(OR(INDEX($V$2:$V$1001,MATCH(ROWS($U$2:U977),$U$2:$U$1001,0),1)&gt;=100000,INDEX($AB$1005:$AQ$1005,1,MATCH(COLUMNS($AB$1006:AF1006),$AB$1006:$AQ$1006,0))&gt;=100000), " ",IF(INDEX($AB$2:$AQ$1001,MATCH(ROWS($U$2:U977),$U$2:$U$1001,0),MATCH(COLUMNS($AB$1006:AF1006),$AB$1006:$AQ$1006,0)), HYPERLINK("#",""), HYPERLINK(CONCATENATE("#metadata!", ADDRESS(INDEX($W$2:$W$1001,MATCH(ROWS($U$2:U977),$U$2:$U$1001,0),0), INDEX($AB$1004:$AQ$1004,1,MATCH(COLUMNS($AB$1006:AF1006),$AB$1006:$AQ$1006,0)))),"Fix")))</f>
        <v>0</v>
      </c>
      <c r="G977" s="4">
        <f>IF(OR(INDEX($V$2:$V$1001,MATCH(ROWS($U$2:U977),$U$2:$U$1001,0),1)&gt;=100000,INDEX($AB$1005:$AQ$1005,1,MATCH(COLUMNS($AB$1006:AG1006),$AB$1006:$AQ$1006,0))&gt;=100000), " ",IF(INDEX($AB$2:$AQ$1001,MATCH(ROWS($U$2:U977),$U$2:$U$1001,0),MATCH(COLUMNS($AB$1006:AG1006),$AB$1006:$AQ$1006,0)), HYPERLINK("#",""), HYPERLINK(CONCATENATE("#metadata!", ADDRESS(INDEX($W$2:$W$1001,MATCH(ROWS($U$2:U977),$U$2:$U$1001,0),0), INDEX($AB$1004:$AQ$1004,1,MATCH(COLUMNS($AB$1006:AG1006),$AB$1006:$AQ$1006,0)))),"Fix")))</f>
        <v>0</v>
      </c>
      <c r="H977" s="4">
        <f>IF(OR(INDEX($V$2:$V$1001,MATCH(ROWS($U$2:U977),$U$2:$U$1001,0),1)&gt;=100000,INDEX($AB$1005:$AQ$1005,1,MATCH(COLUMNS($AB$1006:AH1006),$AB$1006:$AQ$1006,0))&gt;=100000), " ",IF(INDEX($AB$2:$AQ$1001,MATCH(ROWS($U$2:U977),$U$2:$U$1001,0),MATCH(COLUMNS($AB$1006:AH1006),$AB$1006:$AQ$1006,0)), HYPERLINK("#",""), HYPERLINK(CONCATENATE("#metadata!", ADDRESS(INDEX($W$2:$W$1001,MATCH(ROWS($U$2:U977),$U$2:$U$1001,0),0), INDEX($AB$1004:$AQ$1004,1,MATCH(COLUMNS($AB$1006:AH1006),$AB$1006:$AQ$1006,0)))),"Fix")))</f>
        <v>0</v>
      </c>
      <c r="I977" s="4">
        <f>IF(OR(INDEX($V$2:$V$1001,MATCH(ROWS($U$2:U977),$U$2:$U$1001,0),1)&gt;=100000,INDEX($AB$1005:$AQ$1005,1,MATCH(COLUMNS($AB$1006:AI1006),$AB$1006:$AQ$1006,0))&gt;=100000), " ",IF(INDEX($AB$2:$AQ$1001,MATCH(ROWS($U$2:U977),$U$2:$U$1001,0),MATCH(COLUMNS($AB$1006:AI1006),$AB$1006:$AQ$1006,0)), HYPERLINK("#",""), HYPERLINK(CONCATENATE("#metadata!", ADDRESS(INDEX($W$2:$W$1001,MATCH(ROWS($U$2:U977),$U$2:$U$1001,0),0), INDEX($AB$1004:$AQ$1004,1,MATCH(COLUMNS($AB$1006:AI1006),$AB$1006:$AQ$1006,0)))),"Fix")))</f>
        <v>0</v>
      </c>
      <c r="J977" s="4">
        <f>IF(OR(INDEX($V$2:$V$1001,MATCH(ROWS($U$2:U977),$U$2:$U$1001,0),1)&gt;=100000,INDEX($AB$1005:$AQ$1005,1,MATCH(COLUMNS($AB$1006:AJ1006),$AB$1006:$AQ$1006,0))&gt;=100000), " ",IF(INDEX($AB$2:$AQ$1001,MATCH(ROWS($U$2:U977),$U$2:$U$1001,0),MATCH(COLUMNS($AB$1006:AJ1006),$AB$1006:$AQ$1006,0)), HYPERLINK("#",""), HYPERLINK(CONCATENATE("#metadata!", ADDRESS(INDEX($W$2:$W$1001,MATCH(ROWS($U$2:U977),$U$2:$U$1001,0),0), INDEX($AB$1004:$AQ$1004,1,MATCH(COLUMNS($AB$1006:AJ1006),$AB$1006:$AQ$1006,0)))),"Fix")))</f>
        <v>0</v>
      </c>
      <c r="K977" s="4">
        <f>IF(OR(INDEX($V$2:$V$1001,MATCH(ROWS($U$2:U977),$U$2:$U$1001,0),1)&gt;=100000,INDEX($AB$1005:$AQ$1005,1,MATCH(COLUMNS($AB$1006:AK1006),$AB$1006:$AQ$1006,0))&gt;=100000), " ",IF(INDEX($AB$2:$AQ$1001,MATCH(ROWS($U$2:U977),$U$2:$U$1001,0),MATCH(COLUMNS($AB$1006:AK1006),$AB$1006:$AQ$1006,0)), HYPERLINK("#",""), HYPERLINK(CONCATENATE("#metadata!", ADDRESS(INDEX($W$2:$W$1001,MATCH(ROWS($U$2:U977),$U$2:$U$1001,0),0), INDEX($AB$1004:$AQ$1004,1,MATCH(COLUMNS($AB$1006:AK1006),$AB$1006:$AQ$1006,0)))),"Fix")))</f>
        <v>0</v>
      </c>
      <c r="L977" s="4">
        <f>IF(OR(INDEX($V$2:$V$1001,MATCH(ROWS($U$2:U977),$U$2:$U$1001,0),1)&gt;=100000,INDEX($AB$1005:$AQ$1005,1,MATCH(COLUMNS($AB$1006:AL1006),$AB$1006:$AQ$1006,0))&gt;=100000), " ",IF(INDEX($AB$2:$AQ$1001,MATCH(ROWS($U$2:U977),$U$2:$U$1001,0),MATCH(COLUMNS($AB$1006:AL1006),$AB$1006:$AQ$1006,0)), HYPERLINK("#",""), HYPERLINK(CONCATENATE("#metadata!", ADDRESS(INDEX($W$2:$W$1001,MATCH(ROWS($U$2:U977),$U$2:$U$1001,0),0), INDEX($AB$1004:$AQ$1004,1,MATCH(COLUMNS($AB$1006:AL1006),$AB$1006:$AQ$1006,0)))),"Fix")))</f>
        <v>0</v>
      </c>
      <c r="M977" s="4">
        <f>IF(OR(INDEX($V$2:$V$1001,MATCH(ROWS($U$2:U977),$U$2:$U$1001,0),1)&gt;=100000,INDEX($AB$1005:$AQ$1005,1,MATCH(COLUMNS($AB$1006:AM1006),$AB$1006:$AQ$1006,0))&gt;=100000), " ",IF(INDEX($AB$2:$AQ$1001,MATCH(ROWS($U$2:U977),$U$2:$U$1001,0),MATCH(COLUMNS($AB$1006:AM1006),$AB$1006:$AQ$1006,0)), HYPERLINK("#",""), HYPERLINK(CONCATENATE("#metadata!", ADDRESS(INDEX($W$2:$W$1001,MATCH(ROWS($U$2:U977),$U$2:$U$1001,0),0), INDEX($AB$1004:$AQ$1004,1,MATCH(COLUMNS($AB$1006:AM1006),$AB$1006:$AQ$1006,0)))),"Fix")))</f>
        <v>0</v>
      </c>
      <c r="N977" s="4">
        <f>IF(OR(INDEX($V$2:$V$1001,MATCH(ROWS($U$2:U977),$U$2:$U$1001,0),1)&gt;=100000,INDEX($AB$1005:$AQ$1005,1,MATCH(COLUMNS($AB$1006:AN1006),$AB$1006:$AQ$1006,0))&gt;=100000), " ",IF(INDEX($AB$2:$AQ$1001,MATCH(ROWS($U$2:U977),$U$2:$U$1001,0),MATCH(COLUMNS($AB$1006:AN1006),$AB$1006:$AQ$1006,0)), HYPERLINK("#",""), HYPERLINK(CONCATENATE("#metadata!", ADDRESS(INDEX($W$2:$W$1001,MATCH(ROWS($U$2:U977),$U$2:$U$1001,0),0), INDEX($AB$1004:$AQ$1004,1,MATCH(COLUMNS($AB$1006:AN1006),$AB$1006:$AQ$1006,0)))),"Fix")))</f>
        <v>0</v>
      </c>
      <c r="O977" s="4">
        <f>IF(OR(INDEX($V$2:$V$1001,MATCH(ROWS($U$2:U977),$U$2:$U$1001,0),1)&gt;=100000,INDEX($AB$1005:$AQ$1005,1,MATCH(COLUMNS($AB$1006:AO1006),$AB$1006:$AQ$1006,0))&gt;=100000), " ",IF(INDEX($AB$2:$AQ$1001,MATCH(ROWS($U$2:U977),$U$2:$U$1001,0),MATCH(COLUMNS($AB$1006:AO1006),$AB$1006:$AQ$1006,0)), HYPERLINK("#",""), HYPERLINK(CONCATENATE("#metadata!", ADDRESS(INDEX($W$2:$W$1001,MATCH(ROWS($U$2:U977),$U$2:$U$1001,0),0), INDEX($AB$1004:$AQ$1004,1,MATCH(COLUMNS($AB$1006:AO1006),$AB$1006:$AQ$1006,0)))),"Fix")))</f>
        <v>0</v>
      </c>
      <c r="P977" s="4">
        <f>IF(OR(INDEX($V$2:$V$1001,MATCH(ROWS($U$2:U977),$U$2:$U$1001,0),1)&gt;=100000,INDEX($AB$1005:$AQ$1005,1,MATCH(COLUMNS($AB$1006:AP1006),$AB$1006:$AQ$1006,0))&gt;=100000), " ",IF(INDEX($AB$2:$AQ$1001,MATCH(ROWS($U$2:U977),$U$2:$U$1001,0),MATCH(COLUMNS($AB$1006:AP1006),$AB$1006:$AQ$1006,0)), HYPERLINK("#",""), HYPERLINK(CONCATENATE("#metadata!", ADDRESS(INDEX($W$2:$W$1001,MATCH(ROWS($U$2:U977),$U$2:$U$1001,0),0), INDEX($AB$1004:$AQ$1004,1,MATCH(COLUMNS($AB$1006:AP1006),$AB$1006:$AQ$1006,0)))),"Fix")))</f>
        <v>0</v>
      </c>
      <c r="Q977" s="4">
        <f>IF(OR(INDEX($V$2:$V$1001,MATCH(ROWS($U$2:U977),$U$2:$U$1001,0),1)&gt;=100000,INDEX($AB$1005:$AQ$1005,1,MATCH(COLUMNS($AB$1006:AQ1006),$AB$1006:$AQ$1006,0))&gt;=100000), " ",IF(INDEX($AB$2:$AQ$1001,MATCH(ROWS($U$2:U977),$U$2:$U$1001,0),MATCH(COLUMNS($AB$1006:AQ1006),$AB$1006:$AQ$1006,0)), HYPERLINK("#",""), HYPERLINK(CONCATENATE("#metadata!", ADDRESS(INDEX($W$2:$W$1001,MATCH(ROWS($U$2:U977),$U$2:$U$1001,0),0), INDEX($AB$1004:$AQ$1004,1,MATCH(COLUMNS($AB$1006:AQ1006),$AB$1006:$AQ$1006,0)))),"Fix")))</f>
        <v>0</v>
      </c>
      <c r="U977">
        <v>0</v>
      </c>
      <c r="V977">
        <v>0</v>
      </c>
      <c r="W977">
        <v>0</v>
      </c>
      <c r="X977">
        <f>IF(Y977,TRUE,AND(AB977:AQ977))</f>
        <v>0</v>
      </c>
      <c r="Y977">
        <f>COUNTBLANK(metadata!B977:Q977)=COLUMNS(metadata!B977:Q977)</f>
        <v>0</v>
      </c>
      <c r="Z977">
        <v>0</v>
      </c>
      <c r="AB977">
        <f>AND(IF(metadata!B977="",FALSE,TRUE),COUNTIF(metadata!B:B, metadata!B977) = 1,NOT(ISERROR(SUMPRODUCT(SEARCH(MID(metadata!B977,ROW(INDIRECT("1:"&amp;LEN(metadata!B977))), 1),"0123456789abcdefghijklmnopqrstuvwxyzABCDEFGHIJKLMNOPQRSTUVWXYZ.")))))</f>
        <v>0</v>
      </c>
      <c r="AC977">
        <f>OR(AND(IF(metadata!C977="",FALSE,TRUE),OR(exact(metadata!C977,"missing: not collected"),exact(metadata!C977,"missing: not provided"),exact(metadata!C977,"missing: restricted access"))),AND(IF(metadata!C977="",FALSE,TRUE),AND(AND(IFERROR(INT(LEFT(metadata!C977,4))&gt;1900,FALSE),IFERROR(INT(LEFT(metadata!C977,4))&lt;=YEAR(NOW()),FALSE)), OR(MID(metadata!C977,5,1)="", AND(AND(MID(metadata!C977,5,1)="-",IFERROR(INT(MID(metadata!C977,6,1))&gt;=0,FALSE),IFERROR(INT(MID(metadata!C977,6,1))&lt;=1,FALSE),NOT(MID(metadata!C977,7,1)=""),IFERROR(INT(MID(metadata!C977,6,2))&gt;=1,FALSE),IFERROR(INT(MID(metadata!C977,6,2))&lt;=12,FALSE)), OR(MID(metadata!C977,8,1)="", AND(AND(MID(metadata!C977,8,1)="-",IFERROR(INT(MID(metadata!C977,9,1))&gt;=0,FALSE),IFERROR(INT(MID(metadata!C977,9,1))&lt;=3,FALSE),NOT(MID(metadata!C977,10,1)=""),IFERROR(INT(MID(metadata!C977,9,2))&gt;=1,FALSE),IFERROR(INT(MID(metadata!C977,9,2))&lt;=31,FALSE)), OR(MID(metadata!C977,11,1)="", AND(AND(MID(metadata!C977,11,1)=" ",IFERROR(INT(MID(metadata!C977,12,1))&gt;=0,FALSE),IFERROR(INT(MID(metadata!C977,12,1))&lt;=2,FALSE),NOT(MID(metadata!C977,13,1)=""),IFERROR(INT(MID(metadata!C977,12,2))&gt;=0,FALSE),IFERROR(INT(MID(metadata!C977,12,2))&lt;=23,FALSE)), OR(MID(metadata!C977,14,1)="", AND(AND(MID(metadata!C977,14,1)=":",IFERROR(INT(MID(metadata!C977,15,1))&gt;=0,FALSE),IFERROR(INT(MID(metadata!C977,15,1))&lt;=5,FALSE),NOT(MID(metadata!C977,16,1)=""),IFERROR(INT(MID(metadata!C977,15,2))&gt;=0,FALSE),IFERROR(INT(MID(metadata!C977,15,2))&lt;=59,FALSE)), OR(MID(metadata!C977,17,1)="", AND(AND(MID(metadata!C977,17,1)=":",IFERROR(INT(MID(metadata!C977,18,1))&gt;=0,FALSE),IFERROR(INT(MID(metadata!C977,18,1))&lt;=5,FALSE),NOT(MID(metadata!C977,19,1)=""),IFERROR(INT(MID(metadata!C977,18,2))&gt;=0,FALSE),IFERROR(INT(MID(metadata!C977,18,2))&lt;=59,FALSE)), LEN(metadata!C977)&lt;=19)))))))))))))</f>
        <v>0</v>
      </c>
      <c r="AD977">
        <f>IF(metadata!D977="",FALSE,TRUE)</f>
        <v>0</v>
      </c>
      <c r="AE977">
        <f>OR(AND(IF(metadata!E977="",FALSE,TRUE),OR(exact(metadata!E977,"missing: not collected"),exact(metadata!E977,"missing: not provided"))),AND(IF(metadata!E977="",FALSE,TRUE),OR(exact(metadata!E977,"TRUE"),exact(metadata!E977,"FALSE"))))</f>
        <v>0</v>
      </c>
      <c r="AF977">
        <f>IF(metadata!F977="",FALSE,TRUE)</f>
        <v>0</v>
      </c>
      <c r="AG977">
        <f>IF(metadata!G977="",FALSE,TRUE)</f>
        <v>0</v>
      </c>
      <c r="AH977">
        <f>IF(metadata!H977="",FALSE,TRUE)</f>
        <v>0</v>
      </c>
      <c r="AI977">
        <f>OR(AND(IF(metadata!I977="",FALSE,TRUE),OR(exact(metadata!I977,"missing: not collected"),exact(metadata!I977,"missing: not provided"),exact(metadata!I977,"missing: restricted access"))),AND(IF(metadata!I977="",FALSE,TRUE),OR(exact(metadata!I977,"air"),exact(metadata!I977,"built environment"),exact(metadata!I977,"host-associated"),exact(metadata!I977,"human-associated"),exact(metadata!I977,"human-skin"),exact(metadata!I977,"human-oral"),exact(metadata!I977,"human-gut"),exact(metadata!I977,"human-vaginal"),exact(metadata!I977,"microbial mat/biofilm"),exact(metadata!I977,"misc environment"),exact(metadata!I977,"plant-associated"),exact(metadata!I977,"sediment"),exact(metadata!I977,"soil"),exact(metadata!I977,"wastewater/sludge"),exact(metadata!I977,"water"))))</f>
        <v>0</v>
      </c>
      <c r="AJ977">
        <f>IF(metadata!J977="",FALSE,TRUE)</f>
        <v>0</v>
      </c>
      <c r="AK977">
        <f>OR(AND(IF(metadata!K977="",FALSE,TRUE),OR(exact(metadata!K977,"missing: not collected"),exact(metadata!K977,"missing: not provided"),exact(metadata!K977,"missing: restricted access"))),AND(IF(metadata!K977="",FALSE,ISNUMBER(VALUE(metadata!K977))),metadata!K977&gt;=-90.00,metadata!K977&lt;=90.00))</f>
        <v>0</v>
      </c>
      <c r="AL977">
        <f>OR(AND(IF(metadata!L977="",FALSE,TRUE),OR(exact(metadata!L977,"missing: not collected"),exact(metadata!L977,"missing: not provided"),exact(metadata!L977,"missing: restricted access"))),AND(IF(metadata!L977="",FALSE,ISNUMBER(VALUE(metadata!L977))),metadata!L977&gt;=-180.00,metadata!L977&lt;=180.00))</f>
        <v>0</v>
      </c>
      <c r="AM977">
        <f>IF(metadata!M977="",FALSE,TRUE)</f>
        <v>0</v>
      </c>
      <c r="AN977">
        <f>OR(AND(IF(metadata!N977="",FALSE,TRUE),OR(exact(metadata!N977,"missing: not collected"),exact(metadata!N977,"missing: not provided"),exact(metadata!N977,"missing: restricted access"))),AND(IF(metadata!N977="",FALSE,TRUE),OR(exact(metadata!N977,"TRUE"),exact(metadata!N977,"FALSE"))))</f>
        <v>0</v>
      </c>
      <c r="AO977">
        <f>IF(metadata!O977="",FALSE,TRUE)</f>
        <v>0</v>
      </c>
      <c r="AP977">
        <f>OR(AND(IF(metadata!P977="",FALSE,TRUE),OR(exact(metadata!P977,"missing: not collected"),exact(metadata!P977,"missing: not provided"))),AND(IF(metadata!P977="",FALSE,IF(ISERROR(INT(metadata!P977)),FALSE,INT(metadata!P977)=metadata!P977)),metadata!P977&gt;0))</f>
        <v>0</v>
      </c>
      <c r="AQ977">
        <f>IF(metadata!Q977="",FALSE,TRUE)</f>
        <v>0</v>
      </c>
    </row>
    <row r="978" spans="1:43">
      <c r="A978" s="5">
        <f>IF(B978=" "," ",HYPERLINK(CONCATENATE("#metadata!",ADDRESS(INDEX($W$2:$W$1001,MATCH(ROWS($U$2:U978),$U$2:$U$1001,0),0),1)),INDEX($Z$2:$Z$1001,MATCH(ROWS($U$2:U978),$U$2:$U$1001,0),0)))</f>
        <v>0</v>
      </c>
      <c r="B978" s="4">
        <f>IF(OR(INDEX($V$2:$V$1001,MATCH(ROWS($U$2:U978),$U$2:$U$1001,0),1)&gt;=100000,INDEX($AB$1005:$AQ$1005,1,MATCH(COLUMNS($AB$1006:AB1006),$AB$1006:$AQ$1006,0))&gt;=100000), " ",IF(INDEX($AB$2:$AQ$1001,MATCH(ROWS($U$2:U978),$U$2:$U$1001,0),MATCH(COLUMNS($AB$1006:AB1006),$AB$1006:$AQ$1006,0)), HYPERLINK("#",""), HYPERLINK(CONCATENATE("#metadata!", ADDRESS(INDEX($W$2:$W$1001,MATCH(ROWS($U$2:U978),$U$2:$U$1001,0),0), INDEX($AB$1004:$AQ$1004,1,MATCH(COLUMNS($AB$1006:AB1006),$AB$1006:$AQ$1006,0)))),"Fix")))</f>
        <v>0</v>
      </c>
      <c r="C978" s="4">
        <f>IF(OR(INDEX($V$2:$V$1001,MATCH(ROWS($U$2:U978),$U$2:$U$1001,0),1)&gt;=100000,INDEX($AB$1005:$AQ$1005,1,MATCH(COLUMNS($AB$1006:AC1006),$AB$1006:$AQ$1006,0))&gt;=100000), " ",IF(INDEX($AB$2:$AQ$1001,MATCH(ROWS($U$2:U978),$U$2:$U$1001,0),MATCH(COLUMNS($AB$1006:AC1006),$AB$1006:$AQ$1006,0)), HYPERLINK("#",""), HYPERLINK(CONCATENATE("#metadata!", ADDRESS(INDEX($W$2:$W$1001,MATCH(ROWS($U$2:U978),$U$2:$U$1001,0),0), INDEX($AB$1004:$AQ$1004,1,MATCH(COLUMNS($AB$1006:AC1006),$AB$1006:$AQ$1006,0)))),"Fix")))</f>
        <v>0</v>
      </c>
      <c r="D978" s="4">
        <f>IF(OR(INDEX($V$2:$V$1001,MATCH(ROWS($U$2:U978),$U$2:$U$1001,0),1)&gt;=100000,INDEX($AB$1005:$AQ$1005,1,MATCH(COLUMNS($AB$1006:AD1006),$AB$1006:$AQ$1006,0))&gt;=100000), " ",IF(INDEX($AB$2:$AQ$1001,MATCH(ROWS($U$2:U978),$U$2:$U$1001,0),MATCH(COLUMNS($AB$1006:AD1006),$AB$1006:$AQ$1006,0)), HYPERLINK("#",""), HYPERLINK(CONCATENATE("#metadata!", ADDRESS(INDEX($W$2:$W$1001,MATCH(ROWS($U$2:U978),$U$2:$U$1001,0),0), INDEX($AB$1004:$AQ$1004,1,MATCH(COLUMNS($AB$1006:AD1006),$AB$1006:$AQ$1006,0)))),"Fix")))</f>
        <v>0</v>
      </c>
      <c r="E978" s="4">
        <f>IF(OR(INDEX($V$2:$V$1001,MATCH(ROWS($U$2:U978),$U$2:$U$1001,0),1)&gt;=100000,INDEX($AB$1005:$AQ$1005,1,MATCH(COLUMNS($AB$1006:AE1006),$AB$1006:$AQ$1006,0))&gt;=100000), " ",IF(INDEX($AB$2:$AQ$1001,MATCH(ROWS($U$2:U978),$U$2:$U$1001,0),MATCH(COLUMNS($AB$1006:AE1006),$AB$1006:$AQ$1006,0)), HYPERLINK("#",""), HYPERLINK(CONCATENATE("#metadata!", ADDRESS(INDEX($W$2:$W$1001,MATCH(ROWS($U$2:U978),$U$2:$U$1001,0),0), INDEX($AB$1004:$AQ$1004,1,MATCH(COLUMNS($AB$1006:AE1006),$AB$1006:$AQ$1006,0)))),"Fix")))</f>
        <v>0</v>
      </c>
      <c r="F978" s="4">
        <f>IF(OR(INDEX($V$2:$V$1001,MATCH(ROWS($U$2:U978),$U$2:$U$1001,0),1)&gt;=100000,INDEX($AB$1005:$AQ$1005,1,MATCH(COLUMNS($AB$1006:AF1006),$AB$1006:$AQ$1006,0))&gt;=100000), " ",IF(INDEX($AB$2:$AQ$1001,MATCH(ROWS($U$2:U978),$U$2:$U$1001,0),MATCH(COLUMNS($AB$1006:AF1006),$AB$1006:$AQ$1006,0)), HYPERLINK("#",""), HYPERLINK(CONCATENATE("#metadata!", ADDRESS(INDEX($W$2:$W$1001,MATCH(ROWS($U$2:U978),$U$2:$U$1001,0),0), INDEX($AB$1004:$AQ$1004,1,MATCH(COLUMNS($AB$1006:AF1006),$AB$1006:$AQ$1006,0)))),"Fix")))</f>
        <v>0</v>
      </c>
      <c r="G978" s="4">
        <f>IF(OR(INDEX($V$2:$V$1001,MATCH(ROWS($U$2:U978),$U$2:$U$1001,0),1)&gt;=100000,INDEX($AB$1005:$AQ$1005,1,MATCH(COLUMNS($AB$1006:AG1006),$AB$1006:$AQ$1006,0))&gt;=100000), " ",IF(INDEX($AB$2:$AQ$1001,MATCH(ROWS($U$2:U978),$U$2:$U$1001,0),MATCH(COLUMNS($AB$1006:AG1006),$AB$1006:$AQ$1006,0)), HYPERLINK("#",""), HYPERLINK(CONCATENATE("#metadata!", ADDRESS(INDEX($W$2:$W$1001,MATCH(ROWS($U$2:U978),$U$2:$U$1001,0),0), INDEX($AB$1004:$AQ$1004,1,MATCH(COLUMNS($AB$1006:AG1006),$AB$1006:$AQ$1006,0)))),"Fix")))</f>
        <v>0</v>
      </c>
      <c r="H978" s="4">
        <f>IF(OR(INDEX($V$2:$V$1001,MATCH(ROWS($U$2:U978),$U$2:$U$1001,0),1)&gt;=100000,INDEX($AB$1005:$AQ$1005,1,MATCH(COLUMNS($AB$1006:AH1006),$AB$1006:$AQ$1006,0))&gt;=100000), " ",IF(INDEX($AB$2:$AQ$1001,MATCH(ROWS($U$2:U978),$U$2:$U$1001,0),MATCH(COLUMNS($AB$1006:AH1006),$AB$1006:$AQ$1006,0)), HYPERLINK("#",""), HYPERLINK(CONCATENATE("#metadata!", ADDRESS(INDEX($W$2:$W$1001,MATCH(ROWS($U$2:U978),$U$2:$U$1001,0),0), INDEX($AB$1004:$AQ$1004,1,MATCH(COLUMNS($AB$1006:AH1006),$AB$1006:$AQ$1006,0)))),"Fix")))</f>
        <v>0</v>
      </c>
      <c r="I978" s="4">
        <f>IF(OR(INDEX($V$2:$V$1001,MATCH(ROWS($U$2:U978),$U$2:$U$1001,0),1)&gt;=100000,INDEX($AB$1005:$AQ$1005,1,MATCH(COLUMNS($AB$1006:AI1006),$AB$1006:$AQ$1006,0))&gt;=100000), " ",IF(INDEX($AB$2:$AQ$1001,MATCH(ROWS($U$2:U978),$U$2:$U$1001,0),MATCH(COLUMNS($AB$1006:AI1006),$AB$1006:$AQ$1006,0)), HYPERLINK("#",""), HYPERLINK(CONCATENATE("#metadata!", ADDRESS(INDEX($W$2:$W$1001,MATCH(ROWS($U$2:U978),$U$2:$U$1001,0),0), INDEX($AB$1004:$AQ$1004,1,MATCH(COLUMNS($AB$1006:AI1006),$AB$1006:$AQ$1006,0)))),"Fix")))</f>
        <v>0</v>
      </c>
      <c r="J978" s="4">
        <f>IF(OR(INDEX($V$2:$V$1001,MATCH(ROWS($U$2:U978),$U$2:$U$1001,0),1)&gt;=100000,INDEX($AB$1005:$AQ$1005,1,MATCH(COLUMNS($AB$1006:AJ1006),$AB$1006:$AQ$1006,0))&gt;=100000), " ",IF(INDEX($AB$2:$AQ$1001,MATCH(ROWS($U$2:U978),$U$2:$U$1001,0),MATCH(COLUMNS($AB$1006:AJ1006),$AB$1006:$AQ$1006,0)), HYPERLINK("#",""), HYPERLINK(CONCATENATE("#metadata!", ADDRESS(INDEX($W$2:$W$1001,MATCH(ROWS($U$2:U978),$U$2:$U$1001,0),0), INDEX($AB$1004:$AQ$1004,1,MATCH(COLUMNS($AB$1006:AJ1006),$AB$1006:$AQ$1006,0)))),"Fix")))</f>
        <v>0</v>
      </c>
      <c r="K978" s="4">
        <f>IF(OR(INDEX($V$2:$V$1001,MATCH(ROWS($U$2:U978),$U$2:$U$1001,0),1)&gt;=100000,INDEX($AB$1005:$AQ$1005,1,MATCH(COLUMNS($AB$1006:AK1006),$AB$1006:$AQ$1006,0))&gt;=100000), " ",IF(INDEX($AB$2:$AQ$1001,MATCH(ROWS($U$2:U978),$U$2:$U$1001,0),MATCH(COLUMNS($AB$1006:AK1006),$AB$1006:$AQ$1006,0)), HYPERLINK("#",""), HYPERLINK(CONCATENATE("#metadata!", ADDRESS(INDEX($W$2:$W$1001,MATCH(ROWS($U$2:U978),$U$2:$U$1001,0),0), INDEX($AB$1004:$AQ$1004,1,MATCH(COLUMNS($AB$1006:AK1006),$AB$1006:$AQ$1006,0)))),"Fix")))</f>
        <v>0</v>
      </c>
      <c r="L978" s="4">
        <f>IF(OR(INDEX($V$2:$V$1001,MATCH(ROWS($U$2:U978),$U$2:$U$1001,0),1)&gt;=100000,INDEX($AB$1005:$AQ$1005,1,MATCH(COLUMNS($AB$1006:AL1006),$AB$1006:$AQ$1006,0))&gt;=100000), " ",IF(INDEX($AB$2:$AQ$1001,MATCH(ROWS($U$2:U978),$U$2:$U$1001,0),MATCH(COLUMNS($AB$1006:AL1006),$AB$1006:$AQ$1006,0)), HYPERLINK("#",""), HYPERLINK(CONCATENATE("#metadata!", ADDRESS(INDEX($W$2:$W$1001,MATCH(ROWS($U$2:U978),$U$2:$U$1001,0),0), INDEX($AB$1004:$AQ$1004,1,MATCH(COLUMNS($AB$1006:AL1006),$AB$1006:$AQ$1006,0)))),"Fix")))</f>
        <v>0</v>
      </c>
      <c r="M978" s="4">
        <f>IF(OR(INDEX($V$2:$V$1001,MATCH(ROWS($U$2:U978),$U$2:$U$1001,0),1)&gt;=100000,INDEX($AB$1005:$AQ$1005,1,MATCH(COLUMNS($AB$1006:AM1006),$AB$1006:$AQ$1006,0))&gt;=100000), " ",IF(INDEX($AB$2:$AQ$1001,MATCH(ROWS($U$2:U978),$U$2:$U$1001,0),MATCH(COLUMNS($AB$1006:AM1006),$AB$1006:$AQ$1006,0)), HYPERLINK("#",""), HYPERLINK(CONCATENATE("#metadata!", ADDRESS(INDEX($W$2:$W$1001,MATCH(ROWS($U$2:U978),$U$2:$U$1001,0),0), INDEX($AB$1004:$AQ$1004,1,MATCH(COLUMNS($AB$1006:AM1006),$AB$1006:$AQ$1006,0)))),"Fix")))</f>
        <v>0</v>
      </c>
      <c r="N978" s="4">
        <f>IF(OR(INDEX($V$2:$V$1001,MATCH(ROWS($U$2:U978),$U$2:$U$1001,0),1)&gt;=100000,INDEX($AB$1005:$AQ$1005,1,MATCH(COLUMNS($AB$1006:AN1006),$AB$1006:$AQ$1006,0))&gt;=100000), " ",IF(INDEX($AB$2:$AQ$1001,MATCH(ROWS($U$2:U978),$U$2:$U$1001,0),MATCH(COLUMNS($AB$1006:AN1006),$AB$1006:$AQ$1006,0)), HYPERLINK("#",""), HYPERLINK(CONCATENATE("#metadata!", ADDRESS(INDEX($W$2:$W$1001,MATCH(ROWS($U$2:U978),$U$2:$U$1001,0),0), INDEX($AB$1004:$AQ$1004,1,MATCH(COLUMNS($AB$1006:AN1006),$AB$1006:$AQ$1006,0)))),"Fix")))</f>
        <v>0</v>
      </c>
      <c r="O978" s="4">
        <f>IF(OR(INDEX($V$2:$V$1001,MATCH(ROWS($U$2:U978),$U$2:$U$1001,0),1)&gt;=100000,INDEX($AB$1005:$AQ$1005,1,MATCH(COLUMNS($AB$1006:AO1006),$AB$1006:$AQ$1006,0))&gt;=100000), " ",IF(INDEX($AB$2:$AQ$1001,MATCH(ROWS($U$2:U978),$U$2:$U$1001,0),MATCH(COLUMNS($AB$1006:AO1006),$AB$1006:$AQ$1006,0)), HYPERLINK("#",""), HYPERLINK(CONCATENATE("#metadata!", ADDRESS(INDEX($W$2:$W$1001,MATCH(ROWS($U$2:U978),$U$2:$U$1001,0),0), INDEX($AB$1004:$AQ$1004,1,MATCH(COLUMNS($AB$1006:AO1006),$AB$1006:$AQ$1006,0)))),"Fix")))</f>
        <v>0</v>
      </c>
      <c r="P978" s="4">
        <f>IF(OR(INDEX($V$2:$V$1001,MATCH(ROWS($U$2:U978),$U$2:$U$1001,0),1)&gt;=100000,INDEX($AB$1005:$AQ$1005,1,MATCH(COLUMNS($AB$1006:AP1006),$AB$1006:$AQ$1006,0))&gt;=100000), " ",IF(INDEX($AB$2:$AQ$1001,MATCH(ROWS($U$2:U978),$U$2:$U$1001,0),MATCH(COLUMNS($AB$1006:AP1006),$AB$1006:$AQ$1006,0)), HYPERLINK("#",""), HYPERLINK(CONCATENATE("#metadata!", ADDRESS(INDEX($W$2:$W$1001,MATCH(ROWS($U$2:U978),$U$2:$U$1001,0),0), INDEX($AB$1004:$AQ$1004,1,MATCH(COLUMNS($AB$1006:AP1006),$AB$1006:$AQ$1006,0)))),"Fix")))</f>
        <v>0</v>
      </c>
      <c r="Q978" s="4">
        <f>IF(OR(INDEX($V$2:$V$1001,MATCH(ROWS($U$2:U978),$U$2:$U$1001,0),1)&gt;=100000,INDEX($AB$1005:$AQ$1005,1,MATCH(COLUMNS($AB$1006:AQ1006),$AB$1006:$AQ$1006,0))&gt;=100000), " ",IF(INDEX($AB$2:$AQ$1001,MATCH(ROWS($U$2:U978),$U$2:$U$1001,0),MATCH(COLUMNS($AB$1006:AQ1006),$AB$1006:$AQ$1006,0)), HYPERLINK("#",""), HYPERLINK(CONCATENATE("#metadata!", ADDRESS(INDEX($W$2:$W$1001,MATCH(ROWS($U$2:U978),$U$2:$U$1001,0),0), INDEX($AB$1004:$AQ$1004,1,MATCH(COLUMNS($AB$1006:AQ1006),$AB$1006:$AQ$1006,0)))),"Fix")))</f>
        <v>0</v>
      </c>
      <c r="U978">
        <v>0</v>
      </c>
      <c r="V978">
        <v>0</v>
      </c>
      <c r="W978">
        <v>0</v>
      </c>
      <c r="X978">
        <f>IF(Y978,TRUE,AND(AB978:AQ978))</f>
        <v>0</v>
      </c>
      <c r="Y978">
        <f>COUNTBLANK(metadata!B978:Q978)=COLUMNS(metadata!B978:Q978)</f>
        <v>0</v>
      </c>
      <c r="Z978">
        <v>0</v>
      </c>
      <c r="AB978">
        <f>AND(IF(metadata!B978="",FALSE,TRUE),COUNTIF(metadata!B:B, metadata!B978) = 1,NOT(ISERROR(SUMPRODUCT(SEARCH(MID(metadata!B978,ROW(INDIRECT("1:"&amp;LEN(metadata!B978))), 1),"0123456789abcdefghijklmnopqrstuvwxyzABCDEFGHIJKLMNOPQRSTUVWXYZ.")))))</f>
        <v>0</v>
      </c>
      <c r="AC978">
        <f>OR(AND(IF(metadata!C978="",FALSE,TRUE),OR(exact(metadata!C978,"missing: not collected"),exact(metadata!C978,"missing: not provided"),exact(metadata!C978,"missing: restricted access"))),AND(IF(metadata!C978="",FALSE,TRUE),AND(AND(IFERROR(INT(LEFT(metadata!C978,4))&gt;1900,FALSE),IFERROR(INT(LEFT(metadata!C978,4))&lt;=YEAR(NOW()),FALSE)), OR(MID(metadata!C978,5,1)="", AND(AND(MID(metadata!C978,5,1)="-",IFERROR(INT(MID(metadata!C978,6,1))&gt;=0,FALSE),IFERROR(INT(MID(metadata!C978,6,1))&lt;=1,FALSE),NOT(MID(metadata!C978,7,1)=""),IFERROR(INT(MID(metadata!C978,6,2))&gt;=1,FALSE),IFERROR(INT(MID(metadata!C978,6,2))&lt;=12,FALSE)), OR(MID(metadata!C978,8,1)="", AND(AND(MID(metadata!C978,8,1)="-",IFERROR(INT(MID(metadata!C978,9,1))&gt;=0,FALSE),IFERROR(INT(MID(metadata!C978,9,1))&lt;=3,FALSE),NOT(MID(metadata!C978,10,1)=""),IFERROR(INT(MID(metadata!C978,9,2))&gt;=1,FALSE),IFERROR(INT(MID(metadata!C978,9,2))&lt;=31,FALSE)), OR(MID(metadata!C978,11,1)="", AND(AND(MID(metadata!C978,11,1)=" ",IFERROR(INT(MID(metadata!C978,12,1))&gt;=0,FALSE),IFERROR(INT(MID(metadata!C978,12,1))&lt;=2,FALSE),NOT(MID(metadata!C978,13,1)=""),IFERROR(INT(MID(metadata!C978,12,2))&gt;=0,FALSE),IFERROR(INT(MID(metadata!C978,12,2))&lt;=23,FALSE)), OR(MID(metadata!C978,14,1)="", AND(AND(MID(metadata!C978,14,1)=":",IFERROR(INT(MID(metadata!C978,15,1))&gt;=0,FALSE),IFERROR(INT(MID(metadata!C978,15,1))&lt;=5,FALSE),NOT(MID(metadata!C978,16,1)=""),IFERROR(INT(MID(metadata!C978,15,2))&gt;=0,FALSE),IFERROR(INT(MID(metadata!C978,15,2))&lt;=59,FALSE)), OR(MID(metadata!C978,17,1)="", AND(AND(MID(metadata!C978,17,1)=":",IFERROR(INT(MID(metadata!C978,18,1))&gt;=0,FALSE),IFERROR(INT(MID(metadata!C978,18,1))&lt;=5,FALSE),NOT(MID(metadata!C978,19,1)=""),IFERROR(INT(MID(metadata!C978,18,2))&gt;=0,FALSE),IFERROR(INT(MID(metadata!C978,18,2))&lt;=59,FALSE)), LEN(metadata!C978)&lt;=19)))))))))))))</f>
        <v>0</v>
      </c>
      <c r="AD978">
        <f>IF(metadata!D978="",FALSE,TRUE)</f>
        <v>0</v>
      </c>
      <c r="AE978">
        <f>OR(AND(IF(metadata!E978="",FALSE,TRUE),OR(exact(metadata!E978,"missing: not collected"),exact(metadata!E978,"missing: not provided"))),AND(IF(metadata!E978="",FALSE,TRUE),OR(exact(metadata!E978,"TRUE"),exact(metadata!E978,"FALSE"))))</f>
        <v>0</v>
      </c>
      <c r="AF978">
        <f>IF(metadata!F978="",FALSE,TRUE)</f>
        <v>0</v>
      </c>
      <c r="AG978">
        <f>IF(metadata!G978="",FALSE,TRUE)</f>
        <v>0</v>
      </c>
      <c r="AH978">
        <f>IF(metadata!H978="",FALSE,TRUE)</f>
        <v>0</v>
      </c>
      <c r="AI978">
        <f>OR(AND(IF(metadata!I978="",FALSE,TRUE),OR(exact(metadata!I978,"missing: not collected"),exact(metadata!I978,"missing: not provided"),exact(metadata!I978,"missing: restricted access"))),AND(IF(metadata!I978="",FALSE,TRUE),OR(exact(metadata!I978,"air"),exact(metadata!I978,"built environment"),exact(metadata!I978,"host-associated"),exact(metadata!I978,"human-associated"),exact(metadata!I978,"human-skin"),exact(metadata!I978,"human-oral"),exact(metadata!I978,"human-gut"),exact(metadata!I978,"human-vaginal"),exact(metadata!I978,"microbial mat/biofilm"),exact(metadata!I978,"misc environment"),exact(metadata!I978,"plant-associated"),exact(metadata!I978,"sediment"),exact(metadata!I978,"soil"),exact(metadata!I978,"wastewater/sludge"),exact(metadata!I978,"water"))))</f>
        <v>0</v>
      </c>
      <c r="AJ978">
        <f>IF(metadata!J978="",FALSE,TRUE)</f>
        <v>0</v>
      </c>
      <c r="AK978">
        <f>OR(AND(IF(metadata!K978="",FALSE,TRUE),OR(exact(metadata!K978,"missing: not collected"),exact(metadata!K978,"missing: not provided"),exact(metadata!K978,"missing: restricted access"))),AND(IF(metadata!K978="",FALSE,ISNUMBER(VALUE(metadata!K978))),metadata!K978&gt;=-90.00,metadata!K978&lt;=90.00))</f>
        <v>0</v>
      </c>
      <c r="AL978">
        <f>OR(AND(IF(metadata!L978="",FALSE,TRUE),OR(exact(metadata!L978,"missing: not collected"),exact(metadata!L978,"missing: not provided"),exact(metadata!L978,"missing: restricted access"))),AND(IF(metadata!L978="",FALSE,ISNUMBER(VALUE(metadata!L978))),metadata!L978&gt;=-180.00,metadata!L978&lt;=180.00))</f>
        <v>0</v>
      </c>
      <c r="AM978">
        <f>IF(metadata!M978="",FALSE,TRUE)</f>
        <v>0</v>
      </c>
      <c r="AN978">
        <f>OR(AND(IF(metadata!N978="",FALSE,TRUE),OR(exact(metadata!N978,"missing: not collected"),exact(metadata!N978,"missing: not provided"),exact(metadata!N978,"missing: restricted access"))),AND(IF(metadata!N978="",FALSE,TRUE),OR(exact(metadata!N978,"TRUE"),exact(metadata!N978,"FALSE"))))</f>
        <v>0</v>
      </c>
      <c r="AO978">
        <f>IF(metadata!O978="",FALSE,TRUE)</f>
        <v>0</v>
      </c>
      <c r="AP978">
        <f>OR(AND(IF(metadata!P978="",FALSE,TRUE),OR(exact(metadata!P978,"missing: not collected"),exact(metadata!P978,"missing: not provided"))),AND(IF(metadata!P978="",FALSE,IF(ISERROR(INT(metadata!P978)),FALSE,INT(metadata!P978)=metadata!P978)),metadata!P978&gt;0))</f>
        <v>0</v>
      </c>
      <c r="AQ978">
        <f>IF(metadata!Q978="",FALSE,TRUE)</f>
        <v>0</v>
      </c>
    </row>
    <row r="979" spans="1:43">
      <c r="A979" s="5">
        <f>IF(B979=" "," ",HYPERLINK(CONCATENATE("#metadata!",ADDRESS(INDEX($W$2:$W$1001,MATCH(ROWS($U$2:U979),$U$2:$U$1001,0),0),1)),INDEX($Z$2:$Z$1001,MATCH(ROWS($U$2:U979),$U$2:$U$1001,0),0)))</f>
        <v>0</v>
      </c>
      <c r="B979" s="4">
        <f>IF(OR(INDEX($V$2:$V$1001,MATCH(ROWS($U$2:U979),$U$2:$U$1001,0),1)&gt;=100000,INDEX($AB$1005:$AQ$1005,1,MATCH(COLUMNS($AB$1006:AB1006),$AB$1006:$AQ$1006,0))&gt;=100000), " ",IF(INDEX($AB$2:$AQ$1001,MATCH(ROWS($U$2:U979),$U$2:$U$1001,0),MATCH(COLUMNS($AB$1006:AB1006),$AB$1006:$AQ$1006,0)), HYPERLINK("#",""), HYPERLINK(CONCATENATE("#metadata!", ADDRESS(INDEX($W$2:$W$1001,MATCH(ROWS($U$2:U979),$U$2:$U$1001,0),0), INDEX($AB$1004:$AQ$1004,1,MATCH(COLUMNS($AB$1006:AB1006),$AB$1006:$AQ$1006,0)))),"Fix")))</f>
        <v>0</v>
      </c>
      <c r="C979" s="4">
        <f>IF(OR(INDEX($V$2:$V$1001,MATCH(ROWS($U$2:U979),$U$2:$U$1001,0),1)&gt;=100000,INDEX($AB$1005:$AQ$1005,1,MATCH(COLUMNS($AB$1006:AC1006),$AB$1006:$AQ$1006,0))&gt;=100000), " ",IF(INDEX($AB$2:$AQ$1001,MATCH(ROWS($U$2:U979),$U$2:$U$1001,0),MATCH(COLUMNS($AB$1006:AC1006),$AB$1006:$AQ$1006,0)), HYPERLINK("#",""), HYPERLINK(CONCATENATE("#metadata!", ADDRESS(INDEX($W$2:$W$1001,MATCH(ROWS($U$2:U979),$U$2:$U$1001,0),0), INDEX($AB$1004:$AQ$1004,1,MATCH(COLUMNS($AB$1006:AC1006),$AB$1006:$AQ$1006,0)))),"Fix")))</f>
        <v>0</v>
      </c>
      <c r="D979" s="4">
        <f>IF(OR(INDEX($V$2:$V$1001,MATCH(ROWS($U$2:U979),$U$2:$U$1001,0),1)&gt;=100000,INDEX($AB$1005:$AQ$1005,1,MATCH(COLUMNS($AB$1006:AD1006),$AB$1006:$AQ$1006,0))&gt;=100000), " ",IF(INDEX($AB$2:$AQ$1001,MATCH(ROWS($U$2:U979),$U$2:$U$1001,0),MATCH(COLUMNS($AB$1006:AD1006),$AB$1006:$AQ$1006,0)), HYPERLINK("#",""), HYPERLINK(CONCATENATE("#metadata!", ADDRESS(INDEX($W$2:$W$1001,MATCH(ROWS($U$2:U979),$U$2:$U$1001,0),0), INDEX($AB$1004:$AQ$1004,1,MATCH(COLUMNS($AB$1006:AD1006),$AB$1006:$AQ$1006,0)))),"Fix")))</f>
        <v>0</v>
      </c>
      <c r="E979" s="4">
        <f>IF(OR(INDEX($V$2:$V$1001,MATCH(ROWS($U$2:U979),$U$2:$U$1001,0),1)&gt;=100000,INDEX($AB$1005:$AQ$1005,1,MATCH(COLUMNS($AB$1006:AE1006),$AB$1006:$AQ$1006,0))&gt;=100000), " ",IF(INDEX($AB$2:$AQ$1001,MATCH(ROWS($U$2:U979),$U$2:$U$1001,0),MATCH(COLUMNS($AB$1006:AE1006),$AB$1006:$AQ$1006,0)), HYPERLINK("#",""), HYPERLINK(CONCATENATE("#metadata!", ADDRESS(INDEX($W$2:$W$1001,MATCH(ROWS($U$2:U979),$U$2:$U$1001,0),0), INDEX($AB$1004:$AQ$1004,1,MATCH(COLUMNS($AB$1006:AE1006),$AB$1006:$AQ$1006,0)))),"Fix")))</f>
        <v>0</v>
      </c>
      <c r="F979" s="4">
        <f>IF(OR(INDEX($V$2:$V$1001,MATCH(ROWS($U$2:U979),$U$2:$U$1001,0),1)&gt;=100000,INDEX($AB$1005:$AQ$1005,1,MATCH(COLUMNS($AB$1006:AF1006),$AB$1006:$AQ$1006,0))&gt;=100000), " ",IF(INDEX($AB$2:$AQ$1001,MATCH(ROWS($U$2:U979),$U$2:$U$1001,0),MATCH(COLUMNS($AB$1006:AF1006),$AB$1006:$AQ$1006,0)), HYPERLINK("#",""), HYPERLINK(CONCATENATE("#metadata!", ADDRESS(INDEX($W$2:$W$1001,MATCH(ROWS($U$2:U979),$U$2:$U$1001,0),0), INDEX($AB$1004:$AQ$1004,1,MATCH(COLUMNS($AB$1006:AF1006),$AB$1006:$AQ$1006,0)))),"Fix")))</f>
        <v>0</v>
      </c>
      <c r="G979" s="4">
        <f>IF(OR(INDEX($V$2:$V$1001,MATCH(ROWS($U$2:U979),$U$2:$U$1001,0),1)&gt;=100000,INDEX($AB$1005:$AQ$1005,1,MATCH(COLUMNS($AB$1006:AG1006),$AB$1006:$AQ$1006,0))&gt;=100000), " ",IF(INDEX($AB$2:$AQ$1001,MATCH(ROWS($U$2:U979),$U$2:$U$1001,0),MATCH(COLUMNS($AB$1006:AG1006),$AB$1006:$AQ$1006,0)), HYPERLINK("#",""), HYPERLINK(CONCATENATE("#metadata!", ADDRESS(INDEX($W$2:$W$1001,MATCH(ROWS($U$2:U979),$U$2:$U$1001,0),0), INDEX($AB$1004:$AQ$1004,1,MATCH(COLUMNS($AB$1006:AG1006),$AB$1006:$AQ$1006,0)))),"Fix")))</f>
        <v>0</v>
      </c>
      <c r="H979" s="4">
        <f>IF(OR(INDEX($V$2:$V$1001,MATCH(ROWS($U$2:U979),$U$2:$U$1001,0),1)&gt;=100000,INDEX($AB$1005:$AQ$1005,1,MATCH(COLUMNS($AB$1006:AH1006),$AB$1006:$AQ$1006,0))&gt;=100000), " ",IF(INDEX($AB$2:$AQ$1001,MATCH(ROWS($U$2:U979),$U$2:$U$1001,0),MATCH(COLUMNS($AB$1006:AH1006),$AB$1006:$AQ$1006,0)), HYPERLINK("#",""), HYPERLINK(CONCATENATE("#metadata!", ADDRESS(INDEX($W$2:$W$1001,MATCH(ROWS($U$2:U979),$U$2:$U$1001,0),0), INDEX($AB$1004:$AQ$1004,1,MATCH(COLUMNS($AB$1006:AH1006),$AB$1006:$AQ$1006,0)))),"Fix")))</f>
        <v>0</v>
      </c>
      <c r="I979" s="4">
        <f>IF(OR(INDEX($V$2:$V$1001,MATCH(ROWS($U$2:U979),$U$2:$U$1001,0),1)&gt;=100000,INDEX($AB$1005:$AQ$1005,1,MATCH(COLUMNS($AB$1006:AI1006),$AB$1006:$AQ$1006,0))&gt;=100000), " ",IF(INDEX($AB$2:$AQ$1001,MATCH(ROWS($U$2:U979),$U$2:$U$1001,0),MATCH(COLUMNS($AB$1006:AI1006),$AB$1006:$AQ$1006,0)), HYPERLINK("#",""), HYPERLINK(CONCATENATE("#metadata!", ADDRESS(INDEX($W$2:$W$1001,MATCH(ROWS($U$2:U979),$U$2:$U$1001,0),0), INDEX($AB$1004:$AQ$1004,1,MATCH(COLUMNS($AB$1006:AI1006),$AB$1006:$AQ$1006,0)))),"Fix")))</f>
        <v>0</v>
      </c>
      <c r="J979" s="4">
        <f>IF(OR(INDEX($V$2:$V$1001,MATCH(ROWS($U$2:U979),$U$2:$U$1001,0),1)&gt;=100000,INDEX($AB$1005:$AQ$1005,1,MATCH(COLUMNS($AB$1006:AJ1006),$AB$1006:$AQ$1006,0))&gt;=100000), " ",IF(INDEX($AB$2:$AQ$1001,MATCH(ROWS($U$2:U979),$U$2:$U$1001,0),MATCH(COLUMNS($AB$1006:AJ1006),$AB$1006:$AQ$1006,0)), HYPERLINK("#",""), HYPERLINK(CONCATENATE("#metadata!", ADDRESS(INDEX($W$2:$W$1001,MATCH(ROWS($U$2:U979),$U$2:$U$1001,0),0), INDEX($AB$1004:$AQ$1004,1,MATCH(COLUMNS($AB$1006:AJ1006),$AB$1006:$AQ$1006,0)))),"Fix")))</f>
        <v>0</v>
      </c>
      <c r="K979" s="4">
        <f>IF(OR(INDEX($V$2:$V$1001,MATCH(ROWS($U$2:U979),$U$2:$U$1001,0),1)&gt;=100000,INDEX($AB$1005:$AQ$1005,1,MATCH(COLUMNS($AB$1006:AK1006),$AB$1006:$AQ$1006,0))&gt;=100000), " ",IF(INDEX($AB$2:$AQ$1001,MATCH(ROWS($U$2:U979),$U$2:$U$1001,0),MATCH(COLUMNS($AB$1006:AK1006),$AB$1006:$AQ$1006,0)), HYPERLINK("#",""), HYPERLINK(CONCATENATE("#metadata!", ADDRESS(INDEX($W$2:$W$1001,MATCH(ROWS($U$2:U979),$U$2:$U$1001,0),0), INDEX($AB$1004:$AQ$1004,1,MATCH(COLUMNS($AB$1006:AK1006),$AB$1006:$AQ$1006,0)))),"Fix")))</f>
        <v>0</v>
      </c>
      <c r="L979" s="4">
        <f>IF(OR(INDEX($V$2:$V$1001,MATCH(ROWS($U$2:U979),$U$2:$U$1001,0),1)&gt;=100000,INDEX($AB$1005:$AQ$1005,1,MATCH(COLUMNS($AB$1006:AL1006),$AB$1006:$AQ$1006,0))&gt;=100000), " ",IF(INDEX($AB$2:$AQ$1001,MATCH(ROWS($U$2:U979),$U$2:$U$1001,0),MATCH(COLUMNS($AB$1006:AL1006),$AB$1006:$AQ$1006,0)), HYPERLINK("#",""), HYPERLINK(CONCATENATE("#metadata!", ADDRESS(INDEX($W$2:$W$1001,MATCH(ROWS($U$2:U979),$U$2:$U$1001,0),0), INDEX($AB$1004:$AQ$1004,1,MATCH(COLUMNS($AB$1006:AL1006),$AB$1006:$AQ$1006,0)))),"Fix")))</f>
        <v>0</v>
      </c>
      <c r="M979" s="4">
        <f>IF(OR(INDEX($V$2:$V$1001,MATCH(ROWS($U$2:U979),$U$2:$U$1001,0),1)&gt;=100000,INDEX($AB$1005:$AQ$1005,1,MATCH(COLUMNS($AB$1006:AM1006),$AB$1006:$AQ$1006,0))&gt;=100000), " ",IF(INDEX($AB$2:$AQ$1001,MATCH(ROWS($U$2:U979),$U$2:$U$1001,0),MATCH(COLUMNS($AB$1006:AM1006),$AB$1006:$AQ$1006,0)), HYPERLINK("#",""), HYPERLINK(CONCATENATE("#metadata!", ADDRESS(INDEX($W$2:$W$1001,MATCH(ROWS($U$2:U979),$U$2:$U$1001,0),0), INDEX($AB$1004:$AQ$1004,1,MATCH(COLUMNS($AB$1006:AM1006),$AB$1006:$AQ$1006,0)))),"Fix")))</f>
        <v>0</v>
      </c>
      <c r="N979" s="4">
        <f>IF(OR(INDEX($V$2:$V$1001,MATCH(ROWS($U$2:U979),$U$2:$U$1001,0),1)&gt;=100000,INDEX($AB$1005:$AQ$1005,1,MATCH(COLUMNS($AB$1006:AN1006),$AB$1006:$AQ$1006,0))&gt;=100000), " ",IF(INDEX($AB$2:$AQ$1001,MATCH(ROWS($U$2:U979),$U$2:$U$1001,0),MATCH(COLUMNS($AB$1006:AN1006),$AB$1006:$AQ$1006,0)), HYPERLINK("#",""), HYPERLINK(CONCATENATE("#metadata!", ADDRESS(INDEX($W$2:$W$1001,MATCH(ROWS($U$2:U979),$U$2:$U$1001,0),0), INDEX($AB$1004:$AQ$1004,1,MATCH(COLUMNS($AB$1006:AN1006),$AB$1006:$AQ$1006,0)))),"Fix")))</f>
        <v>0</v>
      </c>
      <c r="O979" s="4">
        <f>IF(OR(INDEX($V$2:$V$1001,MATCH(ROWS($U$2:U979),$U$2:$U$1001,0),1)&gt;=100000,INDEX($AB$1005:$AQ$1005,1,MATCH(COLUMNS($AB$1006:AO1006),$AB$1006:$AQ$1006,0))&gt;=100000), " ",IF(INDEX($AB$2:$AQ$1001,MATCH(ROWS($U$2:U979),$U$2:$U$1001,0),MATCH(COLUMNS($AB$1006:AO1006),$AB$1006:$AQ$1006,0)), HYPERLINK("#",""), HYPERLINK(CONCATENATE("#metadata!", ADDRESS(INDEX($W$2:$W$1001,MATCH(ROWS($U$2:U979),$U$2:$U$1001,0),0), INDEX($AB$1004:$AQ$1004,1,MATCH(COLUMNS($AB$1006:AO1006),$AB$1006:$AQ$1006,0)))),"Fix")))</f>
        <v>0</v>
      </c>
      <c r="P979" s="4">
        <f>IF(OR(INDEX($V$2:$V$1001,MATCH(ROWS($U$2:U979),$U$2:$U$1001,0),1)&gt;=100000,INDEX($AB$1005:$AQ$1005,1,MATCH(COLUMNS($AB$1006:AP1006),$AB$1006:$AQ$1006,0))&gt;=100000), " ",IF(INDEX($AB$2:$AQ$1001,MATCH(ROWS($U$2:U979),$U$2:$U$1001,0),MATCH(COLUMNS($AB$1006:AP1006),$AB$1006:$AQ$1006,0)), HYPERLINK("#",""), HYPERLINK(CONCATENATE("#metadata!", ADDRESS(INDEX($W$2:$W$1001,MATCH(ROWS($U$2:U979),$U$2:$U$1001,0),0), INDEX($AB$1004:$AQ$1004,1,MATCH(COLUMNS($AB$1006:AP1006),$AB$1006:$AQ$1006,0)))),"Fix")))</f>
        <v>0</v>
      </c>
      <c r="Q979" s="4">
        <f>IF(OR(INDEX($V$2:$V$1001,MATCH(ROWS($U$2:U979),$U$2:$U$1001,0),1)&gt;=100000,INDEX($AB$1005:$AQ$1005,1,MATCH(COLUMNS($AB$1006:AQ1006),$AB$1006:$AQ$1006,0))&gt;=100000), " ",IF(INDEX($AB$2:$AQ$1001,MATCH(ROWS($U$2:U979),$U$2:$U$1001,0),MATCH(COLUMNS($AB$1006:AQ1006),$AB$1006:$AQ$1006,0)), HYPERLINK("#",""), HYPERLINK(CONCATENATE("#metadata!", ADDRESS(INDEX($W$2:$W$1001,MATCH(ROWS($U$2:U979),$U$2:$U$1001,0),0), INDEX($AB$1004:$AQ$1004,1,MATCH(COLUMNS($AB$1006:AQ1006),$AB$1006:$AQ$1006,0)))),"Fix")))</f>
        <v>0</v>
      </c>
      <c r="U979">
        <v>0</v>
      </c>
      <c r="V979">
        <v>0</v>
      </c>
      <c r="W979">
        <v>0</v>
      </c>
      <c r="X979">
        <f>IF(Y979,TRUE,AND(AB979:AQ979))</f>
        <v>0</v>
      </c>
      <c r="Y979">
        <f>COUNTBLANK(metadata!B979:Q979)=COLUMNS(metadata!B979:Q979)</f>
        <v>0</v>
      </c>
      <c r="Z979">
        <v>0</v>
      </c>
      <c r="AB979">
        <f>AND(IF(metadata!B979="",FALSE,TRUE),COUNTIF(metadata!B:B, metadata!B979) = 1,NOT(ISERROR(SUMPRODUCT(SEARCH(MID(metadata!B979,ROW(INDIRECT("1:"&amp;LEN(metadata!B979))), 1),"0123456789abcdefghijklmnopqrstuvwxyzABCDEFGHIJKLMNOPQRSTUVWXYZ.")))))</f>
        <v>0</v>
      </c>
      <c r="AC979">
        <f>OR(AND(IF(metadata!C979="",FALSE,TRUE),OR(exact(metadata!C979,"missing: not collected"),exact(metadata!C979,"missing: not provided"),exact(metadata!C979,"missing: restricted access"))),AND(IF(metadata!C979="",FALSE,TRUE),AND(AND(IFERROR(INT(LEFT(metadata!C979,4))&gt;1900,FALSE),IFERROR(INT(LEFT(metadata!C979,4))&lt;=YEAR(NOW()),FALSE)), OR(MID(metadata!C979,5,1)="", AND(AND(MID(metadata!C979,5,1)="-",IFERROR(INT(MID(metadata!C979,6,1))&gt;=0,FALSE),IFERROR(INT(MID(metadata!C979,6,1))&lt;=1,FALSE),NOT(MID(metadata!C979,7,1)=""),IFERROR(INT(MID(metadata!C979,6,2))&gt;=1,FALSE),IFERROR(INT(MID(metadata!C979,6,2))&lt;=12,FALSE)), OR(MID(metadata!C979,8,1)="", AND(AND(MID(metadata!C979,8,1)="-",IFERROR(INT(MID(metadata!C979,9,1))&gt;=0,FALSE),IFERROR(INT(MID(metadata!C979,9,1))&lt;=3,FALSE),NOT(MID(metadata!C979,10,1)=""),IFERROR(INT(MID(metadata!C979,9,2))&gt;=1,FALSE),IFERROR(INT(MID(metadata!C979,9,2))&lt;=31,FALSE)), OR(MID(metadata!C979,11,1)="", AND(AND(MID(metadata!C979,11,1)=" ",IFERROR(INT(MID(metadata!C979,12,1))&gt;=0,FALSE),IFERROR(INT(MID(metadata!C979,12,1))&lt;=2,FALSE),NOT(MID(metadata!C979,13,1)=""),IFERROR(INT(MID(metadata!C979,12,2))&gt;=0,FALSE),IFERROR(INT(MID(metadata!C979,12,2))&lt;=23,FALSE)), OR(MID(metadata!C979,14,1)="", AND(AND(MID(metadata!C979,14,1)=":",IFERROR(INT(MID(metadata!C979,15,1))&gt;=0,FALSE),IFERROR(INT(MID(metadata!C979,15,1))&lt;=5,FALSE),NOT(MID(metadata!C979,16,1)=""),IFERROR(INT(MID(metadata!C979,15,2))&gt;=0,FALSE),IFERROR(INT(MID(metadata!C979,15,2))&lt;=59,FALSE)), OR(MID(metadata!C979,17,1)="", AND(AND(MID(metadata!C979,17,1)=":",IFERROR(INT(MID(metadata!C979,18,1))&gt;=0,FALSE),IFERROR(INT(MID(metadata!C979,18,1))&lt;=5,FALSE),NOT(MID(metadata!C979,19,1)=""),IFERROR(INT(MID(metadata!C979,18,2))&gt;=0,FALSE),IFERROR(INT(MID(metadata!C979,18,2))&lt;=59,FALSE)), LEN(metadata!C979)&lt;=19)))))))))))))</f>
        <v>0</v>
      </c>
      <c r="AD979">
        <f>IF(metadata!D979="",FALSE,TRUE)</f>
        <v>0</v>
      </c>
      <c r="AE979">
        <f>OR(AND(IF(metadata!E979="",FALSE,TRUE),OR(exact(metadata!E979,"missing: not collected"),exact(metadata!E979,"missing: not provided"))),AND(IF(metadata!E979="",FALSE,TRUE),OR(exact(metadata!E979,"TRUE"),exact(metadata!E979,"FALSE"))))</f>
        <v>0</v>
      </c>
      <c r="AF979">
        <f>IF(metadata!F979="",FALSE,TRUE)</f>
        <v>0</v>
      </c>
      <c r="AG979">
        <f>IF(metadata!G979="",FALSE,TRUE)</f>
        <v>0</v>
      </c>
      <c r="AH979">
        <f>IF(metadata!H979="",FALSE,TRUE)</f>
        <v>0</v>
      </c>
      <c r="AI979">
        <f>OR(AND(IF(metadata!I979="",FALSE,TRUE),OR(exact(metadata!I979,"missing: not collected"),exact(metadata!I979,"missing: not provided"),exact(metadata!I979,"missing: restricted access"))),AND(IF(metadata!I979="",FALSE,TRUE),OR(exact(metadata!I979,"air"),exact(metadata!I979,"built environment"),exact(metadata!I979,"host-associated"),exact(metadata!I979,"human-associated"),exact(metadata!I979,"human-skin"),exact(metadata!I979,"human-oral"),exact(metadata!I979,"human-gut"),exact(metadata!I979,"human-vaginal"),exact(metadata!I979,"microbial mat/biofilm"),exact(metadata!I979,"misc environment"),exact(metadata!I979,"plant-associated"),exact(metadata!I979,"sediment"),exact(metadata!I979,"soil"),exact(metadata!I979,"wastewater/sludge"),exact(metadata!I979,"water"))))</f>
        <v>0</v>
      </c>
      <c r="AJ979">
        <f>IF(metadata!J979="",FALSE,TRUE)</f>
        <v>0</v>
      </c>
      <c r="AK979">
        <f>OR(AND(IF(metadata!K979="",FALSE,TRUE),OR(exact(metadata!K979,"missing: not collected"),exact(metadata!K979,"missing: not provided"),exact(metadata!K979,"missing: restricted access"))),AND(IF(metadata!K979="",FALSE,ISNUMBER(VALUE(metadata!K979))),metadata!K979&gt;=-90.00,metadata!K979&lt;=90.00))</f>
        <v>0</v>
      </c>
      <c r="AL979">
        <f>OR(AND(IF(metadata!L979="",FALSE,TRUE),OR(exact(metadata!L979,"missing: not collected"),exact(metadata!L979,"missing: not provided"),exact(metadata!L979,"missing: restricted access"))),AND(IF(metadata!L979="",FALSE,ISNUMBER(VALUE(metadata!L979))),metadata!L979&gt;=-180.00,metadata!L979&lt;=180.00))</f>
        <v>0</v>
      </c>
      <c r="AM979">
        <f>IF(metadata!M979="",FALSE,TRUE)</f>
        <v>0</v>
      </c>
      <c r="AN979">
        <f>OR(AND(IF(metadata!N979="",FALSE,TRUE),OR(exact(metadata!N979,"missing: not collected"),exact(metadata!N979,"missing: not provided"),exact(metadata!N979,"missing: restricted access"))),AND(IF(metadata!N979="",FALSE,TRUE),OR(exact(metadata!N979,"TRUE"),exact(metadata!N979,"FALSE"))))</f>
        <v>0</v>
      </c>
      <c r="AO979">
        <f>IF(metadata!O979="",FALSE,TRUE)</f>
        <v>0</v>
      </c>
      <c r="AP979">
        <f>OR(AND(IF(metadata!P979="",FALSE,TRUE),OR(exact(metadata!P979,"missing: not collected"),exact(metadata!P979,"missing: not provided"))),AND(IF(metadata!P979="",FALSE,IF(ISERROR(INT(metadata!P979)),FALSE,INT(metadata!P979)=metadata!P979)),metadata!P979&gt;0))</f>
        <v>0</v>
      </c>
      <c r="AQ979">
        <f>IF(metadata!Q979="",FALSE,TRUE)</f>
        <v>0</v>
      </c>
    </row>
    <row r="980" spans="1:43">
      <c r="A980" s="5">
        <f>IF(B980=" "," ",HYPERLINK(CONCATENATE("#metadata!",ADDRESS(INDEX($W$2:$W$1001,MATCH(ROWS($U$2:U980),$U$2:$U$1001,0),0),1)),INDEX($Z$2:$Z$1001,MATCH(ROWS($U$2:U980),$U$2:$U$1001,0),0)))</f>
        <v>0</v>
      </c>
      <c r="B980" s="4">
        <f>IF(OR(INDEX($V$2:$V$1001,MATCH(ROWS($U$2:U980),$U$2:$U$1001,0),1)&gt;=100000,INDEX($AB$1005:$AQ$1005,1,MATCH(COLUMNS($AB$1006:AB1006),$AB$1006:$AQ$1006,0))&gt;=100000), " ",IF(INDEX($AB$2:$AQ$1001,MATCH(ROWS($U$2:U980),$U$2:$U$1001,0),MATCH(COLUMNS($AB$1006:AB1006),$AB$1006:$AQ$1006,0)), HYPERLINK("#",""), HYPERLINK(CONCATENATE("#metadata!", ADDRESS(INDEX($W$2:$W$1001,MATCH(ROWS($U$2:U980),$U$2:$U$1001,0),0), INDEX($AB$1004:$AQ$1004,1,MATCH(COLUMNS($AB$1006:AB1006),$AB$1006:$AQ$1006,0)))),"Fix")))</f>
        <v>0</v>
      </c>
      <c r="C980" s="4">
        <f>IF(OR(INDEX($V$2:$V$1001,MATCH(ROWS($U$2:U980),$U$2:$U$1001,0),1)&gt;=100000,INDEX($AB$1005:$AQ$1005,1,MATCH(COLUMNS($AB$1006:AC1006),$AB$1006:$AQ$1006,0))&gt;=100000), " ",IF(INDEX($AB$2:$AQ$1001,MATCH(ROWS($U$2:U980),$U$2:$U$1001,0),MATCH(COLUMNS($AB$1006:AC1006),$AB$1006:$AQ$1006,0)), HYPERLINK("#",""), HYPERLINK(CONCATENATE("#metadata!", ADDRESS(INDEX($W$2:$W$1001,MATCH(ROWS($U$2:U980),$U$2:$U$1001,0),0), INDEX($AB$1004:$AQ$1004,1,MATCH(COLUMNS($AB$1006:AC1006),$AB$1006:$AQ$1006,0)))),"Fix")))</f>
        <v>0</v>
      </c>
      <c r="D980" s="4">
        <f>IF(OR(INDEX($V$2:$V$1001,MATCH(ROWS($U$2:U980),$U$2:$U$1001,0),1)&gt;=100000,INDEX($AB$1005:$AQ$1005,1,MATCH(COLUMNS($AB$1006:AD1006),$AB$1006:$AQ$1006,0))&gt;=100000), " ",IF(INDEX($AB$2:$AQ$1001,MATCH(ROWS($U$2:U980),$U$2:$U$1001,0),MATCH(COLUMNS($AB$1006:AD1006),$AB$1006:$AQ$1006,0)), HYPERLINK("#",""), HYPERLINK(CONCATENATE("#metadata!", ADDRESS(INDEX($W$2:$W$1001,MATCH(ROWS($U$2:U980),$U$2:$U$1001,0),0), INDEX($AB$1004:$AQ$1004,1,MATCH(COLUMNS($AB$1006:AD1006),$AB$1006:$AQ$1006,0)))),"Fix")))</f>
        <v>0</v>
      </c>
      <c r="E980" s="4">
        <f>IF(OR(INDEX($V$2:$V$1001,MATCH(ROWS($U$2:U980),$U$2:$U$1001,0),1)&gt;=100000,INDEX($AB$1005:$AQ$1005,1,MATCH(COLUMNS($AB$1006:AE1006),$AB$1006:$AQ$1006,0))&gt;=100000), " ",IF(INDEX($AB$2:$AQ$1001,MATCH(ROWS($U$2:U980),$U$2:$U$1001,0),MATCH(COLUMNS($AB$1006:AE1006),$AB$1006:$AQ$1006,0)), HYPERLINK("#",""), HYPERLINK(CONCATENATE("#metadata!", ADDRESS(INDEX($W$2:$W$1001,MATCH(ROWS($U$2:U980),$U$2:$U$1001,0),0), INDEX($AB$1004:$AQ$1004,1,MATCH(COLUMNS($AB$1006:AE1006),$AB$1006:$AQ$1006,0)))),"Fix")))</f>
        <v>0</v>
      </c>
      <c r="F980" s="4">
        <f>IF(OR(INDEX($V$2:$V$1001,MATCH(ROWS($U$2:U980),$U$2:$U$1001,0),1)&gt;=100000,INDEX($AB$1005:$AQ$1005,1,MATCH(COLUMNS($AB$1006:AF1006),$AB$1006:$AQ$1006,0))&gt;=100000), " ",IF(INDEX($AB$2:$AQ$1001,MATCH(ROWS($U$2:U980),$U$2:$U$1001,0),MATCH(COLUMNS($AB$1006:AF1006),$AB$1006:$AQ$1006,0)), HYPERLINK("#",""), HYPERLINK(CONCATENATE("#metadata!", ADDRESS(INDEX($W$2:$W$1001,MATCH(ROWS($U$2:U980),$U$2:$U$1001,0),0), INDEX($AB$1004:$AQ$1004,1,MATCH(COLUMNS($AB$1006:AF1006),$AB$1006:$AQ$1006,0)))),"Fix")))</f>
        <v>0</v>
      </c>
      <c r="G980" s="4">
        <f>IF(OR(INDEX($V$2:$V$1001,MATCH(ROWS($U$2:U980),$U$2:$U$1001,0),1)&gt;=100000,INDEX($AB$1005:$AQ$1005,1,MATCH(COLUMNS($AB$1006:AG1006),$AB$1006:$AQ$1006,0))&gt;=100000), " ",IF(INDEX($AB$2:$AQ$1001,MATCH(ROWS($U$2:U980),$U$2:$U$1001,0),MATCH(COLUMNS($AB$1006:AG1006),$AB$1006:$AQ$1006,0)), HYPERLINK("#",""), HYPERLINK(CONCATENATE("#metadata!", ADDRESS(INDEX($W$2:$W$1001,MATCH(ROWS($U$2:U980),$U$2:$U$1001,0),0), INDEX($AB$1004:$AQ$1004,1,MATCH(COLUMNS($AB$1006:AG1006),$AB$1006:$AQ$1006,0)))),"Fix")))</f>
        <v>0</v>
      </c>
      <c r="H980" s="4">
        <f>IF(OR(INDEX($V$2:$V$1001,MATCH(ROWS($U$2:U980),$U$2:$U$1001,0),1)&gt;=100000,INDEX($AB$1005:$AQ$1005,1,MATCH(COLUMNS($AB$1006:AH1006),$AB$1006:$AQ$1006,0))&gt;=100000), " ",IF(INDEX($AB$2:$AQ$1001,MATCH(ROWS($U$2:U980),$U$2:$U$1001,0),MATCH(COLUMNS($AB$1006:AH1006),$AB$1006:$AQ$1006,0)), HYPERLINK("#",""), HYPERLINK(CONCATENATE("#metadata!", ADDRESS(INDEX($W$2:$W$1001,MATCH(ROWS($U$2:U980),$U$2:$U$1001,0),0), INDEX($AB$1004:$AQ$1004,1,MATCH(COLUMNS($AB$1006:AH1006),$AB$1006:$AQ$1006,0)))),"Fix")))</f>
        <v>0</v>
      </c>
      <c r="I980" s="4">
        <f>IF(OR(INDEX($V$2:$V$1001,MATCH(ROWS($U$2:U980),$U$2:$U$1001,0),1)&gt;=100000,INDEX($AB$1005:$AQ$1005,1,MATCH(COLUMNS($AB$1006:AI1006),$AB$1006:$AQ$1006,0))&gt;=100000), " ",IF(INDEX($AB$2:$AQ$1001,MATCH(ROWS($U$2:U980),$U$2:$U$1001,0),MATCH(COLUMNS($AB$1006:AI1006),$AB$1006:$AQ$1006,0)), HYPERLINK("#",""), HYPERLINK(CONCATENATE("#metadata!", ADDRESS(INDEX($W$2:$W$1001,MATCH(ROWS($U$2:U980),$U$2:$U$1001,0),0), INDEX($AB$1004:$AQ$1004,1,MATCH(COLUMNS($AB$1006:AI1006),$AB$1006:$AQ$1006,0)))),"Fix")))</f>
        <v>0</v>
      </c>
      <c r="J980" s="4">
        <f>IF(OR(INDEX($V$2:$V$1001,MATCH(ROWS($U$2:U980),$U$2:$U$1001,0),1)&gt;=100000,INDEX($AB$1005:$AQ$1005,1,MATCH(COLUMNS($AB$1006:AJ1006),$AB$1006:$AQ$1006,0))&gt;=100000), " ",IF(INDEX($AB$2:$AQ$1001,MATCH(ROWS($U$2:U980),$U$2:$U$1001,0),MATCH(COLUMNS($AB$1006:AJ1006),$AB$1006:$AQ$1006,0)), HYPERLINK("#",""), HYPERLINK(CONCATENATE("#metadata!", ADDRESS(INDEX($W$2:$W$1001,MATCH(ROWS($U$2:U980),$U$2:$U$1001,0),0), INDEX($AB$1004:$AQ$1004,1,MATCH(COLUMNS($AB$1006:AJ1006),$AB$1006:$AQ$1006,0)))),"Fix")))</f>
        <v>0</v>
      </c>
      <c r="K980" s="4">
        <f>IF(OR(INDEX($V$2:$V$1001,MATCH(ROWS($U$2:U980),$U$2:$U$1001,0),1)&gt;=100000,INDEX($AB$1005:$AQ$1005,1,MATCH(COLUMNS($AB$1006:AK1006),$AB$1006:$AQ$1006,0))&gt;=100000), " ",IF(INDEX($AB$2:$AQ$1001,MATCH(ROWS($U$2:U980),$U$2:$U$1001,0),MATCH(COLUMNS($AB$1006:AK1006),$AB$1006:$AQ$1006,0)), HYPERLINK("#",""), HYPERLINK(CONCATENATE("#metadata!", ADDRESS(INDEX($W$2:$W$1001,MATCH(ROWS($U$2:U980),$U$2:$U$1001,0),0), INDEX($AB$1004:$AQ$1004,1,MATCH(COLUMNS($AB$1006:AK1006),$AB$1006:$AQ$1006,0)))),"Fix")))</f>
        <v>0</v>
      </c>
      <c r="L980" s="4">
        <f>IF(OR(INDEX($V$2:$V$1001,MATCH(ROWS($U$2:U980),$U$2:$U$1001,0),1)&gt;=100000,INDEX($AB$1005:$AQ$1005,1,MATCH(COLUMNS($AB$1006:AL1006),$AB$1006:$AQ$1006,0))&gt;=100000), " ",IF(INDEX($AB$2:$AQ$1001,MATCH(ROWS($U$2:U980),$U$2:$U$1001,0),MATCH(COLUMNS($AB$1006:AL1006),$AB$1006:$AQ$1006,0)), HYPERLINK("#",""), HYPERLINK(CONCATENATE("#metadata!", ADDRESS(INDEX($W$2:$W$1001,MATCH(ROWS($U$2:U980),$U$2:$U$1001,0),0), INDEX($AB$1004:$AQ$1004,1,MATCH(COLUMNS($AB$1006:AL1006),$AB$1006:$AQ$1006,0)))),"Fix")))</f>
        <v>0</v>
      </c>
      <c r="M980" s="4">
        <f>IF(OR(INDEX($V$2:$V$1001,MATCH(ROWS($U$2:U980),$U$2:$U$1001,0),1)&gt;=100000,INDEX($AB$1005:$AQ$1005,1,MATCH(COLUMNS($AB$1006:AM1006),$AB$1006:$AQ$1006,0))&gt;=100000), " ",IF(INDEX($AB$2:$AQ$1001,MATCH(ROWS($U$2:U980),$U$2:$U$1001,0),MATCH(COLUMNS($AB$1006:AM1006),$AB$1006:$AQ$1006,0)), HYPERLINK("#",""), HYPERLINK(CONCATENATE("#metadata!", ADDRESS(INDEX($W$2:$W$1001,MATCH(ROWS($U$2:U980),$U$2:$U$1001,0),0), INDEX($AB$1004:$AQ$1004,1,MATCH(COLUMNS($AB$1006:AM1006),$AB$1006:$AQ$1006,0)))),"Fix")))</f>
        <v>0</v>
      </c>
      <c r="N980" s="4">
        <f>IF(OR(INDEX($V$2:$V$1001,MATCH(ROWS($U$2:U980),$U$2:$U$1001,0),1)&gt;=100000,INDEX($AB$1005:$AQ$1005,1,MATCH(COLUMNS($AB$1006:AN1006),$AB$1006:$AQ$1006,0))&gt;=100000), " ",IF(INDEX($AB$2:$AQ$1001,MATCH(ROWS($U$2:U980),$U$2:$U$1001,0),MATCH(COLUMNS($AB$1006:AN1006),$AB$1006:$AQ$1006,0)), HYPERLINK("#",""), HYPERLINK(CONCATENATE("#metadata!", ADDRESS(INDEX($W$2:$W$1001,MATCH(ROWS($U$2:U980),$U$2:$U$1001,0),0), INDEX($AB$1004:$AQ$1004,1,MATCH(COLUMNS($AB$1006:AN1006),$AB$1006:$AQ$1006,0)))),"Fix")))</f>
        <v>0</v>
      </c>
      <c r="O980" s="4">
        <f>IF(OR(INDEX($V$2:$V$1001,MATCH(ROWS($U$2:U980),$U$2:$U$1001,0),1)&gt;=100000,INDEX($AB$1005:$AQ$1005,1,MATCH(COLUMNS($AB$1006:AO1006),$AB$1006:$AQ$1006,0))&gt;=100000), " ",IF(INDEX($AB$2:$AQ$1001,MATCH(ROWS($U$2:U980),$U$2:$U$1001,0),MATCH(COLUMNS($AB$1006:AO1006),$AB$1006:$AQ$1006,0)), HYPERLINK("#",""), HYPERLINK(CONCATENATE("#metadata!", ADDRESS(INDEX($W$2:$W$1001,MATCH(ROWS($U$2:U980),$U$2:$U$1001,0),0), INDEX($AB$1004:$AQ$1004,1,MATCH(COLUMNS($AB$1006:AO1006),$AB$1006:$AQ$1006,0)))),"Fix")))</f>
        <v>0</v>
      </c>
      <c r="P980" s="4">
        <f>IF(OR(INDEX($V$2:$V$1001,MATCH(ROWS($U$2:U980),$U$2:$U$1001,0),1)&gt;=100000,INDEX($AB$1005:$AQ$1005,1,MATCH(COLUMNS($AB$1006:AP1006),$AB$1006:$AQ$1006,0))&gt;=100000), " ",IF(INDEX($AB$2:$AQ$1001,MATCH(ROWS($U$2:U980),$U$2:$U$1001,0),MATCH(COLUMNS($AB$1006:AP1006),$AB$1006:$AQ$1006,0)), HYPERLINK("#",""), HYPERLINK(CONCATENATE("#metadata!", ADDRESS(INDEX($W$2:$W$1001,MATCH(ROWS($U$2:U980),$U$2:$U$1001,0),0), INDEX($AB$1004:$AQ$1004,1,MATCH(COLUMNS($AB$1006:AP1006),$AB$1006:$AQ$1006,0)))),"Fix")))</f>
        <v>0</v>
      </c>
      <c r="Q980" s="4">
        <f>IF(OR(INDEX($V$2:$V$1001,MATCH(ROWS($U$2:U980),$U$2:$U$1001,0),1)&gt;=100000,INDEX($AB$1005:$AQ$1005,1,MATCH(COLUMNS($AB$1006:AQ1006),$AB$1006:$AQ$1006,0))&gt;=100000), " ",IF(INDEX($AB$2:$AQ$1001,MATCH(ROWS($U$2:U980),$U$2:$U$1001,0),MATCH(COLUMNS($AB$1006:AQ1006),$AB$1006:$AQ$1006,0)), HYPERLINK("#",""), HYPERLINK(CONCATENATE("#metadata!", ADDRESS(INDEX($W$2:$W$1001,MATCH(ROWS($U$2:U980),$U$2:$U$1001,0),0), INDEX($AB$1004:$AQ$1004,1,MATCH(COLUMNS($AB$1006:AQ1006),$AB$1006:$AQ$1006,0)))),"Fix")))</f>
        <v>0</v>
      </c>
      <c r="U980">
        <v>0</v>
      </c>
      <c r="V980">
        <v>0</v>
      </c>
      <c r="W980">
        <v>0</v>
      </c>
      <c r="X980">
        <f>IF(Y980,TRUE,AND(AB980:AQ980))</f>
        <v>0</v>
      </c>
      <c r="Y980">
        <f>COUNTBLANK(metadata!B980:Q980)=COLUMNS(metadata!B980:Q980)</f>
        <v>0</v>
      </c>
      <c r="Z980">
        <v>0</v>
      </c>
      <c r="AB980">
        <f>AND(IF(metadata!B980="",FALSE,TRUE),COUNTIF(metadata!B:B, metadata!B980) = 1,NOT(ISERROR(SUMPRODUCT(SEARCH(MID(metadata!B980,ROW(INDIRECT("1:"&amp;LEN(metadata!B980))), 1),"0123456789abcdefghijklmnopqrstuvwxyzABCDEFGHIJKLMNOPQRSTUVWXYZ.")))))</f>
        <v>0</v>
      </c>
      <c r="AC980">
        <f>OR(AND(IF(metadata!C980="",FALSE,TRUE),OR(exact(metadata!C980,"missing: not collected"),exact(metadata!C980,"missing: not provided"),exact(metadata!C980,"missing: restricted access"))),AND(IF(metadata!C980="",FALSE,TRUE),AND(AND(IFERROR(INT(LEFT(metadata!C980,4))&gt;1900,FALSE),IFERROR(INT(LEFT(metadata!C980,4))&lt;=YEAR(NOW()),FALSE)), OR(MID(metadata!C980,5,1)="", AND(AND(MID(metadata!C980,5,1)="-",IFERROR(INT(MID(metadata!C980,6,1))&gt;=0,FALSE),IFERROR(INT(MID(metadata!C980,6,1))&lt;=1,FALSE),NOT(MID(metadata!C980,7,1)=""),IFERROR(INT(MID(metadata!C980,6,2))&gt;=1,FALSE),IFERROR(INT(MID(metadata!C980,6,2))&lt;=12,FALSE)), OR(MID(metadata!C980,8,1)="", AND(AND(MID(metadata!C980,8,1)="-",IFERROR(INT(MID(metadata!C980,9,1))&gt;=0,FALSE),IFERROR(INT(MID(metadata!C980,9,1))&lt;=3,FALSE),NOT(MID(metadata!C980,10,1)=""),IFERROR(INT(MID(metadata!C980,9,2))&gt;=1,FALSE),IFERROR(INT(MID(metadata!C980,9,2))&lt;=31,FALSE)), OR(MID(metadata!C980,11,1)="", AND(AND(MID(metadata!C980,11,1)=" ",IFERROR(INT(MID(metadata!C980,12,1))&gt;=0,FALSE),IFERROR(INT(MID(metadata!C980,12,1))&lt;=2,FALSE),NOT(MID(metadata!C980,13,1)=""),IFERROR(INT(MID(metadata!C980,12,2))&gt;=0,FALSE),IFERROR(INT(MID(metadata!C980,12,2))&lt;=23,FALSE)), OR(MID(metadata!C980,14,1)="", AND(AND(MID(metadata!C980,14,1)=":",IFERROR(INT(MID(metadata!C980,15,1))&gt;=0,FALSE),IFERROR(INT(MID(metadata!C980,15,1))&lt;=5,FALSE),NOT(MID(metadata!C980,16,1)=""),IFERROR(INT(MID(metadata!C980,15,2))&gt;=0,FALSE),IFERROR(INT(MID(metadata!C980,15,2))&lt;=59,FALSE)), OR(MID(metadata!C980,17,1)="", AND(AND(MID(metadata!C980,17,1)=":",IFERROR(INT(MID(metadata!C980,18,1))&gt;=0,FALSE),IFERROR(INT(MID(metadata!C980,18,1))&lt;=5,FALSE),NOT(MID(metadata!C980,19,1)=""),IFERROR(INT(MID(metadata!C980,18,2))&gt;=0,FALSE),IFERROR(INT(MID(metadata!C980,18,2))&lt;=59,FALSE)), LEN(metadata!C980)&lt;=19)))))))))))))</f>
        <v>0</v>
      </c>
      <c r="AD980">
        <f>IF(metadata!D980="",FALSE,TRUE)</f>
        <v>0</v>
      </c>
      <c r="AE980">
        <f>OR(AND(IF(metadata!E980="",FALSE,TRUE),OR(exact(metadata!E980,"missing: not collected"),exact(metadata!E980,"missing: not provided"))),AND(IF(metadata!E980="",FALSE,TRUE),OR(exact(metadata!E980,"TRUE"),exact(metadata!E980,"FALSE"))))</f>
        <v>0</v>
      </c>
      <c r="AF980">
        <f>IF(metadata!F980="",FALSE,TRUE)</f>
        <v>0</v>
      </c>
      <c r="AG980">
        <f>IF(metadata!G980="",FALSE,TRUE)</f>
        <v>0</v>
      </c>
      <c r="AH980">
        <f>IF(metadata!H980="",FALSE,TRUE)</f>
        <v>0</v>
      </c>
      <c r="AI980">
        <f>OR(AND(IF(metadata!I980="",FALSE,TRUE),OR(exact(metadata!I980,"missing: not collected"),exact(metadata!I980,"missing: not provided"),exact(metadata!I980,"missing: restricted access"))),AND(IF(metadata!I980="",FALSE,TRUE),OR(exact(metadata!I980,"air"),exact(metadata!I980,"built environment"),exact(metadata!I980,"host-associated"),exact(metadata!I980,"human-associated"),exact(metadata!I980,"human-skin"),exact(metadata!I980,"human-oral"),exact(metadata!I980,"human-gut"),exact(metadata!I980,"human-vaginal"),exact(metadata!I980,"microbial mat/biofilm"),exact(metadata!I980,"misc environment"),exact(metadata!I980,"plant-associated"),exact(metadata!I980,"sediment"),exact(metadata!I980,"soil"),exact(metadata!I980,"wastewater/sludge"),exact(metadata!I980,"water"))))</f>
        <v>0</v>
      </c>
      <c r="AJ980">
        <f>IF(metadata!J980="",FALSE,TRUE)</f>
        <v>0</v>
      </c>
      <c r="AK980">
        <f>OR(AND(IF(metadata!K980="",FALSE,TRUE),OR(exact(metadata!K980,"missing: not collected"),exact(metadata!K980,"missing: not provided"),exact(metadata!K980,"missing: restricted access"))),AND(IF(metadata!K980="",FALSE,ISNUMBER(VALUE(metadata!K980))),metadata!K980&gt;=-90.00,metadata!K980&lt;=90.00))</f>
        <v>0</v>
      </c>
      <c r="AL980">
        <f>OR(AND(IF(metadata!L980="",FALSE,TRUE),OR(exact(metadata!L980,"missing: not collected"),exact(metadata!L980,"missing: not provided"),exact(metadata!L980,"missing: restricted access"))),AND(IF(metadata!L980="",FALSE,ISNUMBER(VALUE(metadata!L980))),metadata!L980&gt;=-180.00,metadata!L980&lt;=180.00))</f>
        <v>0</v>
      </c>
      <c r="AM980">
        <f>IF(metadata!M980="",FALSE,TRUE)</f>
        <v>0</v>
      </c>
      <c r="AN980">
        <f>OR(AND(IF(metadata!N980="",FALSE,TRUE),OR(exact(metadata!N980,"missing: not collected"),exact(metadata!N980,"missing: not provided"),exact(metadata!N980,"missing: restricted access"))),AND(IF(metadata!N980="",FALSE,TRUE),OR(exact(metadata!N980,"TRUE"),exact(metadata!N980,"FALSE"))))</f>
        <v>0</v>
      </c>
      <c r="AO980">
        <f>IF(metadata!O980="",FALSE,TRUE)</f>
        <v>0</v>
      </c>
      <c r="AP980">
        <f>OR(AND(IF(metadata!P980="",FALSE,TRUE),OR(exact(metadata!P980,"missing: not collected"),exact(metadata!P980,"missing: not provided"))),AND(IF(metadata!P980="",FALSE,IF(ISERROR(INT(metadata!P980)),FALSE,INT(metadata!P980)=metadata!P980)),metadata!P980&gt;0))</f>
        <v>0</v>
      </c>
      <c r="AQ980">
        <f>IF(metadata!Q980="",FALSE,TRUE)</f>
        <v>0</v>
      </c>
    </row>
    <row r="981" spans="1:43">
      <c r="A981" s="5">
        <f>IF(B981=" "," ",HYPERLINK(CONCATENATE("#metadata!",ADDRESS(INDEX($W$2:$W$1001,MATCH(ROWS($U$2:U981),$U$2:$U$1001,0),0),1)),INDEX($Z$2:$Z$1001,MATCH(ROWS($U$2:U981),$U$2:$U$1001,0),0)))</f>
        <v>0</v>
      </c>
      <c r="B981" s="4">
        <f>IF(OR(INDEX($V$2:$V$1001,MATCH(ROWS($U$2:U981),$U$2:$U$1001,0),1)&gt;=100000,INDEX($AB$1005:$AQ$1005,1,MATCH(COLUMNS($AB$1006:AB1006),$AB$1006:$AQ$1006,0))&gt;=100000), " ",IF(INDEX($AB$2:$AQ$1001,MATCH(ROWS($U$2:U981),$U$2:$U$1001,0),MATCH(COLUMNS($AB$1006:AB1006),$AB$1006:$AQ$1006,0)), HYPERLINK("#",""), HYPERLINK(CONCATENATE("#metadata!", ADDRESS(INDEX($W$2:$W$1001,MATCH(ROWS($U$2:U981),$U$2:$U$1001,0),0), INDEX($AB$1004:$AQ$1004,1,MATCH(COLUMNS($AB$1006:AB1006),$AB$1006:$AQ$1006,0)))),"Fix")))</f>
        <v>0</v>
      </c>
      <c r="C981" s="4">
        <f>IF(OR(INDEX($V$2:$V$1001,MATCH(ROWS($U$2:U981),$U$2:$U$1001,0),1)&gt;=100000,INDEX($AB$1005:$AQ$1005,1,MATCH(COLUMNS($AB$1006:AC1006),$AB$1006:$AQ$1006,0))&gt;=100000), " ",IF(INDEX($AB$2:$AQ$1001,MATCH(ROWS($U$2:U981),$U$2:$U$1001,0),MATCH(COLUMNS($AB$1006:AC1006),$AB$1006:$AQ$1006,0)), HYPERLINK("#",""), HYPERLINK(CONCATENATE("#metadata!", ADDRESS(INDEX($W$2:$W$1001,MATCH(ROWS($U$2:U981),$U$2:$U$1001,0),0), INDEX($AB$1004:$AQ$1004,1,MATCH(COLUMNS($AB$1006:AC1006),$AB$1006:$AQ$1006,0)))),"Fix")))</f>
        <v>0</v>
      </c>
      <c r="D981" s="4">
        <f>IF(OR(INDEX($V$2:$V$1001,MATCH(ROWS($U$2:U981),$U$2:$U$1001,0),1)&gt;=100000,INDEX($AB$1005:$AQ$1005,1,MATCH(COLUMNS($AB$1006:AD1006),$AB$1006:$AQ$1006,0))&gt;=100000), " ",IF(INDEX($AB$2:$AQ$1001,MATCH(ROWS($U$2:U981),$U$2:$U$1001,0),MATCH(COLUMNS($AB$1006:AD1006),$AB$1006:$AQ$1006,0)), HYPERLINK("#",""), HYPERLINK(CONCATENATE("#metadata!", ADDRESS(INDEX($W$2:$W$1001,MATCH(ROWS($U$2:U981),$U$2:$U$1001,0),0), INDEX($AB$1004:$AQ$1004,1,MATCH(COLUMNS($AB$1006:AD1006),$AB$1006:$AQ$1006,0)))),"Fix")))</f>
        <v>0</v>
      </c>
      <c r="E981" s="4">
        <f>IF(OR(INDEX($V$2:$V$1001,MATCH(ROWS($U$2:U981),$U$2:$U$1001,0),1)&gt;=100000,INDEX($AB$1005:$AQ$1005,1,MATCH(COLUMNS($AB$1006:AE1006),$AB$1006:$AQ$1006,0))&gt;=100000), " ",IF(INDEX($AB$2:$AQ$1001,MATCH(ROWS($U$2:U981),$U$2:$U$1001,0),MATCH(COLUMNS($AB$1006:AE1006),$AB$1006:$AQ$1006,0)), HYPERLINK("#",""), HYPERLINK(CONCATENATE("#metadata!", ADDRESS(INDEX($W$2:$W$1001,MATCH(ROWS($U$2:U981),$U$2:$U$1001,0),0), INDEX($AB$1004:$AQ$1004,1,MATCH(COLUMNS($AB$1006:AE1006),$AB$1006:$AQ$1006,0)))),"Fix")))</f>
        <v>0</v>
      </c>
      <c r="F981" s="4">
        <f>IF(OR(INDEX($V$2:$V$1001,MATCH(ROWS($U$2:U981),$U$2:$U$1001,0),1)&gt;=100000,INDEX($AB$1005:$AQ$1005,1,MATCH(COLUMNS($AB$1006:AF1006),$AB$1006:$AQ$1006,0))&gt;=100000), " ",IF(INDEX($AB$2:$AQ$1001,MATCH(ROWS($U$2:U981),$U$2:$U$1001,0),MATCH(COLUMNS($AB$1006:AF1006),$AB$1006:$AQ$1006,0)), HYPERLINK("#",""), HYPERLINK(CONCATENATE("#metadata!", ADDRESS(INDEX($W$2:$W$1001,MATCH(ROWS($U$2:U981),$U$2:$U$1001,0),0), INDEX($AB$1004:$AQ$1004,1,MATCH(COLUMNS($AB$1006:AF1006),$AB$1006:$AQ$1006,0)))),"Fix")))</f>
        <v>0</v>
      </c>
      <c r="G981" s="4">
        <f>IF(OR(INDEX($V$2:$V$1001,MATCH(ROWS($U$2:U981),$U$2:$U$1001,0),1)&gt;=100000,INDEX($AB$1005:$AQ$1005,1,MATCH(COLUMNS($AB$1006:AG1006),$AB$1006:$AQ$1006,0))&gt;=100000), " ",IF(INDEX($AB$2:$AQ$1001,MATCH(ROWS($U$2:U981),$U$2:$U$1001,0),MATCH(COLUMNS($AB$1006:AG1006),$AB$1006:$AQ$1006,0)), HYPERLINK("#",""), HYPERLINK(CONCATENATE("#metadata!", ADDRESS(INDEX($W$2:$W$1001,MATCH(ROWS($U$2:U981),$U$2:$U$1001,0),0), INDEX($AB$1004:$AQ$1004,1,MATCH(COLUMNS($AB$1006:AG1006),$AB$1006:$AQ$1006,0)))),"Fix")))</f>
        <v>0</v>
      </c>
      <c r="H981" s="4">
        <f>IF(OR(INDEX($V$2:$V$1001,MATCH(ROWS($U$2:U981),$U$2:$U$1001,0),1)&gt;=100000,INDEX($AB$1005:$AQ$1005,1,MATCH(COLUMNS($AB$1006:AH1006),$AB$1006:$AQ$1006,0))&gt;=100000), " ",IF(INDEX($AB$2:$AQ$1001,MATCH(ROWS($U$2:U981),$U$2:$U$1001,0),MATCH(COLUMNS($AB$1006:AH1006),$AB$1006:$AQ$1006,0)), HYPERLINK("#",""), HYPERLINK(CONCATENATE("#metadata!", ADDRESS(INDEX($W$2:$W$1001,MATCH(ROWS($U$2:U981),$U$2:$U$1001,0),0), INDEX($AB$1004:$AQ$1004,1,MATCH(COLUMNS($AB$1006:AH1006),$AB$1006:$AQ$1006,0)))),"Fix")))</f>
        <v>0</v>
      </c>
      <c r="I981" s="4">
        <f>IF(OR(INDEX($V$2:$V$1001,MATCH(ROWS($U$2:U981),$U$2:$U$1001,0),1)&gt;=100000,INDEX($AB$1005:$AQ$1005,1,MATCH(COLUMNS($AB$1006:AI1006),$AB$1006:$AQ$1006,0))&gt;=100000), " ",IF(INDEX($AB$2:$AQ$1001,MATCH(ROWS($U$2:U981),$U$2:$U$1001,0),MATCH(COLUMNS($AB$1006:AI1006),$AB$1006:$AQ$1006,0)), HYPERLINK("#",""), HYPERLINK(CONCATENATE("#metadata!", ADDRESS(INDEX($W$2:$W$1001,MATCH(ROWS($U$2:U981),$U$2:$U$1001,0),0), INDEX($AB$1004:$AQ$1004,1,MATCH(COLUMNS($AB$1006:AI1006),$AB$1006:$AQ$1006,0)))),"Fix")))</f>
        <v>0</v>
      </c>
      <c r="J981" s="4">
        <f>IF(OR(INDEX($V$2:$V$1001,MATCH(ROWS($U$2:U981),$U$2:$U$1001,0),1)&gt;=100000,INDEX($AB$1005:$AQ$1005,1,MATCH(COLUMNS($AB$1006:AJ1006),$AB$1006:$AQ$1006,0))&gt;=100000), " ",IF(INDEX($AB$2:$AQ$1001,MATCH(ROWS($U$2:U981),$U$2:$U$1001,0),MATCH(COLUMNS($AB$1006:AJ1006),$AB$1006:$AQ$1006,0)), HYPERLINK("#",""), HYPERLINK(CONCATENATE("#metadata!", ADDRESS(INDEX($W$2:$W$1001,MATCH(ROWS($U$2:U981),$U$2:$U$1001,0),0), INDEX($AB$1004:$AQ$1004,1,MATCH(COLUMNS($AB$1006:AJ1006),$AB$1006:$AQ$1006,0)))),"Fix")))</f>
        <v>0</v>
      </c>
      <c r="K981" s="4">
        <f>IF(OR(INDEX($V$2:$V$1001,MATCH(ROWS($U$2:U981),$U$2:$U$1001,0),1)&gt;=100000,INDEX($AB$1005:$AQ$1005,1,MATCH(COLUMNS($AB$1006:AK1006),$AB$1006:$AQ$1006,0))&gt;=100000), " ",IF(INDEX($AB$2:$AQ$1001,MATCH(ROWS($U$2:U981),$U$2:$U$1001,0),MATCH(COLUMNS($AB$1006:AK1006),$AB$1006:$AQ$1006,0)), HYPERLINK("#",""), HYPERLINK(CONCATENATE("#metadata!", ADDRESS(INDEX($W$2:$W$1001,MATCH(ROWS($U$2:U981),$U$2:$U$1001,0),0), INDEX($AB$1004:$AQ$1004,1,MATCH(COLUMNS($AB$1006:AK1006),$AB$1006:$AQ$1006,0)))),"Fix")))</f>
        <v>0</v>
      </c>
      <c r="L981" s="4">
        <f>IF(OR(INDEX($V$2:$V$1001,MATCH(ROWS($U$2:U981),$U$2:$U$1001,0),1)&gt;=100000,INDEX($AB$1005:$AQ$1005,1,MATCH(COLUMNS($AB$1006:AL1006),$AB$1006:$AQ$1006,0))&gt;=100000), " ",IF(INDEX($AB$2:$AQ$1001,MATCH(ROWS($U$2:U981),$U$2:$U$1001,0),MATCH(COLUMNS($AB$1006:AL1006),$AB$1006:$AQ$1006,0)), HYPERLINK("#",""), HYPERLINK(CONCATENATE("#metadata!", ADDRESS(INDEX($W$2:$W$1001,MATCH(ROWS($U$2:U981),$U$2:$U$1001,0),0), INDEX($AB$1004:$AQ$1004,1,MATCH(COLUMNS($AB$1006:AL1006),$AB$1006:$AQ$1006,0)))),"Fix")))</f>
        <v>0</v>
      </c>
      <c r="M981" s="4">
        <f>IF(OR(INDEX($V$2:$V$1001,MATCH(ROWS($U$2:U981),$U$2:$U$1001,0),1)&gt;=100000,INDEX($AB$1005:$AQ$1005,1,MATCH(COLUMNS($AB$1006:AM1006),$AB$1006:$AQ$1006,0))&gt;=100000), " ",IF(INDEX($AB$2:$AQ$1001,MATCH(ROWS($U$2:U981),$U$2:$U$1001,0),MATCH(COLUMNS($AB$1006:AM1006),$AB$1006:$AQ$1006,0)), HYPERLINK("#",""), HYPERLINK(CONCATENATE("#metadata!", ADDRESS(INDEX($W$2:$W$1001,MATCH(ROWS($U$2:U981),$U$2:$U$1001,0),0), INDEX($AB$1004:$AQ$1004,1,MATCH(COLUMNS($AB$1006:AM1006),$AB$1006:$AQ$1006,0)))),"Fix")))</f>
        <v>0</v>
      </c>
      <c r="N981" s="4">
        <f>IF(OR(INDEX($V$2:$V$1001,MATCH(ROWS($U$2:U981),$U$2:$U$1001,0),1)&gt;=100000,INDEX($AB$1005:$AQ$1005,1,MATCH(COLUMNS($AB$1006:AN1006),$AB$1006:$AQ$1006,0))&gt;=100000), " ",IF(INDEX($AB$2:$AQ$1001,MATCH(ROWS($U$2:U981),$U$2:$U$1001,0),MATCH(COLUMNS($AB$1006:AN1006),$AB$1006:$AQ$1006,0)), HYPERLINK("#",""), HYPERLINK(CONCATENATE("#metadata!", ADDRESS(INDEX($W$2:$W$1001,MATCH(ROWS($U$2:U981),$U$2:$U$1001,0),0), INDEX($AB$1004:$AQ$1004,1,MATCH(COLUMNS($AB$1006:AN1006),$AB$1006:$AQ$1006,0)))),"Fix")))</f>
        <v>0</v>
      </c>
      <c r="O981" s="4">
        <f>IF(OR(INDEX($V$2:$V$1001,MATCH(ROWS($U$2:U981),$U$2:$U$1001,0),1)&gt;=100000,INDEX($AB$1005:$AQ$1005,1,MATCH(COLUMNS($AB$1006:AO1006),$AB$1006:$AQ$1006,0))&gt;=100000), " ",IF(INDEX($AB$2:$AQ$1001,MATCH(ROWS($U$2:U981),$U$2:$U$1001,0),MATCH(COLUMNS($AB$1006:AO1006),$AB$1006:$AQ$1006,0)), HYPERLINK("#",""), HYPERLINK(CONCATENATE("#metadata!", ADDRESS(INDEX($W$2:$W$1001,MATCH(ROWS($U$2:U981),$U$2:$U$1001,0),0), INDEX($AB$1004:$AQ$1004,1,MATCH(COLUMNS($AB$1006:AO1006),$AB$1006:$AQ$1006,0)))),"Fix")))</f>
        <v>0</v>
      </c>
      <c r="P981" s="4">
        <f>IF(OR(INDEX($V$2:$V$1001,MATCH(ROWS($U$2:U981),$U$2:$U$1001,0),1)&gt;=100000,INDEX($AB$1005:$AQ$1005,1,MATCH(COLUMNS($AB$1006:AP1006),$AB$1006:$AQ$1006,0))&gt;=100000), " ",IF(INDEX($AB$2:$AQ$1001,MATCH(ROWS($U$2:U981),$U$2:$U$1001,0),MATCH(COLUMNS($AB$1006:AP1006),$AB$1006:$AQ$1006,0)), HYPERLINK("#",""), HYPERLINK(CONCATENATE("#metadata!", ADDRESS(INDEX($W$2:$W$1001,MATCH(ROWS($U$2:U981),$U$2:$U$1001,0),0), INDEX($AB$1004:$AQ$1004,1,MATCH(COLUMNS($AB$1006:AP1006),$AB$1006:$AQ$1006,0)))),"Fix")))</f>
        <v>0</v>
      </c>
      <c r="Q981" s="4">
        <f>IF(OR(INDEX($V$2:$V$1001,MATCH(ROWS($U$2:U981),$U$2:$U$1001,0),1)&gt;=100000,INDEX($AB$1005:$AQ$1005,1,MATCH(COLUMNS($AB$1006:AQ1006),$AB$1006:$AQ$1006,0))&gt;=100000), " ",IF(INDEX($AB$2:$AQ$1001,MATCH(ROWS($U$2:U981),$U$2:$U$1001,0),MATCH(COLUMNS($AB$1006:AQ1006),$AB$1006:$AQ$1006,0)), HYPERLINK("#",""), HYPERLINK(CONCATENATE("#metadata!", ADDRESS(INDEX($W$2:$W$1001,MATCH(ROWS($U$2:U981),$U$2:$U$1001,0),0), INDEX($AB$1004:$AQ$1004,1,MATCH(COLUMNS($AB$1006:AQ1006),$AB$1006:$AQ$1006,0)))),"Fix")))</f>
        <v>0</v>
      </c>
      <c r="U981">
        <v>0</v>
      </c>
      <c r="V981">
        <v>0</v>
      </c>
      <c r="W981">
        <v>0</v>
      </c>
      <c r="X981">
        <f>IF(Y981,TRUE,AND(AB981:AQ981))</f>
        <v>0</v>
      </c>
      <c r="Y981">
        <f>COUNTBLANK(metadata!B981:Q981)=COLUMNS(metadata!B981:Q981)</f>
        <v>0</v>
      </c>
      <c r="Z981">
        <v>0</v>
      </c>
      <c r="AB981">
        <f>AND(IF(metadata!B981="",FALSE,TRUE),COUNTIF(metadata!B:B, metadata!B981) = 1,NOT(ISERROR(SUMPRODUCT(SEARCH(MID(metadata!B981,ROW(INDIRECT("1:"&amp;LEN(metadata!B981))), 1),"0123456789abcdefghijklmnopqrstuvwxyzABCDEFGHIJKLMNOPQRSTUVWXYZ.")))))</f>
        <v>0</v>
      </c>
      <c r="AC981">
        <f>OR(AND(IF(metadata!C981="",FALSE,TRUE),OR(exact(metadata!C981,"missing: not collected"),exact(metadata!C981,"missing: not provided"),exact(metadata!C981,"missing: restricted access"))),AND(IF(metadata!C981="",FALSE,TRUE),AND(AND(IFERROR(INT(LEFT(metadata!C981,4))&gt;1900,FALSE),IFERROR(INT(LEFT(metadata!C981,4))&lt;=YEAR(NOW()),FALSE)), OR(MID(metadata!C981,5,1)="", AND(AND(MID(metadata!C981,5,1)="-",IFERROR(INT(MID(metadata!C981,6,1))&gt;=0,FALSE),IFERROR(INT(MID(metadata!C981,6,1))&lt;=1,FALSE),NOT(MID(metadata!C981,7,1)=""),IFERROR(INT(MID(metadata!C981,6,2))&gt;=1,FALSE),IFERROR(INT(MID(metadata!C981,6,2))&lt;=12,FALSE)), OR(MID(metadata!C981,8,1)="", AND(AND(MID(metadata!C981,8,1)="-",IFERROR(INT(MID(metadata!C981,9,1))&gt;=0,FALSE),IFERROR(INT(MID(metadata!C981,9,1))&lt;=3,FALSE),NOT(MID(metadata!C981,10,1)=""),IFERROR(INT(MID(metadata!C981,9,2))&gt;=1,FALSE),IFERROR(INT(MID(metadata!C981,9,2))&lt;=31,FALSE)), OR(MID(metadata!C981,11,1)="", AND(AND(MID(metadata!C981,11,1)=" ",IFERROR(INT(MID(metadata!C981,12,1))&gt;=0,FALSE),IFERROR(INT(MID(metadata!C981,12,1))&lt;=2,FALSE),NOT(MID(metadata!C981,13,1)=""),IFERROR(INT(MID(metadata!C981,12,2))&gt;=0,FALSE),IFERROR(INT(MID(metadata!C981,12,2))&lt;=23,FALSE)), OR(MID(metadata!C981,14,1)="", AND(AND(MID(metadata!C981,14,1)=":",IFERROR(INT(MID(metadata!C981,15,1))&gt;=0,FALSE),IFERROR(INT(MID(metadata!C981,15,1))&lt;=5,FALSE),NOT(MID(metadata!C981,16,1)=""),IFERROR(INT(MID(metadata!C981,15,2))&gt;=0,FALSE),IFERROR(INT(MID(metadata!C981,15,2))&lt;=59,FALSE)), OR(MID(metadata!C981,17,1)="", AND(AND(MID(metadata!C981,17,1)=":",IFERROR(INT(MID(metadata!C981,18,1))&gt;=0,FALSE),IFERROR(INT(MID(metadata!C981,18,1))&lt;=5,FALSE),NOT(MID(metadata!C981,19,1)=""),IFERROR(INT(MID(metadata!C981,18,2))&gt;=0,FALSE),IFERROR(INT(MID(metadata!C981,18,2))&lt;=59,FALSE)), LEN(metadata!C981)&lt;=19)))))))))))))</f>
        <v>0</v>
      </c>
      <c r="AD981">
        <f>IF(metadata!D981="",FALSE,TRUE)</f>
        <v>0</v>
      </c>
      <c r="AE981">
        <f>OR(AND(IF(metadata!E981="",FALSE,TRUE),OR(exact(metadata!E981,"missing: not collected"),exact(metadata!E981,"missing: not provided"))),AND(IF(metadata!E981="",FALSE,TRUE),OR(exact(metadata!E981,"TRUE"),exact(metadata!E981,"FALSE"))))</f>
        <v>0</v>
      </c>
      <c r="AF981">
        <f>IF(metadata!F981="",FALSE,TRUE)</f>
        <v>0</v>
      </c>
      <c r="AG981">
        <f>IF(metadata!G981="",FALSE,TRUE)</f>
        <v>0</v>
      </c>
      <c r="AH981">
        <f>IF(metadata!H981="",FALSE,TRUE)</f>
        <v>0</v>
      </c>
      <c r="AI981">
        <f>OR(AND(IF(metadata!I981="",FALSE,TRUE),OR(exact(metadata!I981,"missing: not collected"),exact(metadata!I981,"missing: not provided"),exact(metadata!I981,"missing: restricted access"))),AND(IF(metadata!I981="",FALSE,TRUE),OR(exact(metadata!I981,"air"),exact(metadata!I981,"built environment"),exact(metadata!I981,"host-associated"),exact(metadata!I981,"human-associated"),exact(metadata!I981,"human-skin"),exact(metadata!I981,"human-oral"),exact(metadata!I981,"human-gut"),exact(metadata!I981,"human-vaginal"),exact(metadata!I981,"microbial mat/biofilm"),exact(metadata!I981,"misc environment"),exact(metadata!I981,"plant-associated"),exact(metadata!I981,"sediment"),exact(metadata!I981,"soil"),exact(metadata!I981,"wastewater/sludge"),exact(metadata!I981,"water"))))</f>
        <v>0</v>
      </c>
      <c r="AJ981">
        <f>IF(metadata!J981="",FALSE,TRUE)</f>
        <v>0</v>
      </c>
      <c r="AK981">
        <f>OR(AND(IF(metadata!K981="",FALSE,TRUE),OR(exact(metadata!K981,"missing: not collected"),exact(metadata!K981,"missing: not provided"),exact(metadata!K981,"missing: restricted access"))),AND(IF(metadata!K981="",FALSE,ISNUMBER(VALUE(metadata!K981))),metadata!K981&gt;=-90.00,metadata!K981&lt;=90.00))</f>
        <v>0</v>
      </c>
      <c r="AL981">
        <f>OR(AND(IF(metadata!L981="",FALSE,TRUE),OR(exact(metadata!L981,"missing: not collected"),exact(metadata!L981,"missing: not provided"),exact(metadata!L981,"missing: restricted access"))),AND(IF(metadata!L981="",FALSE,ISNUMBER(VALUE(metadata!L981))),metadata!L981&gt;=-180.00,metadata!L981&lt;=180.00))</f>
        <v>0</v>
      </c>
      <c r="AM981">
        <f>IF(metadata!M981="",FALSE,TRUE)</f>
        <v>0</v>
      </c>
      <c r="AN981">
        <f>OR(AND(IF(metadata!N981="",FALSE,TRUE),OR(exact(metadata!N981,"missing: not collected"),exact(metadata!N981,"missing: not provided"),exact(metadata!N981,"missing: restricted access"))),AND(IF(metadata!N981="",FALSE,TRUE),OR(exact(metadata!N981,"TRUE"),exact(metadata!N981,"FALSE"))))</f>
        <v>0</v>
      </c>
      <c r="AO981">
        <f>IF(metadata!O981="",FALSE,TRUE)</f>
        <v>0</v>
      </c>
      <c r="AP981">
        <f>OR(AND(IF(metadata!P981="",FALSE,TRUE),OR(exact(metadata!P981,"missing: not collected"),exact(metadata!P981,"missing: not provided"))),AND(IF(metadata!P981="",FALSE,IF(ISERROR(INT(metadata!P981)),FALSE,INT(metadata!P981)=metadata!P981)),metadata!P981&gt;0))</f>
        <v>0</v>
      </c>
      <c r="AQ981">
        <f>IF(metadata!Q981="",FALSE,TRUE)</f>
        <v>0</v>
      </c>
    </row>
    <row r="982" spans="1:43">
      <c r="A982" s="5">
        <f>IF(B982=" "," ",HYPERLINK(CONCATENATE("#metadata!",ADDRESS(INDEX($W$2:$W$1001,MATCH(ROWS($U$2:U982),$U$2:$U$1001,0),0),1)),INDEX($Z$2:$Z$1001,MATCH(ROWS($U$2:U982),$U$2:$U$1001,0),0)))</f>
        <v>0</v>
      </c>
      <c r="B982" s="4">
        <f>IF(OR(INDEX($V$2:$V$1001,MATCH(ROWS($U$2:U982),$U$2:$U$1001,0),1)&gt;=100000,INDEX($AB$1005:$AQ$1005,1,MATCH(COLUMNS($AB$1006:AB1006),$AB$1006:$AQ$1006,0))&gt;=100000), " ",IF(INDEX($AB$2:$AQ$1001,MATCH(ROWS($U$2:U982),$U$2:$U$1001,0),MATCH(COLUMNS($AB$1006:AB1006),$AB$1006:$AQ$1006,0)), HYPERLINK("#",""), HYPERLINK(CONCATENATE("#metadata!", ADDRESS(INDEX($W$2:$W$1001,MATCH(ROWS($U$2:U982),$U$2:$U$1001,0),0), INDEX($AB$1004:$AQ$1004,1,MATCH(COLUMNS($AB$1006:AB1006),$AB$1006:$AQ$1006,0)))),"Fix")))</f>
        <v>0</v>
      </c>
      <c r="C982" s="4">
        <f>IF(OR(INDEX($V$2:$V$1001,MATCH(ROWS($U$2:U982),$U$2:$U$1001,0),1)&gt;=100000,INDEX($AB$1005:$AQ$1005,1,MATCH(COLUMNS($AB$1006:AC1006),$AB$1006:$AQ$1006,0))&gt;=100000), " ",IF(INDEX($AB$2:$AQ$1001,MATCH(ROWS($U$2:U982),$U$2:$U$1001,0),MATCH(COLUMNS($AB$1006:AC1006),$AB$1006:$AQ$1006,0)), HYPERLINK("#",""), HYPERLINK(CONCATENATE("#metadata!", ADDRESS(INDEX($W$2:$W$1001,MATCH(ROWS($U$2:U982),$U$2:$U$1001,0),0), INDEX($AB$1004:$AQ$1004,1,MATCH(COLUMNS($AB$1006:AC1006),$AB$1006:$AQ$1006,0)))),"Fix")))</f>
        <v>0</v>
      </c>
      <c r="D982" s="4">
        <f>IF(OR(INDEX($V$2:$V$1001,MATCH(ROWS($U$2:U982),$U$2:$U$1001,0),1)&gt;=100000,INDEX($AB$1005:$AQ$1005,1,MATCH(COLUMNS($AB$1006:AD1006),$AB$1006:$AQ$1006,0))&gt;=100000), " ",IF(INDEX($AB$2:$AQ$1001,MATCH(ROWS($U$2:U982),$U$2:$U$1001,0),MATCH(COLUMNS($AB$1006:AD1006),$AB$1006:$AQ$1006,0)), HYPERLINK("#",""), HYPERLINK(CONCATENATE("#metadata!", ADDRESS(INDEX($W$2:$W$1001,MATCH(ROWS($U$2:U982),$U$2:$U$1001,0),0), INDEX($AB$1004:$AQ$1004,1,MATCH(COLUMNS($AB$1006:AD1006),$AB$1006:$AQ$1006,0)))),"Fix")))</f>
        <v>0</v>
      </c>
      <c r="E982" s="4">
        <f>IF(OR(INDEX($V$2:$V$1001,MATCH(ROWS($U$2:U982),$U$2:$U$1001,0),1)&gt;=100000,INDEX($AB$1005:$AQ$1005,1,MATCH(COLUMNS($AB$1006:AE1006),$AB$1006:$AQ$1006,0))&gt;=100000), " ",IF(INDEX($AB$2:$AQ$1001,MATCH(ROWS($U$2:U982),$U$2:$U$1001,0),MATCH(COLUMNS($AB$1006:AE1006),$AB$1006:$AQ$1006,0)), HYPERLINK("#",""), HYPERLINK(CONCATENATE("#metadata!", ADDRESS(INDEX($W$2:$W$1001,MATCH(ROWS($U$2:U982),$U$2:$U$1001,0),0), INDEX($AB$1004:$AQ$1004,1,MATCH(COLUMNS($AB$1006:AE1006),$AB$1006:$AQ$1006,0)))),"Fix")))</f>
        <v>0</v>
      </c>
      <c r="F982" s="4">
        <f>IF(OR(INDEX($V$2:$V$1001,MATCH(ROWS($U$2:U982),$U$2:$U$1001,0),1)&gt;=100000,INDEX($AB$1005:$AQ$1005,1,MATCH(COLUMNS($AB$1006:AF1006),$AB$1006:$AQ$1006,0))&gt;=100000), " ",IF(INDEX($AB$2:$AQ$1001,MATCH(ROWS($U$2:U982),$U$2:$U$1001,0),MATCH(COLUMNS($AB$1006:AF1006),$AB$1006:$AQ$1006,0)), HYPERLINK("#",""), HYPERLINK(CONCATENATE("#metadata!", ADDRESS(INDEX($W$2:$W$1001,MATCH(ROWS($U$2:U982),$U$2:$U$1001,0),0), INDEX($AB$1004:$AQ$1004,1,MATCH(COLUMNS($AB$1006:AF1006),$AB$1006:$AQ$1006,0)))),"Fix")))</f>
        <v>0</v>
      </c>
      <c r="G982" s="4">
        <f>IF(OR(INDEX($V$2:$V$1001,MATCH(ROWS($U$2:U982),$U$2:$U$1001,0),1)&gt;=100000,INDEX($AB$1005:$AQ$1005,1,MATCH(COLUMNS($AB$1006:AG1006),$AB$1006:$AQ$1006,0))&gt;=100000), " ",IF(INDEX($AB$2:$AQ$1001,MATCH(ROWS($U$2:U982),$U$2:$U$1001,0),MATCH(COLUMNS($AB$1006:AG1006),$AB$1006:$AQ$1006,0)), HYPERLINK("#",""), HYPERLINK(CONCATENATE("#metadata!", ADDRESS(INDEX($W$2:$W$1001,MATCH(ROWS($U$2:U982),$U$2:$U$1001,0),0), INDEX($AB$1004:$AQ$1004,1,MATCH(COLUMNS($AB$1006:AG1006),$AB$1006:$AQ$1006,0)))),"Fix")))</f>
        <v>0</v>
      </c>
      <c r="H982" s="4">
        <f>IF(OR(INDEX($V$2:$V$1001,MATCH(ROWS($U$2:U982),$U$2:$U$1001,0),1)&gt;=100000,INDEX($AB$1005:$AQ$1005,1,MATCH(COLUMNS($AB$1006:AH1006),$AB$1006:$AQ$1006,0))&gt;=100000), " ",IF(INDEX($AB$2:$AQ$1001,MATCH(ROWS($U$2:U982),$U$2:$U$1001,0),MATCH(COLUMNS($AB$1006:AH1006),$AB$1006:$AQ$1006,0)), HYPERLINK("#",""), HYPERLINK(CONCATENATE("#metadata!", ADDRESS(INDEX($W$2:$W$1001,MATCH(ROWS($U$2:U982),$U$2:$U$1001,0),0), INDEX($AB$1004:$AQ$1004,1,MATCH(COLUMNS($AB$1006:AH1006),$AB$1006:$AQ$1006,0)))),"Fix")))</f>
        <v>0</v>
      </c>
      <c r="I982" s="4">
        <f>IF(OR(INDEX($V$2:$V$1001,MATCH(ROWS($U$2:U982),$U$2:$U$1001,0),1)&gt;=100000,INDEX($AB$1005:$AQ$1005,1,MATCH(COLUMNS($AB$1006:AI1006),$AB$1006:$AQ$1006,0))&gt;=100000), " ",IF(INDEX($AB$2:$AQ$1001,MATCH(ROWS($U$2:U982),$U$2:$U$1001,0),MATCH(COLUMNS($AB$1006:AI1006),$AB$1006:$AQ$1006,0)), HYPERLINK("#",""), HYPERLINK(CONCATENATE("#metadata!", ADDRESS(INDEX($W$2:$W$1001,MATCH(ROWS($U$2:U982),$U$2:$U$1001,0),0), INDEX($AB$1004:$AQ$1004,1,MATCH(COLUMNS($AB$1006:AI1006),$AB$1006:$AQ$1006,0)))),"Fix")))</f>
        <v>0</v>
      </c>
      <c r="J982" s="4">
        <f>IF(OR(INDEX($V$2:$V$1001,MATCH(ROWS($U$2:U982),$U$2:$U$1001,0),1)&gt;=100000,INDEX($AB$1005:$AQ$1005,1,MATCH(COLUMNS($AB$1006:AJ1006),$AB$1006:$AQ$1006,0))&gt;=100000), " ",IF(INDEX($AB$2:$AQ$1001,MATCH(ROWS($U$2:U982),$U$2:$U$1001,0),MATCH(COLUMNS($AB$1006:AJ1006),$AB$1006:$AQ$1006,0)), HYPERLINK("#",""), HYPERLINK(CONCATENATE("#metadata!", ADDRESS(INDEX($W$2:$W$1001,MATCH(ROWS($U$2:U982),$U$2:$U$1001,0),0), INDEX($AB$1004:$AQ$1004,1,MATCH(COLUMNS($AB$1006:AJ1006),$AB$1006:$AQ$1006,0)))),"Fix")))</f>
        <v>0</v>
      </c>
      <c r="K982" s="4">
        <f>IF(OR(INDEX($V$2:$V$1001,MATCH(ROWS($U$2:U982),$U$2:$U$1001,0),1)&gt;=100000,INDEX($AB$1005:$AQ$1005,1,MATCH(COLUMNS($AB$1006:AK1006),$AB$1006:$AQ$1006,0))&gt;=100000), " ",IF(INDEX($AB$2:$AQ$1001,MATCH(ROWS($U$2:U982),$U$2:$U$1001,0),MATCH(COLUMNS($AB$1006:AK1006),$AB$1006:$AQ$1006,0)), HYPERLINK("#",""), HYPERLINK(CONCATENATE("#metadata!", ADDRESS(INDEX($W$2:$W$1001,MATCH(ROWS($U$2:U982),$U$2:$U$1001,0),0), INDEX($AB$1004:$AQ$1004,1,MATCH(COLUMNS($AB$1006:AK1006),$AB$1006:$AQ$1006,0)))),"Fix")))</f>
        <v>0</v>
      </c>
      <c r="L982" s="4">
        <f>IF(OR(INDEX($V$2:$V$1001,MATCH(ROWS($U$2:U982),$U$2:$U$1001,0),1)&gt;=100000,INDEX($AB$1005:$AQ$1005,1,MATCH(COLUMNS($AB$1006:AL1006),$AB$1006:$AQ$1006,0))&gt;=100000), " ",IF(INDEX($AB$2:$AQ$1001,MATCH(ROWS($U$2:U982),$U$2:$U$1001,0),MATCH(COLUMNS($AB$1006:AL1006),$AB$1006:$AQ$1006,0)), HYPERLINK("#",""), HYPERLINK(CONCATENATE("#metadata!", ADDRESS(INDEX($W$2:$W$1001,MATCH(ROWS($U$2:U982),$U$2:$U$1001,0),0), INDEX($AB$1004:$AQ$1004,1,MATCH(COLUMNS($AB$1006:AL1006),$AB$1006:$AQ$1006,0)))),"Fix")))</f>
        <v>0</v>
      </c>
      <c r="M982" s="4">
        <f>IF(OR(INDEX($V$2:$V$1001,MATCH(ROWS($U$2:U982),$U$2:$U$1001,0),1)&gt;=100000,INDEX($AB$1005:$AQ$1005,1,MATCH(COLUMNS($AB$1006:AM1006),$AB$1006:$AQ$1006,0))&gt;=100000), " ",IF(INDEX($AB$2:$AQ$1001,MATCH(ROWS($U$2:U982),$U$2:$U$1001,0),MATCH(COLUMNS($AB$1006:AM1006),$AB$1006:$AQ$1006,0)), HYPERLINK("#",""), HYPERLINK(CONCATENATE("#metadata!", ADDRESS(INDEX($W$2:$W$1001,MATCH(ROWS($U$2:U982),$U$2:$U$1001,0),0), INDEX($AB$1004:$AQ$1004,1,MATCH(COLUMNS($AB$1006:AM1006),$AB$1006:$AQ$1006,0)))),"Fix")))</f>
        <v>0</v>
      </c>
      <c r="N982" s="4">
        <f>IF(OR(INDEX($V$2:$V$1001,MATCH(ROWS($U$2:U982),$U$2:$U$1001,0),1)&gt;=100000,INDEX($AB$1005:$AQ$1005,1,MATCH(COLUMNS($AB$1006:AN1006),$AB$1006:$AQ$1006,0))&gt;=100000), " ",IF(INDEX($AB$2:$AQ$1001,MATCH(ROWS($U$2:U982),$U$2:$U$1001,0),MATCH(COLUMNS($AB$1006:AN1006),$AB$1006:$AQ$1006,0)), HYPERLINK("#",""), HYPERLINK(CONCATENATE("#metadata!", ADDRESS(INDEX($W$2:$W$1001,MATCH(ROWS($U$2:U982),$U$2:$U$1001,0),0), INDEX($AB$1004:$AQ$1004,1,MATCH(COLUMNS($AB$1006:AN1006),$AB$1006:$AQ$1006,0)))),"Fix")))</f>
        <v>0</v>
      </c>
      <c r="O982" s="4">
        <f>IF(OR(INDEX($V$2:$V$1001,MATCH(ROWS($U$2:U982),$U$2:$U$1001,0),1)&gt;=100000,INDEX($AB$1005:$AQ$1005,1,MATCH(COLUMNS($AB$1006:AO1006),$AB$1006:$AQ$1006,0))&gt;=100000), " ",IF(INDEX($AB$2:$AQ$1001,MATCH(ROWS($U$2:U982),$U$2:$U$1001,0),MATCH(COLUMNS($AB$1006:AO1006),$AB$1006:$AQ$1006,0)), HYPERLINK("#",""), HYPERLINK(CONCATENATE("#metadata!", ADDRESS(INDEX($W$2:$W$1001,MATCH(ROWS($U$2:U982),$U$2:$U$1001,0),0), INDEX($AB$1004:$AQ$1004,1,MATCH(COLUMNS($AB$1006:AO1006),$AB$1006:$AQ$1006,0)))),"Fix")))</f>
        <v>0</v>
      </c>
      <c r="P982" s="4">
        <f>IF(OR(INDEX($V$2:$V$1001,MATCH(ROWS($U$2:U982),$U$2:$U$1001,0),1)&gt;=100000,INDEX($AB$1005:$AQ$1005,1,MATCH(COLUMNS($AB$1006:AP1006),$AB$1006:$AQ$1006,0))&gt;=100000), " ",IF(INDEX($AB$2:$AQ$1001,MATCH(ROWS($U$2:U982),$U$2:$U$1001,0),MATCH(COLUMNS($AB$1006:AP1006),$AB$1006:$AQ$1006,0)), HYPERLINK("#",""), HYPERLINK(CONCATENATE("#metadata!", ADDRESS(INDEX($W$2:$W$1001,MATCH(ROWS($U$2:U982),$U$2:$U$1001,0),0), INDEX($AB$1004:$AQ$1004,1,MATCH(COLUMNS($AB$1006:AP1006),$AB$1006:$AQ$1006,0)))),"Fix")))</f>
        <v>0</v>
      </c>
      <c r="Q982" s="4">
        <f>IF(OR(INDEX($V$2:$V$1001,MATCH(ROWS($U$2:U982),$U$2:$U$1001,0),1)&gt;=100000,INDEX($AB$1005:$AQ$1005,1,MATCH(COLUMNS($AB$1006:AQ1006),$AB$1006:$AQ$1006,0))&gt;=100000), " ",IF(INDEX($AB$2:$AQ$1001,MATCH(ROWS($U$2:U982),$U$2:$U$1001,0),MATCH(COLUMNS($AB$1006:AQ1006),$AB$1006:$AQ$1006,0)), HYPERLINK("#",""), HYPERLINK(CONCATENATE("#metadata!", ADDRESS(INDEX($W$2:$W$1001,MATCH(ROWS($U$2:U982),$U$2:$U$1001,0),0), INDEX($AB$1004:$AQ$1004,1,MATCH(COLUMNS($AB$1006:AQ1006),$AB$1006:$AQ$1006,0)))),"Fix")))</f>
        <v>0</v>
      </c>
      <c r="U982">
        <v>0</v>
      </c>
      <c r="V982">
        <v>0</v>
      </c>
      <c r="W982">
        <v>0</v>
      </c>
      <c r="X982">
        <f>IF(Y982,TRUE,AND(AB982:AQ982))</f>
        <v>0</v>
      </c>
      <c r="Y982">
        <f>COUNTBLANK(metadata!B982:Q982)=COLUMNS(metadata!B982:Q982)</f>
        <v>0</v>
      </c>
      <c r="Z982">
        <v>0</v>
      </c>
      <c r="AB982">
        <f>AND(IF(metadata!B982="",FALSE,TRUE),COUNTIF(metadata!B:B, metadata!B982) = 1,NOT(ISERROR(SUMPRODUCT(SEARCH(MID(metadata!B982,ROW(INDIRECT("1:"&amp;LEN(metadata!B982))), 1),"0123456789abcdefghijklmnopqrstuvwxyzABCDEFGHIJKLMNOPQRSTUVWXYZ.")))))</f>
        <v>0</v>
      </c>
      <c r="AC982">
        <f>OR(AND(IF(metadata!C982="",FALSE,TRUE),OR(exact(metadata!C982,"missing: not collected"),exact(metadata!C982,"missing: not provided"),exact(metadata!C982,"missing: restricted access"))),AND(IF(metadata!C982="",FALSE,TRUE),AND(AND(IFERROR(INT(LEFT(metadata!C982,4))&gt;1900,FALSE),IFERROR(INT(LEFT(metadata!C982,4))&lt;=YEAR(NOW()),FALSE)), OR(MID(metadata!C982,5,1)="", AND(AND(MID(metadata!C982,5,1)="-",IFERROR(INT(MID(metadata!C982,6,1))&gt;=0,FALSE),IFERROR(INT(MID(metadata!C982,6,1))&lt;=1,FALSE),NOT(MID(metadata!C982,7,1)=""),IFERROR(INT(MID(metadata!C982,6,2))&gt;=1,FALSE),IFERROR(INT(MID(metadata!C982,6,2))&lt;=12,FALSE)), OR(MID(metadata!C982,8,1)="", AND(AND(MID(metadata!C982,8,1)="-",IFERROR(INT(MID(metadata!C982,9,1))&gt;=0,FALSE),IFERROR(INT(MID(metadata!C982,9,1))&lt;=3,FALSE),NOT(MID(metadata!C982,10,1)=""),IFERROR(INT(MID(metadata!C982,9,2))&gt;=1,FALSE),IFERROR(INT(MID(metadata!C982,9,2))&lt;=31,FALSE)), OR(MID(metadata!C982,11,1)="", AND(AND(MID(metadata!C982,11,1)=" ",IFERROR(INT(MID(metadata!C982,12,1))&gt;=0,FALSE),IFERROR(INT(MID(metadata!C982,12,1))&lt;=2,FALSE),NOT(MID(metadata!C982,13,1)=""),IFERROR(INT(MID(metadata!C982,12,2))&gt;=0,FALSE),IFERROR(INT(MID(metadata!C982,12,2))&lt;=23,FALSE)), OR(MID(metadata!C982,14,1)="", AND(AND(MID(metadata!C982,14,1)=":",IFERROR(INT(MID(metadata!C982,15,1))&gt;=0,FALSE),IFERROR(INT(MID(metadata!C982,15,1))&lt;=5,FALSE),NOT(MID(metadata!C982,16,1)=""),IFERROR(INT(MID(metadata!C982,15,2))&gt;=0,FALSE),IFERROR(INT(MID(metadata!C982,15,2))&lt;=59,FALSE)), OR(MID(metadata!C982,17,1)="", AND(AND(MID(metadata!C982,17,1)=":",IFERROR(INT(MID(metadata!C982,18,1))&gt;=0,FALSE),IFERROR(INT(MID(metadata!C982,18,1))&lt;=5,FALSE),NOT(MID(metadata!C982,19,1)=""),IFERROR(INT(MID(metadata!C982,18,2))&gt;=0,FALSE),IFERROR(INT(MID(metadata!C982,18,2))&lt;=59,FALSE)), LEN(metadata!C982)&lt;=19)))))))))))))</f>
        <v>0</v>
      </c>
      <c r="AD982">
        <f>IF(metadata!D982="",FALSE,TRUE)</f>
        <v>0</v>
      </c>
      <c r="AE982">
        <f>OR(AND(IF(metadata!E982="",FALSE,TRUE),OR(exact(metadata!E982,"missing: not collected"),exact(metadata!E982,"missing: not provided"))),AND(IF(metadata!E982="",FALSE,TRUE),OR(exact(metadata!E982,"TRUE"),exact(metadata!E982,"FALSE"))))</f>
        <v>0</v>
      </c>
      <c r="AF982">
        <f>IF(metadata!F982="",FALSE,TRUE)</f>
        <v>0</v>
      </c>
      <c r="AG982">
        <f>IF(metadata!G982="",FALSE,TRUE)</f>
        <v>0</v>
      </c>
      <c r="AH982">
        <f>IF(metadata!H982="",FALSE,TRUE)</f>
        <v>0</v>
      </c>
      <c r="AI982">
        <f>OR(AND(IF(metadata!I982="",FALSE,TRUE),OR(exact(metadata!I982,"missing: not collected"),exact(metadata!I982,"missing: not provided"),exact(metadata!I982,"missing: restricted access"))),AND(IF(metadata!I982="",FALSE,TRUE),OR(exact(metadata!I982,"air"),exact(metadata!I982,"built environment"),exact(metadata!I982,"host-associated"),exact(metadata!I982,"human-associated"),exact(metadata!I982,"human-skin"),exact(metadata!I982,"human-oral"),exact(metadata!I982,"human-gut"),exact(metadata!I982,"human-vaginal"),exact(metadata!I982,"microbial mat/biofilm"),exact(metadata!I982,"misc environment"),exact(metadata!I982,"plant-associated"),exact(metadata!I982,"sediment"),exact(metadata!I982,"soil"),exact(metadata!I982,"wastewater/sludge"),exact(metadata!I982,"water"))))</f>
        <v>0</v>
      </c>
      <c r="AJ982">
        <f>IF(metadata!J982="",FALSE,TRUE)</f>
        <v>0</v>
      </c>
      <c r="AK982">
        <f>OR(AND(IF(metadata!K982="",FALSE,TRUE),OR(exact(metadata!K982,"missing: not collected"),exact(metadata!K982,"missing: not provided"),exact(metadata!K982,"missing: restricted access"))),AND(IF(metadata!K982="",FALSE,ISNUMBER(VALUE(metadata!K982))),metadata!K982&gt;=-90.00,metadata!K982&lt;=90.00))</f>
        <v>0</v>
      </c>
      <c r="AL982">
        <f>OR(AND(IF(metadata!L982="",FALSE,TRUE),OR(exact(metadata!L982,"missing: not collected"),exact(metadata!L982,"missing: not provided"),exact(metadata!L982,"missing: restricted access"))),AND(IF(metadata!L982="",FALSE,ISNUMBER(VALUE(metadata!L982))),metadata!L982&gt;=-180.00,metadata!L982&lt;=180.00))</f>
        <v>0</v>
      </c>
      <c r="AM982">
        <f>IF(metadata!M982="",FALSE,TRUE)</f>
        <v>0</v>
      </c>
      <c r="AN982">
        <f>OR(AND(IF(metadata!N982="",FALSE,TRUE),OR(exact(metadata!N982,"missing: not collected"),exact(metadata!N982,"missing: not provided"),exact(metadata!N982,"missing: restricted access"))),AND(IF(metadata!N982="",FALSE,TRUE),OR(exact(metadata!N982,"TRUE"),exact(metadata!N982,"FALSE"))))</f>
        <v>0</v>
      </c>
      <c r="AO982">
        <f>IF(metadata!O982="",FALSE,TRUE)</f>
        <v>0</v>
      </c>
      <c r="AP982">
        <f>OR(AND(IF(metadata!P982="",FALSE,TRUE),OR(exact(metadata!P982,"missing: not collected"),exact(metadata!P982,"missing: not provided"))),AND(IF(metadata!P982="",FALSE,IF(ISERROR(INT(metadata!P982)),FALSE,INT(metadata!P982)=metadata!P982)),metadata!P982&gt;0))</f>
        <v>0</v>
      </c>
      <c r="AQ982">
        <f>IF(metadata!Q982="",FALSE,TRUE)</f>
        <v>0</v>
      </c>
    </row>
    <row r="983" spans="1:43">
      <c r="A983" s="5">
        <f>IF(B983=" "," ",HYPERLINK(CONCATENATE("#metadata!",ADDRESS(INDEX($W$2:$W$1001,MATCH(ROWS($U$2:U983),$U$2:$U$1001,0),0),1)),INDEX($Z$2:$Z$1001,MATCH(ROWS($U$2:U983),$U$2:$U$1001,0),0)))</f>
        <v>0</v>
      </c>
      <c r="B983" s="4">
        <f>IF(OR(INDEX($V$2:$V$1001,MATCH(ROWS($U$2:U983),$U$2:$U$1001,0),1)&gt;=100000,INDEX($AB$1005:$AQ$1005,1,MATCH(COLUMNS($AB$1006:AB1006),$AB$1006:$AQ$1006,0))&gt;=100000), " ",IF(INDEX($AB$2:$AQ$1001,MATCH(ROWS($U$2:U983),$U$2:$U$1001,0),MATCH(COLUMNS($AB$1006:AB1006),$AB$1006:$AQ$1006,0)), HYPERLINK("#",""), HYPERLINK(CONCATENATE("#metadata!", ADDRESS(INDEX($W$2:$W$1001,MATCH(ROWS($U$2:U983),$U$2:$U$1001,0),0), INDEX($AB$1004:$AQ$1004,1,MATCH(COLUMNS($AB$1006:AB1006),$AB$1006:$AQ$1006,0)))),"Fix")))</f>
        <v>0</v>
      </c>
      <c r="C983" s="4">
        <f>IF(OR(INDEX($V$2:$V$1001,MATCH(ROWS($U$2:U983),$U$2:$U$1001,0),1)&gt;=100000,INDEX($AB$1005:$AQ$1005,1,MATCH(COLUMNS($AB$1006:AC1006),$AB$1006:$AQ$1006,0))&gt;=100000), " ",IF(INDEX($AB$2:$AQ$1001,MATCH(ROWS($U$2:U983),$U$2:$U$1001,0),MATCH(COLUMNS($AB$1006:AC1006),$AB$1006:$AQ$1006,0)), HYPERLINK("#",""), HYPERLINK(CONCATENATE("#metadata!", ADDRESS(INDEX($W$2:$W$1001,MATCH(ROWS($U$2:U983),$U$2:$U$1001,0),0), INDEX($AB$1004:$AQ$1004,1,MATCH(COLUMNS($AB$1006:AC1006),$AB$1006:$AQ$1006,0)))),"Fix")))</f>
        <v>0</v>
      </c>
      <c r="D983" s="4">
        <f>IF(OR(INDEX($V$2:$V$1001,MATCH(ROWS($U$2:U983),$U$2:$U$1001,0),1)&gt;=100000,INDEX($AB$1005:$AQ$1005,1,MATCH(COLUMNS($AB$1006:AD1006),$AB$1006:$AQ$1006,0))&gt;=100000), " ",IF(INDEX($AB$2:$AQ$1001,MATCH(ROWS($U$2:U983),$U$2:$U$1001,0),MATCH(COLUMNS($AB$1006:AD1006),$AB$1006:$AQ$1006,0)), HYPERLINK("#",""), HYPERLINK(CONCATENATE("#metadata!", ADDRESS(INDEX($W$2:$W$1001,MATCH(ROWS($U$2:U983),$U$2:$U$1001,0),0), INDEX($AB$1004:$AQ$1004,1,MATCH(COLUMNS($AB$1006:AD1006),$AB$1006:$AQ$1006,0)))),"Fix")))</f>
        <v>0</v>
      </c>
      <c r="E983" s="4">
        <f>IF(OR(INDEX($V$2:$V$1001,MATCH(ROWS($U$2:U983),$U$2:$U$1001,0),1)&gt;=100000,INDEX($AB$1005:$AQ$1005,1,MATCH(COLUMNS($AB$1006:AE1006),$AB$1006:$AQ$1006,0))&gt;=100000), " ",IF(INDEX($AB$2:$AQ$1001,MATCH(ROWS($U$2:U983),$U$2:$U$1001,0),MATCH(COLUMNS($AB$1006:AE1006),$AB$1006:$AQ$1006,0)), HYPERLINK("#",""), HYPERLINK(CONCATENATE("#metadata!", ADDRESS(INDEX($W$2:$W$1001,MATCH(ROWS($U$2:U983),$U$2:$U$1001,0),0), INDEX($AB$1004:$AQ$1004,1,MATCH(COLUMNS($AB$1006:AE1006),$AB$1006:$AQ$1006,0)))),"Fix")))</f>
        <v>0</v>
      </c>
      <c r="F983" s="4">
        <f>IF(OR(INDEX($V$2:$V$1001,MATCH(ROWS($U$2:U983),$U$2:$U$1001,0),1)&gt;=100000,INDEX($AB$1005:$AQ$1005,1,MATCH(COLUMNS($AB$1006:AF1006),$AB$1006:$AQ$1006,0))&gt;=100000), " ",IF(INDEX($AB$2:$AQ$1001,MATCH(ROWS($U$2:U983),$U$2:$U$1001,0),MATCH(COLUMNS($AB$1006:AF1006),$AB$1006:$AQ$1006,0)), HYPERLINK("#",""), HYPERLINK(CONCATENATE("#metadata!", ADDRESS(INDEX($W$2:$W$1001,MATCH(ROWS($U$2:U983),$U$2:$U$1001,0),0), INDEX($AB$1004:$AQ$1004,1,MATCH(COLUMNS($AB$1006:AF1006),$AB$1006:$AQ$1006,0)))),"Fix")))</f>
        <v>0</v>
      </c>
      <c r="G983" s="4">
        <f>IF(OR(INDEX($V$2:$V$1001,MATCH(ROWS($U$2:U983),$U$2:$U$1001,0),1)&gt;=100000,INDEX($AB$1005:$AQ$1005,1,MATCH(COLUMNS($AB$1006:AG1006),$AB$1006:$AQ$1006,0))&gt;=100000), " ",IF(INDEX($AB$2:$AQ$1001,MATCH(ROWS($U$2:U983),$U$2:$U$1001,0),MATCH(COLUMNS($AB$1006:AG1006),$AB$1006:$AQ$1006,0)), HYPERLINK("#",""), HYPERLINK(CONCATENATE("#metadata!", ADDRESS(INDEX($W$2:$W$1001,MATCH(ROWS($U$2:U983),$U$2:$U$1001,0),0), INDEX($AB$1004:$AQ$1004,1,MATCH(COLUMNS($AB$1006:AG1006),$AB$1006:$AQ$1006,0)))),"Fix")))</f>
        <v>0</v>
      </c>
      <c r="H983" s="4">
        <f>IF(OR(INDEX($V$2:$V$1001,MATCH(ROWS($U$2:U983),$U$2:$U$1001,0),1)&gt;=100000,INDEX($AB$1005:$AQ$1005,1,MATCH(COLUMNS($AB$1006:AH1006),$AB$1006:$AQ$1006,0))&gt;=100000), " ",IF(INDEX($AB$2:$AQ$1001,MATCH(ROWS($U$2:U983),$U$2:$U$1001,0),MATCH(COLUMNS($AB$1006:AH1006),$AB$1006:$AQ$1006,0)), HYPERLINK("#",""), HYPERLINK(CONCATENATE("#metadata!", ADDRESS(INDEX($W$2:$W$1001,MATCH(ROWS($U$2:U983),$U$2:$U$1001,0),0), INDEX($AB$1004:$AQ$1004,1,MATCH(COLUMNS($AB$1006:AH1006),$AB$1006:$AQ$1006,0)))),"Fix")))</f>
        <v>0</v>
      </c>
      <c r="I983" s="4">
        <f>IF(OR(INDEX($V$2:$V$1001,MATCH(ROWS($U$2:U983),$U$2:$U$1001,0),1)&gt;=100000,INDEX($AB$1005:$AQ$1005,1,MATCH(COLUMNS($AB$1006:AI1006),$AB$1006:$AQ$1006,0))&gt;=100000), " ",IF(INDEX($AB$2:$AQ$1001,MATCH(ROWS($U$2:U983),$U$2:$U$1001,0),MATCH(COLUMNS($AB$1006:AI1006),$AB$1006:$AQ$1006,0)), HYPERLINK("#",""), HYPERLINK(CONCATENATE("#metadata!", ADDRESS(INDEX($W$2:$W$1001,MATCH(ROWS($U$2:U983),$U$2:$U$1001,0),0), INDEX($AB$1004:$AQ$1004,1,MATCH(COLUMNS($AB$1006:AI1006),$AB$1006:$AQ$1006,0)))),"Fix")))</f>
        <v>0</v>
      </c>
      <c r="J983" s="4">
        <f>IF(OR(INDEX($V$2:$V$1001,MATCH(ROWS($U$2:U983),$U$2:$U$1001,0),1)&gt;=100000,INDEX($AB$1005:$AQ$1005,1,MATCH(COLUMNS($AB$1006:AJ1006),$AB$1006:$AQ$1006,0))&gt;=100000), " ",IF(INDEX($AB$2:$AQ$1001,MATCH(ROWS($U$2:U983),$U$2:$U$1001,0),MATCH(COLUMNS($AB$1006:AJ1006),$AB$1006:$AQ$1006,0)), HYPERLINK("#",""), HYPERLINK(CONCATENATE("#metadata!", ADDRESS(INDEX($W$2:$W$1001,MATCH(ROWS($U$2:U983),$U$2:$U$1001,0),0), INDEX($AB$1004:$AQ$1004,1,MATCH(COLUMNS($AB$1006:AJ1006),$AB$1006:$AQ$1006,0)))),"Fix")))</f>
        <v>0</v>
      </c>
      <c r="K983" s="4">
        <f>IF(OR(INDEX($V$2:$V$1001,MATCH(ROWS($U$2:U983),$U$2:$U$1001,0),1)&gt;=100000,INDEX($AB$1005:$AQ$1005,1,MATCH(COLUMNS($AB$1006:AK1006),$AB$1006:$AQ$1006,0))&gt;=100000), " ",IF(INDEX($AB$2:$AQ$1001,MATCH(ROWS($U$2:U983),$U$2:$U$1001,0),MATCH(COLUMNS($AB$1006:AK1006),$AB$1006:$AQ$1006,0)), HYPERLINK("#",""), HYPERLINK(CONCATENATE("#metadata!", ADDRESS(INDEX($W$2:$W$1001,MATCH(ROWS($U$2:U983),$U$2:$U$1001,0),0), INDEX($AB$1004:$AQ$1004,1,MATCH(COLUMNS($AB$1006:AK1006),$AB$1006:$AQ$1006,0)))),"Fix")))</f>
        <v>0</v>
      </c>
      <c r="L983" s="4">
        <f>IF(OR(INDEX($V$2:$V$1001,MATCH(ROWS($U$2:U983),$U$2:$U$1001,0),1)&gt;=100000,INDEX($AB$1005:$AQ$1005,1,MATCH(COLUMNS($AB$1006:AL1006),$AB$1006:$AQ$1006,0))&gt;=100000), " ",IF(INDEX($AB$2:$AQ$1001,MATCH(ROWS($U$2:U983),$U$2:$U$1001,0),MATCH(COLUMNS($AB$1006:AL1006),$AB$1006:$AQ$1006,0)), HYPERLINK("#",""), HYPERLINK(CONCATENATE("#metadata!", ADDRESS(INDEX($W$2:$W$1001,MATCH(ROWS($U$2:U983),$U$2:$U$1001,0),0), INDEX($AB$1004:$AQ$1004,1,MATCH(COLUMNS($AB$1006:AL1006),$AB$1006:$AQ$1006,0)))),"Fix")))</f>
        <v>0</v>
      </c>
      <c r="M983" s="4">
        <f>IF(OR(INDEX($V$2:$V$1001,MATCH(ROWS($U$2:U983),$U$2:$U$1001,0),1)&gt;=100000,INDEX($AB$1005:$AQ$1005,1,MATCH(COLUMNS($AB$1006:AM1006),$AB$1006:$AQ$1006,0))&gt;=100000), " ",IF(INDEX($AB$2:$AQ$1001,MATCH(ROWS($U$2:U983),$U$2:$U$1001,0),MATCH(COLUMNS($AB$1006:AM1006),$AB$1006:$AQ$1006,0)), HYPERLINK("#",""), HYPERLINK(CONCATENATE("#metadata!", ADDRESS(INDEX($W$2:$W$1001,MATCH(ROWS($U$2:U983),$U$2:$U$1001,0),0), INDEX($AB$1004:$AQ$1004,1,MATCH(COLUMNS($AB$1006:AM1006),$AB$1006:$AQ$1006,0)))),"Fix")))</f>
        <v>0</v>
      </c>
      <c r="N983" s="4">
        <f>IF(OR(INDEX($V$2:$V$1001,MATCH(ROWS($U$2:U983),$U$2:$U$1001,0),1)&gt;=100000,INDEX($AB$1005:$AQ$1005,1,MATCH(COLUMNS($AB$1006:AN1006),$AB$1006:$AQ$1006,0))&gt;=100000), " ",IF(INDEX($AB$2:$AQ$1001,MATCH(ROWS($U$2:U983),$U$2:$U$1001,0),MATCH(COLUMNS($AB$1006:AN1006),$AB$1006:$AQ$1006,0)), HYPERLINK("#",""), HYPERLINK(CONCATENATE("#metadata!", ADDRESS(INDEX($W$2:$W$1001,MATCH(ROWS($U$2:U983),$U$2:$U$1001,0),0), INDEX($AB$1004:$AQ$1004,1,MATCH(COLUMNS($AB$1006:AN1006),$AB$1006:$AQ$1006,0)))),"Fix")))</f>
        <v>0</v>
      </c>
      <c r="O983" s="4">
        <f>IF(OR(INDEX($V$2:$V$1001,MATCH(ROWS($U$2:U983),$U$2:$U$1001,0),1)&gt;=100000,INDEX($AB$1005:$AQ$1005,1,MATCH(COLUMNS($AB$1006:AO1006),$AB$1006:$AQ$1006,0))&gt;=100000), " ",IF(INDEX($AB$2:$AQ$1001,MATCH(ROWS($U$2:U983),$U$2:$U$1001,0),MATCH(COLUMNS($AB$1006:AO1006),$AB$1006:$AQ$1006,0)), HYPERLINK("#",""), HYPERLINK(CONCATENATE("#metadata!", ADDRESS(INDEX($W$2:$W$1001,MATCH(ROWS($U$2:U983),$U$2:$U$1001,0),0), INDEX($AB$1004:$AQ$1004,1,MATCH(COLUMNS($AB$1006:AO1006),$AB$1006:$AQ$1006,0)))),"Fix")))</f>
        <v>0</v>
      </c>
      <c r="P983" s="4">
        <f>IF(OR(INDEX($V$2:$V$1001,MATCH(ROWS($U$2:U983),$U$2:$U$1001,0),1)&gt;=100000,INDEX($AB$1005:$AQ$1005,1,MATCH(COLUMNS($AB$1006:AP1006),$AB$1006:$AQ$1006,0))&gt;=100000), " ",IF(INDEX($AB$2:$AQ$1001,MATCH(ROWS($U$2:U983),$U$2:$U$1001,0),MATCH(COLUMNS($AB$1006:AP1006),$AB$1006:$AQ$1006,0)), HYPERLINK("#",""), HYPERLINK(CONCATENATE("#metadata!", ADDRESS(INDEX($W$2:$W$1001,MATCH(ROWS($U$2:U983),$U$2:$U$1001,0),0), INDEX($AB$1004:$AQ$1004,1,MATCH(COLUMNS($AB$1006:AP1006),$AB$1006:$AQ$1006,0)))),"Fix")))</f>
        <v>0</v>
      </c>
      <c r="Q983" s="4">
        <f>IF(OR(INDEX($V$2:$V$1001,MATCH(ROWS($U$2:U983),$U$2:$U$1001,0),1)&gt;=100000,INDEX($AB$1005:$AQ$1005,1,MATCH(COLUMNS($AB$1006:AQ1006),$AB$1006:$AQ$1006,0))&gt;=100000), " ",IF(INDEX($AB$2:$AQ$1001,MATCH(ROWS($U$2:U983),$U$2:$U$1001,0),MATCH(COLUMNS($AB$1006:AQ1006),$AB$1006:$AQ$1006,0)), HYPERLINK("#",""), HYPERLINK(CONCATENATE("#metadata!", ADDRESS(INDEX($W$2:$W$1001,MATCH(ROWS($U$2:U983),$U$2:$U$1001,0),0), INDEX($AB$1004:$AQ$1004,1,MATCH(COLUMNS($AB$1006:AQ1006),$AB$1006:$AQ$1006,0)))),"Fix")))</f>
        <v>0</v>
      </c>
      <c r="U983">
        <v>0</v>
      </c>
      <c r="V983">
        <v>0</v>
      </c>
      <c r="W983">
        <v>0</v>
      </c>
      <c r="X983">
        <f>IF(Y983,TRUE,AND(AB983:AQ983))</f>
        <v>0</v>
      </c>
      <c r="Y983">
        <f>COUNTBLANK(metadata!B983:Q983)=COLUMNS(metadata!B983:Q983)</f>
        <v>0</v>
      </c>
      <c r="Z983">
        <v>0</v>
      </c>
      <c r="AB983">
        <f>AND(IF(metadata!B983="",FALSE,TRUE),COUNTIF(metadata!B:B, metadata!B983) = 1,NOT(ISERROR(SUMPRODUCT(SEARCH(MID(metadata!B983,ROW(INDIRECT("1:"&amp;LEN(metadata!B983))), 1),"0123456789abcdefghijklmnopqrstuvwxyzABCDEFGHIJKLMNOPQRSTUVWXYZ.")))))</f>
        <v>0</v>
      </c>
      <c r="AC983">
        <f>OR(AND(IF(metadata!C983="",FALSE,TRUE),OR(exact(metadata!C983,"missing: not collected"),exact(metadata!C983,"missing: not provided"),exact(metadata!C983,"missing: restricted access"))),AND(IF(metadata!C983="",FALSE,TRUE),AND(AND(IFERROR(INT(LEFT(metadata!C983,4))&gt;1900,FALSE),IFERROR(INT(LEFT(metadata!C983,4))&lt;=YEAR(NOW()),FALSE)), OR(MID(metadata!C983,5,1)="", AND(AND(MID(metadata!C983,5,1)="-",IFERROR(INT(MID(metadata!C983,6,1))&gt;=0,FALSE),IFERROR(INT(MID(metadata!C983,6,1))&lt;=1,FALSE),NOT(MID(metadata!C983,7,1)=""),IFERROR(INT(MID(metadata!C983,6,2))&gt;=1,FALSE),IFERROR(INT(MID(metadata!C983,6,2))&lt;=12,FALSE)), OR(MID(metadata!C983,8,1)="", AND(AND(MID(metadata!C983,8,1)="-",IFERROR(INT(MID(metadata!C983,9,1))&gt;=0,FALSE),IFERROR(INT(MID(metadata!C983,9,1))&lt;=3,FALSE),NOT(MID(metadata!C983,10,1)=""),IFERROR(INT(MID(metadata!C983,9,2))&gt;=1,FALSE),IFERROR(INT(MID(metadata!C983,9,2))&lt;=31,FALSE)), OR(MID(metadata!C983,11,1)="", AND(AND(MID(metadata!C983,11,1)=" ",IFERROR(INT(MID(metadata!C983,12,1))&gt;=0,FALSE),IFERROR(INT(MID(metadata!C983,12,1))&lt;=2,FALSE),NOT(MID(metadata!C983,13,1)=""),IFERROR(INT(MID(metadata!C983,12,2))&gt;=0,FALSE),IFERROR(INT(MID(metadata!C983,12,2))&lt;=23,FALSE)), OR(MID(metadata!C983,14,1)="", AND(AND(MID(metadata!C983,14,1)=":",IFERROR(INT(MID(metadata!C983,15,1))&gt;=0,FALSE),IFERROR(INT(MID(metadata!C983,15,1))&lt;=5,FALSE),NOT(MID(metadata!C983,16,1)=""),IFERROR(INT(MID(metadata!C983,15,2))&gt;=0,FALSE),IFERROR(INT(MID(metadata!C983,15,2))&lt;=59,FALSE)), OR(MID(metadata!C983,17,1)="", AND(AND(MID(metadata!C983,17,1)=":",IFERROR(INT(MID(metadata!C983,18,1))&gt;=0,FALSE),IFERROR(INT(MID(metadata!C983,18,1))&lt;=5,FALSE),NOT(MID(metadata!C983,19,1)=""),IFERROR(INT(MID(metadata!C983,18,2))&gt;=0,FALSE),IFERROR(INT(MID(metadata!C983,18,2))&lt;=59,FALSE)), LEN(metadata!C983)&lt;=19)))))))))))))</f>
        <v>0</v>
      </c>
      <c r="AD983">
        <f>IF(metadata!D983="",FALSE,TRUE)</f>
        <v>0</v>
      </c>
      <c r="AE983">
        <f>OR(AND(IF(metadata!E983="",FALSE,TRUE),OR(exact(metadata!E983,"missing: not collected"),exact(metadata!E983,"missing: not provided"))),AND(IF(metadata!E983="",FALSE,TRUE),OR(exact(metadata!E983,"TRUE"),exact(metadata!E983,"FALSE"))))</f>
        <v>0</v>
      </c>
      <c r="AF983">
        <f>IF(metadata!F983="",FALSE,TRUE)</f>
        <v>0</v>
      </c>
      <c r="AG983">
        <f>IF(metadata!G983="",FALSE,TRUE)</f>
        <v>0</v>
      </c>
      <c r="AH983">
        <f>IF(metadata!H983="",FALSE,TRUE)</f>
        <v>0</v>
      </c>
      <c r="AI983">
        <f>OR(AND(IF(metadata!I983="",FALSE,TRUE),OR(exact(metadata!I983,"missing: not collected"),exact(metadata!I983,"missing: not provided"),exact(metadata!I983,"missing: restricted access"))),AND(IF(metadata!I983="",FALSE,TRUE),OR(exact(metadata!I983,"air"),exact(metadata!I983,"built environment"),exact(metadata!I983,"host-associated"),exact(metadata!I983,"human-associated"),exact(metadata!I983,"human-skin"),exact(metadata!I983,"human-oral"),exact(metadata!I983,"human-gut"),exact(metadata!I983,"human-vaginal"),exact(metadata!I983,"microbial mat/biofilm"),exact(metadata!I983,"misc environment"),exact(metadata!I983,"plant-associated"),exact(metadata!I983,"sediment"),exact(metadata!I983,"soil"),exact(metadata!I983,"wastewater/sludge"),exact(metadata!I983,"water"))))</f>
        <v>0</v>
      </c>
      <c r="AJ983">
        <f>IF(metadata!J983="",FALSE,TRUE)</f>
        <v>0</v>
      </c>
      <c r="AK983">
        <f>OR(AND(IF(metadata!K983="",FALSE,TRUE),OR(exact(metadata!K983,"missing: not collected"),exact(metadata!K983,"missing: not provided"),exact(metadata!K983,"missing: restricted access"))),AND(IF(metadata!K983="",FALSE,ISNUMBER(VALUE(metadata!K983))),metadata!K983&gt;=-90.00,metadata!K983&lt;=90.00))</f>
        <v>0</v>
      </c>
      <c r="AL983">
        <f>OR(AND(IF(metadata!L983="",FALSE,TRUE),OR(exact(metadata!L983,"missing: not collected"),exact(metadata!L983,"missing: not provided"),exact(metadata!L983,"missing: restricted access"))),AND(IF(metadata!L983="",FALSE,ISNUMBER(VALUE(metadata!L983))),metadata!L983&gt;=-180.00,metadata!L983&lt;=180.00))</f>
        <v>0</v>
      </c>
      <c r="AM983">
        <f>IF(metadata!M983="",FALSE,TRUE)</f>
        <v>0</v>
      </c>
      <c r="AN983">
        <f>OR(AND(IF(metadata!N983="",FALSE,TRUE),OR(exact(metadata!N983,"missing: not collected"),exact(metadata!N983,"missing: not provided"),exact(metadata!N983,"missing: restricted access"))),AND(IF(metadata!N983="",FALSE,TRUE),OR(exact(metadata!N983,"TRUE"),exact(metadata!N983,"FALSE"))))</f>
        <v>0</v>
      </c>
      <c r="AO983">
        <f>IF(metadata!O983="",FALSE,TRUE)</f>
        <v>0</v>
      </c>
      <c r="AP983">
        <f>OR(AND(IF(metadata!P983="",FALSE,TRUE),OR(exact(metadata!P983,"missing: not collected"),exact(metadata!P983,"missing: not provided"))),AND(IF(metadata!P983="",FALSE,IF(ISERROR(INT(metadata!P983)),FALSE,INT(metadata!P983)=metadata!P983)),metadata!P983&gt;0))</f>
        <v>0</v>
      </c>
      <c r="AQ983">
        <f>IF(metadata!Q983="",FALSE,TRUE)</f>
        <v>0</v>
      </c>
    </row>
    <row r="984" spans="1:43">
      <c r="A984" s="5">
        <f>IF(B984=" "," ",HYPERLINK(CONCATENATE("#metadata!",ADDRESS(INDEX($W$2:$W$1001,MATCH(ROWS($U$2:U984),$U$2:$U$1001,0),0),1)),INDEX($Z$2:$Z$1001,MATCH(ROWS($U$2:U984),$U$2:$U$1001,0),0)))</f>
        <v>0</v>
      </c>
      <c r="B984" s="4">
        <f>IF(OR(INDEX($V$2:$V$1001,MATCH(ROWS($U$2:U984),$U$2:$U$1001,0),1)&gt;=100000,INDEX($AB$1005:$AQ$1005,1,MATCH(COLUMNS($AB$1006:AB1006),$AB$1006:$AQ$1006,0))&gt;=100000), " ",IF(INDEX($AB$2:$AQ$1001,MATCH(ROWS($U$2:U984),$U$2:$U$1001,0),MATCH(COLUMNS($AB$1006:AB1006),$AB$1006:$AQ$1006,0)), HYPERLINK("#",""), HYPERLINK(CONCATENATE("#metadata!", ADDRESS(INDEX($W$2:$W$1001,MATCH(ROWS($U$2:U984),$U$2:$U$1001,0),0), INDEX($AB$1004:$AQ$1004,1,MATCH(COLUMNS($AB$1006:AB1006),$AB$1006:$AQ$1006,0)))),"Fix")))</f>
        <v>0</v>
      </c>
      <c r="C984" s="4">
        <f>IF(OR(INDEX($V$2:$V$1001,MATCH(ROWS($U$2:U984),$U$2:$U$1001,0),1)&gt;=100000,INDEX($AB$1005:$AQ$1005,1,MATCH(COLUMNS($AB$1006:AC1006),$AB$1006:$AQ$1006,0))&gt;=100000), " ",IF(INDEX($AB$2:$AQ$1001,MATCH(ROWS($U$2:U984),$U$2:$U$1001,0),MATCH(COLUMNS($AB$1006:AC1006),$AB$1006:$AQ$1006,0)), HYPERLINK("#",""), HYPERLINK(CONCATENATE("#metadata!", ADDRESS(INDEX($W$2:$W$1001,MATCH(ROWS($U$2:U984),$U$2:$U$1001,0),0), INDEX($AB$1004:$AQ$1004,1,MATCH(COLUMNS($AB$1006:AC1006),$AB$1006:$AQ$1006,0)))),"Fix")))</f>
        <v>0</v>
      </c>
      <c r="D984" s="4">
        <f>IF(OR(INDEX($V$2:$V$1001,MATCH(ROWS($U$2:U984),$U$2:$U$1001,0),1)&gt;=100000,INDEX($AB$1005:$AQ$1005,1,MATCH(COLUMNS($AB$1006:AD1006),$AB$1006:$AQ$1006,0))&gt;=100000), " ",IF(INDEX($AB$2:$AQ$1001,MATCH(ROWS($U$2:U984),$U$2:$U$1001,0),MATCH(COLUMNS($AB$1006:AD1006),$AB$1006:$AQ$1006,0)), HYPERLINK("#",""), HYPERLINK(CONCATENATE("#metadata!", ADDRESS(INDEX($W$2:$W$1001,MATCH(ROWS($U$2:U984),$U$2:$U$1001,0),0), INDEX($AB$1004:$AQ$1004,1,MATCH(COLUMNS($AB$1006:AD1006),$AB$1006:$AQ$1006,0)))),"Fix")))</f>
        <v>0</v>
      </c>
      <c r="E984" s="4">
        <f>IF(OR(INDEX($V$2:$V$1001,MATCH(ROWS($U$2:U984),$U$2:$U$1001,0),1)&gt;=100000,INDEX($AB$1005:$AQ$1005,1,MATCH(COLUMNS($AB$1006:AE1006),$AB$1006:$AQ$1006,0))&gt;=100000), " ",IF(INDEX($AB$2:$AQ$1001,MATCH(ROWS($U$2:U984),$U$2:$U$1001,0),MATCH(COLUMNS($AB$1006:AE1006),$AB$1006:$AQ$1006,0)), HYPERLINK("#",""), HYPERLINK(CONCATENATE("#metadata!", ADDRESS(INDEX($W$2:$W$1001,MATCH(ROWS($U$2:U984),$U$2:$U$1001,0),0), INDEX($AB$1004:$AQ$1004,1,MATCH(COLUMNS($AB$1006:AE1006),$AB$1006:$AQ$1006,0)))),"Fix")))</f>
        <v>0</v>
      </c>
      <c r="F984" s="4">
        <f>IF(OR(INDEX($V$2:$V$1001,MATCH(ROWS($U$2:U984),$U$2:$U$1001,0),1)&gt;=100000,INDEX($AB$1005:$AQ$1005,1,MATCH(COLUMNS($AB$1006:AF1006),$AB$1006:$AQ$1006,0))&gt;=100000), " ",IF(INDEX($AB$2:$AQ$1001,MATCH(ROWS($U$2:U984),$U$2:$U$1001,0),MATCH(COLUMNS($AB$1006:AF1006),$AB$1006:$AQ$1006,0)), HYPERLINK("#",""), HYPERLINK(CONCATENATE("#metadata!", ADDRESS(INDEX($W$2:$W$1001,MATCH(ROWS($U$2:U984),$U$2:$U$1001,0),0), INDEX($AB$1004:$AQ$1004,1,MATCH(COLUMNS($AB$1006:AF1006),$AB$1006:$AQ$1006,0)))),"Fix")))</f>
        <v>0</v>
      </c>
      <c r="G984" s="4">
        <f>IF(OR(INDEX($V$2:$V$1001,MATCH(ROWS($U$2:U984),$U$2:$U$1001,0),1)&gt;=100000,INDEX($AB$1005:$AQ$1005,1,MATCH(COLUMNS($AB$1006:AG1006),$AB$1006:$AQ$1006,0))&gt;=100000), " ",IF(INDEX($AB$2:$AQ$1001,MATCH(ROWS($U$2:U984),$U$2:$U$1001,0),MATCH(COLUMNS($AB$1006:AG1006),$AB$1006:$AQ$1006,0)), HYPERLINK("#",""), HYPERLINK(CONCATENATE("#metadata!", ADDRESS(INDEX($W$2:$W$1001,MATCH(ROWS($U$2:U984),$U$2:$U$1001,0),0), INDEX($AB$1004:$AQ$1004,1,MATCH(COLUMNS($AB$1006:AG1006),$AB$1006:$AQ$1006,0)))),"Fix")))</f>
        <v>0</v>
      </c>
      <c r="H984" s="4">
        <f>IF(OR(INDEX($V$2:$V$1001,MATCH(ROWS($U$2:U984),$U$2:$U$1001,0),1)&gt;=100000,INDEX($AB$1005:$AQ$1005,1,MATCH(COLUMNS($AB$1006:AH1006),$AB$1006:$AQ$1006,0))&gt;=100000), " ",IF(INDEX($AB$2:$AQ$1001,MATCH(ROWS($U$2:U984),$U$2:$U$1001,0),MATCH(COLUMNS($AB$1006:AH1006),$AB$1006:$AQ$1006,0)), HYPERLINK("#",""), HYPERLINK(CONCATENATE("#metadata!", ADDRESS(INDEX($W$2:$W$1001,MATCH(ROWS($U$2:U984),$U$2:$U$1001,0),0), INDEX($AB$1004:$AQ$1004,1,MATCH(COLUMNS($AB$1006:AH1006),$AB$1006:$AQ$1006,0)))),"Fix")))</f>
        <v>0</v>
      </c>
      <c r="I984" s="4">
        <f>IF(OR(INDEX($V$2:$V$1001,MATCH(ROWS($U$2:U984),$U$2:$U$1001,0),1)&gt;=100000,INDEX($AB$1005:$AQ$1005,1,MATCH(COLUMNS($AB$1006:AI1006),$AB$1006:$AQ$1006,0))&gt;=100000), " ",IF(INDEX($AB$2:$AQ$1001,MATCH(ROWS($U$2:U984),$U$2:$U$1001,0),MATCH(COLUMNS($AB$1006:AI1006),$AB$1006:$AQ$1006,0)), HYPERLINK("#",""), HYPERLINK(CONCATENATE("#metadata!", ADDRESS(INDEX($W$2:$W$1001,MATCH(ROWS($U$2:U984),$U$2:$U$1001,0),0), INDEX($AB$1004:$AQ$1004,1,MATCH(COLUMNS($AB$1006:AI1006),$AB$1006:$AQ$1006,0)))),"Fix")))</f>
        <v>0</v>
      </c>
      <c r="J984" s="4">
        <f>IF(OR(INDEX($V$2:$V$1001,MATCH(ROWS($U$2:U984),$U$2:$U$1001,0),1)&gt;=100000,INDEX($AB$1005:$AQ$1005,1,MATCH(COLUMNS($AB$1006:AJ1006),$AB$1006:$AQ$1006,0))&gt;=100000), " ",IF(INDEX($AB$2:$AQ$1001,MATCH(ROWS($U$2:U984),$U$2:$U$1001,0),MATCH(COLUMNS($AB$1006:AJ1006),$AB$1006:$AQ$1006,0)), HYPERLINK("#",""), HYPERLINK(CONCATENATE("#metadata!", ADDRESS(INDEX($W$2:$W$1001,MATCH(ROWS($U$2:U984),$U$2:$U$1001,0),0), INDEX($AB$1004:$AQ$1004,1,MATCH(COLUMNS($AB$1006:AJ1006),$AB$1006:$AQ$1006,0)))),"Fix")))</f>
        <v>0</v>
      </c>
      <c r="K984" s="4">
        <f>IF(OR(INDEX($V$2:$V$1001,MATCH(ROWS($U$2:U984),$U$2:$U$1001,0),1)&gt;=100000,INDEX($AB$1005:$AQ$1005,1,MATCH(COLUMNS($AB$1006:AK1006),$AB$1006:$AQ$1006,0))&gt;=100000), " ",IF(INDEX($AB$2:$AQ$1001,MATCH(ROWS($U$2:U984),$U$2:$U$1001,0),MATCH(COLUMNS($AB$1006:AK1006),$AB$1006:$AQ$1006,0)), HYPERLINK("#",""), HYPERLINK(CONCATENATE("#metadata!", ADDRESS(INDEX($W$2:$W$1001,MATCH(ROWS($U$2:U984),$U$2:$U$1001,0),0), INDEX($AB$1004:$AQ$1004,1,MATCH(COLUMNS($AB$1006:AK1006),$AB$1006:$AQ$1006,0)))),"Fix")))</f>
        <v>0</v>
      </c>
      <c r="L984" s="4">
        <f>IF(OR(INDEX($V$2:$V$1001,MATCH(ROWS($U$2:U984),$U$2:$U$1001,0),1)&gt;=100000,INDEX($AB$1005:$AQ$1005,1,MATCH(COLUMNS($AB$1006:AL1006),$AB$1006:$AQ$1006,0))&gt;=100000), " ",IF(INDEX($AB$2:$AQ$1001,MATCH(ROWS($U$2:U984),$U$2:$U$1001,0),MATCH(COLUMNS($AB$1006:AL1006),$AB$1006:$AQ$1006,0)), HYPERLINK("#",""), HYPERLINK(CONCATENATE("#metadata!", ADDRESS(INDEX($W$2:$W$1001,MATCH(ROWS($U$2:U984),$U$2:$U$1001,0),0), INDEX($AB$1004:$AQ$1004,1,MATCH(COLUMNS($AB$1006:AL1006),$AB$1006:$AQ$1006,0)))),"Fix")))</f>
        <v>0</v>
      </c>
      <c r="M984" s="4">
        <f>IF(OR(INDEX($V$2:$V$1001,MATCH(ROWS($U$2:U984),$U$2:$U$1001,0),1)&gt;=100000,INDEX($AB$1005:$AQ$1005,1,MATCH(COLUMNS($AB$1006:AM1006),$AB$1006:$AQ$1006,0))&gt;=100000), " ",IF(INDEX($AB$2:$AQ$1001,MATCH(ROWS($U$2:U984),$U$2:$U$1001,0),MATCH(COLUMNS($AB$1006:AM1006),$AB$1006:$AQ$1006,0)), HYPERLINK("#",""), HYPERLINK(CONCATENATE("#metadata!", ADDRESS(INDEX($W$2:$W$1001,MATCH(ROWS($U$2:U984),$U$2:$U$1001,0),0), INDEX($AB$1004:$AQ$1004,1,MATCH(COLUMNS($AB$1006:AM1006),$AB$1006:$AQ$1006,0)))),"Fix")))</f>
        <v>0</v>
      </c>
      <c r="N984" s="4">
        <f>IF(OR(INDEX($V$2:$V$1001,MATCH(ROWS($U$2:U984),$U$2:$U$1001,0),1)&gt;=100000,INDEX($AB$1005:$AQ$1005,1,MATCH(COLUMNS($AB$1006:AN1006),$AB$1006:$AQ$1006,0))&gt;=100000), " ",IF(INDEX($AB$2:$AQ$1001,MATCH(ROWS($U$2:U984),$U$2:$U$1001,0),MATCH(COLUMNS($AB$1006:AN1006),$AB$1006:$AQ$1006,0)), HYPERLINK("#",""), HYPERLINK(CONCATENATE("#metadata!", ADDRESS(INDEX($W$2:$W$1001,MATCH(ROWS($U$2:U984),$U$2:$U$1001,0),0), INDEX($AB$1004:$AQ$1004,1,MATCH(COLUMNS($AB$1006:AN1006),$AB$1006:$AQ$1006,0)))),"Fix")))</f>
        <v>0</v>
      </c>
      <c r="O984" s="4">
        <f>IF(OR(INDEX($V$2:$V$1001,MATCH(ROWS($U$2:U984),$U$2:$U$1001,0),1)&gt;=100000,INDEX($AB$1005:$AQ$1005,1,MATCH(COLUMNS($AB$1006:AO1006),$AB$1006:$AQ$1006,0))&gt;=100000), " ",IF(INDEX($AB$2:$AQ$1001,MATCH(ROWS($U$2:U984),$U$2:$U$1001,0),MATCH(COLUMNS($AB$1006:AO1006),$AB$1006:$AQ$1006,0)), HYPERLINK("#",""), HYPERLINK(CONCATENATE("#metadata!", ADDRESS(INDEX($W$2:$W$1001,MATCH(ROWS($U$2:U984),$U$2:$U$1001,0),0), INDEX($AB$1004:$AQ$1004,1,MATCH(COLUMNS($AB$1006:AO1006),$AB$1006:$AQ$1006,0)))),"Fix")))</f>
        <v>0</v>
      </c>
      <c r="P984" s="4">
        <f>IF(OR(INDEX($V$2:$V$1001,MATCH(ROWS($U$2:U984),$U$2:$U$1001,0),1)&gt;=100000,INDEX($AB$1005:$AQ$1005,1,MATCH(COLUMNS($AB$1006:AP1006),$AB$1006:$AQ$1006,0))&gt;=100000), " ",IF(INDEX($AB$2:$AQ$1001,MATCH(ROWS($U$2:U984),$U$2:$U$1001,0),MATCH(COLUMNS($AB$1006:AP1006),$AB$1006:$AQ$1006,0)), HYPERLINK("#",""), HYPERLINK(CONCATENATE("#metadata!", ADDRESS(INDEX($W$2:$W$1001,MATCH(ROWS($U$2:U984),$U$2:$U$1001,0),0), INDEX($AB$1004:$AQ$1004,1,MATCH(COLUMNS($AB$1006:AP1006),$AB$1006:$AQ$1006,0)))),"Fix")))</f>
        <v>0</v>
      </c>
      <c r="Q984" s="4">
        <f>IF(OR(INDEX($V$2:$V$1001,MATCH(ROWS($U$2:U984),$U$2:$U$1001,0),1)&gt;=100000,INDEX($AB$1005:$AQ$1005,1,MATCH(COLUMNS($AB$1006:AQ1006),$AB$1006:$AQ$1006,0))&gt;=100000), " ",IF(INDEX($AB$2:$AQ$1001,MATCH(ROWS($U$2:U984),$U$2:$U$1001,0),MATCH(COLUMNS($AB$1006:AQ1006),$AB$1006:$AQ$1006,0)), HYPERLINK("#",""), HYPERLINK(CONCATENATE("#metadata!", ADDRESS(INDEX($W$2:$W$1001,MATCH(ROWS($U$2:U984),$U$2:$U$1001,0),0), INDEX($AB$1004:$AQ$1004,1,MATCH(COLUMNS($AB$1006:AQ1006),$AB$1006:$AQ$1006,0)))),"Fix")))</f>
        <v>0</v>
      </c>
      <c r="U984">
        <v>0</v>
      </c>
      <c r="V984">
        <v>0</v>
      </c>
      <c r="W984">
        <v>0</v>
      </c>
      <c r="X984">
        <f>IF(Y984,TRUE,AND(AB984:AQ984))</f>
        <v>0</v>
      </c>
      <c r="Y984">
        <f>COUNTBLANK(metadata!B984:Q984)=COLUMNS(metadata!B984:Q984)</f>
        <v>0</v>
      </c>
      <c r="Z984">
        <v>0</v>
      </c>
      <c r="AB984">
        <f>AND(IF(metadata!B984="",FALSE,TRUE),COUNTIF(metadata!B:B, metadata!B984) = 1,NOT(ISERROR(SUMPRODUCT(SEARCH(MID(metadata!B984,ROW(INDIRECT("1:"&amp;LEN(metadata!B984))), 1),"0123456789abcdefghijklmnopqrstuvwxyzABCDEFGHIJKLMNOPQRSTUVWXYZ.")))))</f>
        <v>0</v>
      </c>
      <c r="AC984">
        <f>OR(AND(IF(metadata!C984="",FALSE,TRUE),OR(exact(metadata!C984,"missing: not collected"),exact(metadata!C984,"missing: not provided"),exact(metadata!C984,"missing: restricted access"))),AND(IF(metadata!C984="",FALSE,TRUE),AND(AND(IFERROR(INT(LEFT(metadata!C984,4))&gt;1900,FALSE),IFERROR(INT(LEFT(metadata!C984,4))&lt;=YEAR(NOW()),FALSE)), OR(MID(metadata!C984,5,1)="", AND(AND(MID(metadata!C984,5,1)="-",IFERROR(INT(MID(metadata!C984,6,1))&gt;=0,FALSE),IFERROR(INT(MID(metadata!C984,6,1))&lt;=1,FALSE),NOT(MID(metadata!C984,7,1)=""),IFERROR(INT(MID(metadata!C984,6,2))&gt;=1,FALSE),IFERROR(INT(MID(metadata!C984,6,2))&lt;=12,FALSE)), OR(MID(metadata!C984,8,1)="", AND(AND(MID(metadata!C984,8,1)="-",IFERROR(INT(MID(metadata!C984,9,1))&gt;=0,FALSE),IFERROR(INT(MID(metadata!C984,9,1))&lt;=3,FALSE),NOT(MID(metadata!C984,10,1)=""),IFERROR(INT(MID(metadata!C984,9,2))&gt;=1,FALSE),IFERROR(INT(MID(metadata!C984,9,2))&lt;=31,FALSE)), OR(MID(metadata!C984,11,1)="", AND(AND(MID(metadata!C984,11,1)=" ",IFERROR(INT(MID(metadata!C984,12,1))&gt;=0,FALSE),IFERROR(INT(MID(metadata!C984,12,1))&lt;=2,FALSE),NOT(MID(metadata!C984,13,1)=""),IFERROR(INT(MID(metadata!C984,12,2))&gt;=0,FALSE),IFERROR(INT(MID(metadata!C984,12,2))&lt;=23,FALSE)), OR(MID(metadata!C984,14,1)="", AND(AND(MID(metadata!C984,14,1)=":",IFERROR(INT(MID(metadata!C984,15,1))&gt;=0,FALSE),IFERROR(INT(MID(metadata!C984,15,1))&lt;=5,FALSE),NOT(MID(metadata!C984,16,1)=""),IFERROR(INT(MID(metadata!C984,15,2))&gt;=0,FALSE),IFERROR(INT(MID(metadata!C984,15,2))&lt;=59,FALSE)), OR(MID(metadata!C984,17,1)="", AND(AND(MID(metadata!C984,17,1)=":",IFERROR(INT(MID(metadata!C984,18,1))&gt;=0,FALSE),IFERROR(INT(MID(metadata!C984,18,1))&lt;=5,FALSE),NOT(MID(metadata!C984,19,1)=""),IFERROR(INT(MID(metadata!C984,18,2))&gt;=0,FALSE),IFERROR(INT(MID(metadata!C984,18,2))&lt;=59,FALSE)), LEN(metadata!C984)&lt;=19)))))))))))))</f>
        <v>0</v>
      </c>
      <c r="AD984">
        <f>IF(metadata!D984="",FALSE,TRUE)</f>
        <v>0</v>
      </c>
      <c r="AE984">
        <f>OR(AND(IF(metadata!E984="",FALSE,TRUE),OR(exact(metadata!E984,"missing: not collected"),exact(metadata!E984,"missing: not provided"))),AND(IF(metadata!E984="",FALSE,TRUE),OR(exact(metadata!E984,"TRUE"),exact(metadata!E984,"FALSE"))))</f>
        <v>0</v>
      </c>
      <c r="AF984">
        <f>IF(metadata!F984="",FALSE,TRUE)</f>
        <v>0</v>
      </c>
      <c r="AG984">
        <f>IF(metadata!G984="",FALSE,TRUE)</f>
        <v>0</v>
      </c>
      <c r="AH984">
        <f>IF(metadata!H984="",FALSE,TRUE)</f>
        <v>0</v>
      </c>
      <c r="AI984">
        <f>OR(AND(IF(metadata!I984="",FALSE,TRUE),OR(exact(metadata!I984,"missing: not collected"),exact(metadata!I984,"missing: not provided"),exact(metadata!I984,"missing: restricted access"))),AND(IF(metadata!I984="",FALSE,TRUE),OR(exact(metadata!I984,"air"),exact(metadata!I984,"built environment"),exact(metadata!I984,"host-associated"),exact(metadata!I984,"human-associated"),exact(metadata!I984,"human-skin"),exact(metadata!I984,"human-oral"),exact(metadata!I984,"human-gut"),exact(metadata!I984,"human-vaginal"),exact(metadata!I984,"microbial mat/biofilm"),exact(metadata!I984,"misc environment"),exact(metadata!I984,"plant-associated"),exact(metadata!I984,"sediment"),exact(metadata!I984,"soil"),exact(metadata!I984,"wastewater/sludge"),exact(metadata!I984,"water"))))</f>
        <v>0</v>
      </c>
      <c r="AJ984">
        <f>IF(metadata!J984="",FALSE,TRUE)</f>
        <v>0</v>
      </c>
      <c r="AK984">
        <f>OR(AND(IF(metadata!K984="",FALSE,TRUE),OR(exact(metadata!K984,"missing: not collected"),exact(metadata!K984,"missing: not provided"),exact(metadata!K984,"missing: restricted access"))),AND(IF(metadata!K984="",FALSE,ISNUMBER(VALUE(metadata!K984))),metadata!K984&gt;=-90.00,metadata!K984&lt;=90.00))</f>
        <v>0</v>
      </c>
      <c r="AL984">
        <f>OR(AND(IF(metadata!L984="",FALSE,TRUE),OR(exact(metadata!L984,"missing: not collected"),exact(metadata!L984,"missing: not provided"),exact(metadata!L984,"missing: restricted access"))),AND(IF(metadata!L984="",FALSE,ISNUMBER(VALUE(metadata!L984))),metadata!L984&gt;=-180.00,metadata!L984&lt;=180.00))</f>
        <v>0</v>
      </c>
      <c r="AM984">
        <f>IF(metadata!M984="",FALSE,TRUE)</f>
        <v>0</v>
      </c>
      <c r="AN984">
        <f>OR(AND(IF(metadata!N984="",FALSE,TRUE),OR(exact(metadata!N984,"missing: not collected"),exact(metadata!N984,"missing: not provided"),exact(metadata!N984,"missing: restricted access"))),AND(IF(metadata!N984="",FALSE,TRUE),OR(exact(metadata!N984,"TRUE"),exact(metadata!N984,"FALSE"))))</f>
        <v>0</v>
      </c>
      <c r="AO984">
        <f>IF(metadata!O984="",FALSE,TRUE)</f>
        <v>0</v>
      </c>
      <c r="AP984">
        <f>OR(AND(IF(metadata!P984="",FALSE,TRUE),OR(exact(metadata!P984,"missing: not collected"),exact(metadata!P984,"missing: not provided"))),AND(IF(metadata!P984="",FALSE,IF(ISERROR(INT(metadata!P984)),FALSE,INT(metadata!P984)=metadata!P984)),metadata!P984&gt;0))</f>
        <v>0</v>
      </c>
      <c r="AQ984">
        <f>IF(metadata!Q984="",FALSE,TRUE)</f>
        <v>0</v>
      </c>
    </row>
    <row r="985" spans="1:43">
      <c r="A985" s="5">
        <f>IF(B985=" "," ",HYPERLINK(CONCATENATE("#metadata!",ADDRESS(INDEX($W$2:$W$1001,MATCH(ROWS($U$2:U985),$U$2:$U$1001,0),0),1)),INDEX($Z$2:$Z$1001,MATCH(ROWS($U$2:U985),$U$2:$U$1001,0),0)))</f>
        <v>0</v>
      </c>
      <c r="B985" s="4">
        <f>IF(OR(INDEX($V$2:$V$1001,MATCH(ROWS($U$2:U985),$U$2:$U$1001,0),1)&gt;=100000,INDEX($AB$1005:$AQ$1005,1,MATCH(COLUMNS($AB$1006:AB1006),$AB$1006:$AQ$1006,0))&gt;=100000), " ",IF(INDEX($AB$2:$AQ$1001,MATCH(ROWS($U$2:U985),$U$2:$U$1001,0),MATCH(COLUMNS($AB$1006:AB1006),$AB$1006:$AQ$1006,0)), HYPERLINK("#",""), HYPERLINK(CONCATENATE("#metadata!", ADDRESS(INDEX($W$2:$W$1001,MATCH(ROWS($U$2:U985),$U$2:$U$1001,0),0), INDEX($AB$1004:$AQ$1004,1,MATCH(COLUMNS($AB$1006:AB1006),$AB$1006:$AQ$1006,0)))),"Fix")))</f>
        <v>0</v>
      </c>
      <c r="C985" s="4">
        <f>IF(OR(INDEX($V$2:$V$1001,MATCH(ROWS($U$2:U985),$U$2:$U$1001,0),1)&gt;=100000,INDEX($AB$1005:$AQ$1005,1,MATCH(COLUMNS($AB$1006:AC1006),$AB$1006:$AQ$1006,0))&gt;=100000), " ",IF(INDEX($AB$2:$AQ$1001,MATCH(ROWS($U$2:U985),$U$2:$U$1001,0),MATCH(COLUMNS($AB$1006:AC1006),$AB$1006:$AQ$1006,0)), HYPERLINK("#",""), HYPERLINK(CONCATENATE("#metadata!", ADDRESS(INDEX($W$2:$W$1001,MATCH(ROWS($U$2:U985),$U$2:$U$1001,0),0), INDEX($AB$1004:$AQ$1004,1,MATCH(COLUMNS($AB$1006:AC1006),$AB$1006:$AQ$1006,0)))),"Fix")))</f>
        <v>0</v>
      </c>
      <c r="D985" s="4">
        <f>IF(OR(INDEX($V$2:$V$1001,MATCH(ROWS($U$2:U985),$U$2:$U$1001,0),1)&gt;=100000,INDEX($AB$1005:$AQ$1005,1,MATCH(COLUMNS($AB$1006:AD1006),$AB$1006:$AQ$1006,0))&gt;=100000), " ",IF(INDEX($AB$2:$AQ$1001,MATCH(ROWS($U$2:U985),$U$2:$U$1001,0),MATCH(COLUMNS($AB$1006:AD1006),$AB$1006:$AQ$1006,0)), HYPERLINK("#",""), HYPERLINK(CONCATENATE("#metadata!", ADDRESS(INDEX($W$2:$W$1001,MATCH(ROWS($U$2:U985),$U$2:$U$1001,0),0), INDEX($AB$1004:$AQ$1004,1,MATCH(COLUMNS($AB$1006:AD1006),$AB$1006:$AQ$1006,0)))),"Fix")))</f>
        <v>0</v>
      </c>
      <c r="E985" s="4">
        <f>IF(OR(INDEX($V$2:$V$1001,MATCH(ROWS($U$2:U985),$U$2:$U$1001,0),1)&gt;=100000,INDEX($AB$1005:$AQ$1005,1,MATCH(COLUMNS($AB$1006:AE1006),$AB$1006:$AQ$1006,0))&gt;=100000), " ",IF(INDEX($AB$2:$AQ$1001,MATCH(ROWS($U$2:U985),$U$2:$U$1001,0),MATCH(COLUMNS($AB$1006:AE1006),$AB$1006:$AQ$1006,0)), HYPERLINK("#",""), HYPERLINK(CONCATENATE("#metadata!", ADDRESS(INDEX($W$2:$W$1001,MATCH(ROWS($U$2:U985),$U$2:$U$1001,0),0), INDEX($AB$1004:$AQ$1004,1,MATCH(COLUMNS($AB$1006:AE1006),$AB$1006:$AQ$1006,0)))),"Fix")))</f>
        <v>0</v>
      </c>
      <c r="F985" s="4">
        <f>IF(OR(INDEX($V$2:$V$1001,MATCH(ROWS($U$2:U985),$U$2:$U$1001,0),1)&gt;=100000,INDEX($AB$1005:$AQ$1005,1,MATCH(COLUMNS($AB$1006:AF1006),$AB$1006:$AQ$1006,0))&gt;=100000), " ",IF(INDEX($AB$2:$AQ$1001,MATCH(ROWS($U$2:U985),$U$2:$U$1001,0),MATCH(COLUMNS($AB$1006:AF1006),$AB$1006:$AQ$1006,0)), HYPERLINK("#",""), HYPERLINK(CONCATENATE("#metadata!", ADDRESS(INDEX($W$2:$W$1001,MATCH(ROWS($U$2:U985),$U$2:$U$1001,0),0), INDEX($AB$1004:$AQ$1004,1,MATCH(COLUMNS($AB$1006:AF1006),$AB$1006:$AQ$1006,0)))),"Fix")))</f>
        <v>0</v>
      </c>
      <c r="G985" s="4">
        <f>IF(OR(INDEX($V$2:$V$1001,MATCH(ROWS($U$2:U985),$U$2:$U$1001,0),1)&gt;=100000,INDEX($AB$1005:$AQ$1005,1,MATCH(COLUMNS($AB$1006:AG1006),$AB$1006:$AQ$1006,0))&gt;=100000), " ",IF(INDEX($AB$2:$AQ$1001,MATCH(ROWS($U$2:U985),$U$2:$U$1001,0),MATCH(COLUMNS($AB$1006:AG1006),$AB$1006:$AQ$1006,0)), HYPERLINK("#",""), HYPERLINK(CONCATENATE("#metadata!", ADDRESS(INDEX($W$2:$W$1001,MATCH(ROWS($U$2:U985),$U$2:$U$1001,0),0), INDEX($AB$1004:$AQ$1004,1,MATCH(COLUMNS($AB$1006:AG1006),$AB$1006:$AQ$1006,0)))),"Fix")))</f>
        <v>0</v>
      </c>
      <c r="H985" s="4">
        <f>IF(OR(INDEX($V$2:$V$1001,MATCH(ROWS($U$2:U985),$U$2:$U$1001,0),1)&gt;=100000,INDEX($AB$1005:$AQ$1005,1,MATCH(COLUMNS($AB$1006:AH1006),$AB$1006:$AQ$1006,0))&gt;=100000), " ",IF(INDEX($AB$2:$AQ$1001,MATCH(ROWS($U$2:U985),$U$2:$U$1001,0),MATCH(COLUMNS($AB$1006:AH1006),$AB$1006:$AQ$1006,0)), HYPERLINK("#",""), HYPERLINK(CONCATENATE("#metadata!", ADDRESS(INDEX($W$2:$W$1001,MATCH(ROWS($U$2:U985),$U$2:$U$1001,0),0), INDEX($AB$1004:$AQ$1004,1,MATCH(COLUMNS($AB$1006:AH1006),$AB$1006:$AQ$1006,0)))),"Fix")))</f>
        <v>0</v>
      </c>
      <c r="I985" s="4">
        <f>IF(OR(INDEX($V$2:$V$1001,MATCH(ROWS($U$2:U985),$U$2:$U$1001,0),1)&gt;=100000,INDEX($AB$1005:$AQ$1005,1,MATCH(COLUMNS($AB$1006:AI1006),$AB$1006:$AQ$1006,0))&gt;=100000), " ",IF(INDEX($AB$2:$AQ$1001,MATCH(ROWS($U$2:U985),$U$2:$U$1001,0),MATCH(COLUMNS($AB$1006:AI1006),$AB$1006:$AQ$1006,0)), HYPERLINK("#",""), HYPERLINK(CONCATENATE("#metadata!", ADDRESS(INDEX($W$2:$W$1001,MATCH(ROWS($U$2:U985),$U$2:$U$1001,0),0), INDEX($AB$1004:$AQ$1004,1,MATCH(COLUMNS($AB$1006:AI1006),$AB$1006:$AQ$1006,0)))),"Fix")))</f>
        <v>0</v>
      </c>
      <c r="J985" s="4">
        <f>IF(OR(INDEX($V$2:$V$1001,MATCH(ROWS($U$2:U985),$U$2:$U$1001,0),1)&gt;=100000,INDEX($AB$1005:$AQ$1005,1,MATCH(COLUMNS($AB$1006:AJ1006),$AB$1006:$AQ$1006,0))&gt;=100000), " ",IF(INDEX($AB$2:$AQ$1001,MATCH(ROWS($U$2:U985),$U$2:$U$1001,0),MATCH(COLUMNS($AB$1006:AJ1006),$AB$1006:$AQ$1006,0)), HYPERLINK("#",""), HYPERLINK(CONCATENATE("#metadata!", ADDRESS(INDEX($W$2:$W$1001,MATCH(ROWS($U$2:U985),$U$2:$U$1001,0),0), INDEX($AB$1004:$AQ$1004,1,MATCH(COLUMNS($AB$1006:AJ1006),$AB$1006:$AQ$1006,0)))),"Fix")))</f>
        <v>0</v>
      </c>
      <c r="K985" s="4">
        <f>IF(OR(INDEX($V$2:$V$1001,MATCH(ROWS($U$2:U985),$U$2:$U$1001,0),1)&gt;=100000,INDEX($AB$1005:$AQ$1005,1,MATCH(COLUMNS($AB$1006:AK1006),$AB$1006:$AQ$1006,0))&gt;=100000), " ",IF(INDEX($AB$2:$AQ$1001,MATCH(ROWS($U$2:U985),$U$2:$U$1001,0),MATCH(COLUMNS($AB$1006:AK1006),$AB$1006:$AQ$1006,0)), HYPERLINK("#",""), HYPERLINK(CONCATENATE("#metadata!", ADDRESS(INDEX($W$2:$W$1001,MATCH(ROWS($U$2:U985),$U$2:$U$1001,0),0), INDEX($AB$1004:$AQ$1004,1,MATCH(COLUMNS($AB$1006:AK1006),$AB$1006:$AQ$1006,0)))),"Fix")))</f>
        <v>0</v>
      </c>
      <c r="L985" s="4">
        <f>IF(OR(INDEX($V$2:$V$1001,MATCH(ROWS($U$2:U985),$U$2:$U$1001,0),1)&gt;=100000,INDEX($AB$1005:$AQ$1005,1,MATCH(COLUMNS($AB$1006:AL1006),$AB$1006:$AQ$1006,0))&gt;=100000), " ",IF(INDEX($AB$2:$AQ$1001,MATCH(ROWS($U$2:U985),$U$2:$U$1001,0),MATCH(COLUMNS($AB$1006:AL1006),$AB$1006:$AQ$1006,0)), HYPERLINK("#",""), HYPERLINK(CONCATENATE("#metadata!", ADDRESS(INDEX($W$2:$W$1001,MATCH(ROWS($U$2:U985),$U$2:$U$1001,0),0), INDEX($AB$1004:$AQ$1004,1,MATCH(COLUMNS($AB$1006:AL1006),$AB$1006:$AQ$1006,0)))),"Fix")))</f>
        <v>0</v>
      </c>
      <c r="M985" s="4">
        <f>IF(OR(INDEX($V$2:$V$1001,MATCH(ROWS($U$2:U985),$U$2:$U$1001,0),1)&gt;=100000,INDEX($AB$1005:$AQ$1005,1,MATCH(COLUMNS($AB$1006:AM1006),$AB$1006:$AQ$1006,0))&gt;=100000), " ",IF(INDEX($AB$2:$AQ$1001,MATCH(ROWS($U$2:U985),$U$2:$U$1001,0),MATCH(COLUMNS($AB$1006:AM1006),$AB$1006:$AQ$1006,0)), HYPERLINK("#",""), HYPERLINK(CONCATENATE("#metadata!", ADDRESS(INDEX($W$2:$W$1001,MATCH(ROWS($U$2:U985),$U$2:$U$1001,0),0), INDEX($AB$1004:$AQ$1004,1,MATCH(COLUMNS($AB$1006:AM1006),$AB$1006:$AQ$1006,0)))),"Fix")))</f>
        <v>0</v>
      </c>
      <c r="N985" s="4">
        <f>IF(OR(INDEX($V$2:$V$1001,MATCH(ROWS($U$2:U985),$U$2:$U$1001,0),1)&gt;=100000,INDEX($AB$1005:$AQ$1005,1,MATCH(COLUMNS($AB$1006:AN1006),$AB$1006:$AQ$1006,0))&gt;=100000), " ",IF(INDEX($AB$2:$AQ$1001,MATCH(ROWS($U$2:U985),$U$2:$U$1001,0),MATCH(COLUMNS($AB$1006:AN1006),$AB$1006:$AQ$1006,0)), HYPERLINK("#",""), HYPERLINK(CONCATENATE("#metadata!", ADDRESS(INDEX($W$2:$W$1001,MATCH(ROWS($U$2:U985),$U$2:$U$1001,0),0), INDEX($AB$1004:$AQ$1004,1,MATCH(COLUMNS($AB$1006:AN1006),$AB$1006:$AQ$1006,0)))),"Fix")))</f>
        <v>0</v>
      </c>
      <c r="O985" s="4">
        <f>IF(OR(INDEX($V$2:$V$1001,MATCH(ROWS($U$2:U985),$U$2:$U$1001,0),1)&gt;=100000,INDEX($AB$1005:$AQ$1005,1,MATCH(COLUMNS($AB$1006:AO1006),$AB$1006:$AQ$1006,0))&gt;=100000), " ",IF(INDEX($AB$2:$AQ$1001,MATCH(ROWS($U$2:U985),$U$2:$U$1001,0),MATCH(COLUMNS($AB$1006:AO1006),$AB$1006:$AQ$1006,0)), HYPERLINK("#",""), HYPERLINK(CONCATENATE("#metadata!", ADDRESS(INDEX($W$2:$W$1001,MATCH(ROWS($U$2:U985),$U$2:$U$1001,0),0), INDEX($AB$1004:$AQ$1004,1,MATCH(COLUMNS($AB$1006:AO1006),$AB$1006:$AQ$1006,0)))),"Fix")))</f>
        <v>0</v>
      </c>
      <c r="P985" s="4">
        <f>IF(OR(INDEX($V$2:$V$1001,MATCH(ROWS($U$2:U985),$U$2:$U$1001,0),1)&gt;=100000,INDEX($AB$1005:$AQ$1005,1,MATCH(COLUMNS($AB$1006:AP1006),$AB$1006:$AQ$1006,0))&gt;=100000), " ",IF(INDEX($AB$2:$AQ$1001,MATCH(ROWS($U$2:U985),$U$2:$U$1001,0),MATCH(COLUMNS($AB$1006:AP1006),$AB$1006:$AQ$1006,0)), HYPERLINK("#",""), HYPERLINK(CONCATENATE("#metadata!", ADDRESS(INDEX($W$2:$W$1001,MATCH(ROWS($U$2:U985),$U$2:$U$1001,0),0), INDEX($AB$1004:$AQ$1004,1,MATCH(COLUMNS($AB$1006:AP1006),$AB$1006:$AQ$1006,0)))),"Fix")))</f>
        <v>0</v>
      </c>
      <c r="Q985" s="4">
        <f>IF(OR(INDEX($V$2:$V$1001,MATCH(ROWS($U$2:U985),$U$2:$U$1001,0),1)&gt;=100000,INDEX($AB$1005:$AQ$1005,1,MATCH(COLUMNS($AB$1006:AQ1006),$AB$1006:$AQ$1006,0))&gt;=100000), " ",IF(INDEX($AB$2:$AQ$1001,MATCH(ROWS($U$2:U985),$U$2:$U$1001,0),MATCH(COLUMNS($AB$1006:AQ1006),$AB$1006:$AQ$1006,0)), HYPERLINK("#",""), HYPERLINK(CONCATENATE("#metadata!", ADDRESS(INDEX($W$2:$W$1001,MATCH(ROWS($U$2:U985),$U$2:$U$1001,0),0), INDEX($AB$1004:$AQ$1004,1,MATCH(COLUMNS($AB$1006:AQ1006),$AB$1006:$AQ$1006,0)))),"Fix")))</f>
        <v>0</v>
      </c>
      <c r="U985">
        <v>0</v>
      </c>
      <c r="V985">
        <v>0</v>
      </c>
      <c r="W985">
        <v>0</v>
      </c>
      <c r="X985">
        <f>IF(Y985,TRUE,AND(AB985:AQ985))</f>
        <v>0</v>
      </c>
      <c r="Y985">
        <f>COUNTBLANK(metadata!B985:Q985)=COLUMNS(metadata!B985:Q985)</f>
        <v>0</v>
      </c>
      <c r="Z985">
        <v>0</v>
      </c>
      <c r="AB985">
        <f>AND(IF(metadata!B985="",FALSE,TRUE),COUNTIF(metadata!B:B, metadata!B985) = 1,NOT(ISERROR(SUMPRODUCT(SEARCH(MID(metadata!B985,ROW(INDIRECT("1:"&amp;LEN(metadata!B985))), 1),"0123456789abcdefghijklmnopqrstuvwxyzABCDEFGHIJKLMNOPQRSTUVWXYZ.")))))</f>
        <v>0</v>
      </c>
      <c r="AC985">
        <f>OR(AND(IF(metadata!C985="",FALSE,TRUE),OR(exact(metadata!C985,"missing: not collected"),exact(metadata!C985,"missing: not provided"),exact(metadata!C985,"missing: restricted access"))),AND(IF(metadata!C985="",FALSE,TRUE),AND(AND(IFERROR(INT(LEFT(metadata!C985,4))&gt;1900,FALSE),IFERROR(INT(LEFT(metadata!C985,4))&lt;=YEAR(NOW()),FALSE)), OR(MID(metadata!C985,5,1)="", AND(AND(MID(metadata!C985,5,1)="-",IFERROR(INT(MID(metadata!C985,6,1))&gt;=0,FALSE),IFERROR(INT(MID(metadata!C985,6,1))&lt;=1,FALSE),NOT(MID(metadata!C985,7,1)=""),IFERROR(INT(MID(metadata!C985,6,2))&gt;=1,FALSE),IFERROR(INT(MID(metadata!C985,6,2))&lt;=12,FALSE)), OR(MID(metadata!C985,8,1)="", AND(AND(MID(metadata!C985,8,1)="-",IFERROR(INT(MID(metadata!C985,9,1))&gt;=0,FALSE),IFERROR(INT(MID(metadata!C985,9,1))&lt;=3,FALSE),NOT(MID(metadata!C985,10,1)=""),IFERROR(INT(MID(metadata!C985,9,2))&gt;=1,FALSE),IFERROR(INT(MID(metadata!C985,9,2))&lt;=31,FALSE)), OR(MID(metadata!C985,11,1)="", AND(AND(MID(metadata!C985,11,1)=" ",IFERROR(INT(MID(metadata!C985,12,1))&gt;=0,FALSE),IFERROR(INT(MID(metadata!C985,12,1))&lt;=2,FALSE),NOT(MID(metadata!C985,13,1)=""),IFERROR(INT(MID(metadata!C985,12,2))&gt;=0,FALSE),IFERROR(INT(MID(metadata!C985,12,2))&lt;=23,FALSE)), OR(MID(metadata!C985,14,1)="", AND(AND(MID(metadata!C985,14,1)=":",IFERROR(INT(MID(metadata!C985,15,1))&gt;=0,FALSE),IFERROR(INT(MID(metadata!C985,15,1))&lt;=5,FALSE),NOT(MID(metadata!C985,16,1)=""),IFERROR(INT(MID(metadata!C985,15,2))&gt;=0,FALSE),IFERROR(INT(MID(metadata!C985,15,2))&lt;=59,FALSE)), OR(MID(metadata!C985,17,1)="", AND(AND(MID(metadata!C985,17,1)=":",IFERROR(INT(MID(metadata!C985,18,1))&gt;=0,FALSE),IFERROR(INT(MID(metadata!C985,18,1))&lt;=5,FALSE),NOT(MID(metadata!C985,19,1)=""),IFERROR(INT(MID(metadata!C985,18,2))&gt;=0,FALSE),IFERROR(INT(MID(metadata!C985,18,2))&lt;=59,FALSE)), LEN(metadata!C985)&lt;=19)))))))))))))</f>
        <v>0</v>
      </c>
      <c r="AD985">
        <f>IF(metadata!D985="",FALSE,TRUE)</f>
        <v>0</v>
      </c>
      <c r="AE985">
        <f>OR(AND(IF(metadata!E985="",FALSE,TRUE),OR(exact(metadata!E985,"missing: not collected"),exact(metadata!E985,"missing: not provided"))),AND(IF(metadata!E985="",FALSE,TRUE),OR(exact(metadata!E985,"TRUE"),exact(metadata!E985,"FALSE"))))</f>
        <v>0</v>
      </c>
      <c r="AF985">
        <f>IF(metadata!F985="",FALSE,TRUE)</f>
        <v>0</v>
      </c>
      <c r="AG985">
        <f>IF(metadata!G985="",FALSE,TRUE)</f>
        <v>0</v>
      </c>
      <c r="AH985">
        <f>IF(metadata!H985="",FALSE,TRUE)</f>
        <v>0</v>
      </c>
      <c r="AI985">
        <f>OR(AND(IF(metadata!I985="",FALSE,TRUE),OR(exact(metadata!I985,"missing: not collected"),exact(metadata!I985,"missing: not provided"),exact(metadata!I985,"missing: restricted access"))),AND(IF(metadata!I985="",FALSE,TRUE),OR(exact(metadata!I985,"air"),exact(metadata!I985,"built environment"),exact(metadata!I985,"host-associated"),exact(metadata!I985,"human-associated"),exact(metadata!I985,"human-skin"),exact(metadata!I985,"human-oral"),exact(metadata!I985,"human-gut"),exact(metadata!I985,"human-vaginal"),exact(metadata!I985,"microbial mat/biofilm"),exact(metadata!I985,"misc environment"),exact(metadata!I985,"plant-associated"),exact(metadata!I985,"sediment"),exact(metadata!I985,"soil"),exact(metadata!I985,"wastewater/sludge"),exact(metadata!I985,"water"))))</f>
        <v>0</v>
      </c>
      <c r="AJ985">
        <f>IF(metadata!J985="",FALSE,TRUE)</f>
        <v>0</v>
      </c>
      <c r="AK985">
        <f>OR(AND(IF(metadata!K985="",FALSE,TRUE),OR(exact(metadata!K985,"missing: not collected"),exact(metadata!K985,"missing: not provided"),exact(metadata!K985,"missing: restricted access"))),AND(IF(metadata!K985="",FALSE,ISNUMBER(VALUE(metadata!K985))),metadata!K985&gt;=-90.00,metadata!K985&lt;=90.00))</f>
        <v>0</v>
      </c>
      <c r="AL985">
        <f>OR(AND(IF(metadata!L985="",FALSE,TRUE),OR(exact(metadata!L985,"missing: not collected"),exact(metadata!L985,"missing: not provided"),exact(metadata!L985,"missing: restricted access"))),AND(IF(metadata!L985="",FALSE,ISNUMBER(VALUE(metadata!L985))),metadata!L985&gt;=-180.00,metadata!L985&lt;=180.00))</f>
        <v>0</v>
      </c>
      <c r="AM985">
        <f>IF(metadata!M985="",FALSE,TRUE)</f>
        <v>0</v>
      </c>
      <c r="AN985">
        <f>OR(AND(IF(metadata!N985="",FALSE,TRUE),OR(exact(metadata!N985,"missing: not collected"),exact(metadata!N985,"missing: not provided"),exact(metadata!N985,"missing: restricted access"))),AND(IF(metadata!N985="",FALSE,TRUE),OR(exact(metadata!N985,"TRUE"),exact(metadata!N985,"FALSE"))))</f>
        <v>0</v>
      </c>
      <c r="AO985">
        <f>IF(metadata!O985="",FALSE,TRUE)</f>
        <v>0</v>
      </c>
      <c r="AP985">
        <f>OR(AND(IF(metadata!P985="",FALSE,TRUE),OR(exact(metadata!P985,"missing: not collected"),exact(metadata!P985,"missing: not provided"))),AND(IF(metadata!P985="",FALSE,IF(ISERROR(INT(metadata!P985)),FALSE,INT(metadata!P985)=metadata!P985)),metadata!P985&gt;0))</f>
        <v>0</v>
      </c>
      <c r="AQ985">
        <f>IF(metadata!Q985="",FALSE,TRUE)</f>
        <v>0</v>
      </c>
    </row>
    <row r="986" spans="1:43">
      <c r="A986" s="5">
        <f>IF(B986=" "," ",HYPERLINK(CONCATENATE("#metadata!",ADDRESS(INDEX($W$2:$W$1001,MATCH(ROWS($U$2:U986),$U$2:$U$1001,0),0),1)),INDEX($Z$2:$Z$1001,MATCH(ROWS($U$2:U986),$U$2:$U$1001,0),0)))</f>
        <v>0</v>
      </c>
      <c r="B986" s="4">
        <f>IF(OR(INDEX($V$2:$V$1001,MATCH(ROWS($U$2:U986),$U$2:$U$1001,0),1)&gt;=100000,INDEX($AB$1005:$AQ$1005,1,MATCH(COLUMNS($AB$1006:AB1006),$AB$1006:$AQ$1006,0))&gt;=100000), " ",IF(INDEX($AB$2:$AQ$1001,MATCH(ROWS($U$2:U986),$U$2:$U$1001,0),MATCH(COLUMNS($AB$1006:AB1006),$AB$1006:$AQ$1006,0)), HYPERLINK("#",""), HYPERLINK(CONCATENATE("#metadata!", ADDRESS(INDEX($W$2:$W$1001,MATCH(ROWS($U$2:U986),$U$2:$U$1001,0),0), INDEX($AB$1004:$AQ$1004,1,MATCH(COLUMNS($AB$1006:AB1006),$AB$1006:$AQ$1006,0)))),"Fix")))</f>
        <v>0</v>
      </c>
      <c r="C986" s="4">
        <f>IF(OR(INDEX($V$2:$V$1001,MATCH(ROWS($U$2:U986),$U$2:$U$1001,0),1)&gt;=100000,INDEX($AB$1005:$AQ$1005,1,MATCH(COLUMNS($AB$1006:AC1006),$AB$1006:$AQ$1006,0))&gt;=100000), " ",IF(INDEX($AB$2:$AQ$1001,MATCH(ROWS($U$2:U986),$U$2:$U$1001,0),MATCH(COLUMNS($AB$1006:AC1006),$AB$1006:$AQ$1006,0)), HYPERLINK("#",""), HYPERLINK(CONCATENATE("#metadata!", ADDRESS(INDEX($W$2:$W$1001,MATCH(ROWS($U$2:U986),$U$2:$U$1001,0),0), INDEX($AB$1004:$AQ$1004,1,MATCH(COLUMNS($AB$1006:AC1006),$AB$1006:$AQ$1006,0)))),"Fix")))</f>
        <v>0</v>
      </c>
      <c r="D986" s="4">
        <f>IF(OR(INDEX($V$2:$V$1001,MATCH(ROWS($U$2:U986),$U$2:$U$1001,0),1)&gt;=100000,INDEX($AB$1005:$AQ$1005,1,MATCH(COLUMNS($AB$1006:AD1006),$AB$1006:$AQ$1006,0))&gt;=100000), " ",IF(INDEX($AB$2:$AQ$1001,MATCH(ROWS($U$2:U986),$U$2:$U$1001,0),MATCH(COLUMNS($AB$1006:AD1006),$AB$1006:$AQ$1006,0)), HYPERLINK("#",""), HYPERLINK(CONCATENATE("#metadata!", ADDRESS(INDEX($W$2:$W$1001,MATCH(ROWS($U$2:U986),$U$2:$U$1001,0),0), INDEX($AB$1004:$AQ$1004,1,MATCH(COLUMNS($AB$1006:AD1006),$AB$1006:$AQ$1006,0)))),"Fix")))</f>
        <v>0</v>
      </c>
      <c r="E986" s="4">
        <f>IF(OR(INDEX($V$2:$V$1001,MATCH(ROWS($U$2:U986),$U$2:$U$1001,0),1)&gt;=100000,INDEX($AB$1005:$AQ$1005,1,MATCH(COLUMNS($AB$1006:AE1006),$AB$1006:$AQ$1006,0))&gt;=100000), " ",IF(INDEX($AB$2:$AQ$1001,MATCH(ROWS($U$2:U986),$U$2:$U$1001,0),MATCH(COLUMNS($AB$1006:AE1006),$AB$1006:$AQ$1006,0)), HYPERLINK("#",""), HYPERLINK(CONCATENATE("#metadata!", ADDRESS(INDEX($W$2:$W$1001,MATCH(ROWS($U$2:U986),$U$2:$U$1001,0),0), INDEX($AB$1004:$AQ$1004,1,MATCH(COLUMNS($AB$1006:AE1006),$AB$1006:$AQ$1006,0)))),"Fix")))</f>
        <v>0</v>
      </c>
      <c r="F986" s="4">
        <f>IF(OR(INDEX($V$2:$V$1001,MATCH(ROWS($U$2:U986),$U$2:$U$1001,0),1)&gt;=100000,INDEX($AB$1005:$AQ$1005,1,MATCH(COLUMNS($AB$1006:AF1006),$AB$1006:$AQ$1006,0))&gt;=100000), " ",IF(INDEX($AB$2:$AQ$1001,MATCH(ROWS($U$2:U986),$U$2:$U$1001,0),MATCH(COLUMNS($AB$1006:AF1006),$AB$1006:$AQ$1006,0)), HYPERLINK("#",""), HYPERLINK(CONCATENATE("#metadata!", ADDRESS(INDEX($W$2:$W$1001,MATCH(ROWS($U$2:U986),$U$2:$U$1001,0),0), INDEX($AB$1004:$AQ$1004,1,MATCH(COLUMNS($AB$1006:AF1006),$AB$1006:$AQ$1006,0)))),"Fix")))</f>
        <v>0</v>
      </c>
      <c r="G986" s="4">
        <f>IF(OR(INDEX($V$2:$V$1001,MATCH(ROWS($U$2:U986),$U$2:$U$1001,0),1)&gt;=100000,INDEX($AB$1005:$AQ$1005,1,MATCH(COLUMNS($AB$1006:AG1006),$AB$1006:$AQ$1006,0))&gt;=100000), " ",IF(INDEX($AB$2:$AQ$1001,MATCH(ROWS($U$2:U986),$U$2:$U$1001,0),MATCH(COLUMNS($AB$1006:AG1006),$AB$1006:$AQ$1006,0)), HYPERLINK("#",""), HYPERLINK(CONCATENATE("#metadata!", ADDRESS(INDEX($W$2:$W$1001,MATCH(ROWS($U$2:U986),$U$2:$U$1001,0),0), INDEX($AB$1004:$AQ$1004,1,MATCH(COLUMNS($AB$1006:AG1006),$AB$1006:$AQ$1006,0)))),"Fix")))</f>
        <v>0</v>
      </c>
      <c r="H986" s="4">
        <f>IF(OR(INDEX($V$2:$V$1001,MATCH(ROWS($U$2:U986),$U$2:$U$1001,0),1)&gt;=100000,INDEX($AB$1005:$AQ$1005,1,MATCH(COLUMNS($AB$1006:AH1006),$AB$1006:$AQ$1006,0))&gt;=100000), " ",IF(INDEX($AB$2:$AQ$1001,MATCH(ROWS($U$2:U986),$U$2:$U$1001,0),MATCH(COLUMNS($AB$1006:AH1006),$AB$1006:$AQ$1006,0)), HYPERLINK("#",""), HYPERLINK(CONCATENATE("#metadata!", ADDRESS(INDEX($W$2:$W$1001,MATCH(ROWS($U$2:U986),$U$2:$U$1001,0),0), INDEX($AB$1004:$AQ$1004,1,MATCH(COLUMNS($AB$1006:AH1006),$AB$1006:$AQ$1006,0)))),"Fix")))</f>
        <v>0</v>
      </c>
      <c r="I986" s="4">
        <f>IF(OR(INDEX($V$2:$V$1001,MATCH(ROWS($U$2:U986),$U$2:$U$1001,0),1)&gt;=100000,INDEX($AB$1005:$AQ$1005,1,MATCH(COLUMNS($AB$1006:AI1006),$AB$1006:$AQ$1006,0))&gt;=100000), " ",IF(INDEX($AB$2:$AQ$1001,MATCH(ROWS($U$2:U986),$U$2:$U$1001,0),MATCH(COLUMNS($AB$1006:AI1006),$AB$1006:$AQ$1006,0)), HYPERLINK("#",""), HYPERLINK(CONCATENATE("#metadata!", ADDRESS(INDEX($W$2:$W$1001,MATCH(ROWS($U$2:U986),$U$2:$U$1001,0),0), INDEX($AB$1004:$AQ$1004,1,MATCH(COLUMNS($AB$1006:AI1006),$AB$1006:$AQ$1006,0)))),"Fix")))</f>
        <v>0</v>
      </c>
      <c r="J986" s="4">
        <f>IF(OR(INDEX($V$2:$V$1001,MATCH(ROWS($U$2:U986),$U$2:$U$1001,0),1)&gt;=100000,INDEX($AB$1005:$AQ$1005,1,MATCH(COLUMNS($AB$1006:AJ1006),$AB$1006:$AQ$1006,0))&gt;=100000), " ",IF(INDEX($AB$2:$AQ$1001,MATCH(ROWS($U$2:U986),$U$2:$U$1001,0),MATCH(COLUMNS($AB$1006:AJ1006),$AB$1006:$AQ$1006,0)), HYPERLINK("#",""), HYPERLINK(CONCATENATE("#metadata!", ADDRESS(INDEX($W$2:$W$1001,MATCH(ROWS($U$2:U986),$U$2:$U$1001,0),0), INDEX($AB$1004:$AQ$1004,1,MATCH(COLUMNS($AB$1006:AJ1006),$AB$1006:$AQ$1006,0)))),"Fix")))</f>
        <v>0</v>
      </c>
      <c r="K986" s="4">
        <f>IF(OR(INDEX($V$2:$V$1001,MATCH(ROWS($U$2:U986),$U$2:$U$1001,0),1)&gt;=100000,INDEX($AB$1005:$AQ$1005,1,MATCH(COLUMNS($AB$1006:AK1006),$AB$1006:$AQ$1006,0))&gt;=100000), " ",IF(INDEX($AB$2:$AQ$1001,MATCH(ROWS($U$2:U986),$U$2:$U$1001,0),MATCH(COLUMNS($AB$1006:AK1006),$AB$1006:$AQ$1006,0)), HYPERLINK("#",""), HYPERLINK(CONCATENATE("#metadata!", ADDRESS(INDEX($W$2:$W$1001,MATCH(ROWS($U$2:U986),$U$2:$U$1001,0),0), INDEX($AB$1004:$AQ$1004,1,MATCH(COLUMNS($AB$1006:AK1006),$AB$1006:$AQ$1006,0)))),"Fix")))</f>
        <v>0</v>
      </c>
      <c r="L986" s="4">
        <f>IF(OR(INDEX($V$2:$V$1001,MATCH(ROWS($U$2:U986),$U$2:$U$1001,0),1)&gt;=100000,INDEX($AB$1005:$AQ$1005,1,MATCH(COLUMNS($AB$1006:AL1006),$AB$1006:$AQ$1006,0))&gt;=100000), " ",IF(INDEX($AB$2:$AQ$1001,MATCH(ROWS($U$2:U986),$U$2:$U$1001,0),MATCH(COLUMNS($AB$1006:AL1006),$AB$1006:$AQ$1006,0)), HYPERLINK("#",""), HYPERLINK(CONCATENATE("#metadata!", ADDRESS(INDEX($W$2:$W$1001,MATCH(ROWS($U$2:U986),$U$2:$U$1001,0),0), INDEX($AB$1004:$AQ$1004,1,MATCH(COLUMNS($AB$1006:AL1006),$AB$1006:$AQ$1006,0)))),"Fix")))</f>
        <v>0</v>
      </c>
      <c r="M986" s="4">
        <f>IF(OR(INDEX($V$2:$V$1001,MATCH(ROWS($U$2:U986),$U$2:$U$1001,0),1)&gt;=100000,INDEX($AB$1005:$AQ$1005,1,MATCH(COLUMNS($AB$1006:AM1006),$AB$1006:$AQ$1006,0))&gt;=100000), " ",IF(INDEX($AB$2:$AQ$1001,MATCH(ROWS($U$2:U986),$U$2:$U$1001,0),MATCH(COLUMNS($AB$1006:AM1006),$AB$1006:$AQ$1006,0)), HYPERLINK("#",""), HYPERLINK(CONCATENATE("#metadata!", ADDRESS(INDEX($W$2:$W$1001,MATCH(ROWS($U$2:U986),$U$2:$U$1001,0),0), INDEX($AB$1004:$AQ$1004,1,MATCH(COLUMNS($AB$1006:AM1006),$AB$1006:$AQ$1006,0)))),"Fix")))</f>
        <v>0</v>
      </c>
      <c r="N986" s="4">
        <f>IF(OR(INDEX($V$2:$V$1001,MATCH(ROWS($U$2:U986),$U$2:$U$1001,0),1)&gt;=100000,INDEX($AB$1005:$AQ$1005,1,MATCH(COLUMNS($AB$1006:AN1006),$AB$1006:$AQ$1006,0))&gt;=100000), " ",IF(INDEX($AB$2:$AQ$1001,MATCH(ROWS($U$2:U986),$U$2:$U$1001,0),MATCH(COLUMNS($AB$1006:AN1006),$AB$1006:$AQ$1006,0)), HYPERLINK("#",""), HYPERLINK(CONCATENATE("#metadata!", ADDRESS(INDEX($W$2:$W$1001,MATCH(ROWS($U$2:U986),$U$2:$U$1001,0),0), INDEX($AB$1004:$AQ$1004,1,MATCH(COLUMNS($AB$1006:AN1006),$AB$1006:$AQ$1006,0)))),"Fix")))</f>
        <v>0</v>
      </c>
      <c r="O986" s="4">
        <f>IF(OR(INDEX($V$2:$V$1001,MATCH(ROWS($U$2:U986),$U$2:$U$1001,0),1)&gt;=100000,INDEX($AB$1005:$AQ$1005,1,MATCH(COLUMNS($AB$1006:AO1006),$AB$1006:$AQ$1006,0))&gt;=100000), " ",IF(INDEX($AB$2:$AQ$1001,MATCH(ROWS($U$2:U986),$U$2:$U$1001,0),MATCH(COLUMNS($AB$1006:AO1006),$AB$1006:$AQ$1006,0)), HYPERLINK("#",""), HYPERLINK(CONCATENATE("#metadata!", ADDRESS(INDEX($W$2:$W$1001,MATCH(ROWS($U$2:U986),$U$2:$U$1001,0),0), INDEX($AB$1004:$AQ$1004,1,MATCH(COLUMNS($AB$1006:AO1006),$AB$1006:$AQ$1006,0)))),"Fix")))</f>
        <v>0</v>
      </c>
      <c r="P986" s="4">
        <f>IF(OR(INDEX($V$2:$V$1001,MATCH(ROWS($U$2:U986),$U$2:$U$1001,0),1)&gt;=100000,INDEX($AB$1005:$AQ$1005,1,MATCH(COLUMNS($AB$1006:AP1006),$AB$1006:$AQ$1006,0))&gt;=100000), " ",IF(INDEX($AB$2:$AQ$1001,MATCH(ROWS($U$2:U986),$U$2:$U$1001,0),MATCH(COLUMNS($AB$1006:AP1006),$AB$1006:$AQ$1006,0)), HYPERLINK("#",""), HYPERLINK(CONCATENATE("#metadata!", ADDRESS(INDEX($W$2:$W$1001,MATCH(ROWS($U$2:U986),$U$2:$U$1001,0),0), INDEX($AB$1004:$AQ$1004,1,MATCH(COLUMNS($AB$1006:AP1006),$AB$1006:$AQ$1006,0)))),"Fix")))</f>
        <v>0</v>
      </c>
      <c r="Q986" s="4">
        <f>IF(OR(INDEX($V$2:$V$1001,MATCH(ROWS($U$2:U986),$U$2:$U$1001,0),1)&gt;=100000,INDEX($AB$1005:$AQ$1005,1,MATCH(COLUMNS($AB$1006:AQ1006),$AB$1006:$AQ$1006,0))&gt;=100000), " ",IF(INDEX($AB$2:$AQ$1001,MATCH(ROWS($U$2:U986),$U$2:$U$1001,0),MATCH(COLUMNS($AB$1006:AQ1006),$AB$1006:$AQ$1006,0)), HYPERLINK("#",""), HYPERLINK(CONCATENATE("#metadata!", ADDRESS(INDEX($W$2:$W$1001,MATCH(ROWS($U$2:U986),$U$2:$U$1001,0),0), INDEX($AB$1004:$AQ$1004,1,MATCH(COLUMNS($AB$1006:AQ1006),$AB$1006:$AQ$1006,0)))),"Fix")))</f>
        <v>0</v>
      </c>
      <c r="U986">
        <v>0</v>
      </c>
      <c r="V986">
        <v>0</v>
      </c>
      <c r="W986">
        <v>0</v>
      </c>
      <c r="X986">
        <f>IF(Y986,TRUE,AND(AB986:AQ986))</f>
        <v>0</v>
      </c>
      <c r="Y986">
        <f>COUNTBLANK(metadata!B986:Q986)=COLUMNS(metadata!B986:Q986)</f>
        <v>0</v>
      </c>
      <c r="Z986">
        <v>0</v>
      </c>
      <c r="AB986">
        <f>AND(IF(metadata!B986="",FALSE,TRUE),COUNTIF(metadata!B:B, metadata!B986) = 1,NOT(ISERROR(SUMPRODUCT(SEARCH(MID(metadata!B986,ROW(INDIRECT("1:"&amp;LEN(metadata!B986))), 1),"0123456789abcdefghijklmnopqrstuvwxyzABCDEFGHIJKLMNOPQRSTUVWXYZ.")))))</f>
        <v>0</v>
      </c>
      <c r="AC986">
        <f>OR(AND(IF(metadata!C986="",FALSE,TRUE),OR(exact(metadata!C986,"missing: not collected"),exact(metadata!C986,"missing: not provided"),exact(metadata!C986,"missing: restricted access"))),AND(IF(metadata!C986="",FALSE,TRUE),AND(AND(IFERROR(INT(LEFT(metadata!C986,4))&gt;1900,FALSE),IFERROR(INT(LEFT(metadata!C986,4))&lt;=YEAR(NOW()),FALSE)), OR(MID(metadata!C986,5,1)="", AND(AND(MID(metadata!C986,5,1)="-",IFERROR(INT(MID(metadata!C986,6,1))&gt;=0,FALSE),IFERROR(INT(MID(metadata!C986,6,1))&lt;=1,FALSE),NOT(MID(metadata!C986,7,1)=""),IFERROR(INT(MID(metadata!C986,6,2))&gt;=1,FALSE),IFERROR(INT(MID(metadata!C986,6,2))&lt;=12,FALSE)), OR(MID(metadata!C986,8,1)="", AND(AND(MID(metadata!C986,8,1)="-",IFERROR(INT(MID(metadata!C986,9,1))&gt;=0,FALSE),IFERROR(INT(MID(metadata!C986,9,1))&lt;=3,FALSE),NOT(MID(metadata!C986,10,1)=""),IFERROR(INT(MID(metadata!C986,9,2))&gt;=1,FALSE),IFERROR(INT(MID(metadata!C986,9,2))&lt;=31,FALSE)), OR(MID(metadata!C986,11,1)="", AND(AND(MID(metadata!C986,11,1)=" ",IFERROR(INT(MID(metadata!C986,12,1))&gt;=0,FALSE),IFERROR(INT(MID(metadata!C986,12,1))&lt;=2,FALSE),NOT(MID(metadata!C986,13,1)=""),IFERROR(INT(MID(metadata!C986,12,2))&gt;=0,FALSE),IFERROR(INT(MID(metadata!C986,12,2))&lt;=23,FALSE)), OR(MID(metadata!C986,14,1)="", AND(AND(MID(metadata!C986,14,1)=":",IFERROR(INT(MID(metadata!C986,15,1))&gt;=0,FALSE),IFERROR(INT(MID(metadata!C986,15,1))&lt;=5,FALSE),NOT(MID(metadata!C986,16,1)=""),IFERROR(INT(MID(metadata!C986,15,2))&gt;=0,FALSE),IFERROR(INT(MID(metadata!C986,15,2))&lt;=59,FALSE)), OR(MID(metadata!C986,17,1)="", AND(AND(MID(metadata!C986,17,1)=":",IFERROR(INT(MID(metadata!C986,18,1))&gt;=0,FALSE),IFERROR(INT(MID(metadata!C986,18,1))&lt;=5,FALSE),NOT(MID(metadata!C986,19,1)=""),IFERROR(INT(MID(metadata!C986,18,2))&gt;=0,FALSE),IFERROR(INT(MID(metadata!C986,18,2))&lt;=59,FALSE)), LEN(metadata!C986)&lt;=19)))))))))))))</f>
        <v>0</v>
      </c>
      <c r="AD986">
        <f>IF(metadata!D986="",FALSE,TRUE)</f>
        <v>0</v>
      </c>
      <c r="AE986">
        <f>OR(AND(IF(metadata!E986="",FALSE,TRUE),OR(exact(metadata!E986,"missing: not collected"),exact(metadata!E986,"missing: not provided"))),AND(IF(metadata!E986="",FALSE,TRUE),OR(exact(metadata!E986,"TRUE"),exact(metadata!E986,"FALSE"))))</f>
        <v>0</v>
      </c>
      <c r="AF986">
        <f>IF(metadata!F986="",FALSE,TRUE)</f>
        <v>0</v>
      </c>
      <c r="AG986">
        <f>IF(metadata!G986="",FALSE,TRUE)</f>
        <v>0</v>
      </c>
      <c r="AH986">
        <f>IF(metadata!H986="",FALSE,TRUE)</f>
        <v>0</v>
      </c>
      <c r="AI986">
        <f>OR(AND(IF(metadata!I986="",FALSE,TRUE),OR(exact(metadata!I986,"missing: not collected"),exact(metadata!I986,"missing: not provided"),exact(metadata!I986,"missing: restricted access"))),AND(IF(metadata!I986="",FALSE,TRUE),OR(exact(metadata!I986,"air"),exact(metadata!I986,"built environment"),exact(metadata!I986,"host-associated"),exact(metadata!I986,"human-associated"),exact(metadata!I986,"human-skin"),exact(metadata!I986,"human-oral"),exact(metadata!I986,"human-gut"),exact(metadata!I986,"human-vaginal"),exact(metadata!I986,"microbial mat/biofilm"),exact(metadata!I986,"misc environment"),exact(metadata!I986,"plant-associated"),exact(metadata!I986,"sediment"),exact(metadata!I986,"soil"),exact(metadata!I986,"wastewater/sludge"),exact(metadata!I986,"water"))))</f>
        <v>0</v>
      </c>
      <c r="AJ986">
        <f>IF(metadata!J986="",FALSE,TRUE)</f>
        <v>0</v>
      </c>
      <c r="AK986">
        <f>OR(AND(IF(metadata!K986="",FALSE,TRUE),OR(exact(metadata!K986,"missing: not collected"),exact(metadata!K986,"missing: not provided"),exact(metadata!K986,"missing: restricted access"))),AND(IF(metadata!K986="",FALSE,ISNUMBER(VALUE(metadata!K986))),metadata!K986&gt;=-90.00,metadata!K986&lt;=90.00))</f>
        <v>0</v>
      </c>
      <c r="AL986">
        <f>OR(AND(IF(metadata!L986="",FALSE,TRUE),OR(exact(metadata!L986,"missing: not collected"),exact(metadata!L986,"missing: not provided"),exact(metadata!L986,"missing: restricted access"))),AND(IF(metadata!L986="",FALSE,ISNUMBER(VALUE(metadata!L986))),metadata!L986&gt;=-180.00,metadata!L986&lt;=180.00))</f>
        <v>0</v>
      </c>
      <c r="AM986">
        <f>IF(metadata!M986="",FALSE,TRUE)</f>
        <v>0</v>
      </c>
      <c r="AN986">
        <f>OR(AND(IF(metadata!N986="",FALSE,TRUE),OR(exact(metadata!N986,"missing: not collected"),exact(metadata!N986,"missing: not provided"),exact(metadata!N986,"missing: restricted access"))),AND(IF(metadata!N986="",FALSE,TRUE),OR(exact(metadata!N986,"TRUE"),exact(metadata!N986,"FALSE"))))</f>
        <v>0</v>
      </c>
      <c r="AO986">
        <f>IF(metadata!O986="",FALSE,TRUE)</f>
        <v>0</v>
      </c>
      <c r="AP986">
        <f>OR(AND(IF(metadata!P986="",FALSE,TRUE),OR(exact(metadata!P986,"missing: not collected"),exact(metadata!P986,"missing: not provided"))),AND(IF(metadata!P986="",FALSE,IF(ISERROR(INT(metadata!P986)),FALSE,INT(metadata!P986)=metadata!P986)),metadata!P986&gt;0))</f>
        <v>0</v>
      </c>
      <c r="AQ986">
        <f>IF(metadata!Q986="",FALSE,TRUE)</f>
        <v>0</v>
      </c>
    </row>
    <row r="987" spans="1:43">
      <c r="A987" s="5">
        <f>IF(B987=" "," ",HYPERLINK(CONCATENATE("#metadata!",ADDRESS(INDEX($W$2:$W$1001,MATCH(ROWS($U$2:U987),$U$2:$U$1001,0),0),1)),INDEX($Z$2:$Z$1001,MATCH(ROWS($U$2:U987),$U$2:$U$1001,0),0)))</f>
        <v>0</v>
      </c>
      <c r="B987" s="4">
        <f>IF(OR(INDEX($V$2:$V$1001,MATCH(ROWS($U$2:U987),$U$2:$U$1001,0),1)&gt;=100000,INDEX($AB$1005:$AQ$1005,1,MATCH(COLUMNS($AB$1006:AB1006),$AB$1006:$AQ$1006,0))&gt;=100000), " ",IF(INDEX($AB$2:$AQ$1001,MATCH(ROWS($U$2:U987),$U$2:$U$1001,0),MATCH(COLUMNS($AB$1006:AB1006),$AB$1006:$AQ$1006,0)), HYPERLINK("#",""), HYPERLINK(CONCATENATE("#metadata!", ADDRESS(INDEX($W$2:$W$1001,MATCH(ROWS($U$2:U987),$U$2:$U$1001,0),0), INDEX($AB$1004:$AQ$1004,1,MATCH(COLUMNS($AB$1006:AB1006),$AB$1006:$AQ$1006,0)))),"Fix")))</f>
        <v>0</v>
      </c>
      <c r="C987" s="4">
        <f>IF(OR(INDEX($V$2:$V$1001,MATCH(ROWS($U$2:U987),$U$2:$U$1001,0),1)&gt;=100000,INDEX($AB$1005:$AQ$1005,1,MATCH(COLUMNS($AB$1006:AC1006),$AB$1006:$AQ$1006,0))&gt;=100000), " ",IF(INDEX($AB$2:$AQ$1001,MATCH(ROWS($U$2:U987),$U$2:$U$1001,0),MATCH(COLUMNS($AB$1006:AC1006),$AB$1006:$AQ$1006,0)), HYPERLINK("#",""), HYPERLINK(CONCATENATE("#metadata!", ADDRESS(INDEX($W$2:$W$1001,MATCH(ROWS($U$2:U987),$U$2:$U$1001,0),0), INDEX($AB$1004:$AQ$1004,1,MATCH(COLUMNS($AB$1006:AC1006),$AB$1006:$AQ$1006,0)))),"Fix")))</f>
        <v>0</v>
      </c>
      <c r="D987" s="4">
        <f>IF(OR(INDEX($V$2:$V$1001,MATCH(ROWS($U$2:U987),$U$2:$U$1001,0),1)&gt;=100000,INDEX($AB$1005:$AQ$1005,1,MATCH(COLUMNS($AB$1006:AD1006),$AB$1006:$AQ$1006,0))&gt;=100000), " ",IF(INDEX($AB$2:$AQ$1001,MATCH(ROWS($U$2:U987),$U$2:$U$1001,0),MATCH(COLUMNS($AB$1006:AD1006),$AB$1006:$AQ$1006,0)), HYPERLINK("#",""), HYPERLINK(CONCATENATE("#metadata!", ADDRESS(INDEX($W$2:$W$1001,MATCH(ROWS($U$2:U987),$U$2:$U$1001,0),0), INDEX($AB$1004:$AQ$1004,1,MATCH(COLUMNS($AB$1006:AD1006),$AB$1006:$AQ$1006,0)))),"Fix")))</f>
        <v>0</v>
      </c>
      <c r="E987" s="4">
        <f>IF(OR(INDEX($V$2:$V$1001,MATCH(ROWS($U$2:U987),$U$2:$U$1001,0),1)&gt;=100000,INDEX($AB$1005:$AQ$1005,1,MATCH(COLUMNS($AB$1006:AE1006),$AB$1006:$AQ$1006,0))&gt;=100000), " ",IF(INDEX($AB$2:$AQ$1001,MATCH(ROWS($U$2:U987),$U$2:$U$1001,0),MATCH(COLUMNS($AB$1006:AE1006),$AB$1006:$AQ$1006,0)), HYPERLINK("#",""), HYPERLINK(CONCATENATE("#metadata!", ADDRESS(INDEX($W$2:$W$1001,MATCH(ROWS($U$2:U987),$U$2:$U$1001,0),0), INDEX($AB$1004:$AQ$1004,1,MATCH(COLUMNS($AB$1006:AE1006),$AB$1006:$AQ$1006,0)))),"Fix")))</f>
        <v>0</v>
      </c>
      <c r="F987" s="4">
        <f>IF(OR(INDEX($V$2:$V$1001,MATCH(ROWS($U$2:U987),$U$2:$U$1001,0),1)&gt;=100000,INDEX($AB$1005:$AQ$1005,1,MATCH(COLUMNS($AB$1006:AF1006),$AB$1006:$AQ$1006,0))&gt;=100000), " ",IF(INDEX($AB$2:$AQ$1001,MATCH(ROWS($U$2:U987),$U$2:$U$1001,0),MATCH(COLUMNS($AB$1006:AF1006),$AB$1006:$AQ$1006,0)), HYPERLINK("#",""), HYPERLINK(CONCATENATE("#metadata!", ADDRESS(INDEX($W$2:$W$1001,MATCH(ROWS($U$2:U987),$U$2:$U$1001,0),0), INDEX($AB$1004:$AQ$1004,1,MATCH(COLUMNS($AB$1006:AF1006),$AB$1006:$AQ$1006,0)))),"Fix")))</f>
        <v>0</v>
      </c>
      <c r="G987" s="4">
        <f>IF(OR(INDEX($V$2:$V$1001,MATCH(ROWS($U$2:U987),$U$2:$U$1001,0),1)&gt;=100000,INDEX($AB$1005:$AQ$1005,1,MATCH(COLUMNS($AB$1006:AG1006),$AB$1006:$AQ$1006,0))&gt;=100000), " ",IF(INDEX($AB$2:$AQ$1001,MATCH(ROWS($U$2:U987),$U$2:$U$1001,0),MATCH(COLUMNS($AB$1006:AG1006),$AB$1006:$AQ$1006,0)), HYPERLINK("#",""), HYPERLINK(CONCATENATE("#metadata!", ADDRESS(INDEX($W$2:$W$1001,MATCH(ROWS($U$2:U987),$U$2:$U$1001,0),0), INDEX($AB$1004:$AQ$1004,1,MATCH(COLUMNS($AB$1006:AG1006),$AB$1006:$AQ$1006,0)))),"Fix")))</f>
        <v>0</v>
      </c>
      <c r="H987" s="4">
        <f>IF(OR(INDEX($V$2:$V$1001,MATCH(ROWS($U$2:U987),$U$2:$U$1001,0),1)&gt;=100000,INDEX($AB$1005:$AQ$1005,1,MATCH(COLUMNS($AB$1006:AH1006),$AB$1006:$AQ$1006,0))&gt;=100000), " ",IF(INDEX($AB$2:$AQ$1001,MATCH(ROWS($U$2:U987),$U$2:$U$1001,0),MATCH(COLUMNS($AB$1006:AH1006),$AB$1006:$AQ$1006,0)), HYPERLINK("#",""), HYPERLINK(CONCATENATE("#metadata!", ADDRESS(INDEX($W$2:$W$1001,MATCH(ROWS($U$2:U987),$U$2:$U$1001,0),0), INDEX($AB$1004:$AQ$1004,1,MATCH(COLUMNS($AB$1006:AH1006),$AB$1006:$AQ$1006,0)))),"Fix")))</f>
        <v>0</v>
      </c>
      <c r="I987" s="4">
        <f>IF(OR(INDEX($V$2:$V$1001,MATCH(ROWS($U$2:U987),$U$2:$U$1001,0),1)&gt;=100000,INDEX($AB$1005:$AQ$1005,1,MATCH(COLUMNS($AB$1006:AI1006),$AB$1006:$AQ$1006,0))&gt;=100000), " ",IF(INDEX($AB$2:$AQ$1001,MATCH(ROWS($U$2:U987),$U$2:$U$1001,0),MATCH(COLUMNS($AB$1006:AI1006),$AB$1006:$AQ$1006,0)), HYPERLINK("#",""), HYPERLINK(CONCATENATE("#metadata!", ADDRESS(INDEX($W$2:$W$1001,MATCH(ROWS($U$2:U987),$U$2:$U$1001,0),0), INDEX($AB$1004:$AQ$1004,1,MATCH(COLUMNS($AB$1006:AI1006),$AB$1006:$AQ$1006,0)))),"Fix")))</f>
        <v>0</v>
      </c>
      <c r="J987" s="4">
        <f>IF(OR(INDEX($V$2:$V$1001,MATCH(ROWS($U$2:U987),$U$2:$U$1001,0),1)&gt;=100000,INDEX($AB$1005:$AQ$1005,1,MATCH(COLUMNS($AB$1006:AJ1006),$AB$1006:$AQ$1006,0))&gt;=100000), " ",IF(INDEX($AB$2:$AQ$1001,MATCH(ROWS($U$2:U987),$U$2:$U$1001,0),MATCH(COLUMNS($AB$1006:AJ1006),$AB$1006:$AQ$1006,0)), HYPERLINK("#",""), HYPERLINK(CONCATENATE("#metadata!", ADDRESS(INDEX($W$2:$W$1001,MATCH(ROWS($U$2:U987),$U$2:$U$1001,0),0), INDEX($AB$1004:$AQ$1004,1,MATCH(COLUMNS($AB$1006:AJ1006),$AB$1006:$AQ$1006,0)))),"Fix")))</f>
        <v>0</v>
      </c>
      <c r="K987" s="4">
        <f>IF(OR(INDEX($V$2:$V$1001,MATCH(ROWS($U$2:U987),$U$2:$U$1001,0),1)&gt;=100000,INDEX($AB$1005:$AQ$1005,1,MATCH(COLUMNS($AB$1006:AK1006),$AB$1006:$AQ$1006,0))&gt;=100000), " ",IF(INDEX($AB$2:$AQ$1001,MATCH(ROWS($U$2:U987),$U$2:$U$1001,0),MATCH(COLUMNS($AB$1006:AK1006),$AB$1006:$AQ$1006,0)), HYPERLINK("#",""), HYPERLINK(CONCATENATE("#metadata!", ADDRESS(INDEX($W$2:$W$1001,MATCH(ROWS($U$2:U987),$U$2:$U$1001,0),0), INDEX($AB$1004:$AQ$1004,1,MATCH(COLUMNS($AB$1006:AK1006),$AB$1006:$AQ$1006,0)))),"Fix")))</f>
        <v>0</v>
      </c>
      <c r="L987" s="4">
        <f>IF(OR(INDEX($V$2:$V$1001,MATCH(ROWS($U$2:U987),$U$2:$U$1001,0),1)&gt;=100000,INDEX($AB$1005:$AQ$1005,1,MATCH(COLUMNS($AB$1006:AL1006),$AB$1006:$AQ$1006,0))&gt;=100000), " ",IF(INDEX($AB$2:$AQ$1001,MATCH(ROWS($U$2:U987),$U$2:$U$1001,0),MATCH(COLUMNS($AB$1006:AL1006),$AB$1006:$AQ$1006,0)), HYPERLINK("#",""), HYPERLINK(CONCATENATE("#metadata!", ADDRESS(INDEX($W$2:$W$1001,MATCH(ROWS($U$2:U987),$U$2:$U$1001,0),0), INDEX($AB$1004:$AQ$1004,1,MATCH(COLUMNS($AB$1006:AL1006),$AB$1006:$AQ$1006,0)))),"Fix")))</f>
        <v>0</v>
      </c>
      <c r="M987" s="4">
        <f>IF(OR(INDEX($V$2:$V$1001,MATCH(ROWS($U$2:U987),$U$2:$U$1001,0),1)&gt;=100000,INDEX($AB$1005:$AQ$1005,1,MATCH(COLUMNS($AB$1006:AM1006),$AB$1006:$AQ$1006,0))&gt;=100000), " ",IF(INDEX($AB$2:$AQ$1001,MATCH(ROWS($U$2:U987),$U$2:$U$1001,0),MATCH(COLUMNS($AB$1006:AM1006),$AB$1006:$AQ$1006,0)), HYPERLINK("#",""), HYPERLINK(CONCATENATE("#metadata!", ADDRESS(INDEX($W$2:$W$1001,MATCH(ROWS($U$2:U987),$U$2:$U$1001,0),0), INDEX($AB$1004:$AQ$1004,1,MATCH(COLUMNS($AB$1006:AM1006),$AB$1006:$AQ$1006,0)))),"Fix")))</f>
        <v>0</v>
      </c>
      <c r="N987" s="4">
        <f>IF(OR(INDEX($V$2:$V$1001,MATCH(ROWS($U$2:U987),$U$2:$U$1001,0),1)&gt;=100000,INDEX($AB$1005:$AQ$1005,1,MATCH(COLUMNS($AB$1006:AN1006),$AB$1006:$AQ$1006,0))&gt;=100000), " ",IF(INDEX($AB$2:$AQ$1001,MATCH(ROWS($U$2:U987),$U$2:$U$1001,0),MATCH(COLUMNS($AB$1006:AN1006),$AB$1006:$AQ$1006,0)), HYPERLINK("#",""), HYPERLINK(CONCATENATE("#metadata!", ADDRESS(INDEX($W$2:$W$1001,MATCH(ROWS($U$2:U987),$U$2:$U$1001,0),0), INDEX($AB$1004:$AQ$1004,1,MATCH(COLUMNS($AB$1006:AN1006),$AB$1006:$AQ$1006,0)))),"Fix")))</f>
        <v>0</v>
      </c>
      <c r="O987" s="4">
        <f>IF(OR(INDEX($V$2:$V$1001,MATCH(ROWS($U$2:U987),$U$2:$U$1001,0),1)&gt;=100000,INDEX($AB$1005:$AQ$1005,1,MATCH(COLUMNS($AB$1006:AO1006),$AB$1006:$AQ$1006,0))&gt;=100000), " ",IF(INDEX($AB$2:$AQ$1001,MATCH(ROWS($U$2:U987),$U$2:$U$1001,0),MATCH(COLUMNS($AB$1006:AO1006),$AB$1006:$AQ$1006,0)), HYPERLINK("#",""), HYPERLINK(CONCATENATE("#metadata!", ADDRESS(INDEX($W$2:$W$1001,MATCH(ROWS($U$2:U987),$U$2:$U$1001,0),0), INDEX($AB$1004:$AQ$1004,1,MATCH(COLUMNS($AB$1006:AO1006),$AB$1006:$AQ$1006,0)))),"Fix")))</f>
        <v>0</v>
      </c>
      <c r="P987" s="4">
        <f>IF(OR(INDEX($V$2:$V$1001,MATCH(ROWS($U$2:U987),$U$2:$U$1001,0),1)&gt;=100000,INDEX($AB$1005:$AQ$1005,1,MATCH(COLUMNS($AB$1006:AP1006),$AB$1006:$AQ$1006,0))&gt;=100000), " ",IF(INDEX($AB$2:$AQ$1001,MATCH(ROWS($U$2:U987),$U$2:$U$1001,0),MATCH(COLUMNS($AB$1006:AP1006),$AB$1006:$AQ$1006,0)), HYPERLINK("#",""), HYPERLINK(CONCATENATE("#metadata!", ADDRESS(INDEX($W$2:$W$1001,MATCH(ROWS($U$2:U987),$U$2:$U$1001,0),0), INDEX($AB$1004:$AQ$1004,1,MATCH(COLUMNS($AB$1006:AP1006),$AB$1006:$AQ$1006,0)))),"Fix")))</f>
        <v>0</v>
      </c>
      <c r="Q987" s="4">
        <f>IF(OR(INDEX($V$2:$V$1001,MATCH(ROWS($U$2:U987),$U$2:$U$1001,0),1)&gt;=100000,INDEX($AB$1005:$AQ$1005,1,MATCH(COLUMNS($AB$1006:AQ1006),$AB$1006:$AQ$1006,0))&gt;=100000), " ",IF(INDEX($AB$2:$AQ$1001,MATCH(ROWS($U$2:U987),$U$2:$U$1001,0),MATCH(COLUMNS($AB$1006:AQ1006),$AB$1006:$AQ$1006,0)), HYPERLINK("#",""), HYPERLINK(CONCATENATE("#metadata!", ADDRESS(INDEX($W$2:$W$1001,MATCH(ROWS($U$2:U987),$U$2:$U$1001,0),0), INDEX($AB$1004:$AQ$1004,1,MATCH(COLUMNS($AB$1006:AQ1006),$AB$1006:$AQ$1006,0)))),"Fix")))</f>
        <v>0</v>
      </c>
      <c r="U987">
        <v>0</v>
      </c>
      <c r="V987">
        <v>0</v>
      </c>
      <c r="W987">
        <v>0</v>
      </c>
      <c r="X987">
        <f>IF(Y987,TRUE,AND(AB987:AQ987))</f>
        <v>0</v>
      </c>
      <c r="Y987">
        <f>COUNTBLANK(metadata!B987:Q987)=COLUMNS(metadata!B987:Q987)</f>
        <v>0</v>
      </c>
      <c r="Z987">
        <v>0</v>
      </c>
      <c r="AB987">
        <f>AND(IF(metadata!B987="",FALSE,TRUE),COUNTIF(metadata!B:B, metadata!B987) = 1,NOT(ISERROR(SUMPRODUCT(SEARCH(MID(metadata!B987,ROW(INDIRECT("1:"&amp;LEN(metadata!B987))), 1),"0123456789abcdefghijklmnopqrstuvwxyzABCDEFGHIJKLMNOPQRSTUVWXYZ.")))))</f>
        <v>0</v>
      </c>
      <c r="AC987">
        <f>OR(AND(IF(metadata!C987="",FALSE,TRUE),OR(exact(metadata!C987,"missing: not collected"),exact(metadata!C987,"missing: not provided"),exact(metadata!C987,"missing: restricted access"))),AND(IF(metadata!C987="",FALSE,TRUE),AND(AND(IFERROR(INT(LEFT(metadata!C987,4))&gt;1900,FALSE),IFERROR(INT(LEFT(metadata!C987,4))&lt;=YEAR(NOW()),FALSE)), OR(MID(metadata!C987,5,1)="", AND(AND(MID(metadata!C987,5,1)="-",IFERROR(INT(MID(metadata!C987,6,1))&gt;=0,FALSE),IFERROR(INT(MID(metadata!C987,6,1))&lt;=1,FALSE),NOT(MID(metadata!C987,7,1)=""),IFERROR(INT(MID(metadata!C987,6,2))&gt;=1,FALSE),IFERROR(INT(MID(metadata!C987,6,2))&lt;=12,FALSE)), OR(MID(metadata!C987,8,1)="", AND(AND(MID(metadata!C987,8,1)="-",IFERROR(INT(MID(metadata!C987,9,1))&gt;=0,FALSE),IFERROR(INT(MID(metadata!C987,9,1))&lt;=3,FALSE),NOT(MID(metadata!C987,10,1)=""),IFERROR(INT(MID(metadata!C987,9,2))&gt;=1,FALSE),IFERROR(INT(MID(metadata!C987,9,2))&lt;=31,FALSE)), OR(MID(metadata!C987,11,1)="", AND(AND(MID(metadata!C987,11,1)=" ",IFERROR(INT(MID(metadata!C987,12,1))&gt;=0,FALSE),IFERROR(INT(MID(metadata!C987,12,1))&lt;=2,FALSE),NOT(MID(metadata!C987,13,1)=""),IFERROR(INT(MID(metadata!C987,12,2))&gt;=0,FALSE),IFERROR(INT(MID(metadata!C987,12,2))&lt;=23,FALSE)), OR(MID(metadata!C987,14,1)="", AND(AND(MID(metadata!C987,14,1)=":",IFERROR(INT(MID(metadata!C987,15,1))&gt;=0,FALSE),IFERROR(INT(MID(metadata!C987,15,1))&lt;=5,FALSE),NOT(MID(metadata!C987,16,1)=""),IFERROR(INT(MID(metadata!C987,15,2))&gt;=0,FALSE),IFERROR(INT(MID(metadata!C987,15,2))&lt;=59,FALSE)), OR(MID(metadata!C987,17,1)="", AND(AND(MID(metadata!C987,17,1)=":",IFERROR(INT(MID(metadata!C987,18,1))&gt;=0,FALSE),IFERROR(INT(MID(metadata!C987,18,1))&lt;=5,FALSE),NOT(MID(metadata!C987,19,1)=""),IFERROR(INT(MID(metadata!C987,18,2))&gt;=0,FALSE),IFERROR(INT(MID(metadata!C987,18,2))&lt;=59,FALSE)), LEN(metadata!C987)&lt;=19)))))))))))))</f>
        <v>0</v>
      </c>
      <c r="AD987">
        <f>IF(metadata!D987="",FALSE,TRUE)</f>
        <v>0</v>
      </c>
      <c r="AE987">
        <f>OR(AND(IF(metadata!E987="",FALSE,TRUE),OR(exact(metadata!E987,"missing: not collected"),exact(metadata!E987,"missing: not provided"))),AND(IF(metadata!E987="",FALSE,TRUE),OR(exact(metadata!E987,"TRUE"),exact(metadata!E987,"FALSE"))))</f>
        <v>0</v>
      </c>
      <c r="AF987">
        <f>IF(metadata!F987="",FALSE,TRUE)</f>
        <v>0</v>
      </c>
      <c r="AG987">
        <f>IF(metadata!G987="",FALSE,TRUE)</f>
        <v>0</v>
      </c>
      <c r="AH987">
        <f>IF(metadata!H987="",FALSE,TRUE)</f>
        <v>0</v>
      </c>
      <c r="AI987">
        <f>OR(AND(IF(metadata!I987="",FALSE,TRUE),OR(exact(metadata!I987,"missing: not collected"),exact(metadata!I987,"missing: not provided"),exact(metadata!I987,"missing: restricted access"))),AND(IF(metadata!I987="",FALSE,TRUE),OR(exact(metadata!I987,"air"),exact(metadata!I987,"built environment"),exact(metadata!I987,"host-associated"),exact(metadata!I987,"human-associated"),exact(metadata!I987,"human-skin"),exact(metadata!I987,"human-oral"),exact(metadata!I987,"human-gut"),exact(metadata!I987,"human-vaginal"),exact(metadata!I987,"microbial mat/biofilm"),exact(metadata!I987,"misc environment"),exact(metadata!I987,"plant-associated"),exact(metadata!I987,"sediment"),exact(metadata!I987,"soil"),exact(metadata!I987,"wastewater/sludge"),exact(metadata!I987,"water"))))</f>
        <v>0</v>
      </c>
      <c r="AJ987">
        <f>IF(metadata!J987="",FALSE,TRUE)</f>
        <v>0</v>
      </c>
      <c r="AK987">
        <f>OR(AND(IF(metadata!K987="",FALSE,TRUE),OR(exact(metadata!K987,"missing: not collected"),exact(metadata!K987,"missing: not provided"),exact(metadata!K987,"missing: restricted access"))),AND(IF(metadata!K987="",FALSE,ISNUMBER(VALUE(metadata!K987))),metadata!K987&gt;=-90.00,metadata!K987&lt;=90.00))</f>
        <v>0</v>
      </c>
      <c r="AL987">
        <f>OR(AND(IF(metadata!L987="",FALSE,TRUE),OR(exact(metadata!L987,"missing: not collected"),exact(metadata!L987,"missing: not provided"),exact(metadata!L987,"missing: restricted access"))),AND(IF(metadata!L987="",FALSE,ISNUMBER(VALUE(metadata!L987))),metadata!L987&gt;=-180.00,metadata!L987&lt;=180.00))</f>
        <v>0</v>
      </c>
      <c r="AM987">
        <f>IF(metadata!M987="",FALSE,TRUE)</f>
        <v>0</v>
      </c>
      <c r="AN987">
        <f>OR(AND(IF(metadata!N987="",FALSE,TRUE),OR(exact(metadata!N987,"missing: not collected"),exact(metadata!N987,"missing: not provided"),exact(metadata!N987,"missing: restricted access"))),AND(IF(metadata!N987="",FALSE,TRUE),OR(exact(metadata!N987,"TRUE"),exact(metadata!N987,"FALSE"))))</f>
        <v>0</v>
      </c>
      <c r="AO987">
        <f>IF(metadata!O987="",FALSE,TRUE)</f>
        <v>0</v>
      </c>
      <c r="AP987">
        <f>OR(AND(IF(metadata!P987="",FALSE,TRUE),OR(exact(metadata!P987,"missing: not collected"),exact(metadata!P987,"missing: not provided"))),AND(IF(metadata!P987="",FALSE,IF(ISERROR(INT(metadata!P987)),FALSE,INT(metadata!P987)=metadata!P987)),metadata!P987&gt;0))</f>
        <v>0</v>
      </c>
      <c r="AQ987">
        <f>IF(metadata!Q987="",FALSE,TRUE)</f>
        <v>0</v>
      </c>
    </row>
    <row r="988" spans="1:43">
      <c r="A988" s="5">
        <f>IF(B988=" "," ",HYPERLINK(CONCATENATE("#metadata!",ADDRESS(INDEX($W$2:$W$1001,MATCH(ROWS($U$2:U988),$U$2:$U$1001,0),0),1)),INDEX($Z$2:$Z$1001,MATCH(ROWS($U$2:U988),$U$2:$U$1001,0),0)))</f>
        <v>0</v>
      </c>
      <c r="B988" s="4">
        <f>IF(OR(INDEX($V$2:$V$1001,MATCH(ROWS($U$2:U988),$U$2:$U$1001,0),1)&gt;=100000,INDEX($AB$1005:$AQ$1005,1,MATCH(COLUMNS($AB$1006:AB1006),$AB$1006:$AQ$1006,0))&gt;=100000), " ",IF(INDEX($AB$2:$AQ$1001,MATCH(ROWS($U$2:U988),$U$2:$U$1001,0),MATCH(COLUMNS($AB$1006:AB1006),$AB$1006:$AQ$1006,0)), HYPERLINK("#",""), HYPERLINK(CONCATENATE("#metadata!", ADDRESS(INDEX($W$2:$W$1001,MATCH(ROWS($U$2:U988),$U$2:$U$1001,0),0), INDEX($AB$1004:$AQ$1004,1,MATCH(COLUMNS($AB$1006:AB1006),$AB$1006:$AQ$1006,0)))),"Fix")))</f>
        <v>0</v>
      </c>
      <c r="C988" s="4">
        <f>IF(OR(INDEX($V$2:$V$1001,MATCH(ROWS($U$2:U988),$U$2:$U$1001,0),1)&gt;=100000,INDEX($AB$1005:$AQ$1005,1,MATCH(COLUMNS($AB$1006:AC1006),$AB$1006:$AQ$1006,0))&gt;=100000), " ",IF(INDEX($AB$2:$AQ$1001,MATCH(ROWS($U$2:U988),$U$2:$U$1001,0),MATCH(COLUMNS($AB$1006:AC1006),$AB$1006:$AQ$1006,0)), HYPERLINK("#",""), HYPERLINK(CONCATENATE("#metadata!", ADDRESS(INDEX($W$2:$W$1001,MATCH(ROWS($U$2:U988),$U$2:$U$1001,0),0), INDEX($AB$1004:$AQ$1004,1,MATCH(COLUMNS($AB$1006:AC1006),$AB$1006:$AQ$1006,0)))),"Fix")))</f>
        <v>0</v>
      </c>
      <c r="D988" s="4">
        <f>IF(OR(INDEX($V$2:$V$1001,MATCH(ROWS($U$2:U988),$U$2:$U$1001,0),1)&gt;=100000,INDEX($AB$1005:$AQ$1005,1,MATCH(COLUMNS($AB$1006:AD1006),$AB$1006:$AQ$1006,0))&gt;=100000), " ",IF(INDEX($AB$2:$AQ$1001,MATCH(ROWS($U$2:U988),$U$2:$U$1001,0),MATCH(COLUMNS($AB$1006:AD1006),$AB$1006:$AQ$1006,0)), HYPERLINK("#",""), HYPERLINK(CONCATENATE("#metadata!", ADDRESS(INDEX($W$2:$W$1001,MATCH(ROWS($U$2:U988),$U$2:$U$1001,0),0), INDEX($AB$1004:$AQ$1004,1,MATCH(COLUMNS($AB$1006:AD1006),$AB$1006:$AQ$1006,0)))),"Fix")))</f>
        <v>0</v>
      </c>
      <c r="E988" s="4">
        <f>IF(OR(INDEX($V$2:$V$1001,MATCH(ROWS($U$2:U988),$U$2:$U$1001,0),1)&gt;=100000,INDEX($AB$1005:$AQ$1005,1,MATCH(COLUMNS($AB$1006:AE1006),$AB$1006:$AQ$1006,0))&gt;=100000), " ",IF(INDEX($AB$2:$AQ$1001,MATCH(ROWS($U$2:U988),$U$2:$U$1001,0),MATCH(COLUMNS($AB$1006:AE1006),$AB$1006:$AQ$1006,0)), HYPERLINK("#",""), HYPERLINK(CONCATENATE("#metadata!", ADDRESS(INDEX($W$2:$W$1001,MATCH(ROWS($U$2:U988),$U$2:$U$1001,0),0), INDEX($AB$1004:$AQ$1004,1,MATCH(COLUMNS($AB$1006:AE1006),$AB$1006:$AQ$1006,0)))),"Fix")))</f>
        <v>0</v>
      </c>
      <c r="F988" s="4">
        <f>IF(OR(INDEX($V$2:$V$1001,MATCH(ROWS($U$2:U988),$U$2:$U$1001,0),1)&gt;=100000,INDEX($AB$1005:$AQ$1005,1,MATCH(COLUMNS($AB$1006:AF1006),$AB$1006:$AQ$1006,0))&gt;=100000), " ",IF(INDEX($AB$2:$AQ$1001,MATCH(ROWS($U$2:U988),$U$2:$U$1001,0),MATCH(COLUMNS($AB$1006:AF1006),$AB$1006:$AQ$1006,0)), HYPERLINK("#",""), HYPERLINK(CONCATENATE("#metadata!", ADDRESS(INDEX($W$2:$W$1001,MATCH(ROWS($U$2:U988),$U$2:$U$1001,0),0), INDEX($AB$1004:$AQ$1004,1,MATCH(COLUMNS($AB$1006:AF1006),$AB$1006:$AQ$1006,0)))),"Fix")))</f>
        <v>0</v>
      </c>
      <c r="G988" s="4">
        <f>IF(OR(INDEX($V$2:$V$1001,MATCH(ROWS($U$2:U988),$U$2:$U$1001,0),1)&gt;=100000,INDEX($AB$1005:$AQ$1005,1,MATCH(COLUMNS($AB$1006:AG1006),$AB$1006:$AQ$1006,0))&gt;=100000), " ",IF(INDEX($AB$2:$AQ$1001,MATCH(ROWS($U$2:U988),$U$2:$U$1001,0),MATCH(COLUMNS($AB$1006:AG1006),$AB$1006:$AQ$1006,0)), HYPERLINK("#",""), HYPERLINK(CONCATENATE("#metadata!", ADDRESS(INDEX($W$2:$W$1001,MATCH(ROWS($U$2:U988),$U$2:$U$1001,0),0), INDEX($AB$1004:$AQ$1004,1,MATCH(COLUMNS($AB$1006:AG1006),$AB$1006:$AQ$1006,0)))),"Fix")))</f>
        <v>0</v>
      </c>
      <c r="H988" s="4">
        <f>IF(OR(INDEX($V$2:$V$1001,MATCH(ROWS($U$2:U988),$U$2:$U$1001,0),1)&gt;=100000,INDEX($AB$1005:$AQ$1005,1,MATCH(COLUMNS($AB$1006:AH1006),$AB$1006:$AQ$1006,0))&gt;=100000), " ",IF(INDEX($AB$2:$AQ$1001,MATCH(ROWS($U$2:U988),$U$2:$U$1001,0),MATCH(COLUMNS($AB$1006:AH1006),$AB$1006:$AQ$1006,0)), HYPERLINK("#",""), HYPERLINK(CONCATENATE("#metadata!", ADDRESS(INDEX($W$2:$W$1001,MATCH(ROWS($U$2:U988),$U$2:$U$1001,0),0), INDEX($AB$1004:$AQ$1004,1,MATCH(COLUMNS($AB$1006:AH1006),$AB$1006:$AQ$1006,0)))),"Fix")))</f>
        <v>0</v>
      </c>
      <c r="I988" s="4">
        <f>IF(OR(INDEX($V$2:$V$1001,MATCH(ROWS($U$2:U988),$U$2:$U$1001,0),1)&gt;=100000,INDEX($AB$1005:$AQ$1005,1,MATCH(COLUMNS($AB$1006:AI1006),$AB$1006:$AQ$1006,0))&gt;=100000), " ",IF(INDEX($AB$2:$AQ$1001,MATCH(ROWS($U$2:U988),$U$2:$U$1001,0),MATCH(COLUMNS($AB$1006:AI1006),$AB$1006:$AQ$1006,0)), HYPERLINK("#",""), HYPERLINK(CONCATENATE("#metadata!", ADDRESS(INDEX($W$2:$W$1001,MATCH(ROWS($U$2:U988),$U$2:$U$1001,0),0), INDEX($AB$1004:$AQ$1004,1,MATCH(COLUMNS($AB$1006:AI1006),$AB$1006:$AQ$1006,0)))),"Fix")))</f>
        <v>0</v>
      </c>
      <c r="J988" s="4">
        <f>IF(OR(INDEX($V$2:$V$1001,MATCH(ROWS($U$2:U988),$U$2:$U$1001,0),1)&gt;=100000,INDEX($AB$1005:$AQ$1005,1,MATCH(COLUMNS($AB$1006:AJ1006),$AB$1006:$AQ$1006,0))&gt;=100000), " ",IF(INDEX($AB$2:$AQ$1001,MATCH(ROWS($U$2:U988),$U$2:$U$1001,0),MATCH(COLUMNS($AB$1006:AJ1006),$AB$1006:$AQ$1006,0)), HYPERLINK("#",""), HYPERLINK(CONCATENATE("#metadata!", ADDRESS(INDEX($W$2:$W$1001,MATCH(ROWS($U$2:U988),$U$2:$U$1001,0),0), INDEX($AB$1004:$AQ$1004,1,MATCH(COLUMNS($AB$1006:AJ1006),$AB$1006:$AQ$1006,0)))),"Fix")))</f>
        <v>0</v>
      </c>
      <c r="K988" s="4">
        <f>IF(OR(INDEX($V$2:$V$1001,MATCH(ROWS($U$2:U988),$U$2:$U$1001,0),1)&gt;=100000,INDEX($AB$1005:$AQ$1005,1,MATCH(COLUMNS($AB$1006:AK1006),$AB$1006:$AQ$1006,0))&gt;=100000), " ",IF(INDEX($AB$2:$AQ$1001,MATCH(ROWS($U$2:U988),$U$2:$U$1001,0),MATCH(COLUMNS($AB$1006:AK1006),$AB$1006:$AQ$1006,0)), HYPERLINK("#",""), HYPERLINK(CONCATENATE("#metadata!", ADDRESS(INDEX($W$2:$W$1001,MATCH(ROWS($U$2:U988),$U$2:$U$1001,0),0), INDEX($AB$1004:$AQ$1004,1,MATCH(COLUMNS($AB$1006:AK1006),$AB$1006:$AQ$1006,0)))),"Fix")))</f>
        <v>0</v>
      </c>
      <c r="L988" s="4">
        <f>IF(OR(INDEX($V$2:$V$1001,MATCH(ROWS($U$2:U988),$U$2:$U$1001,0),1)&gt;=100000,INDEX($AB$1005:$AQ$1005,1,MATCH(COLUMNS($AB$1006:AL1006),$AB$1006:$AQ$1006,0))&gt;=100000), " ",IF(INDEX($AB$2:$AQ$1001,MATCH(ROWS($U$2:U988),$U$2:$U$1001,0),MATCH(COLUMNS($AB$1006:AL1006),$AB$1006:$AQ$1006,0)), HYPERLINK("#",""), HYPERLINK(CONCATENATE("#metadata!", ADDRESS(INDEX($W$2:$W$1001,MATCH(ROWS($U$2:U988),$U$2:$U$1001,0),0), INDEX($AB$1004:$AQ$1004,1,MATCH(COLUMNS($AB$1006:AL1006),$AB$1006:$AQ$1006,0)))),"Fix")))</f>
        <v>0</v>
      </c>
      <c r="M988" s="4">
        <f>IF(OR(INDEX($V$2:$V$1001,MATCH(ROWS($U$2:U988),$U$2:$U$1001,0),1)&gt;=100000,INDEX($AB$1005:$AQ$1005,1,MATCH(COLUMNS($AB$1006:AM1006),$AB$1006:$AQ$1006,0))&gt;=100000), " ",IF(INDEX($AB$2:$AQ$1001,MATCH(ROWS($U$2:U988),$U$2:$U$1001,0),MATCH(COLUMNS($AB$1006:AM1006),$AB$1006:$AQ$1006,0)), HYPERLINK("#",""), HYPERLINK(CONCATENATE("#metadata!", ADDRESS(INDEX($W$2:$W$1001,MATCH(ROWS($U$2:U988),$U$2:$U$1001,0),0), INDEX($AB$1004:$AQ$1004,1,MATCH(COLUMNS($AB$1006:AM1006),$AB$1006:$AQ$1006,0)))),"Fix")))</f>
        <v>0</v>
      </c>
      <c r="N988" s="4">
        <f>IF(OR(INDEX($V$2:$V$1001,MATCH(ROWS($U$2:U988),$U$2:$U$1001,0),1)&gt;=100000,INDEX($AB$1005:$AQ$1005,1,MATCH(COLUMNS($AB$1006:AN1006),$AB$1006:$AQ$1006,0))&gt;=100000), " ",IF(INDEX($AB$2:$AQ$1001,MATCH(ROWS($U$2:U988),$U$2:$U$1001,0),MATCH(COLUMNS($AB$1006:AN1006),$AB$1006:$AQ$1006,0)), HYPERLINK("#",""), HYPERLINK(CONCATENATE("#metadata!", ADDRESS(INDEX($W$2:$W$1001,MATCH(ROWS($U$2:U988),$U$2:$U$1001,0),0), INDEX($AB$1004:$AQ$1004,1,MATCH(COLUMNS($AB$1006:AN1006),$AB$1006:$AQ$1006,0)))),"Fix")))</f>
        <v>0</v>
      </c>
      <c r="O988" s="4">
        <f>IF(OR(INDEX($V$2:$V$1001,MATCH(ROWS($U$2:U988),$U$2:$U$1001,0),1)&gt;=100000,INDEX($AB$1005:$AQ$1005,1,MATCH(COLUMNS($AB$1006:AO1006),$AB$1006:$AQ$1006,0))&gt;=100000), " ",IF(INDEX($AB$2:$AQ$1001,MATCH(ROWS($U$2:U988),$U$2:$U$1001,0),MATCH(COLUMNS($AB$1006:AO1006),$AB$1006:$AQ$1006,0)), HYPERLINK("#",""), HYPERLINK(CONCATENATE("#metadata!", ADDRESS(INDEX($W$2:$W$1001,MATCH(ROWS($U$2:U988),$U$2:$U$1001,0),0), INDEX($AB$1004:$AQ$1004,1,MATCH(COLUMNS($AB$1006:AO1006),$AB$1006:$AQ$1006,0)))),"Fix")))</f>
        <v>0</v>
      </c>
      <c r="P988" s="4">
        <f>IF(OR(INDEX($V$2:$V$1001,MATCH(ROWS($U$2:U988),$U$2:$U$1001,0),1)&gt;=100000,INDEX($AB$1005:$AQ$1005,1,MATCH(COLUMNS($AB$1006:AP1006),$AB$1006:$AQ$1006,0))&gt;=100000), " ",IF(INDEX($AB$2:$AQ$1001,MATCH(ROWS($U$2:U988),$U$2:$U$1001,0),MATCH(COLUMNS($AB$1006:AP1006),$AB$1006:$AQ$1006,0)), HYPERLINK("#",""), HYPERLINK(CONCATENATE("#metadata!", ADDRESS(INDEX($W$2:$W$1001,MATCH(ROWS($U$2:U988),$U$2:$U$1001,0),0), INDEX($AB$1004:$AQ$1004,1,MATCH(COLUMNS($AB$1006:AP1006),$AB$1006:$AQ$1006,0)))),"Fix")))</f>
        <v>0</v>
      </c>
      <c r="Q988" s="4">
        <f>IF(OR(INDEX($V$2:$V$1001,MATCH(ROWS($U$2:U988),$U$2:$U$1001,0),1)&gt;=100000,INDEX($AB$1005:$AQ$1005,1,MATCH(COLUMNS($AB$1006:AQ1006),$AB$1006:$AQ$1006,0))&gt;=100000), " ",IF(INDEX($AB$2:$AQ$1001,MATCH(ROWS($U$2:U988),$U$2:$U$1001,0),MATCH(COLUMNS($AB$1006:AQ1006),$AB$1006:$AQ$1006,0)), HYPERLINK("#",""), HYPERLINK(CONCATENATE("#metadata!", ADDRESS(INDEX($W$2:$W$1001,MATCH(ROWS($U$2:U988),$U$2:$U$1001,0),0), INDEX($AB$1004:$AQ$1004,1,MATCH(COLUMNS($AB$1006:AQ1006),$AB$1006:$AQ$1006,0)))),"Fix")))</f>
        <v>0</v>
      </c>
      <c r="U988">
        <v>0</v>
      </c>
      <c r="V988">
        <v>0</v>
      </c>
      <c r="W988">
        <v>0</v>
      </c>
      <c r="X988">
        <f>IF(Y988,TRUE,AND(AB988:AQ988))</f>
        <v>0</v>
      </c>
      <c r="Y988">
        <f>COUNTBLANK(metadata!B988:Q988)=COLUMNS(metadata!B988:Q988)</f>
        <v>0</v>
      </c>
      <c r="Z988">
        <v>0</v>
      </c>
      <c r="AB988">
        <f>AND(IF(metadata!B988="",FALSE,TRUE),COUNTIF(metadata!B:B, metadata!B988) = 1,NOT(ISERROR(SUMPRODUCT(SEARCH(MID(metadata!B988,ROW(INDIRECT("1:"&amp;LEN(metadata!B988))), 1),"0123456789abcdefghijklmnopqrstuvwxyzABCDEFGHIJKLMNOPQRSTUVWXYZ.")))))</f>
        <v>0</v>
      </c>
      <c r="AC988">
        <f>OR(AND(IF(metadata!C988="",FALSE,TRUE),OR(exact(metadata!C988,"missing: not collected"),exact(metadata!C988,"missing: not provided"),exact(metadata!C988,"missing: restricted access"))),AND(IF(metadata!C988="",FALSE,TRUE),AND(AND(IFERROR(INT(LEFT(metadata!C988,4))&gt;1900,FALSE),IFERROR(INT(LEFT(metadata!C988,4))&lt;=YEAR(NOW()),FALSE)), OR(MID(metadata!C988,5,1)="", AND(AND(MID(metadata!C988,5,1)="-",IFERROR(INT(MID(metadata!C988,6,1))&gt;=0,FALSE),IFERROR(INT(MID(metadata!C988,6,1))&lt;=1,FALSE),NOT(MID(metadata!C988,7,1)=""),IFERROR(INT(MID(metadata!C988,6,2))&gt;=1,FALSE),IFERROR(INT(MID(metadata!C988,6,2))&lt;=12,FALSE)), OR(MID(metadata!C988,8,1)="", AND(AND(MID(metadata!C988,8,1)="-",IFERROR(INT(MID(metadata!C988,9,1))&gt;=0,FALSE),IFERROR(INT(MID(metadata!C988,9,1))&lt;=3,FALSE),NOT(MID(metadata!C988,10,1)=""),IFERROR(INT(MID(metadata!C988,9,2))&gt;=1,FALSE),IFERROR(INT(MID(metadata!C988,9,2))&lt;=31,FALSE)), OR(MID(metadata!C988,11,1)="", AND(AND(MID(metadata!C988,11,1)=" ",IFERROR(INT(MID(metadata!C988,12,1))&gt;=0,FALSE),IFERROR(INT(MID(metadata!C988,12,1))&lt;=2,FALSE),NOT(MID(metadata!C988,13,1)=""),IFERROR(INT(MID(metadata!C988,12,2))&gt;=0,FALSE),IFERROR(INT(MID(metadata!C988,12,2))&lt;=23,FALSE)), OR(MID(metadata!C988,14,1)="", AND(AND(MID(metadata!C988,14,1)=":",IFERROR(INT(MID(metadata!C988,15,1))&gt;=0,FALSE),IFERROR(INT(MID(metadata!C988,15,1))&lt;=5,FALSE),NOT(MID(metadata!C988,16,1)=""),IFERROR(INT(MID(metadata!C988,15,2))&gt;=0,FALSE),IFERROR(INT(MID(metadata!C988,15,2))&lt;=59,FALSE)), OR(MID(metadata!C988,17,1)="", AND(AND(MID(metadata!C988,17,1)=":",IFERROR(INT(MID(metadata!C988,18,1))&gt;=0,FALSE),IFERROR(INT(MID(metadata!C988,18,1))&lt;=5,FALSE),NOT(MID(metadata!C988,19,1)=""),IFERROR(INT(MID(metadata!C988,18,2))&gt;=0,FALSE),IFERROR(INT(MID(metadata!C988,18,2))&lt;=59,FALSE)), LEN(metadata!C988)&lt;=19)))))))))))))</f>
        <v>0</v>
      </c>
      <c r="AD988">
        <f>IF(metadata!D988="",FALSE,TRUE)</f>
        <v>0</v>
      </c>
      <c r="AE988">
        <f>OR(AND(IF(metadata!E988="",FALSE,TRUE),OR(exact(metadata!E988,"missing: not collected"),exact(metadata!E988,"missing: not provided"))),AND(IF(metadata!E988="",FALSE,TRUE),OR(exact(metadata!E988,"TRUE"),exact(metadata!E988,"FALSE"))))</f>
        <v>0</v>
      </c>
      <c r="AF988">
        <f>IF(metadata!F988="",FALSE,TRUE)</f>
        <v>0</v>
      </c>
      <c r="AG988">
        <f>IF(metadata!G988="",FALSE,TRUE)</f>
        <v>0</v>
      </c>
      <c r="AH988">
        <f>IF(metadata!H988="",FALSE,TRUE)</f>
        <v>0</v>
      </c>
      <c r="AI988">
        <f>OR(AND(IF(metadata!I988="",FALSE,TRUE),OR(exact(metadata!I988,"missing: not collected"),exact(metadata!I988,"missing: not provided"),exact(metadata!I988,"missing: restricted access"))),AND(IF(metadata!I988="",FALSE,TRUE),OR(exact(metadata!I988,"air"),exact(metadata!I988,"built environment"),exact(metadata!I988,"host-associated"),exact(metadata!I988,"human-associated"),exact(metadata!I988,"human-skin"),exact(metadata!I988,"human-oral"),exact(metadata!I988,"human-gut"),exact(metadata!I988,"human-vaginal"),exact(metadata!I988,"microbial mat/biofilm"),exact(metadata!I988,"misc environment"),exact(metadata!I988,"plant-associated"),exact(metadata!I988,"sediment"),exact(metadata!I988,"soil"),exact(metadata!I988,"wastewater/sludge"),exact(metadata!I988,"water"))))</f>
        <v>0</v>
      </c>
      <c r="AJ988">
        <f>IF(metadata!J988="",FALSE,TRUE)</f>
        <v>0</v>
      </c>
      <c r="AK988">
        <f>OR(AND(IF(metadata!K988="",FALSE,TRUE),OR(exact(metadata!K988,"missing: not collected"),exact(metadata!K988,"missing: not provided"),exact(metadata!K988,"missing: restricted access"))),AND(IF(metadata!K988="",FALSE,ISNUMBER(VALUE(metadata!K988))),metadata!K988&gt;=-90.00,metadata!K988&lt;=90.00))</f>
        <v>0</v>
      </c>
      <c r="AL988">
        <f>OR(AND(IF(metadata!L988="",FALSE,TRUE),OR(exact(metadata!L988,"missing: not collected"),exact(metadata!L988,"missing: not provided"),exact(metadata!L988,"missing: restricted access"))),AND(IF(metadata!L988="",FALSE,ISNUMBER(VALUE(metadata!L988))),metadata!L988&gt;=-180.00,metadata!L988&lt;=180.00))</f>
        <v>0</v>
      </c>
      <c r="AM988">
        <f>IF(metadata!M988="",FALSE,TRUE)</f>
        <v>0</v>
      </c>
      <c r="AN988">
        <f>OR(AND(IF(metadata!N988="",FALSE,TRUE),OR(exact(metadata!N988,"missing: not collected"),exact(metadata!N988,"missing: not provided"),exact(metadata!N988,"missing: restricted access"))),AND(IF(metadata!N988="",FALSE,TRUE),OR(exact(metadata!N988,"TRUE"),exact(metadata!N988,"FALSE"))))</f>
        <v>0</v>
      </c>
      <c r="AO988">
        <f>IF(metadata!O988="",FALSE,TRUE)</f>
        <v>0</v>
      </c>
      <c r="AP988">
        <f>OR(AND(IF(metadata!P988="",FALSE,TRUE),OR(exact(metadata!P988,"missing: not collected"),exact(metadata!P988,"missing: not provided"))),AND(IF(metadata!P988="",FALSE,IF(ISERROR(INT(metadata!P988)),FALSE,INT(metadata!P988)=metadata!P988)),metadata!P988&gt;0))</f>
        <v>0</v>
      </c>
      <c r="AQ988">
        <f>IF(metadata!Q988="",FALSE,TRUE)</f>
        <v>0</v>
      </c>
    </row>
    <row r="989" spans="1:43">
      <c r="A989" s="5">
        <f>IF(B989=" "," ",HYPERLINK(CONCATENATE("#metadata!",ADDRESS(INDEX($W$2:$W$1001,MATCH(ROWS($U$2:U989),$U$2:$U$1001,0),0),1)),INDEX($Z$2:$Z$1001,MATCH(ROWS($U$2:U989),$U$2:$U$1001,0),0)))</f>
        <v>0</v>
      </c>
      <c r="B989" s="4">
        <f>IF(OR(INDEX($V$2:$V$1001,MATCH(ROWS($U$2:U989),$U$2:$U$1001,0),1)&gt;=100000,INDEX($AB$1005:$AQ$1005,1,MATCH(COLUMNS($AB$1006:AB1006),$AB$1006:$AQ$1006,0))&gt;=100000), " ",IF(INDEX($AB$2:$AQ$1001,MATCH(ROWS($U$2:U989),$U$2:$U$1001,0),MATCH(COLUMNS($AB$1006:AB1006),$AB$1006:$AQ$1006,0)), HYPERLINK("#",""), HYPERLINK(CONCATENATE("#metadata!", ADDRESS(INDEX($W$2:$W$1001,MATCH(ROWS($U$2:U989),$U$2:$U$1001,0),0), INDEX($AB$1004:$AQ$1004,1,MATCH(COLUMNS($AB$1006:AB1006),$AB$1006:$AQ$1006,0)))),"Fix")))</f>
        <v>0</v>
      </c>
      <c r="C989" s="4">
        <f>IF(OR(INDEX($V$2:$V$1001,MATCH(ROWS($U$2:U989),$U$2:$U$1001,0),1)&gt;=100000,INDEX($AB$1005:$AQ$1005,1,MATCH(COLUMNS($AB$1006:AC1006),$AB$1006:$AQ$1006,0))&gt;=100000), " ",IF(INDEX($AB$2:$AQ$1001,MATCH(ROWS($U$2:U989),$U$2:$U$1001,0),MATCH(COLUMNS($AB$1006:AC1006),$AB$1006:$AQ$1006,0)), HYPERLINK("#",""), HYPERLINK(CONCATENATE("#metadata!", ADDRESS(INDEX($W$2:$W$1001,MATCH(ROWS($U$2:U989),$U$2:$U$1001,0),0), INDEX($AB$1004:$AQ$1004,1,MATCH(COLUMNS($AB$1006:AC1006),$AB$1006:$AQ$1006,0)))),"Fix")))</f>
        <v>0</v>
      </c>
      <c r="D989" s="4">
        <f>IF(OR(INDEX($V$2:$V$1001,MATCH(ROWS($U$2:U989),$U$2:$U$1001,0),1)&gt;=100000,INDEX($AB$1005:$AQ$1005,1,MATCH(COLUMNS($AB$1006:AD1006),$AB$1006:$AQ$1006,0))&gt;=100000), " ",IF(INDEX($AB$2:$AQ$1001,MATCH(ROWS($U$2:U989),$U$2:$U$1001,0),MATCH(COLUMNS($AB$1006:AD1006),$AB$1006:$AQ$1006,0)), HYPERLINK("#",""), HYPERLINK(CONCATENATE("#metadata!", ADDRESS(INDEX($W$2:$W$1001,MATCH(ROWS($U$2:U989),$U$2:$U$1001,0),0), INDEX($AB$1004:$AQ$1004,1,MATCH(COLUMNS($AB$1006:AD1006),$AB$1006:$AQ$1006,0)))),"Fix")))</f>
        <v>0</v>
      </c>
      <c r="E989" s="4">
        <f>IF(OR(INDEX($V$2:$V$1001,MATCH(ROWS($U$2:U989),$U$2:$U$1001,0),1)&gt;=100000,INDEX($AB$1005:$AQ$1005,1,MATCH(COLUMNS($AB$1006:AE1006),$AB$1006:$AQ$1006,0))&gt;=100000), " ",IF(INDEX($AB$2:$AQ$1001,MATCH(ROWS($U$2:U989),$U$2:$U$1001,0),MATCH(COLUMNS($AB$1006:AE1006),$AB$1006:$AQ$1006,0)), HYPERLINK("#",""), HYPERLINK(CONCATENATE("#metadata!", ADDRESS(INDEX($W$2:$W$1001,MATCH(ROWS($U$2:U989),$U$2:$U$1001,0),0), INDEX($AB$1004:$AQ$1004,1,MATCH(COLUMNS($AB$1006:AE1006),$AB$1006:$AQ$1006,0)))),"Fix")))</f>
        <v>0</v>
      </c>
      <c r="F989" s="4">
        <f>IF(OR(INDEX($V$2:$V$1001,MATCH(ROWS($U$2:U989),$U$2:$U$1001,0),1)&gt;=100000,INDEX($AB$1005:$AQ$1005,1,MATCH(COLUMNS($AB$1006:AF1006),$AB$1006:$AQ$1006,0))&gt;=100000), " ",IF(INDEX($AB$2:$AQ$1001,MATCH(ROWS($U$2:U989),$U$2:$U$1001,0),MATCH(COLUMNS($AB$1006:AF1006),$AB$1006:$AQ$1006,0)), HYPERLINK("#",""), HYPERLINK(CONCATENATE("#metadata!", ADDRESS(INDEX($W$2:$W$1001,MATCH(ROWS($U$2:U989),$U$2:$U$1001,0),0), INDEX($AB$1004:$AQ$1004,1,MATCH(COLUMNS($AB$1006:AF1006),$AB$1006:$AQ$1006,0)))),"Fix")))</f>
        <v>0</v>
      </c>
      <c r="G989" s="4">
        <f>IF(OR(INDEX($V$2:$V$1001,MATCH(ROWS($U$2:U989),$U$2:$U$1001,0),1)&gt;=100000,INDEX($AB$1005:$AQ$1005,1,MATCH(COLUMNS($AB$1006:AG1006),$AB$1006:$AQ$1006,0))&gt;=100000), " ",IF(INDEX($AB$2:$AQ$1001,MATCH(ROWS($U$2:U989),$U$2:$U$1001,0),MATCH(COLUMNS($AB$1006:AG1006),$AB$1006:$AQ$1006,0)), HYPERLINK("#",""), HYPERLINK(CONCATENATE("#metadata!", ADDRESS(INDEX($W$2:$W$1001,MATCH(ROWS($U$2:U989),$U$2:$U$1001,0),0), INDEX($AB$1004:$AQ$1004,1,MATCH(COLUMNS($AB$1006:AG1006),$AB$1006:$AQ$1006,0)))),"Fix")))</f>
        <v>0</v>
      </c>
      <c r="H989" s="4">
        <f>IF(OR(INDEX($V$2:$V$1001,MATCH(ROWS($U$2:U989),$U$2:$U$1001,0),1)&gt;=100000,INDEX($AB$1005:$AQ$1005,1,MATCH(COLUMNS($AB$1006:AH1006),$AB$1006:$AQ$1006,0))&gt;=100000), " ",IF(INDEX($AB$2:$AQ$1001,MATCH(ROWS($U$2:U989),$U$2:$U$1001,0),MATCH(COLUMNS($AB$1006:AH1006),$AB$1006:$AQ$1006,0)), HYPERLINK("#",""), HYPERLINK(CONCATENATE("#metadata!", ADDRESS(INDEX($W$2:$W$1001,MATCH(ROWS($U$2:U989),$U$2:$U$1001,0),0), INDEX($AB$1004:$AQ$1004,1,MATCH(COLUMNS($AB$1006:AH1006),$AB$1006:$AQ$1006,0)))),"Fix")))</f>
        <v>0</v>
      </c>
      <c r="I989" s="4">
        <f>IF(OR(INDEX($V$2:$V$1001,MATCH(ROWS($U$2:U989),$U$2:$U$1001,0),1)&gt;=100000,INDEX($AB$1005:$AQ$1005,1,MATCH(COLUMNS($AB$1006:AI1006),$AB$1006:$AQ$1006,0))&gt;=100000), " ",IF(INDEX($AB$2:$AQ$1001,MATCH(ROWS($U$2:U989),$U$2:$U$1001,0),MATCH(COLUMNS($AB$1006:AI1006),$AB$1006:$AQ$1006,0)), HYPERLINK("#",""), HYPERLINK(CONCATENATE("#metadata!", ADDRESS(INDEX($W$2:$W$1001,MATCH(ROWS($U$2:U989),$U$2:$U$1001,0),0), INDEX($AB$1004:$AQ$1004,1,MATCH(COLUMNS($AB$1006:AI1006),$AB$1006:$AQ$1006,0)))),"Fix")))</f>
        <v>0</v>
      </c>
      <c r="J989" s="4">
        <f>IF(OR(INDEX($V$2:$V$1001,MATCH(ROWS($U$2:U989),$U$2:$U$1001,0),1)&gt;=100000,INDEX($AB$1005:$AQ$1005,1,MATCH(COLUMNS($AB$1006:AJ1006),$AB$1006:$AQ$1006,0))&gt;=100000), " ",IF(INDEX($AB$2:$AQ$1001,MATCH(ROWS($U$2:U989),$U$2:$U$1001,0),MATCH(COLUMNS($AB$1006:AJ1006),$AB$1006:$AQ$1006,0)), HYPERLINK("#",""), HYPERLINK(CONCATENATE("#metadata!", ADDRESS(INDEX($W$2:$W$1001,MATCH(ROWS($U$2:U989),$U$2:$U$1001,0),0), INDEX($AB$1004:$AQ$1004,1,MATCH(COLUMNS($AB$1006:AJ1006),$AB$1006:$AQ$1006,0)))),"Fix")))</f>
        <v>0</v>
      </c>
      <c r="K989" s="4">
        <f>IF(OR(INDEX($V$2:$V$1001,MATCH(ROWS($U$2:U989),$U$2:$U$1001,0),1)&gt;=100000,INDEX($AB$1005:$AQ$1005,1,MATCH(COLUMNS($AB$1006:AK1006),$AB$1006:$AQ$1006,0))&gt;=100000), " ",IF(INDEX($AB$2:$AQ$1001,MATCH(ROWS($U$2:U989),$U$2:$U$1001,0),MATCH(COLUMNS($AB$1006:AK1006),$AB$1006:$AQ$1006,0)), HYPERLINK("#",""), HYPERLINK(CONCATENATE("#metadata!", ADDRESS(INDEX($W$2:$W$1001,MATCH(ROWS($U$2:U989),$U$2:$U$1001,0),0), INDEX($AB$1004:$AQ$1004,1,MATCH(COLUMNS($AB$1006:AK1006),$AB$1006:$AQ$1006,0)))),"Fix")))</f>
        <v>0</v>
      </c>
      <c r="L989" s="4">
        <f>IF(OR(INDEX($V$2:$V$1001,MATCH(ROWS($U$2:U989),$U$2:$U$1001,0),1)&gt;=100000,INDEX($AB$1005:$AQ$1005,1,MATCH(COLUMNS($AB$1006:AL1006),$AB$1006:$AQ$1006,0))&gt;=100000), " ",IF(INDEX($AB$2:$AQ$1001,MATCH(ROWS($U$2:U989),$U$2:$U$1001,0),MATCH(COLUMNS($AB$1006:AL1006),$AB$1006:$AQ$1006,0)), HYPERLINK("#",""), HYPERLINK(CONCATENATE("#metadata!", ADDRESS(INDEX($W$2:$W$1001,MATCH(ROWS($U$2:U989),$U$2:$U$1001,0),0), INDEX($AB$1004:$AQ$1004,1,MATCH(COLUMNS($AB$1006:AL1006),$AB$1006:$AQ$1006,0)))),"Fix")))</f>
        <v>0</v>
      </c>
      <c r="M989" s="4">
        <f>IF(OR(INDEX($V$2:$V$1001,MATCH(ROWS($U$2:U989),$U$2:$U$1001,0),1)&gt;=100000,INDEX($AB$1005:$AQ$1005,1,MATCH(COLUMNS($AB$1006:AM1006),$AB$1006:$AQ$1006,0))&gt;=100000), " ",IF(INDEX($AB$2:$AQ$1001,MATCH(ROWS($U$2:U989),$U$2:$U$1001,0),MATCH(COLUMNS($AB$1006:AM1006),$AB$1006:$AQ$1006,0)), HYPERLINK("#",""), HYPERLINK(CONCATENATE("#metadata!", ADDRESS(INDEX($W$2:$W$1001,MATCH(ROWS($U$2:U989),$U$2:$U$1001,0),0), INDEX($AB$1004:$AQ$1004,1,MATCH(COLUMNS($AB$1006:AM1006),$AB$1006:$AQ$1006,0)))),"Fix")))</f>
        <v>0</v>
      </c>
      <c r="N989" s="4">
        <f>IF(OR(INDEX($V$2:$V$1001,MATCH(ROWS($U$2:U989),$U$2:$U$1001,0),1)&gt;=100000,INDEX($AB$1005:$AQ$1005,1,MATCH(COLUMNS($AB$1006:AN1006),$AB$1006:$AQ$1006,0))&gt;=100000), " ",IF(INDEX($AB$2:$AQ$1001,MATCH(ROWS($U$2:U989),$U$2:$U$1001,0),MATCH(COLUMNS($AB$1006:AN1006),$AB$1006:$AQ$1006,0)), HYPERLINK("#",""), HYPERLINK(CONCATENATE("#metadata!", ADDRESS(INDEX($W$2:$W$1001,MATCH(ROWS($U$2:U989),$U$2:$U$1001,0),0), INDEX($AB$1004:$AQ$1004,1,MATCH(COLUMNS($AB$1006:AN1006),$AB$1006:$AQ$1006,0)))),"Fix")))</f>
        <v>0</v>
      </c>
      <c r="O989" s="4">
        <f>IF(OR(INDEX($V$2:$V$1001,MATCH(ROWS($U$2:U989),$U$2:$U$1001,0),1)&gt;=100000,INDEX($AB$1005:$AQ$1005,1,MATCH(COLUMNS($AB$1006:AO1006),$AB$1006:$AQ$1006,0))&gt;=100000), " ",IF(INDEX($AB$2:$AQ$1001,MATCH(ROWS($U$2:U989),$U$2:$U$1001,0),MATCH(COLUMNS($AB$1006:AO1006),$AB$1006:$AQ$1006,0)), HYPERLINK("#",""), HYPERLINK(CONCATENATE("#metadata!", ADDRESS(INDEX($W$2:$W$1001,MATCH(ROWS($U$2:U989),$U$2:$U$1001,0),0), INDEX($AB$1004:$AQ$1004,1,MATCH(COLUMNS($AB$1006:AO1006),$AB$1006:$AQ$1006,0)))),"Fix")))</f>
        <v>0</v>
      </c>
      <c r="P989" s="4">
        <f>IF(OR(INDEX($V$2:$V$1001,MATCH(ROWS($U$2:U989),$U$2:$U$1001,0),1)&gt;=100000,INDEX($AB$1005:$AQ$1005,1,MATCH(COLUMNS($AB$1006:AP1006),$AB$1006:$AQ$1006,0))&gt;=100000), " ",IF(INDEX($AB$2:$AQ$1001,MATCH(ROWS($U$2:U989),$U$2:$U$1001,0),MATCH(COLUMNS($AB$1006:AP1006),$AB$1006:$AQ$1006,0)), HYPERLINK("#",""), HYPERLINK(CONCATENATE("#metadata!", ADDRESS(INDEX($W$2:$W$1001,MATCH(ROWS($U$2:U989),$U$2:$U$1001,0),0), INDEX($AB$1004:$AQ$1004,1,MATCH(COLUMNS($AB$1006:AP1006),$AB$1006:$AQ$1006,0)))),"Fix")))</f>
        <v>0</v>
      </c>
      <c r="Q989" s="4">
        <f>IF(OR(INDEX($V$2:$V$1001,MATCH(ROWS($U$2:U989),$U$2:$U$1001,0),1)&gt;=100000,INDEX($AB$1005:$AQ$1005,1,MATCH(COLUMNS($AB$1006:AQ1006),$AB$1006:$AQ$1006,0))&gt;=100000), " ",IF(INDEX($AB$2:$AQ$1001,MATCH(ROWS($U$2:U989),$U$2:$U$1001,0),MATCH(COLUMNS($AB$1006:AQ1006),$AB$1006:$AQ$1006,0)), HYPERLINK("#",""), HYPERLINK(CONCATENATE("#metadata!", ADDRESS(INDEX($W$2:$W$1001,MATCH(ROWS($U$2:U989),$U$2:$U$1001,0),0), INDEX($AB$1004:$AQ$1004,1,MATCH(COLUMNS($AB$1006:AQ1006),$AB$1006:$AQ$1006,0)))),"Fix")))</f>
        <v>0</v>
      </c>
      <c r="U989">
        <v>0</v>
      </c>
      <c r="V989">
        <v>0</v>
      </c>
      <c r="W989">
        <v>0</v>
      </c>
      <c r="X989">
        <f>IF(Y989,TRUE,AND(AB989:AQ989))</f>
        <v>0</v>
      </c>
      <c r="Y989">
        <f>COUNTBLANK(metadata!B989:Q989)=COLUMNS(metadata!B989:Q989)</f>
        <v>0</v>
      </c>
      <c r="Z989">
        <v>0</v>
      </c>
      <c r="AB989">
        <f>AND(IF(metadata!B989="",FALSE,TRUE),COUNTIF(metadata!B:B, metadata!B989) = 1,NOT(ISERROR(SUMPRODUCT(SEARCH(MID(metadata!B989,ROW(INDIRECT("1:"&amp;LEN(metadata!B989))), 1),"0123456789abcdefghijklmnopqrstuvwxyzABCDEFGHIJKLMNOPQRSTUVWXYZ.")))))</f>
        <v>0</v>
      </c>
      <c r="AC989">
        <f>OR(AND(IF(metadata!C989="",FALSE,TRUE),OR(exact(metadata!C989,"missing: not collected"),exact(metadata!C989,"missing: not provided"),exact(metadata!C989,"missing: restricted access"))),AND(IF(metadata!C989="",FALSE,TRUE),AND(AND(IFERROR(INT(LEFT(metadata!C989,4))&gt;1900,FALSE),IFERROR(INT(LEFT(metadata!C989,4))&lt;=YEAR(NOW()),FALSE)), OR(MID(metadata!C989,5,1)="", AND(AND(MID(metadata!C989,5,1)="-",IFERROR(INT(MID(metadata!C989,6,1))&gt;=0,FALSE),IFERROR(INT(MID(metadata!C989,6,1))&lt;=1,FALSE),NOT(MID(metadata!C989,7,1)=""),IFERROR(INT(MID(metadata!C989,6,2))&gt;=1,FALSE),IFERROR(INT(MID(metadata!C989,6,2))&lt;=12,FALSE)), OR(MID(metadata!C989,8,1)="", AND(AND(MID(metadata!C989,8,1)="-",IFERROR(INT(MID(metadata!C989,9,1))&gt;=0,FALSE),IFERROR(INT(MID(metadata!C989,9,1))&lt;=3,FALSE),NOT(MID(metadata!C989,10,1)=""),IFERROR(INT(MID(metadata!C989,9,2))&gt;=1,FALSE),IFERROR(INT(MID(metadata!C989,9,2))&lt;=31,FALSE)), OR(MID(metadata!C989,11,1)="", AND(AND(MID(metadata!C989,11,1)=" ",IFERROR(INT(MID(metadata!C989,12,1))&gt;=0,FALSE),IFERROR(INT(MID(metadata!C989,12,1))&lt;=2,FALSE),NOT(MID(metadata!C989,13,1)=""),IFERROR(INT(MID(metadata!C989,12,2))&gt;=0,FALSE),IFERROR(INT(MID(metadata!C989,12,2))&lt;=23,FALSE)), OR(MID(metadata!C989,14,1)="", AND(AND(MID(metadata!C989,14,1)=":",IFERROR(INT(MID(metadata!C989,15,1))&gt;=0,FALSE),IFERROR(INT(MID(metadata!C989,15,1))&lt;=5,FALSE),NOT(MID(metadata!C989,16,1)=""),IFERROR(INT(MID(metadata!C989,15,2))&gt;=0,FALSE),IFERROR(INT(MID(metadata!C989,15,2))&lt;=59,FALSE)), OR(MID(metadata!C989,17,1)="", AND(AND(MID(metadata!C989,17,1)=":",IFERROR(INT(MID(metadata!C989,18,1))&gt;=0,FALSE),IFERROR(INT(MID(metadata!C989,18,1))&lt;=5,FALSE),NOT(MID(metadata!C989,19,1)=""),IFERROR(INT(MID(metadata!C989,18,2))&gt;=0,FALSE),IFERROR(INT(MID(metadata!C989,18,2))&lt;=59,FALSE)), LEN(metadata!C989)&lt;=19)))))))))))))</f>
        <v>0</v>
      </c>
      <c r="AD989">
        <f>IF(metadata!D989="",FALSE,TRUE)</f>
        <v>0</v>
      </c>
      <c r="AE989">
        <f>OR(AND(IF(metadata!E989="",FALSE,TRUE),OR(exact(metadata!E989,"missing: not collected"),exact(metadata!E989,"missing: not provided"))),AND(IF(metadata!E989="",FALSE,TRUE),OR(exact(metadata!E989,"TRUE"),exact(metadata!E989,"FALSE"))))</f>
        <v>0</v>
      </c>
      <c r="AF989">
        <f>IF(metadata!F989="",FALSE,TRUE)</f>
        <v>0</v>
      </c>
      <c r="AG989">
        <f>IF(metadata!G989="",FALSE,TRUE)</f>
        <v>0</v>
      </c>
      <c r="AH989">
        <f>IF(metadata!H989="",FALSE,TRUE)</f>
        <v>0</v>
      </c>
      <c r="AI989">
        <f>OR(AND(IF(metadata!I989="",FALSE,TRUE),OR(exact(metadata!I989,"missing: not collected"),exact(metadata!I989,"missing: not provided"),exact(metadata!I989,"missing: restricted access"))),AND(IF(metadata!I989="",FALSE,TRUE),OR(exact(metadata!I989,"air"),exact(metadata!I989,"built environment"),exact(metadata!I989,"host-associated"),exact(metadata!I989,"human-associated"),exact(metadata!I989,"human-skin"),exact(metadata!I989,"human-oral"),exact(metadata!I989,"human-gut"),exact(metadata!I989,"human-vaginal"),exact(metadata!I989,"microbial mat/biofilm"),exact(metadata!I989,"misc environment"),exact(metadata!I989,"plant-associated"),exact(metadata!I989,"sediment"),exact(metadata!I989,"soil"),exact(metadata!I989,"wastewater/sludge"),exact(metadata!I989,"water"))))</f>
        <v>0</v>
      </c>
      <c r="AJ989">
        <f>IF(metadata!J989="",FALSE,TRUE)</f>
        <v>0</v>
      </c>
      <c r="AK989">
        <f>OR(AND(IF(metadata!K989="",FALSE,TRUE),OR(exact(metadata!K989,"missing: not collected"),exact(metadata!K989,"missing: not provided"),exact(metadata!K989,"missing: restricted access"))),AND(IF(metadata!K989="",FALSE,ISNUMBER(VALUE(metadata!K989))),metadata!K989&gt;=-90.00,metadata!K989&lt;=90.00))</f>
        <v>0</v>
      </c>
      <c r="AL989">
        <f>OR(AND(IF(metadata!L989="",FALSE,TRUE),OR(exact(metadata!L989,"missing: not collected"),exact(metadata!L989,"missing: not provided"),exact(metadata!L989,"missing: restricted access"))),AND(IF(metadata!L989="",FALSE,ISNUMBER(VALUE(metadata!L989))),metadata!L989&gt;=-180.00,metadata!L989&lt;=180.00))</f>
        <v>0</v>
      </c>
      <c r="AM989">
        <f>IF(metadata!M989="",FALSE,TRUE)</f>
        <v>0</v>
      </c>
      <c r="AN989">
        <f>OR(AND(IF(metadata!N989="",FALSE,TRUE),OR(exact(metadata!N989,"missing: not collected"),exact(metadata!N989,"missing: not provided"),exact(metadata!N989,"missing: restricted access"))),AND(IF(metadata!N989="",FALSE,TRUE),OR(exact(metadata!N989,"TRUE"),exact(metadata!N989,"FALSE"))))</f>
        <v>0</v>
      </c>
      <c r="AO989">
        <f>IF(metadata!O989="",FALSE,TRUE)</f>
        <v>0</v>
      </c>
      <c r="AP989">
        <f>OR(AND(IF(metadata!P989="",FALSE,TRUE),OR(exact(metadata!P989,"missing: not collected"),exact(metadata!P989,"missing: not provided"))),AND(IF(metadata!P989="",FALSE,IF(ISERROR(INT(metadata!P989)),FALSE,INT(metadata!P989)=metadata!P989)),metadata!P989&gt;0))</f>
        <v>0</v>
      </c>
      <c r="AQ989">
        <f>IF(metadata!Q989="",FALSE,TRUE)</f>
        <v>0</v>
      </c>
    </row>
    <row r="990" spans="1:43">
      <c r="A990" s="5">
        <f>IF(B990=" "," ",HYPERLINK(CONCATENATE("#metadata!",ADDRESS(INDEX($W$2:$W$1001,MATCH(ROWS($U$2:U990),$U$2:$U$1001,0),0),1)),INDEX($Z$2:$Z$1001,MATCH(ROWS($U$2:U990),$U$2:$U$1001,0),0)))</f>
        <v>0</v>
      </c>
      <c r="B990" s="4">
        <f>IF(OR(INDEX($V$2:$V$1001,MATCH(ROWS($U$2:U990),$U$2:$U$1001,0),1)&gt;=100000,INDEX($AB$1005:$AQ$1005,1,MATCH(COLUMNS($AB$1006:AB1006),$AB$1006:$AQ$1006,0))&gt;=100000), " ",IF(INDEX($AB$2:$AQ$1001,MATCH(ROWS($U$2:U990),$U$2:$U$1001,0),MATCH(COLUMNS($AB$1006:AB1006),$AB$1006:$AQ$1006,0)), HYPERLINK("#",""), HYPERLINK(CONCATENATE("#metadata!", ADDRESS(INDEX($W$2:$W$1001,MATCH(ROWS($U$2:U990),$U$2:$U$1001,0),0), INDEX($AB$1004:$AQ$1004,1,MATCH(COLUMNS($AB$1006:AB1006),$AB$1006:$AQ$1006,0)))),"Fix")))</f>
        <v>0</v>
      </c>
      <c r="C990" s="4">
        <f>IF(OR(INDEX($V$2:$V$1001,MATCH(ROWS($U$2:U990),$U$2:$U$1001,0),1)&gt;=100000,INDEX($AB$1005:$AQ$1005,1,MATCH(COLUMNS($AB$1006:AC1006),$AB$1006:$AQ$1006,0))&gt;=100000), " ",IF(INDEX($AB$2:$AQ$1001,MATCH(ROWS($U$2:U990),$U$2:$U$1001,0),MATCH(COLUMNS($AB$1006:AC1006),$AB$1006:$AQ$1006,0)), HYPERLINK("#",""), HYPERLINK(CONCATENATE("#metadata!", ADDRESS(INDEX($W$2:$W$1001,MATCH(ROWS($U$2:U990),$U$2:$U$1001,0),0), INDEX($AB$1004:$AQ$1004,1,MATCH(COLUMNS($AB$1006:AC1006),$AB$1006:$AQ$1006,0)))),"Fix")))</f>
        <v>0</v>
      </c>
      <c r="D990" s="4">
        <f>IF(OR(INDEX($V$2:$V$1001,MATCH(ROWS($U$2:U990),$U$2:$U$1001,0),1)&gt;=100000,INDEX($AB$1005:$AQ$1005,1,MATCH(COLUMNS($AB$1006:AD1006),$AB$1006:$AQ$1006,0))&gt;=100000), " ",IF(INDEX($AB$2:$AQ$1001,MATCH(ROWS($U$2:U990),$U$2:$U$1001,0),MATCH(COLUMNS($AB$1006:AD1006),$AB$1006:$AQ$1006,0)), HYPERLINK("#",""), HYPERLINK(CONCATENATE("#metadata!", ADDRESS(INDEX($W$2:$W$1001,MATCH(ROWS($U$2:U990),$U$2:$U$1001,0),0), INDEX($AB$1004:$AQ$1004,1,MATCH(COLUMNS($AB$1006:AD1006),$AB$1006:$AQ$1006,0)))),"Fix")))</f>
        <v>0</v>
      </c>
      <c r="E990" s="4">
        <f>IF(OR(INDEX($V$2:$V$1001,MATCH(ROWS($U$2:U990),$U$2:$U$1001,0),1)&gt;=100000,INDEX($AB$1005:$AQ$1005,1,MATCH(COLUMNS($AB$1006:AE1006),$AB$1006:$AQ$1006,0))&gt;=100000), " ",IF(INDEX($AB$2:$AQ$1001,MATCH(ROWS($U$2:U990),$U$2:$U$1001,0),MATCH(COLUMNS($AB$1006:AE1006),$AB$1006:$AQ$1006,0)), HYPERLINK("#",""), HYPERLINK(CONCATENATE("#metadata!", ADDRESS(INDEX($W$2:$W$1001,MATCH(ROWS($U$2:U990),$U$2:$U$1001,0),0), INDEX($AB$1004:$AQ$1004,1,MATCH(COLUMNS($AB$1006:AE1006),$AB$1006:$AQ$1006,0)))),"Fix")))</f>
        <v>0</v>
      </c>
      <c r="F990" s="4">
        <f>IF(OR(INDEX($V$2:$V$1001,MATCH(ROWS($U$2:U990),$U$2:$U$1001,0),1)&gt;=100000,INDEX($AB$1005:$AQ$1005,1,MATCH(COLUMNS($AB$1006:AF1006),$AB$1006:$AQ$1006,0))&gt;=100000), " ",IF(INDEX($AB$2:$AQ$1001,MATCH(ROWS($U$2:U990),$U$2:$U$1001,0),MATCH(COLUMNS($AB$1006:AF1006),$AB$1006:$AQ$1006,0)), HYPERLINK("#",""), HYPERLINK(CONCATENATE("#metadata!", ADDRESS(INDEX($W$2:$W$1001,MATCH(ROWS($U$2:U990),$U$2:$U$1001,0),0), INDEX($AB$1004:$AQ$1004,1,MATCH(COLUMNS($AB$1006:AF1006),$AB$1006:$AQ$1006,0)))),"Fix")))</f>
        <v>0</v>
      </c>
      <c r="G990" s="4">
        <f>IF(OR(INDEX($V$2:$V$1001,MATCH(ROWS($U$2:U990),$U$2:$U$1001,0),1)&gt;=100000,INDEX($AB$1005:$AQ$1005,1,MATCH(COLUMNS($AB$1006:AG1006),$AB$1006:$AQ$1006,0))&gt;=100000), " ",IF(INDEX($AB$2:$AQ$1001,MATCH(ROWS($U$2:U990),$U$2:$U$1001,0),MATCH(COLUMNS($AB$1006:AG1006),$AB$1006:$AQ$1006,0)), HYPERLINK("#",""), HYPERLINK(CONCATENATE("#metadata!", ADDRESS(INDEX($W$2:$W$1001,MATCH(ROWS($U$2:U990),$U$2:$U$1001,0),0), INDEX($AB$1004:$AQ$1004,1,MATCH(COLUMNS($AB$1006:AG1006),$AB$1006:$AQ$1006,0)))),"Fix")))</f>
        <v>0</v>
      </c>
      <c r="H990" s="4">
        <f>IF(OR(INDEX($V$2:$V$1001,MATCH(ROWS($U$2:U990),$U$2:$U$1001,0),1)&gt;=100000,INDEX($AB$1005:$AQ$1005,1,MATCH(COLUMNS($AB$1006:AH1006),$AB$1006:$AQ$1006,0))&gt;=100000), " ",IF(INDEX($AB$2:$AQ$1001,MATCH(ROWS($U$2:U990),$U$2:$U$1001,0),MATCH(COLUMNS($AB$1006:AH1006),$AB$1006:$AQ$1006,0)), HYPERLINK("#",""), HYPERLINK(CONCATENATE("#metadata!", ADDRESS(INDEX($W$2:$W$1001,MATCH(ROWS($U$2:U990),$U$2:$U$1001,0),0), INDEX($AB$1004:$AQ$1004,1,MATCH(COLUMNS($AB$1006:AH1006),$AB$1006:$AQ$1006,0)))),"Fix")))</f>
        <v>0</v>
      </c>
      <c r="I990" s="4">
        <f>IF(OR(INDEX($V$2:$V$1001,MATCH(ROWS($U$2:U990),$U$2:$U$1001,0),1)&gt;=100000,INDEX($AB$1005:$AQ$1005,1,MATCH(COLUMNS($AB$1006:AI1006),$AB$1006:$AQ$1006,0))&gt;=100000), " ",IF(INDEX($AB$2:$AQ$1001,MATCH(ROWS($U$2:U990),$U$2:$U$1001,0),MATCH(COLUMNS($AB$1006:AI1006),$AB$1006:$AQ$1006,0)), HYPERLINK("#",""), HYPERLINK(CONCATENATE("#metadata!", ADDRESS(INDEX($W$2:$W$1001,MATCH(ROWS($U$2:U990),$U$2:$U$1001,0),0), INDEX($AB$1004:$AQ$1004,1,MATCH(COLUMNS($AB$1006:AI1006),$AB$1006:$AQ$1006,0)))),"Fix")))</f>
        <v>0</v>
      </c>
      <c r="J990" s="4">
        <f>IF(OR(INDEX($V$2:$V$1001,MATCH(ROWS($U$2:U990),$U$2:$U$1001,0),1)&gt;=100000,INDEX($AB$1005:$AQ$1005,1,MATCH(COLUMNS($AB$1006:AJ1006),$AB$1006:$AQ$1006,0))&gt;=100000), " ",IF(INDEX($AB$2:$AQ$1001,MATCH(ROWS($U$2:U990),$U$2:$U$1001,0),MATCH(COLUMNS($AB$1006:AJ1006),$AB$1006:$AQ$1006,0)), HYPERLINK("#",""), HYPERLINK(CONCATENATE("#metadata!", ADDRESS(INDEX($W$2:$W$1001,MATCH(ROWS($U$2:U990),$U$2:$U$1001,0),0), INDEX($AB$1004:$AQ$1004,1,MATCH(COLUMNS($AB$1006:AJ1006),$AB$1006:$AQ$1006,0)))),"Fix")))</f>
        <v>0</v>
      </c>
      <c r="K990" s="4">
        <f>IF(OR(INDEX($V$2:$V$1001,MATCH(ROWS($U$2:U990),$U$2:$U$1001,0),1)&gt;=100000,INDEX($AB$1005:$AQ$1005,1,MATCH(COLUMNS($AB$1006:AK1006),$AB$1006:$AQ$1006,0))&gt;=100000), " ",IF(INDEX($AB$2:$AQ$1001,MATCH(ROWS($U$2:U990),$U$2:$U$1001,0),MATCH(COLUMNS($AB$1006:AK1006),$AB$1006:$AQ$1006,0)), HYPERLINK("#",""), HYPERLINK(CONCATENATE("#metadata!", ADDRESS(INDEX($W$2:$W$1001,MATCH(ROWS($U$2:U990),$U$2:$U$1001,0),0), INDEX($AB$1004:$AQ$1004,1,MATCH(COLUMNS($AB$1006:AK1006),$AB$1006:$AQ$1006,0)))),"Fix")))</f>
        <v>0</v>
      </c>
      <c r="L990" s="4">
        <f>IF(OR(INDEX($V$2:$V$1001,MATCH(ROWS($U$2:U990),$U$2:$U$1001,0),1)&gt;=100000,INDEX($AB$1005:$AQ$1005,1,MATCH(COLUMNS($AB$1006:AL1006),$AB$1006:$AQ$1006,0))&gt;=100000), " ",IF(INDEX($AB$2:$AQ$1001,MATCH(ROWS($U$2:U990),$U$2:$U$1001,0),MATCH(COLUMNS($AB$1006:AL1006),$AB$1006:$AQ$1006,0)), HYPERLINK("#",""), HYPERLINK(CONCATENATE("#metadata!", ADDRESS(INDEX($W$2:$W$1001,MATCH(ROWS($U$2:U990),$U$2:$U$1001,0),0), INDEX($AB$1004:$AQ$1004,1,MATCH(COLUMNS($AB$1006:AL1006),$AB$1006:$AQ$1006,0)))),"Fix")))</f>
        <v>0</v>
      </c>
      <c r="M990" s="4">
        <f>IF(OR(INDEX($V$2:$V$1001,MATCH(ROWS($U$2:U990),$U$2:$U$1001,0),1)&gt;=100000,INDEX($AB$1005:$AQ$1005,1,MATCH(COLUMNS($AB$1006:AM1006),$AB$1006:$AQ$1006,0))&gt;=100000), " ",IF(INDEX($AB$2:$AQ$1001,MATCH(ROWS($U$2:U990),$U$2:$U$1001,0),MATCH(COLUMNS($AB$1006:AM1006),$AB$1006:$AQ$1006,0)), HYPERLINK("#",""), HYPERLINK(CONCATENATE("#metadata!", ADDRESS(INDEX($W$2:$W$1001,MATCH(ROWS($U$2:U990),$U$2:$U$1001,0),0), INDEX($AB$1004:$AQ$1004,1,MATCH(COLUMNS($AB$1006:AM1006),$AB$1006:$AQ$1006,0)))),"Fix")))</f>
        <v>0</v>
      </c>
      <c r="N990" s="4">
        <f>IF(OR(INDEX($V$2:$V$1001,MATCH(ROWS($U$2:U990),$U$2:$U$1001,0),1)&gt;=100000,INDEX($AB$1005:$AQ$1005,1,MATCH(COLUMNS($AB$1006:AN1006),$AB$1006:$AQ$1006,0))&gt;=100000), " ",IF(INDEX($AB$2:$AQ$1001,MATCH(ROWS($U$2:U990),$U$2:$U$1001,0),MATCH(COLUMNS($AB$1006:AN1006),$AB$1006:$AQ$1006,0)), HYPERLINK("#",""), HYPERLINK(CONCATENATE("#metadata!", ADDRESS(INDEX($W$2:$W$1001,MATCH(ROWS($U$2:U990),$U$2:$U$1001,0),0), INDEX($AB$1004:$AQ$1004,1,MATCH(COLUMNS($AB$1006:AN1006),$AB$1006:$AQ$1006,0)))),"Fix")))</f>
        <v>0</v>
      </c>
      <c r="O990" s="4">
        <f>IF(OR(INDEX($V$2:$V$1001,MATCH(ROWS($U$2:U990),$U$2:$U$1001,0),1)&gt;=100000,INDEX($AB$1005:$AQ$1005,1,MATCH(COLUMNS($AB$1006:AO1006),$AB$1006:$AQ$1006,0))&gt;=100000), " ",IF(INDEX($AB$2:$AQ$1001,MATCH(ROWS($U$2:U990),$U$2:$U$1001,0),MATCH(COLUMNS($AB$1006:AO1006),$AB$1006:$AQ$1006,0)), HYPERLINK("#",""), HYPERLINK(CONCATENATE("#metadata!", ADDRESS(INDEX($W$2:$W$1001,MATCH(ROWS($U$2:U990),$U$2:$U$1001,0),0), INDEX($AB$1004:$AQ$1004,1,MATCH(COLUMNS($AB$1006:AO1006),$AB$1006:$AQ$1006,0)))),"Fix")))</f>
        <v>0</v>
      </c>
      <c r="P990" s="4">
        <f>IF(OR(INDEX($V$2:$V$1001,MATCH(ROWS($U$2:U990),$U$2:$U$1001,0),1)&gt;=100000,INDEX($AB$1005:$AQ$1005,1,MATCH(COLUMNS($AB$1006:AP1006),$AB$1006:$AQ$1006,0))&gt;=100000), " ",IF(INDEX($AB$2:$AQ$1001,MATCH(ROWS($U$2:U990),$U$2:$U$1001,0),MATCH(COLUMNS($AB$1006:AP1006),$AB$1006:$AQ$1006,0)), HYPERLINK("#",""), HYPERLINK(CONCATENATE("#metadata!", ADDRESS(INDEX($W$2:$W$1001,MATCH(ROWS($U$2:U990),$U$2:$U$1001,0),0), INDEX($AB$1004:$AQ$1004,1,MATCH(COLUMNS($AB$1006:AP1006),$AB$1006:$AQ$1006,0)))),"Fix")))</f>
        <v>0</v>
      </c>
      <c r="Q990" s="4">
        <f>IF(OR(INDEX($V$2:$V$1001,MATCH(ROWS($U$2:U990),$U$2:$U$1001,0),1)&gt;=100000,INDEX($AB$1005:$AQ$1005,1,MATCH(COLUMNS($AB$1006:AQ1006),$AB$1006:$AQ$1006,0))&gt;=100000), " ",IF(INDEX($AB$2:$AQ$1001,MATCH(ROWS($U$2:U990),$U$2:$U$1001,0),MATCH(COLUMNS($AB$1006:AQ1006),$AB$1006:$AQ$1006,0)), HYPERLINK("#",""), HYPERLINK(CONCATENATE("#metadata!", ADDRESS(INDEX($W$2:$W$1001,MATCH(ROWS($U$2:U990),$U$2:$U$1001,0),0), INDEX($AB$1004:$AQ$1004,1,MATCH(COLUMNS($AB$1006:AQ1006),$AB$1006:$AQ$1006,0)))),"Fix")))</f>
        <v>0</v>
      </c>
      <c r="U990">
        <v>0</v>
      </c>
      <c r="V990">
        <v>0</v>
      </c>
      <c r="W990">
        <v>0</v>
      </c>
      <c r="X990">
        <f>IF(Y990,TRUE,AND(AB990:AQ990))</f>
        <v>0</v>
      </c>
      <c r="Y990">
        <f>COUNTBLANK(metadata!B990:Q990)=COLUMNS(metadata!B990:Q990)</f>
        <v>0</v>
      </c>
      <c r="Z990">
        <v>0</v>
      </c>
      <c r="AB990">
        <f>AND(IF(metadata!B990="",FALSE,TRUE),COUNTIF(metadata!B:B, metadata!B990) = 1,NOT(ISERROR(SUMPRODUCT(SEARCH(MID(metadata!B990,ROW(INDIRECT("1:"&amp;LEN(metadata!B990))), 1),"0123456789abcdefghijklmnopqrstuvwxyzABCDEFGHIJKLMNOPQRSTUVWXYZ.")))))</f>
        <v>0</v>
      </c>
      <c r="AC990">
        <f>OR(AND(IF(metadata!C990="",FALSE,TRUE),OR(exact(metadata!C990,"missing: not collected"),exact(metadata!C990,"missing: not provided"),exact(metadata!C990,"missing: restricted access"))),AND(IF(metadata!C990="",FALSE,TRUE),AND(AND(IFERROR(INT(LEFT(metadata!C990,4))&gt;1900,FALSE),IFERROR(INT(LEFT(metadata!C990,4))&lt;=YEAR(NOW()),FALSE)), OR(MID(metadata!C990,5,1)="", AND(AND(MID(metadata!C990,5,1)="-",IFERROR(INT(MID(metadata!C990,6,1))&gt;=0,FALSE),IFERROR(INT(MID(metadata!C990,6,1))&lt;=1,FALSE),NOT(MID(metadata!C990,7,1)=""),IFERROR(INT(MID(metadata!C990,6,2))&gt;=1,FALSE),IFERROR(INT(MID(metadata!C990,6,2))&lt;=12,FALSE)), OR(MID(metadata!C990,8,1)="", AND(AND(MID(metadata!C990,8,1)="-",IFERROR(INT(MID(metadata!C990,9,1))&gt;=0,FALSE),IFERROR(INT(MID(metadata!C990,9,1))&lt;=3,FALSE),NOT(MID(metadata!C990,10,1)=""),IFERROR(INT(MID(metadata!C990,9,2))&gt;=1,FALSE),IFERROR(INT(MID(metadata!C990,9,2))&lt;=31,FALSE)), OR(MID(metadata!C990,11,1)="", AND(AND(MID(metadata!C990,11,1)=" ",IFERROR(INT(MID(metadata!C990,12,1))&gt;=0,FALSE),IFERROR(INT(MID(metadata!C990,12,1))&lt;=2,FALSE),NOT(MID(metadata!C990,13,1)=""),IFERROR(INT(MID(metadata!C990,12,2))&gt;=0,FALSE),IFERROR(INT(MID(metadata!C990,12,2))&lt;=23,FALSE)), OR(MID(metadata!C990,14,1)="", AND(AND(MID(metadata!C990,14,1)=":",IFERROR(INT(MID(metadata!C990,15,1))&gt;=0,FALSE),IFERROR(INT(MID(metadata!C990,15,1))&lt;=5,FALSE),NOT(MID(metadata!C990,16,1)=""),IFERROR(INT(MID(metadata!C990,15,2))&gt;=0,FALSE),IFERROR(INT(MID(metadata!C990,15,2))&lt;=59,FALSE)), OR(MID(metadata!C990,17,1)="", AND(AND(MID(metadata!C990,17,1)=":",IFERROR(INT(MID(metadata!C990,18,1))&gt;=0,FALSE),IFERROR(INT(MID(metadata!C990,18,1))&lt;=5,FALSE),NOT(MID(metadata!C990,19,1)=""),IFERROR(INT(MID(metadata!C990,18,2))&gt;=0,FALSE),IFERROR(INT(MID(metadata!C990,18,2))&lt;=59,FALSE)), LEN(metadata!C990)&lt;=19)))))))))))))</f>
        <v>0</v>
      </c>
      <c r="AD990">
        <f>IF(metadata!D990="",FALSE,TRUE)</f>
        <v>0</v>
      </c>
      <c r="AE990">
        <f>OR(AND(IF(metadata!E990="",FALSE,TRUE),OR(exact(metadata!E990,"missing: not collected"),exact(metadata!E990,"missing: not provided"))),AND(IF(metadata!E990="",FALSE,TRUE),OR(exact(metadata!E990,"TRUE"),exact(metadata!E990,"FALSE"))))</f>
        <v>0</v>
      </c>
      <c r="AF990">
        <f>IF(metadata!F990="",FALSE,TRUE)</f>
        <v>0</v>
      </c>
      <c r="AG990">
        <f>IF(metadata!G990="",FALSE,TRUE)</f>
        <v>0</v>
      </c>
      <c r="AH990">
        <f>IF(metadata!H990="",FALSE,TRUE)</f>
        <v>0</v>
      </c>
      <c r="AI990">
        <f>OR(AND(IF(metadata!I990="",FALSE,TRUE),OR(exact(metadata!I990,"missing: not collected"),exact(metadata!I990,"missing: not provided"),exact(metadata!I990,"missing: restricted access"))),AND(IF(metadata!I990="",FALSE,TRUE),OR(exact(metadata!I990,"air"),exact(metadata!I990,"built environment"),exact(metadata!I990,"host-associated"),exact(metadata!I990,"human-associated"),exact(metadata!I990,"human-skin"),exact(metadata!I990,"human-oral"),exact(metadata!I990,"human-gut"),exact(metadata!I990,"human-vaginal"),exact(metadata!I990,"microbial mat/biofilm"),exact(metadata!I990,"misc environment"),exact(metadata!I990,"plant-associated"),exact(metadata!I990,"sediment"),exact(metadata!I990,"soil"),exact(metadata!I990,"wastewater/sludge"),exact(metadata!I990,"water"))))</f>
        <v>0</v>
      </c>
      <c r="AJ990">
        <f>IF(metadata!J990="",FALSE,TRUE)</f>
        <v>0</v>
      </c>
      <c r="AK990">
        <f>OR(AND(IF(metadata!K990="",FALSE,TRUE),OR(exact(metadata!K990,"missing: not collected"),exact(metadata!K990,"missing: not provided"),exact(metadata!K990,"missing: restricted access"))),AND(IF(metadata!K990="",FALSE,ISNUMBER(VALUE(metadata!K990))),metadata!K990&gt;=-90.00,metadata!K990&lt;=90.00))</f>
        <v>0</v>
      </c>
      <c r="AL990">
        <f>OR(AND(IF(metadata!L990="",FALSE,TRUE),OR(exact(metadata!L990,"missing: not collected"),exact(metadata!L990,"missing: not provided"),exact(metadata!L990,"missing: restricted access"))),AND(IF(metadata!L990="",FALSE,ISNUMBER(VALUE(metadata!L990))),metadata!L990&gt;=-180.00,metadata!L990&lt;=180.00))</f>
        <v>0</v>
      </c>
      <c r="AM990">
        <f>IF(metadata!M990="",FALSE,TRUE)</f>
        <v>0</v>
      </c>
      <c r="AN990">
        <f>OR(AND(IF(metadata!N990="",FALSE,TRUE),OR(exact(metadata!N990,"missing: not collected"),exact(metadata!N990,"missing: not provided"),exact(metadata!N990,"missing: restricted access"))),AND(IF(metadata!N990="",FALSE,TRUE),OR(exact(metadata!N990,"TRUE"),exact(metadata!N990,"FALSE"))))</f>
        <v>0</v>
      </c>
      <c r="AO990">
        <f>IF(metadata!O990="",FALSE,TRUE)</f>
        <v>0</v>
      </c>
      <c r="AP990">
        <f>OR(AND(IF(metadata!P990="",FALSE,TRUE),OR(exact(metadata!P990,"missing: not collected"),exact(metadata!P990,"missing: not provided"))),AND(IF(metadata!P990="",FALSE,IF(ISERROR(INT(metadata!P990)),FALSE,INT(metadata!P990)=metadata!P990)),metadata!P990&gt;0))</f>
        <v>0</v>
      </c>
      <c r="AQ990">
        <f>IF(metadata!Q990="",FALSE,TRUE)</f>
        <v>0</v>
      </c>
    </row>
    <row r="991" spans="1:43">
      <c r="A991" s="5">
        <f>IF(B991=" "," ",HYPERLINK(CONCATENATE("#metadata!",ADDRESS(INDEX($W$2:$W$1001,MATCH(ROWS($U$2:U991),$U$2:$U$1001,0),0),1)),INDEX($Z$2:$Z$1001,MATCH(ROWS($U$2:U991),$U$2:$U$1001,0),0)))</f>
        <v>0</v>
      </c>
      <c r="B991" s="4">
        <f>IF(OR(INDEX($V$2:$V$1001,MATCH(ROWS($U$2:U991),$U$2:$U$1001,0),1)&gt;=100000,INDEX($AB$1005:$AQ$1005,1,MATCH(COLUMNS($AB$1006:AB1006),$AB$1006:$AQ$1006,0))&gt;=100000), " ",IF(INDEX($AB$2:$AQ$1001,MATCH(ROWS($U$2:U991),$U$2:$U$1001,0),MATCH(COLUMNS($AB$1006:AB1006),$AB$1006:$AQ$1006,0)), HYPERLINK("#",""), HYPERLINK(CONCATENATE("#metadata!", ADDRESS(INDEX($W$2:$W$1001,MATCH(ROWS($U$2:U991),$U$2:$U$1001,0),0), INDEX($AB$1004:$AQ$1004,1,MATCH(COLUMNS($AB$1006:AB1006),$AB$1006:$AQ$1006,0)))),"Fix")))</f>
        <v>0</v>
      </c>
      <c r="C991" s="4">
        <f>IF(OR(INDEX($V$2:$V$1001,MATCH(ROWS($U$2:U991),$U$2:$U$1001,0),1)&gt;=100000,INDEX($AB$1005:$AQ$1005,1,MATCH(COLUMNS($AB$1006:AC1006),$AB$1006:$AQ$1006,0))&gt;=100000), " ",IF(INDEX($AB$2:$AQ$1001,MATCH(ROWS($U$2:U991),$U$2:$U$1001,0),MATCH(COLUMNS($AB$1006:AC1006),$AB$1006:$AQ$1006,0)), HYPERLINK("#",""), HYPERLINK(CONCATENATE("#metadata!", ADDRESS(INDEX($W$2:$W$1001,MATCH(ROWS($U$2:U991),$U$2:$U$1001,0),0), INDEX($AB$1004:$AQ$1004,1,MATCH(COLUMNS($AB$1006:AC1006),$AB$1006:$AQ$1006,0)))),"Fix")))</f>
        <v>0</v>
      </c>
      <c r="D991" s="4">
        <f>IF(OR(INDEX($V$2:$V$1001,MATCH(ROWS($U$2:U991),$U$2:$U$1001,0),1)&gt;=100000,INDEX($AB$1005:$AQ$1005,1,MATCH(COLUMNS($AB$1006:AD1006),$AB$1006:$AQ$1006,0))&gt;=100000), " ",IF(INDEX($AB$2:$AQ$1001,MATCH(ROWS($U$2:U991),$U$2:$U$1001,0),MATCH(COLUMNS($AB$1006:AD1006),$AB$1006:$AQ$1006,0)), HYPERLINK("#",""), HYPERLINK(CONCATENATE("#metadata!", ADDRESS(INDEX($W$2:$W$1001,MATCH(ROWS($U$2:U991),$U$2:$U$1001,0),0), INDEX($AB$1004:$AQ$1004,1,MATCH(COLUMNS($AB$1006:AD1006),$AB$1006:$AQ$1006,0)))),"Fix")))</f>
        <v>0</v>
      </c>
      <c r="E991" s="4">
        <f>IF(OR(INDEX($V$2:$V$1001,MATCH(ROWS($U$2:U991),$U$2:$U$1001,0),1)&gt;=100000,INDEX($AB$1005:$AQ$1005,1,MATCH(COLUMNS($AB$1006:AE1006),$AB$1006:$AQ$1006,0))&gt;=100000), " ",IF(INDEX($AB$2:$AQ$1001,MATCH(ROWS($U$2:U991),$U$2:$U$1001,0),MATCH(COLUMNS($AB$1006:AE1006),$AB$1006:$AQ$1006,0)), HYPERLINK("#",""), HYPERLINK(CONCATENATE("#metadata!", ADDRESS(INDEX($W$2:$W$1001,MATCH(ROWS($U$2:U991),$U$2:$U$1001,0),0), INDEX($AB$1004:$AQ$1004,1,MATCH(COLUMNS($AB$1006:AE1006),$AB$1006:$AQ$1006,0)))),"Fix")))</f>
        <v>0</v>
      </c>
      <c r="F991" s="4">
        <f>IF(OR(INDEX($V$2:$V$1001,MATCH(ROWS($U$2:U991),$U$2:$U$1001,0),1)&gt;=100000,INDEX($AB$1005:$AQ$1005,1,MATCH(COLUMNS($AB$1006:AF1006),$AB$1006:$AQ$1006,0))&gt;=100000), " ",IF(INDEX($AB$2:$AQ$1001,MATCH(ROWS($U$2:U991),$U$2:$U$1001,0),MATCH(COLUMNS($AB$1006:AF1006),$AB$1006:$AQ$1006,0)), HYPERLINK("#",""), HYPERLINK(CONCATENATE("#metadata!", ADDRESS(INDEX($W$2:$W$1001,MATCH(ROWS($U$2:U991),$U$2:$U$1001,0),0), INDEX($AB$1004:$AQ$1004,1,MATCH(COLUMNS($AB$1006:AF1006),$AB$1006:$AQ$1006,0)))),"Fix")))</f>
        <v>0</v>
      </c>
      <c r="G991" s="4">
        <f>IF(OR(INDEX($V$2:$V$1001,MATCH(ROWS($U$2:U991),$U$2:$U$1001,0),1)&gt;=100000,INDEX($AB$1005:$AQ$1005,1,MATCH(COLUMNS($AB$1006:AG1006),$AB$1006:$AQ$1006,0))&gt;=100000), " ",IF(INDEX($AB$2:$AQ$1001,MATCH(ROWS($U$2:U991),$U$2:$U$1001,0),MATCH(COLUMNS($AB$1006:AG1006),$AB$1006:$AQ$1006,0)), HYPERLINK("#",""), HYPERLINK(CONCATENATE("#metadata!", ADDRESS(INDEX($W$2:$W$1001,MATCH(ROWS($U$2:U991),$U$2:$U$1001,0),0), INDEX($AB$1004:$AQ$1004,1,MATCH(COLUMNS($AB$1006:AG1006),$AB$1006:$AQ$1006,0)))),"Fix")))</f>
        <v>0</v>
      </c>
      <c r="H991" s="4">
        <f>IF(OR(INDEX($V$2:$V$1001,MATCH(ROWS($U$2:U991),$U$2:$U$1001,0),1)&gt;=100000,INDEX($AB$1005:$AQ$1005,1,MATCH(COLUMNS($AB$1006:AH1006),$AB$1006:$AQ$1006,0))&gt;=100000), " ",IF(INDEX($AB$2:$AQ$1001,MATCH(ROWS($U$2:U991),$U$2:$U$1001,0),MATCH(COLUMNS($AB$1006:AH1006),$AB$1006:$AQ$1006,0)), HYPERLINK("#",""), HYPERLINK(CONCATENATE("#metadata!", ADDRESS(INDEX($W$2:$W$1001,MATCH(ROWS($U$2:U991),$U$2:$U$1001,0),0), INDEX($AB$1004:$AQ$1004,1,MATCH(COLUMNS($AB$1006:AH1006),$AB$1006:$AQ$1006,0)))),"Fix")))</f>
        <v>0</v>
      </c>
      <c r="I991" s="4">
        <f>IF(OR(INDEX($V$2:$V$1001,MATCH(ROWS($U$2:U991),$U$2:$U$1001,0),1)&gt;=100000,INDEX($AB$1005:$AQ$1005,1,MATCH(COLUMNS($AB$1006:AI1006),$AB$1006:$AQ$1006,0))&gt;=100000), " ",IF(INDEX($AB$2:$AQ$1001,MATCH(ROWS($U$2:U991),$U$2:$U$1001,0),MATCH(COLUMNS($AB$1006:AI1006),$AB$1006:$AQ$1006,0)), HYPERLINK("#",""), HYPERLINK(CONCATENATE("#metadata!", ADDRESS(INDEX($W$2:$W$1001,MATCH(ROWS($U$2:U991),$U$2:$U$1001,0),0), INDEX($AB$1004:$AQ$1004,1,MATCH(COLUMNS($AB$1006:AI1006),$AB$1006:$AQ$1006,0)))),"Fix")))</f>
        <v>0</v>
      </c>
      <c r="J991" s="4">
        <f>IF(OR(INDEX($V$2:$V$1001,MATCH(ROWS($U$2:U991),$U$2:$U$1001,0),1)&gt;=100000,INDEX($AB$1005:$AQ$1005,1,MATCH(COLUMNS($AB$1006:AJ1006),$AB$1006:$AQ$1006,0))&gt;=100000), " ",IF(INDEX($AB$2:$AQ$1001,MATCH(ROWS($U$2:U991),$U$2:$U$1001,0),MATCH(COLUMNS($AB$1006:AJ1006),$AB$1006:$AQ$1006,0)), HYPERLINK("#",""), HYPERLINK(CONCATENATE("#metadata!", ADDRESS(INDEX($W$2:$W$1001,MATCH(ROWS($U$2:U991),$U$2:$U$1001,0),0), INDEX($AB$1004:$AQ$1004,1,MATCH(COLUMNS($AB$1006:AJ1006),$AB$1006:$AQ$1006,0)))),"Fix")))</f>
        <v>0</v>
      </c>
      <c r="K991" s="4">
        <f>IF(OR(INDEX($V$2:$V$1001,MATCH(ROWS($U$2:U991),$U$2:$U$1001,0),1)&gt;=100000,INDEX($AB$1005:$AQ$1005,1,MATCH(COLUMNS($AB$1006:AK1006),$AB$1006:$AQ$1006,0))&gt;=100000), " ",IF(INDEX($AB$2:$AQ$1001,MATCH(ROWS($U$2:U991),$U$2:$U$1001,0),MATCH(COLUMNS($AB$1006:AK1006),$AB$1006:$AQ$1006,0)), HYPERLINK("#",""), HYPERLINK(CONCATENATE("#metadata!", ADDRESS(INDEX($W$2:$W$1001,MATCH(ROWS($U$2:U991),$U$2:$U$1001,0),0), INDEX($AB$1004:$AQ$1004,1,MATCH(COLUMNS($AB$1006:AK1006),$AB$1006:$AQ$1006,0)))),"Fix")))</f>
        <v>0</v>
      </c>
      <c r="L991" s="4">
        <f>IF(OR(INDEX($V$2:$V$1001,MATCH(ROWS($U$2:U991),$U$2:$U$1001,0),1)&gt;=100000,INDEX($AB$1005:$AQ$1005,1,MATCH(COLUMNS($AB$1006:AL1006),$AB$1006:$AQ$1006,0))&gt;=100000), " ",IF(INDEX($AB$2:$AQ$1001,MATCH(ROWS($U$2:U991),$U$2:$U$1001,0),MATCH(COLUMNS($AB$1006:AL1006),$AB$1006:$AQ$1006,0)), HYPERLINK("#",""), HYPERLINK(CONCATENATE("#metadata!", ADDRESS(INDEX($W$2:$W$1001,MATCH(ROWS($U$2:U991),$U$2:$U$1001,0),0), INDEX($AB$1004:$AQ$1004,1,MATCH(COLUMNS($AB$1006:AL1006),$AB$1006:$AQ$1006,0)))),"Fix")))</f>
        <v>0</v>
      </c>
      <c r="M991" s="4">
        <f>IF(OR(INDEX($V$2:$V$1001,MATCH(ROWS($U$2:U991),$U$2:$U$1001,0),1)&gt;=100000,INDEX($AB$1005:$AQ$1005,1,MATCH(COLUMNS($AB$1006:AM1006),$AB$1006:$AQ$1006,0))&gt;=100000), " ",IF(INDEX($AB$2:$AQ$1001,MATCH(ROWS($U$2:U991),$U$2:$U$1001,0),MATCH(COLUMNS($AB$1006:AM1006),$AB$1006:$AQ$1006,0)), HYPERLINK("#",""), HYPERLINK(CONCATENATE("#metadata!", ADDRESS(INDEX($W$2:$W$1001,MATCH(ROWS($U$2:U991),$U$2:$U$1001,0),0), INDEX($AB$1004:$AQ$1004,1,MATCH(COLUMNS($AB$1006:AM1006),$AB$1006:$AQ$1006,0)))),"Fix")))</f>
        <v>0</v>
      </c>
      <c r="N991" s="4">
        <f>IF(OR(INDEX($V$2:$V$1001,MATCH(ROWS($U$2:U991),$U$2:$U$1001,0),1)&gt;=100000,INDEX($AB$1005:$AQ$1005,1,MATCH(COLUMNS($AB$1006:AN1006),$AB$1006:$AQ$1006,0))&gt;=100000), " ",IF(INDEX($AB$2:$AQ$1001,MATCH(ROWS($U$2:U991),$U$2:$U$1001,0),MATCH(COLUMNS($AB$1006:AN1006),$AB$1006:$AQ$1006,0)), HYPERLINK("#",""), HYPERLINK(CONCATENATE("#metadata!", ADDRESS(INDEX($W$2:$W$1001,MATCH(ROWS($U$2:U991),$U$2:$U$1001,0),0), INDEX($AB$1004:$AQ$1004,1,MATCH(COLUMNS($AB$1006:AN1006),$AB$1006:$AQ$1006,0)))),"Fix")))</f>
        <v>0</v>
      </c>
      <c r="O991" s="4">
        <f>IF(OR(INDEX($V$2:$V$1001,MATCH(ROWS($U$2:U991),$U$2:$U$1001,0),1)&gt;=100000,INDEX($AB$1005:$AQ$1005,1,MATCH(COLUMNS($AB$1006:AO1006),$AB$1006:$AQ$1006,0))&gt;=100000), " ",IF(INDEX($AB$2:$AQ$1001,MATCH(ROWS($U$2:U991),$U$2:$U$1001,0),MATCH(COLUMNS($AB$1006:AO1006),$AB$1006:$AQ$1006,0)), HYPERLINK("#",""), HYPERLINK(CONCATENATE("#metadata!", ADDRESS(INDEX($W$2:$W$1001,MATCH(ROWS($U$2:U991),$U$2:$U$1001,0),0), INDEX($AB$1004:$AQ$1004,1,MATCH(COLUMNS($AB$1006:AO1006),$AB$1006:$AQ$1006,0)))),"Fix")))</f>
        <v>0</v>
      </c>
      <c r="P991" s="4">
        <f>IF(OR(INDEX($V$2:$V$1001,MATCH(ROWS($U$2:U991),$U$2:$U$1001,0),1)&gt;=100000,INDEX($AB$1005:$AQ$1005,1,MATCH(COLUMNS($AB$1006:AP1006),$AB$1006:$AQ$1006,0))&gt;=100000), " ",IF(INDEX($AB$2:$AQ$1001,MATCH(ROWS($U$2:U991),$U$2:$U$1001,0),MATCH(COLUMNS($AB$1006:AP1006),$AB$1006:$AQ$1006,0)), HYPERLINK("#",""), HYPERLINK(CONCATENATE("#metadata!", ADDRESS(INDEX($W$2:$W$1001,MATCH(ROWS($U$2:U991),$U$2:$U$1001,0),0), INDEX($AB$1004:$AQ$1004,1,MATCH(COLUMNS($AB$1006:AP1006),$AB$1006:$AQ$1006,0)))),"Fix")))</f>
        <v>0</v>
      </c>
      <c r="Q991" s="4">
        <f>IF(OR(INDEX($V$2:$V$1001,MATCH(ROWS($U$2:U991),$U$2:$U$1001,0),1)&gt;=100000,INDEX($AB$1005:$AQ$1005,1,MATCH(COLUMNS($AB$1006:AQ1006),$AB$1006:$AQ$1006,0))&gt;=100000), " ",IF(INDEX($AB$2:$AQ$1001,MATCH(ROWS($U$2:U991),$U$2:$U$1001,0),MATCH(COLUMNS($AB$1006:AQ1006),$AB$1006:$AQ$1006,0)), HYPERLINK("#",""), HYPERLINK(CONCATENATE("#metadata!", ADDRESS(INDEX($W$2:$W$1001,MATCH(ROWS($U$2:U991),$U$2:$U$1001,0),0), INDEX($AB$1004:$AQ$1004,1,MATCH(COLUMNS($AB$1006:AQ1006),$AB$1006:$AQ$1006,0)))),"Fix")))</f>
        <v>0</v>
      </c>
      <c r="U991">
        <v>0</v>
      </c>
      <c r="V991">
        <v>0</v>
      </c>
      <c r="W991">
        <v>0</v>
      </c>
      <c r="X991">
        <f>IF(Y991,TRUE,AND(AB991:AQ991))</f>
        <v>0</v>
      </c>
      <c r="Y991">
        <f>COUNTBLANK(metadata!B991:Q991)=COLUMNS(metadata!B991:Q991)</f>
        <v>0</v>
      </c>
      <c r="Z991">
        <v>0</v>
      </c>
      <c r="AB991">
        <f>AND(IF(metadata!B991="",FALSE,TRUE),COUNTIF(metadata!B:B, metadata!B991) = 1,NOT(ISERROR(SUMPRODUCT(SEARCH(MID(metadata!B991,ROW(INDIRECT("1:"&amp;LEN(metadata!B991))), 1),"0123456789abcdefghijklmnopqrstuvwxyzABCDEFGHIJKLMNOPQRSTUVWXYZ.")))))</f>
        <v>0</v>
      </c>
      <c r="AC991">
        <f>OR(AND(IF(metadata!C991="",FALSE,TRUE),OR(exact(metadata!C991,"missing: not collected"),exact(metadata!C991,"missing: not provided"),exact(metadata!C991,"missing: restricted access"))),AND(IF(metadata!C991="",FALSE,TRUE),AND(AND(IFERROR(INT(LEFT(metadata!C991,4))&gt;1900,FALSE),IFERROR(INT(LEFT(metadata!C991,4))&lt;=YEAR(NOW()),FALSE)), OR(MID(metadata!C991,5,1)="", AND(AND(MID(metadata!C991,5,1)="-",IFERROR(INT(MID(metadata!C991,6,1))&gt;=0,FALSE),IFERROR(INT(MID(metadata!C991,6,1))&lt;=1,FALSE),NOT(MID(metadata!C991,7,1)=""),IFERROR(INT(MID(metadata!C991,6,2))&gt;=1,FALSE),IFERROR(INT(MID(metadata!C991,6,2))&lt;=12,FALSE)), OR(MID(metadata!C991,8,1)="", AND(AND(MID(metadata!C991,8,1)="-",IFERROR(INT(MID(metadata!C991,9,1))&gt;=0,FALSE),IFERROR(INT(MID(metadata!C991,9,1))&lt;=3,FALSE),NOT(MID(metadata!C991,10,1)=""),IFERROR(INT(MID(metadata!C991,9,2))&gt;=1,FALSE),IFERROR(INT(MID(metadata!C991,9,2))&lt;=31,FALSE)), OR(MID(metadata!C991,11,1)="", AND(AND(MID(metadata!C991,11,1)=" ",IFERROR(INT(MID(metadata!C991,12,1))&gt;=0,FALSE),IFERROR(INT(MID(metadata!C991,12,1))&lt;=2,FALSE),NOT(MID(metadata!C991,13,1)=""),IFERROR(INT(MID(metadata!C991,12,2))&gt;=0,FALSE),IFERROR(INT(MID(metadata!C991,12,2))&lt;=23,FALSE)), OR(MID(metadata!C991,14,1)="", AND(AND(MID(metadata!C991,14,1)=":",IFERROR(INT(MID(metadata!C991,15,1))&gt;=0,FALSE),IFERROR(INT(MID(metadata!C991,15,1))&lt;=5,FALSE),NOT(MID(metadata!C991,16,1)=""),IFERROR(INT(MID(metadata!C991,15,2))&gt;=0,FALSE),IFERROR(INT(MID(metadata!C991,15,2))&lt;=59,FALSE)), OR(MID(metadata!C991,17,1)="", AND(AND(MID(metadata!C991,17,1)=":",IFERROR(INT(MID(metadata!C991,18,1))&gt;=0,FALSE),IFERROR(INT(MID(metadata!C991,18,1))&lt;=5,FALSE),NOT(MID(metadata!C991,19,1)=""),IFERROR(INT(MID(metadata!C991,18,2))&gt;=0,FALSE),IFERROR(INT(MID(metadata!C991,18,2))&lt;=59,FALSE)), LEN(metadata!C991)&lt;=19)))))))))))))</f>
        <v>0</v>
      </c>
      <c r="AD991">
        <f>IF(metadata!D991="",FALSE,TRUE)</f>
        <v>0</v>
      </c>
      <c r="AE991">
        <f>OR(AND(IF(metadata!E991="",FALSE,TRUE),OR(exact(metadata!E991,"missing: not collected"),exact(metadata!E991,"missing: not provided"))),AND(IF(metadata!E991="",FALSE,TRUE),OR(exact(metadata!E991,"TRUE"),exact(metadata!E991,"FALSE"))))</f>
        <v>0</v>
      </c>
      <c r="AF991">
        <f>IF(metadata!F991="",FALSE,TRUE)</f>
        <v>0</v>
      </c>
      <c r="AG991">
        <f>IF(metadata!G991="",FALSE,TRUE)</f>
        <v>0</v>
      </c>
      <c r="AH991">
        <f>IF(metadata!H991="",FALSE,TRUE)</f>
        <v>0</v>
      </c>
      <c r="AI991">
        <f>OR(AND(IF(metadata!I991="",FALSE,TRUE),OR(exact(metadata!I991,"missing: not collected"),exact(metadata!I991,"missing: not provided"),exact(metadata!I991,"missing: restricted access"))),AND(IF(metadata!I991="",FALSE,TRUE),OR(exact(metadata!I991,"air"),exact(metadata!I991,"built environment"),exact(metadata!I991,"host-associated"),exact(metadata!I991,"human-associated"),exact(metadata!I991,"human-skin"),exact(metadata!I991,"human-oral"),exact(metadata!I991,"human-gut"),exact(metadata!I991,"human-vaginal"),exact(metadata!I991,"microbial mat/biofilm"),exact(metadata!I991,"misc environment"),exact(metadata!I991,"plant-associated"),exact(metadata!I991,"sediment"),exact(metadata!I991,"soil"),exact(metadata!I991,"wastewater/sludge"),exact(metadata!I991,"water"))))</f>
        <v>0</v>
      </c>
      <c r="AJ991">
        <f>IF(metadata!J991="",FALSE,TRUE)</f>
        <v>0</v>
      </c>
      <c r="AK991">
        <f>OR(AND(IF(metadata!K991="",FALSE,TRUE),OR(exact(metadata!K991,"missing: not collected"),exact(metadata!K991,"missing: not provided"),exact(metadata!K991,"missing: restricted access"))),AND(IF(metadata!K991="",FALSE,ISNUMBER(VALUE(metadata!K991))),metadata!K991&gt;=-90.00,metadata!K991&lt;=90.00))</f>
        <v>0</v>
      </c>
      <c r="AL991">
        <f>OR(AND(IF(metadata!L991="",FALSE,TRUE),OR(exact(metadata!L991,"missing: not collected"),exact(metadata!L991,"missing: not provided"),exact(metadata!L991,"missing: restricted access"))),AND(IF(metadata!L991="",FALSE,ISNUMBER(VALUE(metadata!L991))),metadata!L991&gt;=-180.00,metadata!L991&lt;=180.00))</f>
        <v>0</v>
      </c>
      <c r="AM991">
        <f>IF(metadata!M991="",FALSE,TRUE)</f>
        <v>0</v>
      </c>
      <c r="AN991">
        <f>OR(AND(IF(metadata!N991="",FALSE,TRUE),OR(exact(metadata!N991,"missing: not collected"),exact(metadata!N991,"missing: not provided"),exact(metadata!N991,"missing: restricted access"))),AND(IF(metadata!N991="",FALSE,TRUE),OR(exact(metadata!N991,"TRUE"),exact(metadata!N991,"FALSE"))))</f>
        <v>0</v>
      </c>
      <c r="AO991">
        <f>IF(metadata!O991="",FALSE,TRUE)</f>
        <v>0</v>
      </c>
      <c r="AP991">
        <f>OR(AND(IF(metadata!P991="",FALSE,TRUE),OR(exact(metadata!P991,"missing: not collected"),exact(metadata!P991,"missing: not provided"))),AND(IF(metadata!P991="",FALSE,IF(ISERROR(INT(metadata!P991)),FALSE,INT(metadata!P991)=metadata!P991)),metadata!P991&gt;0))</f>
        <v>0</v>
      </c>
      <c r="AQ991">
        <f>IF(metadata!Q991="",FALSE,TRUE)</f>
        <v>0</v>
      </c>
    </row>
    <row r="992" spans="1:43">
      <c r="A992" s="5">
        <f>IF(B992=" "," ",HYPERLINK(CONCATENATE("#metadata!",ADDRESS(INDEX($W$2:$W$1001,MATCH(ROWS($U$2:U992),$U$2:$U$1001,0),0),1)),INDEX($Z$2:$Z$1001,MATCH(ROWS($U$2:U992),$U$2:$U$1001,0),0)))</f>
        <v>0</v>
      </c>
      <c r="B992" s="4">
        <f>IF(OR(INDEX($V$2:$V$1001,MATCH(ROWS($U$2:U992),$U$2:$U$1001,0),1)&gt;=100000,INDEX($AB$1005:$AQ$1005,1,MATCH(COLUMNS($AB$1006:AB1006),$AB$1006:$AQ$1006,0))&gt;=100000), " ",IF(INDEX($AB$2:$AQ$1001,MATCH(ROWS($U$2:U992),$U$2:$U$1001,0),MATCH(COLUMNS($AB$1006:AB1006),$AB$1006:$AQ$1006,0)), HYPERLINK("#",""), HYPERLINK(CONCATENATE("#metadata!", ADDRESS(INDEX($W$2:$W$1001,MATCH(ROWS($U$2:U992),$U$2:$U$1001,0),0), INDEX($AB$1004:$AQ$1004,1,MATCH(COLUMNS($AB$1006:AB1006),$AB$1006:$AQ$1006,0)))),"Fix")))</f>
        <v>0</v>
      </c>
      <c r="C992" s="4">
        <f>IF(OR(INDEX($V$2:$V$1001,MATCH(ROWS($U$2:U992),$U$2:$U$1001,0),1)&gt;=100000,INDEX($AB$1005:$AQ$1005,1,MATCH(COLUMNS($AB$1006:AC1006),$AB$1006:$AQ$1006,0))&gt;=100000), " ",IF(INDEX($AB$2:$AQ$1001,MATCH(ROWS($U$2:U992),$U$2:$U$1001,0),MATCH(COLUMNS($AB$1006:AC1006),$AB$1006:$AQ$1006,0)), HYPERLINK("#",""), HYPERLINK(CONCATENATE("#metadata!", ADDRESS(INDEX($W$2:$W$1001,MATCH(ROWS($U$2:U992),$U$2:$U$1001,0),0), INDEX($AB$1004:$AQ$1004,1,MATCH(COLUMNS($AB$1006:AC1006),$AB$1006:$AQ$1006,0)))),"Fix")))</f>
        <v>0</v>
      </c>
      <c r="D992" s="4">
        <f>IF(OR(INDEX($V$2:$V$1001,MATCH(ROWS($U$2:U992),$U$2:$U$1001,0),1)&gt;=100000,INDEX($AB$1005:$AQ$1005,1,MATCH(COLUMNS($AB$1006:AD1006),$AB$1006:$AQ$1006,0))&gt;=100000), " ",IF(INDEX($AB$2:$AQ$1001,MATCH(ROWS($U$2:U992),$U$2:$U$1001,0),MATCH(COLUMNS($AB$1006:AD1006),$AB$1006:$AQ$1006,0)), HYPERLINK("#",""), HYPERLINK(CONCATENATE("#metadata!", ADDRESS(INDEX($W$2:$W$1001,MATCH(ROWS($U$2:U992),$U$2:$U$1001,0),0), INDEX($AB$1004:$AQ$1004,1,MATCH(COLUMNS($AB$1006:AD1006),$AB$1006:$AQ$1006,0)))),"Fix")))</f>
        <v>0</v>
      </c>
      <c r="E992" s="4">
        <f>IF(OR(INDEX($V$2:$V$1001,MATCH(ROWS($U$2:U992),$U$2:$U$1001,0),1)&gt;=100000,INDEX($AB$1005:$AQ$1005,1,MATCH(COLUMNS($AB$1006:AE1006),$AB$1006:$AQ$1006,0))&gt;=100000), " ",IF(INDEX($AB$2:$AQ$1001,MATCH(ROWS($U$2:U992),$U$2:$U$1001,0),MATCH(COLUMNS($AB$1006:AE1006),$AB$1006:$AQ$1006,0)), HYPERLINK("#",""), HYPERLINK(CONCATENATE("#metadata!", ADDRESS(INDEX($W$2:$W$1001,MATCH(ROWS($U$2:U992),$U$2:$U$1001,0),0), INDEX($AB$1004:$AQ$1004,1,MATCH(COLUMNS($AB$1006:AE1006),$AB$1006:$AQ$1006,0)))),"Fix")))</f>
        <v>0</v>
      </c>
      <c r="F992" s="4">
        <f>IF(OR(INDEX($V$2:$V$1001,MATCH(ROWS($U$2:U992),$U$2:$U$1001,0),1)&gt;=100000,INDEX($AB$1005:$AQ$1005,1,MATCH(COLUMNS($AB$1006:AF1006),$AB$1006:$AQ$1006,0))&gt;=100000), " ",IF(INDEX($AB$2:$AQ$1001,MATCH(ROWS($U$2:U992),$U$2:$U$1001,0),MATCH(COLUMNS($AB$1006:AF1006),$AB$1006:$AQ$1006,0)), HYPERLINK("#",""), HYPERLINK(CONCATENATE("#metadata!", ADDRESS(INDEX($W$2:$W$1001,MATCH(ROWS($U$2:U992),$U$2:$U$1001,0),0), INDEX($AB$1004:$AQ$1004,1,MATCH(COLUMNS($AB$1006:AF1006),$AB$1006:$AQ$1006,0)))),"Fix")))</f>
        <v>0</v>
      </c>
      <c r="G992" s="4">
        <f>IF(OR(INDEX($V$2:$V$1001,MATCH(ROWS($U$2:U992),$U$2:$U$1001,0),1)&gt;=100000,INDEX($AB$1005:$AQ$1005,1,MATCH(COLUMNS($AB$1006:AG1006),$AB$1006:$AQ$1006,0))&gt;=100000), " ",IF(INDEX($AB$2:$AQ$1001,MATCH(ROWS($U$2:U992),$U$2:$U$1001,0),MATCH(COLUMNS($AB$1006:AG1006),$AB$1006:$AQ$1006,0)), HYPERLINK("#",""), HYPERLINK(CONCATENATE("#metadata!", ADDRESS(INDEX($W$2:$W$1001,MATCH(ROWS($U$2:U992),$U$2:$U$1001,0),0), INDEX($AB$1004:$AQ$1004,1,MATCH(COLUMNS($AB$1006:AG1006),$AB$1006:$AQ$1006,0)))),"Fix")))</f>
        <v>0</v>
      </c>
      <c r="H992" s="4">
        <f>IF(OR(INDEX($V$2:$V$1001,MATCH(ROWS($U$2:U992),$U$2:$U$1001,0),1)&gt;=100000,INDEX($AB$1005:$AQ$1005,1,MATCH(COLUMNS($AB$1006:AH1006),$AB$1006:$AQ$1006,0))&gt;=100000), " ",IF(INDEX($AB$2:$AQ$1001,MATCH(ROWS($U$2:U992),$U$2:$U$1001,0),MATCH(COLUMNS($AB$1006:AH1006),$AB$1006:$AQ$1006,0)), HYPERLINK("#",""), HYPERLINK(CONCATENATE("#metadata!", ADDRESS(INDEX($W$2:$W$1001,MATCH(ROWS($U$2:U992),$U$2:$U$1001,0),0), INDEX($AB$1004:$AQ$1004,1,MATCH(COLUMNS($AB$1006:AH1006),$AB$1006:$AQ$1006,0)))),"Fix")))</f>
        <v>0</v>
      </c>
      <c r="I992" s="4">
        <f>IF(OR(INDEX($V$2:$V$1001,MATCH(ROWS($U$2:U992),$U$2:$U$1001,0),1)&gt;=100000,INDEX($AB$1005:$AQ$1005,1,MATCH(COLUMNS($AB$1006:AI1006),$AB$1006:$AQ$1006,0))&gt;=100000), " ",IF(INDEX($AB$2:$AQ$1001,MATCH(ROWS($U$2:U992),$U$2:$U$1001,0),MATCH(COLUMNS($AB$1006:AI1006),$AB$1006:$AQ$1006,0)), HYPERLINK("#",""), HYPERLINK(CONCATENATE("#metadata!", ADDRESS(INDEX($W$2:$W$1001,MATCH(ROWS($U$2:U992),$U$2:$U$1001,0),0), INDEX($AB$1004:$AQ$1004,1,MATCH(COLUMNS($AB$1006:AI1006),$AB$1006:$AQ$1006,0)))),"Fix")))</f>
        <v>0</v>
      </c>
      <c r="J992" s="4">
        <f>IF(OR(INDEX($V$2:$V$1001,MATCH(ROWS($U$2:U992),$U$2:$U$1001,0),1)&gt;=100000,INDEX($AB$1005:$AQ$1005,1,MATCH(COLUMNS($AB$1006:AJ1006),$AB$1006:$AQ$1006,0))&gt;=100000), " ",IF(INDEX($AB$2:$AQ$1001,MATCH(ROWS($U$2:U992),$U$2:$U$1001,0),MATCH(COLUMNS($AB$1006:AJ1006),$AB$1006:$AQ$1006,0)), HYPERLINK("#",""), HYPERLINK(CONCATENATE("#metadata!", ADDRESS(INDEX($W$2:$W$1001,MATCH(ROWS($U$2:U992),$U$2:$U$1001,0),0), INDEX($AB$1004:$AQ$1004,1,MATCH(COLUMNS($AB$1006:AJ1006),$AB$1006:$AQ$1006,0)))),"Fix")))</f>
        <v>0</v>
      </c>
      <c r="K992" s="4">
        <f>IF(OR(INDEX($V$2:$V$1001,MATCH(ROWS($U$2:U992),$U$2:$U$1001,0),1)&gt;=100000,INDEX($AB$1005:$AQ$1005,1,MATCH(COLUMNS($AB$1006:AK1006),$AB$1006:$AQ$1006,0))&gt;=100000), " ",IF(INDEX($AB$2:$AQ$1001,MATCH(ROWS($U$2:U992),$U$2:$U$1001,0),MATCH(COLUMNS($AB$1006:AK1006),$AB$1006:$AQ$1006,0)), HYPERLINK("#",""), HYPERLINK(CONCATENATE("#metadata!", ADDRESS(INDEX($W$2:$W$1001,MATCH(ROWS($U$2:U992),$U$2:$U$1001,0),0), INDEX($AB$1004:$AQ$1004,1,MATCH(COLUMNS($AB$1006:AK1006),$AB$1006:$AQ$1006,0)))),"Fix")))</f>
        <v>0</v>
      </c>
      <c r="L992" s="4">
        <f>IF(OR(INDEX($V$2:$V$1001,MATCH(ROWS($U$2:U992),$U$2:$U$1001,0),1)&gt;=100000,INDEX($AB$1005:$AQ$1005,1,MATCH(COLUMNS($AB$1006:AL1006),$AB$1006:$AQ$1006,0))&gt;=100000), " ",IF(INDEX($AB$2:$AQ$1001,MATCH(ROWS($U$2:U992),$U$2:$U$1001,0),MATCH(COLUMNS($AB$1006:AL1006),$AB$1006:$AQ$1006,0)), HYPERLINK("#",""), HYPERLINK(CONCATENATE("#metadata!", ADDRESS(INDEX($W$2:$W$1001,MATCH(ROWS($U$2:U992),$U$2:$U$1001,0),0), INDEX($AB$1004:$AQ$1004,1,MATCH(COLUMNS($AB$1006:AL1006),$AB$1006:$AQ$1006,0)))),"Fix")))</f>
        <v>0</v>
      </c>
      <c r="M992" s="4">
        <f>IF(OR(INDEX($V$2:$V$1001,MATCH(ROWS($U$2:U992),$U$2:$U$1001,0),1)&gt;=100000,INDEX($AB$1005:$AQ$1005,1,MATCH(COLUMNS($AB$1006:AM1006),$AB$1006:$AQ$1006,0))&gt;=100000), " ",IF(INDEX($AB$2:$AQ$1001,MATCH(ROWS($U$2:U992),$U$2:$U$1001,0),MATCH(COLUMNS($AB$1006:AM1006),$AB$1006:$AQ$1006,0)), HYPERLINK("#",""), HYPERLINK(CONCATENATE("#metadata!", ADDRESS(INDEX($W$2:$W$1001,MATCH(ROWS($U$2:U992),$U$2:$U$1001,0),0), INDEX($AB$1004:$AQ$1004,1,MATCH(COLUMNS($AB$1006:AM1006),$AB$1006:$AQ$1006,0)))),"Fix")))</f>
        <v>0</v>
      </c>
      <c r="N992" s="4">
        <f>IF(OR(INDEX($V$2:$V$1001,MATCH(ROWS($U$2:U992),$U$2:$U$1001,0),1)&gt;=100000,INDEX($AB$1005:$AQ$1005,1,MATCH(COLUMNS($AB$1006:AN1006),$AB$1006:$AQ$1006,0))&gt;=100000), " ",IF(INDEX($AB$2:$AQ$1001,MATCH(ROWS($U$2:U992),$U$2:$U$1001,0),MATCH(COLUMNS($AB$1006:AN1006),$AB$1006:$AQ$1006,0)), HYPERLINK("#",""), HYPERLINK(CONCATENATE("#metadata!", ADDRESS(INDEX($W$2:$W$1001,MATCH(ROWS($U$2:U992),$U$2:$U$1001,0),0), INDEX($AB$1004:$AQ$1004,1,MATCH(COLUMNS($AB$1006:AN1006),$AB$1006:$AQ$1006,0)))),"Fix")))</f>
        <v>0</v>
      </c>
      <c r="O992" s="4">
        <f>IF(OR(INDEX($V$2:$V$1001,MATCH(ROWS($U$2:U992),$U$2:$U$1001,0),1)&gt;=100000,INDEX($AB$1005:$AQ$1005,1,MATCH(COLUMNS($AB$1006:AO1006),$AB$1006:$AQ$1006,0))&gt;=100000), " ",IF(INDEX($AB$2:$AQ$1001,MATCH(ROWS($U$2:U992),$U$2:$U$1001,0),MATCH(COLUMNS($AB$1006:AO1006),$AB$1006:$AQ$1006,0)), HYPERLINK("#",""), HYPERLINK(CONCATENATE("#metadata!", ADDRESS(INDEX($W$2:$W$1001,MATCH(ROWS($U$2:U992),$U$2:$U$1001,0),0), INDEX($AB$1004:$AQ$1004,1,MATCH(COLUMNS($AB$1006:AO1006),$AB$1006:$AQ$1006,0)))),"Fix")))</f>
        <v>0</v>
      </c>
      <c r="P992" s="4">
        <f>IF(OR(INDEX($V$2:$V$1001,MATCH(ROWS($U$2:U992),$U$2:$U$1001,0),1)&gt;=100000,INDEX($AB$1005:$AQ$1005,1,MATCH(COLUMNS($AB$1006:AP1006),$AB$1006:$AQ$1006,0))&gt;=100000), " ",IF(INDEX($AB$2:$AQ$1001,MATCH(ROWS($U$2:U992),$U$2:$U$1001,0),MATCH(COLUMNS($AB$1006:AP1006),$AB$1006:$AQ$1006,0)), HYPERLINK("#",""), HYPERLINK(CONCATENATE("#metadata!", ADDRESS(INDEX($W$2:$W$1001,MATCH(ROWS($U$2:U992),$U$2:$U$1001,0),0), INDEX($AB$1004:$AQ$1004,1,MATCH(COLUMNS($AB$1006:AP1006),$AB$1006:$AQ$1006,0)))),"Fix")))</f>
        <v>0</v>
      </c>
      <c r="Q992" s="4">
        <f>IF(OR(INDEX($V$2:$V$1001,MATCH(ROWS($U$2:U992),$U$2:$U$1001,0),1)&gt;=100000,INDEX($AB$1005:$AQ$1005,1,MATCH(COLUMNS($AB$1006:AQ1006),$AB$1006:$AQ$1006,0))&gt;=100000), " ",IF(INDEX($AB$2:$AQ$1001,MATCH(ROWS($U$2:U992),$U$2:$U$1001,0),MATCH(COLUMNS($AB$1006:AQ1006),$AB$1006:$AQ$1006,0)), HYPERLINK("#",""), HYPERLINK(CONCATENATE("#metadata!", ADDRESS(INDEX($W$2:$W$1001,MATCH(ROWS($U$2:U992),$U$2:$U$1001,0),0), INDEX($AB$1004:$AQ$1004,1,MATCH(COLUMNS($AB$1006:AQ1006),$AB$1006:$AQ$1006,0)))),"Fix")))</f>
        <v>0</v>
      </c>
      <c r="U992">
        <v>0</v>
      </c>
      <c r="V992">
        <v>0</v>
      </c>
      <c r="W992">
        <v>0</v>
      </c>
      <c r="X992">
        <f>IF(Y992,TRUE,AND(AB992:AQ992))</f>
        <v>0</v>
      </c>
      <c r="Y992">
        <f>COUNTBLANK(metadata!B992:Q992)=COLUMNS(metadata!B992:Q992)</f>
        <v>0</v>
      </c>
      <c r="Z992">
        <v>0</v>
      </c>
      <c r="AB992">
        <f>AND(IF(metadata!B992="",FALSE,TRUE),COUNTIF(metadata!B:B, metadata!B992) = 1,NOT(ISERROR(SUMPRODUCT(SEARCH(MID(metadata!B992,ROW(INDIRECT("1:"&amp;LEN(metadata!B992))), 1),"0123456789abcdefghijklmnopqrstuvwxyzABCDEFGHIJKLMNOPQRSTUVWXYZ.")))))</f>
        <v>0</v>
      </c>
      <c r="AC992">
        <f>OR(AND(IF(metadata!C992="",FALSE,TRUE),OR(exact(metadata!C992,"missing: not collected"),exact(metadata!C992,"missing: not provided"),exact(metadata!C992,"missing: restricted access"))),AND(IF(metadata!C992="",FALSE,TRUE),AND(AND(IFERROR(INT(LEFT(metadata!C992,4))&gt;1900,FALSE),IFERROR(INT(LEFT(metadata!C992,4))&lt;=YEAR(NOW()),FALSE)), OR(MID(metadata!C992,5,1)="", AND(AND(MID(metadata!C992,5,1)="-",IFERROR(INT(MID(metadata!C992,6,1))&gt;=0,FALSE),IFERROR(INT(MID(metadata!C992,6,1))&lt;=1,FALSE),NOT(MID(metadata!C992,7,1)=""),IFERROR(INT(MID(metadata!C992,6,2))&gt;=1,FALSE),IFERROR(INT(MID(metadata!C992,6,2))&lt;=12,FALSE)), OR(MID(metadata!C992,8,1)="", AND(AND(MID(metadata!C992,8,1)="-",IFERROR(INT(MID(metadata!C992,9,1))&gt;=0,FALSE),IFERROR(INT(MID(metadata!C992,9,1))&lt;=3,FALSE),NOT(MID(metadata!C992,10,1)=""),IFERROR(INT(MID(metadata!C992,9,2))&gt;=1,FALSE),IFERROR(INT(MID(metadata!C992,9,2))&lt;=31,FALSE)), OR(MID(metadata!C992,11,1)="", AND(AND(MID(metadata!C992,11,1)=" ",IFERROR(INT(MID(metadata!C992,12,1))&gt;=0,FALSE),IFERROR(INT(MID(metadata!C992,12,1))&lt;=2,FALSE),NOT(MID(metadata!C992,13,1)=""),IFERROR(INT(MID(metadata!C992,12,2))&gt;=0,FALSE),IFERROR(INT(MID(metadata!C992,12,2))&lt;=23,FALSE)), OR(MID(metadata!C992,14,1)="", AND(AND(MID(metadata!C992,14,1)=":",IFERROR(INT(MID(metadata!C992,15,1))&gt;=0,FALSE),IFERROR(INT(MID(metadata!C992,15,1))&lt;=5,FALSE),NOT(MID(metadata!C992,16,1)=""),IFERROR(INT(MID(metadata!C992,15,2))&gt;=0,FALSE),IFERROR(INT(MID(metadata!C992,15,2))&lt;=59,FALSE)), OR(MID(metadata!C992,17,1)="", AND(AND(MID(metadata!C992,17,1)=":",IFERROR(INT(MID(metadata!C992,18,1))&gt;=0,FALSE),IFERROR(INT(MID(metadata!C992,18,1))&lt;=5,FALSE),NOT(MID(metadata!C992,19,1)=""),IFERROR(INT(MID(metadata!C992,18,2))&gt;=0,FALSE),IFERROR(INT(MID(metadata!C992,18,2))&lt;=59,FALSE)), LEN(metadata!C992)&lt;=19)))))))))))))</f>
        <v>0</v>
      </c>
      <c r="AD992">
        <f>IF(metadata!D992="",FALSE,TRUE)</f>
        <v>0</v>
      </c>
      <c r="AE992">
        <f>OR(AND(IF(metadata!E992="",FALSE,TRUE),OR(exact(metadata!E992,"missing: not collected"),exact(metadata!E992,"missing: not provided"))),AND(IF(metadata!E992="",FALSE,TRUE),OR(exact(metadata!E992,"TRUE"),exact(metadata!E992,"FALSE"))))</f>
        <v>0</v>
      </c>
      <c r="AF992">
        <f>IF(metadata!F992="",FALSE,TRUE)</f>
        <v>0</v>
      </c>
      <c r="AG992">
        <f>IF(metadata!G992="",FALSE,TRUE)</f>
        <v>0</v>
      </c>
      <c r="AH992">
        <f>IF(metadata!H992="",FALSE,TRUE)</f>
        <v>0</v>
      </c>
      <c r="AI992">
        <f>OR(AND(IF(metadata!I992="",FALSE,TRUE),OR(exact(metadata!I992,"missing: not collected"),exact(metadata!I992,"missing: not provided"),exact(metadata!I992,"missing: restricted access"))),AND(IF(metadata!I992="",FALSE,TRUE),OR(exact(metadata!I992,"air"),exact(metadata!I992,"built environment"),exact(metadata!I992,"host-associated"),exact(metadata!I992,"human-associated"),exact(metadata!I992,"human-skin"),exact(metadata!I992,"human-oral"),exact(metadata!I992,"human-gut"),exact(metadata!I992,"human-vaginal"),exact(metadata!I992,"microbial mat/biofilm"),exact(metadata!I992,"misc environment"),exact(metadata!I992,"plant-associated"),exact(metadata!I992,"sediment"),exact(metadata!I992,"soil"),exact(metadata!I992,"wastewater/sludge"),exact(metadata!I992,"water"))))</f>
        <v>0</v>
      </c>
      <c r="AJ992">
        <f>IF(metadata!J992="",FALSE,TRUE)</f>
        <v>0</v>
      </c>
      <c r="AK992">
        <f>OR(AND(IF(metadata!K992="",FALSE,TRUE),OR(exact(metadata!K992,"missing: not collected"),exact(metadata!K992,"missing: not provided"),exact(metadata!K992,"missing: restricted access"))),AND(IF(metadata!K992="",FALSE,ISNUMBER(VALUE(metadata!K992))),metadata!K992&gt;=-90.00,metadata!K992&lt;=90.00))</f>
        <v>0</v>
      </c>
      <c r="AL992">
        <f>OR(AND(IF(metadata!L992="",FALSE,TRUE),OR(exact(metadata!L992,"missing: not collected"),exact(metadata!L992,"missing: not provided"),exact(metadata!L992,"missing: restricted access"))),AND(IF(metadata!L992="",FALSE,ISNUMBER(VALUE(metadata!L992))),metadata!L992&gt;=-180.00,metadata!L992&lt;=180.00))</f>
        <v>0</v>
      </c>
      <c r="AM992">
        <f>IF(metadata!M992="",FALSE,TRUE)</f>
        <v>0</v>
      </c>
      <c r="AN992">
        <f>OR(AND(IF(metadata!N992="",FALSE,TRUE),OR(exact(metadata!N992,"missing: not collected"),exact(metadata!N992,"missing: not provided"),exact(metadata!N992,"missing: restricted access"))),AND(IF(metadata!N992="",FALSE,TRUE),OR(exact(metadata!N992,"TRUE"),exact(metadata!N992,"FALSE"))))</f>
        <v>0</v>
      </c>
      <c r="AO992">
        <f>IF(metadata!O992="",FALSE,TRUE)</f>
        <v>0</v>
      </c>
      <c r="AP992">
        <f>OR(AND(IF(metadata!P992="",FALSE,TRUE),OR(exact(metadata!P992,"missing: not collected"),exact(metadata!P992,"missing: not provided"))),AND(IF(metadata!P992="",FALSE,IF(ISERROR(INT(metadata!P992)),FALSE,INT(metadata!P992)=metadata!P992)),metadata!P992&gt;0))</f>
        <v>0</v>
      </c>
      <c r="AQ992">
        <f>IF(metadata!Q992="",FALSE,TRUE)</f>
        <v>0</v>
      </c>
    </row>
    <row r="993" spans="1:43">
      <c r="A993" s="5">
        <f>IF(B993=" "," ",HYPERLINK(CONCATENATE("#metadata!",ADDRESS(INDEX($W$2:$W$1001,MATCH(ROWS($U$2:U993),$U$2:$U$1001,0),0),1)),INDEX($Z$2:$Z$1001,MATCH(ROWS($U$2:U993),$U$2:$U$1001,0),0)))</f>
        <v>0</v>
      </c>
      <c r="B993" s="4">
        <f>IF(OR(INDEX($V$2:$V$1001,MATCH(ROWS($U$2:U993),$U$2:$U$1001,0),1)&gt;=100000,INDEX($AB$1005:$AQ$1005,1,MATCH(COLUMNS($AB$1006:AB1006),$AB$1006:$AQ$1006,0))&gt;=100000), " ",IF(INDEX($AB$2:$AQ$1001,MATCH(ROWS($U$2:U993),$U$2:$U$1001,0),MATCH(COLUMNS($AB$1006:AB1006),$AB$1006:$AQ$1006,0)), HYPERLINK("#",""), HYPERLINK(CONCATENATE("#metadata!", ADDRESS(INDEX($W$2:$W$1001,MATCH(ROWS($U$2:U993),$U$2:$U$1001,0),0), INDEX($AB$1004:$AQ$1004,1,MATCH(COLUMNS($AB$1006:AB1006),$AB$1006:$AQ$1006,0)))),"Fix")))</f>
        <v>0</v>
      </c>
      <c r="C993" s="4">
        <f>IF(OR(INDEX($V$2:$V$1001,MATCH(ROWS($U$2:U993),$U$2:$U$1001,0),1)&gt;=100000,INDEX($AB$1005:$AQ$1005,1,MATCH(COLUMNS($AB$1006:AC1006),$AB$1006:$AQ$1006,0))&gt;=100000), " ",IF(INDEX($AB$2:$AQ$1001,MATCH(ROWS($U$2:U993),$U$2:$U$1001,0),MATCH(COLUMNS($AB$1006:AC1006),$AB$1006:$AQ$1006,0)), HYPERLINK("#",""), HYPERLINK(CONCATENATE("#metadata!", ADDRESS(INDEX($W$2:$W$1001,MATCH(ROWS($U$2:U993),$U$2:$U$1001,0),0), INDEX($AB$1004:$AQ$1004,1,MATCH(COLUMNS($AB$1006:AC1006),$AB$1006:$AQ$1006,0)))),"Fix")))</f>
        <v>0</v>
      </c>
      <c r="D993" s="4">
        <f>IF(OR(INDEX($V$2:$V$1001,MATCH(ROWS($U$2:U993),$U$2:$U$1001,0),1)&gt;=100000,INDEX($AB$1005:$AQ$1005,1,MATCH(COLUMNS($AB$1006:AD1006),$AB$1006:$AQ$1006,0))&gt;=100000), " ",IF(INDEX($AB$2:$AQ$1001,MATCH(ROWS($U$2:U993),$U$2:$U$1001,0),MATCH(COLUMNS($AB$1006:AD1006),$AB$1006:$AQ$1006,0)), HYPERLINK("#",""), HYPERLINK(CONCATENATE("#metadata!", ADDRESS(INDEX($W$2:$W$1001,MATCH(ROWS($U$2:U993),$U$2:$U$1001,0),0), INDEX($AB$1004:$AQ$1004,1,MATCH(COLUMNS($AB$1006:AD1006),$AB$1006:$AQ$1006,0)))),"Fix")))</f>
        <v>0</v>
      </c>
      <c r="E993" s="4">
        <f>IF(OR(INDEX($V$2:$V$1001,MATCH(ROWS($U$2:U993),$U$2:$U$1001,0),1)&gt;=100000,INDEX($AB$1005:$AQ$1005,1,MATCH(COLUMNS($AB$1006:AE1006),$AB$1006:$AQ$1006,0))&gt;=100000), " ",IF(INDEX($AB$2:$AQ$1001,MATCH(ROWS($U$2:U993),$U$2:$U$1001,0),MATCH(COLUMNS($AB$1006:AE1006),$AB$1006:$AQ$1006,0)), HYPERLINK("#",""), HYPERLINK(CONCATENATE("#metadata!", ADDRESS(INDEX($W$2:$W$1001,MATCH(ROWS($U$2:U993),$U$2:$U$1001,0),0), INDEX($AB$1004:$AQ$1004,1,MATCH(COLUMNS($AB$1006:AE1006),$AB$1006:$AQ$1006,0)))),"Fix")))</f>
        <v>0</v>
      </c>
      <c r="F993" s="4">
        <f>IF(OR(INDEX($V$2:$V$1001,MATCH(ROWS($U$2:U993),$U$2:$U$1001,0),1)&gt;=100000,INDEX($AB$1005:$AQ$1005,1,MATCH(COLUMNS($AB$1006:AF1006),$AB$1006:$AQ$1006,0))&gt;=100000), " ",IF(INDEX($AB$2:$AQ$1001,MATCH(ROWS($U$2:U993),$U$2:$U$1001,0),MATCH(COLUMNS($AB$1006:AF1006),$AB$1006:$AQ$1006,0)), HYPERLINK("#",""), HYPERLINK(CONCATENATE("#metadata!", ADDRESS(INDEX($W$2:$W$1001,MATCH(ROWS($U$2:U993),$U$2:$U$1001,0),0), INDEX($AB$1004:$AQ$1004,1,MATCH(COLUMNS($AB$1006:AF1006),$AB$1006:$AQ$1006,0)))),"Fix")))</f>
        <v>0</v>
      </c>
      <c r="G993" s="4">
        <f>IF(OR(INDEX($V$2:$V$1001,MATCH(ROWS($U$2:U993),$U$2:$U$1001,0),1)&gt;=100000,INDEX($AB$1005:$AQ$1005,1,MATCH(COLUMNS($AB$1006:AG1006),$AB$1006:$AQ$1006,0))&gt;=100000), " ",IF(INDEX($AB$2:$AQ$1001,MATCH(ROWS($U$2:U993),$U$2:$U$1001,0),MATCH(COLUMNS($AB$1006:AG1006),$AB$1006:$AQ$1006,0)), HYPERLINK("#",""), HYPERLINK(CONCATENATE("#metadata!", ADDRESS(INDEX($W$2:$W$1001,MATCH(ROWS($U$2:U993),$U$2:$U$1001,0),0), INDEX($AB$1004:$AQ$1004,1,MATCH(COLUMNS($AB$1006:AG1006),$AB$1006:$AQ$1006,0)))),"Fix")))</f>
        <v>0</v>
      </c>
      <c r="H993" s="4">
        <f>IF(OR(INDEX($V$2:$V$1001,MATCH(ROWS($U$2:U993),$U$2:$U$1001,0),1)&gt;=100000,INDEX($AB$1005:$AQ$1005,1,MATCH(COLUMNS($AB$1006:AH1006),$AB$1006:$AQ$1006,0))&gt;=100000), " ",IF(INDEX($AB$2:$AQ$1001,MATCH(ROWS($U$2:U993),$U$2:$U$1001,0),MATCH(COLUMNS($AB$1006:AH1006),$AB$1006:$AQ$1006,0)), HYPERLINK("#",""), HYPERLINK(CONCATENATE("#metadata!", ADDRESS(INDEX($W$2:$W$1001,MATCH(ROWS($U$2:U993),$U$2:$U$1001,0),0), INDEX($AB$1004:$AQ$1004,1,MATCH(COLUMNS($AB$1006:AH1006),$AB$1006:$AQ$1006,0)))),"Fix")))</f>
        <v>0</v>
      </c>
      <c r="I993" s="4">
        <f>IF(OR(INDEX($V$2:$V$1001,MATCH(ROWS($U$2:U993),$U$2:$U$1001,0),1)&gt;=100000,INDEX($AB$1005:$AQ$1005,1,MATCH(COLUMNS($AB$1006:AI1006),$AB$1006:$AQ$1006,0))&gt;=100000), " ",IF(INDEX($AB$2:$AQ$1001,MATCH(ROWS($U$2:U993),$U$2:$U$1001,0),MATCH(COLUMNS($AB$1006:AI1006),$AB$1006:$AQ$1006,0)), HYPERLINK("#",""), HYPERLINK(CONCATENATE("#metadata!", ADDRESS(INDEX($W$2:$W$1001,MATCH(ROWS($U$2:U993),$U$2:$U$1001,0),0), INDEX($AB$1004:$AQ$1004,1,MATCH(COLUMNS($AB$1006:AI1006),$AB$1006:$AQ$1006,0)))),"Fix")))</f>
        <v>0</v>
      </c>
      <c r="J993" s="4">
        <f>IF(OR(INDEX($V$2:$V$1001,MATCH(ROWS($U$2:U993),$U$2:$U$1001,0),1)&gt;=100000,INDEX($AB$1005:$AQ$1005,1,MATCH(COLUMNS($AB$1006:AJ1006),$AB$1006:$AQ$1006,0))&gt;=100000), " ",IF(INDEX($AB$2:$AQ$1001,MATCH(ROWS($U$2:U993),$U$2:$U$1001,0),MATCH(COLUMNS($AB$1006:AJ1006),$AB$1006:$AQ$1006,0)), HYPERLINK("#",""), HYPERLINK(CONCATENATE("#metadata!", ADDRESS(INDEX($W$2:$W$1001,MATCH(ROWS($U$2:U993),$U$2:$U$1001,0),0), INDEX($AB$1004:$AQ$1004,1,MATCH(COLUMNS($AB$1006:AJ1006),$AB$1006:$AQ$1006,0)))),"Fix")))</f>
        <v>0</v>
      </c>
      <c r="K993" s="4">
        <f>IF(OR(INDEX($V$2:$V$1001,MATCH(ROWS($U$2:U993),$U$2:$U$1001,0),1)&gt;=100000,INDEX($AB$1005:$AQ$1005,1,MATCH(COLUMNS($AB$1006:AK1006),$AB$1006:$AQ$1006,0))&gt;=100000), " ",IF(INDEX($AB$2:$AQ$1001,MATCH(ROWS($U$2:U993),$U$2:$U$1001,0),MATCH(COLUMNS($AB$1006:AK1006),$AB$1006:$AQ$1006,0)), HYPERLINK("#",""), HYPERLINK(CONCATENATE("#metadata!", ADDRESS(INDEX($W$2:$W$1001,MATCH(ROWS($U$2:U993),$U$2:$U$1001,0),0), INDEX($AB$1004:$AQ$1004,1,MATCH(COLUMNS($AB$1006:AK1006),$AB$1006:$AQ$1006,0)))),"Fix")))</f>
        <v>0</v>
      </c>
      <c r="L993" s="4">
        <f>IF(OR(INDEX($V$2:$V$1001,MATCH(ROWS($U$2:U993),$U$2:$U$1001,0),1)&gt;=100000,INDEX($AB$1005:$AQ$1005,1,MATCH(COLUMNS($AB$1006:AL1006),$AB$1006:$AQ$1006,0))&gt;=100000), " ",IF(INDEX($AB$2:$AQ$1001,MATCH(ROWS($U$2:U993),$U$2:$U$1001,0),MATCH(COLUMNS($AB$1006:AL1006),$AB$1006:$AQ$1006,0)), HYPERLINK("#",""), HYPERLINK(CONCATENATE("#metadata!", ADDRESS(INDEX($W$2:$W$1001,MATCH(ROWS($U$2:U993),$U$2:$U$1001,0),0), INDEX($AB$1004:$AQ$1004,1,MATCH(COLUMNS($AB$1006:AL1006),$AB$1006:$AQ$1006,0)))),"Fix")))</f>
        <v>0</v>
      </c>
      <c r="M993" s="4">
        <f>IF(OR(INDEX($V$2:$V$1001,MATCH(ROWS($U$2:U993),$U$2:$U$1001,0),1)&gt;=100000,INDEX($AB$1005:$AQ$1005,1,MATCH(COLUMNS($AB$1006:AM1006),$AB$1006:$AQ$1006,0))&gt;=100000), " ",IF(INDEX($AB$2:$AQ$1001,MATCH(ROWS($U$2:U993),$U$2:$U$1001,0),MATCH(COLUMNS($AB$1006:AM1006),$AB$1006:$AQ$1006,0)), HYPERLINK("#",""), HYPERLINK(CONCATENATE("#metadata!", ADDRESS(INDEX($W$2:$W$1001,MATCH(ROWS($U$2:U993),$U$2:$U$1001,0),0), INDEX($AB$1004:$AQ$1004,1,MATCH(COLUMNS($AB$1006:AM1006),$AB$1006:$AQ$1006,0)))),"Fix")))</f>
        <v>0</v>
      </c>
      <c r="N993" s="4">
        <f>IF(OR(INDEX($V$2:$V$1001,MATCH(ROWS($U$2:U993),$U$2:$U$1001,0),1)&gt;=100000,INDEX($AB$1005:$AQ$1005,1,MATCH(COLUMNS($AB$1006:AN1006),$AB$1006:$AQ$1006,0))&gt;=100000), " ",IF(INDEX($AB$2:$AQ$1001,MATCH(ROWS($U$2:U993),$U$2:$U$1001,0),MATCH(COLUMNS($AB$1006:AN1006),$AB$1006:$AQ$1006,0)), HYPERLINK("#",""), HYPERLINK(CONCATENATE("#metadata!", ADDRESS(INDEX($W$2:$W$1001,MATCH(ROWS($U$2:U993),$U$2:$U$1001,0),0), INDEX($AB$1004:$AQ$1004,1,MATCH(COLUMNS($AB$1006:AN1006),$AB$1006:$AQ$1006,0)))),"Fix")))</f>
        <v>0</v>
      </c>
      <c r="O993" s="4">
        <f>IF(OR(INDEX($V$2:$V$1001,MATCH(ROWS($U$2:U993),$U$2:$U$1001,0),1)&gt;=100000,INDEX($AB$1005:$AQ$1005,1,MATCH(COLUMNS($AB$1006:AO1006),$AB$1006:$AQ$1006,0))&gt;=100000), " ",IF(INDEX($AB$2:$AQ$1001,MATCH(ROWS($U$2:U993),$U$2:$U$1001,0),MATCH(COLUMNS($AB$1006:AO1006),$AB$1006:$AQ$1006,0)), HYPERLINK("#",""), HYPERLINK(CONCATENATE("#metadata!", ADDRESS(INDEX($W$2:$W$1001,MATCH(ROWS($U$2:U993),$U$2:$U$1001,0),0), INDEX($AB$1004:$AQ$1004,1,MATCH(COLUMNS($AB$1006:AO1006),$AB$1006:$AQ$1006,0)))),"Fix")))</f>
        <v>0</v>
      </c>
      <c r="P993" s="4">
        <f>IF(OR(INDEX($V$2:$V$1001,MATCH(ROWS($U$2:U993),$U$2:$U$1001,0),1)&gt;=100000,INDEX($AB$1005:$AQ$1005,1,MATCH(COLUMNS($AB$1006:AP1006),$AB$1006:$AQ$1006,0))&gt;=100000), " ",IF(INDEX($AB$2:$AQ$1001,MATCH(ROWS($U$2:U993),$U$2:$U$1001,0),MATCH(COLUMNS($AB$1006:AP1006),$AB$1006:$AQ$1006,0)), HYPERLINK("#",""), HYPERLINK(CONCATENATE("#metadata!", ADDRESS(INDEX($W$2:$W$1001,MATCH(ROWS($U$2:U993),$U$2:$U$1001,0),0), INDEX($AB$1004:$AQ$1004,1,MATCH(COLUMNS($AB$1006:AP1006),$AB$1006:$AQ$1006,0)))),"Fix")))</f>
        <v>0</v>
      </c>
      <c r="Q993" s="4">
        <f>IF(OR(INDEX($V$2:$V$1001,MATCH(ROWS($U$2:U993),$U$2:$U$1001,0),1)&gt;=100000,INDEX($AB$1005:$AQ$1005,1,MATCH(COLUMNS($AB$1006:AQ1006),$AB$1006:$AQ$1006,0))&gt;=100000), " ",IF(INDEX($AB$2:$AQ$1001,MATCH(ROWS($U$2:U993),$U$2:$U$1001,0),MATCH(COLUMNS($AB$1006:AQ1006),$AB$1006:$AQ$1006,0)), HYPERLINK("#",""), HYPERLINK(CONCATENATE("#metadata!", ADDRESS(INDEX($W$2:$W$1001,MATCH(ROWS($U$2:U993),$U$2:$U$1001,0),0), INDEX($AB$1004:$AQ$1004,1,MATCH(COLUMNS($AB$1006:AQ1006),$AB$1006:$AQ$1006,0)))),"Fix")))</f>
        <v>0</v>
      </c>
      <c r="U993">
        <v>0</v>
      </c>
      <c r="V993">
        <v>0</v>
      </c>
      <c r="W993">
        <v>0</v>
      </c>
      <c r="X993">
        <f>IF(Y993,TRUE,AND(AB993:AQ993))</f>
        <v>0</v>
      </c>
      <c r="Y993">
        <f>COUNTBLANK(metadata!B993:Q993)=COLUMNS(metadata!B993:Q993)</f>
        <v>0</v>
      </c>
      <c r="Z993">
        <v>0</v>
      </c>
      <c r="AB993">
        <f>AND(IF(metadata!B993="",FALSE,TRUE),COUNTIF(metadata!B:B, metadata!B993) = 1,NOT(ISERROR(SUMPRODUCT(SEARCH(MID(metadata!B993,ROW(INDIRECT("1:"&amp;LEN(metadata!B993))), 1),"0123456789abcdefghijklmnopqrstuvwxyzABCDEFGHIJKLMNOPQRSTUVWXYZ.")))))</f>
        <v>0</v>
      </c>
      <c r="AC993">
        <f>OR(AND(IF(metadata!C993="",FALSE,TRUE),OR(exact(metadata!C993,"missing: not collected"),exact(metadata!C993,"missing: not provided"),exact(metadata!C993,"missing: restricted access"))),AND(IF(metadata!C993="",FALSE,TRUE),AND(AND(IFERROR(INT(LEFT(metadata!C993,4))&gt;1900,FALSE),IFERROR(INT(LEFT(metadata!C993,4))&lt;=YEAR(NOW()),FALSE)), OR(MID(metadata!C993,5,1)="", AND(AND(MID(metadata!C993,5,1)="-",IFERROR(INT(MID(metadata!C993,6,1))&gt;=0,FALSE),IFERROR(INT(MID(metadata!C993,6,1))&lt;=1,FALSE),NOT(MID(metadata!C993,7,1)=""),IFERROR(INT(MID(metadata!C993,6,2))&gt;=1,FALSE),IFERROR(INT(MID(metadata!C993,6,2))&lt;=12,FALSE)), OR(MID(metadata!C993,8,1)="", AND(AND(MID(metadata!C993,8,1)="-",IFERROR(INT(MID(metadata!C993,9,1))&gt;=0,FALSE),IFERROR(INT(MID(metadata!C993,9,1))&lt;=3,FALSE),NOT(MID(metadata!C993,10,1)=""),IFERROR(INT(MID(metadata!C993,9,2))&gt;=1,FALSE),IFERROR(INT(MID(metadata!C993,9,2))&lt;=31,FALSE)), OR(MID(metadata!C993,11,1)="", AND(AND(MID(metadata!C993,11,1)=" ",IFERROR(INT(MID(metadata!C993,12,1))&gt;=0,FALSE),IFERROR(INT(MID(metadata!C993,12,1))&lt;=2,FALSE),NOT(MID(metadata!C993,13,1)=""),IFERROR(INT(MID(metadata!C993,12,2))&gt;=0,FALSE),IFERROR(INT(MID(metadata!C993,12,2))&lt;=23,FALSE)), OR(MID(metadata!C993,14,1)="", AND(AND(MID(metadata!C993,14,1)=":",IFERROR(INT(MID(metadata!C993,15,1))&gt;=0,FALSE),IFERROR(INT(MID(metadata!C993,15,1))&lt;=5,FALSE),NOT(MID(metadata!C993,16,1)=""),IFERROR(INT(MID(metadata!C993,15,2))&gt;=0,FALSE),IFERROR(INT(MID(metadata!C993,15,2))&lt;=59,FALSE)), OR(MID(metadata!C993,17,1)="", AND(AND(MID(metadata!C993,17,1)=":",IFERROR(INT(MID(metadata!C993,18,1))&gt;=0,FALSE),IFERROR(INT(MID(metadata!C993,18,1))&lt;=5,FALSE),NOT(MID(metadata!C993,19,1)=""),IFERROR(INT(MID(metadata!C993,18,2))&gt;=0,FALSE),IFERROR(INT(MID(metadata!C993,18,2))&lt;=59,FALSE)), LEN(metadata!C993)&lt;=19)))))))))))))</f>
        <v>0</v>
      </c>
      <c r="AD993">
        <f>IF(metadata!D993="",FALSE,TRUE)</f>
        <v>0</v>
      </c>
      <c r="AE993">
        <f>OR(AND(IF(metadata!E993="",FALSE,TRUE),OR(exact(metadata!E993,"missing: not collected"),exact(metadata!E993,"missing: not provided"))),AND(IF(metadata!E993="",FALSE,TRUE),OR(exact(metadata!E993,"TRUE"),exact(metadata!E993,"FALSE"))))</f>
        <v>0</v>
      </c>
      <c r="AF993">
        <f>IF(metadata!F993="",FALSE,TRUE)</f>
        <v>0</v>
      </c>
      <c r="AG993">
        <f>IF(metadata!G993="",FALSE,TRUE)</f>
        <v>0</v>
      </c>
      <c r="AH993">
        <f>IF(metadata!H993="",FALSE,TRUE)</f>
        <v>0</v>
      </c>
      <c r="AI993">
        <f>OR(AND(IF(metadata!I993="",FALSE,TRUE),OR(exact(metadata!I993,"missing: not collected"),exact(metadata!I993,"missing: not provided"),exact(metadata!I993,"missing: restricted access"))),AND(IF(metadata!I993="",FALSE,TRUE),OR(exact(metadata!I993,"air"),exact(metadata!I993,"built environment"),exact(metadata!I993,"host-associated"),exact(metadata!I993,"human-associated"),exact(metadata!I993,"human-skin"),exact(metadata!I993,"human-oral"),exact(metadata!I993,"human-gut"),exact(metadata!I993,"human-vaginal"),exact(metadata!I993,"microbial mat/biofilm"),exact(metadata!I993,"misc environment"),exact(metadata!I993,"plant-associated"),exact(metadata!I993,"sediment"),exact(metadata!I993,"soil"),exact(metadata!I993,"wastewater/sludge"),exact(metadata!I993,"water"))))</f>
        <v>0</v>
      </c>
      <c r="AJ993">
        <f>IF(metadata!J993="",FALSE,TRUE)</f>
        <v>0</v>
      </c>
      <c r="AK993">
        <f>OR(AND(IF(metadata!K993="",FALSE,TRUE),OR(exact(metadata!K993,"missing: not collected"),exact(metadata!K993,"missing: not provided"),exact(metadata!K993,"missing: restricted access"))),AND(IF(metadata!K993="",FALSE,ISNUMBER(VALUE(metadata!K993))),metadata!K993&gt;=-90.00,metadata!K993&lt;=90.00))</f>
        <v>0</v>
      </c>
      <c r="AL993">
        <f>OR(AND(IF(metadata!L993="",FALSE,TRUE),OR(exact(metadata!L993,"missing: not collected"),exact(metadata!L993,"missing: not provided"),exact(metadata!L993,"missing: restricted access"))),AND(IF(metadata!L993="",FALSE,ISNUMBER(VALUE(metadata!L993))),metadata!L993&gt;=-180.00,metadata!L993&lt;=180.00))</f>
        <v>0</v>
      </c>
      <c r="AM993">
        <f>IF(metadata!M993="",FALSE,TRUE)</f>
        <v>0</v>
      </c>
      <c r="AN993">
        <f>OR(AND(IF(metadata!N993="",FALSE,TRUE),OR(exact(metadata!N993,"missing: not collected"),exact(metadata!N993,"missing: not provided"),exact(metadata!N993,"missing: restricted access"))),AND(IF(metadata!N993="",FALSE,TRUE),OR(exact(metadata!N993,"TRUE"),exact(metadata!N993,"FALSE"))))</f>
        <v>0</v>
      </c>
      <c r="AO993">
        <f>IF(metadata!O993="",FALSE,TRUE)</f>
        <v>0</v>
      </c>
      <c r="AP993">
        <f>OR(AND(IF(metadata!P993="",FALSE,TRUE),OR(exact(metadata!P993,"missing: not collected"),exact(metadata!P993,"missing: not provided"))),AND(IF(metadata!P993="",FALSE,IF(ISERROR(INT(metadata!P993)),FALSE,INT(metadata!P993)=metadata!P993)),metadata!P993&gt;0))</f>
        <v>0</v>
      </c>
      <c r="AQ993">
        <f>IF(metadata!Q993="",FALSE,TRUE)</f>
        <v>0</v>
      </c>
    </row>
    <row r="994" spans="1:43">
      <c r="A994" s="5">
        <f>IF(B994=" "," ",HYPERLINK(CONCATENATE("#metadata!",ADDRESS(INDEX($W$2:$W$1001,MATCH(ROWS($U$2:U994),$U$2:$U$1001,0),0),1)),INDEX($Z$2:$Z$1001,MATCH(ROWS($U$2:U994),$U$2:$U$1001,0),0)))</f>
        <v>0</v>
      </c>
      <c r="B994" s="4">
        <f>IF(OR(INDEX($V$2:$V$1001,MATCH(ROWS($U$2:U994),$U$2:$U$1001,0),1)&gt;=100000,INDEX($AB$1005:$AQ$1005,1,MATCH(COLUMNS($AB$1006:AB1006),$AB$1006:$AQ$1006,0))&gt;=100000), " ",IF(INDEX($AB$2:$AQ$1001,MATCH(ROWS($U$2:U994),$U$2:$U$1001,0),MATCH(COLUMNS($AB$1006:AB1006),$AB$1006:$AQ$1006,0)), HYPERLINK("#",""), HYPERLINK(CONCATENATE("#metadata!", ADDRESS(INDEX($W$2:$W$1001,MATCH(ROWS($U$2:U994),$U$2:$U$1001,0),0), INDEX($AB$1004:$AQ$1004,1,MATCH(COLUMNS($AB$1006:AB1006),$AB$1006:$AQ$1006,0)))),"Fix")))</f>
        <v>0</v>
      </c>
      <c r="C994" s="4">
        <f>IF(OR(INDEX($V$2:$V$1001,MATCH(ROWS($U$2:U994),$U$2:$U$1001,0),1)&gt;=100000,INDEX($AB$1005:$AQ$1005,1,MATCH(COLUMNS($AB$1006:AC1006),$AB$1006:$AQ$1006,0))&gt;=100000), " ",IF(INDEX($AB$2:$AQ$1001,MATCH(ROWS($U$2:U994),$U$2:$U$1001,0),MATCH(COLUMNS($AB$1006:AC1006),$AB$1006:$AQ$1006,0)), HYPERLINK("#",""), HYPERLINK(CONCATENATE("#metadata!", ADDRESS(INDEX($W$2:$W$1001,MATCH(ROWS($U$2:U994),$U$2:$U$1001,0),0), INDEX($AB$1004:$AQ$1004,1,MATCH(COLUMNS($AB$1006:AC1006),$AB$1006:$AQ$1006,0)))),"Fix")))</f>
        <v>0</v>
      </c>
      <c r="D994" s="4">
        <f>IF(OR(INDEX($V$2:$V$1001,MATCH(ROWS($U$2:U994),$U$2:$U$1001,0),1)&gt;=100000,INDEX($AB$1005:$AQ$1005,1,MATCH(COLUMNS($AB$1006:AD1006),$AB$1006:$AQ$1006,0))&gt;=100000), " ",IF(INDEX($AB$2:$AQ$1001,MATCH(ROWS($U$2:U994),$U$2:$U$1001,0),MATCH(COLUMNS($AB$1006:AD1006),$AB$1006:$AQ$1006,0)), HYPERLINK("#",""), HYPERLINK(CONCATENATE("#metadata!", ADDRESS(INDEX($W$2:$W$1001,MATCH(ROWS($U$2:U994),$U$2:$U$1001,0),0), INDEX($AB$1004:$AQ$1004,1,MATCH(COLUMNS($AB$1006:AD1006),$AB$1006:$AQ$1006,0)))),"Fix")))</f>
        <v>0</v>
      </c>
      <c r="E994" s="4">
        <f>IF(OR(INDEX($V$2:$V$1001,MATCH(ROWS($U$2:U994),$U$2:$U$1001,0),1)&gt;=100000,INDEX($AB$1005:$AQ$1005,1,MATCH(COLUMNS($AB$1006:AE1006),$AB$1006:$AQ$1006,0))&gt;=100000), " ",IF(INDEX($AB$2:$AQ$1001,MATCH(ROWS($U$2:U994),$U$2:$U$1001,0),MATCH(COLUMNS($AB$1006:AE1006),$AB$1006:$AQ$1006,0)), HYPERLINK("#",""), HYPERLINK(CONCATENATE("#metadata!", ADDRESS(INDEX($W$2:$W$1001,MATCH(ROWS($U$2:U994),$U$2:$U$1001,0),0), INDEX($AB$1004:$AQ$1004,1,MATCH(COLUMNS($AB$1006:AE1006),$AB$1006:$AQ$1006,0)))),"Fix")))</f>
        <v>0</v>
      </c>
      <c r="F994" s="4">
        <f>IF(OR(INDEX($V$2:$V$1001,MATCH(ROWS($U$2:U994),$U$2:$U$1001,0),1)&gt;=100000,INDEX($AB$1005:$AQ$1005,1,MATCH(COLUMNS($AB$1006:AF1006),$AB$1006:$AQ$1006,0))&gt;=100000), " ",IF(INDEX($AB$2:$AQ$1001,MATCH(ROWS($U$2:U994),$U$2:$U$1001,0),MATCH(COLUMNS($AB$1006:AF1006),$AB$1006:$AQ$1006,0)), HYPERLINK("#",""), HYPERLINK(CONCATENATE("#metadata!", ADDRESS(INDEX($W$2:$W$1001,MATCH(ROWS($U$2:U994),$U$2:$U$1001,0),0), INDEX($AB$1004:$AQ$1004,1,MATCH(COLUMNS($AB$1006:AF1006),$AB$1006:$AQ$1006,0)))),"Fix")))</f>
        <v>0</v>
      </c>
      <c r="G994" s="4">
        <f>IF(OR(INDEX($V$2:$V$1001,MATCH(ROWS($U$2:U994),$U$2:$U$1001,0),1)&gt;=100000,INDEX($AB$1005:$AQ$1005,1,MATCH(COLUMNS($AB$1006:AG1006),$AB$1006:$AQ$1006,0))&gt;=100000), " ",IF(INDEX($AB$2:$AQ$1001,MATCH(ROWS($U$2:U994),$U$2:$U$1001,0),MATCH(COLUMNS($AB$1006:AG1006),$AB$1006:$AQ$1006,0)), HYPERLINK("#",""), HYPERLINK(CONCATENATE("#metadata!", ADDRESS(INDEX($W$2:$W$1001,MATCH(ROWS($U$2:U994),$U$2:$U$1001,0),0), INDEX($AB$1004:$AQ$1004,1,MATCH(COLUMNS($AB$1006:AG1006),$AB$1006:$AQ$1006,0)))),"Fix")))</f>
        <v>0</v>
      </c>
      <c r="H994" s="4">
        <f>IF(OR(INDEX($V$2:$V$1001,MATCH(ROWS($U$2:U994),$U$2:$U$1001,0),1)&gt;=100000,INDEX($AB$1005:$AQ$1005,1,MATCH(COLUMNS($AB$1006:AH1006),$AB$1006:$AQ$1006,0))&gt;=100000), " ",IF(INDEX($AB$2:$AQ$1001,MATCH(ROWS($U$2:U994),$U$2:$U$1001,0),MATCH(COLUMNS($AB$1006:AH1006),$AB$1006:$AQ$1006,0)), HYPERLINK("#",""), HYPERLINK(CONCATENATE("#metadata!", ADDRESS(INDEX($W$2:$W$1001,MATCH(ROWS($U$2:U994),$U$2:$U$1001,0),0), INDEX($AB$1004:$AQ$1004,1,MATCH(COLUMNS($AB$1006:AH1006),$AB$1006:$AQ$1006,0)))),"Fix")))</f>
        <v>0</v>
      </c>
      <c r="I994" s="4">
        <f>IF(OR(INDEX($V$2:$V$1001,MATCH(ROWS($U$2:U994),$U$2:$U$1001,0),1)&gt;=100000,INDEX($AB$1005:$AQ$1005,1,MATCH(COLUMNS($AB$1006:AI1006),$AB$1006:$AQ$1006,0))&gt;=100000), " ",IF(INDEX($AB$2:$AQ$1001,MATCH(ROWS($U$2:U994),$U$2:$U$1001,0),MATCH(COLUMNS($AB$1006:AI1006),$AB$1006:$AQ$1006,0)), HYPERLINK("#",""), HYPERLINK(CONCATENATE("#metadata!", ADDRESS(INDEX($W$2:$W$1001,MATCH(ROWS($U$2:U994),$U$2:$U$1001,0),0), INDEX($AB$1004:$AQ$1004,1,MATCH(COLUMNS($AB$1006:AI1006),$AB$1006:$AQ$1006,0)))),"Fix")))</f>
        <v>0</v>
      </c>
      <c r="J994" s="4">
        <f>IF(OR(INDEX($V$2:$V$1001,MATCH(ROWS($U$2:U994),$U$2:$U$1001,0),1)&gt;=100000,INDEX($AB$1005:$AQ$1005,1,MATCH(COLUMNS($AB$1006:AJ1006),$AB$1006:$AQ$1006,0))&gt;=100000), " ",IF(INDEX($AB$2:$AQ$1001,MATCH(ROWS($U$2:U994),$U$2:$U$1001,0),MATCH(COLUMNS($AB$1006:AJ1006),$AB$1006:$AQ$1006,0)), HYPERLINK("#",""), HYPERLINK(CONCATENATE("#metadata!", ADDRESS(INDEX($W$2:$W$1001,MATCH(ROWS($U$2:U994),$U$2:$U$1001,0),0), INDEX($AB$1004:$AQ$1004,1,MATCH(COLUMNS($AB$1006:AJ1006),$AB$1006:$AQ$1006,0)))),"Fix")))</f>
        <v>0</v>
      </c>
      <c r="K994" s="4">
        <f>IF(OR(INDEX($V$2:$V$1001,MATCH(ROWS($U$2:U994),$U$2:$U$1001,0),1)&gt;=100000,INDEX($AB$1005:$AQ$1005,1,MATCH(COLUMNS($AB$1006:AK1006),$AB$1006:$AQ$1006,0))&gt;=100000), " ",IF(INDEX($AB$2:$AQ$1001,MATCH(ROWS($U$2:U994),$U$2:$U$1001,0),MATCH(COLUMNS($AB$1006:AK1006),$AB$1006:$AQ$1006,0)), HYPERLINK("#",""), HYPERLINK(CONCATENATE("#metadata!", ADDRESS(INDEX($W$2:$W$1001,MATCH(ROWS($U$2:U994),$U$2:$U$1001,0),0), INDEX($AB$1004:$AQ$1004,1,MATCH(COLUMNS($AB$1006:AK1006),$AB$1006:$AQ$1006,0)))),"Fix")))</f>
        <v>0</v>
      </c>
      <c r="L994" s="4">
        <f>IF(OR(INDEX($V$2:$V$1001,MATCH(ROWS($U$2:U994),$U$2:$U$1001,0),1)&gt;=100000,INDEX($AB$1005:$AQ$1005,1,MATCH(COLUMNS($AB$1006:AL1006),$AB$1006:$AQ$1006,0))&gt;=100000), " ",IF(INDEX($AB$2:$AQ$1001,MATCH(ROWS($U$2:U994),$U$2:$U$1001,0),MATCH(COLUMNS($AB$1006:AL1006),$AB$1006:$AQ$1006,0)), HYPERLINK("#",""), HYPERLINK(CONCATENATE("#metadata!", ADDRESS(INDEX($W$2:$W$1001,MATCH(ROWS($U$2:U994),$U$2:$U$1001,0),0), INDEX($AB$1004:$AQ$1004,1,MATCH(COLUMNS($AB$1006:AL1006),$AB$1006:$AQ$1006,0)))),"Fix")))</f>
        <v>0</v>
      </c>
      <c r="M994" s="4">
        <f>IF(OR(INDEX($V$2:$V$1001,MATCH(ROWS($U$2:U994),$U$2:$U$1001,0),1)&gt;=100000,INDEX($AB$1005:$AQ$1005,1,MATCH(COLUMNS($AB$1006:AM1006),$AB$1006:$AQ$1006,0))&gt;=100000), " ",IF(INDEX($AB$2:$AQ$1001,MATCH(ROWS($U$2:U994),$U$2:$U$1001,0),MATCH(COLUMNS($AB$1006:AM1006),$AB$1006:$AQ$1006,0)), HYPERLINK("#",""), HYPERLINK(CONCATENATE("#metadata!", ADDRESS(INDEX($W$2:$W$1001,MATCH(ROWS($U$2:U994),$U$2:$U$1001,0),0), INDEX($AB$1004:$AQ$1004,1,MATCH(COLUMNS($AB$1006:AM1006),$AB$1006:$AQ$1006,0)))),"Fix")))</f>
        <v>0</v>
      </c>
      <c r="N994" s="4">
        <f>IF(OR(INDEX($V$2:$V$1001,MATCH(ROWS($U$2:U994),$U$2:$U$1001,0),1)&gt;=100000,INDEX($AB$1005:$AQ$1005,1,MATCH(COLUMNS($AB$1006:AN1006),$AB$1006:$AQ$1006,0))&gt;=100000), " ",IF(INDEX($AB$2:$AQ$1001,MATCH(ROWS($U$2:U994),$U$2:$U$1001,0),MATCH(COLUMNS($AB$1006:AN1006),$AB$1006:$AQ$1006,0)), HYPERLINK("#",""), HYPERLINK(CONCATENATE("#metadata!", ADDRESS(INDEX($W$2:$W$1001,MATCH(ROWS($U$2:U994),$U$2:$U$1001,0),0), INDEX($AB$1004:$AQ$1004,1,MATCH(COLUMNS($AB$1006:AN1006),$AB$1006:$AQ$1006,0)))),"Fix")))</f>
        <v>0</v>
      </c>
      <c r="O994" s="4">
        <f>IF(OR(INDEX($V$2:$V$1001,MATCH(ROWS($U$2:U994),$U$2:$U$1001,0),1)&gt;=100000,INDEX($AB$1005:$AQ$1005,1,MATCH(COLUMNS($AB$1006:AO1006),$AB$1006:$AQ$1006,0))&gt;=100000), " ",IF(INDEX($AB$2:$AQ$1001,MATCH(ROWS($U$2:U994),$U$2:$U$1001,0),MATCH(COLUMNS($AB$1006:AO1006),$AB$1006:$AQ$1006,0)), HYPERLINK("#",""), HYPERLINK(CONCATENATE("#metadata!", ADDRESS(INDEX($W$2:$W$1001,MATCH(ROWS($U$2:U994),$U$2:$U$1001,0),0), INDEX($AB$1004:$AQ$1004,1,MATCH(COLUMNS($AB$1006:AO1006),$AB$1006:$AQ$1006,0)))),"Fix")))</f>
        <v>0</v>
      </c>
      <c r="P994" s="4">
        <f>IF(OR(INDEX($V$2:$V$1001,MATCH(ROWS($U$2:U994),$U$2:$U$1001,0),1)&gt;=100000,INDEX($AB$1005:$AQ$1005,1,MATCH(COLUMNS($AB$1006:AP1006),$AB$1006:$AQ$1006,0))&gt;=100000), " ",IF(INDEX($AB$2:$AQ$1001,MATCH(ROWS($U$2:U994),$U$2:$U$1001,0),MATCH(COLUMNS($AB$1006:AP1006),$AB$1006:$AQ$1006,0)), HYPERLINK("#",""), HYPERLINK(CONCATENATE("#metadata!", ADDRESS(INDEX($W$2:$W$1001,MATCH(ROWS($U$2:U994),$U$2:$U$1001,0),0), INDEX($AB$1004:$AQ$1004,1,MATCH(COLUMNS($AB$1006:AP1006),$AB$1006:$AQ$1006,0)))),"Fix")))</f>
        <v>0</v>
      </c>
      <c r="Q994" s="4">
        <f>IF(OR(INDEX($V$2:$V$1001,MATCH(ROWS($U$2:U994),$U$2:$U$1001,0),1)&gt;=100000,INDEX($AB$1005:$AQ$1005,1,MATCH(COLUMNS($AB$1006:AQ1006),$AB$1006:$AQ$1006,0))&gt;=100000), " ",IF(INDEX($AB$2:$AQ$1001,MATCH(ROWS($U$2:U994),$U$2:$U$1001,0),MATCH(COLUMNS($AB$1006:AQ1006),$AB$1006:$AQ$1006,0)), HYPERLINK("#",""), HYPERLINK(CONCATENATE("#metadata!", ADDRESS(INDEX($W$2:$W$1001,MATCH(ROWS($U$2:U994),$U$2:$U$1001,0),0), INDEX($AB$1004:$AQ$1004,1,MATCH(COLUMNS($AB$1006:AQ1006),$AB$1006:$AQ$1006,0)))),"Fix")))</f>
        <v>0</v>
      </c>
      <c r="U994">
        <v>0</v>
      </c>
      <c r="V994">
        <v>0</v>
      </c>
      <c r="W994">
        <v>0</v>
      </c>
      <c r="X994">
        <f>IF(Y994,TRUE,AND(AB994:AQ994))</f>
        <v>0</v>
      </c>
      <c r="Y994">
        <f>COUNTBLANK(metadata!B994:Q994)=COLUMNS(metadata!B994:Q994)</f>
        <v>0</v>
      </c>
      <c r="Z994">
        <v>0</v>
      </c>
      <c r="AB994">
        <f>AND(IF(metadata!B994="",FALSE,TRUE),COUNTIF(metadata!B:B, metadata!B994) = 1,NOT(ISERROR(SUMPRODUCT(SEARCH(MID(metadata!B994,ROW(INDIRECT("1:"&amp;LEN(metadata!B994))), 1),"0123456789abcdefghijklmnopqrstuvwxyzABCDEFGHIJKLMNOPQRSTUVWXYZ.")))))</f>
        <v>0</v>
      </c>
      <c r="AC994">
        <f>OR(AND(IF(metadata!C994="",FALSE,TRUE),OR(exact(metadata!C994,"missing: not collected"),exact(metadata!C994,"missing: not provided"),exact(metadata!C994,"missing: restricted access"))),AND(IF(metadata!C994="",FALSE,TRUE),AND(AND(IFERROR(INT(LEFT(metadata!C994,4))&gt;1900,FALSE),IFERROR(INT(LEFT(metadata!C994,4))&lt;=YEAR(NOW()),FALSE)), OR(MID(metadata!C994,5,1)="", AND(AND(MID(metadata!C994,5,1)="-",IFERROR(INT(MID(metadata!C994,6,1))&gt;=0,FALSE),IFERROR(INT(MID(metadata!C994,6,1))&lt;=1,FALSE),NOT(MID(metadata!C994,7,1)=""),IFERROR(INT(MID(metadata!C994,6,2))&gt;=1,FALSE),IFERROR(INT(MID(metadata!C994,6,2))&lt;=12,FALSE)), OR(MID(metadata!C994,8,1)="", AND(AND(MID(metadata!C994,8,1)="-",IFERROR(INT(MID(metadata!C994,9,1))&gt;=0,FALSE),IFERROR(INT(MID(metadata!C994,9,1))&lt;=3,FALSE),NOT(MID(metadata!C994,10,1)=""),IFERROR(INT(MID(metadata!C994,9,2))&gt;=1,FALSE),IFERROR(INT(MID(metadata!C994,9,2))&lt;=31,FALSE)), OR(MID(metadata!C994,11,1)="", AND(AND(MID(metadata!C994,11,1)=" ",IFERROR(INT(MID(metadata!C994,12,1))&gt;=0,FALSE),IFERROR(INT(MID(metadata!C994,12,1))&lt;=2,FALSE),NOT(MID(metadata!C994,13,1)=""),IFERROR(INT(MID(metadata!C994,12,2))&gt;=0,FALSE),IFERROR(INT(MID(metadata!C994,12,2))&lt;=23,FALSE)), OR(MID(metadata!C994,14,1)="", AND(AND(MID(metadata!C994,14,1)=":",IFERROR(INT(MID(metadata!C994,15,1))&gt;=0,FALSE),IFERROR(INT(MID(metadata!C994,15,1))&lt;=5,FALSE),NOT(MID(metadata!C994,16,1)=""),IFERROR(INT(MID(metadata!C994,15,2))&gt;=0,FALSE),IFERROR(INT(MID(metadata!C994,15,2))&lt;=59,FALSE)), OR(MID(metadata!C994,17,1)="", AND(AND(MID(metadata!C994,17,1)=":",IFERROR(INT(MID(metadata!C994,18,1))&gt;=0,FALSE),IFERROR(INT(MID(metadata!C994,18,1))&lt;=5,FALSE),NOT(MID(metadata!C994,19,1)=""),IFERROR(INT(MID(metadata!C994,18,2))&gt;=0,FALSE),IFERROR(INT(MID(metadata!C994,18,2))&lt;=59,FALSE)), LEN(metadata!C994)&lt;=19)))))))))))))</f>
        <v>0</v>
      </c>
      <c r="AD994">
        <f>IF(metadata!D994="",FALSE,TRUE)</f>
        <v>0</v>
      </c>
      <c r="AE994">
        <f>OR(AND(IF(metadata!E994="",FALSE,TRUE),OR(exact(metadata!E994,"missing: not collected"),exact(metadata!E994,"missing: not provided"))),AND(IF(metadata!E994="",FALSE,TRUE),OR(exact(metadata!E994,"TRUE"),exact(metadata!E994,"FALSE"))))</f>
        <v>0</v>
      </c>
      <c r="AF994">
        <f>IF(metadata!F994="",FALSE,TRUE)</f>
        <v>0</v>
      </c>
      <c r="AG994">
        <f>IF(metadata!G994="",FALSE,TRUE)</f>
        <v>0</v>
      </c>
      <c r="AH994">
        <f>IF(metadata!H994="",FALSE,TRUE)</f>
        <v>0</v>
      </c>
      <c r="AI994">
        <f>OR(AND(IF(metadata!I994="",FALSE,TRUE),OR(exact(metadata!I994,"missing: not collected"),exact(metadata!I994,"missing: not provided"),exact(metadata!I994,"missing: restricted access"))),AND(IF(metadata!I994="",FALSE,TRUE),OR(exact(metadata!I994,"air"),exact(metadata!I994,"built environment"),exact(metadata!I994,"host-associated"),exact(metadata!I994,"human-associated"),exact(metadata!I994,"human-skin"),exact(metadata!I994,"human-oral"),exact(metadata!I994,"human-gut"),exact(metadata!I994,"human-vaginal"),exact(metadata!I994,"microbial mat/biofilm"),exact(metadata!I994,"misc environment"),exact(metadata!I994,"plant-associated"),exact(metadata!I994,"sediment"),exact(metadata!I994,"soil"),exact(metadata!I994,"wastewater/sludge"),exact(metadata!I994,"water"))))</f>
        <v>0</v>
      </c>
      <c r="AJ994">
        <f>IF(metadata!J994="",FALSE,TRUE)</f>
        <v>0</v>
      </c>
      <c r="AK994">
        <f>OR(AND(IF(metadata!K994="",FALSE,TRUE),OR(exact(metadata!K994,"missing: not collected"),exact(metadata!K994,"missing: not provided"),exact(metadata!K994,"missing: restricted access"))),AND(IF(metadata!K994="",FALSE,ISNUMBER(VALUE(metadata!K994))),metadata!K994&gt;=-90.00,metadata!K994&lt;=90.00))</f>
        <v>0</v>
      </c>
      <c r="AL994">
        <f>OR(AND(IF(metadata!L994="",FALSE,TRUE),OR(exact(metadata!L994,"missing: not collected"),exact(metadata!L994,"missing: not provided"),exact(metadata!L994,"missing: restricted access"))),AND(IF(metadata!L994="",FALSE,ISNUMBER(VALUE(metadata!L994))),metadata!L994&gt;=-180.00,metadata!L994&lt;=180.00))</f>
        <v>0</v>
      </c>
      <c r="AM994">
        <f>IF(metadata!M994="",FALSE,TRUE)</f>
        <v>0</v>
      </c>
      <c r="AN994">
        <f>OR(AND(IF(metadata!N994="",FALSE,TRUE),OR(exact(metadata!N994,"missing: not collected"),exact(metadata!N994,"missing: not provided"),exact(metadata!N994,"missing: restricted access"))),AND(IF(metadata!N994="",FALSE,TRUE),OR(exact(metadata!N994,"TRUE"),exact(metadata!N994,"FALSE"))))</f>
        <v>0</v>
      </c>
      <c r="AO994">
        <f>IF(metadata!O994="",FALSE,TRUE)</f>
        <v>0</v>
      </c>
      <c r="AP994">
        <f>OR(AND(IF(metadata!P994="",FALSE,TRUE),OR(exact(metadata!P994,"missing: not collected"),exact(metadata!P994,"missing: not provided"))),AND(IF(metadata!P994="",FALSE,IF(ISERROR(INT(metadata!P994)),FALSE,INT(metadata!P994)=metadata!P994)),metadata!P994&gt;0))</f>
        <v>0</v>
      </c>
      <c r="AQ994">
        <f>IF(metadata!Q994="",FALSE,TRUE)</f>
        <v>0</v>
      </c>
    </row>
    <row r="995" spans="1:43">
      <c r="A995" s="5">
        <f>IF(B995=" "," ",HYPERLINK(CONCATENATE("#metadata!",ADDRESS(INDEX($W$2:$W$1001,MATCH(ROWS($U$2:U995),$U$2:$U$1001,0),0),1)),INDEX($Z$2:$Z$1001,MATCH(ROWS($U$2:U995),$U$2:$U$1001,0),0)))</f>
        <v>0</v>
      </c>
      <c r="B995" s="4">
        <f>IF(OR(INDEX($V$2:$V$1001,MATCH(ROWS($U$2:U995),$U$2:$U$1001,0),1)&gt;=100000,INDEX($AB$1005:$AQ$1005,1,MATCH(COLUMNS($AB$1006:AB1006),$AB$1006:$AQ$1006,0))&gt;=100000), " ",IF(INDEX($AB$2:$AQ$1001,MATCH(ROWS($U$2:U995),$U$2:$U$1001,0),MATCH(COLUMNS($AB$1006:AB1006),$AB$1006:$AQ$1006,0)), HYPERLINK("#",""), HYPERLINK(CONCATENATE("#metadata!", ADDRESS(INDEX($W$2:$W$1001,MATCH(ROWS($U$2:U995),$U$2:$U$1001,0),0), INDEX($AB$1004:$AQ$1004,1,MATCH(COLUMNS($AB$1006:AB1006),$AB$1006:$AQ$1006,0)))),"Fix")))</f>
        <v>0</v>
      </c>
      <c r="C995" s="4">
        <f>IF(OR(INDEX($V$2:$V$1001,MATCH(ROWS($U$2:U995),$U$2:$U$1001,0),1)&gt;=100000,INDEX($AB$1005:$AQ$1005,1,MATCH(COLUMNS($AB$1006:AC1006),$AB$1006:$AQ$1006,0))&gt;=100000), " ",IF(INDEX($AB$2:$AQ$1001,MATCH(ROWS($U$2:U995),$U$2:$U$1001,0),MATCH(COLUMNS($AB$1006:AC1006),$AB$1006:$AQ$1006,0)), HYPERLINK("#",""), HYPERLINK(CONCATENATE("#metadata!", ADDRESS(INDEX($W$2:$W$1001,MATCH(ROWS($U$2:U995),$U$2:$U$1001,0),0), INDEX($AB$1004:$AQ$1004,1,MATCH(COLUMNS($AB$1006:AC1006),$AB$1006:$AQ$1006,0)))),"Fix")))</f>
        <v>0</v>
      </c>
      <c r="D995" s="4">
        <f>IF(OR(INDEX($V$2:$V$1001,MATCH(ROWS($U$2:U995),$U$2:$U$1001,0),1)&gt;=100000,INDEX($AB$1005:$AQ$1005,1,MATCH(COLUMNS($AB$1006:AD1006),$AB$1006:$AQ$1006,0))&gt;=100000), " ",IF(INDEX($AB$2:$AQ$1001,MATCH(ROWS($U$2:U995),$U$2:$U$1001,0),MATCH(COLUMNS($AB$1006:AD1006),$AB$1006:$AQ$1006,0)), HYPERLINK("#",""), HYPERLINK(CONCATENATE("#metadata!", ADDRESS(INDEX($W$2:$W$1001,MATCH(ROWS($U$2:U995),$U$2:$U$1001,0),0), INDEX($AB$1004:$AQ$1004,1,MATCH(COLUMNS($AB$1006:AD1006),$AB$1006:$AQ$1006,0)))),"Fix")))</f>
        <v>0</v>
      </c>
      <c r="E995" s="4">
        <f>IF(OR(INDEX($V$2:$V$1001,MATCH(ROWS($U$2:U995),$U$2:$U$1001,0),1)&gt;=100000,INDEX($AB$1005:$AQ$1005,1,MATCH(COLUMNS($AB$1006:AE1006),$AB$1006:$AQ$1006,0))&gt;=100000), " ",IF(INDEX($AB$2:$AQ$1001,MATCH(ROWS($U$2:U995),$U$2:$U$1001,0),MATCH(COLUMNS($AB$1006:AE1006),$AB$1006:$AQ$1006,0)), HYPERLINK("#",""), HYPERLINK(CONCATENATE("#metadata!", ADDRESS(INDEX($W$2:$W$1001,MATCH(ROWS($U$2:U995),$U$2:$U$1001,0),0), INDEX($AB$1004:$AQ$1004,1,MATCH(COLUMNS($AB$1006:AE1006),$AB$1006:$AQ$1006,0)))),"Fix")))</f>
        <v>0</v>
      </c>
      <c r="F995" s="4">
        <f>IF(OR(INDEX($V$2:$V$1001,MATCH(ROWS($U$2:U995),$U$2:$U$1001,0),1)&gt;=100000,INDEX($AB$1005:$AQ$1005,1,MATCH(COLUMNS($AB$1006:AF1006),$AB$1006:$AQ$1006,0))&gt;=100000), " ",IF(INDEX($AB$2:$AQ$1001,MATCH(ROWS($U$2:U995),$U$2:$U$1001,0),MATCH(COLUMNS($AB$1006:AF1006),$AB$1006:$AQ$1006,0)), HYPERLINK("#",""), HYPERLINK(CONCATENATE("#metadata!", ADDRESS(INDEX($W$2:$W$1001,MATCH(ROWS($U$2:U995),$U$2:$U$1001,0),0), INDEX($AB$1004:$AQ$1004,1,MATCH(COLUMNS($AB$1006:AF1006),$AB$1006:$AQ$1006,0)))),"Fix")))</f>
        <v>0</v>
      </c>
      <c r="G995" s="4">
        <f>IF(OR(INDEX($V$2:$V$1001,MATCH(ROWS($U$2:U995),$U$2:$U$1001,0),1)&gt;=100000,INDEX($AB$1005:$AQ$1005,1,MATCH(COLUMNS($AB$1006:AG1006),$AB$1006:$AQ$1006,0))&gt;=100000), " ",IF(INDEX($AB$2:$AQ$1001,MATCH(ROWS($U$2:U995),$U$2:$U$1001,0),MATCH(COLUMNS($AB$1006:AG1006),$AB$1006:$AQ$1006,0)), HYPERLINK("#",""), HYPERLINK(CONCATENATE("#metadata!", ADDRESS(INDEX($W$2:$W$1001,MATCH(ROWS($U$2:U995),$U$2:$U$1001,0),0), INDEX($AB$1004:$AQ$1004,1,MATCH(COLUMNS($AB$1006:AG1006),$AB$1006:$AQ$1006,0)))),"Fix")))</f>
        <v>0</v>
      </c>
      <c r="H995" s="4">
        <f>IF(OR(INDEX($V$2:$V$1001,MATCH(ROWS($U$2:U995),$U$2:$U$1001,0),1)&gt;=100000,INDEX($AB$1005:$AQ$1005,1,MATCH(COLUMNS($AB$1006:AH1006),$AB$1006:$AQ$1006,0))&gt;=100000), " ",IF(INDEX($AB$2:$AQ$1001,MATCH(ROWS($U$2:U995),$U$2:$U$1001,0),MATCH(COLUMNS($AB$1006:AH1006),$AB$1006:$AQ$1006,0)), HYPERLINK("#",""), HYPERLINK(CONCATENATE("#metadata!", ADDRESS(INDEX($W$2:$W$1001,MATCH(ROWS($U$2:U995),$U$2:$U$1001,0),0), INDEX($AB$1004:$AQ$1004,1,MATCH(COLUMNS($AB$1006:AH1006),$AB$1006:$AQ$1006,0)))),"Fix")))</f>
        <v>0</v>
      </c>
      <c r="I995" s="4">
        <f>IF(OR(INDEX($V$2:$V$1001,MATCH(ROWS($U$2:U995),$U$2:$U$1001,0),1)&gt;=100000,INDEX($AB$1005:$AQ$1005,1,MATCH(COLUMNS($AB$1006:AI1006),$AB$1006:$AQ$1006,0))&gt;=100000), " ",IF(INDEX($AB$2:$AQ$1001,MATCH(ROWS($U$2:U995),$U$2:$U$1001,0),MATCH(COLUMNS($AB$1006:AI1006),$AB$1006:$AQ$1006,0)), HYPERLINK("#",""), HYPERLINK(CONCATENATE("#metadata!", ADDRESS(INDEX($W$2:$W$1001,MATCH(ROWS($U$2:U995),$U$2:$U$1001,0),0), INDEX($AB$1004:$AQ$1004,1,MATCH(COLUMNS($AB$1006:AI1006),$AB$1006:$AQ$1006,0)))),"Fix")))</f>
        <v>0</v>
      </c>
      <c r="J995" s="4">
        <f>IF(OR(INDEX($V$2:$V$1001,MATCH(ROWS($U$2:U995),$U$2:$U$1001,0),1)&gt;=100000,INDEX($AB$1005:$AQ$1005,1,MATCH(COLUMNS($AB$1006:AJ1006),$AB$1006:$AQ$1006,0))&gt;=100000), " ",IF(INDEX($AB$2:$AQ$1001,MATCH(ROWS($U$2:U995),$U$2:$U$1001,0),MATCH(COLUMNS($AB$1006:AJ1006),$AB$1006:$AQ$1006,0)), HYPERLINK("#",""), HYPERLINK(CONCATENATE("#metadata!", ADDRESS(INDEX($W$2:$W$1001,MATCH(ROWS($U$2:U995),$U$2:$U$1001,0),0), INDEX($AB$1004:$AQ$1004,1,MATCH(COLUMNS($AB$1006:AJ1006),$AB$1006:$AQ$1006,0)))),"Fix")))</f>
        <v>0</v>
      </c>
      <c r="K995" s="4">
        <f>IF(OR(INDEX($V$2:$V$1001,MATCH(ROWS($U$2:U995),$U$2:$U$1001,0),1)&gt;=100000,INDEX($AB$1005:$AQ$1005,1,MATCH(COLUMNS($AB$1006:AK1006),$AB$1006:$AQ$1006,0))&gt;=100000), " ",IF(INDEX($AB$2:$AQ$1001,MATCH(ROWS($U$2:U995),$U$2:$U$1001,0),MATCH(COLUMNS($AB$1006:AK1006),$AB$1006:$AQ$1006,0)), HYPERLINK("#",""), HYPERLINK(CONCATENATE("#metadata!", ADDRESS(INDEX($W$2:$W$1001,MATCH(ROWS($U$2:U995),$U$2:$U$1001,0),0), INDEX($AB$1004:$AQ$1004,1,MATCH(COLUMNS($AB$1006:AK1006),$AB$1006:$AQ$1006,0)))),"Fix")))</f>
        <v>0</v>
      </c>
      <c r="L995" s="4">
        <f>IF(OR(INDEX($V$2:$V$1001,MATCH(ROWS($U$2:U995),$U$2:$U$1001,0),1)&gt;=100000,INDEX($AB$1005:$AQ$1005,1,MATCH(COLUMNS($AB$1006:AL1006),$AB$1006:$AQ$1006,0))&gt;=100000), " ",IF(INDEX($AB$2:$AQ$1001,MATCH(ROWS($U$2:U995),$U$2:$U$1001,0),MATCH(COLUMNS($AB$1006:AL1006),$AB$1006:$AQ$1006,0)), HYPERLINK("#",""), HYPERLINK(CONCATENATE("#metadata!", ADDRESS(INDEX($W$2:$W$1001,MATCH(ROWS($U$2:U995),$U$2:$U$1001,0),0), INDEX($AB$1004:$AQ$1004,1,MATCH(COLUMNS($AB$1006:AL1006),$AB$1006:$AQ$1006,0)))),"Fix")))</f>
        <v>0</v>
      </c>
      <c r="M995" s="4">
        <f>IF(OR(INDEX($V$2:$V$1001,MATCH(ROWS($U$2:U995),$U$2:$U$1001,0),1)&gt;=100000,INDEX($AB$1005:$AQ$1005,1,MATCH(COLUMNS($AB$1006:AM1006),$AB$1006:$AQ$1006,0))&gt;=100000), " ",IF(INDEX($AB$2:$AQ$1001,MATCH(ROWS($U$2:U995),$U$2:$U$1001,0),MATCH(COLUMNS($AB$1006:AM1006),$AB$1006:$AQ$1006,0)), HYPERLINK("#",""), HYPERLINK(CONCATENATE("#metadata!", ADDRESS(INDEX($W$2:$W$1001,MATCH(ROWS($U$2:U995),$U$2:$U$1001,0),0), INDEX($AB$1004:$AQ$1004,1,MATCH(COLUMNS($AB$1006:AM1006),$AB$1006:$AQ$1006,0)))),"Fix")))</f>
        <v>0</v>
      </c>
      <c r="N995" s="4">
        <f>IF(OR(INDEX($V$2:$V$1001,MATCH(ROWS($U$2:U995),$U$2:$U$1001,0),1)&gt;=100000,INDEX($AB$1005:$AQ$1005,1,MATCH(COLUMNS($AB$1006:AN1006),$AB$1006:$AQ$1006,0))&gt;=100000), " ",IF(INDEX($AB$2:$AQ$1001,MATCH(ROWS($U$2:U995),$U$2:$U$1001,0),MATCH(COLUMNS($AB$1006:AN1006),$AB$1006:$AQ$1006,0)), HYPERLINK("#",""), HYPERLINK(CONCATENATE("#metadata!", ADDRESS(INDEX($W$2:$W$1001,MATCH(ROWS($U$2:U995),$U$2:$U$1001,0),0), INDEX($AB$1004:$AQ$1004,1,MATCH(COLUMNS($AB$1006:AN1006),$AB$1006:$AQ$1006,0)))),"Fix")))</f>
        <v>0</v>
      </c>
      <c r="O995" s="4">
        <f>IF(OR(INDEX($V$2:$V$1001,MATCH(ROWS($U$2:U995),$U$2:$U$1001,0),1)&gt;=100000,INDEX($AB$1005:$AQ$1005,1,MATCH(COLUMNS($AB$1006:AO1006),$AB$1006:$AQ$1006,0))&gt;=100000), " ",IF(INDEX($AB$2:$AQ$1001,MATCH(ROWS($U$2:U995),$U$2:$U$1001,0),MATCH(COLUMNS($AB$1006:AO1006),$AB$1006:$AQ$1006,0)), HYPERLINK("#",""), HYPERLINK(CONCATENATE("#metadata!", ADDRESS(INDEX($W$2:$W$1001,MATCH(ROWS($U$2:U995),$U$2:$U$1001,0),0), INDEX($AB$1004:$AQ$1004,1,MATCH(COLUMNS($AB$1006:AO1006),$AB$1006:$AQ$1006,0)))),"Fix")))</f>
        <v>0</v>
      </c>
      <c r="P995" s="4">
        <f>IF(OR(INDEX($V$2:$V$1001,MATCH(ROWS($U$2:U995),$U$2:$U$1001,0),1)&gt;=100000,INDEX($AB$1005:$AQ$1005,1,MATCH(COLUMNS($AB$1006:AP1006),$AB$1006:$AQ$1006,0))&gt;=100000), " ",IF(INDEX($AB$2:$AQ$1001,MATCH(ROWS($U$2:U995),$U$2:$U$1001,0),MATCH(COLUMNS($AB$1006:AP1006),$AB$1006:$AQ$1006,0)), HYPERLINK("#",""), HYPERLINK(CONCATENATE("#metadata!", ADDRESS(INDEX($W$2:$W$1001,MATCH(ROWS($U$2:U995),$U$2:$U$1001,0),0), INDEX($AB$1004:$AQ$1004,1,MATCH(COLUMNS($AB$1006:AP1006),$AB$1006:$AQ$1006,0)))),"Fix")))</f>
        <v>0</v>
      </c>
      <c r="Q995" s="4">
        <f>IF(OR(INDEX($V$2:$V$1001,MATCH(ROWS($U$2:U995),$U$2:$U$1001,0),1)&gt;=100000,INDEX($AB$1005:$AQ$1005,1,MATCH(COLUMNS($AB$1006:AQ1006),$AB$1006:$AQ$1006,0))&gt;=100000), " ",IF(INDEX($AB$2:$AQ$1001,MATCH(ROWS($U$2:U995),$U$2:$U$1001,0),MATCH(COLUMNS($AB$1006:AQ1006),$AB$1006:$AQ$1006,0)), HYPERLINK("#",""), HYPERLINK(CONCATENATE("#metadata!", ADDRESS(INDEX($W$2:$W$1001,MATCH(ROWS($U$2:U995),$U$2:$U$1001,0),0), INDEX($AB$1004:$AQ$1004,1,MATCH(COLUMNS($AB$1006:AQ1006),$AB$1006:$AQ$1006,0)))),"Fix")))</f>
        <v>0</v>
      </c>
      <c r="U995">
        <v>0</v>
      </c>
      <c r="V995">
        <v>0</v>
      </c>
      <c r="W995">
        <v>0</v>
      </c>
      <c r="X995">
        <f>IF(Y995,TRUE,AND(AB995:AQ995))</f>
        <v>0</v>
      </c>
      <c r="Y995">
        <f>COUNTBLANK(metadata!B995:Q995)=COLUMNS(metadata!B995:Q995)</f>
        <v>0</v>
      </c>
      <c r="Z995">
        <v>0</v>
      </c>
      <c r="AB995">
        <f>AND(IF(metadata!B995="",FALSE,TRUE),COUNTIF(metadata!B:B, metadata!B995) = 1,NOT(ISERROR(SUMPRODUCT(SEARCH(MID(metadata!B995,ROW(INDIRECT("1:"&amp;LEN(metadata!B995))), 1),"0123456789abcdefghijklmnopqrstuvwxyzABCDEFGHIJKLMNOPQRSTUVWXYZ.")))))</f>
        <v>0</v>
      </c>
      <c r="AC995">
        <f>OR(AND(IF(metadata!C995="",FALSE,TRUE),OR(exact(metadata!C995,"missing: not collected"),exact(metadata!C995,"missing: not provided"),exact(metadata!C995,"missing: restricted access"))),AND(IF(metadata!C995="",FALSE,TRUE),AND(AND(IFERROR(INT(LEFT(metadata!C995,4))&gt;1900,FALSE),IFERROR(INT(LEFT(metadata!C995,4))&lt;=YEAR(NOW()),FALSE)), OR(MID(metadata!C995,5,1)="", AND(AND(MID(metadata!C995,5,1)="-",IFERROR(INT(MID(metadata!C995,6,1))&gt;=0,FALSE),IFERROR(INT(MID(metadata!C995,6,1))&lt;=1,FALSE),NOT(MID(metadata!C995,7,1)=""),IFERROR(INT(MID(metadata!C995,6,2))&gt;=1,FALSE),IFERROR(INT(MID(metadata!C995,6,2))&lt;=12,FALSE)), OR(MID(metadata!C995,8,1)="", AND(AND(MID(metadata!C995,8,1)="-",IFERROR(INT(MID(metadata!C995,9,1))&gt;=0,FALSE),IFERROR(INT(MID(metadata!C995,9,1))&lt;=3,FALSE),NOT(MID(metadata!C995,10,1)=""),IFERROR(INT(MID(metadata!C995,9,2))&gt;=1,FALSE),IFERROR(INT(MID(metadata!C995,9,2))&lt;=31,FALSE)), OR(MID(metadata!C995,11,1)="", AND(AND(MID(metadata!C995,11,1)=" ",IFERROR(INT(MID(metadata!C995,12,1))&gt;=0,FALSE),IFERROR(INT(MID(metadata!C995,12,1))&lt;=2,FALSE),NOT(MID(metadata!C995,13,1)=""),IFERROR(INT(MID(metadata!C995,12,2))&gt;=0,FALSE),IFERROR(INT(MID(metadata!C995,12,2))&lt;=23,FALSE)), OR(MID(metadata!C995,14,1)="", AND(AND(MID(metadata!C995,14,1)=":",IFERROR(INT(MID(metadata!C995,15,1))&gt;=0,FALSE),IFERROR(INT(MID(metadata!C995,15,1))&lt;=5,FALSE),NOT(MID(metadata!C995,16,1)=""),IFERROR(INT(MID(metadata!C995,15,2))&gt;=0,FALSE),IFERROR(INT(MID(metadata!C995,15,2))&lt;=59,FALSE)), OR(MID(metadata!C995,17,1)="", AND(AND(MID(metadata!C995,17,1)=":",IFERROR(INT(MID(metadata!C995,18,1))&gt;=0,FALSE),IFERROR(INT(MID(metadata!C995,18,1))&lt;=5,FALSE),NOT(MID(metadata!C995,19,1)=""),IFERROR(INT(MID(metadata!C995,18,2))&gt;=0,FALSE),IFERROR(INT(MID(metadata!C995,18,2))&lt;=59,FALSE)), LEN(metadata!C995)&lt;=19)))))))))))))</f>
        <v>0</v>
      </c>
      <c r="AD995">
        <f>IF(metadata!D995="",FALSE,TRUE)</f>
        <v>0</v>
      </c>
      <c r="AE995">
        <f>OR(AND(IF(metadata!E995="",FALSE,TRUE),OR(exact(metadata!E995,"missing: not collected"),exact(metadata!E995,"missing: not provided"))),AND(IF(metadata!E995="",FALSE,TRUE),OR(exact(metadata!E995,"TRUE"),exact(metadata!E995,"FALSE"))))</f>
        <v>0</v>
      </c>
      <c r="AF995">
        <f>IF(metadata!F995="",FALSE,TRUE)</f>
        <v>0</v>
      </c>
      <c r="AG995">
        <f>IF(metadata!G995="",FALSE,TRUE)</f>
        <v>0</v>
      </c>
      <c r="AH995">
        <f>IF(metadata!H995="",FALSE,TRUE)</f>
        <v>0</v>
      </c>
      <c r="AI995">
        <f>OR(AND(IF(metadata!I995="",FALSE,TRUE),OR(exact(metadata!I995,"missing: not collected"),exact(metadata!I995,"missing: not provided"),exact(metadata!I995,"missing: restricted access"))),AND(IF(metadata!I995="",FALSE,TRUE),OR(exact(metadata!I995,"air"),exact(metadata!I995,"built environment"),exact(metadata!I995,"host-associated"),exact(metadata!I995,"human-associated"),exact(metadata!I995,"human-skin"),exact(metadata!I995,"human-oral"),exact(metadata!I995,"human-gut"),exact(metadata!I995,"human-vaginal"),exact(metadata!I995,"microbial mat/biofilm"),exact(metadata!I995,"misc environment"),exact(metadata!I995,"plant-associated"),exact(metadata!I995,"sediment"),exact(metadata!I995,"soil"),exact(metadata!I995,"wastewater/sludge"),exact(metadata!I995,"water"))))</f>
        <v>0</v>
      </c>
      <c r="AJ995">
        <f>IF(metadata!J995="",FALSE,TRUE)</f>
        <v>0</v>
      </c>
      <c r="AK995">
        <f>OR(AND(IF(metadata!K995="",FALSE,TRUE),OR(exact(metadata!K995,"missing: not collected"),exact(metadata!K995,"missing: not provided"),exact(metadata!K995,"missing: restricted access"))),AND(IF(metadata!K995="",FALSE,ISNUMBER(VALUE(metadata!K995))),metadata!K995&gt;=-90.00,metadata!K995&lt;=90.00))</f>
        <v>0</v>
      </c>
      <c r="AL995">
        <f>OR(AND(IF(metadata!L995="",FALSE,TRUE),OR(exact(metadata!L995,"missing: not collected"),exact(metadata!L995,"missing: not provided"),exact(metadata!L995,"missing: restricted access"))),AND(IF(metadata!L995="",FALSE,ISNUMBER(VALUE(metadata!L995))),metadata!L995&gt;=-180.00,metadata!L995&lt;=180.00))</f>
        <v>0</v>
      </c>
      <c r="AM995">
        <f>IF(metadata!M995="",FALSE,TRUE)</f>
        <v>0</v>
      </c>
      <c r="AN995">
        <f>OR(AND(IF(metadata!N995="",FALSE,TRUE),OR(exact(metadata!N995,"missing: not collected"),exact(metadata!N995,"missing: not provided"),exact(metadata!N995,"missing: restricted access"))),AND(IF(metadata!N995="",FALSE,TRUE),OR(exact(metadata!N995,"TRUE"),exact(metadata!N995,"FALSE"))))</f>
        <v>0</v>
      </c>
      <c r="AO995">
        <f>IF(metadata!O995="",FALSE,TRUE)</f>
        <v>0</v>
      </c>
      <c r="AP995">
        <f>OR(AND(IF(metadata!P995="",FALSE,TRUE),OR(exact(metadata!P995,"missing: not collected"),exact(metadata!P995,"missing: not provided"))),AND(IF(metadata!P995="",FALSE,IF(ISERROR(INT(metadata!P995)),FALSE,INT(metadata!P995)=metadata!P995)),metadata!P995&gt;0))</f>
        <v>0</v>
      </c>
      <c r="AQ995">
        <f>IF(metadata!Q995="",FALSE,TRUE)</f>
        <v>0</v>
      </c>
    </row>
    <row r="996" spans="1:43">
      <c r="A996" s="5">
        <f>IF(B996=" "," ",HYPERLINK(CONCATENATE("#metadata!",ADDRESS(INDEX($W$2:$W$1001,MATCH(ROWS($U$2:U996),$U$2:$U$1001,0),0),1)),INDEX($Z$2:$Z$1001,MATCH(ROWS($U$2:U996),$U$2:$U$1001,0),0)))</f>
        <v>0</v>
      </c>
      <c r="B996" s="4">
        <f>IF(OR(INDEX($V$2:$V$1001,MATCH(ROWS($U$2:U996),$U$2:$U$1001,0),1)&gt;=100000,INDEX($AB$1005:$AQ$1005,1,MATCH(COLUMNS($AB$1006:AB1006),$AB$1006:$AQ$1006,0))&gt;=100000), " ",IF(INDEX($AB$2:$AQ$1001,MATCH(ROWS($U$2:U996),$U$2:$U$1001,0),MATCH(COLUMNS($AB$1006:AB1006),$AB$1006:$AQ$1006,0)), HYPERLINK("#",""), HYPERLINK(CONCATENATE("#metadata!", ADDRESS(INDEX($W$2:$W$1001,MATCH(ROWS($U$2:U996),$U$2:$U$1001,0),0), INDEX($AB$1004:$AQ$1004,1,MATCH(COLUMNS($AB$1006:AB1006),$AB$1006:$AQ$1006,0)))),"Fix")))</f>
        <v>0</v>
      </c>
      <c r="C996" s="4">
        <f>IF(OR(INDEX($V$2:$V$1001,MATCH(ROWS($U$2:U996),$U$2:$U$1001,0),1)&gt;=100000,INDEX($AB$1005:$AQ$1005,1,MATCH(COLUMNS($AB$1006:AC1006),$AB$1006:$AQ$1006,0))&gt;=100000), " ",IF(INDEX($AB$2:$AQ$1001,MATCH(ROWS($U$2:U996),$U$2:$U$1001,0),MATCH(COLUMNS($AB$1006:AC1006),$AB$1006:$AQ$1006,0)), HYPERLINK("#",""), HYPERLINK(CONCATENATE("#metadata!", ADDRESS(INDEX($W$2:$W$1001,MATCH(ROWS($U$2:U996),$U$2:$U$1001,0),0), INDEX($AB$1004:$AQ$1004,1,MATCH(COLUMNS($AB$1006:AC1006),$AB$1006:$AQ$1006,0)))),"Fix")))</f>
        <v>0</v>
      </c>
      <c r="D996" s="4">
        <f>IF(OR(INDEX($V$2:$V$1001,MATCH(ROWS($U$2:U996),$U$2:$U$1001,0),1)&gt;=100000,INDEX($AB$1005:$AQ$1005,1,MATCH(COLUMNS($AB$1006:AD1006),$AB$1006:$AQ$1006,0))&gt;=100000), " ",IF(INDEX($AB$2:$AQ$1001,MATCH(ROWS($U$2:U996),$U$2:$U$1001,0),MATCH(COLUMNS($AB$1006:AD1006),$AB$1006:$AQ$1006,0)), HYPERLINK("#",""), HYPERLINK(CONCATENATE("#metadata!", ADDRESS(INDEX($W$2:$W$1001,MATCH(ROWS($U$2:U996),$U$2:$U$1001,0),0), INDEX($AB$1004:$AQ$1004,1,MATCH(COLUMNS($AB$1006:AD1006),$AB$1006:$AQ$1006,0)))),"Fix")))</f>
        <v>0</v>
      </c>
      <c r="E996" s="4">
        <f>IF(OR(INDEX($V$2:$V$1001,MATCH(ROWS($U$2:U996),$U$2:$U$1001,0),1)&gt;=100000,INDEX($AB$1005:$AQ$1005,1,MATCH(COLUMNS($AB$1006:AE1006),$AB$1006:$AQ$1006,0))&gt;=100000), " ",IF(INDEX($AB$2:$AQ$1001,MATCH(ROWS($U$2:U996),$U$2:$U$1001,0),MATCH(COLUMNS($AB$1006:AE1006),$AB$1006:$AQ$1006,0)), HYPERLINK("#",""), HYPERLINK(CONCATENATE("#metadata!", ADDRESS(INDEX($W$2:$W$1001,MATCH(ROWS($U$2:U996),$U$2:$U$1001,0),0), INDEX($AB$1004:$AQ$1004,1,MATCH(COLUMNS($AB$1006:AE1006),$AB$1006:$AQ$1006,0)))),"Fix")))</f>
        <v>0</v>
      </c>
      <c r="F996" s="4">
        <f>IF(OR(INDEX($V$2:$V$1001,MATCH(ROWS($U$2:U996),$U$2:$U$1001,0),1)&gt;=100000,INDEX($AB$1005:$AQ$1005,1,MATCH(COLUMNS($AB$1006:AF1006),$AB$1006:$AQ$1006,0))&gt;=100000), " ",IF(INDEX($AB$2:$AQ$1001,MATCH(ROWS($U$2:U996),$U$2:$U$1001,0),MATCH(COLUMNS($AB$1006:AF1006),$AB$1006:$AQ$1006,0)), HYPERLINK("#",""), HYPERLINK(CONCATENATE("#metadata!", ADDRESS(INDEX($W$2:$W$1001,MATCH(ROWS($U$2:U996),$U$2:$U$1001,0),0), INDEX($AB$1004:$AQ$1004,1,MATCH(COLUMNS($AB$1006:AF1006),$AB$1006:$AQ$1006,0)))),"Fix")))</f>
        <v>0</v>
      </c>
      <c r="G996" s="4">
        <f>IF(OR(INDEX($V$2:$V$1001,MATCH(ROWS($U$2:U996),$U$2:$U$1001,0),1)&gt;=100000,INDEX($AB$1005:$AQ$1005,1,MATCH(COLUMNS($AB$1006:AG1006),$AB$1006:$AQ$1006,0))&gt;=100000), " ",IF(INDEX($AB$2:$AQ$1001,MATCH(ROWS($U$2:U996),$U$2:$U$1001,0),MATCH(COLUMNS($AB$1006:AG1006),$AB$1006:$AQ$1006,0)), HYPERLINK("#",""), HYPERLINK(CONCATENATE("#metadata!", ADDRESS(INDEX($W$2:$W$1001,MATCH(ROWS($U$2:U996),$U$2:$U$1001,0),0), INDEX($AB$1004:$AQ$1004,1,MATCH(COLUMNS($AB$1006:AG1006),$AB$1006:$AQ$1006,0)))),"Fix")))</f>
        <v>0</v>
      </c>
      <c r="H996" s="4">
        <f>IF(OR(INDEX($V$2:$V$1001,MATCH(ROWS($U$2:U996),$U$2:$U$1001,0),1)&gt;=100000,INDEX($AB$1005:$AQ$1005,1,MATCH(COLUMNS($AB$1006:AH1006),$AB$1006:$AQ$1006,0))&gt;=100000), " ",IF(INDEX($AB$2:$AQ$1001,MATCH(ROWS($U$2:U996),$U$2:$U$1001,0),MATCH(COLUMNS($AB$1006:AH1006),$AB$1006:$AQ$1006,0)), HYPERLINK("#",""), HYPERLINK(CONCATENATE("#metadata!", ADDRESS(INDEX($W$2:$W$1001,MATCH(ROWS($U$2:U996),$U$2:$U$1001,0),0), INDEX($AB$1004:$AQ$1004,1,MATCH(COLUMNS($AB$1006:AH1006),$AB$1006:$AQ$1006,0)))),"Fix")))</f>
        <v>0</v>
      </c>
      <c r="I996" s="4">
        <f>IF(OR(INDEX($V$2:$V$1001,MATCH(ROWS($U$2:U996),$U$2:$U$1001,0),1)&gt;=100000,INDEX($AB$1005:$AQ$1005,1,MATCH(COLUMNS($AB$1006:AI1006),$AB$1006:$AQ$1006,0))&gt;=100000), " ",IF(INDEX($AB$2:$AQ$1001,MATCH(ROWS($U$2:U996),$U$2:$U$1001,0),MATCH(COLUMNS($AB$1006:AI1006),$AB$1006:$AQ$1006,0)), HYPERLINK("#",""), HYPERLINK(CONCATENATE("#metadata!", ADDRESS(INDEX($W$2:$W$1001,MATCH(ROWS($U$2:U996),$U$2:$U$1001,0),0), INDEX($AB$1004:$AQ$1004,1,MATCH(COLUMNS($AB$1006:AI1006),$AB$1006:$AQ$1006,0)))),"Fix")))</f>
        <v>0</v>
      </c>
      <c r="J996" s="4">
        <f>IF(OR(INDEX($V$2:$V$1001,MATCH(ROWS($U$2:U996),$U$2:$U$1001,0),1)&gt;=100000,INDEX($AB$1005:$AQ$1005,1,MATCH(COLUMNS($AB$1006:AJ1006),$AB$1006:$AQ$1006,0))&gt;=100000), " ",IF(INDEX($AB$2:$AQ$1001,MATCH(ROWS($U$2:U996),$U$2:$U$1001,0),MATCH(COLUMNS($AB$1006:AJ1006),$AB$1006:$AQ$1006,0)), HYPERLINK("#",""), HYPERLINK(CONCATENATE("#metadata!", ADDRESS(INDEX($W$2:$W$1001,MATCH(ROWS($U$2:U996),$U$2:$U$1001,0),0), INDEX($AB$1004:$AQ$1004,1,MATCH(COLUMNS($AB$1006:AJ1006),$AB$1006:$AQ$1006,0)))),"Fix")))</f>
        <v>0</v>
      </c>
      <c r="K996" s="4">
        <f>IF(OR(INDEX($V$2:$V$1001,MATCH(ROWS($U$2:U996),$U$2:$U$1001,0),1)&gt;=100000,INDEX($AB$1005:$AQ$1005,1,MATCH(COLUMNS($AB$1006:AK1006),$AB$1006:$AQ$1006,0))&gt;=100000), " ",IF(INDEX($AB$2:$AQ$1001,MATCH(ROWS($U$2:U996),$U$2:$U$1001,0),MATCH(COLUMNS($AB$1006:AK1006),$AB$1006:$AQ$1006,0)), HYPERLINK("#",""), HYPERLINK(CONCATENATE("#metadata!", ADDRESS(INDEX($W$2:$W$1001,MATCH(ROWS($U$2:U996),$U$2:$U$1001,0),0), INDEX($AB$1004:$AQ$1004,1,MATCH(COLUMNS($AB$1006:AK1006),$AB$1006:$AQ$1006,0)))),"Fix")))</f>
        <v>0</v>
      </c>
      <c r="L996" s="4">
        <f>IF(OR(INDEX($V$2:$V$1001,MATCH(ROWS($U$2:U996),$U$2:$U$1001,0),1)&gt;=100000,INDEX($AB$1005:$AQ$1005,1,MATCH(COLUMNS($AB$1006:AL1006),$AB$1006:$AQ$1006,0))&gt;=100000), " ",IF(INDEX($AB$2:$AQ$1001,MATCH(ROWS($U$2:U996),$U$2:$U$1001,0),MATCH(COLUMNS($AB$1006:AL1006),$AB$1006:$AQ$1006,0)), HYPERLINK("#",""), HYPERLINK(CONCATENATE("#metadata!", ADDRESS(INDEX($W$2:$W$1001,MATCH(ROWS($U$2:U996),$U$2:$U$1001,0),0), INDEX($AB$1004:$AQ$1004,1,MATCH(COLUMNS($AB$1006:AL1006),$AB$1006:$AQ$1006,0)))),"Fix")))</f>
        <v>0</v>
      </c>
      <c r="M996" s="4">
        <f>IF(OR(INDEX($V$2:$V$1001,MATCH(ROWS($U$2:U996),$U$2:$U$1001,0),1)&gt;=100000,INDEX($AB$1005:$AQ$1005,1,MATCH(COLUMNS($AB$1006:AM1006),$AB$1006:$AQ$1006,0))&gt;=100000), " ",IF(INDEX($AB$2:$AQ$1001,MATCH(ROWS($U$2:U996),$U$2:$U$1001,0),MATCH(COLUMNS($AB$1006:AM1006),$AB$1006:$AQ$1006,0)), HYPERLINK("#",""), HYPERLINK(CONCATENATE("#metadata!", ADDRESS(INDEX($W$2:$W$1001,MATCH(ROWS($U$2:U996),$U$2:$U$1001,0),0), INDEX($AB$1004:$AQ$1004,1,MATCH(COLUMNS($AB$1006:AM1006),$AB$1006:$AQ$1006,0)))),"Fix")))</f>
        <v>0</v>
      </c>
      <c r="N996" s="4">
        <f>IF(OR(INDEX($V$2:$V$1001,MATCH(ROWS($U$2:U996),$U$2:$U$1001,0),1)&gt;=100000,INDEX($AB$1005:$AQ$1005,1,MATCH(COLUMNS($AB$1006:AN1006),$AB$1006:$AQ$1006,0))&gt;=100000), " ",IF(INDEX($AB$2:$AQ$1001,MATCH(ROWS($U$2:U996),$U$2:$U$1001,0),MATCH(COLUMNS($AB$1006:AN1006),$AB$1006:$AQ$1006,0)), HYPERLINK("#",""), HYPERLINK(CONCATENATE("#metadata!", ADDRESS(INDEX($W$2:$W$1001,MATCH(ROWS($U$2:U996),$U$2:$U$1001,0),0), INDEX($AB$1004:$AQ$1004,1,MATCH(COLUMNS($AB$1006:AN1006),$AB$1006:$AQ$1006,0)))),"Fix")))</f>
        <v>0</v>
      </c>
      <c r="O996" s="4">
        <f>IF(OR(INDEX($V$2:$V$1001,MATCH(ROWS($U$2:U996),$U$2:$U$1001,0),1)&gt;=100000,INDEX($AB$1005:$AQ$1005,1,MATCH(COLUMNS($AB$1006:AO1006),$AB$1006:$AQ$1006,0))&gt;=100000), " ",IF(INDEX($AB$2:$AQ$1001,MATCH(ROWS($U$2:U996),$U$2:$U$1001,0),MATCH(COLUMNS($AB$1006:AO1006),$AB$1006:$AQ$1006,0)), HYPERLINK("#",""), HYPERLINK(CONCATENATE("#metadata!", ADDRESS(INDEX($W$2:$W$1001,MATCH(ROWS($U$2:U996),$U$2:$U$1001,0),0), INDEX($AB$1004:$AQ$1004,1,MATCH(COLUMNS($AB$1006:AO1006),$AB$1006:$AQ$1006,0)))),"Fix")))</f>
        <v>0</v>
      </c>
      <c r="P996" s="4">
        <f>IF(OR(INDEX($V$2:$V$1001,MATCH(ROWS($U$2:U996),$U$2:$U$1001,0),1)&gt;=100000,INDEX($AB$1005:$AQ$1005,1,MATCH(COLUMNS($AB$1006:AP1006),$AB$1006:$AQ$1006,0))&gt;=100000), " ",IF(INDEX($AB$2:$AQ$1001,MATCH(ROWS($U$2:U996),$U$2:$U$1001,0),MATCH(COLUMNS($AB$1006:AP1006),$AB$1006:$AQ$1006,0)), HYPERLINK("#",""), HYPERLINK(CONCATENATE("#metadata!", ADDRESS(INDEX($W$2:$W$1001,MATCH(ROWS($U$2:U996),$U$2:$U$1001,0),0), INDEX($AB$1004:$AQ$1004,1,MATCH(COLUMNS($AB$1006:AP1006),$AB$1006:$AQ$1006,0)))),"Fix")))</f>
        <v>0</v>
      </c>
      <c r="Q996" s="4">
        <f>IF(OR(INDEX($V$2:$V$1001,MATCH(ROWS($U$2:U996),$U$2:$U$1001,0),1)&gt;=100000,INDEX($AB$1005:$AQ$1005,1,MATCH(COLUMNS($AB$1006:AQ1006),$AB$1006:$AQ$1006,0))&gt;=100000), " ",IF(INDEX($AB$2:$AQ$1001,MATCH(ROWS($U$2:U996),$U$2:$U$1001,0),MATCH(COLUMNS($AB$1006:AQ1006),$AB$1006:$AQ$1006,0)), HYPERLINK("#",""), HYPERLINK(CONCATENATE("#metadata!", ADDRESS(INDEX($W$2:$W$1001,MATCH(ROWS($U$2:U996),$U$2:$U$1001,0),0), INDEX($AB$1004:$AQ$1004,1,MATCH(COLUMNS($AB$1006:AQ1006),$AB$1006:$AQ$1006,0)))),"Fix")))</f>
        <v>0</v>
      </c>
      <c r="U996">
        <v>0</v>
      </c>
      <c r="V996">
        <v>0</v>
      </c>
      <c r="W996">
        <v>0</v>
      </c>
      <c r="X996">
        <f>IF(Y996,TRUE,AND(AB996:AQ996))</f>
        <v>0</v>
      </c>
      <c r="Y996">
        <f>COUNTBLANK(metadata!B996:Q996)=COLUMNS(metadata!B996:Q996)</f>
        <v>0</v>
      </c>
      <c r="Z996">
        <v>0</v>
      </c>
      <c r="AB996">
        <f>AND(IF(metadata!B996="",FALSE,TRUE),COUNTIF(metadata!B:B, metadata!B996) = 1,NOT(ISERROR(SUMPRODUCT(SEARCH(MID(metadata!B996,ROW(INDIRECT("1:"&amp;LEN(metadata!B996))), 1),"0123456789abcdefghijklmnopqrstuvwxyzABCDEFGHIJKLMNOPQRSTUVWXYZ.")))))</f>
        <v>0</v>
      </c>
      <c r="AC996">
        <f>OR(AND(IF(metadata!C996="",FALSE,TRUE),OR(exact(metadata!C996,"missing: not collected"),exact(metadata!C996,"missing: not provided"),exact(metadata!C996,"missing: restricted access"))),AND(IF(metadata!C996="",FALSE,TRUE),AND(AND(IFERROR(INT(LEFT(metadata!C996,4))&gt;1900,FALSE),IFERROR(INT(LEFT(metadata!C996,4))&lt;=YEAR(NOW()),FALSE)), OR(MID(metadata!C996,5,1)="", AND(AND(MID(metadata!C996,5,1)="-",IFERROR(INT(MID(metadata!C996,6,1))&gt;=0,FALSE),IFERROR(INT(MID(metadata!C996,6,1))&lt;=1,FALSE),NOT(MID(metadata!C996,7,1)=""),IFERROR(INT(MID(metadata!C996,6,2))&gt;=1,FALSE),IFERROR(INT(MID(metadata!C996,6,2))&lt;=12,FALSE)), OR(MID(metadata!C996,8,1)="", AND(AND(MID(metadata!C996,8,1)="-",IFERROR(INT(MID(metadata!C996,9,1))&gt;=0,FALSE),IFERROR(INT(MID(metadata!C996,9,1))&lt;=3,FALSE),NOT(MID(metadata!C996,10,1)=""),IFERROR(INT(MID(metadata!C996,9,2))&gt;=1,FALSE),IFERROR(INT(MID(metadata!C996,9,2))&lt;=31,FALSE)), OR(MID(metadata!C996,11,1)="", AND(AND(MID(metadata!C996,11,1)=" ",IFERROR(INT(MID(metadata!C996,12,1))&gt;=0,FALSE),IFERROR(INT(MID(metadata!C996,12,1))&lt;=2,FALSE),NOT(MID(metadata!C996,13,1)=""),IFERROR(INT(MID(metadata!C996,12,2))&gt;=0,FALSE),IFERROR(INT(MID(metadata!C996,12,2))&lt;=23,FALSE)), OR(MID(metadata!C996,14,1)="", AND(AND(MID(metadata!C996,14,1)=":",IFERROR(INT(MID(metadata!C996,15,1))&gt;=0,FALSE),IFERROR(INT(MID(metadata!C996,15,1))&lt;=5,FALSE),NOT(MID(metadata!C996,16,1)=""),IFERROR(INT(MID(metadata!C996,15,2))&gt;=0,FALSE),IFERROR(INT(MID(metadata!C996,15,2))&lt;=59,FALSE)), OR(MID(metadata!C996,17,1)="", AND(AND(MID(metadata!C996,17,1)=":",IFERROR(INT(MID(metadata!C996,18,1))&gt;=0,FALSE),IFERROR(INT(MID(metadata!C996,18,1))&lt;=5,FALSE),NOT(MID(metadata!C996,19,1)=""),IFERROR(INT(MID(metadata!C996,18,2))&gt;=0,FALSE),IFERROR(INT(MID(metadata!C996,18,2))&lt;=59,FALSE)), LEN(metadata!C996)&lt;=19)))))))))))))</f>
        <v>0</v>
      </c>
      <c r="AD996">
        <f>IF(metadata!D996="",FALSE,TRUE)</f>
        <v>0</v>
      </c>
      <c r="AE996">
        <f>OR(AND(IF(metadata!E996="",FALSE,TRUE),OR(exact(metadata!E996,"missing: not collected"),exact(metadata!E996,"missing: not provided"))),AND(IF(metadata!E996="",FALSE,TRUE),OR(exact(metadata!E996,"TRUE"),exact(metadata!E996,"FALSE"))))</f>
        <v>0</v>
      </c>
      <c r="AF996">
        <f>IF(metadata!F996="",FALSE,TRUE)</f>
        <v>0</v>
      </c>
      <c r="AG996">
        <f>IF(metadata!G996="",FALSE,TRUE)</f>
        <v>0</v>
      </c>
      <c r="AH996">
        <f>IF(metadata!H996="",FALSE,TRUE)</f>
        <v>0</v>
      </c>
      <c r="AI996">
        <f>OR(AND(IF(metadata!I996="",FALSE,TRUE),OR(exact(metadata!I996,"missing: not collected"),exact(metadata!I996,"missing: not provided"),exact(metadata!I996,"missing: restricted access"))),AND(IF(metadata!I996="",FALSE,TRUE),OR(exact(metadata!I996,"air"),exact(metadata!I996,"built environment"),exact(metadata!I996,"host-associated"),exact(metadata!I996,"human-associated"),exact(metadata!I996,"human-skin"),exact(metadata!I996,"human-oral"),exact(metadata!I996,"human-gut"),exact(metadata!I996,"human-vaginal"),exact(metadata!I996,"microbial mat/biofilm"),exact(metadata!I996,"misc environment"),exact(metadata!I996,"plant-associated"),exact(metadata!I996,"sediment"),exact(metadata!I996,"soil"),exact(metadata!I996,"wastewater/sludge"),exact(metadata!I996,"water"))))</f>
        <v>0</v>
      </c>
      <c r="AJ996">
        <f>IF(metadata!J996="",FALSE,TRUE)</f>
        <v>0</v>
      </c>
      <c r="AK996">
        <f>OR(AND(IF(metadata!K996="",FALSE,TRUE),OR(exact(metadata!K996,"missing: not collected"),exact(metadata!K996,"missing: not provided"),exact(metadata!K996,"missing: restricted access"))),AND(IF(metadata!K996="",FALSE,ISNUMBER(VALUE(metadata!K996))),metadata!K996&gt;=-90.00,metadata!K996&lt;=90.00))</f>
        <v>0</v>
      </c>
      <c r="AL996">
        <f>OR(AND(IF(metadata!L996="",FALSE,TRUE),OR(exact(metadata!L996,"missing: not collected"),exact(metadata!L996,"missing: not provided"),exact(metadata!L996,"missing: restricted access"))),AND(IF(metadata!L996="",FALSE,ISNUMBER(VALUE(metadata!L996))),metadata!L996&gt;=-180.00,metadata!L996&lt;=180.00))</f>
        <v>0</v>
      </c>
      <c r="AM996">
        <f>IF(metadata!M996="",FALSE,TRUE)</f>
        <v>0</v>
      </c>
      <c r="AN996">
        <f>OR(AND(IF(metadata!N996="",FALSE,TRUE),OR(exact(metadata!N996,"missing: not collected"),exact(metadata!N996,"missing: not provided"),exact(metadata!N996,"missing: restricted access"))),AND(IF(metadata!N996="",FALSE,TRUE),OR(exact(metadata!N996,"TRUE"),exact(metadata!N996,"FALSE"))))</f>
        <v>0</v>
      </c>
      <c r="AO996">
        <f>IF(metadata!O996="",FALSE,TRUE)</f>
        <v>0</v>
      </c>
      <c r="AP996">
        <f>OR(AND(IF(metadata!P996="",FALSE,TRUE),OR(exact(metadata!P996,"missing: not collected"),exact(metadata!P996,"missing: not provided"))),AND(IF(metadata!P996="",FALSE,IF(ISERROR(INT(metadata!P996)),FALSE,INT(metadata!P996)=metadata!P996)),metadata!P996&gt;0))</f>
        <v>0</v>
      </c>
      <c r="AQ996">
        <f>IF(metadata!Q996="",FALSE,TRUE)</f>
        <v>0</v>
      </c>
    </row>
    <row r="997" spans="1:43">
      <c r="A997" s="5">
        <f>IF(B997=" "," ",HYPERLINK(CONCATENATE("#metadata!",ADDRESS(INDEX($W$2:$W$1001,MATCH(ROWS($U$2:U997),$U$2:$U$1001,0),0),1)),INDEX($Z$2:$Z$1001,MATCH(ROWS($U$2:U997),$U$2:$U$1001,0),0)))</f>
        <v>0</v>
      </c>
      <c r="B997" s="4">
        <f>IF(OR(INDEX($V$2:$V$1001,MATCH(ROWS($U$2:U997),$U$2:$U$1001,0),1)&gt;=100000,INDEX($AB$1005:$AQ$1005,1,MATCH(COLUMNS($AB$1006:AB1006),$AB$1006:$AQ$1006,0))&gt;=100000), " ",IF(INDEX($AB$2:$AQ$1001,MATCH(ROWS($U$2:U997),$U$2:$U$1001,0),MATCH(COLUMNS($AB$1006:AB1006),$AB$1006:$AQ$1006,0)), HYPERLINK("#",""), HYPERLINK(CONCATENATE("#metadata!", ADDRESS(INDEX($W$2:$W$1001,MATCH(ROWS($U$2:U997),$U$2:$U$1001,0),0), INDEX($AB$1004:$AQ$1004,1,MATCH(COLUMNS($AB$1006:AB1006),$AB$1006:$AQ$1006,0)))),"Fix")))</f>
        <v>0</v>
      </c>
      <c r="C997" s="4">
        <f>IF(OR(INDEX($V$2:$V$1001,MATCH(ROWS($U$2:U997),$U$2:$U$1001,0),1)&gt;=100000,INDEX($AB$1005:$AQ$1005,1,MATCH(COLUMNS($AB$1006:AC1006),$AB$1006:$AQ$1006,0))&gt;=100000), " ",IF(INDEX($AB$2:$AQ$1001,MATCH(ROWS($U$2:U997),$U$2:$U$1001,0),MATCH(COLUMNS($AB$1006:AC1006),$AB$1006:$AQ$1006,0)), HYPERLINK("#",""), HYPERLINK(CONCATENATE("#metadata!", ADDRESS(INDEX($W$2:$W$1001,MATCH(ROWS($U$2:U997),$U$2:$U$1001,0),0), INDEX($AB$1004:$AQ$1004,1,MATCH(COLUMNS($AB$1006:AC1006),$AB$1006:$AQ$1006,0)))),"Fix")))</f>
        <v>0</v>
      </c>
      <c r="D997" s="4">
        <f>IF(OR(INDEX($V$2:$V$1001,MATCH(ROWS($U$2:U997),$U$2:$U$1001,0),1)&gt;=100000,INDEX($AB$1005:$AQ$1005,1,MATCH(COLUMNS($AB$1006:AD1006),$AB$1006:$AQ$1006,0))&gt;=100000), " ",IF(INDEX($AB$2:$AQ$1001,MATCH(ROWS($U$2:U997),$U$2:$U$1001,0),MATCH(COLUMNS($AB$1006:AD1006),$AB$1006:$AQ$1006,0)), HYPERLINK("#",""), HYPERLINK(CONCATENATE("#metadata!", ADDRESS(INDEX($W$2:$W$1001,MATCH(ROWS($U$2:U997),$U$2:$U$1001,0),0), INDEX($AB$1004:$AQ$1004,1,MATCH(COLUMNS($AB$1006:AD1006),$AB$1006:$AQ$1006,0)))),"Fix")))</f>
        <v>0</v>
      </c>
      <c r="E997" s="4">
        <f>IF(OR(INDEX($V$2:$V$1001,MATCH(ROWS($U$2:U997),$U$2:$U$1001,0),1)&gt;=100000,INDEX($AB$1005:$AQ$1005,1,MATCH(COLUMNS($AB$1006:AE1006),$AB$1006:$AQ$1006,0))&gt;=100000), " ",IF(INDEX($AB$2:$AQ$1001,MATCH(ROWS($U$2:U997),$U$2:$U$1001,0),MATCH(COLUMNS($AB$1006:AE1006),$AB$1006:$AQ$1006,0)), HYPERLINK("#",""), HYPERLINK(CONCATENATE("#metadata!", ADDRESS(INDEX($W$2:$W$1001,MATCH(ROWS($U$2:U997),$U$2:$U$1001,0),0), INDEX($AB$1004:$AQ$1004,1,MATCH(COLUMNS($AB$1006:AE1006),$AB$1006:$AQ$1006,0)))),"Fix")))</f>
        <v>0</v>
      </c>
      <c r="F997" s="4">
        <f>IF(OR(INDEX($V$2:$V$1001,MATCH(ROWS($U$2:U997),$U$2:$U$1001,0),1)&gt;=100000,INDEX($AB$1005:$AQ$1005,1,MATCH(COLUMNS($AB$1006:AF1006),$AB$1006:$AQ$1006,0))&gt;=100000), " ",IF(INDEX($AB$2:$AQ$1001,MATCH(ROWS($U$2:U997),$U$2:$U$1001,0),MATCH(COLUMNS($AB$1006:AF1006),$AB$1006:$AQ$1006,0)), HYPERLINK("#",""), HYPERLINK(CONCATENATE("#metadata!", ADDRESS(INDEX($W$2:$W$1001,MATCH(ROWS($U$2:U997),$U$2:$U$1001,0),0), INDEX($AB$1004:$AQ$1004,1,MATCH(COLUMNS($AB$1006:AF1006),$AB$1006:$AQ$1006,0)))),"Fix")))</f>
        <v>0</v>
      </c>
      <c r="G997" s="4">
        <f>IF(OR(INDEX($V$2:$V$1001,MATCH(ROWS($U$2:U997),$U$2:$U$1001,0),1)&gt;=100000,INDEX($AB$1005:$AQ$1005,1,MATCH(COLUMNS($AB$1006:AG1006),$AB$1006:$AQ$1006,0))&gt;=100000), " ",IF(INDEX($AB$2:$AQ$1001,MATCH(ROWS($U$2:U997),$U$2:$U$1001,0),MATCH(COLUMNS($AB$1006:AG1006),$AB$1006:$AQ$1006,0)), HYPERLINK("#",""), HYPERLINK(CONCATENATE("#metadata!", ADDRESS(INDEX($W$2:$W$1001,MATCH(ROWS($U$2:U997),$U$2:$U$1001,0),0), INDEX($AB$1004:$AQ$1004,1,MATCH(COLUMNS($AB$1006:AG1006),$AB$1006:$AQ$1006,0)))),"Fix")))</f>
        <v>0</v>
      </c>
      <c r="H997" s="4">
        <f>IF(OR(INDEX($V$2:$V$1001,MATCH(ROWS($U$2:U997),$U$2:$U$1001,0),1)&gt;=100000,INDEX($AB$1005:$AQ$1005,1,MATCH(COLUMNS($AB$1006:AH1006),$AB$1006:$AQ$1006,0))&gt;=100000), " ",IF(INDEX($AB$2:$AQ$1001,MATCH(ROWS($U$2:U997),$U$2:$U$1001,0),MATCH(COLUMNS($AB$1006:AH1006),$AB$1006:$AQ$1006,0)), HYPERLINK("#",""), HYPERLINK(CONCATENATE("#metadata!", ADDRESS(INDEX($W$2:$W$1001,MATCH(ROWS($U$2:U997),$U$2:$U$1001,0),0), INDEX($AB$1004:$AQ$1004,1,MATCH(COLUMNS($AB$1006:AH1006),$AB$1006:$AQ$1006,0)))),"Fix")))</f>
        <v>0</v>
      </c>
      <c r="I997" s="4">
        <f>IF(OR(INDEX($V$2:$V$1001,MATCH(ROWS($U$2:U997),$U$2:$U$1001,0),1)&gt;=100000,INDEX($AB$1005:$AQ$1005,1,MATCH(COLUMNS($AB$1006:AI1006),$AB$1006:$AQ$1006,0))&gt;=100000), " ",IF(INDEX($AB$2:$AQ$1001,MATCH(ROWS($U$2:U997),$U$2:$U$1001,0),MATCH(COLUMNS($AB$1006:AI1006),$AB$1006:$AQ$1006,0)), HYPERLINK("#",""), HYPERLINK(CONCATENATE("#metadata!", ADDRESS(INDEX($W$2:$W$1001,MATCH(ROWS($U$2:U997),$U$2:$U$1001,0),0), INDEX($AB$1004:$AQ$1004,1,MATCH(COLUMNS($AB$1006:AI1006),$AB$1006:$AQ$1006,0)))),"Fix")))</f>
        <v>0</v>
      </c>
      <c r="J997" s="4">
        <f>IF(OR(INDEX($V$2:$V$1001,MATCH(ROWS($U$2:U997),$U$2:$U$1001,0),1)&gt;=100000,INDEX($AB$1005:$AQ$1005,1,MATCH(COLUMNS($AB$1006:AJ1006),$AB$1006:$AQ$1006,0))&gt;=100000), " ",IF(INDEX($AB$2:$AQ$1001,MATCH(ROWS($U$2:U997),$U$2:$U$1001,0),MATCH(COLUMNS($AB$1006:AJ1006),$AB$1006:$AQ$1006,0)), HYPERLINK("#",""), HYPERLINK(CONCATENATE("#metadata!", ADDRESS(INDEX($W$2:$W$1001,MATCH(ROWS($U$2:U997),$U$2:$U$1001,0),0), INDEX($AB$1004:$AQ$1004,1,MATCH(COLUMNS($AB$1006:AJ1006),$AB$1006:$AQ$1006,0)))),"Fix")))</f>
        <v>0</v>
      </c>
      <c r="K997" s="4">
        <f>IF(OR(INDEX($V$2:$V$1001,MATCH(ROWS($U$2:U997),$U$2:$U$1001,0),1)&gt;=100000,INDEX($AB$1005:$AQ$1005,1,MATCH(COLUMNS($AB$1006:AK1006),$AB$1006:$AQ$1006,0))&gt;=100000), " ",IF(INDEX($AB$2:$AQ$1001,MATCH(ROWS($U$2:U997),$U$2:$U$1001,0),MATCH(COLUMNS($AB$1006:AK1006),$AB$1006:$AQ$1006,0)), HYPERLINK("#",""), HYPERLINK(CONCATENATE("#metadata!", ADDRESS(INDEX($W$2:$W$1001,MATCH(ROWS($U$2:U997),$U$2:$U$1001,0),0), INDEX($AB$1004:$AQ$1004,1,MATCH(COLUMNS($AB$1006:AK1006),$AB$1006:$AQ$1006,0)))),"Fix")))</f>
        <v>0</v>
      </c>
      <c r="L997" s="4">
        <f>IF(OR(INDEX($V$2:$V$1001,MATCH(ROWS($U$2:U997),$U$2:$U$1001,0),1)&gt;=100000,INDEX($AB$1005:$AQ$1005,1,MATCH(COLUMNS($AB$1006:AL1006),$AB$1006:$AQ$1006,0))&gt;=100000), " ",IF(INDEX($AB$2:$AQ$1001,MATCH(ROWS($U$2:U997),$U$2:$U$1001,0),MATCH(COLUMNS($AB$1006:AL1006),$AB$1006:$AQ$1006,0)), HYPERLINK("#",""), HYPERLINK(CONCATENATE("#metadata!", ADDRESS(INDEX($W$2:$W$1001,MATCH(ROWS($U$2:U997),$U$2:$U$1001,0),0), INDEX($AB$1004:$AQ$1004,1,MATCH(COLUMNS($AB$1006:AL1006),$AB$1006:$AQ$1006,0)))),"Fix")))</f>
        <v>0</v>
      </c>
      <c r="M997" s="4">
        <f>IF(OR(INDEX($V$2:$V$1001,MATCH(ROWS($U$2:U997),$U$2:$U$1001,0),1)&gt;=100000,INDEX($AB$1005:$AQ$1005,1,MATCH(COLUMNS($AB$1006:AM1006),$AB$1006:$AQ$1006,0))&gt;=100000), " ",IF(INDEX($AB$2:$AQ$1001,MATCH(ROWS($U$2:U997),$U$2:$U$1001,0),MATCH(COLUMNS($AB$1006:AM1006),$AB$1006:$AQ$1006,0)), HYPERLINK("#",""), HYPERLINK(CONCATENATE("#metadata!", ADDRESS(INDEX($W$2:$W$1001,MATCH(ROWS($U$2:U997),$U$2:$U$1001,0),0), INDEX($AB$1004:$AQ$1004,1,MATCH(COLUMNS($AB$1006:AM1006),$AB$1006:$AQ$1006,0)))),"Fix")))</f>
        <v>0</v>
      </c>
      <c r="N997" s="4">
        <f>IF(OR(INDEX($V$2:$V$1001,MATCH(ROWS($U$2:U997),$U$2:$U$1001,0),1)&gt;=100000,INDEX($AB$1005:$AQ$1005,1,MATCH(COLUMNS($AB$1006:AN1006),$AB$1006:$AQ$1006,0))&gt;=100000), " ",IF(INDEX($AB$2:$AQ$1001,MATCH(ROWS($U$2:U997),$U$2:$U$1001,0),MATCH(COLUMNS($AB$1006:AN1006),$AB$1006:$AQ$1006,0)), HYPERLINK("#",""), HYPERLINK(CONCATENATE("#metadata!", ADDRESS(INDEX($W$2:$W$1001,MATCH(ROWS($U$2:U997),$U$2:$U$1001,0),0), INDEX($AB$1004:$AQ$1004,1,MATCH(COLUMNS($AB$1006:AN1006),$AB$1006:$AQ$1006,0)))),"Fix")))</f>
        <v>0</v>
      </c>
      <c r="O997" s="4">
        <f>IF(OR(INDEX($V$2:$V$1001,MATCH(ROWS($U$2:U997),$U$2:$U$1001,0),1)&gt;=100000,INDEX($AB$1005:$AQ$1005,1,MATCH(COLUMNS($AB$1006:AO1006),$AB$1006:$AQ$1006,0))&gt;=100000), " ",IF(INDEX($AB$2:$AQ$1001,MATCH(ROWS($U$2:U997),$U$2:$U$1001,0),MATCH(COLUMNS($AB$1006:AO1006),$AB$1006:$AQ$1006,0)), HYPERLINK("#",""), HYPERLINK(CONCATENATE("#metadata!", ADDRESS(INDEX($W$2:$W$1001,MATCH(ROWS($U$2:U997),$U$2:$U$1001,0),0), INDEX($AB$1004:$AQ$1004,1,MATCH(COLUMNS($AB$1006:AO1006),$AB$1006:$AQ$1006,0)))),"Fix")))</f>
        <v>0</v>
      </c>
      <c r="P997" s="4">
        <f>IF(OR(INDEX($V$2:$V$1001,MATCH(ROWS($U$2:U997),$U$2:$U$1001,0),1)&gt;=100000,INDEX($AB$1005:$AQ$1005,1,MATCH(COLUMNS($AB$1006:AP1006),$AB$1006:$AQ$1006,0))&gt;=100000), " ",IF(INDEX($AB$2:$AQ$1001,MATCH(ROWS($U$2:U997),$U$2:$U$1001,0),MATCH(COLUMNS($AB$1006:AP1006),$AB$1006:$AQ$1006,0)), HYPERLINK("#",""), HYPERLINK(CONCATENATE("#metadata!", ADDRESS(INDEX($W$2:$W$1001,MATCH(ROWS($U$2:U997),$U$2:$U$1001,0),0), INDEX($AB$1004:$AQ$1004,1,MATCH(COLUMNS($AB$1006:AP1006),$AB$1006:$AQ$1006,0)))),"Fix")))</f>
        <v>0</v>
      </c>
      <c r="Q997" s="4">
        <f>IF(OR(INDEX($V$2:$V$1001,MATCH(ROWS($U$2:U997),$U$2:$U$1001,0),1)&gt;=100000,INDEX($AB$1005:$AQ$1005,1,MATCH(COLUMNS($AB$1006:AQ1006),$AB$1006:$AQ$1006,0))&gt;=100000), " ",IF(INDEX($AB$2:$AQ$1001,MATCH(ROWS($U$2:U997),$U$2:$U$1001,0),MATCH(COLUMNS($AB$1006:AQ1006),$AB$1006:$AQ$1006,0)), HYPERLINK("#",""), HYPERLINK(CONCATENATE("#metadata!", ADDRESS(INDEX($W$2:$W$1001,MATCH(ROWS($U$2:U997),$U$2:$U$1001,0),0), INDEX($AB$1004:$AQ$1004,1,MATCH(COLUMNS($AB$1006:AQ1006),$AB$1006:$AQ$1006,0)))),"Fix")))</f>
        <v>0</v>
      </c>
      <c r="U997">
        <v>0</v>
      </c>
      <c r="V997">
        <v>0</v>
      </c>
      <c r="W997">
        <v>0</v>
      </c>
      <c r="X997">
        <f>IF(Y997,TRUE,AND(AB997:AQ997))</f>
        <v>0</v>
      </c>
      <c r="Y997">
        <f>COUNTBLANK(metadata!B997:Q997)=COLUMNS(metadata!B997:Q997)</f>
        <v>0</v>
      </c>
      <c r="Z997">
        <v>0</v>
      </c>
      <c r="AB997">
        <f>AND(IF(metadata!B997="",FALSE,TRUE),COUNTIF(metadata!B:B, metadata!B997) = 1,NOT(ISERROR(SUMPRODUCT(SEARCH(MID(metadata!B997,ROW(INDIRECT("1:"&amp;LEN(metadata!B997))), 1),"0123456789abcdefghijklmnopqrstuvwxyzABCDEFGHIJKLMNOPQRSTUVWXYZ.")))))</f>
        <v>0</v>
      </c>
      <c r="AC997">
        <f>OR(AND(IF(metadata!C997="",FALSE,TRUE),OR(exact(metadata!C997,"missing: not collected"),exact(metadata!C997,"missing: not provided"),exact(metadata!C997,"missing: restricted access"))),AND(IF(metadata!C997="",FALSE,TRUE),AND(AND(IFERROR(INT(LEFT(metadata!C997,4))&gt;1900,FALSE),IFERROR(INT(LEFT(metadata!C997,4))&lt;=YEAR(NOW()),FALSE)), OR(MID(metadata!C997,5,1)="", AND(AND(MID(metadata!C997,5,1)="-",IFERROR(INT(MID(metadata!C997,6,1))&gt;=0,FALSE),IFERROR(INT(MID(metadata!C997,6,1))&lt;=1,FALSE),NOT(MID(metadata!C997,7,1)=""),IFERROR(INT(MID(metadata!C997,6,2))&gt;=1,FALSE),IFERROR(INT(MID(metadata!C997,6,2))&lt;=12,FALSE)), OR(MID(metadata!C997,8,1)="", AND(AND(MID(metadata!C997,8,1)="-",IFERROR(INT(MID(metadata!C997,9,1))&gt;=0,FALSE),IFERROR(INT(MID(metadata!C997,9,1))&lt;=3,FALSE),NOT(MID(metadata!C997,10,1)=""),IFERROR(INT(MID(metadata!C997,9,2))&gt;=1,FALSE),IFERROR(INT(MID(metadata!C997,9,2))&lt;=31,FALSE)), OR(MID(metadata!C997,11,1)="", AND(AND(MID(metadata!C997,11,1)=" ",IFERROR(INT(MID(metadata!C997,12,1))&gt;=0,FALSE),IFERROR(INT(MID(metadata!C997,12,1))&lt;=2,FALSE),NOT(MID(metadata!C997,13,1)=""),IFERROR(INT(MID(metadata!C997,12,2))&gt;=0,FALSE),IFERROR(INT(MID(metadata!C997,12,2))&lt;=23,FALSE)), OR(MID(metadata!C997,14,1)="", AND(AND(MID(metadata!C997,14,1)=":",IFERROR(INT(MID(metadata!C997,15,1))&gt;=0,FALSE),IFERROR(INT(MID(metadata!C997,15,1))&lt;=5,FALSE),NOT(MID(metadata!C997,16,1)=""),IFERROR(INT(MID(metadata!C997,15,2))&gt;=0,FALSE),IFERROR(INT(MID(metadata!C997,15,2))&lt;=59,FALSE)), OR(MID(metadata!C997,17,1)="", AND(AND(MID(metadata!C997,17,1)=":",IFERROR(INT(MID(metadata!C997,18,1))&gt;=0,FALSE),IFERROR(INT(MID(metadata!C997,18,1))&lt;=5,FALSE),NOT(MID(metadata!C997,19,1)=""),IFERROR(INT(MID(metadata!C997,18,2))&gt;=0,FALSE),IFERROR(INT(MID(metadata!C997,18,2))&lt;=59,FALSE)), LEN(metadata!C997)&lt;=19)))))))))))))</f>
        <v>0</v>
      </c>
      <c r="AD997">
        <f>IF(metadata!D997="",FALSE,TRUE)</f>
        <v>0</v>
      </c>
      <c r="AE997">
        <f>OR(AND(IF(metadata!E997="",FALSE,TRUE),OR(exact(metadata!E997,"missing: not collected"),exact(metadata!E997,"missing: not provided"))),AND(IF(metadata!E997="",FALSE,TRUE),OR(exact(metadata!E997,"TRUE"),exact(metadata!E997,"FALSE"))))</f>
        <v>0</v>
      </c>
      <c r="AF997">
        <f>IF(metadata!F997="",FALSE,TRUE)</f>
        <v>0</v>
      </c>
      <c r="AG997">
        <f>IF(metadata!G997="",FALSE,TRUE)</f>
        <v>0</v>
      </c>
      <c r="AH997">
        <f>IF(metadata!H997="",FALSE,TRUE)</f>
        <v>0</v>
      </c>
      <c r="AI997">
        <f>OR(AND(IF(metadata!I997="",FALSE,TRUE),OR(exact(metadata!I997,"missing: not collected"),exact(metadata!I997,"missing: not provided"),exact(metadata!I997,"missing: restricted access"))),AND(IF(metadata!I997="",FALSE,TRUE),OR(exact(metadata!I997,"air"),exact(metadata!I997,"built environment"),exact(metadata!I997,"host-associated"),exact(metadata!I997,"human-associated"),exact(metadata!I997,"human-skin"),exact(metadata!I997,"human-oral"),exact(metadata!I997,"human-gut"),exact(metadata!I997,"human-vaginal"),exact(metadata!I997,"microbial mat/biofilm"),exact(metadata!I997,"misc environment"),exact(metadata!I997,"plant-associated"),exact(metadata!I997,"sediment"),exact(metadata!I997,"soil"),exact(metadata!I997,"wastewater/sludge"),exact(metadata!I997,"water"))))</f>
        <v>0</v>
      </c>
      <c r="AJ997">
        <f>IF(metadata!J997="",FALSE,TRUE)</f>
        <v>0</v>
      </c>
      <c r="AK997">
        <f>OR(AND(IF(metadata!K997="",FALSE,TRUE),OR(exact(metadata!K997,"missing: not collected"),exact(metadata!K997,"missing: not provided"),exact(metadata!K997,"missing: restricted access"))),AND(IF(metadata!K997="",FALSE,ISNUMBER(VALUE(metadata!K997))),metadata!K997&gt;=-90.00,metadata!K997&lt;=90.00))</f>
        <v>0</v>
      </c>
      <c r="AL997">
        <f>OR(AND(IF(metadata!L997="",FALSE,TRUE),OR(exact(metadata!L997,"missing: not collected"),exact(metadata!L997,"missing: not provided"),exact(metadata!L997,"missing: restricted access"))),AND(IF(metadata!L997="",FALSE,ISNUMBER(VALUE(metadata!L997))),metadata!L997&gt;=-180.00,metadata!L997&lt;=180.00))</f>
        <v>0</v>
      </c>
      <c r="AM997">
        <f>IF(metadata!M997="",FALSE,TRUE)</f>
        <v>0</v>
      </c>
      <c r="AN997">
        <f>OR(AND(IF(metadata!N997="",FALSE,TRUE),OR(exact(metadata!N997,"missing: not collected"),exact(metadata!N997,"missing: not provided"),exact(metadata!N997,"missing: restricted access"))),AND(IF(metadata!N997="",FALSE,TRUE),OR(exact(metadata!N997,"TRUE"),exact(metadata!N997,"FALSE"))))</f>
        <v>0</v>
      </c>
      <c r="AO997">
        <f>IF(metadata!O997="",FALSE,TRUE)</f>
        <v>0</v>
      </c>
      <c r="AP997">
        <f>OR(AND(IF(metadata!P997="",FALSE,TRUE),OR(exact(metadata!P997,"missing: not collected"),exact(metadata!P997,"missing: not provided"))),AND(IF(metadata!P997="",FALSE,IF(ISERROR(INT(metadata!P997)),FALSE,INT(metadata!P997)=metadata!P997)),metadata!P997&gt;0))</f>
        <v>0</v>
      </c>
      <c r="AQ997">
        <f>IF(metadata!Q997="",FALSE,TRUE)</f>
        <v>0</v>
      </c>
    </row>
    <row r="998" spans="1:43">
      <c r="A998" s="5">
        <f>IF(B998=" "," ",HYPERLINK(CONCATENATE("#metadata!",ADDRESS(INDEX($W$2:$W$1001,MATCH(ROWS($U$2:U998),$U$2:$U$1001,0),0),1)),INDEX($Z$2:$Z$1001,MATCH(ROWS($U$2:U998),$U$2:$U$1001,0),0)))</f>
        <v>0</v>
      </c>
      <c r="B998" s="4">
        <f>IF(OR(INDEX($V$2:$V$1001,MATCH(ROWS($U$2:U998),$U$2:$U$1001,0),1)&gt;=100000,INDEX($AB$1005:$AQ$1005,1,MATCH(COLUMNS($AB$1006:AB1006),$AB$1006:$AQ$1006,0))&gt;=100000), " ",IF(INDEX($AB$2:$AQ$1001,MATCH(ROWS($U$2:U998),$U$2:$U$1001,0),MATCH(COLUMNS($AB$1006:AB1006),$AB$1006:$AQ$1006,0)), HYPERLINK("#",""), HYPERLINK(CONCATENATE("#metadata!", ADDRESS(INDEX($W$2:$W$1001,MATCH(ROWS($U$2:U998),$U$2:$U$1001,0),0), INDEX($AB$1004:$AQ$1004,1,MATCH(COLUMNS($AB$1006:AB1006),$AB$1006:$AQ$1006,0)))),"Fix")))</f>
        <v>0</v>
      </c>
      <c r="C998" s="4">
        <f>IF(OR(INDEX($V$2:$V$1001,MATCH(ROWS($U$2:U998),$U$2:$U$1001,0),1)&gt;=100000,INDEX($AB$1005:$AQ$1005,1,MATCH(COLUMNS($AB$1006:AC1006),$AB$1006:$AQ$1006,0))&gt;=100000), " ",IF(INDEX($AB$2:$AQ$1001,MATCH(ROWS($U$2:U998),$U$2:$U$1001,0),MATCH(COLUMNS($AB$1006:AC1006),$AB$1006:$AQ$1006,0)), HYPERLINK("#",""), HYPERLINK(CONCATENATE("#metadata!", ADDRESS(INDEX($W$2:$W$1001,MATCH(ROWS($U$2:U998),$U$2:$U$1001,0),0), INDEX($AB$1004:$AQ$1004,1,MATCH(COLUMNS($AB$1006:AC1006),$AB$1006:$AQ$1006,0)))),"Fix")))</f>
        <v>0</v>
      </c>
      <c r="D998" s="4">
        <f>IF(OR(INDEX($V$2:$V$1001,MATCH(ROWS($U$2:U998),$U$2:$U$1001,0),1)&gt;=100000,INDEX($AB$1005:$AQ$1005,1,MATCH(COLUMNS($AB$1006:AD1006),$AB$1006:$AQ$1006,0))&gt;=100000), " ",IF(INDEX($AB$2:$AQ$1001,MATCH(ROWS($U$2:U998),$U$2:$U$1001,0),MATCH(COLUMNS($AB$1006:AD1006),$AB$1006:$AQ$1006,0)), HYPERLINK("#",""), HYPERLINK(CONCATENATE("#metadata!", ADDRESS(INDEX($W$2:$W$1001,MATCH(ROWS($U$2:U998),$U$2:$U$1001,0),0), INDEX($AB$1004:$AQ$1004,1,MATCH(COLUMNS($AB$1006:AD1006),$AB$1006:$AQ$1006,0)))),"Fix")))</f>
        <v>0</v>
      </c>
      <c r="E998" s="4">
        <f>IF(OR(INDEX($V$2:$V$1001,MATCH(ROWS($U$2:U998),$U$2:$U$1001,0),1)&gt;=100000,INDEX($AB$1005:$AQ$1005,1,MATCH(COLUMNS($AB$1006:AE1006),$AB$1006:$AQ$1006,0))&gt;=100000), " ",IF(INDEX($AB$2:$AQ$1001,MATCH(ROWS($U$2:U998),$U$2:$U$1001,0),MATCH(COLUMNS($AB$1006:AE1006),$AB$1006:$AQ$1006,0)), HYPERLINK("#",""), HYPERLINK(CONCATENATE("#metadata!", ADDRESS(INDEX($W$2:$W$1001,MATCH(ROWS($U$2:U998),$U$2:$U$1001,0),0), INDEX($AB$1004:$AQ$1004,1,MATCH(COLUMNS($AB$1006:AE1006),$AB$1006:$AQ$1006,0)))),"Fix")))</f>
        <v>0</v>
      </c>
      <c r="F998" s="4">
        <f>IF(OR(INDEX($V$2:$V$1001,MATCH(ROWS($U$2:U998),$U$2:$U$1001,0),1)&gt;=100000,INDEX($AB$1005:$AQ$1005,1,MATCH(COLUMNS($AB$1006:AF1006),$AB$1006:$AQ$1006,0))&gt;=100000), " ",IF(INDEX($AB$2:$AQ$1001,MATCH(ROWS($U$2:U998),$U$2:$U$1001,0),MATCH(COLUMNS($AB$1006:AF1006),$AB$1006:$AQ$1006,0)), HYPERLINK("#",""), HYPERLINK(CONCATENATE("#metadata!", ADDRESS(INDEX($W$2:$W$1001,MATCH(ROWS($U$2:U998),$U$2:$U$1001,0),0), INDEX($AB$1004:$AQ$1004,1,MATCH(COLUMNS($AB$1006:AF1006),$AB$1006:$AQ$1006,0)))),"Fix")))</f>
        <v>0</v>
      </c>
      <c r="G998" s="4">
        <f>IF(OR(INDEX($V$2:$V$1001,MATCH(ROWS($U$2:U998),$U$2:$U$1001,0),1)&gt;=100000,INDEX($AB$1005:$AQ$1005,1,MATCH(COLUMNS($AB$1006:AG1006),$AB$1006:$AQ$1006,0))&gt;=100000), " ",IF(INDEX($AB$2:$AQ$1001,MATCH(ROWS($U$2:U998),$U$2:$U$1001,0),MATCH(COLUMNS($AB$1006:AG1006),$AB$1006:$AQ$1006,0)), HYPERLINK("#",""), HYPERLINK(CONCATENATE("#metadata!", ADDRESS(INDEX($W$2:$W$1001,MATCH(ROWS($U$2:U998),$U$2:$U$1001,0),0), INDEX($AB$1004:$AQ$1004,1,MATCH(COLUMNS($AB$1006:AG1006),$AB$1006:$AQ$1006,0)))),"Fix")))</f>
        <v>0</v>
      </c>
      <c r="H998" s="4">
        <f>IF(OR(INDEX($V$2:$V$1001,MATCH(ROWS($U$2:U998),$U$2:$U$1001,0),1)&gt;=100000,INDEX($AB$1005:$AQ$1005,1,MATCH(COLUMNS($AB$1006:AH1006),$AB$1006:$AQ$1006,0))&gt;=100000), " ",IF(INDEX($AB$2:$AQ$1001,MATCH(ROWS($U$2:U998),$U$2:$U$1001,0),MATCH(COLUMNS($AB$1006:AH1006),$AB$1006:$AQ$1006,0)), HYPERLINK("#",""), HYPERLINK(CONCATENATE("#metadata!", ADDRESS(INDEX($W$2:$W$1001,MATCH(ROWS($U$2:U998),$U$2:$U$1001,0),0), INDEX($AB$1004:$AQ$1004,1,MATCH(COLUMNS($AB$1006:AH1006),$AB$1006:$AQ$1006,0)))),"Fix")))</f>
        <v>0</v>
      </c>
      <c r="I998" s="4">
        <f>IF(OR(INDEX($V$2:$V$1001,MATCH(ROWS($U$2:U998),$U$2:$U$1001,0),1)&gt;=100000,INDEX($AB$1005:$AQ$1005,1,MATCH(COLUMNS($AB$1006:AI1006),$AB$1006:$AQ$1006,0))&gt;=100000), " ",IF(INDEX($AB$2:$AQ$1001,MATCH(ROWS($U$2:U998),$U$2:$U$1001,0),MATCH(COLUMNS($AB$1006:AI1006),$AB$1006:$AQ$1006,0)), HYPERLINK("#",""), HYPERLINK(CONCATENATE("#metadata!", ADDRESS(INDEX($W$2:$W$1001,MATCH(ROWS($U$2:U998),$U$2:$U$1001,0),0), INDEX($AB$1004:$AQ$1004,1,MATCH(COLUMNS($AB$1006:AI1006),$AB$1006:$AQ$1006,0)))),"Fix")))</f>
        <v>0</v>
      </c>
      <c r="J998" s="4">
        <f>IF(OR(INDEX($V$2:$V$1001,MATCH(ROWS($U$2:U998),$U$2:$U$1001,0),1)&gt;=100000,INDEX($AB$1005:$AQ$1005,1,MATCH(COLUMNS($AB$1006:AJ1006),$AB$1006:$AQ$1006,0))&gt;=100000), " ",IF(INDEX($AB$2:$AQ$1001,MATCH(ROWS($U$2:U998),$U$2:$U$1001,0),MATCH(COLUMNS($AB$1006:AJ1006),$AB$1006:$AQ$1006,0)), HYPERLINK("#",""), HYPERLINK(CONCATENATE("#metadata!", ADDRESS(INDEX($W$2:$W$1001,MATCH(ROWS($U$2:U998),$U$2:$U$1001,0),0), INDEX($AB$1004:$AQ$1004,1,MATCH(COLUMNS($AB$1006:AJ1006),$AB$1006:$AQ$1006,0)))),"Fix")))</f>
        <v>0</v>
      </c>
      <c r="K998" s="4">
        <f>IF(OR(INDEX($V$2:$V$1001,MATCH(ROWS($U$2:U998),$U$2:$U$1001,0),1)&gt;=100000,INDEX($AB$1005:$AQ$1005,1,MATCH(COLUMNS($AB$1006:AK1006),$AB$1006:$AQ$1006,0))&gt;=100000), " ",IF(INDEX($AB$2:$AQ$1001,MATCH(ROWS($U$2:U998),$U$2:$U$1001,0),MATCH(COLUMNS($AB$1006:AK1006),$AB$1006:$AQ$1006,0)), HYPERLINK("#",""), HYPERLINK(CONCATENATE("#metadata!", ADDRESS(INDEX($W$2:$W$1001,MATCH(ROWS($U$2:U998),$U$2:$U$1001,0),0), INDEX($AB$1004:$AQ$1004,1,MATCH(COLUMNS($AB$1006:AK1006),$AB$1006:$AQ$1006,0)))),"Fix")))</f>
        <v>0</v>
      </c>
      <c r="L998" s="4">
        <f>IF(OR(INDEX($V$2:$V$1001,MATCH(ROWS($U$2:U998),$U$2:$U$1001,0),1)&gt;=100000,INDEX($AB$1005:$AQ$1005,1,MATCH(COLUMNS($AB$1006:AL1006),$AB$1006:$AQ$1006,0))&gt;=100000), " ",IF(INDEX($AB$2:$AQ$1001,MATCH(ROWS($U$2:U998),$U$2:$U$1001,0),MATCH(COLUMNS($AB$1006:AL1006),$AB$1006:$AQ$1006,0)), HYPERLINK("#",""), HYPERLINK(CONCATENATE("#metadata!", ADDRESS(INDEX($W$2:$W$1001,MATCH(ROWS($U$2:U998),$U$2:$U$1001,0),0), INDEX($AB$1004:$AQ$1004,1,MATCH(COLUMNS($AB$1006:AL1006),$AB$1006:$AQ$1006,0)))),"Fix")))</f>
        <v>0</v>
      </c>
      <c r="M998" s="4">
        <f>IF(OR(INDEX($V$2:$V$1001,MATCH(ROWS($U$2:U998),$U$2:$U$1001,0),1)&gt;=100000,INDEX($AB$1005:$AQ$1005,1,MATCH(COLUMNS($AB$1006:AM1006),$AB$1006:$AQ$1006,0))&gt;=100000), " ",IF(INDEX($AB$2:$AQ$1001,MATCH(ROWS($U$2:U998),$U$2:$U$1001,0),MATCH(COLUMNS($AB$1006:AM1006),$AB$1006:$AQ$1006,0)), HYPERLINK("#",""), HYPERLINK(CONCATENATE("#metadata!", ADDRESS(INDEX($W$2:$W$1001,MATCH(ROWS($U$2:U998),$U$2:$U$1001,0),0), INDEX($AB$1004:$AQ$1004,1,MATCH(COLUMNS($AB$1006:AM1006),$AB$1006:$AQ$1006,0)))),"Fix")))</f>
        <v>0</v>
      </c>
      <c r="N998" s="4">
        <f>IF(OR(INDEX($V$2:$V$1001,MATCH(ROWS($U$2:U998),$U$2:$U$1001,0),1)&gt;=100000,INDEX($AB$1005:$AQ$1005,1,MATCH(COLUMNS($AB$1006:AN1006),$AB$1006:$AQ$1006,0))&gt;=100000), " ",IF(INDEX($AB$2:$AQ$1001,MATCH(ROWS($U$2:U998),$U$2:$U$1001,0),MATCH(COLUMNS($AB$1006:AN1006),$AB$1006:$AQ$1006,0)), HYPERLINK("#",""), HYPERLINK(CONCATENATE("#metadata!", ADDRESS(INDEX($W$2:$W$1001,MATCH(ROWS($U$2:U998),$U$2:$U$1001,0),0), INDEX($AB$1004:$AQ$1004,1,MATCH(COLUMNS($AB$1006:AN1006),$AB$1006:$AQ$1006,0)))),"Fix")))</f>
        <v>0</v>
      </c>
      <c r="O998" s="4">
        <f>IF(OR(INDEX($V$2:$V$1001,MATCH(ROWS($U$2:U998),$U$2:$U$1001,0),1)&gt;=100000,INDEX($AB$1005:$AQ$1005,1,MATCH(COLUMNS($AB$1006:AO1006),$AB$1006:$AQ$1006,0))&gt;=100000), " ",IF(INDEX($AB$2:$AQ$1001,MATCH(ROWS($U$2:U998),$U$2:$U$1001,0),MATCH(COLUMNS($AB$1006:AO1006),$AB$1006:$AQ$1006,0)), HYPERLINK("#",""), HYPERLINK(CONCATENATE("#metadata!", ADDRESS(INDEX($W$2:$W$1001,MATCH(ROWS($U$2:U998),$U$2:$U$1001,0),0), INDEX($AB$1004:$AQ$1004,1,MATCH(COLUMNS($AB$1006:AO1006),$AB$1006:$AQ$1006,0)))),"Fix")))</f>
        <v>0</v>
      </c>
      <c r="P998" s="4">
        <f>IF(OR(INDEX($V$2:$V$1001,MATCH(ROWS($U$2:U998),$U$2:$U$1001,0),1)&gt;=100000,INDEX($AB$1005:$AQ$1005,1,MATCH(COLUMNS($AB$1006:AP1006),$AB$1006:$AQ$1006,0))&gt;=100000), " ",IF(INDEX($AB$2:$AQ$1001,MATCH(ROWS($U$2:U998),$U$2:$U$1001,0),MATCH(COLUMNS($AB$1006:AP1006),$AB$1006:$AQ$1006,0)), HYPERLINK("#",""), HYPERLINK(CONCATENATE("#metadata!", ADDRESS(INDEX($W$2:$W$1001,MATCH(ROWS($U$2:U998),$U$2:$U$1001,0),0), INDEX($AB$1004:$AQ$1004,1,MATCH(COLUMNS($AB$1006:AP1006),$AB$1006:$AQ$1006,0)))),"Fix")))</f>
        <v>0</v>
      </c>
      <c r="Q998" s="4">
        <f>IF(OR(INDEX($V$2:$V$1001,MATCH(ROWS($U$2:U998),$U$2:$U$1001,0),1)&gt;=100000,INDEX($AB$1005:$AQ$1005,1,MATCH(COLUMNS($AB$1006:AQ1006),$AB$1006:$AQ$1006,0))&gt;=100000), " ",IF(INDEX($AB$2:$AQ$1001,MATCH(ROWS($U$2:U998),$U$2:$U$1001,0),MATCH(COLUMNS($AB$1006:AQ1006),$AB$1006:$AQ$1006,0)), HYPERLINK("#",""), HYPERLINK(CONCATENATE("#metadata!", ADDRESS(INDEX($W$2:$W$1001,MATCH(ROWS($U$2:U998),$U$2:$U$1001,0),0), INDEX($AB$1004:$AQ$1004,1,MATCH(COLUMNS($AB$1006:AQ1006),$AB$1006:$AQ$1006,0)))),"Fix")))</f>
        <v>0</v>
      </c>
      <c r="U998">
        <v>0</v>
      </c>
      <c r="V998">
        <v>0</v>
      </c>
      <c r="W998">
        <v>0</v>
      </c>
      <c r="X998">
        <f>IF(Y998,TRUE,AND(AB998:AQ998))</f>
        <v>0</v>
      </c>
      <c r="Y998">
        <f>COUNTBLANK(metadata!B998:Q998)=COLUMNS(metadata!B998:Q998)</f>
        <v>0</v>
      </c>
      <c r="Z998">
        <v>0</v>
      </c>
      <c r="AB998">
        <f>AND(IF(metadata!B998="",FALSE,TRUE),COUNTIF(metadata!B:B, metadata!B998) = 1,NOT(ISERROR(SUMPRODUCT(SEARCH(MID(metadata!B998,ROW(INDIRECT("1:"&amp;LEN(metadata!B998))), 1),"0123456789abcdefghijklmnopqrstuvwxyzABCDEFGHIJKLMNOPQRSTUVWXYZ.")))))</f>
        <v>0</v>
      </c>
      <c r="AC998">
        <f>OR(AND(IF(metadata!C998="",FALSE,TRUE),OR(exact(metadata!C998,"missing: not collected"),exact(metadata!C998,"missing: not provided"),exact(metadata!C998,"missing: restricted access"))),AND(IF(metadata!C998="",FALSE,TRUE),AND(AND(IFERROR(INT(LEFT(metadata!C998,4))&gt;1900,FALSE),IFERROR(INT(LEFT(metadata!C998,4))&lt;=YEAR(NOW()),FALSE)), OR(MID(metadata!C998,5,1)="", AND(AND(MID(metadata!C998,5,1)="-",IFERROR(INT(MID(metadata!C998,6,1))&gt;=0,FALSE),IFERROR(INT(MID(metadata!C998,6,1))&lt;=1,FALSE),NOT(MID(metadata!C998,7,1)=""),IFERROR(INT(MID(metadata!C998,6,2))&gt;=1,FALSE),IFERROR(INT(MID(metadata!C998,6,2))&lt;=12,FALSE)), OR(MID(metadata!C998,8,1)="", AND(AND(MID(metadata!C998,8,1)="-",IFERROR(INT(MID(metadata!C998,9,1))&gt;=0,FALSE),IFERROR(INT(MID(metadata!C998,9,1))&lt;=3,FALSE),NOT(MID(metadata!C998,10,1)=""),IFERROR(INT(MID(metadata!C998,9,2))&gt;=1,FALSE),IFERROR(INT(MID(metadata!C998,9,2))&lt;=31,FALSE)), OR(MID(metadata!C998,11,1)="", AND(AND(MID(metadata!C998,11,1)=" ",IFERROR(INT(MID(metadata!C998,12,1))&gt;=0,FALSE),IFERROR(INT(MID(metadata!C998,12,1))&lt;=2,FALSE),NOT(MID(metadata!C998,13,1)=""),IFERROR(INT(MID(metadata!C998,12,2))&gt;=0,FALSE),IFERROR(INT(MID(metadata!C998,12,2))&lt;=23,FALSE)), OR(MID(metadata!C998,14,1)="", AND(AND(MID(metadata!C998,14,1)=":",IFERROR(INT(MID(metadata!C998,15,1))&gt;=0,FALSE),IFERROR(INT(MID(metadata!C998,15,1))&lt;=5,FALSE),NOT(MID(metadata!C998,16,1)=""),IFERROR(INT(MID(metadata!C998,15,2))&gt;=0,FALSE),IFERROR(INT(MID(metadata!C998,15,2))&lt;=59,FALSE)), OR(MID(metadata!C998,17,1)="", AND(AND(MID(metadata!C998,17,1)=":",IFERROR(INT(MID(metadata!C998,18,1))&gt;=0,FALSE),IFERROR(INT(MID(metadata!C998,18,1))&lt;=5,FALSE),NOT(MID(metadata!C998,19,1)=""),IFERROR(INT(MID(metadata!C998,18,2))&gt;=0,FALSE),IFERROR(INT(MID(metadata!C998,18,2))&lt;=59,FALSE)), LEN(metadata!C998)&lt;=19)))))))))))))</f>
        <v>0</v>
      </c>
      <c r="AD998">
        <f>IF(metadata!D998="",FALSE,TRUE)</f>
        <v>0</v>
      </c>
      <c r="AE998">
        <f>OR(AND(IF(metadata!E998="",FALSE,TRUE),OR(exact(metadata!E998,"missing: not collected"),exact(metadata!E998,"missing: not provided"))),AND(IF(metadata!E998="",FALSE,TRUE),OR(exact(metadata!E998,"TRUE"),exact(metadata!E998,"FALSE"))))</f>
        <v>0</v>
      </c>
      <c r="AF998">
        <f>IF(metadata!F998="",FALSE,TRUE)</f>
        <v>0</v>
      </c>
      <c r="AG998">
        <f>IF(metadata!G998="",FALSE,TRUE)</f>
        <v>0</v>
      </c>
      <c r="AH998">
        <f>IF(metadata!H998="",FALSE,TRUE)</f>
        <v>0</v>
      </c>
      <c r="AI998">
        <f>OR(AND(IF(metadata!I998="",FALSE,TRUE),OR(exact(metadata!I998,"missing: not collected"),exact(metadata!I998,"missing: not provided"),exact(metadata!I998,"missing: restricted access"))),AND(IF(metadata!I998="",FALSE,TRUE),OR(exact(metadata!I998,"air"),exact(metadata!I998,"built environment"),exact(metadata!I998,"host-associated"),exact(metadata!I998,"human-associated"),exact(metadata!I998,"human-skin"),exact(metadata!I998,"human-oral"),exact(metadata!I998,"human-gut"),exact(metadata!I998,"human-vaginal"),exact(metadata!I998,"microbial mat/biofilm"),exact(metadata!I998,"misc environment"),exact(metadata!I998,"plant-associated"),exact(metadata!I998,"sediment"),exact(metadata!I998,"soil"),exact(metadata!I998,"wastewater/sludge"),exact(metadata!I998,"water"))))</f>
        <v>0</v>
      </c>
      <c r="AJ998">
        <f>IF(metadata!J998="",FALSE,TRUE)</f>
        <v>0</v>
      </c>
      <c r="AK998">
        <f>OR(AND(IF(metadata!K998="",FALSE,TRUE),OR(exact(metadata!K998,"missing: not collected"),exact(metadata!K998,"missing: not provided"),exact(metadata!K998,"missing: restricted access"))),AND(IF(metadata!K998="",FALSE,ISNUMBER(VALUE(metadata!K998))),metadata!K998&gt;=-90.00,metadata!K998&lt;=90.00))</f>
        <v>0</v>
      </c>
      <c r="AL998">
        <f>OR(AND(IF(metadata!L998="",FALSE,TRUE),OR(exact(metadata!L998,"missing: not collected"),exact(metadata!L998,"missing: not provided"),exact(metadata!L998,"missing: restricted access"))),AND(IF(metadata!L998="",FALSE,ISNUMBER(VALUE(metadata!L998))),metadata!L998&gt;=-180.00,metadata!L998&lt;=180.00))</f>
        <v>0</v>
      </c>
      <c r="AM998">
        <f>IF(metadata!M998="",FALSE,TRUE)</f>
        <v>0</v>
      </c>
      <c r="AN998">
        <f>OR(AND(IF(metadata!N998="",FALSE,TRUE),OR(exact(metadata!N998,"missing: not collected"),exact(metadata!N998,"missing: not provided"),exact(metadata!N998,"missing: restricted access"))),AND(IF(metadata!N998="",FALSE,TRUE),OR(exact(metadata!N998,"TRUE"),exact(metadata!N998,"FALSE"))))</f>
        <v>0</v>
      </c>
      <c r="AO998">
        <f>IF(metadata!O998="",FALSE,TRUE)</f>
        <v>0</v>
      </c>
      <c r="AP998">
        <f>OR(AND(IF(metadata!P998="",FALSE,TRUE),OR(exact(metadata!P998,"missing: not collected"),exact(metadata!P998,"missing: not provided"))),AND(IF(metadata!P998="",FALSE,IF(ISERROR(INT(metadata!P998)),FALSE,INT(metadata!P998)=metadata!P998)),metadata!P998&gt;0))</f>
        <v>0</v>
      </c>
      <c r="AQ998">
        <f>IF(metadata!Q998="",FALSE,TRUE)</f>
        <v>0</v>
      </c>
    </row>
    <row r="999" spans="1:43">
      <c r="A999" s="5">
        <f>IF(B999=" "," ",HYPERLINK(CONCATENATE("#metadata!",ADDRESS(INDEX($W$2:$W$1001,MATCH(ROWS($U$2:U999),$U$2:$U$1001,0),0),1)),INDEX($Z$2:$Z$1001,MATCH(ROWS($U$2:U999),$U$2:$U$1001,0),0)))</f>
        <v>0</v>
      </c>
      <c r="B999" s="4">
        <f>IF(OR(INDEX($V$2:$V$1001,MATCH(ROWS($U$2:U999),$U$2:$U$1001,0),1)&gt;=100000,INDEX($AB$1005:$AQ$1005,1,MATCH(COLUMNS($AB$1006:AB1006),$AB$1006:$AQ$1006,0))&gt;=100000), " ",IF(INDEX($AB$2:$AQ$1001,MATCH(ROWS($U$2:U999),$U$2:$U$1001,0),MATCH(COLUMNS($AB$1006:AB1006),$AB$1006:$AQ$1006,0)), HYPERLINK("#",""), HYPERLINK(CONCATENATE("#metadata!", ADDRESS(INDEX($W$2:$W$1001,MATCH(ROWS($U$2:U999),$U$2:$U$1001,0),0), INDEX($AB$1004:$AQ$1004,1,MATCH(COLUMNS($AB$1006:AB1006),$AB$1006:$AQ$1006,0)))),"Fix")))</f>
        <v>0</v>
      </c>
      <c r="C999" s="4">
        <f>IF(OR(INDEX($V$2:$V$1001,MATCH(ROWS($U$2:U999),$U$2:$U$1001,0),1)&gt;=100000,INDEX($AB$1005:$AQ$1005,1,MATCH(COLUMNS($AB$1006:AC1006),$AB$1006:$AQ$1006,0))&gt;=100000), " ",IF(INDEX($AB$2:$AQ$1001,MATCH(ROWS($U$2:U999),$U$2:$U$1001,0),MATCH(COLUMNS($AB$1006:AC1006),$AB$1006:$AQ$1006,0)), HYPERLINK("#",""), HYPERLINK(CONCATENATE("#metadata!", ADDRESS(INDEX($W$2:$W$1001,MATCH(ROWS($U$2:U999),$U$2:$U$1001,0),0), INDEX($AB$1004:$AQ$1004,1,MATCH(COLUMNS($AB$1006:AC1006),$AB$1006:$AQ$1006,0)))),"Fix")))</f>
        <v>0</v>
      </c>
      <c r="D999" s="4">
        <f>IF(OR(INDEX($V$2:$V$1001,MATCH(ROWS($U$2:U999),$U$2:$U$1001,0),1)&gt;=100000,INDEX($AB$1005:$AQ$1005,1,MATCH(COLUMNS($AB$1006:AD1006),$AB$1006:$AQ$1006,0))&gt;=100000), " ",IF(INDEX($AB$2:$AQ$1001,MATCH(ROWS($U$2:U999),$U$2:$U$1001,0),MATCH(COLUMNS($AB$1006:AD1006),$AB$1006:$AQ$1006,0)), HYPERLINK("#",""), HYPERLINK(CONCATENATE("#metadata!", ADDRESS(INDEX($W$2:$W$1001,MATCH(ROWS($U$2:U999),$U$2:$U$1001,0),0), INDEX($AB$1004:$AQ$1004,1,MATCH(COLUMNS($AB$1006:AD1006),$AB$1006:$AQ$1006,0)))),"Fix")))</f>
        <v>0</v>
      </c>
      <c r="E999" s="4">
        <f>IF(OR(INDEX($V$2:$V$1001,MATCH(ROWS($U$2:U999),$U$2:$U$1001,0),1)&gt;=100000,INDEX($AB$1005:$AQ$1005,1,MATCH(COLUMNS($AB$1006:AE1006),$AB$1006:$AQ$1006,0))&gt;=100000), " ",IF(INDEX($AB$2:$AQ$1001,MATCH(ROWS($U$2:U999),$U$2:$U$1001,0),MATCH(COLUMNS($AB$1006:AE1006),$AB$1006:$AQ$1006,0)), HYPERLINK("#",""), HYPERLINK(CONCATENATE("#metadata!", ADDRESS(INDEX($W$2:$W$1001,MATCH(ROWS($U$2:U999),$U$2:$U$1001,0),0), INDEX($AB$1004:$AQ$1004,1,MATCH(COLUMNS($AB$1006:AE1006),$AB$1006:$AQ$1006,0)))),"Fix")))</f>
        <v>0</v>
      </c>
      <c r="F999" s="4">
        <f>IF(OR(INDEX($V$2:$V$1001,MATCH(ROWS($U$2:U999),$U$2:$U$1001,0),1)&gt;=100000,INDEX($AB$1005:$AQ$1005,1,MATCH(COLUMNS($AB$1006:AF1006),$AB$1006:$AQ$1006,0))&gt;=100000), " ",IF(INDEX($AB$2:$AQ$1001,MATCH(ROWS($U$2:U999),$U$2:$U$1001,0),MATCH(COLUMNS($AB$1006:AF1006),$AB$1006:$AQ$1006,0)), HYPERLINK("#",""), HYPERLINK(CONCATENATE("#metadata!", ADDRESS(INDEX($W$2:$W$1001,MATCH(ROWS($U$2:U999),$U$2:$U$1001,0),0), INDEX($AB$1004:$AQ$1004,1,MATCH(COLUMNS($AB$1006:AF1006),$AB$1006:$AQ$1006,0)))),"Fix")))</f>
        <v>0</v>
      </c>
      <c r="G999" s="4">
        <f>IF(OR(INDEX($V$2:$V$1001,MATCH(ROWS($U$2:U999),$U$2:$U$1001,0),1)&gt;=100000,INDEX($AB$1005:$AQ$1005,1,MATCH(COLUMNS($AB$1006:AG1006),$AB$1006:$AQ$1006,0))&gt;=100000), " ",IF(INDEX($AB$2:$AQ$1001,MATCH(ROWS($U$2:U999),$U$2:$U$1001,0),MATCH(COLUMNS($AB$1006:AG1006),$AB$1006:$AQ$1006,0)), HYPERLINK("#",""), HYPERLINK(CONCATENATE("#metadata!", ADDRESS(INDEX($W$2:$W$1001,MATCH(ROWS($U$2:U999),$U$2:$U$1001,0),0), INDEX($AB$1004:$AQ$1004,1,MATCH(COLUMNS($AB$1006:AG1006),$AB$1006:$AQ$1006,0)))),"Fix")))</f>
        <v>0</v>
      </c>
      <c r="H999" s="4">
        <f>IF(OR(INDEX($V$2:$V$1001,MATCH(ROWS($U$2:U999),$U$2:$U$1001,0),1)&gt;=100000,INDEX($AB$1005:$AQ$1005,1,MATCH(COLUMNS($AB$1006:AH1006),$AB$1006:$AQ$1006,0))&gt;=100000), " ",IF(INDEX($AB$2:$AQ$1001,MATCH(ROWS($U$2:U999),$U$2:$U$1001,0),MATCH(COLUMNS($AB$1006:AH1006),$AB$1006:$AQ$1006,0)), HYPERLINK("#",""), HYPERLINK(CONCATENATE("#metadata!", ADDRESS(INDEX($W$2:$W$1001,MATCH(ROWS($U$2:U999),$U$2:$U$1001,0),0), INDEX($AB$1004:$AQ$1004,1,MATCH(COLUMNS($AB$1006:AH1006),$AB$1006:$AQ$1006,0)))),"Fix")))</f>
        <v>0</v>
      </c>
      <c r="I999" s="4">
        <f>IF(OR(INDEX($V$2:$V$1001,MATCH(ROWS($U$2:U999),$U$2:$U$1001,0),1)&gt;=100000,INDEX($AB$1005:$AQ$1005,1,MATCH(COLUMNS($AB$1006:AI1006),$AB$1006:$AQ$1006,0))&gt;=100000), " ",IF(INDEX($AB$2:$AQ$1001,MATCH(ROWS($U$2:U999),$U$2:$U$1001,0),MATCH(COLUMNS($AB$1006:AI1006),$AB$1006:$AQ$1006,0)), HYPERLINK("#",""), HYPERLINK(CONCATENATE("#metadata!", ADDRESS(INDEX($W$2:$W$1001,MATCH(ROWS($U$2:U999),$U$2:$U$1001,0),0), INDEX($AB$1004:$AQ$1004,1,MATCH(COLUMNS($AB$1006:AI1006),$AB$1006:$AQ$1006,0)))),"Fix")))</f>
        <v>0</v>
      </c>
      <c r="J999" s="4">
        <f>IF(OR(INDEX($V$2:$V$1001,MATCH(ROWS($U$2:U999),$U$2:$U$1001,0),1)&gt;=100000,INDEX($AB$1005:$AQ$1005,1,MATCH(COLUMNS($AB$1006:AJ1006),$AB$1006:$AQ$1006,0))&gt;=100000), " ",IF(INDEX($AB$2:$AQ$1001,MATCH(ROWS($U$2:U999),$U$2:$U$1001,0),MATCH(COLUMNS($AB$1006:AJ1006),$AB$1006:$AQ$1006,0)), HYPERLINK("#",""), HYPERLINK(CONCATENATE("#metadata!", ADDRESS(INDEX($W$2:$W$1001,MATCH(ROWS($U$2:U999),$U$2:$U$1001,0),0), INDEX($AB$1004:$AQ$1004,1,MATCH(COLUMNS($AB$1006:AJ1006),$AB$1006:$AQ$1006,0)))),"Fix")))</f>
        <v>0</v>
      </c>
      <c r="K999" s="4">
        <f>IF(OR(INDEX($V$2:$V$1001,MATCH(ROWS($U$2:U999),$U$2:$U$1001,0),1)&gt;=100000,INDEX($AB$1005:$AQ$1005,1,MATCH(COLUMNS($AB$1006:AK1006),$AB$1006:$AQ$1006,0))&gt;=100000), " ",IF(INDEX($AB$2:$AQ$1001,MATCH(ROWS($U$2:U999),$U$2:$U$1001,0),MATCH(COLUMNS($AB$1006:AK1006),$AB$1006:$AQ$1006,0)), HYPERLINK("#",""), HYPERLINK(CONCATENATE("#metadata!", ADDRESS(INDEX($W$2:$W$1001,MATCH(ROWS($U$2:U999),$U$2:$U$1001,0),0), INDEX($AB$1004:$AQ$1004,1,MATCH(COLUMNS($AB$1006:AK1006),$AB$1006:$AQ$1006,0)))),"Fix")))</f>
        <v>0</v>
      </c>
      <c r="L999" s="4">
        <f>IF(OR(INDEX($V$2:$V$1001,MATCH(ROWS($U$2:U999),$U$2:$U$1001,0),1)&gt;=100000,INDEX($AB$1005:$AQ$1005,1,MATCH(COLUMNS($AB$1006:AL1006),$AB$1006:$AQ$1006,0))&gt;=100000), " ",IF(INDEX($AB$2:$AQ$1001,MATCH(ROWS($U$2:U999),$U$2:$U$1001,0),MATCH(COLUMNS($AB$1006:AL1006),$AB$1006:$AQ$1006,0)), HYPERLINK("#",""), HYPERLINK(CONCATENATE("#metadata!", ADDRESS(INDEX($W$2:$W$1001,MATCH(ROWS($U$2:U999),$U$2:$U$1001,0),0), INDEX($AB$1004:$AQ$1004,1,MATCH(COLUMNS($AB$1006:AL1006),$AB$1006:$AQ$1006,0)))),"Fix")))</f>
        <v>0</v>
      </c>
      <c r="M999" s="4">
        <f>IF(OR(INDEX($V$2:$V$1001,MATCH(ROWS($U$2:U999),$U$2:$U$1001,0),1)&gt;=100000,INDEX($AB$1005:$AQ$1005,1,MATCH(COLUMNS($AB$1006:AM1006),$AB$1006:$AQ$1006,0))&gt;=100000), " ",IF(INDEX($AB$2:$AQ$1001,MATCH(ROWS($U$2:U999),$U$2:$U$1001,0),MATCH(COLUMNS($AB$1006:AM1006),$AB$1006:$AQ$1006,0)), HYPERLINK("#",""), HYPERLINK(CONCATENATE("#metadata!", ADDRESS(INDEX($W$2:$W$1001,MATCH(ROWS($U$2:U999),$U$2:$U$1001,0),0), INDEX($AB$1004:$AQ$1004,1,MATCH(COLUMNS($AB$1006:AM1006),$AB$1006:$AQ$1006,0)))),"Fix")))</f>
        <v>0</v>
      </c>
      <c r="N999" s="4">
        <f>IF(OR(INDEX($V$2:$V$1001,MATCH(ROWS($U$2:U999),$U$2:$U$1001,0),1)&gt;=100000,INDEX($AB$1005:$AQ$1005,1,MATCH(COLUMNS($AB$1006:AN1006),$AB$1006:$AQ$1006,0))&gt;=100000), " ",IF(INDEX($AB$2:$AQ$1001,MATCH(ROWS($U$2:U999),$U$2:$U$1001,0),MATCH(COLUMNS($AB$1006:AN1006),$AB$1006:$AQ$1006,0)), HYPERLINK("#",""), HYPERLINK(CONCATENATE("#metadata!", ADDRESS(INDEX($W$2:$W$1001,MATCH(ROWS($U$2:U999),$U$2:$U$1001,0),0), INDEX($AB$1004:$AQ$1004,1,MATCH(COLUMNS($AB$1006:AN1006),$AB$1006:$AQ$1006,0)))),"Fix")))</f>
        <v>0</v>
      </c>
      <c r="O999" s="4">
        <f>IF(OR(INDEX($V$2:$V$1001,MATCH(ROWS($U$2:U999),$U$2:$U$1001,0),1)&gt;=100000,INDEX($AB$1005:$AQ$1005,1,MATCH(COLUMNS($AB$1006:AO1006),$AB$1006:$AQ$1006,0))&gt;=100000), " ",IF(INDEX($AB$2:$AQ$1001,MATCH(ROWS($U$2:U999),$U$2:$U$1001,0),MATCH(COLUMNS($AB$1006:AO1006),$AB$1006:$AQ$1006,0)), HYPERLINK("#",""), HYPERLINK(CONCATENATE("#metadata!", ADDRESS(INDEX($W$2:$W$1001,MATCH(ROWS($U$2:U999),$U$2:$U$1001,0),0), INDEX($AB$1004:$AQ$1004,1,MATCH(COLUMNS($AB$1006:AO1006),$AB$1006:$AQ$1006,0)))),"Fix")))</f>
        <v>0</v>
      </c>
      <c r="P999" s="4">
        <f>IF(OR(INDEX($V$2:$V$1001,MATCH(ROWS($U$2:U999),$U$2:$U$1001,0),1)&gt;=100000,INDEX($AB$1005:$AQ$1005,1,MATCH(COLUMNS($AB$1006:AP1006),$AB$1006:$AQ$1006,0))&gt;=100000), " ",IF(INDEX($AB$2:$AQ$1001,MATCH(ROWS($U$2:U999),$U$2:$U$1001,0),MATCH(COLUMNS($AB$1006:AP1006),$AB$1006:$AQ$1006,0)), HYPERLINK("#",""), HYPERLINK(CONCATENATE("#metadata!", ADDRESS(INDEX($W$2:$W$1001,MATCH(ROWS($U$2:U999),$U$2:$U$1001,0),0), INDEX($AB$1004:$AQ$1004,1,MATCH(COLUMNS($AB$1006:AP1006),$AB$1006:$AQ$1006,0)))),"Fix")))</f>
        <v>0</v>
      </c>
      <c r="Q999" s="4">
        <f>IF(OR(INDEX($V$2:$V$1001,MATCH(ROWS($U$2:U999),$U$2:$U$1001,0),1)&gt;=100000,INDEX($AB$1005:$AQ$1005,1,MATCH(COLUMNS($AB$1006:AQ1006),$AB$1006:$AQ$1006,0))&gt;=100000), " ",IF(INDEX($AB$2:$AQ$1001,MATCH(ROWS($U$2:U999),$U$2:$U$1001,0),MATCH(COLUMNS($AB$1006:AQ1006),$AB$1006:$AQ$1006,0)), HYPERLINK("#",""), HYPERLINK(CONCATENATE("#metadata!", ADDRESS(INDEX($W$2:$W$1001,MATCH(ROWS($U$2:U999),$U$2:$U$1001,0),0), INDEX($AB$1004:$AQ$1004,1,MATCH(COLUMNS($AB$1006:AQ1006),$AB$1006:$AQ$1006,0)))),"Fix")))</f>
        <v>0</v>
      </c>
      <c r="U999">
        <v>0</v>
      </c>
      <c r="V999">
        <v>0</v>
      </c>
      <c r="W999">
        <v>0</v>
      </c>
      <c r="X999">
        <f>IF(Y999,TRUE,AND(AB999:AQ999))</f>
        <v>0</v>
      </c>
      <c r="Y999">
        <f>COUNTBLANK(metadata!B999:Q999)=COLUMNS(metadata!B999:Q999)</f>
        <v>0</v>
      </c>
      <c r="Z999">
        <v>0</v>
      </c>
      <c r="AB999">
        <f>AND(IF(metadata!B999="",FALSE,TRUE),COUNTIF(metadata!B:B, metadata!B999) = 1,NOT(ISERROR(SUMPRODUCT(SEARCH(MID(metadata!B999,ROW(INDIRECT("1:"&amp;LEN(metadata!B999))), 1),"0123456789abcdefghijklmnopqrstuvwxyzABCDEFGHIJKLMNOPQRSTUVWXYZ.")))))</f>
        <v>0</v>
      </c>
      <c r="AC999">
        <f>OR(AND(IF(metadata!C999="",FALSE,TRUE),OR(exact(metadata!C999,"missing: not collected"),exact(metadata!C999,"missing: not provided"),exact(metadata!C999,"missing: restricted access"))),AND(IF(metadata!C999="",FALSE,TRUE),AND(AND(IFERROR(INT(LEFT(metadata!C999,4))&gt;1900,FALSE),IFERROR(INT(LEFT(metadata!C999,4))&lt;=YEAR(NOW()),FALSE)), OR(MID(metadata!C999,5,1)="", AND(AND(MID(metadata!C999,5,1)="-",IFERROR(INT(MID(metadata!C999,6,1))&gt;=0,FALSE),IFERROR(INT(MID(metadata!C999,6,1))&lt;=1,FALSE),NOT(MID(metadata!C999,7,1)=""),IFERROR(INT(MID(metadata!C999,6,2))&gt;=1,FALSE),IFERROR(INT(MID(metadata!C999,6,2))&lt;=12,FALSE)), OR(MID(metadata!C999,8,1)="", AND(AND(MID(metadata!C999,8,1)="-",IFERROR(INT(MID(metadata!C999,9,1))&gt;=0,FALSE),IFERROR(INT(MID(metadata!C999,9,1))&lt;=3,FALSE),NOT(MID(metadata!C999,10,1)=""),IFERROR(INT(MID(metadata!C999,9,2))&gt;=1,FALSE),IFERROR(INT(MID(metadata!C999,9,2))&lt;=31,FALSE)), OR(MID(metadata!C999,11,1)="", AND(AND(MID(metadata!C999,11,1)=" ",IFERROR(INT(MID(metadata!C999,12,1))&gt;=0,FALSE),IFERROR(INT(MID(metadata!C999,12,1))&lt;=2,FALSE),NOT(MID(metadata!C999,13,1)=""),IFERROR(INT(MID(metadata!C999,12,2))&gt;=0,FALSE),IFERROR(INT(MID(metadata!C999,12,2))&lt;=23,FALSE)), OR(MID(metadata!C999,14,1)="", AND(AND(MID(metadata!C999,14,1)=":",IFERROR(INT(MID(metadata!C999,15,1))&gt;=0,FALSE),IFERROR(INT(MID(metadata!C999,15,1))&lt;=5,FALSE),NOT(MID(metadata!C999,16,1)=""),IFERROR(INT(MID(metadata!C999,15,2))&gt;=0,FALSE),IFERROR(INT(MID(metadata!C999,15,2))&lt;=59,FALSE)), OR(MID(metadata!C999,17,1)="", AND(AND(MID(metadata!C999,17,1)=":",IFERROR(INT(MID(metadata!C999,18,1))&gt;=0,FALSE),IFERROR(INT(MID(metadata!C999,18,1))&lt;=5,FALSE),NOT(MID(metadata!C999,19,1)=""),IFERROR(INT(MID(metadata!C999,18,2))&gt;=0,FALSE),IFERROR(INT(MID(metadata!C999,18,2))&lt;=59,FALSE)), LEN(metadata!C999)&lt;=19)))))))))))))</f>
        <v>0</v>
      </c>
      <c r="AD999">
        <f>IF(metadata!D999="",FALSE,TRUE)</f>
        <v>0</v>
      </c>
      <c r="AE999">
        <f>OR(AND(IF(metadata!E999="",FALSE,TRUE),OR(exact(metadata!E999,"missing: not collected"),exact(metadata!E999,"missing: not provided"))),AND(IF(metadata!E999="",FALSE,TRUE),OR(exact(metadata!E999,"TRUE"),exact(metadata!E999,"FALSE"))))</f>
        <v>0</v>
      </c>
      <c r="AF999">
        <f>IF(metadata!F999="",FALSE,TRUE)</f>
        <v>0</v>
      </c>
      <c r="AG999">
        <f>IF(metadata!G999="",FALSE,TRUE)</f>
        <v>0</v>
      </c>
      <c r="AH999">
        <f>IF(metadata!H999="",FALSE,TRUE)</f>
        <v>0</v>
      </c>
      <c r="AI999">
        <f>OR(AND(IF(metadata!I999="",FALSE,TRUE),OR(exact(metadata!I999,"missing: not collected"),exact(metadata!I999,"missing: not provided"),exact(metadata!I999,"missing: restricted access"))),AND(IF(metadata!I999="",FALSE,TRUE),OR(exact(metadata!I999,"air"),exact(metadata!I999,"built environment"),exact(metadata!I999,"host-associated"),exact(metadata!I999,"human-associated"),exact(metadata!I999,"human-skin"),exact(metadata!I999,"human-oral"),exact(metadata!I999,"human-gut"),exact(metadata!I999,"human-vaginal"),exact(metadata!I999,"microbial mat/biofilm"),exact(metadata!I999,"misc environment"),exact(metadata!I999,"plant-associated"),exact(metadata!I999,"sediment"),exact(metadata!I999,"soil"),exact(metadata!I999,"wastewater/sludge"),exact(metadata!I999,"water"))))</f>
        <v>0</v>
      </c>
      <c r="AJ999">
        <f>IF(metadata!J999="",FALSE,TRUE)</f>
        <v>0</v>
      </c>
      <c r="AK999">
        <f>OR(AND(IF(metadata!K999="",FALSE,TRUE),OR(exact(metadata!K999,"missing: not collected"),exact(metadata!K999,"missing: not provided"),exact(metadata!K999,"missing: restricted access"))),AND(IF(metadata!K999="",FALSE,ISNUMBER(VALUE(metadata!K999))),metadata!K999&gt;=-90.00,metadata!K999&lt;=90.00))</f>
        <v>0</v>
      </c>
      <c r="AL999">
        <f>OR(AND(IF(metadata!L999="",FALSE,TRUE),OR(exact(metadata!L999,"missing: not collected"),exact(metadata!L999,"missing: not provided"),exact(metadata!L999,"missing: restricted access"))),AND(IF(metadata!L999="",FALSE,ISNUMBER(VALUE(metadata!L999))),metadata!L999&gt;=-180.00,metadata!L999&lt;=180.00))</f>
        <v>0</v>
      </c>
      <c r="AM999">
        <f>IF(metadata!M999="",FALSE,TRUE)</f>
        <v>0</v>
      </c>
      <c r="AN999">
        <f>OR(AND(IF(metadata!N999="",FALSE,TRUE),OR(exact(metadata!N999,"missing: not collected"),exact(metadata!N999,"missing: not provided"),exact(metadata!N999,"missing: restricted access"))),AND(IF(metadata!N999="",FALSE,TRUE),OR(exact(metadata!N999,"TRUE"),exact(metadata!N999,"FALSE"))))</f>
        <v>0</v>
      </c>
      <c r="AO999">
        <f>IF(metadata!O999="",FALSE,TRUE)</f>
        <v>0</v>
      </c>
      <c r="AP999">
        <f>OR(AND(IF(metadata!P999="",FALSE,TRUE),OR(exact(metadata!P999,"missing: not collected"),exact(metadata!P999,"missing: not provided"))),AND(IF(metadata!P999="",FALSE,IF(ISERROR(INT(metadata!P999)),FALSE,INT(metadata!P999)=metadata!P999)),metadata!P999&gt;0))</f>
        <v>0</v>
      </c>
      <c r="AQ999">
        <f>IF(metadata!Q999="",FALSE,TRUE)</f>
        <v>0</v>
      </c>
    </row>
    <row r="1000" spans="1:43">
      <c r="A1000" s="5">
        <f>IF(B1000=" "," ",HYPERLINK(CONCATENATE("#metadata!",ADDRESS(INDEX($W$2:$W$1001,MATCH(ROWS($U$2:U1000),$U$2:$U$1001,0),0),1)),INDEX($Z$2:$Z$1001,MATCH(ROWS($U$2:U1000),$U$2:$U$1001,0),0)))</f>
        <v>0</v>
      </c>
      <c r="B1000" s="4">
        <f>IF(OR(INDEX($V$2:$V$1001,MATCH(ROWS($U$2:U1000),$U$2:$U$1001,0),1)&gt;=100000,INDEX($AB$1005:$AQ$1005,1,MATCH(COLUMNS($AB$1006:AB1006),$AB$1006:$AQ$1006,0))&gt;=100000), " ",IF(INDEX($AB$2:$AQ$1001,MATCH(ROWS($U$2:U1000),$U$2:$U$1001,0),MATCH(COLUMNS($AB$1006:AB1006),$AB$1006:$AQ$1006,0)), HYPERLINK("#",""), HYPERLINK(CONCATENATE("#metadata!", ADDRESS(INDEX($W$2:$W$1001,MATCH(ROWS($U$2:U1000),$U$2:$U$1001,0),0), INDEX($AB$1004:$AQ$1004,1,MATCH(COLUMNS($AB$1006:AB1006),$AB$1006:$AQ$1006,0)))),"Fix")))</f>
        <v>0</v>
      </c>
      <c r="C1000" s="4">
        <f>IF(OR(INDEX($V$2:$V$1001,MATCH(ROWS($U$2:U1000),$U$2:$U$1001,0),1)&gt;=100000,INDEX($AB$1005:$AQ$1005,1,MATCH(COLUMNS($AB$1006:AC1006),$AB$1006:$AQ$1006,0))&gt;=100000), " ",IF(INDEX($AB$2:$AQ$1001,MATCH(ROWS($U$2:U1000),$U$2:$U$1001,0),MATCH(COLUMNS($AB$1006:AC1006),$AB$1006:$AQ$1006,0)), HYPERLINK("#",""), HYPERLINK(CONCATENATE("#metadata!", ADDRESS(INDEX($W$2:$W$1001,MATCH(ROWS($U$2:U1000),$U$2:$U$1001,0),0), INDEX($AB$1004:$AQ$1004,1,MATCH(COLUMNS($AB$1006:AC1006),$AB$1006:$AQ$1006,0)))),"Fix")))</f>
        <v>0</v>
      </c>
      <c r="D1000" s="4">
        <f>IF(OR(INDEX($V$2:$V$1001,MATCH(ROWS($U$2:U1000),$U$2:$U$1001,0),1)&gt;=100000,INDEX($AB$1005:$AQ$1005,1,MATCH(COLUMNS($AB$1006:AD1006),$AB$1006:$AQ$1006,0))&gt;=100000), " ",IF(INDEX($AB$2:$AQ$1001,MATCH(ROWS($U$2:U1000),$U$2:$U$1001,0),MATCH(COLUMNS($AB$1006:AD1006),$AB$1006:$AQ$1006,0)), HYPERLINK("#",""), HYPERLINK(CONCATENATE("#metadata!", ADDRESS(INDEX($W$2:$W$1001,MATCH(ROWS($U$2:U1000),$U$2:$U$1001,0),0), INDEX($AB$1004:$AQ$1004,1,MATCH(COLUMNS($AB$1006:AD1006),$AB$1006:$AQ$1006,0)))),"Fix")))</f>
        <v>0</v>
      </c>
      <c r="E1000" s="4">
        <f>IF(OR(INDEX($V$2:$V$1001,MATCH(ROWS($U$2:U1000),$U$2:$U$1001,0),1)&gt;=100000,INDEX($AB$1005:$AQ$1005,1,MATCH(COLUMNS($AB$1006:AE1006),$AB$1006:$AQ$1006,0))&gt;=100000), " ",IF(INDEX($AB$2:$AQ$1001,MATCH(ROWS($U$2:U1000),$U$2:$U$1001,0),MATCH(COLUMNS($AB$1006:AE1006),$AB$1006:$AQ$1006,0)), HYPERLINK("#",""), HYPERLINK(CONCATENATE("#metadata!", ADDRESS(INDEX($W$2:$W$1001,MATCH(ROWS($U$2:U1000),$U$2:$U$1001,0),0), INDEX($AB$1004:$AQ$1004,1,MATCH(COLUMNS($AB$1006:AE1006),$AB$1006:$AQ$1006,0)))),"Fix")))</f>
        <v>0</v>
      </c>
      <c r="F1000" s="4">
        <f>IF(OR(INDEX($V$2:$V$1001,MATCH(ROWS($U$2:U1000),$U$2:$U$1001,0),1)&gt;=100000,INDEX($AB$1005:$AQ$1005,1,MATCH(COLUMNS($AB$1006:AF1006),$AB$1006:$AQ$1006,0))&gt;=100000), " ",IF(INDEX($AB$2:$AQ$1001,MATCH(ROWS($U$2:U1000),$U$2:$U$1001,0),MATCH(COLUMNS($AB$1006:AF1006),$AB$1006:$AQ$1006,0)), HYPERLINK("#",""), HYPERLINK(CONCATENATE("#metadata!", ADDRESS(INDEX($W$2:$W$1001,MATCH(ROWS($U$2:U1000),$U$2:$U$1001,0),0), INDEX($AB$1004:$AQ$1004,1,MATCH(COLUMNS($AB$1006:AF1006),$AB$1006:$AQ$1006,0)))),"Fix")))</f>
        <v>0</v>
      </c>
      <c r="G1000" s="4">
        <f>IF(OR(INDEX($V$2:$V$1001,MATCH(ROWS($U$2:U1000),$U$2:$U$1001,0),1)&gt;=100000,INDEX($AB$1005:$AQ$1005,1,MATCH(COLUMNS($AB$1006:AG1006),$AB$1006:$AQ$1006,0))&gt;=100000), " ",IF(INDEX($AB$2:$AQ$1001,MATCH(ROWS($U$2:U1000),$U$2:$U$1001,0),MATCH(COLUMNS($AB$1006:AG1006),$AB$1006:$AQ$1006,0)), HYPERLINK("#",""), HYPERLINK(CONCATENATE("#metadata!", ADDRESS(INDEX($W$2:$W$1001,MATCH(ROWS($U$2:U1000),$U$2:$U$1001,0),0), INDEX($AB$1004:$AQ$1004,1,MATCH(COLUMNS($AB$1006:AG1006),$AB$1006:$AQ$1006,0)))),"Fix")))</f>
        <v>0</v>
      </c>
      <c r="H1000" s="4">
        <f>IF(OR(INDEX($V$2:$V$1001,MATCH(ROWS($U$2:U1000),$U$2:$U$1001,0),1)&gt;=100000,INDEX($AB$1005:$AQ$1005,1,MATCH(COLUMNS($AB$1006:AH1006),$AB$1006:$AQ$1006,0))&gt;=100000), " ",IF(INDEX($AB$2:$AQ$1001,MATCH(ROWS($U$2:U1000),$U$2:$U$1001,0),MATCH(COLUMNS($AB$1006:AH1006),$AB$1006:$AQ$1006,0)), HYPERLINK("#",""), HYPERLINK(CONCATENATE("#metadata!", ADDRESS(INDEX($W$2:$W$1001,MATCH(ROWS($U$2:U1000),$U$2:$U$1001,0),0), INDEX($AB$1004:$AQ$1004,1,MATCH(COLUMNS($AB$1006:AH1006),$AB$1006:$AQ$1006,0)))),"Fix")))</f>
        <v>0</v>
      </c>
      <c r="I1000" s="4">
        <f>IF(OR(INDEX($V$2:$V$1001,MATCH(ROWS($U$2:U1000),$U$2:$U$1001,0),1)&gt;=100000,INDEX($AB$1005:$AQ$1005,1,MATCH(COLUMNS($AB$1006:AI1006),$AB$1006:$AQ$1006,0))&gt;=100000), " ",IF(INDEX($AB$2:$AQ$1001,MATCH(ROWS($U$2:U1000),$U$2:$U$1001,0),MATCH(COLUMNS($AB$1006:AI1006),$AB$1006:$AQ$1006,0)), HYPERLINK("#",""), HYPERLINK(CONCATENATE("#metadata!", ADDRESS(INDEX($W$2:$W$1001,MATCH(ROWS($U$2:U1000),$U$2:$U$1001,0),0), INDEX($AB$1004:$AQ$1004,1,MATCH(COLUMNS($AB$1006:AI1006),$AB$1006:$AQ$1006,0)))),"Fix")))</f>
        <v>0</v>
      </c>
      <c r="J1000" s="4">
        <f>IF(OR(INDEX($V$2:$V$1001,MATCH(ROWS($U$2:U1000),$U$2:$U$1001,0),1)&gt;=100000,INDEX($AB$1005:$AQ$1005,1,MATCH(COLUMNS($AB$1006:AJ1006),$AB$1006:$AQ$1006,0))&gt;=100000), " ",IF(INDEX($AB$2:$AQ$1001,MATCH(ROWS($U$2:U1000),$U$2:$U$1001,0),MATCH(COLUMNS($AB$1006:AJ1006),$AB$1006:$AQ$1006,0)), HYPERLINK("#",""), HYPERLINK(CONCATENATE("#metadata!", ADDRESS(INDEX($W$2:$W$1001,MATCH(ROWS($U$2:U1000),$U$2:$U$1001,0),0), INDEX($AB$1004:$AQ$1004,1,MATCH(COLUMNS($AB$1006:AJ1006),$AB$1006:$AQ$1006,0)))),"Fix")))</f>
        <v>0</v>
      </c>
      <c r="K1000" s="4">
        <f>IF(OR(INDEX($V$2:$V$1001,MATCH(ROWS($U$2:U1000),$U$2:$U$1001,0),1)&gt;=100000,INDEX($AB$1005:$AQ$1005,1,MATCH(COLUMNS($AB$1006:AK1006),$AB$1006:$AQ$1006,0))&gt;=100000), " ",IF(INDEX($AB$2:$AQ$1001,MATCH(ROWS($U$2:U1000),$U$2:$U$1001,0),MATCH(COLUMNS($AB$1006:AK1006),$AB$1006:$AQ$1006,0)), HYPERLINK("#",""), HYPERLINK(CONCATENATE("#metadata!", ADDRESS(INDEX($W$2:$W$1001,MATCH(ROWS($U$2:U1000),$U$2:$U$1001,0),0), INDEX($AB$1004:$AQ$1004,1,MATCH(COLUMNS($AB$1006:AK1006),$AB$1006:$AQ$1006,0)))),"Fix")))</f>
        <v>0</v>
      </c>
      <c r="L1000" s="4">
        <f>IF(OR(INDEX($V$2:$V$1001,MATCH(ROWS($U$2:U1000),$U$2:$U$1001,0),1)&gt;=100000,INDEX($AB$1005:$AQ$1005,1,MATCH(COLUMNS($AB$1006:AL1006),$AB$1006:$AQ$1006,0))&gt;=100000), " ",IF(INDEX($AB$2:$AQ$1001,MATCH(ROWS($U$2:U1000),$U$2:$U$1001,0),MATCH(COLUMNS($AB$1006:AL1006),$AB$1006:$AQ$1006,0)), HYPERLINK("#",""), HYPERLINK(CONCATENATE("#metadata!", ADDRESS(INDEX($W$2:$W$1001,MATCH(ROWS($U$2:U1000),$U$2:$U$1001,0),0), INDEX($AB$1004:$AQ$1004,1,MATCH(COLUMNS($AB$1006:AL1006),$AB$1006:$AQ$1006,0)))),"Fix")))</f>
        <v>0</v>
      </c>
      <c r="M1000" s="4">
        <f>IF(OR(INDEX($V$2:$V$1001,MATCH(ROWS($U$2:U1000),$U$2:$U$1001,0),1)&gt;=100000,INDEX($AB$1005:$AQ$1005,1,MATCH(COLUMNS($AB$1006:AM1006),$AB$1006:$AQ$1006,0))&gt;=100000), " ",IF(INDEX($AB$2:$AQ$1001,MATCH(ROWS($U$2:U1000),$U$2:$U$1001,0),MATCH(COLUMNS($AB$1006:AM1006),$AB$1006:$AQ$1006,0)), HYPERLINK("#",""), HYPERLINK(CONCATENATE("#metadata!", ADDRESS(INDEX($W$2:$W$1001,MATCH(ROWS($U$2:U1000),$U$2:$U$1001,0),0), INDEX($AB$1004:$AQ$1004,1,MATCH(COLUMNS($AB$1006:AM1006),$AB$1006:$AQ$1006,0)))),"Fix")))</f>
        <v>0</v>
      </c>
      <c r="N1000" s="4">
        <f>IF(OR(INDEX($V$2:$V$1001,MATCH(ROWS($U$2:U1000),$U$2:$U$1001,0),1)&gt;=100000,INDEX($AB$1005:$AQ$1005,1,MATCH(COLUMNS($AB$1006:AN1006),$AB$1006:$AQ$1006,0))&gt;=100000), " ",IF(INDEX($AB$2:$AQ$1001,MATCH(ROWS($U$2:U1000),$U$2:$U$1001,0),MATCH(COLUMNS($AB$1006:AN1006),$AB$1006:$AQ$1006,0)), HYPERLINK("#",""), HYPERLINK(CONCATENATE("#metadata!", ADDRESS(INDEX($W$2:$W$1001,MATCH(ROWS($U$2:U1000),$U$2:$U$1001,0),0), INDEX($AB$1004:$AQ$1004,1,MATCH(COLUMNS($AB$1006:AN1006),$AB$1006:$AQ$1006,0)))),"Fix")))</f>
        <v>0</v>
      </c>
      <c r="O1000" s="4">
        <f>IF(OR(INDEX($V$2:$V$1001,MATCH(ROWS($U$2:U1000),$U$2:$U$1001,0),1)&gt;=100000,INDEX($AB$1005:$AQ$1005,1,MATCH(COLUMNS($AB$1006:AO1006),$AB$1006:$AQ$1006,0))&gt;=100000), " ",IF(INDEX($AB$2:$AQ$1001,MATCH(ROWS($U$2:U1000),$U$2:$U$1001,0),MATCH(COLUMNS($AB$1006:AO1006),$AB$1006:$AQ$1006,0)), HYPERLINK("#",""), HYPERLINK(CONCATENATE("#metadata!", ADDRESS(INDEX($W$2:$W$1001,MATCH(ROWS($U$2:U1000),$U$2:$U$1001,0),0), INDEX($AB$1004:$AQ$1004,1,MATCH(COLUMNS($AB$1006:AO1006),$AB$1006:$AQ$1006,0)))),"Fix")))</f>
        <v>0</v>
      </c>
      <c r="P1000" s="4">
        <f>IF(OR(INDEX($V$2:$V$1001,MATCH(ROWS($U$2:U1000),$U$2:$U$1001,0),1)&gt;=100000,INDEX($AB$1005:$AQ$1005,1,MATCH(COLUMNS($AB$1006:AP1006),$AB$1006:$AQ$1006,0))&gt;=100000), " ",IF(INDEX($AB$2:$AQ$1001,MATCH(ROWS($U$2:U1000),$U$2:$U$1001,0),MATCH(COLUMNS($AB$1006:AP1006),$AB$1006:$AQ$1006,0)), HYPERLINK("#",""), HYPERLINK(CONCATENATE("#metadata!", ADDRESS(INDEX($W$2:$W$1001,MATCH(ROWS($U$2:U1000),$U$2:$U$1001,0),0), INDEX($AB$1004:$AQ$1004,1,MATCH(COLUMNS($AB$1006:AP1006),$AB$1006:$AQ$1006,0)))),"Fix")))</f>
        <v>0</v>
      </c>
      <c r="Q1000" s="4">
        <f>IF(OR(INDEX($V$2:$V$1001,MATCH(ROWS($U$2:U1000),$U$2:$U$1001,0),1)&gt;=100000,INDEX($AB$1005:$AQ$1005,1,MATCH(COLUMNS($AB$1006:AQ1006),$AB$1006:$AQ$1006,0))&gt;=100000), " ",IF(INDEX($AB$2:$AQ$1001,MATCH(ROWS($U$2:U1000),$U$2:$U$1001,0),MATCH(COLUMNS($AB$1006:AQ1006),$AB$1006:$AQ$1006,0)), HYPERLINK("#",""), HYPERLINK(CONCATENATE("#metadata!", ADDRESS(INDEX($W$2:$W$1001,MATCH(ROWS($U$2:U1000),$U$2:$U$1001,0),0), INDEX($AB$1004:$AQ$1004,1,MATCH(COLUMNS($AB$1006:AQ1006),$AB$1006:$AQ$1006,0)))),"Fix")))</f>
        <v>0</v>
      </c>
      <c r="U1000">
        <v>0</v>
      </c>
      <c r="V1000">
        <v>0</v>
      </c>
      <c r="W1000">
        <v>0</v>
      </c>
      <c r="X1000">
        <f>IF(Y1000,TRUE,AND(AB1000:AQ1000))</f>
        <v>0</v>
      </c>
      <c r="Y1000">
        <f>COUNTBLANK(metadata!B1000:Q1000)=COLUMNS(metadata!B1000:Q1000)</f>
        <v>0</v>
      </c>
      <c r="Z1000">
        <v>0</v>
      </c>
      <c r="AB1000">
        <f>AND(IF(metadata!B1000="",FALSE,TRUE),COUNTIF(metadata!B:B, metadata!B1000) = 1,NOT(ISERROR(SUMPRODUCT(SEARCH(MID(metadata!B1000,ROW(INDIRECT("1:"&amp;LEN(metadata!B1000))), 1),"0123456789abcdefghijklmnopqrstuvwxyzABCDEFGHIJKLMNOPQRSTUVWXYZ.")))))</f>
        <v>0</v>
      </c>
      <c r="AC1000">
        <f>OR(AND(IF(metadata!C1000="",FALSE,TRUE),OR(exact(metadata!C1000,"missing: not collected"),exact(metadata!C1000,"missing: not provided"),exact(metadata!C1000,"missing: restricted access"))),AND(IF(metadata!C1000="",FALSE,TRUE),AND(AND(IFERROR(INT(LEFT(metadata!C1000,4))&gt;1900,FALSE),IFERROR(INT(LEFT(metadata!C1000,4))&lt;=YEAR(NOW()),FALSE)), OR(MID(metadata!C1000,5,1)="", AND(AND(MID(metadata!C1000,5,1)="-",IFERROR(INT(MID(metadata!C1000,6,1))&gt;=0,FALSE),IFERROR(INT(MID(metadata!C1000,6,1))&lt;=1,FALSE),NOT(MID(metadata!C1000,7,1)=""),IFERROR(INT(MID(metadata!C1000,6,2))&gt;=1,FALSE),IFERROR(INT(MID(metadata!C1000,6,2))&lt;=12,FALSE)), OR(MID(metadata!C1000,8,1)="", AND(AND(MID(metadata!C1000,8,1)="-",IFERROR(INT(MID(metadata!C1000,9,1))&gt;=0,FALSE),IFERROR(INT(MID(metadata!C1000,9,1))&lt;=3,FALSE),NOT(MID(metadata!C1000,10,1)=""),IFERROR(INT(MID(metadata!C1000,9,2))&gt;=1,FALSE),IFERROR(INT(MID(metadata!C1000,9,2))&lt;=31,FALSE)), OR(MID(metadata!C1000,11,1)="", AND(AND(MID(metadata!C1000,11,1)=" ",IFERROR(INT(MID(metadata!C1000,12,1))&gt;=0,FALSE),IFERROR(INT(MID(metadata!C1000,12,1))&lt;=2,FALSE),NOT(MID(metadata!C1000,13,1)=""),IFERROR(INT(MID(metadata!C1000,12,2))&gt;=0,FALSE),IFERROR(INT(MID(metadata!C1000,12,2))&lt;=23,FALSE)), OR(MID(metadata!C1000,14,1)="", AND(AND(MID(metadata!C1000,14,1)=":",IFERROR(INT(MID(metadata!C1000,15,1))&gt;=0,FALSE),IFERROR(INT(MID(metadata!C1000,15,1))&lt;=5,FALSE),NOT(MID(metadata!C1000,16,1)=""),IFERROR(INT(MID(metadata!C1000,15,2))&gt;=0,FALSE),IFERROR(INT(MID(metadata!C1000,15,2))&lt;=59,FALSE)), OR(MID(metadata!C1000,17,1)="", AND(AND(MID(metadata!C1000,17,1)=":",IFERROR(INT(MID(metadata!C1000,18,1))&gt;=0,FALSE),IFERROR(INT(MID(metadata!C1000,18,1))&lt;=5,FALSE),NOT(MID(metadata!C1000,19,1)=""),IFERROR(INT(MID(metadata!C1000,18,2))&gt;=0,FALSE),IFERROR(INT(MID(metadata!C1000,18,2))&lt;=59,FALSE)), LEN(metadata!C1000)&lt;=19)))))))))))))</f>
        <v>0</v>
      </c>
      <c r="AD1000">
        <f>IF(metadata!D1000="",FALSE,TRUE)</f>
        <v>0</v>
      </c>
      <c r="AE1000">
        <f>OR(AND(IF(metadata!E1000="",FALSE,TRUE),OR(exact(metadata!E1000,"missing: not collected"),exact(metadata!E1000,"missing: not provided"))),AND(IF(metadata!E1000="",FALSE,TRUE),OR(exact(metadata!E1000,"TRUE"),exact(metadata!E1000,"FALSE"))))</f>
        <v>0</v>
      </c>
      <c r="AF1000">
        <f>IF(metadata!F1000="",FALSE,TRUE)</f>
        <v>0</v>
      </c>
      <c r="AG1000">
        <f>IF(metadata!G1000="",FALSE,TRUE)</f>
        <v>0</v>
      </c>
      <c r="AH1000">
        <f>IF(metadata!H1000="",FALSE,TRUE)</f>
        <v>0</v>
      </c>
      <c r="AI1000">
        <f>OR(AND(IF(metadata!I1000="",FALSE,TRUE),OR(exact(metadata!I1000,"missing: not collected"),exact(metadata!I1000,"missing: not provided"),exact(metadata!I1000,"missing: restricted access"))),AND(IF(metadata!I1000="",FALSE,TRUE),OR(exact(metadata!I1000,"air"),exact(metadata!I1000,"built environment"),exact(metadata!I1000,"host-associated"),exact(metadata!I1000,"human-associated"),exact(metadata!I1000,"human-skin"),exact(metadata!I1000,"human-oral"),exact(metadata!I1000,"human-gut"),exact(metadata!I1000,"human-vaginal"),exact(metadata!I1000,"microbial mat/biofilm"),exact(metadata!I1000,"misc environment"),exact(metadata!I1000,"plant-associated"),exact(metadata!I1000,"sediment"),exact(metadata!I1000,"soil"),exact(metadata!I1000,"wastewater/sludge"),exact(metadata!I1000,"water"))))</f>
        <v>0</v>
      </c>
      <c r="AJ1000">
        <f>IF(metadata!J1000="",FALSE,TRUE)</f>
        <v>0</v>
      </c>
      <c r="AK1000">
        <f>OR(AND(IF(metadata!K1000="",FALSE,TRUE),OR(exact(metadata!K1000,"missing: not collected"),exact(metadata!K1000,"missing: not provided"),exact(metadata!K1000,"missing: restricted access"))),AND(IF(metadata!K1000="",FALSE,ISNUMBER(VALUE(metadata!K1000))),metadata!K1000&gt;=-90.00,metadata!K1000&lt;=90.00))</f>
        <v>0</v>
      </c>
      <c r="AL1000">
        <f>OR(AND(IF(metadata!L1000="",FALSE,TRUE),OR(exact(metadata!L1000,"missing: not collected"),exact(metadata!L1000,"missing: not provided"),exact(metadata!L1000,"missing: restricted access"))),AND(IF(metadata!L1000="",FALSE,ISNUMBER(VALUE(metadata!L1000))),metadata!L1000&gt;=-180.00,metadata!L1000&lt;=180.00))</f>
        <v>0</v>
      </c>
      <c r="AM1000">
        <f>IF(metadata!M1000="",FALSE,TRUE)</f>
        <v>0</v>
      </c>
      <c r="AN1000">
        <f>OR(AND(IF(metadata!N1000="",FALSE,TRUE),OR(exact(metadata!N1000,"missing: not collected"),exact(metadata!N1000,"missing: not provided"),exact(metadata!N1000,"missing: restricted access"))),AND(IF(metadata!N1000="",FALSE,TRUE),OR(exact(metadata!N1000,"TRUE"),exact(metadata!N1000,"FALSE"))))</f>
        <v>0</v>
      </c>
      <c r="AO1000">
        <f>IF(metadata!O1000="",FALSE,TRUE)</f>
        <v>0</v>
      </c>
      <c r="AP1000">
        <f>OR(AND(IF(metadata!P1000="",FALSE,TRUE),OR(exact(metadata!P1000,"missing: not collected"),exact(metadata!P1000,"missing: not provided"))),AND(IF(metadata!P1000="",FALSE,IF(ISERROR(INT(metadata!P1000)),FALSE,INT(metadata!P1000)=metadata!P1000)),metadata!P1000&gt;0))</f>
        <v>0</v>
      </c>
      <c r="AQ1000">
        <f>IF(metadata!Q1000="",FALSE,TRUE)</f>
        <v>0</v>
      </c>
    </row>
    <row r="1001" spans="1:43">
      <c r="A1001" s="5">
        <f>IF(B1001=" "," ",HYPERLINK(CONCATENATE("#metadata!",ADDRESS(INDEX($W$2:$W$1001,MATCH(ROWS($U$2:U1001),$U$2:$U$1001,0),0),1)),INDEX($Z$2:$Z$1001,MATCH(ROWS($U$2:U1001),$U$2:$U$1001,0),0)))</f>
        <v>0</v>
      </c>
      <c r="B1001" s="4">
        <f>IF(OR(INDEX($V$2:$V$1001,MATCH(ROWS($U$2:U1001),$U$2:$U$1001,0),1)&gt;=100000,INDEX($AB$1005:$AQ$1005,1,MATCH(COLUMNS($AB$1006:AB1006),$AB$1006:$AQ$1006,0))&gt;=100000), " ",IF(INDEX($AB$2:$AQ$1001,MATCH(ROWS($U$2:U1001),$U$2:$U$1001,0),MATCH(COLUMNS($AB$1006:AB1006),$AB$1006:$AQ$1006,0)), HYPERLINK("#",""), HYPERLINK(CONCATENATE("#metadata!", ADDRESS(INDEX($W$2:$W$1001,MATCH(ROWS($U$2:U1001),$U$2:$U$1001,0),0), INDEX($AB$1004:$AQ$1004,1,MATCH(COLUMNS($AB$1006:AB1006),$AB$1006:$AQ$1006,0)))),"Fix")))</f>
        <v>0</v>
      </c>
      <c r="C1001" s="4">
        <f>IF(OR(INDEX($V$2:$V$1001,MATCH(ROWS($U$2:U1001),$U$2:$U$1001,0),1)&gt;=100000,INDEX($AB$1005:$AQ$1005,1,MATCH(COLUMNS($AB$1006:AC1006),$AB$1006:$AQ$1006,0))&gt;=100000), " ",IF(INDEX($AB$2:$AQ$1001,MATCH(ROWS($U$2:U1001),$U$2:$U$1001,0),MATCH(COLUMNS($AB$1006:AC1006),$AB$1006:$AQ$1006,0)), HYPERLINK("#",""), HYPERLINK(CONCATENATE("#metadata!", ADDRESS(INDEX($W$2:$W$1001,MATCH(ROWS($U$2:U1001),$U$2:$U$1001,0),0), INDEX($AB$1004:$AQ$1004,1,MATCH(COLUMNS($AB$1006:AC1006),$AB$1006:$AQ$1006,0)))),"Fix")))</f>
        <v>0</v>
      </c>
      <c r="D1001" s="4">
        <f>IF(OR(INDEX($V$2:$V$1001,MATCH(ROWS($U$2:U1001),$U$2:$U$1001,0),1)&gt;=100000,INDEX($AB$1005:$AQ$1005,1,MATCH(COLUMNS($AB$1006:AD1006),$AB$1006:$AQ$1006,0))&gt;=100000), " ",IF(INDEX($AB$2:$AQ$1001,MATCH(ROWS($U$2:U1001),$U$2:$U$1001,0),MATCH(COLUMNS($AB$1006:AD1006),$AB$1006:$AQ$1006,0)), HYPERLINK("#",""), HYPERLINK(CONCATENATE("#metadata!", ADDRESS(INDEX($W$2:$W$1001,MATCH(ROWS($U$2:U1001),$U$2:$U$1001,0),0), INDEX($AB$1004:$AQ$1004,1,MATCH(COLUMNS($AB$1006:AD1006),$AB$1006:$AQ$1006,0)))),"Fix")))</f>
        <v>0</v>
      </c>
      <c r="E1001" s="4">
        <f>IF(OR(INDEX($V$2:$V$1001,MATCH(ROWS($U$2:U1001),$U$2:$U$1001,0),1)&gt;=100000,INDEX($AB$1005:$AQ$1005,1,MATCH(COLUMNS($AB$1006:AE1006),$AB$1006:$AQ$1006,0))&gt;=100000), " ",IF(INDEX($AB$2:$AQ$1001,MATCH(ROWS($U$2:U1001),$U$2:$U$1001,0),MATCH(COLUMNS($AB$1006:AE1006),$AB$1006:$AQ$1006,0)), HYPERLINK("#",""), HYPERLINK(CONCATENATE("#metadata!", ADDRESS(INDEX($W$2:$W$1001,MATCH(ROWS($U$2:U1001),$U$2:$U$1001,0),0), INDEX($AB$1004:$AQ$1004,1,MATCH(COLUMNS($AB$1006:AE1006),$AB$1006:$AQ$1006,0)))),"Fix")))</f>
        <v>0</v>
      </c>
      <c r="F1001" s="4">
        <f>IF(OR(INDEX($V$2:$V$1001,MATCH(ROWS($U$2:U1001),$U$2:$U$1001,0),1)&gt;=100000,INDEX($AB$1005:$AQ$1005,1,MATCH(COLUMNS($AB$1006:AF1006),$AB$1006:$AQ$1006,0))&gt;=100000), " ",IF(INDEX($AB$2:$AQ$1001,MATCH(ROWS($U$2:U1001),$U$2:$U$1001,0),MATCH(COLUMNS($AB$1006:AF1006),$AB$1006:$AQ$1006,0)), HYPERLINK("#",""), HYPERLINK(CONCATENATE("#metadata!", ADDRESS(INDEX($W$2:$W$1001,MATCH(ROWS($U$2:U1001),$U$2:$U$1001,0),0), INDEX($AB$1004:$AQ$1004,1,MATCH(COLUMNS($AB$1006:AF1006),$AB$1006:$AQ$1006,0)))),"Fix")))</f>
        <v>0</v>
      </c>
      <c r="G1001" s="4">
        <f>IF(OR(INDEX($V$2:$V$1001,MATCH(ROWS($U$2:U1001),$U$2:$U$1001,0),1)&gt;=100000,INDEX($AB$1005:$AQ$1005,1,MATCH(COLUMNS($AB$1006:AG1006),$AB$1006:$AQ$1006,0))&gt;=100000), " ",IF(INDEX($AB$2:$AQ$1001,MATCH(ROWS($U$2:U1001),$U$2:$U$1001,0),MATCH(COLUMNS($AB$1006:AG1006),$AB$1006:$AQ$1006,0)), HYPERLINK("#",""), HYPERLINK(CONCATENATE("#metadata!", ADDRESS(INDEX($W$2:$W$1001,MATCH(ROWS($U$2:U1001),$U$2:$U$1001,0),0), INDEX($AB$1004:$AQ$1004,1,MATCH(COLUMNS($AB$1006:AG1006),$AB$1006:$AQ$1006,0)))),"Fix")))</f>
        <v>0</v>
      </c>
      <c r="H1001" s="4">
        <f>IF(OR(INDEX($V$2:$V$1001,MATCH(ROWS($U$2:U1001),$U$2:$U$1001,0),1)&gt;=100000,INDEX($AB$1005:$AQ$1005,1,MATCH(COLUMNS($AB$1006:AH1006),$AB$1006:$AQ$1006,0))&gt;=100000), " ",IF(INDEX($AB$2:$AQ$1001,MATCH(ROWS($U$2:U1001),$U$2:$U$1001,0),MATCH(COLUMNS($AB$1006:AH1006),$AB$1006:$AQ$1006,0)), HYPERLINK("#",""), HYPERLINK(CONCATENATE("#metadata!", ADDRESS(INDEX($W$2:$W$1001,MATCH(ROWS($U$2:U1001),$U$2:$U$1001,0),0), INDEX($AB$1004:$AQ$1004,1,MATCH(COLUMNS($AB$1006:AH1006),$AB$1006:$AQ$1006,0)))),"Fix")))</f>
        <v>0</v>
      </c>
      <c r="I1001" s="4">
        <f>IF(OR(INDEX($V$2:$V$1001,MATCH(ROWS($U$2:U1001),$U$2:$U$1001,0),1)&gt;=100000,INDEX($AB$1005:$AQ$1005,1,MATCH(COLUMNS($AB$1006:AI1006),$AB$1006:$AQ$1006,0))&gt;=100000), " ",IF(INDEX($AB$2:$AQ$1001,MATCH(ROWS($U$2:U1001),$U$2:$U$1001,0),MATCH(COLUMNS($AB$1006:AI1006),$AB$1006:$AQ$1006,0)), HYPERLINK("#",""), HYPERLINK(CONCATENATE("#metadata!", ADDRESS(INDEX($W$2:$W$1001,MATCH(ROWS($U$2:U1001),$U$2:$U$1001,0),0), INDEX($AB$1004:$AQ$1004,1,MATCH(COLUMNS($AB$1006:AI1006),$AB$1006:$AQ$1006,0)))),"Fix")))</f>
        <v>0</v>
      </c>
      <c r="J1001" s="4">
        <f>IF(OR(INDEX($V$2:$V$1001,MATCH(ROWS($U$2:U1001),$U$2:$U$1001,0),1)&gt;=100000,INDEX($AB$1005:$AQ$1005,1,MATCH(COLUMNS($AB$1006:AJ1006),$AB$1006:$AQ$1006,0))&gt;=100000), " ",IF(INDEX($AB$2:$AQ$1001,MATCH(ROWS($U$2:U1001),$U$2:$U$1001,0),MATCH(COLUMNS($AB$1006:AJ1006),$AB$1006:$AQ$1006,0)), HYPERLINK("#",""), HYPERLINK(CONCATENATE("#metadata!", ADDRESS(INDEX($W$2:$W$1001,MATCH(ROWS($U$2:U1001),$U$2:$U$1001,0),0), INDEX($AB$1004:$AQ$1004,1,MATCH(COLUMNS($AB$1006:AJ1006),$AB$1006:$AQ$1006,0)))),"Fix")))</f>
        <v>0</v>
      </c>
      <c r="K1001" s="4">
        <f>IF(OR(INDEX($V$2:$V$1001,MATCH(ROWS($U$2:U1001),$U$2:$U$1001,0),1)&gt;=100000,INDEX($AB$1005:$AQ$1005,1,MATCH(COLUMNS($AB$1006:AK1006),$AB$1006:$AQ$1006,0))&gt;=100000), " ",IF(INDEX($AB$2:$AQ$1001,MATCH(ROWS($U$2:U1001),$U$2:$U$1001,0),MATCH(COLUMNS($AB$1006:AK1006),$AB$1006:$AQ$1006,0)), HYPERLINK("#",""), HYPERLINK(CONCATENATE("#metadata!", ADDRESS(INDEX($W$2:$W$1001,MATCH(ROWS($U$2:U1001),$U$2:$U$1001,0),0), INDEX($AB$1004:$AQ$1004,1,MATCH(COLUMNS($AB$1006:AK1006),$AB$1006:$AQ$1006,0)))),"Fix")))</f>
        <v>0</v>
      </c>
      <c r="L1001" s="4">
        <f>IF(OR(INDEX($V$2:$V$1001,MATCH(ROWS($U$2:U1001),$U$2:$U$1001,0),1)&gt;=100000,INDEX($AB$1005:$AQ$1005,1,MATCH(COLUMNS($AB$1006:AL1006),$AB$1006:$AQ$1006,0))&gt;=100000), " ",IF(INDEX($AB$2:$AQ$1001,MATCH(ROWS($U$2:U1001),$U$2:$U$1001,0),MATCH(COLUMNS($AB$1006:AL1006),$AB$1006:$AQ$1006,0)), HYPERLINK("#",""), HYPERLINK(CONCATENATE("#metadata!", ADDRESS(INDEX($W$2:$W$1001,MATCH(ROWS($U$2:U1001),$U$2:$U$1001,0),0), INDEX($AB$1004:$AQ$1004,1,MATCH(COLUMNS($AB$1006:AL1006),$AB$1006:$AQ$1006,0)))),"Fix")))</f>
        <v>0</v>
      </c>
      <c r="M1001" s="4">
        <f>IF(OR(INDEX($V$2:$V$1001,MATCH(ROWS($U$2:U1001),$U$2:$U$1001,0),1)&gt;=100000,INDEX($AB$1005:$AQ$1005,1,MATCH(COLUMNS($AB$1006:AM1006),$AB$1006:$AQ$1006,0))&gt;=100000), " ",IF(INDEX($AB$2:$AQ$1001,MATCH(ROWS($U$2:U1001),$U$2:$U$1001,0),MATCH(COLUMNS($AB$1006:AM1006),$AB$1006:$AQ$1006,0)), HYPERLINK("#",""), HYPERLINK(CONCATENATE("#metadata!", ADDRESS(INDEX($W$2:$W$1001,MATCH(ROWS($U$2:U1001),$U$2:$U$1001,0),0), INDEX($AB$1004:$AQ$1004,1,MATCH(COLUMNS($AB$1006:AM1006),$AB$1006:$AQ$1006,0)))),"Fix")))</f>
        <v>0</v>
      </c>
      <c r="N1001" s="4">
        <f>IF(OR(INDEX($V$2:$V$1001,MATCH(ROWS($U$2:U1001),$U$2:$U$1001,0),1)&gt;=100000,INDEX($AB$1005:$AQ$1005,1,MATCH(COLUMNS($AB$1006:AN1006),$AB$1006:$AQ$1006,0))&gt;=100000), " ",IF(INDEX($AB$2:$AQ$1001,MATCH(ROWS($U$2:U1001),$U$2:$U$1001,0),MATCH(COLUMNS($AB$1006:AN1006),$AB$1006:$AQ$1006,0)), HYPERLINK("#",""), HYPERLINK(CONCATENATE("#metadata!", ADDRESS(INDEX($W$2:$W$1001,MATCH(ROWS($U$2:U1001),$U$2:$U$1001,0),0), INDEX($AB$1004:$AQ$1004,1,MATCH(COLUMNS($AB$1006:AN1006),$AB$1006:$AQ$1006,0)))),"Fix")))</f>
        <v>0</v>
      </c>
      <c r="O1001" s="4">
        <f>IF(OR(INDEX($V$2:$V$1001,MATCH(ROWS($U$2:U1001),$U$2:$U$1001,0),1)&gt;=100000,INDEX($AB$1005:$AQ$1005,1,MATCH(COLUMNS($AB$1006:AO1006),$AB$1006:$AQ$1006,0))&gt;=100000), " ",IF(INDEX($AB$2:$AQ$1001,MATCH(ROWS($U$2:U1001),$U$2:$U$1001,0),MATCH(COLUMNS($AB$1006:AO1006),$AB$1006:$AQ$1006,0)), HYPERLINK("#",""), HYPERLINK(CONCATENATE("#metadata!", ADDRESS(INDEX($W$2:$W$1001,MATCH(ROWS($U$2:U1001),$U$2:$U$1001,0),0), INDEX($AB$1004:$AQ$1004,1,MATCH(COLUMNS($AB$1006:AO1006),$AB$1006:$AQ$1006,0)))),"Fix")))</f>
        <v>0</v>
      </c>
      <c r="P1001" s="4">
        <f>IF(OR(INDEX($V$2:$V$1001,MATCH(ROWS($U$2:U1001),$U$2:$U$1001,0),1)&gt;=100000,INDEX($AB$1005:$AQ$1005,1,MATCH(COLUMNS($AB$1006:AP1006),$AB$1006:$AQ$1006,0))&gt;=100000), " ",IF(INDEX($AB$2:$AQ$1001,MATCH(ROWS($U$2:U1001),$U$2:$U$1001,0),MATCH(COLUMNS($AB$1006:AP1006),$AB$1006:$AQ$1006,0)), HYPERLINK("#",""), HYPERLINK(CONCATENATE("#metadata!", ADDRESS(INDEX($W$2:$W$1001,MATCH(ROWS($U$2:U1001),$U$2:$U$1001,0),0), INDEX($AB$1004:$AQ$1004,1,MATCH(COLUMNS($AB$1006:AP1006),$AB$1006:$AQ$1006,0)))),"Fix")))</f>
        <v>0</v>
      </c>
      <c r="Q1001" s="4">
        <f>IF(OR(INDEX($V$2:$V$1001,MATCH(ROWS($U$2:U1001),$U$2:$U$1001,0),1)&gt;=100000,INDEX($AB$1005:$AQ$1005,1,MATCH(COLUMNS($AB$1006:AQ1006),$AB$1006:$AQ$1006,0))&gt;=100000), " ",IF(INDEX($AB$2:$AQ$1001,MATCH(ROWS($U$2:U1001),$U$2:$U$1001,0),MATCH(COLUMNS($AB$1006:AQ1006),$AB$1006:$AQ$1006,0)), HYPERLINK("#",""), HYPERLINK(CONCATENATE("#metadata!", ADDRESS(INDEX($W$2:$W$1001,MATCH(ROWS($U$2:U1001),$U$2:$U$1001,0),0), INDEX($AB$1004:$AQ$1004,1,MATCH(COLUMNS($AB$1006:AQ1006),$AB$1006:$AQ$1006,0)))),"Fix")))</f>
        <v>0</v>
      </c>
      <c r="U1001">
        <v>0</v>
      </c>
      <c r="V1001">
        <v>0</v>
      </c>
      <c r="W1001">
        <v>0</v>
      </c>
      <c r="X1001">
        <f>IF(Y1001,TRUE,AND(AB1001:AQ1001))</f>
        <v>0</v>
      </c>
      <c r="Y1001">
        <f>COUNTBLANK(metadata!B1001:Q1001)=COLUMNS(metadata!B1001:Q1001)</f>
        <v>0</v>
      </c>
      <c r="Z1001">
        <v>0</v>
      </c>
      <c r="AB1001">
        <f>AND(IF(metadata!B1001="",FALSE,TRUE),COUNTIF(metadata!B:B, metadata!B1001) = 1,NOT(ISERROR(SUMPRODUCT(SEARCH(MID(metadata!B1001,ROW(INDIRECT("1:"&amp;LEN(metadata!B1001))), 1),"0123456789abcdefghijklmnopqrstuvwxyzABCDEFGHIJKLMNOPQRSTUVWXYZ.")))))</f>
        <v>0</v>
      </c>
      <c r="AC1001">
        <f>OR(AND(IF(metadata!C1001="",FALSE,TRUE),OR(exact(metadata!C1001,"missing: not collected"),exact(metadata!C1001,"missing: not provided"),exact(metadata!C1001,"missing: restricted access"))),AND(IF(metadata!C1001="",FALSE,TRUE),AND(AND(IFERROR(INT(LEFT(metadata!C1001,4))&gt;1900,FALSE),IFERROR(INT(LEFT(metadata!C1001,4))&lt;=YEAR(NOW()),FALSE)), OR(MID(metadata!C1001,5,1)="", AND(AND(MID(metadata!C1001,5,1)="-",IFERROR(INT(MID(metadata!C1001,6,1))&gt;=0,FALSE),IFERROR(INT(MID(metadata!C1001,6,1))&lt;=1,FALSE),NOT(MID(metadata!C1001,7,1)=""),IFERROR(INT(MID(metadata!C1001,6,2))&gt;=1,FALSE),IFERROR(INT(MID(metadata!C1001,6,2))&lt;=12,FALSE)), OR(MID(metadata!C1001,8,1)="", AND(AND(MID(metadata!C1001,8,1)="-",IFERROR(INT(MID(metadata!C1001,9,1))&gt;=0,FALSE),IFERROR(INT(MID(metadata!C1001,9,1))&lt;=3,FALSE),NOT(MID(metadata!C1001,10,1)=""),IFERROR(INT(MID(metadata!C1001,9,2))&gt;=1,FALSE),IFERROR(INT(MID(metadata!C1001,9,2))&lt;=31,FALSE)), OR(MID(metadata!C1001,11,1)="", AND(AND(MID(metadata!C1001,11,1)=" ",IFERROR(INT(MID(metadata!C1001,12,1))&gt;=0,FALSE),IFERROR(INT(MID(metadata!C1001,12,1))&lt;=2,FALSE),NOT(MID(metadata!C1001,13,1)=""),IFERROR(INT(MID(metadata!C1001,12,2))&gt;=0,FALSE),IFERROR(INT(MID(metadata!C1001,12,2))&lt;=23,FALSE)), OR(MID(metadata!C1001,14,1)="", AND(AND(MID(metadata!C1001,14,1)=":",IFERROR(INT(MID(metadata!C1001,15,1))&gt;=0,FALSE),IFERROR(INT(MID(metadata!C1001,15,1))&lt;=5,FALSE),NOT(MID(metadata!C1001,16,1)=""),IFERROR(INT(MID(metadata!C1001,15,2))&gt;=0,FALSE),IFERROR(INT(MID(metadata!C1001,15,2))&lt;=59,FALSE)), OR(MID(metadata!C1001,17,1)="", AND(AND(MID(metadata!C1001,17,1)=":",IFERROR(INT(MID(metadata!C1001,18,1))&gt;=0,FALSE),IFERROR(INT(MID(metadata!C1001,18,1))&lt;=5,FALSE),NOT(MID(metadata!C1001,19,1)=""),IFERROR(INT(MID(metadata!C1001,18,2))&gt;=0,FALSE),IFERROR(INT(MID(metadata!C1001,18,2))&lt;=59,FALSE)), LEN(metadata!C1001)&lt;=19)))))))))))))</f>
        <v>0</v>
      </c>
      <c r="AD1001">
        <f>IF(metadata!D1001="",FALSE,TRUE)</f>
        <v>0</v>
      </c>
      <c r="AE1001">
        <f>OR(AND(IF(metadata!E1001="",FALSE,TRUE),OR(exact(metadata!E1001,"missing: not collected"),exact(metadata!E1001,"missing: not provided"))),AND(IF(metadata!E1001="",FALSE,TRUE),OR(exact(metadata!E1001,"TRUE"),exact(metadata!E1001,"FALSE"))))</f>
        <v>0</v>
      </c>
      <c r="AF1001">
        <f>IF(metadata!F1001="",FALSE,TRUE)</f>
        <v>0</v>
      </c>
      <c r="AG1001">
        <f>IF(metadata!G1001="",FALSE,TRUE)</f>
        <v>0</v>
      </c>
      <c r="AH1001">
        <f>IF(metadata!H1001="",FALSE,TRUE)</f>
        <v>0</v>
      </c>
      <c r="AI1001">
        <f>OR(AND(IF(metadata!I1001="",FALSE,TRUE),OR(exact(metadata!I1001,"missing: not collected"),exact(metadata!I1001,"missing: not provided"),exact(metadata!I1001,"missing: restricted access"))),AND(IF(metadata!I1001="",FALSE,TRUE),OR(exact(metadata!I1001,"air"),exact(metadata!I1001,"built environment"),exact(metadata!I1001,"host-associated"),exact(metadata!I1001,"human-associated"),exact(metadata!I1001,"human-skin"),exact(metadata!I1001,"human-oral"),exact(metadata!I1001,"human-gut"),exact(metadata!I1001,"human-vaginal"),exact(metadata!I1001,"microbial mat/biofilm"),exact(metadata!I1001,"misc environment"),exact(metadata!I1001,"plant-associated"),exact(metadata!I1001,"sediment"),exact(metadata!I1001,"soil"),exact(metadata!I1001,"wastewater/sludge"),exact(metadata!I1001,"water"))))</f>
        <v>0</v>
      </c>
      <c r="AJ1001">
        <f>IF(metadata!J1001="",FALSE,TRUE)</f>
        <v>0</v>
      </c>
      <c r="AK1001">
        <f>OR(AND(IF(metadata!K1001="",FALSE,TRUE),OR(exact(metadata!K1001,"missing: not collected"),exact(metadata!K1001,"missing: not provided"),exact(metadata!K1001,"missing: restricted access"))),AND(IF(metadata!K1001="",FALSE,ISNUMBER(VALUE(metadata!K1001))),metadata!K1001&gt;=-90.00,metadata!K1001&lt;=90.00))</f>
        <v>0</v>
      </c>
      <c r="AL1001">
        <f>OR(AND(IF(metadata!L1001="",FALSE,TRUE),OR(exact(metadata!L1001,"missing: not collected"),exact(metadata!L1001,"missing: not provided"),exact(metadata!L1001,"missing: restricted access"))),AND(IF(metadata!L1001="",FALSE,ISNUMBER(VALUE(metadata!L1001))),metadata!L1001&gt;=-180.00,metadata!L1001&lt;=180.00))</f>
        <v>0</v>
      </c>
      <c r="AM1001">
        <f>IF(metadata!M1001="",FALSE,TRUE)</f>
        <v>0</v>
      </c>
      <c r="AN1001">
        <f>OR(AND(IF(metadata!N1001="",FALSE,TRUE),OR(exact(metadata!N1001,"missing: not collected"),exact(metadata!N1001,"missing: not provided"),exact(metadata!N1001,"missing: restricted access"))),AND(IF(metadata!N1001="",FALSE,TRUE),OR(exact(metadata!N1001,"TRUE"),exact(metadata!N1001,"FALSE"))))</f>
        <v>0</v>
      </c>
      <c r="AO1001">
        <f>IF(metadata!O1001="",FALSE,TRUE)</f>
        <v>0</v>
      </c>
      <c r="AP1001">
        <f>OR(AND(IF(metadata!P1001="",FALSE,TRUE),OR(exact(metadata!P1001,"missing: not collected"),exact(metadata!P1001,"missing: not provided"))),AND(IF(metadata!P1001="",FALSE,IF(ISERROR(INT(metadata!P1001)),FALSE,INT(metadata!P1001)=metadata!P1001)),metadata!P1001&gt;0))</f>
        <v>0</v>
      </c>
      <c r="AQ1001">
        <f>IF(metadata!Q1001="",FALSE,TRUE)</f>
        <v>0</v>
      </c>
    </row>
    <row r="1003" spans="1:43">
      <c r="AA1003" s="3" t="s">
        <v>23</v>
      </c>
      <c r="AB1003">
        <f t="array" ref="AB1003">AND(IF($Y2:$Y1001,TRUE,AB2:AB1001))</f>
        <v>0</v>
      </c>
      <c r="AC1003">
        <f t="array" ref="AC1003">AND(IF($Y2:$Y1001,TRUE,AC2:AC1001))</f>
        <v>0</v>
      </c>
      <c r="AD1003">
        <f t="array" ref="AD1003">AND(IF($Y2:$Y1001,TRUE,AD2:AD1001))</f>
        <v>0</v>
      </c>
      <c r="AE1003">
        <f t="array" ref="AE1003">AND(IF($Y2:$Y1001,TRUE,AE2:AE1001))</f>
        <v>0</v>
      </c>
      <c r="AF1003">
        <f t="array" ref="AF1003">AND(IF($Y2:$Y1001,TRUE,AF2:AF1001))</f>
        <v>0</v>
      </c>
      <c r="AG1003">
        <f t="array" ref="AG1003">AND(IF($Y2:$Y1001,TRUE,AG2:AG1001))</f>
        <v>0</v>
      </c>
      <c r="AH1003">
        <f t="array" ref="AH1003">AND(IF($Y2:$Y1001,TRUE,AH2:AH1001))</f>
        <v>0</v>
      </c>
      <c r="AI1003">
        <f t="array" ref="AI1003">AND(IF($Y2:$Y1001,TRUE,AI2:AI1001))</f>
        <v>0</v>
      </c>
      <c r="AJ1003">
        <f t="array" ref="AJ1003">AND(IF($Y2:$Y1001,TRUE,AJ2:AJ1001))</f>
        <v>0</v>
      </c>
      <c r="AK1003">
        <f t="array" ref="AK1003">AND(IF($Y2:$Y1001,TRUE,AK2:AK1001))</f>
        <v>0</v>
      </c>
      <c r="AL1003">
        <f t="array" ref="AL1003">AND(IF($Y2:$Y1001,TRUE,AL2:AL1001))</f>
        <v>0</v>
      </c>
      <c r="AM1003">
        <f t="array" ref="AM1003">AND(IF($Y2:$Y1001,TRUE,AM2:AM1001))</f>
        <v>0</v>
      </c>
      <c r="AN1003">
        <f t="array" ref="AN1003">AND(IF($Y2:$Y1001,TRUE,AN2:AN1001))</f>
        <v>0</v>
      </c>
      <c r="AO1003">
        <f t="array" ref="AO1003">AND(IF($Y2:$Y1001,TRUE,AO2:AO1001))</f>
        <v>0</v>
      </c>
      <c r="AP1003">
        <f t="array" ref="AP1003">AND(IF($Y2:$Y1001,TRUE,AP2:AP1001))</f>
        <v>0</v>
      </c>
      <c r="AQ1003">
        <f t="array" ref="AQ1003">AND(IF($Y2:$Y1001,TRUE,AQ2:AQ1001))</f>
        <v>0</v>
      </c>
    </row>
    <row r="1004" spans="1:43">
      <c r="AA1004" s="3" t="s">
        <v>24</v>
      </c>
      <c r="AB1004">
        <f t="array" ref="AB1004:AQ1004">COLUMN(metadata!B1004:Q1004)</f>
        <v>0</v>
      </c>
      <c r="AC1004">
        <v>0</v>
      </c>
      <c r="AD1004">
        <v>0</v>
      </c>
      <c r="AE1004">
        <v>0</v>
      </c>
      <c r="AF1004">
        <v>0</v>
      </c>
      <c r="AG1004">
        <v>0</v>
      </c>
      <c r="AH1004">
        <v>0</v>
      </c>
      <c r="AI1004">
        <v>0</v>
      </c>
      <c r="AJ1004">
        <v>0</v>
      </c>
      <c r="AK1004">
        <v>0</v>
      </c>
      <c r="AL1004">
        <v>0</v>
      </c>
      <c r="AM1004">
        <v>0</v>
      </c>
      <c r="AN1004">
        <v>0</v>
      </c>
      <c r="AO1004">
        <v>0</v>
      </c>
      <c r="AP1004">
        <v>0</v>
      </c>
      <c r="AQ1004">
        <v>0</v>
      </c>
    </row>
    <row r="1005" spans="1:43">
      <c r="AA1005" s="3" t="s">
        <v>25</v>
      </c>
      <c r="AB1005">
        <f t="array" ref="AB1005:AQ1005">INT(AB1003:AQ1003)*100000+$AB$1004:$AQ$1004</f>
        <v>0</v>
      </c>
      <c r="AC1005">
        <v>0</v>
      </c>
      <c r="AD1005">
        <v>0</v>
      </c>
      <c r="AE1005">
        <v>0</v>
      </c>
      <c r="AF1005">
        <v>0</v>
      </c>
      <c r="AG1005">
        <v>0</v>
      </c>
      <c r="AH1005">
        <v>0</v>
      </c>
      <c r="AI1005">
        <v>0</v>
      </c>
      <c r="AJ1005">
        <v>0</v>
      </c>
      <c r="AK1005">
        <v>0</v>
      </c>
      <c r="AL1005">
        <v>0</v>
      </c>
      <c r="AM1005">
        <v>0</v>
      </c>
      <c r="AN1005">
        <v>0</v>
      </c>
      <c r="AO1005">
        <v>0</v>
      </c>
      <c r="AP1005">
        <v>0</v>
      </c>
      <c r="AQ1005">
        <v>0</v>
      </c>
    </row>
    <row r="1006" spans="1:43">
      <c r="AA1006" s="3" t="s">
        <v>26</v>
      </c>
      <c r="AB1006">
        <f t="array" ref="AB1006:AQ1006">COUNTIF($AB1005:$AQ1005,"&lt;="&amp;AB$1005:AQ1005)</f>
        <v>0</v>
      </c>
      <c r="AC1006">
        <v>0</v>
      </c>
      <c r="AD1006">
        <v>0</v>
      </c>
      <c r="AE1006">
        <v>0</v>
      </c>
      <c r="AF1006">
        <v>0</v>
      </c>
      <c r="AG1006">
        <v>0</v>
      </c>
      <c r="AH1006">
        <v>0</v>
      </c>
      <c r="AI1006">
        <v>0</v>
      </c>
      <c r="AJ1006">
        <v>0</v>
      </c>
      <c r="AK1006">
        <v>0</v>
      </c>
      <c r="AL1006">
        <v>0</v>
      </c>
      <c r="AM1006">
        <v>0</v>
      </c>
      <c r="AN1006">
        <v>0</v>
      </c>
      <c r="AO1006">
        <v>0</v>
      </c>
      <c r="AP1006">
        <v>0</v>
      </c>
      <c r="AQ1006">
        <v>0</v>
      </c>
    </row>
  </sheetData>
  <sheetProtection sheet="1" objects="1" scenarios="1"/>
  <conditionalFormatting sqref="B2:Q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3" t="s">
        <v>27</v>
      </c>
      <c r="B1" s="3" t="s">
        <v>28</v>
      </c>
    </row>
    <row r="2" spans="1:2">
      <c r="A2" s="3" t="s">
        <v>1</v>
      </c>
      <c r="B2" t="s">
        <v>29</v>
      </c>
    </row>
    <row r="3" spans="1:2">
      <c r="A3" s="3" t="s">
        <v>3</v>
      </c>
      <c r="B3" t="s">
        <v>30</v>
      </c>
    </row>
    <row r="4" spans="1:2">
      <c r="A4" s="3" t="s">
        <v>4</v>
      </c>
      <c r="B4" t="s">
        <v>31</v>
      </c>
    </row>
    <row r="5" spans="1:2">
      <c r="A5" s="3" t="s">
        <v>5</v>
      </c>
      <c r="B5" t="s">
        <v>32</v>
      </c>
    </row>
    <row r="6" spans="1:2">
      <c r="A6" s="3" t="s">
        <v>6</v>
      </c>
      <c r="B6" t="s">
        <v>33</v>
      </c>
    </row>
    <row r="7" spans="1:2">
      <c r="A7" s="3" t="s">
        <v>7</v>
      </c>
      <c r="B7" t="s">
        <v>34</v>
      </c>
    </row>
    <row r="8" spans="1:2">
      <c r="A8" s="3" t="s">
        <v>8</v>
      </c>
      <c r="B8" t="s">
        <v>35</v>
      </c>
    </row>
    <row r="9" spans="1:2">
      <c r="A9" s="3" t="s">
        <v>9</v>
      </c>
      <c r="B9" t="s">
        <v>36</v>
      </c>
    </row>
    <row r="10" spans="1:2">
      <c r="A10" s="3" t="s">
        <v>10</v>
      </c>
      <c r="B10" t="s">
        <v>37</v>
      </c>
    </row>
    <row r="11" spans="1:2">
      <c r="A11" s="3" t="s">
        <v>11</v>
      </c>
      <c r="B11" t="s">
        <v>38</v>
      </c>
    </row>
    <row r="12" spans="1:2">
      <c r="A12" s="3" t="s">
        <v>12</v>
      </c>
      <c r="B12" t="s">
        <v>39</v>
      </c>
    </row>
    <row r="13" spans="1:2">
      <c r="A13" s="3" t="s">
        <v>13</v>
      </c>
      <c r="B13" t="s">
        <v>40</v>
      </c>
    </row>
    <row r="14" spans="1:2">
      <c r="A14" s="3" t="s">
        <v>14</v>
      </c>
      <c r="B14" t="s">
        <v>41</v>
      </c>
    </row>
    <row r="15" spans="1:2">
      <c r="A15" s="3" t="s">
        <v>15</v>
      </c>
      <c r="B15" t="s">
        <v>42</v>
      </c>
    </row>
    <row r="16" spans="1:2">
      <c r="A16" s="3" t="s">
        <v>16</v>
      </c>
      <c r="B16" t="s">
        <v>43</v>
      </c>
    </row>
    <row r="17" spans="1:2">
      <c r="A17" s="3" t="s">
        <v>17</v>
      </c>
      <c r="B17" t="s">
        <v>44</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45</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46</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validation</vt:lpstr>
      <vt:lpstr>field descriptions</vt:lpstr>
      <vt:lpstr>metadata_schema</vt:lpstr>
      <vt:lpstr>metadata_form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2017-12-14T00:58:43Z</dcterms:created>
  <dcterms:modified xsi:type="dcterms:W3CDTF">2017-12-14T00:58:43Z</dcterms:modified>
</cp:coreProperties>
</file>